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S:\OPS\DISTR\NMSTH\SSEN Website\Donald Preston - Charging statements 202021\SEPD\"/>
    </mc:Choice>
  </mc:AlternateContent>
  <workbookProtection lockStructure="1"/>
  <bookViews>
    <workbookView xWindow="0" yWindow="0" windowWidth="30720" windowHeight="13320" tabRatio="933"/>
  </bookViews>
  <sheets>
    <sheet name="Cover" sheetId="27" r:id="rId1"/>
    <sheet name="Version control" sheetId="55" r:id="rId2"/>
    <sheet name="Model map" sheetId="28" r:id="rId3"/>
    <sheet name="Index" sheetId="85" r:id="rId4"/>
    <sheet name="Named ranges" sheetId="84" r:id="rId5"/>
    <sheet name="ARP_DNO commentary" sheetId="92" r:id="rId6"/>
    <sheet name="ARP_CDCM timebands" sheetId="93" r:id="rId7"/>
    <sheet name="ARP_Load characteristics" sheetId="94" r:id="rId8"/>
    <sheet name="ARP_Peaking probabilities" sheetId="95" r:id="rId9"/>
    <sheet name="ARP_User control" sheetId="96" r:id="rId10"/>
    <sheet name="ARP_Inputs by customer type" sheetId="97" r:id="rId11"/>
    <sheet name="ARP_Inputs by network level" sheetId="100" r:id="rId12"/>
    <sheet name="ARP_General inputs" sheetId="98" r:id="rId13"/>
    <sheet name="Fixed inputs" sheetId="90" r:id="rId14"/>
    <sheet name="Inputs by customer type" sheetId="87" r:id="rId15"/>
    <sheet name="Inputs by network level" sheetId="86" r:id="rId16"/>
    <sheet name="General inputs" sheetId="89" r:id="rId17"/>
    <sheet name="Standing charge factors" sheetId="70" r:id="rId18"/>
    <sheet name="Load &amp; loss characteristics" sheetId="31" r:id="rId19"/>
    <sheet name="Customer contributions" sheetId="23" r:id="rId20"/>
    <sheet name="Volume adjustments" sheetId="22" r:id="rId21"/>
    <sheet name="Pseudo-load coefficients" sheetId="53" r:id="rId22"/>
    <sheet name="System peak demand" sheetId="80" r:id="rId23"/>
    <sheet name="Service model assets" sheetId="111" r:id="rId24"/>
    <sheet name="Unit costs" sheetId="81" r:id="rId25"/>
    <sheet name="Initial unit rates" sheetId="83" r:id="rId26"/>
    <sheet name="Service model charges" sheetId="76" r:id="rId27"/>
    <sheet name="Unit rate charges" sheetId="71" r:id="rId28"/>
    <sheet name="Reactive power charges" sheetId="72" r:id="rId29"/>
    <sheet name="Capacity charges" sheetId="73" r:id="rId30"/>
    <sheet name="Fixed charges" sheetId="74" r:id="rId31"/>
    <sheet name="Revenue matching" sheetId="41" r:id="rId32"/>
    <sheet name="Rounding" sheetId="65" r:id="rId33"/>
    <sheet name="Net revenue summary" sheetId="105" r:id="rId34"/>
    <sheet name="Tariff summary" sheetId="106" r:id="rId35"/>
    <sheet name="Typical bills" sheetId="107" r:id="rId36"/>
  </sheets>
  <definedNames>
    <definedName name="charging_year" comment="Year for which charges are being calculated">Cover!$D$19</definedName>
    <definedName name="charging_year_selected" comment="Charging year currently selected for ARP">'ARP_User control'!$G$17</definedName>
    <definedName name="check_decimals" comment="Number of decimal places of precision for in-built model checks">'Fixed inputs'!$H$159</definedName>
    <definedName name="days_in_year" comment="Days in the charging year">'General inputs'!$H$93</definedName>
    <definedName name="DNO_name" comment="Name of DNO">Cover!$D$21</definedName>
    <definedName name="hours_in_day" comment="Hours per day">'Fixed inputs'!$H$15</definedName>
    <definedName name="hours_in_year" comment="Hours in the charging year">'General inputs'!$H$94</definedName>
    <definedName name="HTML_CodePage" hidden="1">1252</definedName>
    <definedName name="HTML_Control" localSheetId="9" hidden="1">{"'Sheet1'!$A$1:$G$85"}</definedName>
    <definedName name="HTML_Control" localSheetId="29" hidden="1">{"'Sheet1'!$A$1:$G$85"}</definedName>
    <definedName name="HTML_Control" localSheetId="0" hidden="1">{"'Sheet1'!$A$1:$G$85"}</definedName>
    <definedName name="HTML_Control" localSheetId="30" hidden="1">{"'Sheet1'!$A$1:$G$85"}</definedName>
    <definedName name="HTML_Control" localSheetId="2" hidden="1">{"'Sheet1'!$A$1:$G$85"}</definedName>
    <definedName name="HTML_Control" localSheetId="21" hidden="1">{"'Sheet1'!$A$1:$G$85"}</definedName>
    <definedName name="HTML_Control" localSheetId="28" hidden="1">{"'Sheet1'!$A$1:$G$85"}</definedName>
    <definedName name="HTML_Control" localSheetId="31" hidden="1">{"'Sheet1'!$A$1:$G$85"}</definedName>
    <definedName name="HTML_Control" localSheetId="32" hidden="1">{"'Sheet1'!$A$1:$G$85"}</definedName>
    <definedName name="HTML_Control" localSheetId="26" hidden="1">{"'Sheet1'!$A$1:$G$85"}</definedName>
    <definedName name="HTML_Control" localSheetId="17" hidden="1">{"'Sheet1'!$A$1:$G$85"}</definedName>
    <definedName name="HTML_Control" localSheetId="34" hidden="1">{"'Sheet1'!$A$1:$G$85"}</definedName>
    <definedName name="HTML_Control" localSheetId="35" hidden="1">{"'Sheet1'!$A$1:$G$85"}</definedName>
    <definedName name="HTML_Control" localSheetId="27" hidden="1">{"'Sheet1'!$A$1:$G$85"}</definedName>
    <definedName name="HTML_Control" localSheetId="1" hidden="1">{"'Sheet1'!$A$1:$G$85"}</definedName>
    <definedName name="HTML_Control" hidden="1">{"'Sheet1'!$A$1:$G$85"}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HD:HomePageStuff:New_Home_Page:datafile:histret.html"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  <definedName name="hundred" comment="Equal to 100">'Fixed inputs'!$H$17</definedName>
    <definedName name="live_results_bills" comment="Typical bills for selected charging year">'Typical bills'!$J$18:$J$120</definedName>
    <definedName name="live_results_tariffs" comment="Tariffs for selected charging year">'Tariff summary'!$J$18:$P$120</definedName>
    <definedName name="PowerFactor" comment="Power factor, equal to 0.95">'Fixed inputs'!$H$37</definedName>
    <definedName name="results_4_bills" comment="Typical bills for current charging year">'Typical bills'!$L$18:$L$120</definedName>
    <definedName name="results_4_tariffs" comment="Tariffs for current charging year">'Tariff summary'!$J$125:$P$227</definedName>
    <definedName name="results_5_bills" comment="Typical bills for current charging year + 1">'Typical bills'!$M$18:$M$120</definedName>
    <definedName name="results_5_tariffs" comment="Tariffs for current charging year + 1">'Tariff summary'!$J$232:$P$334</definedName>
    <definedName name="results_6_bills" comment="Typical bills for current charging year + 2">'Typical bills'!$N$18:$N$120</definedName>
    <definedName name="results_6_tariffs" comment="Tariffs for current charging year + 2">'Tariff summary'!$J$339:$P$441</definedName>
    <definedName name="results_7_bills" comment="Typical bills for current charging year + 3">'Typical bills'!$O$18:$O$120</definedName>
    <definedName name="results_7_tariffs" comment="Tariffs for current charging year + 3">'Tariff summary'!$J$446:$P$548</definedName>
    <definedName name="results_8_bills" comment="Typical bills for current charging year + 4">'Typical bills'!$P$18:$P$120</definedName>
    <definedName name="results_8_tariffs" comment="Tariffs for current charging year + 4">'Tariff summary'!$J$553:$P$655</definedName>
    <definedName name="ten" comment="Equal to 10">'Fixed inputs'!$H$16</definedName>
    <definedName name="thousand" comment="Equal to 1000">'Fixed inputs'!$H$18</definedName>
    <definedName name="year_selection" comment="Index for selected charging year">'ARP_User control'!$G$36</definedName>
  </definedNames>
  <calcPr calcId="171027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Q1232" i="97" l="1"/>
  <c r="R1232" i="97" s="1"/>
  <c r="S1232" i="97" s="1"/>
  <c r="Q1233" i="97"/>
  <c r="R1233" i="97"/>
  <c r="S1233" i="97" s="1"/>
  <c r="Q1234" i="97"/>
  <c r="R1234" i="97" s="1"/>
  <c r="S1234" i="97" s="1"/>
  <c r="Q1235" i="97"/>
  <c r="R1235" i="97" s="1"/>
  <c r="S1235" i="97" s="1"/>
  <c r="P1233" i="97"/>
  <c r="P1234" i="97"/>
  <c r="P1235" i="97"/>
  <c r="P1232" i="97"/>
  <c r="P1167" i="97" l="1"/>
  <c r="Q1167" i="97" s="1"/>
  <c r="R1167" i="97" s="1"/>
  <c r="S1167" i="97" s="1"/>
  <c r="Q1166" i="97"/>
  <c r="R1166" i="97" s="1"/>
  <c r="S1166" i="97" s="1"/>
  <c r="P1166" i="97"/>
  <c r="P1170" i="97"/>
  <c r="Q1170" i="97" s="1"/>
  <c r="R1170" i="97" s="1"/>
  <c r="S1170" i="97" s="1"/>
  <c r="Q1169" i="97"/>
  <c r="R1169" i="97" s="1"/>
  <c r="S1169" i="97" s="1"/>
  <c r="P1169" i="97"/>
  <c r="Q1172" i="97"/>
  <c r="R1172" i="97"/>
  <c r="S1172" i="97"/>
  <c r="Q1173" i="97"/>
  <c r="R1173" i="97"/>
  <c r="S1173" i="97"/>
  <c r="Q1175" i="97"/>
  <c r="R1175" i="97" s="1"/>
  <c r="S1175" i="97" s="1"/>
  <c r="Q1176" i="97"/>
  <c r="R1176" i="97"/>
  <c r="S1176" i="97" s="1"/>
  <c r="Q1177" i="97"/>
  <c r="R1177" i="97" s="1"/>
  <c r="S1177" i="97" s="1"/>
  <c r="Q1178" i="97"/>
  <c r="R1178" i="97" s="1"/>
  <c r="S1178" i="97" s="1"/>
  <c r="Q1185" i="97"/>
  <c r="R1185" i="97" s="1"/>
  <c r="S1185" i="97" s="1"/>
  <c r="Q1186" i="97"/>
  <c r="R1186" i="97"/>
  <c r="S1186" i="97"/>
  <c r="Q1187" i="97"/>
  <c r="R1187" i="97" s="1"/>
  <c r="S1187" i="97" s="1"/>
  <c r="Q1188" i="97"/>
  <c r="R1188" i="97"/>
  <c r="S1188" i="97"/>
  <c r="Q1189" i="97"/>
  <c r="R1189" i="97"/>
  <c r="S1189" i="97" s="1"/>
  <c r="Q1190" i="97"/>
  <c r="R1190" i="97"/>
  <c r="S1190" i="97"/>
  <c r="Q1191" i="97"/>
  <c r="R1191" i="97"/>
  <c r="S1191" i="97"/>
  <c r="Q1192" i="97"/>
  <c r="R1192" i="97" s="1"/>
  <c r="S1192" i="97" s="1"/>
  <c r="Q1193" i="97"/>
  <c r="R1193" i="97"/>
  <c r="S1193" i="97"/>
  <c r="Q1194" i="97"/>
  <c r="R1194" i="97" s="1"/>
  <c r="S1194" i="97" s="1"/>
  <c r="Q1216" i="97"/>
  <c r="R1216" i="97" s="1"/>
  <c r="S1216" i="97" s="1"/>
  <c r="Q1211" i="97"/>
  <c r="R1211" i="97" s="1"/>
  <c r="S1211" i="97" s="1"/>
  <c r="Q1254" i="97"/>
  <c r="R1254" i="97"/>
  <c r="S1254" i="97"/>
  <c r="Q1255" i="97"/>
  <c r="R1255" i="97"/>
  <c r="S1255" i="97"/>
  <c r="Q1256" i="97"/>
  <c r="R1256" i="97" s="1"/>
  <c r="S1256" i="97" s="1"/>
  <c r="Q1257" i="97"/>
  <c r="R1257" i="97"/>
  <c r="S1257" i="97"/>
  <c r="Q1258" i="97"/>
  <c r="R1258" i="97"/>
  <c r="S1258" i="97" s="1"/>
  <c r="P1255" i="97"/>
  <c r="P1256" i="97"/>
  <c r="P1257" i="97"/>
  <c r="P1258" i="97"/>
  <c r="P1254" i="97"/>
  <c r="P1216" i="97"/>
  <c r="P1211" i="97"/>
  <c r="P1186" i="97"/>
  <c r="P1187" i="97"/>
  <c r="P1188" i="97"/>
  <c r="P1189" i="97"/>
  <c r="P1190" i="97"/>
  <c r="P1191" i="97"/>
  <c r="P1192" i="97"/>
  <c r="P1193" i="97"/>
  <c r="P1194" i="97"/>
  <c r="P1185" i="97"/>
  <c r="P1177" i="97"/>
  <c r="P1178" i="97"/>
  <c r="P1176" i="97"/>
  <c r="P1175" i="97"/>
  <c r="P1173" i="97"/>
  <c r="P1172" i="97"/>
  <c r="Q125" i="100" l="1"/>
  <c r="R125" i="100"/>
  <c r="S125" i="100"/>
  <c r="Q126" i="100"/>
  <c r="R126" i="100"/>
  <c r="S126" i="100"/>
  <c r="Q127" i="100"/>
  <c r="R127" i="100" s="1"/>
  <c r="S127" i="100" s="1"/>
  <c r="Q128" i="100"/>
  <c r="R128" i="100"/>
  <c r="S128" i="100"/>
  <c r="Q129" i="100"/>
  <c r="R129" i="100"/>
  <c r="S129" i="100" s="1"/>
  <c r="Q130" i="100"/>
  <c r="R130" i="100"/>
  <c r="S130" i="100"/>
  <c r="Q131" i="100"/>
  <c r="R131" i="100"/>
  <c r="S131" i="100"/>
  <c r="Q132" i="100"/>
  <c r="R132" i="100"/>
  <c r="S132" i="100"/>
  <c r="P126" i="100"/>
  <c r="P127" i="100"/>
  <c r="P128" i="100"/>
  <c r="P129" i="100"/>
  <c r="P130" i="100"/>
  <c r="P131" i="100"/>
  <c r="P132" i="100"/>
  <c r="P125" i="100"/>
  <c r="Q108" i="98" l="1"/>
  <c r="R108" i="98"/>
  <c r="S108" i="98"/>
  <c r="Q109" i="98"/>
  <c r="R109" i="98"/>
  <c r="S109" i="98" s="1"/>
  <c r="Q110" i="98"/>
  <c r="R110" i="98" s="1"/>
  <c r="S110" i="98" s="1"/>
  <c r="P109" i="98"/>
  <c r="P110" i="98"/>
  <c r="P108" i="98"/>
  <c r="Q103" i="98"/>
  <c r="R103" i="98"/>
  <c r="S103" i="98"/>
  <c r="P103" i="98"/>
  <c r="Q98" i="98" l="1"/>
  <c r="R98" i="98"/>
  <c r="S98" i="98" s="1"/>
  <c r="P98" i="98"/>
  <c r="Q33" i="98"/>
  <c r="R33" i="98"/>
  <c r="S33" i="98"/>
  <c r="Q34" i="98"/>
  <c r="R34" i="98"/>
  <c r="S34" i="98"/>
  <c r="Q35" i="98"/>
  <c r="R35" i="98" s="1"/>
  <c r="S35" i="98" s="1"/>
  <c r="Q36" i="98"/>
  <c r="R36" i="98"/>
  <c r="S36" i="98"/>
  <c r="P34" i="98"/>
  <c r="P35" i="98"/>
  <c r="P36" i="98"/>
  <c r="P33" i="98"/>
  <c r="Q176" i="100"/>
  <c r="R176" i="100" s="1"/>
  <c r="S176" i="100" s="1"/>
  <c r="Q177" i="100"/>
  <c r="R177" i="100"/>
  <c r="S177" i="100"/>
  <c r="Q178" i="100"/>
  <c r="R178" i="100" s="1"/>
  <c r="S178" i="100" s="1"/>
  <c r="Q179" i="100"/>
  <c r="R179" i="100"/>
  <c r="S179" i="100"/>
  <c r="Q180" i="100"/>
  <c r="R180" i="100"/>
  <c r="S180" i="100" s="1"/>
  <c r="Q181" i="100"/>
  <c r="R181" i="100"/>
  <c r="S181" i="100"/>
  <c r="Q182" i="100"/>
  <c r="R182" i="100"/>
  <c r="S182" i="100"/>
  <c r="Q183" i="100"/>
  <c r="R183" i="100"/>
  <c r="S183" i="100"/>
  <c r="Q184" i="100"/>
  <c r="R184" i="100"/>
  <c r="S184" i="100"/>
  <c r="P177" i="100"/>
  <c r="P178" i="100"/>
  <c r="P179" i="100"/>
  <c r="P180" i="100"/>
  <c r="P181" i="100"/>
  <c r="P182" i="100"/>
  <c r="P183" i="100"/>
  <c r="P184" i="100"/>
  <c r="P176" i="100"/>
  <c r="Q164" i="100"/>
  <c r="R164" i="100"/>
  <c r="S164" i="100"/>
  <c r="Q165" i="100"/>
  <c r="R165" i="100"/>
  <c r="S165" i="100"/>
  <c r="Q166" i="100"/>
  <c r="R166" i="100" s="1"/>
  <c r="S166" i="100" s="1"/>
  <c r="Q167" i="100"/>
  <c r="R167" i="100"/>
  <c r="S167" i="100"/>
  <c r="Q168" i="100"/>
  <c r="R168" i="100"/>
  <c r="S168" i="100" s="1"/>
  <c r="Q169" i="100"/>
  <c r="R169" i="100"/>
  <c r="S169" i="100"/>
  <c r="Q170" i="100"/>
  <c r="R170" i="100"/>
  <c r="S170" i="100"/>
  <c r="Q171" i="100"/>
  <c r="R171" i="100"/>
  <c r="S171" i="100"/>
  <c r="Q172" i="100"/>
  <c r="R172" i="100"/>
  <c r="S172" i="100"/>
  <c r="P165" i="100"/>
  <c r="P166" i="100"/>
  <c r="P167" i="100"/>
  <c r="P168" i="100"/>
  <c r="P169" i="100"/>
  <c r="P170" i="100"/>
  <c r="P171" i="100"/>
  <c r="P172" i="100"/>
  <c r="P164" i="100"/>
  <c r="Q152" i="100"/>
  <c r="R152" i="100" s="1"/>
  <c r="S152" i="100" s="1"/>
  <c r="Q153" i="100"/>
  <c r="R153" i="100"/>
  <c r="S153" i="100" s="1"/>
  <c r="Q154" i="100"/>
  <c r="R154" i="100" s="1"/>
  <c r="S154" i="100" s="1"/>
  <c r="Q155" i="100"/>
  <c r="R155" i="100"/>
  <c r="S155" i="100"/>
  <c r="Q156" i="100"/>
  <c r="R156" i="100"/>
  <c r="S156" i="100" s="1"/>
  <c r="Q157" i="100"/>
  <c r="R157" i="100"/>
  <c r="S157" i="100"/>
  <c r="Q158" i="100"/>
  <c r="R158" i="100" s="1"/>
  <c r="S158" i="100" s="1"/>
  <c r="Q159" i="100"/>
  <c r="R159" i="100" s="1"/>
  <c r="S159" i="100" s="1"/>
  <c r="Q160" i="100"/>
  <c r="R160" i="100"/>
  <c r="S160" i="100" s="1"/>
  <c r="P153" i="100"/>
  <c r="P154" i="100"/>
  <c r="P155" i="100"/>
  <c r="P156" i="100"/>
  <c r="P157" i="100"/>
  <c r="P158" i="100"/>
  <c r="P159" i="100"/>
  <c r="P160" i="100"/>
  <c r="P152" i="100"/>
  <c r="Q140" i="100"/>
  <c r="R140" i="100" s="1"/>
  <c r="S140" i="100" s="1"/>
  <c r="Q141" i="100"/>
  <c r="R141" i="100"/>
  <c r="S141" i="100"/>
  <c r="Q142" i="100"/>
  <c r="R142" i="100" s="1"/>
  <c r="S142" i="100" s="1"/>
  <c r="Q143" i="100"/>
  <c r="R143" i="100"/>
  <c r="S143" i="100"/>
  <c r="Q144" i="100"/>
  <c r="R144" i="100"/>
  <c r="S144" i="100" s="1"/>
  <c r="Q145" i="100"/>
  <c r="R145" i="100"/>
  <c r="S145" i="100"/>
  <c r="Q146" i="100"/>
  <c r="R146" i="100"/>
  <c r="S146" i="100"/>
  <c r="Q147" i="100"/>
  <c r="R147" i="100"/>
  <c r="S147" i="100"/>
  <c r="Q148" i="100"/>
  <c r="R148" i="100"/>
  <c r="S148" i="100"/>
  <c r="P141" i="100"/>
  <c r="P142" i="100"/>
  <c r="P143" i="100"/>
  <c r="P144" i="100"/>
  <c r="P145" i="100"/>
  <c r="P146" i="100"/>
  <c r="P147" i="100"/>
  <c r="P148" i="100"/>
  <c r="P140" i="100"/>
  <c r="Q111" i="100"/>
  <c r="R111" i="100" s="1"/>
  <c r="S111" i="100" s="1"/>
  <c r="Q112" i="100"/>
  <c r="R112" i="100" s="1"/>
  <c r="S112" i="100" s="1"/>
  <c r="Q113" i="100"/>
  <c r="R113" i="100" s="1"/>
  <c r="S113" i="100" s="1"/>
  <c r="Q114" i="100"/>
  <c r="R114" i="100"/>
  <c r="S114" i="100" s="1"/>
  <c r="P112" i="100"/>
  <c r="P113" i="100"/>
  <c r="P114" i="100"/>
  <c r="P111" i="100"/>
  <c r="Q100" i="100"/>
  <c r="R100" i="100"/>
  <c r="S100" i="100" s="1"/>
  <c r="Q101" i="100"/>
  <c r="R101" i="100"/>
  <c r="S101" i="100"/>
  <c r="Q102" i="100"/>
  <c r="R102" i="100" s="1"/>
  <c r="S102" i="100" s="1"/>
  <c r="Q103" i="100"/>
  <c r="R103" i="100"/>
  <c r="S103" i="100"/>
  <c r="Q104" i="100"/>
  <c r="R104" i="100"/>
  <c r="S104" i="100" s="1"/>
  <c r="Q105" i="100"/>
  <c r="R105" i="100" s="1"/>
  <c r="S105" i="100" s="1"/>
  <c r="P101" i="100"/>
  <c r="P102" i="100"/>
  <c r="P103" i="100"/>
  <c r="P104" i="100"/>
  <c r="P105" i="100"/>
  <c r="P100" i="100"/>
  <c r="Q89" i="100"/>
  <c r="R89" i="100"/>
  <c r="S89" i="100" s="1"/>
  <c r="Q90" i="100"/>
  <c r="R90" i="100"/>
  <c r="S90" i="100"/>
  <c r="Q91" i="100"/>
  <c r="R91" i="100" s="1"/>
  <c r="S91" i="100" s="1"/>
  <c r="Q92" i="100"/>
  <c r="R92" i="100"/>
  <c r="S92" i="100"/>
  <c r="Q93" i="100"/>
  <c r="R93" i="100"/>
  <c r="S93" i="100" s="1"/>
  <c r="Q94" i="100"/>
  <c r="R94" i="100"/>
  <c r="S94" i="100"/>
  <c r="Q95" i="100"/>
  <c r="R95" i="100"/>
  <c r="S95" i="100"/>
  <c r="P90" i="100"/>
  <c r="P91" i="100"/>
  <c r="P92" i="100"/>
  <c r="P93" i="100"/>
  <c r="P94" i="100"/>
  <c r="P95" i="100"/>
  <c r="P89" i="100"/>
  <c r="Q78" i="100"/>
  <c r="R78" i="100" s="1"/>
  <c r="S78" i="100" s="1"/>
  <c r="Q79" i="100"/>
  <c r="R79" i="100"/>
  <c r="S79" i="100"/>
  <c r="Q80" i="100"/>
  <c r="R80" i="100" s="1"/>
  <c r="S80" i="100" s="1"/>
  <c r="Q81" i="100"/>
  <c r="R81" i="100" s="1"/>
  <c r="S81" i="100" s="1"/>
  <c r="Q82" i="100"/>
  <c r="R82" i="100"/>
  <c r="S82" i="100" s="1"/>
  <c r="Q83" i="100"/>
  <c r="R83" i="100"/>
  <c r="S83" i="100" s="1"/>
  <c r="Q84" i="100"/>
  <c r="R84" i="100"/>
  <c r="S84" i="100"/>
  <c r="Q85" i="100"/>
  <c r="R85" i="100"/>
  <c r="S85" i="100"/>
  <c r="P79" i="100"/>
  <c r="P80" i="100"/>
  <c r="P81" i="100"/>
  <c r="P82" i="100"/>
  <c r="P83" i="100"/>
  <c r="P84" i="100"/>
  <c r="P85" i="100"/>
  <c r="P78" i="100"/>
  <c r="Q62" i="100"/>
  <c r="R62" i="100" s="1"/>
  <c r="S62" i="100" s="1"/>
  <c r="Q63" i="100"/>
  <c r="R63" i="100"/>
  <c r="S63" i="100"/>
  <c r="Q64" i="100"/>
  <c r="R64" i="100" s="1"/>
  <c r="S64" i="100" s="1"/>
  <c r="Q65" i="100"/>
  <c r="R65" i="100"/>
  <c r="S65" i="100"/>
  <c r="Q66" i="100"/>
  <c r="R66" i="100"/>
  <c r="S66" i="100" s="1"/>
  <c r="Q67" i="100"/>
  <c r="R67" i="100" s="1"/>
  <c r="S67" i="100" s="1"/>
  <c r="Q68" i="100"/>
  <c r="R68" i="100"/>
  <c r="S68" i="100"/>
  <c r="Q69" i="100"/>
  <c r="R69" i="100"/>
  <c r="S69" i="100" s="1"/>
  <c r="Q70" i="100"/>
  <c r="R70" i="100"/>
  <c r="S70" i="100"/>
  <c r="P63" i="100"/>
  <c r="P64" i="100"/>
  <c r="P65" i="100"/>
  <c r="P66" i="100"/>
  <c r="P67" i="100"/>
  <c r="P68" i="100"/>
  <c r="P69" i="100"/>
  <c r="P70" i="100"/>
  <c r="P62" i="100"/>
  <c r="Q54" i="100"/>
  <c r="R54" i="100"/>
  <c r="S54" i="100"/>
  <c r="Q55" i="100"/>
  <c r="R55" i="100"/>
  <c r="S55" i="100"/>
  <c r="Q56" i="100"/>
  <c r="R56" i="100" s="1"/>
  <c r="S56" i="100" s="1"/>
  <c r="P55" i="100"/>
  <c r="P56" i="100"/>
  <c r="P54" i="100"/>
  <c r="Q48" i="100"/>
  <c r="R48" i="100"/>
  <c r="S48" i="100" s="1"/>
  <c r="Q49" i="100"/>
  <c r="R49" i="100"/>
  <c r="S49" i="100" s="1"/>
  <c r="Q50" i="100"/>
  <c r="R50" i="100" s="1"/>
  <c r="S50" i="100" s="1"/>
  <c r="Q51" i="100"/>
  <c r="R51" i="100"/>
  <c r="S51" i="100"/>
  <c r="Q52" i="100"/>
  <c r="R52" i="100"/>
  <c r="S52" i="100" s="1"/>
  <c r="P49" i="100"/>
  <c r="P50" i="100"/>
  <c r="P51" i="100"/>
  <c r="P52" i="100"/>
  <c r="P48" i="100"/>
  <c r="Q36" i="100"/>
  <c r="R36" i="100" s="1"/>
  <c r="S36" i="100" s="1"/>
  <c r="P36" i="100"/>
  <c r="Q26" i="100"/>
  <c r="R26" i="100"/>
  <c r="S26" i="100"/>
  <c r="Q23" i="100"/>
  <c r="R23" i="100" s="1"/>
  <c r="S23" i="100" s="1"/>
  <c r="Q20" i="100"/>
  <c r="R20" i="100" s="1"/>
  <c r="S20" i="100" s="1"/>
  <c r="Q21" i="100"/>
  <c r="R21" i="100"/>
  <c r="S21" i="100"/>
  <c r="P26" i="100"/>
  <c r="P23" i="100"/>
  <c r="P21" i="100"/>
  <c r="P20" i="100"/>
  <c r="Q1024" i="97"/>
  <c r="R1024" i="97"/>
  <c r="S1024" i="97" s="1"/>
  <c r="Q1025" i="97"/>
  <c r="R1025" i="97"/>
  <c r="S1025" i="97" s="1"/>
  <c r="Q1026" i="97"/>
  <c r="R1026" i="97" s="1"/>
  <c r="S1026" i="97" s="1"/>
  <c r="Q1022" i="97"/>
  <c r="R1022" i="97" s="1"/>
  <c r="S1022" i="97" s="1"/>
  <c r="Q1019" i="97"/>
  <c r="R1019" i="97" s="1"/>
  <c r="S1019" i="97" s="1"/>
  <c r="Q989" i="97"/>
  <c r="R989" i="97"/>
  <c r="S989" i="97"/>
  <c r="Q990" i="97"/>
  <c r="R990" i="97"/>
  <c r="S990" i="97" s="1"/>
  <c r="Q991" i="97"/>
  <c r="R991" i="97" s="1"/>
  <c r="S991" i="97" s="1"/>
  <c r="Q987" i="97"/>
  <c r="R987" i="97"/>
  <c r="S987" i="97" s="1"/>
  <c r="Q984" i="97"/>
  <c r="R984" i="97" s="1"/>
  <c r="S984" i="97" s="1"/>
  <c r="Q954" i="97"/>
  <c r="R954" i="97" s="1"/>
  <c r="S954" i="97" s="1"/>
  <c r="Q955" i="97"/>
  <c r="R955" i="97"/>
  <c r="S955" i="97"/>
  <c r="Q956" i="97"/>
  <c r="R956" i="97" s="1"/>
  <c r="S956" i="97" s="1"/>
  <c r="Q952" i="97"/>
  <c r="R952" i="97"/>
  <c r="S952" i="97"/>
  <c r="Q949" i="97"/>
  <c r="R949" i="97" s="1"/>
  <c r="S949" i="97" s="1"/>
  <c r="P1026" i="97"/>
  <c r="P1025" i="97"/>
  <c r="P1024" i="97"/>
  <c r="P1022" i="97"/>
  <c r="P1019" i="97"/>
  <c r="P991" i="97"/>
  <c r="P990" i="97"/>
  <c r="P989" i="97"/>
  <c r="P987" i="97"/>
  <c r="P984" i="97"/>
  <c r="P955" i="97"/>
  <c r="P956" i="97"/>
  <c r="P954" i="97"/>
  <c r="P952" i="97"/>
  <c r="P949" i="97"/>
  <c r="Q925" i="97"/>
  <c r="R925" i="97"/>
  <c r="S925" i="97"/>
  <c r="Q926" i="97"/>
  <c r="R926" i="97"/>
  <c r="S926" i="97"/>
  <c r="Q927" i="97"/>
  <c r="R927" i="97" s="1"/>
  <c r="S927" i="97" s="1"/>
  <c r="Q928" i="97"/>
  <c r="R928" i="97"/>
  <c r="S928" i="97"/>
  <c r="P926" i="97"/>
  <c r="P927" i="97"/>
  <c r="P928" i="97"/>
  <c r="P925" i="97"/>
  <c r="Q911" i="97"/>
  <c r="R911" i="97" s="1"/>
  <c r="S911" i="97" s="1"/>
  <c r="Q912" i="97"/>
  <c r="R912" i="97"/>
  <c r="S912" i="97"/>
  <c r="Q913" i="97"/>
  <c r="R913" i="97" s="1"/>
  <c r="S913" i="97" s="1"/>
  <c r="Q914" i="97"/>
  <c r="R914" i="97"/>
  <c r="S914" i="97"/>
  <c r="Q915" i="97"/>
  <c r="R915" i="97"/>
  <c r="S915" i="97" s="1"/>
  <c r="Q916" i="97"/>
  <c r="R916" i="97"/>
  <c r="S916" i="97"/>
  <c r="Q917" i="97"/>
  <c r="R917" i="97"/>
  <c r="S917" i="97"/>
  <c r="Q918" i="97"/>
  <c r="R918" i="97"/>
  <c r="S918" i="97"/>
  <c r="Q919" i="97"/>
  <c r="R919" i="97"/>
  <c r="S919" i="97"/>
  <c r="P919" i="97"/>
  <c r="P912" i="97"/>
  <c r="P913" i="97"/>
  <c r="P914" i="97"/>
  <c r="P915" i="97"/>
  <c r="P916" i="97"/>
  <c r="P917" i="97"/>
  <c r="P918" i="97"/>
  <c r="P911" i="97"/>
  <c r="Q890" i="97"/>
  <c r="R890" i="97" s="1"/>
  <c r="S890" i="97" s="1"/>
  <c r="Q891" i="97"/>
  <c r="R891" i="97"/>
  <c r="S891" i="97" s="1"/>
  <c r="Q892" i="97"/>
  <c r="R892" i="97" s="1"/>
  <c r="S892" i="97" s="1"/>
  <c r="Q893" i="97"/>
  <c r="R893" i="97"/>
  <c r="S893" i="97"/>
  <c r="P891" i="97"/>
  <c r="P892" i="97"/>
  <c r="P893" i="97"/>
  <c r="P890" i="97"/>
  <c r="Q876" i="97"/>
  <c r="R876" i="97" s="1"/>
  <c r="S876" i="97" s="1"/>
  <c r="Q877" i="97"/>
  <c r="R877" i="97"/>
  <c r="S877" i="97" s="1"/>
  <c r="Q878" i="97"/>
  <c r="R878" i="97" s="1"/>
  <c r="S878" i="97" s="1"/>
  <c r="Q879" i="97"/>
  <c r="R879" i="97"/>
  <c r="S879" i="97"/>
  <c r="Q880" i="97"/>
  <c r="R880" i="97"/>
  <c r="S880" i="97" s="1"/>
  <c r="Q881" i="97"/>
  <c r="R881" i="97"/>
  <c r="S881" i="97"/>
  <c r="Q882" i="97"/>
  <c r="R882" i="97"/>
  <c r="S882" i="97"/>
  <c r="Q883" i="97"/>
  <c r="R883" i="97" s="1"/>
  <c r="S883" i="97" s="1"/>
  <c r="Q884" i="97"/>
  <c r="R884" i="97"/>
  <c r="S884" i="97"/>
  <c r="P877" i="97"/>
  <c r="P878" i="97"/>
  <c r="P879" i="97"/>
  <c r="P880" i="97"/>
  <c r="P881" i="97"/>
  <c r="P882" i="97"/>
  <c r="P883" i="97"/>
  <c r="P884" i="97"/>
  <c r="P876" i="97"/>
  <c r="Q855" i="97"/>
  <c r="R855" i="97" s="1"/>
  <c r="S855" i="97" s="1"/>
  <c r="Q856" i="97"/>
  <c r="R856" i="97"/>
  <c r="S856" i="97"/>
  <c r="Q857" i="97"/>
  <c r="R857" i="97" s="1"/>
  <c r="S857" i="97" s="1"/>
  <c r="Q858" i="97"/>
  <c r="R858" i="97"/>
  <c r="S858" i="97"/>
  <c r="P856" i="97"/>
  <c r="P857" i="97"/>
  <c r="P858" i="97"/>
  <c r="P855" i="97"/>
  <c r="Q841" i="97"/>
  <c r="R841" i="97" s="1"/>
  <c r="S841" i="97" s="1"/>
  <c r="Q842" i="97"/>
  <c r="R842" i="97"/>
  <c r="S842" i="97"/>
  <c r="Q843" i="97"/>
  <c r="R843" i="97" s="1"/>
  <c r="S843" i="97" s="1"/>
  <c r="Q844" i="97"/>
  <c r="R844" i="97"/>
  <c r="S844" i="97"/>
  <c r="Q845" i="97"/>
  <c r="R845" i="97"/>
  <c r="S845" i="97" s="1"/>
  <c r="Q846" i="97"/>
  <c r="R846" i="97"/>
  <c r="S846" i="97"/>
  <c r="Q847" i="97"/>
  <c r="R847" i="97"/>
  <c r="S847" i="97"/>
  <c r="Q848" i="97"/>
  <c r="R848" i="97"/>
  <c r="S848" i="97"/>
  <c r="Q849" i="97"/>
  <c r="R849" i="97"/>
  <c r="S849" i="97"/>
  <c r="P842" i="97"/>
  <c r="P843" i="97"/>
  <c r="P844" i="97"/>
  <c r="P845" i="97"/>
  <c r="P846" i="97"/>
  <c r="P847" i="97"/>
  <c r="P848" i="97"/>
  <c r="P849" i="97"/>
  <c r="P841" i="97"/>
  <c r="Q56" i="97"/>
  <c r="R56" i="97" s="1"/>
  <c r="S56" i="97" s="1"/>
  <c r="Q57" i="97"/>
  <c r="R57" i="97"/>
  <c r="S57" i="97"/>
  <c r="Q59" i="97"/>
  <c r="R59" i="97"/>
  <c r="S59" i="97" s="1"/>
  <c r="Q60" i="97"/>
  <c r="R60" i="97"/>
  <c r="S60" i="97"/>
  <c r="Q62" i="97"/>
  <c r="R62" i="97" s="1"/>
  <c r="S62" i="97" s="1"/>
  <c r="Q63" i="97"/>
  <c r="R63" i="97"/>
  <c r="S63" i="97" s="1"/>
  <c r="Q64" i="97"/>
  <c r="R64" i="97"/>
  <c r="S64" i="97"/>
  <c r="Q65" i="97"/>
  <c r="R65" i="97" s="1"/>
  <c r="S65" i="97" s="1"/>
  <c r="Q66" i="97"/>
  <c r="R66" i="97"/>
  <c r="S66" i="97"/>
  <c r="Q67" i="97"/>
  <c r="R67" i="97"/>
  <c r="S67" i="97" s="1"/>
  <c r="Q68" i="97"/>
  <c r="R68" i="97"/>
  <c r="S68" i="97"/>
  <c r="Q69" i="97"/>
  <c r="R69" i="97"/>
  <c r="S69" i="97"/>
  <c r="Q70" i="97"/>
  <c r="R70" i="97"/>
  <c r="S70" i="97"/>
  <c r="Q71" i="97"/>
  <c r="R71" i="97"/>
  <c r="S71" i="97"/>
  <c r="Q72" i="97"/>
  <c r="R72" i="97" s="1"/>
  <c r="S72" i="97" s="1"/>
  <c r="Q73" i="97"/>
  <c r="R73" i="97"/>
  <c r="S73" i="97"/>
  <c r="Q74" i="97"/>
  <c r="R74" i="97"/>
  <c r="S74" i="97" s="1"/>
  <c r="P64" i="97"/>
  <c r="P65" i="97"/>
  <c r="P66" i="97"/>
  <c r="P67" i="97"/>
  <c r="P68" i="97"/>
  <c r="P69" i="97"/>
  <c r="P70" i="97"/>
  <c r="P71" i="97"/>
  <c r="P72" i="97"/>
  <c r="P73" i="97"/>
  <c r="P74" i="97"/>
  <c r="P63" i="97"/>
  <c r="P62" i="97"/>
  <c r="P60" i="97"/>
  <c r="P59" i="97"/>
  <c r="P57" i="97"/>
  <c r="P56" i="97"/>
  <c r="Q19" i="97"/>
  <c r="R19" i="97"/>
  <c r="S19" i="97"/>
  <c r="Q20" i="97"/>
  <c r="R20" i="97"/>
  <c r="S20" i="97"/>
  <c r="Q21" i="97"/>
  <c r="R21" i="97" s="1"/>
  <c r="S21" i="97" s="1"/>
  <c r="Q22" i="97"/>
  <c r="R22" i="97"/>
  <c r="S22" i="97"/>
  <c r="Q23" i="97"/>
  <c r="R23" i="97"/>
  <c r="S23" i="97" s="1"/>
  <c r="Q24" i="97"/>
  <c r="R24" i="97"/>
  <c r="S24" i="97"/>
  <c r="Q25" i="97"/>
  <c r="R25" i="97"/>
  <c r="S25" i="97"/>
  <c r="Q26" i="97"/>
  <c r="R26" i="97"/>
  <c r="S26" i="97"/>
  <c r="Q27" i="97"/>
  <c r="R27" i="97"/>
  <c r="S27" i="97"/>
  <c r="Q28" i="97"/>
  <c r="R28" i="97" s="1"/>
  <c r="S28" i="97" s="1"/>
  <c r="Q29" i="97"/>
  <c r="R29" i="97"/>
  <c r="S29" i="97"/>
  <c r="Q30" i="97"/>
  <c r="R30" i="97"/>
  <c r="S30" i="97" s="1"/>
  <c r="Q31" i="97"/>
  <c r="R31" i="97"/>
  <c r="S31" i="97"/>
  <c r="Q32" i="97"/>
  <c r="R32" i="97"/>
  <c r="S32" i="97"/>
  <c r="Q33" i="97"/>
  <c r="R33" i="97"/>
  <c r="S33" i="97"/>
  <c r="Q34" i="97"/>
  <c r="R34" i="97"/>
  <c r="S34" i="97"/>
  <c r="Q35" i="97"/>
  <c r="R35" i="97" s="1"/>
  <c r="S35" i="97" s="1"/>
  <c r="Q36" i="97"/>
  <c r="R36" i="97"/>
  <c r="S36" i="97"/>
  <c r="Q37" i="97"/>
  <c r="R37" i="97"/>
  <c r="S37" i="97" s="1"/>
  <c r="P37" i="97"/>
  <c r="P36" i="97"/>
  <c r="P35" i="97"/>
  <c r="P34" i="97"/>
  <c r="P33" i="97"/>
  <c r="P32" i="97"/>
  <c r="P31" i="97"/>
  <c r="P30" i="97"/>
  <c r="P29" i="97"/>
  <c r="P28" i="97"/>
  <c r="P27" i="97"/>
  <c r="P26" i="97"/>
  <c r="P25" i="97"/>
  <c r="P24" i="97"/>
  <c r="P23" i="97"/>
  <c r="P22" i="97"/>
  <c r="P21" i="97"/>
  <c r="P20" i="97"/>
  <c r="P19" i="97"/>
  <c r="G89" i="85" l="1"/>
  <c r="G88" i="85"/>
  <c r="G87" i="85"/>
  <c r="G86" i="85"/>
  <c r="G85" i="85"/>
  <c r="G84" i="85"/>
  <c r="G83" i="85"/>
  <c r="G76" i="85"/>
  <c r="G75" i="85"/>
  <c r="G74" i="85"/>
  <c r="G73" i="85"/>
  <c r="G72" i="85"/>
  <c r="G71" i="85"/>
  <c r="G70" i="85"/>
  <c r="G69" i="85"/>
  <c r="G68" i="85"/>
  <c r="G67" i="85"/>
  <c r="G66" i="85"/>
  <c r="G65" i="85"/>
  <c r="G64" i="85"/>
  <c r="G63" i="85"/>
  <c r="G62" i="85"/>
  <c r="G61" i="85"/>
  <c r="G60" i="85"/>
  <c r="G59" i="85"/>
  <c r="G58" i="85"/>
  <c r="G57" i="85"/>
  <c r="G56" i="85"/>
  <c r="G55" i="85"/>
  <c r="G54" i="85"/>
  <c r="G53" i="85"/>
  <c r="G52" i="85"/>
  <c r="G51" i="85"/>
  <c r="G50" i="85"/>
  <c r="G49" i="85"/>
  <c r="G48" i="85"/>
  <c r="G47" i="85"/>
  <c r="G46" i="85"/>
  <c r="G45" i="85"/>
  <c r="G44" i="85"/>
  <c r="G43" i="85"/>
  <c r="G42" i="85"/>
  <c r="G41" i="85"/>
  <c r="G40" i="85"/>
  <c r="G39" i="85"/>
  <c r="G38" i="85"/>
  <c r="G37" i="85"/>
  <c r="G36" i="85"/>
  <c r="G35" i="85"/>
  <c r="G34" i="85"/>
  <c r="G33" i="85"/>
  <c r="G32" i="85"/>
  <c r="G31" i="85"/>
  <c r="G30" i="85"/>
  <c r="G29" i="85"/>
  <c r="G28" i="85"/>
  <c r="G27" i="85"/>
  <c r="G26" i="85"/>
  <c r="G25" i="85"/>
  <c r="G24" i="85"/>
  <c r="G23" i="85"/>
  <c r="G22" i="85"/>
  <c r="G21" i="85"/>
  <c r="G20" i="85"/>
  <c r="G19" i="85"/>
  <c r="G18" i="85"/>
  <c r="G17" i="85"/>
  <c r="G16" i="85"/>
  <c r="M70" i="98" l="1"/>
  <c r="N70" i="98"/>
  <c r="O70" i="98"/>
  <c r="U129" i="81" l="1"/>
  <c r="T129" i="81"/>
  <c r="E194" i="106" l="1"/>
  <c r="E159" i="106"/>
  <c r="E124" i="106"/>
  <c r="E87" i="106"/>
  <c r="E52" i="106"/>
  <c r="E17" i="106"/>
  <c r="B12" i="27" l="1"/>
  <c r="H15" i="55" l="1"/>
  <c r="H13" i="55" l="1"/>
  <c r="D12" i="27" s="1"/>
  <c r="S192" i="100" l="1"/>
  <c r="R192" i="100"/>
  <c r="Q192" i="100"/>
  <c r="P192" i="100"/>
  <c r="O192" i="100"/>
  <c r="H192" i="100" l="1"/>
  <c r="AP496" i="53" l="1"/>
  <c r="AO496" i="53"/>
  <c r="AN496" i="53"/>
  <c r="AM496" i="53"/>
  <c r="AL496" i="53"/>
  <c r="AK496" i="53"/>
  <c r="AJ496" i="53"/>
  <c r="AI496" i="53"/>
  <c r="AH496" i="53"/>
  <c r="AG496" i="53"/>
  <c r="AF496" i="53"/>
  <c r="AE496" i="53"/>
  <c r="AD496" i="53"/>
  <c r="AC496" i="53"/>
  <c r="AB496" i="53"/>
  <c r="AA496" i="53"/>
  <c r="Z496" i="53"/>
  <c r="Y496" i="53"/>
  <c r="X496" i="53"/>
  <c r="W496" i="53"/>
  <c r="V496" i="53"/>
  <c r="U496" i="53"/>
  <c r="R496" i="53"/>
  <c r="Q496" i="53"/>
  <c r="P496" i="53"/>
  <c r="AP495" i="53"/>
  <c r="AO495" i="53"/>
  <c r="AN495" i="53"/>
  <c r="AM495" i="53"/>
  <c r="AL495" i="53"/>
  <c r="AK495" i="53"/>
  <c r="AJ495" i="53"/>
  <c r="AI495" i="53"/>
  <c r="AH495" i="53"/>
  <c r="AG495" i="53"/>
  <c r="AF495" i="53"/>
  <c r="AE495" i="53"/>
  <c r="AD495" i="53"/>
  <c r="AC495" i="53"/>
  <c r="AB495" i="53"/>
  <c r="AA495" i="53"/>
  <c r="Z495" i="53"/>
  <c r="Y495" i="53"/>
  <c r="X495" i="53"/>
  <c r="W495" i="53"/>
  <c r="V495" i="53"/>
  <c r="U495" i="53"/>
  <c r="R495" i="53"/>
  <c r="Q495" i="53"/>
  <c r="P495" i="53"/>
  <c r="AP494" i="53"/>
  <c r="AO494" i="53"/>
  <c r="AN494" i="53"/>
  <c r="AM494" i="53"/>
  <c r="AL494" i="53"/>
  <c r="AK494" i="53"/>
  <c r="AJ494" i="53"/>
  <c r="AI494" i="53"/>
  <c r="AH494" i="53"/>
  <c r="AG494" i="53"/>
  <c r="AF494" i="53"/>
  <c r="AE494" i="53"/>
  <c r="AD494" i="53"/>
  <c r="AC494" i="53"/>
  <c r="AB494" i="53"/>
  <c r="AA494" i="53"/>
  <c r="Z494" i="53"/>
  <c r="Y494" i="53"/>
  <c r="X494" i="53"/>
  <c r="W494" i="53"/>
  <c r="V494" i="53"/>
  <c r="U494" i="53"/>
  <c r="R494" i="53"/>
  <c r="Q494" i="53"/>
  <c r="P494" i="53"/>
  <c r="AP493" i="53"/>
  <c r="AO493" i="53"/>
  <c r="AN493" i="53"/>
  <c r="AM493" i="53"/>
  <c r="AL493" i="53"/>
  <c r="AK493" i="53"/>
  <c r="AJ493" i="53"/>
  <c r="AI493" i="53"/>
  <c r="AH493" i="53"/>
  <c r="AG493" i="53"/>
  <c r="AF493" i="53"/>
  <c r="AE493" i="53"/>
  <c r="AD493" i="53"/>
  <c r="AC493" i="53"/>
  <c r="AB493" i="53"/>
  <c r="AA493" i="53"/>
  <c r="Z493" i="53"/>
  <c r="Y493" i="53"/>
  <c r="X493" i="53"/>
  <c r="W493" i="53"/>
  <c r="V493" i="53"/>
  <c r="U493" i="53"/>
  <c r="R493" i="53"/>
  <c r="Q493" i="53"/>
  <c r="P493" i="53"/>
  <c r="AP492" i="53"/>
  <c r="AO492" i="53"/>
  <c r="AN492" i="53"/>
  <c r="AM492" i="53"/>
  <c r="AL492" i="53"/>
  <c r="AK492" i="53"/>
  <c r="AJ492" i="53"/>
  <c r="AI492" i="53"/>
  <c r="AH492" i="53"/>
  <c r="AG492" i="53"/>
  <c r="AF492" i="53"/>
  <c r="AE492" i="53"/>
  <c r="AD492" i="53"/>
  <c r="AC492" i="53"/>
  <c r="AB492" i="53"/>
  <c r="AA492" i="53"/>
  <c r="Z492" i="53"/>
  <c r="Y492" i="53"/>
  <c r="X492" i="53"/>
  <c r="W492" i="53"/>
  <c r="V492" i="53"/>
  <c r="U492" i="53"/>
  <c r="R492" i="53"/>
  <c r="Q492" i="53"/>
  <c r="P492" i="53"/>
  <c r="AP491" i="53"/>
  <c r="AO491" i="53"/>
  <c r="AN491" i="53"/>
  <c r="AM491" i="53"/>
  <c r="AL491" i="53"/>
  <c r="AK491" i="53"/>
  <c r="AJ491" i="53"/>
  <c r="AI491" i="53"/>
  <c r="AH491" i="53"/>
  <c r="AG491" i="53"/>
  <c r="AF491" i="53"/>
  <c r="AE491" i="53"/>
  <c r="AD491" i="53"/>
  <c r="AC491" i="53"/>
  <c r="AB491" i="53"/>
  <c r="AA491" i="53"/>
  <c r="Z491" i="53"/>
  <c r="Y491" i="53"/>
  <c r="X491" i="53"/>
  <c r="W491" i="53"/>
  <c r="V491" i="53"/>
  <c r="U491" i="53"/>
  <c r="R491" i="53"/>
  <c r="Q491" i="53"/>
  <c r="P491" i="53"/>
  <c r="AP490" i="53"/>
  <c r="AO490" i="53"/>
  <c r="AN490" i="53"/>
  <c r="AM490" i="53"/>
  <c r="AL490" i="53"/>
  <c r="AK490" i="53"/>
  <c r="AJ490" i="53"/>
  <c r="AI490" i="53"/>
  <c r="AH490" i="53"/>
  <c r="AG490" i="53"/>
  <c r="AF490" i="53"/>
  <c r="AE490" i="53"/>
  <c r="AD490" i="53"/>
  <c r="AC490" i="53"/>
  <c r="AB490" i="53"/>
  <c r="AA490" i="53"/>
  <c r="Z490" i="53"/>
  <c r="Y490" i="53"/>
  <c r="X490" i="53"/>
  <c r="W490" i="53"/>
  <c r="V490" i="53"/>
  <c r="U490" i="53"/>
  <c r="R490" i="53"/>
  <c r="Q490" i="53"/>
  <c r="P490" i="53"/>
  <c r="AP489" i="53"/>
  <c r="AO489" i="53"/>
  <c r="AN489" i="53"/>
  <c r="AM489" i="53"/>
  <c r="AL489" i="53"/>
  <c r="AK489" i="53"/>
  <c r="AJ489" i="53"/>
  <c r="AI489" i="53"/>
  <c r="AH489" i="53"/>
  <c r="AG489" i="53"/>
  <c r="AF489" i="53"/>
  <c r="AE489" i="53"/>
  <c r="AD489" i="53"/>
  <c r="AC489" i="53"/>
  <c r="AB489" i="53"/>
  <c r="AA489" i="53"/>
  <c r="Z489" i="53"/>
  <c r="Y489" i="53"/>
  <c r="X489" i="53"/>
  <c r="W489" i="53"/>
  <c r="V489" i="53"/>
  <c r="U489" i="53"/>
  <c r="R489" i="53"/>
  <c r="Q489" i="53"/>
  <c r="P489" i="53"/>
  <c r="AP488" i="53"/>
  <c r="AO488" i="53"/>
  <c r="AN488" i="53"/>
  <c r="AM488" i="53"/>
  <c r="AL488" i="53"/>
  <c r="AK488" i="53"/>
  <c r="AJ488" i="53"/>
  <c r="AI488" i="53"/>
  <c r="AH488" i="53"/>
  <c r="AG488" i="53"/>
  <c r="AF488" i="53"/>
  <c r="AE488" i="53"/>
  <c r="AD488" i="53"/>
  <c r="AC488" i="53"/>
  <c r="AB488" i="53"/>
  <c r="AA488" i="53"/>
  <c r="Z488" i="53"/>
  <c r="Y488" i="53"/>
  <c r="X488" i="53"/>
  <c r="W488" i="53"/>
  <c r="V488" i="53"/>
  <c r="U488" i="53"/>
  <c r="R488" i="53"/>
  <c r="Q488" i="53"/>
  <c r="P488" i="53"/>
  <c r="AP363" i="53"/>
  <c r="AO363" i="53"/>
  <c r="AN363" i="53"/>
  <c r="AM363" i="53"/>
  <c r="AL363" i="53"/>
  <c r="AK363" i="53"/>
  <c r="AJ363" i="53"/>
  <c r="AI363" i="53"/>
  <c r="AH363" i="53"/>
  <c r="AG363" i="53"/>
  <c r="AF363" i="53"/>
  <c r="AE363" i="53"/>
  <c r="AD363" i="53"/>
  <c r="AC363" i="53"/>
  <c r="AB363" i="53"/>
  <c r="AA363" i="53"/>
  <c r="Z363" i="53"/>
  <c r="Y363" i="53"/>
  <c r="X363" i="53"/>
  <c r="W363" i="53"/>
  <c r="V363" i="53"/>
  <c r="U363" i="53"/>
  <c r="T363" i="53"/>
  <c r="S363" i="53"/>
  <c r="R363" i="53"/>
  <c r="Q363" i="53"/>
  <c r="P363" i="53"/>
  <c r="O363" i="53"/>
  <c r="N363" i="53"/>
  <c r="M363" i="53"/>
  <c r="L363" i="53"/>
  <c r="K363" i="53"/>
  <c r="AP362" i="53"/>
  <c r="AO362" i="53"/>
  <c r="AN362" i="53"/>
  <c r="AM362" i="53"/>
  <c r="AL362" i="53"/>
  <c r="AK362" i="53"/>
  <c r="AJ362" i="53"/>
  <c r="AI362" i="53"/>
  <c r="AH362" i="53"/>
  <c r="AG362" i="53"/>
  <c r="AF362" i="53"/>
  <c r="AE362" i="53"/>
  <c r="AD362" i="53"/>
  <c r="AC362" i="53"/>
  <c r="AB362" i="53"/>
  <c r="AA362" i="53"/>
  <c r="Z362" i="53"/>
  <c r="Y362" i="53"/>
  <c r="X362" i="53"/>
  <c r="W362" i="53"/>
  <c r="V362" i="53"/>
  <c r="U362" i="53"/>
  <c r="T362" i="53"/>
  <c r="S362" i="53"/>
  <c r="R362" i="53"/>
  <c r="Q362" i="53"/>
  <c r="P362" i="53"/>
  <c r="O362" i="53"/>
  <c r="N362" i="53"/>
  <c r="M362" i="53"/>
  <c r="L362" i="53"/>
  <c r="K362" i="53"/>
  <c r="J363" i="53"/>
  <c r="J362" i="53"/>
  <c r="A2" i="111" l="1"/>
  <c r="A1" i="111"/>
  <c r="L47" i="98" l="1"/>
  <c r="L48" i="98" s="1"/>
  <c r="L57" i="98"/>
  <c r="L70" i="98"/>
  <c r="L73" i="98" l="1"/>
  <c r="F34" i="55"/>
  <c r="L87" i="98" l="1"/>
  <c r="L80" i="98"/>
  <c r="R209" i="100" l="1"/>
  <c r="O210" i="100"/>
  <c r="O209" i="100"/>
  <c r="P210" i="100"/>
  <c r="S209" i="100"/>
  <c r="Q213" i="100"/>
  <c r="Q209" i="100"/>
  <c r="S213" i="100"/>
  <c r="P213" i="100"/>
  <c r="P209" i="100"/>
  <c r="Q210" i="100"/>
  <c r="R213" i="100"/>
  <c r="O213" i="100"/>
  <c r="M119" i="98"/>
  <c r="M120" i="98"/>
  <c r="Q120" i="98"/>
  <c r="Q119" i="98"/>
  <c r="N119" i="98"/>
  <c r="N120" i="98"/>
  <c r="R119" i="98"/>
  <c r="R120" i="98"/>
  <c r="O120" i="98"/>
  <c r="O119" i="98"/>
  <c r="S120" i="98"/>
  <c r="S119" i="98"/>
  <c r="P120" i="98"/>
  <c r="P119" i="98"/>
  <c r="P80" i="98"/>
  <c r="O47" i="98"/>
  <c r="O48" i="98" s="1"/>
  <c r="O57" i="98"/>
  <c r="S57" i="98"/>
  <c r="O80" i="98"/>
  <c r="S80" i="98"/>
  <c r="N87" i="98"/>
  <c r="N47" i="98"/>
  <c r="N48" i="98" s="1"/>
  <c r="R47" i="98"/>
  <c r="S47" i="98"/>
  <c r="S48" i="98" s="1"/>
  <c r="S70" i="98" s="1"/>
  <c r="P47" i="98"/>
  <c r="M47" i="98"/>
  <c r="M48" i="98" s="1"/>
  <c r="Q47" i="98"/>
  <c r="M57" i="98"/>
  <c r="Q57" i="98"/>
  <c r="M80" i="98"/>
  <c r="Q80" i="98"/>
  <c r="O87" i="98"/>
  <c r="N57" i="98"/>
  <c r="R57" i="98"/>
  <c r="P57" i="98"/>
  <c r="N80" i="98"/>
  <c r="R80" i="98"/>
  <c r="M87" i="98"/>
  <c r="R48" i="98" l="1"/>
  <c r="R70" i="98"/>
  <c r="R73" i="98" s="1"/>
  <c r="R91" i="98" s="1"/>
  <c r="Q48" i="98"/>
  <c r="Q70" i="98"/>
  <c r="Q73" i="98" s="1"/>
  <c r="Q91" i="98" s="1"/>
  <c r="P48" i="98"/>
  <c r="P70" i="98"/>
  <c r="P73" i="98" s="1"/>
  <c r="H209" i="100"/>
  <c r="H213" i="100"/>
  <c r="L81" i="98"/>
  <c r="L88" i="98" s="1"/>
  <c r="L92" i="98"/>
  <c r="S73" i="98"/>
  <c r="N73" i="98"/>
  <c r="O73" i="98"/>
  <c r="M73" i="98"/>
  <c r="R210" i="100"/>
  <c r="O91" i="98" l="1"/>
  <c r="O92" i="98" s="1"/>
  <c r="P91" i="98"/>
  <c r="P92" i="98" s="1"/>
  <c r="P83" i="98"/>
  <c r="R94" i="98"/>
  <c r="P94" i="98"/>
  <c r="Q94" i="98"/>
  <c r="S91" i="98"/>
  <c r="S92" i="98" s="1"/>
  <c r="M93" i="98"/>
  <c r="S81" i="98"/>
  <c r="Q81" i="98"/>
  <c r="R93" i="98"/>
  <c r="P81" i="98"/>
  <c r="Q93" i="98"/>
  <c r="M81" i="98"/>
  <c r="M88" i="98" s="1"/>
  <c r="N93" i="98"/>
  <c r="O81" i="98"/>
  <c r="O88" i="98" s="1"/>
  <c r="P93" i="98"/>
  <c r="R81" i="98"/>
  <c r="S93" i="98"/>
  <c r="N81" i="98"/>
  <c r="N88" i="98" s="1"/>
  <c r="O94" i="98" s="1"/>
  <c r="O93" i="98"/>
  <c r="Q92" i="98"/>
  <c r="R92" i="98"/>
  <c r="S210" i="100"/>
  <c r="H210" i="100" s="1"/>
  <c r="H11" i="89"/>
  <c r="H11" i="86"/>
  <c r="H11" i="87"/>
  <c r="Q83" i="98" l="1"/>
  <c r="P87" i="98"/>
  <c r="P88" i="98" s="1"/>
  <c r="P89" i="98" s="1"/>
  <c r="S94" i="98"/>
  <c r="N94" i="98"/>
  <c r="M94" i="98"/>
  <c r="M92" i="98"/>
  <c r="N92" i="98"/>
  <c r="O89" i="98"/>
  <c r="R83" i="98" l="1"/>
  <c r="Q87" i="98"/>
  <c r="Q88" i="98" s="1"/>
  <c r="Q89" i="98" s="1"/>
  <c r="F36" i="55"/>
  <c r="F35" i="55"/>
  <c r="S204" i="100"/>
  <c r="R204" i="100"/>
  <c r="Q204" i="100"/>
  <c r="P204" i="100"/>
  <c r="O204" i="100"/>
  <c r="S203" i="100"/>
  <c r="R203" i="100"/>
  <c r="Q203" i="100"/>
  <c r="P203" i="100"/>
  <c r="O203" i="100"/>
  <c r="S202" i="100"/>
  <c r="R202" i="100"/>
  <c r="Q202" i="100"/>
  <c r="P202" i="100"/>
  <c r="O202" i="100"/>
  <c r="S200" i="100"/>
  <c r="R200" i="100"/>
  <c r="Q200" i="100"/>
  <c r="P200" i="100"/>
  <c r="O200" i="100"/>
  <c r="S199" i="100"/>
  <c r="R199" i="100"/>
  <c r="Q199" i="100"/>
  <c r="P199" i="100"/>
  <c r="O199" i="100"/>
  <c r="S196" i="100"/>
  <c r="R196" i="100"/>
  <c r="Q196" i="100"/>
  <c r="P196" i="100"/>
  <c r="O196" i="100"/>
  <c r="S1382" i="97"/>
  <c r="R1382" i="97"/>
  <c r="Q1382" i="97"/>
  <c r="P1382" i="97"/>
  <c r="O1382" i="97"/>
  <c r="S1381" i="97"/>
  <c r="R1381" i="97"/>
  <c r="Q1381" i="97"/>
  <c r="P1381" i="97"/>
  <c r="O1381" i="97"/>
  <c r="S1378" i="97"/>
  <c r="R1378" i="97"/>
  <c r="Q1378" i="97"/>
  <c r="P1378" i="97"/>
  <c r="O1378" i="97"/>
  <c r="S1377" i="97"/>
  <c r="R1377" i="97"/>
  <c r="Q1377" i="97"/>
  <c r="P1377" i="97"/>
  <c r="O1377" i="97"/>
  <c r="S1374" i="97"/>
  <c r="R1374" i="97"/>
  <c r="Q1374" i="97"/>
  <c r="P1374" i="97"/>
  <c r="O1374" i="97"/>
  <c r="S1373" i="97"/>
  <c r="R1373" i="97"/>
  <c r="Q1373" i="97"/>
  <c r="P1373" i="97"/>
  <c r="O1373" i="97"/>
  <c r="S1368" i="97"/>
  <c r="R1368" i="97"/>
  <c r="Q1368" i="97"/>
  <c r="P1368" i="97"/>
  <c r="O1368" i="97"/>
  <c r="S1363" i="97"/>
  <c r="R1363" i="97"/>
  <c r="Q1363" i="97"/>
  <c r="P1363" i="97"/>
  <c r="O1363" i="97"/>
  <c r="S1362" i="97"/>
  <c r="R1362" i="97"/>
  <c r="Q1362" i="97"/>
  <c r="P1362" i="97"/>
  <c r="O1362" i="97"/>
  <c r="S1361" i="97"/>
  <c r="R1361" i="97"/>
  <c r="Q1361" i="97"/>
  <c r="P1361" i="97"/>
  <c r="O1361" i="97"/>
  <c r="S1360" i="97"/>
  <c r="R1360" i="97"/>
  <c r="Q1360" i="97"/>
  <c r="P1360" i="97"/>
  <c r="O1360" i="97"/>
  <c r="S1359" i="97"/>
  <c r="R1359" i="97"/>
  <c r="Q1359" i="97"/>
  <c r="P1359" i="97"/>
  <c r="O1359" i="97"/>
  <c r="S1348" i="97"/>
  <c r="R1348" i="97"/>
  <c r="Q1348" i="97"/>
  <c r="P1348" i="97"/>
  <c r="O1348" i="97"/>
  <c r="S1347" i="97"/>
  <c r="R1347" i="97"/>
  <c r="Q1347" i="97"/>
  <c r="P1347" i="97"/>
  <c r="O1347" i="97"/>
  <c r="S1344" i="97"/>
  <c r="R1344" i="97"/>
  <c r="Q1344" i="97"/>
  <c r="P1344" i="97"/>
  <c r="O1344" i="97"/>
  <c r="S1343" i="97"/>
  <c r="R1343" i="97"/>
  <c r="Q1343" i="97"/>
  <c r="P1343" i="97"/>
  <c r="O1343" i="97"/>
  <c r="S1340" i="97"/>
  <c r="R1340" i="97"/>
  <c r="Q1340" i="97"/>
  <c r="P1340" i="97"/>
  <c r="O1340" i="97"/>
  <c r="S1339" i="97"/>
  <c r="R1339" i="97"/>
  <c r="Q1339" i="97"/>
  <c r="P1339" i="97"/>
  <c r="O1339" i="97"/>
  <c r="S1334" i="97"/>
  <c r="R1334" i="97"/>
  <c r="Q1334" i="97"/>
  <c r="P1334" i="97"/>
  <c r="O1334" i="97"/>
  <c r="S1329" i="97"/>
  <c r="R1329" i="97"/>
  <c r="Q1329" i="97"/>
  <c r="P1329" i="97"/>
  <c r="O1329" i="97"/>
  <c r="S1328" i="97"/>
  <c r="R1328" i="97"/>
  <c r="Q1328" i="97"/>
  <c r="P1328" i="97"/>
  <c r="O1328" i="97"/>
  <c r="S1327" i="97"/>
  <c r="R1327" i="97"/>
  <c r="Q1327" i="97"/>
  <c r="P1327" i="97"/>
  <c r="O1327" i="97"/>
  <c r="S1326" i="97"/>
  <c r="R1326" i="97"/>
  <c r="Q1326" i="97"/>
  <c r="P1326" i="97"/>
  <c r="O1326" i="97"/>
  <c r="S1325" i="97"/>
  <c r="R1325" i="97"/>
  <c r="Q1325" i="97"/>
  <c r="P1325" i="97"/>
  <c r="O1325" i="97"/>
  <c r="S1324" i="97"/>
  <c r="R1324" i="97"/>
  <c r="Q1324" i="97"/>
  <c r="P1324" i="97"/>
  <c r="O1324" i="97"/>
  <c r="S1323" i="97"/>
  <c r="R1323" i="97"/>
  <c r="Q1323" i="97"/>
  <c r="P1323" i="97"/>
  <c r="O1323" i="97"/>
  <c r="S1322" i="97"/>
  <c r="R1322" i="97"/>
  <c r="Q1322" i="97"/>
  <c r="P1322" i="97"/>
  <c r="O1322" i="97"/>
  <c r="S1320" i="97"/>
  <c r="R1320" i="97"/>
  <c r="Q1320" i="97"/>
  <c r="P1320" i="97"/>
  <c r="O1320" i="97"/>
  <c r="S1317" i="97"/>
  <c r="R1317" i="97"/>
  <c r="Q1317" i="97"/>
  <c r="P1317" i="97"/>
  <c r="O1317" i="97"/>
  <c r="S1314" i="97"/>
  <c r="R1314" i="97"/>
  <c r="Q1314" i="97"/>
  <c r="P1314" i="97"/>
  <c r="O1314" i="97"/>
  <c r="S1313" i="97"/>
  <c r="R1313" i="97"/>
  <c r="Q1313" i="97"/>
  <c r="P1313" i="97"/>
  <c r="O1313" i="97"/>
  <c r="S1310" i="97"/>
  <c r="R1310" i="97"/>
  <c r="Q1310" i="97"/>
  <c r="P1310" i="97"/>
  <c r="O1310" i="97"/>
  <c r="S1309" i="97"/>
  <c r="R1309" i="97"/>
  <c r="Q1309" i="97"/>
  <c r="P1309" i="97"/>
  <c r="O1309" i="97"/>
  <c r="S1306" i="97"/>
  <c r="R1306" i="97"/>
  <c r="Q1306" i="97"/>
  <c r="P1306" i="97"/>
  <c r="O1306" i="97"/>
  <c r="S1305" i="97"/>
  <c r="R1305" i="97"/>
  <c r="Q1305" i="97"/>
  <c r="P1305" i="97"/>
  <c r="O1305" i="97"/>
  <c r="S1300" i="97"/>
  <c r="R1300" i="97"/>
  <c r="Q1300" i="97"/>
  <c r="P1300" i="97"/>
  <c r="O1300" i="97"/>
  <c r="S1299" i="97"/>
  <c r="R1299" i="97"/>
  <c r="Q1299" i="97"/>
  <c r="P1299" i="97"/>
  <c r="O1299" i="97"/>
  <c r="S1298" i="97"/>
  <c r="R1298" i="97"/>
  <c r="Q1298" i="97"/>
  <c r="P1298" i="97"/>
  <c r="O1298" i="97"/>
  <c r="S1297" i="97"/>
  <c r="R1297" i="97"/>
  <c r="Q1297" i="97"/>
  <c r="P1297" i="97"/>
  <c r="O1297" i="97"/>
  <c r="S1296" i="97"/>
  <c r="R1296" i="97"/>
  <c r="Q1296" i="97"/>
  <c r="P1296" i="97"/>
  <c r="O1296" i="97"/>
  <c r="S1295" i="97"/>
  <c r="R1295" i="97"/>
  <c r="Q1295" i="97"/>
  <c r="P1295" i="97"/>
  <c r="O1295" i="97"/>
  <c r="S1294" i="97"/>
  <c r="R1294" i="97"/>
  <c r="Q1294" i="97"/>
  <c r="P1294" i="97"/>
  <c r="O1294" i="97"/>
  <c r="S1293" i="97"/>
  <c r="R1293" i="97"/>
  <c r="Q1293" i="97"/>
  <c r="P1293" i="97"/>
  <c r="O1293" i="97"/>
  <c r="S1292" i="97"/>
  <c r="R1292" i="97"/>
  <c r="Q1292" i="97"/>
  <c r="P1292" i="97"/>
  <c r="O1292" i="97"/>
  <c r="S1291" i="97"/>
  <c r="R1291" i="97"/>
  <c r="Q1291" i="97"/>
  <c r="P1291" i="97"/>
  <c r="O1291" i="97"/>
  <c r="S1290" i="97"/>
  <c r="R1290" i="97"/>
  <c r="Q1290" i="97"/>
  <c r="P1290" i="97"/>
  <c r="O1290" i="97"/>
  <c r="S1289" i="97"/>
  <c r="R1289" i="97"/>
  <c r="Q1289" i="97"/>
  <c r="P1289" i="97"/>
  <c r="O1289" i="97"/>
  <c r="S1288" i="97"/>
  <c r="R1288" i="97"/>
  <c r="Q1288" i="97"/>
  <c r="P1288" i="97"/>
  <c r="O1288" i="97"/>
  <c r="S1287" i="97"/>
  <c r="R1287" i="97"/>
  <c r="Q1287" i="97"/>
  <c r="P1287" i="97"/>
  <c r="O1287" i="97"/>
  <c r="S1286" i="97"/>
  <c r="R1286" i="97"/>
  <c r="Q1286" i="97"/>
  <c r="P1286" i="97"/>
  <c r="O1286" i="97"/>
  <c r="S1285" i="97"/>
  <c r="R1285" i="97"/>
  <c r="Q1285" i="97"/>
  <c r="P1285" i="97"/>
  <c r="O1285" i="97"/>
  <c r="S1284" i="97"/>
  <c r="R1284" i="97"/>
  <c r="Q1284" i="97"/>
  <c r="P1284" i="97"/>
  <c r="O1284" i="97"/>
  <c r="S1283" i="97"/>
  <c r="R1283" i="97"/>
  <c r="Q1283" i="97"/>
  <c r="P1283" i="97"/>
  <c r="O1283" i="97"/>
  <c r="S1282" i="97"/>
  <c r="R1282" i="97"/>
  <c r="Q1282" i="97"/>
  <c r="P1282" i="97"/>
  <c r="O1282" i="97"/>
  <c r="S83" i="98" l="1"/>
  <c r="S87" i="98" s="1"/>
  <c r="S88" i="98" s="1"/>
  <c r="S89" i="98" s="1"/>
  <c r="R87" i="98"/>
  <c r="R88" i="98" s="1"/>
  <c r="R89" i="98" s="1"/>
  <c r="C14" i="111"/>
  <c r="G174" i="85" s="1"/>
  <c r="H204" i="100"/>
  <c r="AP172" i="90"/>
  <c r="AO172" i="90"/>
  <c r="AN172" i="90"/>
  <c r="AM172" i="90"/>
  <c r="AL172" i="90"/>
  <c r="AK172" i="90"/>
  <c r="AJ172" i="90"/>
  <c r="AI172" i="90"/>
  <c r="AH172" i="90"/>
  <c r="AG172" i="90"/>
  <c r="AF172" i="90"/>
  <c r="AE172" i="90"/>
  <c r="AD172" i="90"/>
  <c r="AC172" i="90"/>
  <c r="AB172" i="90"/>
  <c r="AA172" i="90"/>
  <c r="Z172" i="90"/>
  <c r="Y172" i="90"/>
  <c r="X172" i="90"/>
  <c r="W172" i="90"/>
  <c r="V172" i="90"/>
  <c r="U172" i="90"/>
  <c r="T172" i="90"/>
  <c r="S172" i="90"/>
  <c r="R172" i="90"/>
  <c r="Q172" i="90"/>
  <c r="P172" i="90"/>
  <c r="O172" i="90"/>
  <c r="N172" i="90"/>
  <c r="M172" i="90"/>
  <c r="L172" i="90"/>
  <c r="K172" i="90"/>
  <c r="J172" i="90"/>
  <c r="AP171" i="90"/>
  <c r="AO171" i="90"/>
  <c r="AN171" i="90"/>
  <c r="AM171" i="90"/>
  <c r="AL171" i="90"/>
  <c r="AK171" i="90"/>
  <c r="AJ171" i="90"/>
  <c r="AI171" i="90"/>
  <c r="AH171" i="90"/>
  <c r="AG171" i="90"/>
  <c r="AF171" i="90"/>
  <c r="AE171" i="90"/>
  <c r="AD171" i="90"/>
  <c r="AC171" i="90"/>
  <c r="AB171" i="90"/>
  <c r="AA171" i="90"/>
  <c r="Z171" i="90"/>
  <c r="Y171" i="90"/>
  <c r="X171" i="90"/>
  <c r="W171" i="90"/>
  <c r="V171" i="90"/>
  <c r="U171" i="90"/>
  <c r="T171" i="90"/>
  <c r="S171" i="90"/>
  <c r="R171" i="90"/>
  <c r="Q171" i="90"/>
  <c r="P171" i="90"/>
  <c r="O171" i="90"/>
  <c r="N171" i="90"/>
  <c r="M171" i="90"/>
  <c r="L171" i="90"/>
  <c r="K171" i="90"/>
  <c r="J171" i="90"/>
  <c r="AP170" i="90"/>
  <c r="AO170" i="90"/>
  <c r="AN170" i="90"/>
  <c r="AM170" i="90"/>
  <c r="AL170" i="90"/>
  <c r="AK170" i="90"/>
  <c r="AJ170" i="90"/>
  <c r="AI170" i="90"/>
  <c r="AH170" i="90"/>
  <c r="AG170" i="90"/>
  <c r="AF170" i="90"/>
  <c r="AE170" i="90"/>
  <c r="AD170" i="90"/>
  <c r="AC170" i="90"/>
  <c r="AB170" i="90"/>
  <c r="AA170" i="90"/>
  <c r="Z170" i="90"/>
  <c r="Y170" i="90"/>
  <c r="X170" i="90"/>
  <c r="W170" i="90"/>
  <c r="V170" i="90"/>
  <c r="U170" i="90"/>
  <c r="T170" i="90"/>
  <c r="S170" i="90"/>
  <c r="R170" i="90"/>
  <c r="Q170" i="90"/>
  <c r="P170" i="90"/>
  <c r="O170" i="90"/>
  <c r="N170" i="90"/>
  <c r="M170" i="90"/>
  <c r="L170" i="90"/>
  <c r="K170" i="90"/>
  <c r="J170" i="90"/>
  <c r="AP169" i="90"/>
  <c r="AO169" i="90"/>
  <c r="AN169" i="90"/>
  <c r="AM169" i="90"/>
  <c r="AL169" i="90"/>
  <c r="AK169" i="90"/>
  <c r="AJ169" i="90"/>
  <c r="AI169" i="90"/>
  <c r="AH169" i="90"/>
  <c r="AG169" i="90"/>
  <c r="AF169" i="90"/>
  <c r="AE169" i="90"/>
  <c r="AD169" i="90"/>
  <c r="AC169" i="90"/>
  <c r="AB169" i="90"/>
  <c r="AA169" i="90"/>
  <c r="Z169" i="90"/>
  <c r="Y169" i="90"/>
  <c r="X169" i="90"/>
  <c r="W169" i="90"/>
  <c r="V169" i="90"/>
  <c r="U169" i="90"/>
  <c r="T169" i="90"/>
  <c r="S169" i="90"/>
  <c r="R169" i="90"/>
  <c r="Q169" i="90"/>
  <c r="P169" i="90"/>
  <c r="O169" i="90"/>
  <c r="N169" i="90"/>
  <c r="M169" i="90"/>
  <c r="L169" i="90"/>
  <c r="K169" i="90"/>
  <c r="J169" i="90"/>
  <c r="AP168" i="90"/>
  <c r="AO168" i="90"/>
  <c r="AN168" i="90"/>
  <c r="AM168" i="90"/>
  <c r="AL168" i="90"/>
  <c r="AK168" i="90"/>
  <c r="AJ168" i="90"/>
  <c r="AI168" i="90"/>
  <c r="AH168" i="90"/>
  <c r="AG168" i="90"/>
  <c r="AF168" i="90"/>
  <c r="AE168" i="90"/>
  <c r="AD168" i="90"/>
  <c r="AC168" i="90"/>
  <c r="AB168" i="90"/>
  <c r="AA168" i="90"/>
  <c r="Z168" i="90"/>
  <c r="Y168" i="90"/>
  <c r="X168" i="90"/>
  <c r="W168" i="90"/>
  <c r="V168" i="90"/>
  <c r="U168" i="90"/>
  <c r="T168" i="90"/>
  <c r="S168" i="90"/>
  <c r="R168" i="90"/>
  <c r="Q168" i="90"/>
  <c r="P168" i="90"/>
  <c r="O168" i="90"/>
  <c r="N168" i="90"/>
  <c r="M168" i="90"/>
  <c r="L168" i="90"/>
  <c r="K168" i="90"/>
  <c r="J168" i="90"/>
  <c r="H170" i="90" l="1"/>
  <c r="H169" i="90"/>
  <c r="H172" i="90"/>
  <c r="H171" i="90"/>
  <c r="H168" i="90"/>
  <c r="AP165" i="90" l="1"/>
  <c r="AO165" i="90"/>
  <c r="AN165" i="90"/>
  <c r="AM165" i="90"/>
  <c r="AL165" i="90"/>
  <c r="AK165" i="90"/>
  <c r="AJ165" i="90"/>
  <c r="AI165" i="90"/>
  <c r="AH165" i="90"/>
  <c r="AG165" i="90"/>
  <c r="AF165" i="90"/>
  <c r="AE165" i="90"/>
  <c r="AD165" i="90"/>
  <c r="AC165" i="90"/>
  <c r="AB165" i="90"/>
  <c r="AA165" i="90"/>
  <c r="Z165" i="90"/>
  <c r="Y165" i="90"/>
  <c r="W165" i="90"/>
  <c r="V165" i="90"/>
  <c r="U165" i="90"/>
  <c r="T165" i="90"/>
  <c r="S165" i="90"/>
  <c r="R165" i="90"/>
  <c r="Q165" i="90"/>
  <c r="P165" i="90"/>
  <c r="O165" i="90"/>
  <c r="N165" i="90"/>
  <c r="M165" i="90"/>
  <c r="L165" i="90"/>
  <c r="K165" i="90"/>
  <c r="J165" i="90"/>
  <c r="X165" i="90"/>
  <c r="H165" i="90" l="1"/>
  <c r="A2" i="106" l="1"/>
  <c r="A2" i="107"/>
  <c r="A2" i="105"/>
  <c r="A2" i="92"/>
  <c r="A2" i="93"/>
  <c r="A2" i="94"/>
  <c r="A2" i="95"/>
  <c r="A2" i="96"/>
  <c r="A2" i="97"/>
  <c r="A2" i="100"/>
  <c r="A2" i="98"/>
  <c r="H11" i="55"/>
  <c r="H9" i="55"/>
  <c r="H1382" i="97" l="1"/>
  <c r="AP69" i="105"/>
  <c r="AN69" i="105"/>
  <c r="AL69" i="105"/>
  <c r="AJ69" i="105"/>
  <c r="AH69" i="105"/>
  <c r="AF69" i="105"/>
  <c r="R69" i="105"/>
  <c r="Q69" i="105"/>
  <c r="AP68" i="105"/>
  <c r="AN68" i="105"/>
  <c r="AL68" i="105"/>
  <c r="AJ68" i="105"/>
  <c r="AH68" i="105"/>
  <c r="AF68" i="105"/>
  <c r="R68" i="105"/>
  <c r="Q68" i="105"/>
  <c r="AP67" i="105"/>
  <c r="AN67" i="105"/>
  <c r="AL67" i="105"/>
  <c r="AJ67" i="105"/>
  <c r="AH67" i="105"/>
  <c r="AF67" i="105"/>
  <c r="R67" i="105"/>
  <c r="Q67" i="105"/>
  <c r="AP66" i="105"/>
  <c r="AN66" i="105"/>
  <c r="AL66" i="105"/>
  <c r="AJ66" i="105"/>
  <c r="AH66" i="105"/>
  <c r="AF66" i="105"/>
  <c r="R66" i="105"/>
  <c r="Q66" i="105"/>
  <c r="AP65" i="105"/>
  <c r="AN65" i="105"/>
  <c r="AL65" i="105"/>
  <c r="AJ65" i="105"/>
  <c r="AH65" i="105"/>
  <c r="AF65" i="105"/>
  <c r="R65" i="105"/>
  <c r="Q65" i="105"/>
  <c r="AP64" i="105"/>
  <c r="AN64" i="105"/>
  <c r="AL64" i="105"/>
  <c r="AJ64" i="105"/>
  <c r="AH64" i="105"/>
  <c r="AF64" i="105"/>
  <c r="R64" i="105"/>
  <c r="Q64" i="105"/>
  <c r="AP63" i="105"/>
  <c r="AN63" i="105"/>
  <c r="AL63" i="105"/>
  <c r="AJ63" i="105"/>
  <c r="AH63" i="105"/>
  <c r="AF63" i="105"/>
  <c r="R63" i="105"/>
  <c r="Q63" i="105"/>
  <c r="AP60" i="105"/>
  <c r="AO60" i="105"/>
  <c r="AN60" i="105"/>
  <c r="AM60" i="105"/>
  <c r="AL60" i="105"/>
  <c r="AK60" i="105"/>
  <c r="AJ60" i="105"/>
  <c r="AI60" i="105"/>
  <c r="AH60" i="105"/>
  <c r="AF60" i="105"/>
  <c r="AD60" i="105"/>
  <c r="W60" i="105"/>
  <c r="V60" i="105"/>
  <c r="R60" i="105"/>
  <c r="Q60" i="105"/>
  <c r="AP59" i="105"/>
  <c r="AO59" i="105"/>
  <c r="AN59" i="105"/>
  <c r="AM59" i="105"/>
  <c r="AL59" i="105"/>
  <c r="AK59" i="105"/>
  <c r="AJ59" i="105"/>
  <c r="AI59" i="105"/>
  <c r="AH59" i="105"/>
  <c r="AF59" i="105"/>
  <c r="AD59" i="105"/>
  <c r="W59" i="105"/>
  <c r="V59" i="105"/>
  <c r="R59" i="105"/>
  <c r="Q59" i="105"/>
  <c r="AP58" i="105"/>
  <c r="AO58" i="105"/>
  <c r="AN58" i="105"/>
  <c r="AM58" i="105"/>
  <c r="AL58" i="105"/>
  <c r="AK58" i="105"/>
  <c r="AJ58" i="105"/>
  <c r="AI58" i="105"/>
  <c r="AH58" i="105"/>
  <c r="AF58" i="105"/>
  <c r="AD58" i="105"/>
  <c r="W58" i="105"/>
  <c r="V58" i="105"/>
  <c r="R58" i="105"/>
  <c r="Q58" i="105"/>
  <c r="AP57" i="105"/>
  <c r="AO57" i="105"/>
  <c r="AN57" i="105"/>
  <c r="AM57" i="105"/>
  <c r="AL57" i="105"/>
  <c r="AK57" i="105"/>
  <c r="AJ57" i="105"/>
  <c r="AI57" i="105"/>
  <c r="AH57" i="105"/>
  <c r="AF57" i="105"/>
  <c r="AD57" i="105"/>
  <c r="W57" i="105"/>
  <c r="V57" i="105"/>
  <c r="R57" i="105"/>
  <c r="Q57" i="105"/>
  <c r="AP56" i="105"/>
  <c r="AO56" i="105"/>
  <c r="AN56" i="105"/>
  <c r="AM56" i="105"/>
  <c r="AL56" i="105"/>
  <c r="AK56" i="105"/>
  <c r="AJ56" i="105"/>
  <c r="AI56" i="105"/>
  <c r="AH56" i="105"/>
  <c r="AF56" i="105"/>
  <c r="AD56" i="105"/>
  <c r="W56" i="105"/>
  <c r="V56" i="105"/>
  <c r="R56" i="105"/>
  <c r="Q56" i="105"/>
  <c r="AP55" i="105"/>
  <c r="AO55" i="105"/>
  <c r="AN55" i="105"/>
  <c r="AM55" i="105"/>
  <c r="AL55" i="105"/>
  <c r="AK55" i="105"/>
  <c r="AJ55" i="105"/>
  <c r="AI55" i="105"/>
  <c r="AH55" i="105"/>
  <c r="AF55" i="105"/>
  <c r="AD55" i="105"/>
  <c r="W55" i="105"/>
  <c r="V55" i="105"/>
  <c r="R55" i="105"/>
  <c r="Q55" i="105"/>
  <c r="AP54" i="105"/>
  <c r="AO54" i="105"/>
  <c r="AN54" i="105"/>
  <c r="AM54" i="105"/>
  <c r="AL54" i="105"/>
  <c r="AK54" i="105"/>
  <c r="AJ54" i="105"/>
  <c r="AI54" i="105"/>
  <c r="AH54" i="105"/>
  <c r="AF54" i="105"/>
  <c r="AD54" i="105"/>
  <c r="W54" i="105"/>
  <c r="V54" i="105"/>
  <c r="R54" i="105"/>
  <c r="Q54" i="105"/>
  <c r="H7" i="55"/>
  <c r="J5" i="107"/>
  <c r="A1" i="107"/>
  <c r="C15" i="107" s="1"/>
  <c r="G246" i="85" s="1"/>
  <c r="A1" i="106"/>
  <c r="C122" i="106" s="1"/>
  <c r="G241" i="85" s="1"/>
  <c r="A1" i="105"/>
  <c r="C42" i="105" s="1"/>
  <c r="G235" i="85" s="1"/>
  <c r="J5" i="100"/>
  <c r="A1" i="100"/>
  <c r="C134" i="100" s="1"/>
  <c r="G107" i="85" s="1"/>
  <c r="J5" i="98"/>
  <c r="A1" i="98"/>
  <c r="C105" i="98" s="1"/>
  <c r="G113" i="85" s="1"/>
  <c r="H1381" i="97"/>
  <c r="H1378" i="97"/>
  <c r="H1368" i="97"/>
  <c r="H1360" i="97"/>
  <c r="H1359" i="97"/>
  <c r="H1344" i="97"/>
  <c r="H1334" i="97"/>
  <c r="H1327" i="97"/>
  <c r="H1326" i="97"/>
  <c r="H1322" i="97"/>
  <c r="H1320" i="97"/>
  <c r="H1313" i="97"/>
  <c r="H1305" i="97"/>
  <c r="H1298" i="97"/>
  <c r="H1294" i="97"/>
  <c r="H1293" i="97"/>
  <c r="H1289" i="97"/>
  <c r="H1288" i="97"/>
  <c r="H1285" i="97"/>
  <c r="H1283" i="97"/>
  <c r="J5" i="97"/>
  <c r="A1" i="97"/>
  <c r="C1237" i="97" s="1"/>
  <c r="G100" i="85" s="1"/>
  <c r="G31" i="96"/>
  <c r="G32" i="96" s="1"/>
  <c r="E31" i="96"/>
  <c r="A1" i="96"/>
  <c r="S45" i="95"/>
  <c r="R45" i="95"/>
  <c r="Q45" i="95"/>
  <c r="P45" i="95"/>
  <c r="O45" i="95"/>
  <c r="N45" i="95"/>
  <c r="M45" i="95"/>
  <c r="L45" i="95"/>
  <c r="K45" i="95"/>
  <c r="S39" i="95"/>
  <c r="R39" i="95"/>
  <c r="Q39" i="95"/>
  <c r="P39" i="95"/>
  <c r="O39" i="95"/>
  <c r="N39" i="95"/>
  <c r="M39" i="95"/>
  <c r="L39" i="95"/>
  <c r="K39" i="95"/>
  <c r="S33" i="95"/>
  <c r="R33" i="95"/>
  <c r="Q33" i="95"/>
  <c r="P33" i="95"/>
  <c r="O33" i="95"/>
  <c r="N33" i="95"/>
  <c r="M33" i="95"/>
  <c r="L33" i="95"/>
  <c r="K33" i="95"/>
  <c r="S27" i="95"/>
  <c r="R27" i="95"/>
  <c r="Q27" i="95"/>
  <c r="P27" i="95"/>
  <c r="O27" i="95"/>
  <c r="N27" i="95"/>
  <c r="M27" i="95"/>
  <c r="L27" i="95"/>
  <c r="K27" i="95"/>
  <c r="A1" i="95"/>
  <c r="AP97" i="94"/>
  <c r="AO97" i="94"/>
  <c r="AL97" i="94"/>
  <c r="AK97" i="94"/>
  <c r="AH97" i="94"/>
  <c r="AG97" i="94"/>
  <c r="AB97" i="94"/>
  <c r="W97" i="94"/>
  <c r="V97" i="94"/>
  <c r="U97" i="94"/>
  <c r="T97" i="94"/>
  <c r="S97" i="94"/>
  <c r="R77" i="94"/>
  <c r="Q77" i="94"/>
  <c r="P77" i="94"/>
  <c r="N77" i="94"/>
  <c r="K77" i="94"/>
  <c r="AP71" i="94"/>
  <c r="AO71" i="94"/>
  <c r="AL71" i="94"/>
  <c r="AK71" i="94"/>
  <c r="AH71" i="94"/>
  <c r="AG71" i="94"/>
  <c r="AB71" i="94"/>
  <c r="W71" i="94"/>
  <c r="V71" i="94"/>
  <c r="U71" i="94"/>
  <c r="T71" i="94"/>
  <c r="S71" i="94"/>
  <c r="R71" i="94"/>
  <c r="Q71" i="94"/>
  <c r="P71" i="94"/>
  <c r="N71" i="94"/>
  <c r="K71" i="94"/>
  <c r="R65" i="94"/>
  <c r="Q65" i="94"/>
  <c r="P65" i="94"/>
  <c r="N65" i="94"/>
  <c r="K65" i="94"/>
  <c r="AA57" i="94"/>
  <c r="Z57" i="94"/>
  <c r="Y57" i="94"/>
  <c r="X57" i="94"/>
  <c r="R57" i="94"/>
  <c r="Q57" i="94"/>
  <c r="P57" i="94"/>
  <c r="O57" i="94"/>
  <c r="N57" i="94"/>
  <c r="M57" i="94"/>
  <c r="L57" i="94"/>
  <c r="K57" i="94"/>
  <c r="J57" i="94"/>
  <c r="AA51" i="94"/>
  <c r="Z51" i="94"/>
  <c r="Y51" i="94"/>
  <c r="X51" i="94"/>
  <c r="R51" i="94"/>
  <c r="Q51" i="94"/>
  <c r="P51" i="94"/>
  <c r="O51" i="94"/>
  <c r="N51" i="94"/>
  <c r="M51" i="94"/>
  <c r="L51" i="94"/>
  <c r="K51" i="94"/>
  <c r="J51" i="94"/>
  <c r="AP45" i="94"/>
  <c r="AO45" i="94"/>
  <c r="AL45" i="94"/>
  <c r="AK45" i="94"/>
  <c r="AH45" i="94"/>
  <c r="AG45" i="94"/>
  <c r="AB45" i="94"/>
  <c r="AA45" i="94"/>
  <c r="Z45" i="94"/>
  <c r="Y45" i="94"/>
  <c r="X45" i="94"/>
  <c r="W45" i="94"/>
  <c r="V45" i="94"/>
  <c r="U45" i="94"/>
  <c r="T45" i="94"/>
  <c r="S45" i="94"/>
  <c r="R45" i="94"/>
  <c r="Q45" i="94"/>
  <c r="P45" i="94"/>
  <c r="O45" i="94"/>
  <c r="N45" i="94"/>
  <c r="M45" i="94"/>
  <c r="L45" i="94"/>
  <c r="K45" i="94"/>
  <c r="J45" i="94"/>
  <c r="AB32" i="94"/>
  <c r="AA32" i="94"/>
  <c r="Z32" i="94"/>
  <c r="Y32" i="94"/>
  <c r="X32" i="94"/>
  <c r="W32" i="94"/>
  <c r="V32" i="94"/>
  <c r="U32" i="94"/>
  <c r="T32" i="94"/>
  <c r="S32" i="94"/>
  <c r="R32" i="94"/>
  <c r="Q32" i="94"/>
  <c r="P32" i="94"/>
  <c r="N32" i="94"/>
  <c r="M32" i="94"/>
  <c r="K32" i="94"/>
  <c r="J32" i="94"/>
  <c r="AB26" i="94"/>
  <c r="AA26" i="94"/>
  <c r="Z26" i="94"/>
  <c r="Y26" i="94"/>
  <c r="X26" i="94"/>
  <c r="W26" i="94"/>
  <c r="V26" i="94"/>
  <c r="U26" i="94"/>
  <c r="T26" i="94"/>
  <c r="S26" i="94"/>
  <c r="R26" i="94"/>
  <c r="Q26" i="94"/>
  <c r="P26" i="94"/>
  <c r="O26" i="94"/>
  <c r="N26" i="94"/>
  <c r="M26" i="94"/>
  <c r="L26" i="94"/>
  <c r="K26" i="94"/>
  <c r="J26" i="94"/>
  <c r="A1" i="94"/>
  <c r="A1" i="93"/>
  <c r="A1" i="92"/>
  <c r="E301" i="106" l="1"/>
  <c r="E231" i="106"/>
  <c r="E266" i="106"/>
  <c r="C1163" i="97"/>
  <c r="G98" i="85" s="1"/>
  <c r="C1200" i="97"/>
  <c r="G99" i="85" s="1"/>
  <c r="C945" i="97"/>
  <c r="G96" i="85" s="1"/>
  <c r="C1052" i="97"/>
  <c r="G97" i="85" s="1"/>
  <c r="C586" i="97"/>
  <c r="G94" i="85" s="1"/>
  <c r="C838" i="97"/>
  <c r="G95" i="85" s="1"/>
  <c r="C92" i="97"/>
  <c r="G92" i="85" s="1"/>
  <c r="C339" i="97"/>
  <c r="G93" i="85" s="1"/>
  <c r="C16" i="97"/>
  <c r="G90" i="85" s="1"/>
  <c r="C53" i="97"/>
  <c r="G91" i="85" s="1"/>
  <c r="C72" i="100"/>
  <c r="G105" i="85" s="1"/>
  <c r="C120" i="100"/>
  <c r="G106" i="85" s="1"/>
  <c r="C44" i="100"/>
  <c r="G103" i="85" s="1"/>
  <c r="C58" i="100"/>
  <c r="G104" i="85" s="1"/>
  <c r="C16" i="100"/>
  <c r="G101" i="85" s="1"/>
  <c r="C30" i="100"/>
  <c r="G102" i="85" s="1"/>
  <c r="C96" i="98"/>
  <c r="G111" i="85" s="1"/>
  <c r="C101" i="98"/>
  <c r="G112" i="85" s="1"/>
  <c r="C28" i="98"/>
  <c r="G109" i="85" s="1"/>
  <c r="C38" i="98"/>
  <c r="G110" i="85" s="1"/>
  <c r="C16" i="98"/>
  <c r="G108" i="85" s="1"/>
  <c r="C111" i="105"/>
  <c r="G238" i="85" s="1"/>
  <c r="C122" i="105"/>
  <c r="G239" i="85" s="1"/>
  <c r="C71" i="105"/>
  <c r="G236" i="85" s="1"/>
  <c r="C79" i="105"/>
  <c r="G237" i="85" s="1"/>
  <c r="C13" i="105"/>
  <c r="G234" i="85" s="1"/>
  <c r="C229" i="106"/>
  <c r="G242" i="85" s="1"/>
  <c r="C15" i="106"/>
  <c r="G240" i="85" s="1"/>
  <c r="H203" i="100"/>
  <c r="H199" i="100"/>
  <c r="H1282" i="97"/>
  <c r="H1287" i="97"/>
  <c r="H1292" i="97"/>
  <c r="H1297" i="97"/>
  <c r="H1306" i="97"/>
  <c r="H1317" i="97"/>
  <c r="H1324" i="97"/>
  <c r="H1325" i="97"/>
  <c r="H1339" i="97"/>
  <c r="H1362" i="97"/>
  <c r="H1363" i="97"/>
  <c r="H1377" i="97"/>
  <c r="H1286" i="97"/>
  <c r="H1291" i="97"/>
  <c r="H1296" i="97"/>
  <c r="H1300" i="97"/>
  <c r="H1314" i="97"/>
  <c r="H1329" i="97"/>
  <c r="H1347" i="97"/>
  <c r="H202" i="100"/>
  <c r="G30" i="96"/>
  <c r="H1284" i="97"/>
  <c r="H1290" i="97"/>
  <c r="H1295" i="97"/>
  <c r="H1309" i="97"/>
  <c r="H1310" i="97"/>
  <c r="H1323" i="97"/>
  <c r="H1340" i="97"/>
  <c r="H1343" i="97"/>
  <c r="H1361" i="97"/>
  <c r="H1373" i="97"/>
  <c r="G33" i="96"/>
  <c r="H1299" i="97"/>
  <c r="H1328" i="97"/>
  <c r="H1374" i="97"/>
  <c r="H1348" i="97"/>
  <c r="H196" i="100"/>
  <c r="H200" i="100"/>
  <c r="C336" i="106" l="1"/>
  <c r="G243" i="85" s="1"/>
  <c r="E338" i="106"/>
  <c r="E408" i="106"/>
  <c r="E373" i="106"/>
  <c r="G29" i="96"/>
  <c r="G28" i="96" s="1"/>
  <c r="H18" i="94" s="1"/>
  <c r="H17" i="94" s="1"/>
  <c r="G34" i="96"/>
  <c r="C443" i="106" l="1"/>
  <c r="G244" i="85" s="1"/>
  <c r="E515" i="106"/>
  <c r="E480" i="106"/>
  <c r="E445" i="106"/>
  <c r="H19" i="95"/>
  <c r="F32" i="95" s="1"/>
  <c r="F90" i="94"/>
  <c r="F56" i="94"/>
  <c r="F96" i="94"/>
  <c r="F70" i="94"/>
  <c r="F44" i="94"/>
  <c r="F76" i="94"/>
  <c r="F25" i="94"/>
  <c r="F50" i="94"/>
  <c r="F84" i="94"/>
  <c r="F31" i="94"/>
  <c r="F64" i="94"/>
  <c r="G35" i="96"/>
  <c r="F95" i="94"/>
  <c r="F24" i="94"/>
  <c r="H16" i="94"/>
  <c r="F83" i="94"/>
  <c r="F75" i="94"/>
  <c r="F69" i="94"/>
  <c r="F63" i="94"/>
  <c r="F55" i="94"/>
  <c r="F49" i="94"/>
  <c r="F43" i="94"/>
  <c r="F30" i="94"/>
  <c r="F89" i="94"/>
  <c r="H18" i="95" l="1"/>
  <c r="H17" i="95" s="1"/>
  <c r="F30" i="95" s="1"/>
  <c r="C550" i="106"/>
  <c r="G245" i="85" s="1"/>
  <c r="E622" i="106"/>
  <c r="E587" i="106"/>
  <c r="E552" i="106"/>
  <c r="F26" i="95"/>
  <c r="F38" i="95"/>
  <c r="F44" i="95"/>
  <c r="F31" i="95"/>
  <c r="L5" i="98" a="1"/>
  <c r="S6" i="98" s="1"/>
  <c r="L5" i="107" a="1"/>
  <c r="F88" i="94"/>
  <c r="F82" i="94"/>
  <c r="F74" i="94"/>
  <c r="F68" i="94"/>
  <c r="F62" i="94"/>
  <c r="F54" i="94"/>
  <c r="F42" i="94"/>
  <c r="F29" i="94"/>
  <c r="F94" i="94"/>
  <c r="F23" i="94"/>
  <c r="F48" i="94"/>
  <c r="L5" i="97" a="1"/>
  <c r="L5" i="100" a="1"/>
  <c r="H36" i="96"/>
  <c r="G36" i="96"/>
  <c r="J5" i="93" a="1"/>
  <c r="H69" i="65"/>
  <c r="H68" i="65"/>
  <c r="H67" i="65"/>
  <c r="H66" i="65"/>
  <c r="H65" i="65"/>
  <c r="H64" i="65"/>
  <c r="H63" i="65"/>
  <c r="AP63" i="74"/>
  <c r="AO63" i="74"/>
  <c r="AN63" i="74"/>
  <c r="AM63" i="74"/>
  <c r="AL63" i="74"/>
  <c r="AK63" i="74"/>
  <c r="AJ63" i="74"/>
  <c r="AI63" i="74"/>
  <c r="AH63" i="74"/>
  <c r="AG63" i="74"/>
  <c r="AF63" i="74"/>
  <c r="AE63" i="74"/>
  <c r="AD63" i="74"/>
  <c r="AC63" i="74"/>
  <c r="AB63" i="74"/>
  <c r="AA63" i="74"/>
  <c r="Z63" i="74"/>
  <c r="Y63" i="74"/>
  <c r="X63" i="74"/>
  <c r="W63" i="74"/>
  <c r="V63" i="74"/>
  <c r="U63" i="74"/>
  <c r="T63" i="74"/>
  <c r="S63" i="74"/>
  <c r="R63" i="74"/>
  <c r="Q63" i="74"/>
  <c r="P63" i="74"/>
  <c r="O63" i="74"/>
  <c r="N63" i="74"/>
  <c r="M63" i="74"/>
  <c r="L63" i="74"/>
  <c r="K63" i="74"/>
  <c r="J63" i="74"/>
  <c r="AP123" i="73"/>
  <c r="AO123" i="73"/>
  <c r="AN123" i="73"/>
  <c r="AM123" i="73"/>
  <c r="AL123" i="73"/>
  <c r="AK123" i="73"/>
  <c r="AJ123" i="73"/>
  <c r="AI123" i="73"/>
  <c r="AH123" i="73"/>
  <c r="AG123" i="73"/>
  <c r="AF123" i="73"/>
  <c r="AE123" i="73"/>
  <c r="AD123" i="73"/>
  <c r="AC123" i="73"/>
  <c r="AB123" i="73"/>
  <c r="AA123" i="73"/>
  <c r="Z123" i="73"/>
  <c r="Y123" i="73"/>
  <c r="X123" i="73"/>
  <c r="W123" i="73"/>
  <c r="V123" i="73"/>
  <c r="U123" i="73"/>
  <c r="T123" i="73"/>
  <c r="S123" i="73"/>
  <c r="R123" i="73"/>
  <c r="Q123" i="73"/>
  <c r="P123" i="73"/>
  <c r="O123" i="73"/>
  <c r="N123" i="73"/>
  <c r="M123" i="73"/>
  <c r="L123" i="73"/>
  <c r="K123" i="73"/>
  <c r="J123" i="73"/>
  <c r="AP122" i="73"/>
  <c r="AO122" i="73"/>
  <c r="AN122" i="73"/>
  <c r="AM122" i="73"/>
  <c r="AL122" i="73"/>
  <c r="AK122" i="73"/>
  <c r="AJ122" i="73"/>
  <c r="AI122" i="73"/>
  <c r="AH122" i="73"/>
  <c r="AG122" i="73"/>
  <c r="AF122" i="73"/>
  <c r="AE122" i="73"/>
  <c r="AD122" i="73"/>
  <c r="AC122" i="73"/>
  <c r="AB122" i="73"/>
  <c r="AA122" i="73"/>
  <c r="Z122" i="73"/>
  <c r="Y122" i="73"/>
  <c r="X122" i="73"/>
  <c r="W122" i="73"/>
  <c r="V122" i="73"/>
  <c r="U122" i="73"/>
  <c r="T122" i="73"/>
  <c r="S122" i="73"/>
  <c r="R122" i="73"/>
  <c r="Q122" i="73"/>
  <c r="P122" i="73"/>
  <c r="O122" i="73"/>
  <c r="N122" i="73"/>
  <c r="M122" i="73"/>
  <c r="L122" i="73"/>
  <c r="K122" i="73"/>
  <c r="J122" i="73"/>
  <c r="AP121" i="73"/>
  <c r="AO121" i="73"/>
  <c r="AN121" i="73"/>
  <c r="AM121" i="73"/>
  <c r="AL121" i="73"/>
  <c r="AK121" i="73"/>
  <c r="AJ121" i="73"/>
  <c r="AI121" i="73"/>
  <c r="AH121" i="73"/>
  <c r="AG121" i="73"/>
  <c r="AF121" i="73"/>
  <c r="AE121" i="73"/>
  <c r="AD121" i="73"/>
  <c r="AC121" i="73"/>
  <c r="AB121" i="73"/>
  <c r="AA121" i="73"/>
  <c r="Z121" i="73"/>
  <c r="Y121" i="73"/>
  <c r="X121" i="73"/>
  <c r="W121" i="73"/>
  <c r="V121" i="73"/>
  <c r="U121" i="73"/>
  <c r="T121" i="73"/>
  <c r="S121" i="73"/>
  <c r="R121" i="73"/>
  <c r="Q121" i="73"/>
  <c r="P121" i="73"/>
  <c r="O121" i="73"/>
  <c r="N121" i="73"/>
  <c r="M121" i="73"/>
  <c r="L121" i="73"/>
  <c r="K121" i="73"/>
  <c r="J121" i="73"/>
  <c r="AP78" i="72"/>
  <c r="AO78" i="72"/>
  <c r="AN78" i="72"/>
  <c r="AM78" i="72"/>
  <c r="AL78" i="72"/>
  <c r="AK78" i="72"/>
  <c r="AJ78" i="72"/>
  <c r="AI78" i="72"/>
  <c r="AH78" i="72"/>
  <c r="AG78" i="72"/>
  <c r="AF78" i="72"/>
  <c r="AE78" i="72"/>
  <c r="AD78" i="72"/>
  <c r="AC78" i="72"/>
  <c r="AB78" i="72"/>
  <c r="AA78" i="72"/>
  <c r="Z78" i="72"/>
  <c r="Y78" i="72"/>
  <c r="X78" i="72"/>
  <c r="W78" i="72"/>
  <c r="V78" i="72"/>
  <c r="U78" i="72"/>
  <c r="T78" i="72"/>
  <c r="S78" i="72"/>
  <c r="R78" i="72"/>
  <c r="Q78" i="72"/>
  <c r="P78" i="72"/>
  <c r="O78" i="72"/>
  <c r="N78" i="72"/>
  <c r="M78" i="72"/>
  <c r="L78" i="72"/>
  <c r="K78" i="72"/>
  <c r="J78" i="72"/>
  <c r="AP198" i="80"/>
  <c r="AO198" i="80"/>
  <c r="AN198" i="80"/>
  <c r="AM198" i="80"/>
  <c r="AL198" i="80"/>
  <c r="AK198" i="80"/>
  <c r="AJ198" i="80"/>
  <c r="AI198" i="80"/>
  <c r="AH198" i="80"/>
  <c r="AG198" i="80"/>
  <c r="AF198" i="80"/>
  <c r="AE198" i="80"/>
  <c r="AD198" i="80"/>
  <c r="AC198" i="80"/>
  <c r="AB198" i="80"/>
  <c r="AA198" i="80"/>
  <c r="Z198" i="80"/>
  <c r="Y198" i="80"/>
  <c r="X198" i="80"/>
  <c r="W198" i="80"/>
  <c r="V198" i="80"/>
  <c r="U198" i="80"/>
  <c r="T198" i="80"/>
  <c r="S198" i="80"/>
  <c r="R198" i="80"/>
  <c r="Q198" i="80"/>
  <c r="P198" i="80"/>
  <c r="O198" i="80"/>
  <c r="O204" i="80" s="1"/>
  <c r="N198" i="80"/>
  <c r="M198" i="80"/>
  <c r="L198" i="80"/>
  <c r="L204" i="80" s="1"/>
  <c r="K198" i="80"/>
  <c r="J198" i="80"/>
  <c r="F37" i="95" l="1"/>
  <c r="F43" i="95"/>
  <c r="F36" i="95"/>
  <c r="F42" i="95"/>
  <c r="F24" i="95"/>
  <c r="F25" i="95"/>
  <c r="M293" i="73"/>
  <c r="Q293" i="73"/>
  <c r="U293" i="73"/>
  <c r="Y293" i="73"/>
  <c r="AC293" i="73"/>
  <c r="AG293" i="73"/>
  <c r="AK293" i="73"/>
  <c r="AO293" i="73"/>
  <c r="J1255" i="97"/>
  <c r="Y77" i="87" s="1"/>
  <c r="J1233" i="97"/>
  <c r="AN75" i="87" s="1"/>
  <c r="J1216" i="97"/>
  <c r="W75" i="87" s="1"/>
  <c r="J1191" i="97"/>
  <c r="AI74" i="87" s="1"/>
  <c r="J1187" i="97"/>
  <c r="AE74" i="87" s="1"/>
  <c r="J1178" i="97"/>
  <c r="V74" i="87" s="1"/>
  <c r="J1170" i="97"/>
  <c r="N74" i="87" s="1"/>
  <c r="J1166" i="97"/>
  <c r="J74" i="87" s="1"/>
  <c r="J1258" i="97"/>
  <c r="AB77" i="87" s="1"/>
  <c r="J1254" i="97"/>
  <c r="X77" i="87" s="1"/>
  <c r="J1232" i="97"/>
  <c r="AM75" i="87" s="1"/>
  <c r="J1211" i="97"/>
  <c r="R75" i="87" s="1"/>
  <c r="J1194" i="97"/>
  <c r="AL74" i="87" s="1"/>
  <c r="J1190" i="97"/>
  <c r="AH74" i="87" s="1"/>
  <c r="J1186" i="97"/>
  <c r="AD74" i="87" s="1"/>
  <c r="J1177" i="97"/>
  <c r="U74" i="87" s="1"/>
  <c r="J1173" i="97"/>
  <c r="Q74" i="87" s="1"/>
  <c r="J1169" i="97"/>
  <c r="M74" i="87" s="1"/>
  <c r="J1257" i="97"/>
  <c r="AA77" i="87" s="1"/>
  <c r="J1235" i="97"/>
  <c r="AP75" i="87" s="1"/>
  <c r="J1193" i="97"/>
  <c r="AK74" i="87" s="1"/>
  <c r="J1189" i="97"/>
  <c r="AG74" i="87" s="1"/>
  <c r="J1185" i="97"/>
  <c r="AC74" i="87" s="1"/>
  <c r="J1176" i="97"/>
  <c r="T74" i="87" s="1"/>
  <c r="J1172" i="97"/>
  <c r="P74" i="87" s="1"/>
  <c r="J1256" i="97"/>
  <c r="Z77" i="87" s="1"/>
  <c r="J1234" i="97"/>
  <c r="AO75" i="87" s="1"/>
  <c r="J1192" i="97"/>
  <c r="AJ74" i="87" s="1"/>
  <c r="J1188" i="97"/>
  <c r="AF74" i="87" s="1"/>
  <c r="J1175" i="97"/>
  <c r="S74" i="87" s="1"/>
  <c r="J1167" i="97"/>
  <c r="K74" i="87" s="1"/>
  <c r="J91" i="98"/>
  <c r="J94" i="98"/>
  <c r="J92" i="98"/>
  <c r="J93" i="98"/>
  <c r="J89" i="98"/>
  <c r="L293" i="73"/>
  <c r="P293" i="73"/>
  <c r="T293" i="73"/>
  <c r="X293" i="73"/>
  <c r="AB293" i="73"/>
  <c r="AF293" i="73"/>
  <c r="AJ293" i="73"/>
  <c r="AN293" i="73"/>
  <c r="J98" i="98"/>
  <c r="H92" i="89" s="1"/>
  <c r="J57" i="98"/>
  <c r="J47" i="98"/>
  <c r="J46" i="98"/>
  <c r="H46" i="89" s="1"/>
  <c r="J45" i="98"/>
  <c r="H45" i="89" s="1"/>
  <c r="J44" i="98"/>
  <c r="H44" i="89" s="1"/>
  <c r="J43" i="98"/>
  <c r="H43" i="89" s="1"/>
  <c r="J36" i="98"/>
  <c r="H36" i="89" s="1"/>
  <c r="J35" i="98"/>
  <c r="H35" i="89" s="1"/>
  <c r="J34" i="98"/>
  <c r="H34" i="89" s="1"/>
  <c r="J33" i="98"/>
  <c r="H33" i="89" s="1"/>
  <c r="J26" i="98"/>
  <c r="H26" i="89" s="1"/>
  <c r="J25" i="98"/>
  <c r="H25" i="89" s="1"/>
  <c r="J24" i="98"/>
  <c r="H24" i="89" s="1"/>
  <c r="J21" i="98"/>
  <c r="H21" i="89" s="1"/>
  <c r="J20" i="98"/>
  <c r="H20" i="89" s="1"/>
  <c r="J19" i="98"/>
  <c r="H19" i="89" s="1"/>
  <c r="J184" i="100"/>
  <c r="S46" i="86" s="1"/>
  <c r="J183" i="100"/>
  <c r="R46" i="86" s="1"/>
  <c r="J182" i="100"/>
  <c r="Q46" i="86" s="1"/>
  <c r="J181" i="100"/>
  <c r="P46" i="86" s="1"/>
  <c r="J180" i="100"/>
  <c r="O46" i="86" s="1"/>
  <c r="J179" i="100"/>
  <c r="N46" i="86" s="1"/>
  <c r="J178" i="100"/>
  <c r="M46" i="86" s="1"/>
  <c r="J177" i="100"/>
  <c r="L46" i="86" s="1"/>
  <c r="J176" i="100"/>
  <c r="K46" i="86" s="1"/>
  <c r="J172" i="100"/>
  <c r="S45" i="86" s="1"/>
  <c r="J171" i="100"/>
  <c r="R45" i="86" s="1"/>
  <c r="J170" i="100"/>
  <c r="Q45" i="86" s="1"/>
  <c r="J169" i="100"/>
  <c r="P45" i="86" s="1"/>
  <c r="J168" i="100"/>
  <c r="O45" i="86" s="1"/>
  <c r="J167" i="100"/>
  <c r="N45" i="86" s="1"/>
  <c r="J166" i="100"/>
  <c r="M45" i="86" s="1"/>
  <c r="J165" i="100"/>
  <c r="L45" i="86" s="1"/>
  <c r="J164" i="100"/>
  <c r="K45" i="86" s="1"/>
  <c r="J160" i="100"/>
  <c r="S44" i="86" s="1"/>
  <c r="J159" i="100"/>
  <c r="R44" i="86" s="1"/>
  <c r="J158" i="100"/>
  <c r="Q44" i="86" s="1"/>
  <c r="J157" i="100"/>
  <c r="P44" i="86" s="1"/>
  <c r="J156" i="100"/>
  <c r="O44" i="86" s="1"/>
  <c r="J155" i="100"/>
  <c r="N44" i="86" s="1"/>
  <c r="J154" i="100"/>
  <c r="M44" i="86" s="1"/>
  <c r="J153" i="100"/>
  <c r="L44" i="86" s="1"/>
  <c r="J152" i="100"/>
  <c r="K44" i="86" s="1"/>
  <c r="J148" i="100"/>
  <c r="S43" i="86" s="1"/>
  <c r="J147" i="100"/>
  <c r="R43" i="86" s="1"/>
  <c r="J146" i="100"/>
  <c r="Q43" i="86" s="1"/>
  <c r="J145" i="100"/>
  <c r="P43" i="86" s="1"/>
  <c r="J144" i="100"/>
  <c r="O43" i="86" s="1"/>
  <c r="J143" i="100"/>
  <c r="N43" i="86" s="1"/>
  <c r="J142" i="100"/>
  <c r="M43" i="86" s="1"/>
  <c r="J141" i="100"/>
  <c r="L43" i="86" s="1"/>
  <c r="J140" i="100"/>
  <c r="K43" i="86" s="1"/>
  <c r="J132" i="100"/>
  <c r="S36" i="86" s="1"/>
  <c r="J131" i="100"/>
  <c r="R36" i="86" s="1"/>
  <c r="J130" i="100"/>
  <c r="Q36" i="86" s="1"/>
  <c r="J129" i="100"/>
  <c r="P36" i="86" s="1"/>
  <c r="J128" i="100"/>
  <c r="O36" i="86" s="1"/>
  <c r="J127" i="100"/>
  <c r="N36" i="86" s="1"/>
  <c r="J110" i="98"/>
  <c r="H105" i="89" s="1"/>
  <c r="J109" i="98"/>
  <c r="H104" i="89" s="1"/>
  <c r="J108" i="98"/>
  <c r="H103" i="89" s="1"/>
  <c r="J103" i="98"/>
  <c r="H98" i="89" s="1"/>
  <c r="J99" i="98"/>
  <c r="H93" i="89" s="1"/>
  <c r="H94" i="89" s="1"/>
  <c r="J87" i="98"/>
  <c r="J86" i="98"/>
  <c r="H86" i="89" s="1"/>
  <c r="J85" i="98"/>
  <c r="H85" i="89" s="1"/>
  <c r="J84" i="98"/>
  <c r="H84" i="89" s="1"/>
  <c r="J83" i="98"/>
  <c r="H83" i="89" s="1"/>
  <c r="J48" i="100"/>
  <c r="K22" i="86" s="1"/>
  <c r="H52" i="86" s="1"/>
  <c r="J72" i="98"/>
  <c r="H72" i="89" s="1"/>
  <c r="J1152" i="97"/>
  <c r="AK68" i="87" s="1"/>
  <c r="J1138" i="97"/>
  <c r="W68" i="87" s="1"/>
  <c r="J1134" i="97"/>
  <c r="S68" i="87" s="1"/>
  <c r="J1026" i="97"/>
  <c r="R63" i="87" s="1"/>
  <c r="J1025" i="97"/>
  <c r="Q63" i="87" s="1"/>
  <c r="J1024" i="97"/>
  <c r="P63" i="87" s="1"/>
  <c r="J1022" i="97"/>
  <c r="N63" i="87" s="1"/>
  <c r="J1019" i="97"/>
  <c r="K63" i="87" s="1"/>
  <c r="J1010" i="97"/>
  <c r="AK62" i="87" s="1"/>
  <c r="J996" i="97"/>
  <c r="W62" i="87" s="1"/>
  <c r="J992" i="97"/>
  <c r="S62" i="87" s="1"/>
  <c r="J991" i="97"/>
  <c r="R62" i="87" s="1"/>
  <c r="J990" i="97"/>
  <c r="Q62" i="87" s="1"/>
  <c r="J989" i="97"/>
  <c r="P62" i="87" s="1"/>
  <c r="J987" i="97"/>
  <c r="N62" i="87" s="1"/>
  <c r="J984" i="97"/>
  <c r="K62" i="87" s="1"/>
  <c r="J956" i="97"/>
  <c r="R61" i="87" s="1"/>
  <c r="J955" i="97"/>
  <c r="Q61" i="87" s="1"/>
  <c r="J954" i="97"/>
  <c r="P61" i="87" s="1"/>
  <c r="J952" i="97"/>
  <c r="N61" i="87" s="1"/>
  <c r="J949" i="97"/>
  <c r="K61" i="87" s="1"/>
  <c r="J928" i="97"/>
  <c r="AA58" i="87" s="1"/>
  <c r="J927" i="97"/>
  <c r="Z58" i="87" s="1"/>
  <c r="J926" i="97"/>
  <c r="Y58" i="87" s="1"/>
  <c r="J925" i="97"/>
  <c r="X58" i="87" s="1"/>
  <c r="J919" i="97"/>
  <c r="R58" i="87" s="1"/>
  <c r="J918" i="97"/>
  <c r="Q58" i="87" s="1"/>
  <c r="J917" i="97"/>
  <c r="P58" i="87" s="1"/>
  <c r="J916" i="97"/>
  <c r="O58" i="87" s="1"/>
  <c r="J915" i="97"/>
  <c r="N58" i="87" s="1"/>
  <c r="J914" i="97"/>
  <c r="M58" i="87" s="1"/>
  <c r="J913" i="97"/>
  <c r="L58" i="87" s="1"/>
  <c r="J912" i="97"/>
  <c r="K58" i="87" s="1"/>
  <c r="J911" i="97"/>
  <c r="J58" i="87" s="1"/>
  <c r="J893" i="97"/>
  <c r="AA57" i="87" s="1"/>
  <c r="J892" i="97"/>
  <c r="Z57" i="87" s="1"/>
  <c r="J891" i="97"/>
  <c r="Y57" i="87" s="1"/>
  <c r="J890" i="97"/>
  <c r="X57" i="87" s="1"/>
  <c r="J884" i="97"/>
  <c r="R57" i="87" s="1"/>
  <c r="J883" i="97"/>
  <c r="Q57" i="87" s="1"/>
  <c r="J882" i="97"/>
  <c r="P57" i="87" s="1"/>
  <c r="J881" i="97"/>
  <c r="O57" i="87" s="1"/>
  <c r="J880" i="97"/>
  <c r="N57" i="87" s="1"/>
  <c r="J879" i="97"/>
  <c r="M57" i="87" s="1"/>
  <c r="J878" i="97"/>
  <c r="L57" i="87" s="1"/>
  <c r="J877" i="97"/>
  <c r="K57" i="87" s="1"/>
  <c r="J876" i="97"/>
  <c r="J57" i="87" s="1"/>
  <c r="J868" i="97"/>
  <c r="AK56" i="87" s="1"/>
  <c r="J854" i="97"/>
  <c r="W56" i="87" s="1"/>
  <c r="J850" i="97"/>
  <c r="S56" i="87" s="1"/>
  <c r="J849" i="97"/>
  <c r="R56" i="87" s="1"/>
  <c r="J848" i="97"/>
  <c r="Q56" i="87" s="1"/>
  <c r="J847" i="97"/>
  <c r="P56" i="87" s="1"/>
  <c r="J846" i="97"/>
  <c r="O56" i="87" s="1"/>
  <c r="J845" i="97"/>
  <c r="N56" i="87" s="1"/>
  <c r="J844" i="97"/>
  <c r="M56" i="87" s="1"/>
  <c r="J843" i="97"/>
  <c r="L56" i="87" s="1"/>
  <c r="J842" i="97"/>
  <c r="K56" i="87" s="1"/>
  <c r="J841" i="97"/>
  <c r="J56" i="87" s="1"/>
  <c r="J811" i="97"/>
  <c r="V48" i="87" s="1"/>
  <c r="J717" i="97"/>
  <c r="AG45" i="87" s="1"/>
  <c r="J710" i="97"/>
  <c r="Z45" i="87" s="1"/>
  <c r="J704" i="97"/>
  <c r="T45" i="87" s="1"/>
  <c r="J635" i="97"/>
  <c r="U43" i="87" s="1"/>
  <c r="J609" i="97"/>
  <c r="AD42" i="87" s="1"/>
  <c r="J603" i="97"/>
  <c r="X42" i="87" s="1"/>
  <c r="J595" i="97"/>
  <c r="P42" i="87" s="1"/>
  <c r="J470" i="97"/>
  <c r="AG36" i="87" s="1"/>
  <c r="J462" i="97"/>
  <c r="Y36" i="87" s="1"/>
  <c r="J452" i="97"/>
  <c r="O36" i="87" s="1"/>
  <c r="J358" i="97"/>
  <c r="Z33" i="87" s="1"/>
  <c r="J326" i="97"/>
  <c r="AE30" i="87" s="1"/>
  <c r="J226" i="97"/>
  <c r="AJ27" i="87" s="1"/>
  <c r="J214" i="97"/>
  <c r="X27" i="87" s="1"/>
  <c r="J206" i="97"/>
  <c r="P27" i="87" s="1"/>
  <c r="J196" i="97"/>
  <c r="AO26" i="87" s="1"/>
  <c r="J70" i="98"/>
  <c r="J69" i="98"/>
  <c r="H69" i="89" s="1"/>
  <c r="J68" i="98"/>
  <c r="H68" i="89" s="1"/>
  <c r="J67" i="98"/>
  <c r="H67" i="89" s="1"/>
  <c r="J66" i="98"/>
  <c r="H66" i="89" s="1"/>
  <c r="J65" i="98"/>
  <c r="H65" i="89" s="1"/>
  <c r="J64" i="98"/>
  <c r="H64" i="89" s="1"/>
  <c r="J63" i="98"/>
  <c r="H63" i="89" s="1"/>
  <c r="J62" i="98"/>
  <c r="H62" i="89" s="1"/>
  <c r="J61" i="98"/>
  <c r="H61" i="89" s="1"/>
  <c r="J60" i="98"/>
  <c r="H60" i="89" s="1"/>
  <c r="J59" i="98"/>
  <c r="H59" i="89" s="1"/>
  <c r="J56" i="98"/>
  <c r="H56" i="89" s="1"/>
  <c r="J55" i="98"/>
  <c r="H55" i="89" s="1"/>
  <c r="J54" i="98"/>
  <c r="H54" i="89" s="1"/>
  <c r="J53" i="98"/>
  <c r="H53" i="89" s="1"/>
  <c r="J52" i="98"/>
  <c r="H52" i="89" s="1"/>
  <c r="J51" i="98"/>
  <c r="H51" i="89" s="1"/>
  <c r="J50" i="98"/>
  <c r="H50" i="89" s="1"/>
  <c r="J126" i="100"/>
  <c r="M36" i="86" s="1"/>
  <c r="J125" i="100"/>
  <c r="L36" i="86" s="1"/>
  <c r="J114" i="100"/>
  <c r="O32" i="86" s="1"/>
  <c r="J113" i="100"/>
  <c r="N32" i="86" s="1"/>
  <c r="J112" i="100"/>
  <c r="M32" i="86" s="1"/>
  <c r="J111" i="100"/>
  <c r="L32" i="86" s="1"/>
  <c r="J105" i="100"/>
  <c r="Q31" i="86" s="1"/>
  <c r="J104" i="100"/>
  <c r="P31" i="86" s="1"/>
  <c r="J103" i="100"/>
  <c r="O31" i="86" s="1"/>
  <c r="J102" i="100"/>
  <c r="N31" i="86" s="1"/>
  <c r="J101" i="100"/>
  <c r="M31" i="86" s="1"/>
  <c r="J100" i="100"/>
  <c r="L31" i="86" s="1"/>
  <c r="J95" i="100"/>
  <c r="R30" i="86" s="1"/>
  <c r="J94" i="100"/>
  <c r="Q30" i="86" s="1"/>
  <c r="J93" i="100"/>
  <c r="P30" i="86" s="1"/>
  <c r="J92" i="100"/>
  <c r="O30" i="86" s="1"/>
  <c r="J91" i="100"/>
  <c r="N30" i="86" s="1"/>
  <c r="J90" i="100"/>
  <c r="M30" i="86" s="1"/>
  <c r="J89" i="100"/>
  <c r="L30" i="86" s="1"/>
  <c r="J85" i="100"/>
  <c r="S29" i="86" s="1"/>
  <c r="J84" i="100"/>
  <c r="R29" i="86" s="1"/>
  <c r="J83" i="100"/>
  <c r="Q29" i="86" s="1"/>
  <c r="J82" i="100"/>
  <c r="P29" i="86" s="1"/>
  <c r="J81" i="100"/>
  <c r="O29" i="86" s="1"/>
  <c r="J80" i="100"/>
  <c r="N29" i="86" s="1"/>
  <c r="J79" i="100"/>
  <c r="M29" i="86" s="1"/>
  <c r="J78" i="100"/>
  <c r="L29" i="86" s="1"/>
  <c r="J70" i="100"/>
  <c r="S24" i="86" s="1"/>
  <c r="J69" i="100"/>
  <c r="R24" i="86" s="1"/>
  <c r="J68" i="100"/>
  <c r="Q24" i="86" s="1"/>
  <c r="J67" i="100"/>
  <c r="P24" i="86" s="1"/>
  <c r="J66" i="100"/>
  <c r="O24" i="86" s="1"/>
  <c r="J65" i="100"/>
  <c r="N24" i="86" s="1"/>
  <c r="J64" i="100"/>
  <c r="M24" i="86" s="1"/>
  <c r="J63" i="100"/>
  <c r="L24" i="86" s="1"/>
  <c r="J62" i="100"/>
  <c r="K24" i="86" s="1"/>
  <c r="J56" i="100"/>
  <c r="S22" i="86" s="1"/>
  <c r="J55" i="100"/>
  <c r="R22" i="86" s="1"/>
  <c r="J54" i="100"/>
  <c r="Q22" i="86" s="1"/>
  <c r="J52" i="100"/>
  <c r="O22" i="86" s="1"/>
  <c r="J51" i="100"/>
  <c r="N22" i="86" s="1"/>
  <c r="J50" i="100"/>
  <c r="M22" i="86" s="1"/>
  <c r="J49" i="100"/>
  <c r="L22" i="86" s="1"/>
  <c r="J1157" i="97"/>
  <c r="AP68" i="87" s="1"/>
  <c r="J1149" i="97"/>
  <c r="AH68" i="87" s="1"/>
  <c r="J1137" i="97"/>
  <c r="V68" i="87" s="1"/>
  <c r="J1015" i="97"/>
  <c r="AP62" i="87" s="1"/>
  <c r="J1007" i="97"/>
  <c r="AH62" i="87" s="1"/>
  <c r="J995" i="97"/>
  <c r="V62" i="87" s="1"/>
  <c r="J873" i="97"/>
  <c r="AP56" i="87" s="1"/>
  <c r="J865" i="97"/>
  <c r="AH56" i="87" s="1"/>
  <c r="J853" i="97"/>
  <c r="V56" i="87" s="1"/>
  <c r="J820" i="97"/>
  <c r="AE48" i="87" s="1"/>
  <c r="J775" i="97"/>
  <c r="U47" i="87" s="1"/>
  <c r="J721" i="97"/>
  <c r="AK45" i="87" s="1"/>
  <c r="J712" i="97"/>
  <c r="AB45" i="87" s="1"/>
  <c r="J677" i="97"/>
  <c r="AB44" i="87" s="1"/>
  <c r="J628" i="97"/>
  <c r="N43" i="87" s="1"/>
  <c r="J612" i="97"/>
  <c r="AG42" i="87" s="1"/>
  <c r="J605" i="97"/>
  <c r="Z42" i="87" s="1"/>
  <c r="J591" i="97"/>
  <c r="L42" i="87" s="1"/>
  <c r="J528" i="97"/>
  <c r="U38" i="87" s="1"/>
  <c r="J464" i="97"/>
  <c r="AA36" i="87" s="1"/>
  <c r="J395" i="97"/>
  <c r="AB34" i="87" s="1"/>
  <c r="J378" i="97"/>
  <c r="K34" i="87" s="1"/>
  <c r="J330" i="97"/>
  <c r="AI30" i="87" s="1"/>
  <c r="J228" i="97"/>
  <c r="AL27" i="87" s="1"/>
  <c r="J216" i="97"/>
  <c r="Z27" i="87" s="1"/>
  <c r="J208" i="97"/>
  <c r="R27" i="87" s="1"/>
  <c r="J200" i="97"/>
  <c r="J27" i="87" s="1"/>
  <c r="J80" i="98"/>
  <c r="J79" i="98"/>
  <c r="H79" i="89" s="1"/>
  <c r="J78" i="98"/>
  <c r="H78" i="89" s="1"/>
  <c r="J77" i="98"/>
  <c r="H77" i="89" s="1"/>
  <c r="J76" i="98"/>
  <c r="H76" i="89" s="1"/>
  <c r="J75" i="98"/>
  <c r="H75" i="89" s="1"/>
  <c r="J1156" i="97"/>
  <c r="AO68" i="87" s="1"/>
  <c r="J1148" i="97"/>
  <c r="AG68" i="87" s="1"/>
  <c r="J1136" i="97"/>
  <c r="U68" i="87" s="1"/>
  <c r="J1014" i="97"/>
  <c r="AO62" i="87" s="1"/>
  <c r="J1006" i="97"/>
  <c r="AG62" i="87" s="1"/>
  <c r="J994" i="97"/>
  <c r="U62" i="87" s="1"/>
  <c r="J872" i="97"/>
  <c r="AO56" i="87" s="1"/>
  <c r="J864" i="97"/>
  <c r="AG56" i="87" s="1"/>
  <c r="J852" i="97"/>
  <c r="U56" i="87" s="1"/>
  <c r="J824" i="97"/>
  <c r="AI48" i="87" s="1"/>
  <c r="J725" i="97"/>
  <c r="AO45" i="87" s="1"/>
  <c r="J698" i="97"/>
  <c r="N45" i="87" s="1"/>
  <c r="J686" i="97"/>
  <c r="AK44" i="87" s="1"/>
  <c r="J669" i="97"/>
  <c r="T44" i="87" s="1"/>
  <c r="J616" i="97"/>
  <c r="AK42" i="87" s="1"/>
  <c r="J573" i="97"/>
  <c r="AE39" i="87" s="1"/>
  <c r="J448" i="97"/>
  <c r="K36" i="87" s="1"/>
  <c r="J421" i="97"/>
  <c r="S35" i="87" s="1"/>
  <c r="J383" i="97"/>
  <c r="P34" i="87" s="1"/>
  <c r="J352" i="97"/>
  <c r="T33" i="87" s="1"/>
  <c r="J344" i="97"/>
  <c r="L33" i="87" s="1"/>
  <c r="J247" i="97"/>
  <c r="V28" i="87" s="1"/>
  <c r="J218" i="97"/>
  <c r="AB27" i="87" s="1"/>
  <c r="J210" i="97"/>
  <c r="T27" i="87" s="1"/>
  <c r="J202" i="97"/>
  <c r="L27" i="87" s="1"/>
  <c r="J188" i="97"/>
  <c r="AG26" i="87" s="1"/>
  <c r="J161" i="97"/>
  <c r="AO25" i="87" s="1"/>
  <c r="J141" i="97"/>
  <c r="U25" i="87" s="1"/>
  <c r="J127" i="97"/>
  <c r="AP24" i="87" s="1"/>
  <c r="J119" i="97"/>
  <c r="AH24" i="87" s="1"/>
  <c r="J111" i="97"/>
  <c r="Z24" i="87" s="1"/>
  <c r="J103" i="97"/>
  <c r="R24" i="87" s="1"/>
  <c r="J95" i="97"/>
  <c r="J24" i="87" s="1"/>
  <c r="J1001" i="97"/>
  <c r="J851" i="97"/>
  <c r="T56" i="87" s="1"/>
  <c r="J700" i="97"/>
  <c r="P45" i="87" s="1"/>
  <c r="J647" i="97"/>
  <c r="AG43" i="87" s="1"/>
  <c r="J423" i="97"/>
  <c r="U35" i="87" s="1"/>
  <c r="J220" i="97"/>
  <c r="AD27" i="87" s="1"/>
  <c r="J178" i="97"/>
  <c r="W26" i="87" s="1"/>
  <c r="J134" i="97"/>
  <c r="N25" i="87" s="1"/>
  <c r="J123" i="97"/>
  <c r="AL24" i="87" s="1"/>
  <c r="J117" i="97"/>
  <c r="AF24" i="87" s="1"/>
  <c r="J97" i="97"/>
  <c r="L24" i="87" s="1"/>
  <c r="J1135" i="97"/>
  <c r="T68" i="87" s="1"/>
  <c r="J694" i="97"/>
  <c r="J45" i="87" s="1"/>
  <c r="J356" i="97"/>
  <c r="X33" i="87" s="1"/>
  <c r="J176" i="97"/>
  <c r="U26" i="87" s="1"/>
  <c r="J121" i="97"/>
  <c r="AJ24" i="87" s="1"/>
  <c r="J1153" i="97"/>
  <c r="AL68" i="87" s="1"/>
  <c r="J993" i="97"/>
  <c r="T62" i="87" s="1"/>
  <c r="J708" i="97"/>
  <c r="X45" i="87" s="1"/>
  <c r="J601" i="97"/>
  <c r="V42" i="87" s="1"/>
  <c r="J450" i="97"/>
  <c r="M36" i="87" s="1"/>
  <c r="J212" i="97"/>
  <c r="V27" i="87" s="1"/>
  <c r="J143" i="97"/>
  <c r="W25" i="87" s="1"/>
  <c r="J137" i="97"/>
  <c r="Q25" i="87" s="1"/>
  <c r="J125" i="97"/>
  <c r="AN24" i="87" s="1"/>
  <c r="J105" i="97"/>
  <c r="T24" i="87" s="1"/>
  <c r="J99" i="97"/>
  <c r="N24" i="87" s="1"/>
  <c r="J1143" i="97"/>
  <c r="J869" i="97"/>
  <c r="AL56" i="87" s="1"/>
  <c r="J828" i="97"/>
  <c r="AM48" i="87" s="1"/>
  <c r="J458" i="97"/>
  <c r="U36" i="87" s="1"/>
  <c r="J346" i="97"/>
  <c r="N33" i="87" s="1"/>
  <c r="J204" i="97"/>
  <c r="N27" i="87" s="1"/>
  <c r="J174" i="97"/>
  <c r="S26" i="87" s="1"/>
  <c r="J153" i="97"/>
  <c r="AG25" i="87" s="1"/>
  <c r="J139" i="97"/>
  <c r="S25" i="87" s="1"/>
  <c r="J113" i="97"/>
  <c r="AB24" i="87" s="1"/>
  <c r="J107" i="97"/>
  <c r="V24" i="87" s="1"/>
  <c r="J101" i="97"/>
  <c r="P24" i="87" s="1"/>
  <c r="J1011" i="97"/>
  <c r="AL62" i="87" s="1"/>
  <c r="J859" i="97"/>
  <c r="AB56" i="87" s="1"/>
  <c r="J281" i="97"/>
  <c r="U29" i="87" s="1"/>
  <c r="J192" i="97"/>
  <c r="AK26" i="87" s="1"/>
  <c r="J157" i="97"/>
  <c r="AK25" i="87" s="1"/>
  <c r="J115" i="97"/>
  <c r="AD24" i="87" s="1"/>
  <c r="J109" i="97"/>
  <c r="X24" i="87" s="1"/>
  <c r="J24" i="97"/>
  <c r="O18" i="87" s="1"/>
  <c r="J70" i="97"/>
  <c r="X19" i="87" s="1"/>
  <c r="J400" i="97"/>
  <c r="AG34" i="87" s="1"/>
  <c r="J118" i="97"/>
  <c r="AG24" i="87" s="1"/>
  <c r="J229" i="97"/>
  <c r="AM27" i="87" s="1"/>
  <c r="J563" i="97"/>
  <c r="U39" i="87" s="1"/>
  <c r="J22" i="97"/>
  <c r="M18" i="87" s="1"/>
  <c r="J56" i="97"/>
  <c r="J19" i="87" s="1"/>
  <c r="J72" i="97"/>
  <c r="Z19" i="87" s="1"/>
  <c r="J131" i="97"/>
  <c r="K25" i="87" s="1"/>
  <c r="J332" i="97"/>
  <c r="AK30" i="87" s="1"/>
  <c r="J671" i="97"/>
  <c r="V44" i="87" s="1"/>
  <c r="J20" i="97"/>
  <c r="K18" i="87" s="1"/>
  <c r="J74" i="97"/>
  <c r="AB19" i="87" s="1"/>
  <c r="J316" i="97"/>
  <c r="U30" i="87" s="1"/>
  <c r="J697" i="97"/>
  <c r="M45" i="87" s="1"/>
  <c r="J21" i="97"/>
  <c r="L18" i="87" s="1"/>
  <c r="J37" i="97"/>
  <c r="AB18" i="87" s="1"/>
  <c r="J71" i="97"/>
  <c r="Y19" i="87" s="1"/>
  <c r="J140" i="97"/>
  <c r="T25" i="87" s="1"/>
  <c r="J363" i="97"/>
  <c r="AE33" i="87" s="1"/>
  <c r="J668" i="97"/>
  <c r="S44" i="87" s="1"/>
  <c r="J31" i="97"/>
  <c r="V18" i="87" s="1"/>
  <c r="J65" i="97"/>
  <c r="S19" i="87" s="1"/>
  <c r="J108" i="97"/>
  <c r="W24" i="87" s="1"/>
  <c r="J154" i="97"/>
  <c r="AH25" i="87" s="1"/>
  <c r="J215" i="97"/>
  <c r="Y27" i="87" s="1"/>
  <c r="J317" i="97"/>
  <c r="V30" i="87" s="1"/>
  <c r="J365" i="97"/>
  <c r="AG33" i="87" s="1"/>
  <c r="J466" i="97"/>
  <c r="AC36" i="87" s="1"/>
  <c r="J598" i="97"/>
  <c r="S42" i="87" s="1"/>
  <c r="J625" i="97"/>
  <c r="K43" i="87" s="1"/>
  <c r="J705" i="97"/>
  <c r="U45" i="87" s="1"/>
  <c r="J742" i="97"/>
  <c r="W46" i="87" s="1"/>
  <c r="J205" i="97"/>
  <c r="O27" i="87" s="1"/>
  <c r="J231" i="97"/>
  <c r="AO27" i="87" s="1"/>
  <c r="J347" i="97"/>
  <c r="O33" i="87" s="1"/>
  <c r="J451" i="97"/>
  <c r="N36" i="87" s="1"/>
  <c r="J594" i="97"/>
  <c r="O42" i="87" s="1"/>
  <c r="J634" i="97"/>
  <c r="T43" i="87" s="1"/>
  <c r="J703" i="97"/>
  <c r="S45" i="87" s="1"/>
  <c r="J810" i="97"/>
  <c r="U48" i="87" s="1"/>
  <c r="J189" i="97"/>
  <c r="AH26" i="87" s="1"/>
  <c r="J222" i="97"/>
  <c r="AF27" i="87" s="1"/>
  <c r="J342" i="97"/>
  <c r="J33" i="87" s="1"/>
  <c r="J361" i="97"/>
  <c r="AC33" i="87" s="1"/>
  <c r="J449" i="97"/>
  <c r="L36" i="87" s="1"/>
  <c r="J618" i="97"/>
  <c r="AM42" i="87" s="1"/>
  <c r="J690" i="97"/>
  <c r="AO44" i="87" s="1"/>
  <c r="J740" i="97"/>
  <c r="U46" i="87" s="1"/>
  <c r="J36" i="100"/>
  <c r="P20" i="86" s="1"/>
  <c r="J812" i="97"/>
  <c r="W48" i="87" s="1"/>
  <c r="J461" i="97"/>
  <c r="X36" i="87" s="1"/>
  <c r="J651" i="97"/>
  <c r="AK43" i="87" s="1"/>
  <c r="J248" i="97"/>
  <c r="W28" i="87" s="1"/>
  <c r="J422" i="97"/>
  <c r="T35" i="87" s="1"/>
  <c r="J699" i="97"/>
  <c r="O45" i="87" s="1"/>
  <c r="J120" i="97"/>
  <c r="AI24" i="87" s="1"/>
  <c r="J593" i="97"/>
  <c r="N42" i="87" s="1"/>
  <c r="J856" i="97"/>
  <c r="Y56" i="87" s="1"/>
  <c r="J336" i="97"/>
  <c r="AO30" i="87" s="1"/>
  <c r="J32" i="97"/>
  <c r="W18" i="87" s="1"/>
  <c r="J106" i="97"/>
  <c r="U24" i="87" s="1"/>
  <c r="J776" i="97"/>
  <c r="V47" i="87" s="1"/>
  <c r="J136" i="97"/>
  <c r="P25" i="87" s="1"/>
  <c r="J246" i="97"/>
  <c r="U28" i="87" s="1"/>
  <c r="J620" i="97"/>
  <c r="AO42" i="87" s="1"/>
  <c r="J26" i="97"/>
  <c r="Q18" i="87" s="1"/>
  <c r="J60" i="97"/>
  <c r="N19" i="87" s="1"/>
  <c r="J96" i="97"/>
  <c r="K24" i="87" s="1"/>
  <c r="J158" i="97"/>
  <c r="AL25" i="87" s="1"/>
  <c r="J343" i="97"/>
  <c r="K33" i="87" s="1"/>
  <c r="J723" i="97"/>
  <c r="AM45" i="87" s="1"/>
  <c r="J28" i="97"/>
  <c r="S18" i="87" s="1"/>
  <c r="J112" i="97"/>
  <c r="AA24" i="87" s="1"/>
  <c r="J589" i="97"/>
  <c r="J42" i="87" s="1"/>
  <c r="J713" i="97"/>
  <c r="AC45" i="87" s="1"/>
  <c r="J25" i="97"/>
  <c r="P18" i="87" s="1"/>
  <c r="J59" i="97"/>
  <c r="M19" i="87" s="1"/>
  <c r="J102" i="97"/>
  <c r="Q24" i="87" s="1"/>
  <c r="J175" i="97"/>
  <c r="T26" i="87" s="1"/>
  <c r="J447" i="97"/>
  <c r="J36" i="87" s="1"/>
  <c r="J19" i="97"/>
  <c r="J18" i="87" s="1"/>
  <c r="J35" i="97"/>
  <c r="Z18" i="87" s="1"/>
  <c r="J69" i="97"/>
  <c r="W19" i="87" s="1"/>
  <c r="J116" i="97"/>
  <c r="AE24" i="87" s="1"/>
  <c r="J177" i="97"/>
  <c r="V26" i="87" s="1"/>
  <c r="J224" i="97"/>
  <c r="AH27" i="87" s="1"/>
  <c r="J328" i="97"/>
  <c r="AG30" i="87" s="1"/>
  <c r="J388" i="97"/>
  <c r="U34" i="87" s="1"/>
  <c r="J493" i="97"/>
  <c r="U37" i="87" s="1"/>
  <c r="J604" i="97"/>
  <c r="Y42" i="87" s="1"/>
  <c r="J633" i="97"/>
  <c r="S43" i="87" s="1"/>
  <c r="J711" i="97"/>
  <c r="AA45" i="87" s="1"/>
  <c r="J777" i="97"/>
  <c r="W47" i="87" s="1"/>
  <c r="J213" i="97"/>
  <c r="W27" i="87" s="1"/>
  <c r="J282" i="97"/>
  <c r="V29" i="87" s="1"/>
  <c r="J357" i="97"/>
  <c r="Y33" i="87" s="1"/>
  <c r="J456" i="97"/>
  <c r="S36" i="87" s="1"/>
  <c r="J599" i="97"/>
  <c r="T42" i="87" s="1"/>
  <c r="J637" i="97"/>
  <c r="W43" i="87" s="1"/>
  <c r="J706" i="97"/>
  <c r="V45" i="87" s="1"/>
  <c r="J830" i="97"/>
  <c r="AO48" i="87" s="1"/>
  <c r="J203" i="97"/>
  <c r="M27" i="87" s="1"/>
  <c r="J232" i="97"/>
  <c r="AP27" i="87" s="1"/>
  <c r="J345" i="97"/>
  <c r="M33" i="87" s="1"/>
  <c r="J386" i="97"/>
  <c r="S34" i="87" s="1"/>
  <c r="J457" i="97"/>
  <c r="T36" i="87" s="1"/>
  <c r="J642" i="97"/>
  <c r="AB43" i="87" s="1"/>
  <c r="J696" i="97"/>
  <c r="L45" i="87" s="1"/>
  <c r="J826" i="97"/>
  <c r="AK48" i="87" s="1"/>
  <c r="J23" i="100"/>
  <c r="N18" i="86" s="1"/>
  <c r="J714" i="97"/>
  <c r="AD45" i="87" s="1"/>
  <c r="J360" i="97"/>
  <c r="AB33" i="87" s="1"/>
  <c r="J709" i="97"/>
  <c r="Y45" i="87" s="1"/>
  <c r="J211" i="97"/>
  <c r="U27" i="87" s="1"/>
  <c r="J348" i="97"/>
  <c r="P33" i="87" s="1"/>
  <c r="J655" i="97"/>
  <c r="AO43" i="87" s="1"/>
  <c r="J858" i="97"/>
  <c r="AA56" i="87" s="1"/>
  <c r="J73" i="98"/>
  <c r="J223" i="97"/>
  <c r="AG27" i="87" s="1"/>
  <c r="J463" i="97"/>
  <c r="Z36" i="87" s="1"/>
  <c r="J36" i="97"/>
  <c r="AA18" i="87" s="1"/>
  <c r="J126" i="97"/>
  <c r="AO24" i="87" s="1"/>
  <c r="J98" i="97"/>
  <c r="M24" i="87" s="1"/>
  <c r="J142" i="97"/>
  <c r="V25" i="87" s="1"/>
  <c r="J351" i="97"/>
  <c r="S33" i="87" s="1"/>
  <c r="J682" i="97"/>
  <c r="AG44" i="87" s="1"/>
  <c r="J30" i="97"/>
  <c r="U18" i="87" s="1"/>
  <c r="J64" i="97"/>
  <c r="R19" i="87" s="1"/>
  <c r="J110" i="97"/>
  <c r="Y24" i="87" s="1"/>
  <c r="J193" i="97"/>
  <c r="AL26" i="87" s="1"/>
  <c r="J381" i="97"/>
  <c r="N34" i="87" s="1"/>
  <c r="J822" i="97"/>
  <c r="AG48" i="87" s="1"/>
  <c r="J148" i="97"/>
  <c r="AB25" i="87" s="1"/>
  <c r="J606" i="97"/>
  <c r="AA42" i="87" s="1"/>
  <c r="J857" i="97"/>
  <c r="Z56" i="87" s="1"/>
  <c r="J29" i="97"/>
  <c r="T18" i="87" s="1"/>
  <c r="J63" i="97"/>
  <c r="Q19" i="87" s="1"/>
  <c r="J114" i="97"/>
  <c r="AC24" i="87" s="1"/>
  <c r="AC16" i="105" s="1"/>
  <c r="J209" i="97"/>
  <c r="S27" i="87" s="1"/>
  <c r="J465" i="97"/>
  <c r="AB36" i="87" s="1"/>
  <c r="J23" i="97"/>
  <c r="N18" i="87" s="1"/>
  <c r="J57" i="97"/>
  <c r="K19" i="87" s="1"/>
  <c r="J73" i="97"/>
  <c r="AA19" i="87" s="1"/>
  <c r="J124" i="97"/>
  <c r="AM24" i="87" s="1"/>
  <c r="J197" i="97"/>
  <c r="AP26" i="87" s="1"/>
  <c r="J227" i="97"/>
  <c r="AK27" i="87" s="1"/>
  <c r="J334" i="97"/>
  <c r="AM30" i="87" s="1"/>
  <c r="J453" i="97"/>
  <c r="P36" i="87" s="1"/>
  <c r="J590" i="97"/>
  <c r="K42" i="87" s="1"/>
  <c r="J607" i="97"/>
  <c r="AB42" i="87" s="1"/>
  <c r="J636" i="97"/>
  <c r="V43" i="87" s="1"/>
  <c r="J221" i="97"/>
  <c r="AE27" i="87" s="1"/>
  <c r="J318" i="97"/>
  <c r="W30" i="87" s="1"/>
  <c r="J602" i="97"/>
  <c r="W42" i="87" s="1"/>
  <c r="J855" i="97"/>
  <c r="X56" i="87" s="1"/>
  <c r="J575" i="97"/>
  <c r="AG39" i="87" s="1"/>
  <c r="J26" i="100"/>
  <c r="Q18" i="86" s="1"/>
  <c r="J27" i="97"/>
  <c r="R18" i="87" s="1"/>
  <c r="J230" i="97"/>
  <c r="AN27" i="87" s="1"/>
  <c r="J610" i="97"/>
  <c r="AE42" i="87" s="1"/>
  <c r="J719" i="97"/>
  <c r="AI45" i="87" s="1"/>
  <c r="J225" i="97"/>
  <c r="AI27" i="87" s="1"/>
  <c r="J66" i="97"/>
  <c r="T19" i="87" s="1"/>
  <c r="J162" i="97"/>
  <c r="AP25" i="87" s="1"/>
  <c r="J104" i="97"/>
  <c r="S24" i="87" s="1"/>
  <c r="J183" i="97"/>
  <c r="AB26" i="87" s="1"/>
  <c r="J387" i="97"/>
  <c r="T34" i="87" s="1"/>
  <c r="J741" i="97"/>
  <c r="V46" i="87" s="1"/>
  <c r="J34" i="97"/>
  <c r="Y18" i="87" s="1"/>
  <c r="J68" i="97"/>
  <c r="V19" i="87" s="1"/>
  <c r="J122" i="97"/>
  <c r="AK24" i="87" s="1"/>
  <c r="J201" i="97"/>
  <c r="K27" i="87" s="1"/>
  <c r="J614" i="97"/>
  <c r="AI42" i="87" s="1"/>
  <c r="J62" i="97"/>
  <c r="P19" i="87" s="1"/>
  <c r="J217" i="97"/>
  <c r="AA27" i="87" s="1"/>
  <c r="J630" i="97"/>
  <c r="P43" i="87" s="1"/>
  <c r="J21" i="100"/>
  <c r="L18" i="86" s="1"/>
  <c r="J33" i="97"/>
  <c r="X18" i="87" s="1"/>
  <c r="J67" i="97"/>
  <c r="U19" i="87" s="1"/>
  <c r="J592" i="97"/>
  <c r="M42" i="87" s="1"/>
  <c r="J100" i="97"/>
  <c r="O24" i="87" s="1"/>
  <c r="J138" i="97"/>
  <c r="R25" i="87" s="1"/>
  <c r="J207" i="97"/>
  <c r="Q27" i="87" s="1"/>
  <c r="J359" i="97"/>
  <c r="AA33" i="87" s="1"/>
  <c r="J672" i="97"/>
  <c r="W44" i="87" s="1"/>
  <c r="J430" i="97"/>
  <c r="AB35" i="87" s="1"/>
  <c r="J715" i="97"/>
  <c r="AE45" i="87" s="1"/>
  <c r="J353" i="97"/>
  <c r="U33" i="87" s="1"/>
  <c r="J707" i="97"/>
  <c r="W45" i="87" s="1"/>
  <c r="J468" i="97"/>
  <c r="AE36" i="87" s="1"/>
  <c r="J435" i="97"/>
  <c r="AG35" i="87" s="1"/>
  <c r="J608" i="97"/>
  <c r="AC42" i="87" s="1"/>
  <c r="J219" i="97"/>
  <c r="AC27" i="87" s="1"/>
  <c r="J600" i="97"/>
  <c r="U42" i="87" s="1"/>
  <c r="J20" i="100"/>
  <c r="J695" i="97"/>
  <c r="K45" i="87" s="1"/>
  <c r="J283" i="97"/>
  <c r="W29" i="87" s="1"/>
  <c r="J670" i="97"/>
  <c r="U44" i="87" s="1"/>
  <c r="J48" i="98"/>
  <c r="J81" i="98"/>
  <c r="J88" i="98"/>
  <c r="N5" i="98"/>
  <c r="R5" i="98"/>
  <c r="L5" i="98"/>
  <c r="L6" i="98"/>
  <c r="M5" i="98"/>
  <c r="O5" i="98"/>
  <c r="Q5" i="98"/>
  <c r="R6" i="98"/>
  <c r="S5" i="98"/>
  <c r="Q6" i="98"/>
  <c r="P5" i="98"/>
  <c r="O6" i="98"/>
  <c r="M6" i="98"/>
  <c r="N6" i="98"/>
  <c r="P6" i="98"/>
  <c r="K293" i="73"/>
  <c r="O293" i="73"/>
  <c r="S293" i="73"/>
  <c r="W293" i="73"/>
  <c r="AA293" i="73"/>
  <c r="AE293" i="73"/>
  <c r="AI293" i="73"/>
  <c r="AM293" i="73"/>
  <c r="J293" i="73"/>
  <c r="N293" i="73"/>
  <c r="R293" i="73"/>
  <c r="V293" i="73"/>
  <c r="Z293" i="73"/>
  <c r="AD293" i="73"/>
  <c r="AH293" i="73"/>
  <c r="AL293" i="73"/>
  <c r="AP293" i="73"/>
  <c r="Q6" i="100"/>
  <c r="M6" i="100"/>
  <c r="Q5" i="100"/>
  <c r="M5" i="100"/>
  <c r="R5" i="100"/>
  <c r="P6" i="100"/>
  <c r="L6" i="100"/>
  <c r="P5" i="100"/>
  <c r="L5" i="100"/>
  <c r="R6" i="100"/>
  <c r="N5" i="100"/>
  <c r="S6" i="100"/>
  <c r="O6" i="100"/>
  <c r="S5" i="100"/>
  <c r="O5" i="100"/>
  <c r="N6" i="100"/>
  <c r="N5" i="93"/>
  <c r="J5" i="93"/>
  <c r="K5" i="93"/>
  <c r="M5" i="93"/>
  <c r="L5" i="93"/>
  <c r="S6" i="97"/>
  <c r="O6" i="97"/>
  <c r="S5" i="97"/>
  <c r="O5" i="97"/>
  <c r="R6" i="97"/>
  <c r="N6" i="97"/>
  <c r="R5" i="97"/>
  <c r="N5" i="97"/>
  <c r="Q6" i="97"/>
  <c r="M6" i="97"/>
  <c r="Q5" i="97"/>
  <c r="M5" i="97"/>
  <c r="P6" i="97"/>
  <c r="L6" i="97"/>
  <c r="P5" i="97"/>
  <c r="L5" i="97"/>
  <c r="O5" i="107"/>
  <c r="N5" i="107"/>
  <c r="P5" i="107"/>
  <c r="M5" i="107"/>
  <c r="L5" i="107"/>
  <c r="H12" i="86"/>
  <c r="H12" i="89"/>
  <c r="H12" i="87"/>
  <c r="J6" i="100"/>
  <c r="J6" i="98"/>
  <c r="J6" i="97"/>
  <c r="AP99" i="53"/>
  <c r="AO99" i="53"/>
  <c r="AN99" i="53"/>
  <c r="AM99" i="53"/>
  <c r="AL99" i="53"/>
  <c r="AK99" i="53"/>
  <c r="AJ99" i="53"/>
  <c r="AI99" i="53"/>
  <c r="AH99" i="53"/>
  <c r="AG99" i="53"/>
  <c r="AF99" i="53"/>
  <c r="AE99" i="53"/>
  <c r="AD99" i="53"/>
  <c r="AC99" i="53"/>
  <c r="AP98" i="53"/>
  <c r="AO98" i="53"/>
  <c r="AN98" i="53"/>
  <c r="AM98" i="53"/>
  <c r="AL98" i="53"/>
  <c r="AK98" i="53"/>
  <c r="AJ98" i="53"/>
  <c r="AI98" i="53"/>
  <c r="AH98" i="53"/>
  <c r="AG98" i="53"/>
  <c r="AF98" i="53"/>
  <c r="AE98" i="53"/>
  <c r="AD98" i="53"/>
  <c r="AC98" i="53"/>
  <c r="AN63" i="53"/>
  <c r="AM63" i="53"/>
  <c r="AJ63" i="53"/>
  <c r="AI63" i="53"/>
  <c r="AF63" i="53"/>
  <c r="AE63" i="53"/>
  <c r="AD63" i="53"/>
  <c r="AC63" i="53"/>
  <c r="AA63" i="53"/>
  <c r="Z63" i="53"/>
  <c r="Y63" i="53"/>
  <c r="X63" i="53"/>
  <c r="R63" i="53"/>
  <c r="Q63" i="53"/>
  <c r="P63" i="53"/>
  <c r="O63" i="53"/>
  <c r="N63" i="53"/>
  <c r="M63" i="53"/>
  <c r="L63" i="53"/>
  <c r="K63" i="53"/>
  <c r="J63" i="53"/>
  <c r="AP62" i="53"/>
  <c r="AO62" i="53"/>
  <c r="AN62" i="53"/>
  <c r="AM62" i="53"/>
  <c r="AL62" i="53"/>
  <c r="AK62" i="53"/>
  <c r="AJ62" i="53"/>
  <c r="AI62" i="53"/>
  <c r="AH62" i="53"/>
  <c r="AG62" i="53"/>
  <c r="AF62" i="53"/>
  <c r="AE62" i="53"/>
  <c r="AD62" i="53"/>
  <c r="AC62" i="53"/>
  <c r="AB62" i="53"/>
  <c r="AA62" i="53"/>
  <c r="Z62" i="53"/>
  <c r="Y62" i="53"/>
  <c r="X62" i="53"/>
  <c r="W62" i="53"/>
  <c r="V62" i="53"/>
  <c r="U62" i="53"/>
  <c r="T62" i="53"/>
  <c r="S62" i="53"/>
  <c r="R62" i="53"/>
  <c r="Q62" i="53"/>
  <c r="P62" i="53"/>
  <c r="O62" i="53"/>
  <c r="N62" i="53"/>
  <c r="M62" i="53"/>
  <c r="L62" i="53"/>
  <c r="K62" i="53"/>
  <c r="J62" i="53"/>
  <c r="AP61" i="53"/>
  <c r="AO61" i="53"/>
  <c r="AN61" i="53"/>
  <c r="AM61" i="53"/>
  <c r="AL61" i="53"/>
  <c r="AK61" i="53"/>
  <c r="AJ61" i="53"/>
  <c r="AI61" i="53"/>
  <c r="AH61" i="53"/>
  <c r="AG61" i="53"/>
  <c r="AF61" i="53"/>
  <c r="AE61" i="53"/>
  <c r="AD61" i="53"/>
  <c r="AC61" i="53"/>
  <c r="AB61" i="53"/>
  <c r="AA61" i="53"/>
  <c r="Z61" i="53"/>
  <c r="Y61" i="53"/>
  <c r="X61" i="53"/>
  <c r="W61" i="53"/>
  <c r="V61" i="53"/>
  <c r="U61" i="53"/>
  <c r="T61" i="53"/>
  <c r="S61" i="53"/>
  <c r="R61" i="53"/>
  <c r="Q61" i="53"/>
  <c r="P61" i="53"/>
  <c r="O61" i="53"/>
  <c r="N61" i="53"/>
  <c r="M61" i="53"/>
  <c r="L61" i="53"/>
  <c r="K61" i="53"/>
  <c r="J61" i="53"/>
  <c r="AP54" i="53"/>
  <c r="AO54" i="53"/>
  <c r="AN54" i="53"/>
  <c r="AM54" i="53"/>
  <c r="AL54" i="53"/>
  <c r="AK54" i="53"/>
  <c r="AJ54" i="53"/>
  <c r="AI54" i="53"/>
  <c r="AH54" i="53"/>
  <c r="AG54" i="53"/>
  <c r="AF54" i="53"/>
  <c r="AE54" i="53"/>
  <c r="AD54" i="53"/>
  <c r="AC54" i="53"/>
  <c r="AB54" i="53"/>
  <c r="AA54" i="53"/>
  <c r="Z54" i="53"/>
  <c r="Y54" i="53"/>
  <c r="X54" i="53"/>
  <c r="W54" i="53"/>
  <c r="V54" i="53"/>
  <c r="U54" i="53"/>
  <c r="T54" i="53"/>
  <c r="S54" i="53"/>
  <c r="O54" i="53"/>
  <c r="M54" i="53"/>
  <c r="L54" i="53"/>
  <c r="J54" i="53"/>
  <c r="AN53" i="53"/>
  <c r="AM53" i="53"/>
  <c r="AJ53" i="53"/>
  <c r="AI53" i="53"/>
  <c r="AF53" i="53"/>
  <c r="AE53" i="53"/>
  <c r="AD53" i="53"/>
  <c r="AC53" i="53"/>
  <c r="AA53" i="53"/>
  <c r="Z53" i="53"/>
  <c r="Y53" i="53"/>
  <c r="X53" i="53"/>
  <c r="O53" i="53"/>
  <c r="M53" i="53"/>
  <c r="L53" i="53"/>
  <c r="J53" i="53"/>
  <c r="AP52" i="53"/>
  <c r="AO52" i="53"/>
  <c r="AN52" i="53"/>
  <c r="AM52" i="53"/>
  <c r="AL52" i="53"/>
  <c r="AK52" i="53"/>
  <c r="AJ52" i="53"/>
  <c r="AI52" i="53"/>
  <c r="AH52" i="53"/>
  <c r="AG52" i="53"/>
  <c r="AF52" i="53"/>
  <c r="AE52" i="53"/>
  <c r="AD52" i="53"/>
  <c r="AC52" i="53"/>
  <c r="AB52" i="53"/>
  <c r="AA52" i="53"/>
  <c r="Z52" i="53"/>
  <c r="Y52" i="53"/>
  <c r="X52" i="53"/>
  <c r="W52" i="53"/>
  <c r="V52" i="53"/>
  <c r="U52" i="53"/>
  <c r="T52" i="53"/>
  <c r="S52" i="53"/>
  <c r="O52" i="53"/>
  <c r="M52" i="53"/>
  <c r="L52" i="53"/>
  <c r="J52" i="53"/>
  <c r="AP24" i="53"/>
  <c r="AO24" i="53"/>
  <c r="AN24" i="53"/>
  <c r="AM24" i="53"/>
  <c r="AL24" i="53"/>
  <c r="AK24" i="53"/>
  <c r="AJ24" i="53"/>
  <c r="AI24" i="53"/>
  <c r="AH24" i="53"/>
  <c r="AG24" i="53"/>
  <c r="AF24" i="53"/>
  <c r="AE24" i="53"/>
  <c r="AD24" i="53"/>
  <c r="AC24" i="53"/>
  <c r="AB24" i="53"/>
  <c r="AA24" i="53"/>
  <c r="Z24" i="53"/>
  <c r="Y24" i="53"/>
  <c r="X24" i="53"/>
  <c r="W24" i="53"/>
  <c r="V24" i="53"/>
  <c r="U24" i="53"/>
  <c r="T24" i="53"/>
  <c r="S24" i="53"/>
  <c r="R24" i="53"/>
  <c r="Q24" i="53"/>
  <c r="P24" i="53"/>
  <c r="O24" i="53"/>
  <c r="N24" i="53"/>
  <c r="M24" i="53"/>
  <c r="L24" i="53"/>
  <c r="K24" i="53"/>
  <c r="J24" i="53"/>
  <c r="J25" i="53"/>
  <c r="K25" i="53"/>
  <c r="L25" i="53"/>
  <c r="M25" i="53"/>
  <c r="N25" i="53"/>
  <c r="O25" i="53"/>
  <c r="P25" i="53"/>
  <c r="Q25" i="53"/>
  <c r="R25" i="53"/>
  <c r="S25" i="53"/>
  <c r="S44" i="53" s="1"/>
  <c r="T25" i="53"/>
  <c r="U25" i="53"/>
  <c r="U44" i="53" s="1"/>
  <c r="V25" i="53"/>
  <c r="V45" i="53" s="1"/>
  <c r="W25" i="53"/>
  <c r="W44" i="53" s="1"/>
  <c r="X25" i="53"/>
  <c r="Y25" i="53"/>
  <c r="Z25" i="53"/>
  <c r="AA25" i="53"/>
  <c r="AB25" i="53"/>
  <c r="AC25" i="53"/>
  <c r="AD25" i="53"/>
  <c r="AE25" i="53"/>
  <c r="AF25" i="53"/>
  <c r="AG25" i="53"/>
  <c r="AG44" i="53" s="1"/>
  <c r="AH25" i="53"/>
  <c r="AH45" i="53" s="1"/>
  <c r="AI25" i="53"/>
  <c r="AJ25" i="53"/>
  <c r="AK25" i="53"/>
  <c r="AK44" i="53" s="1"/>
  <c r="AL25" i="53"/>
  <c r="AL45" i="53" s="1"/>
  <c r="AM25" i="53"/>
  <c r="AN25" i="53"/>
  <c r="AO25" i="53"/>
  <c r="AO44" i="53" s="1"/>
  <c r="AP25" i="53"/>
  <c r="AP45" i="53" s="1"/>
  <c r="AP49" i="22"/>
  <c r="AO49" i="22"/>
  <c r="AN49" i="22"/>
  <c r="AM49" i="22"/>
  <c r="AL49" i="22"/>
  <c r="AK49" i="22"/>
  <c r="AJ49" i="22"/>
  <c r="AI49" i="22"/>
  <c r="AH49" i="22"/>
  <c r="AG49" i="22"/>
  <c r="AF49" i="22"/>
  <c r="AE49" i="22"/>
  <c r="AD49" i="22"/>
  <c r="AC49" i="22"/>
  <c r="AB49" i="22"/>
  <c r="AA49" i="22"/>
  <c r="Z49" i="22"/>
  <c r="Y49" i="22"/>
  <c r="X49" i="22"/>
  <c r="W49" i="22"/>
  <c r="V49" i="22"/>
  <c r="U49" i="22"/>
  <c r="T49" i="22"/>
  <c r="S49" i="22"/>
  <c r="R49" i="22"/>
  <c r="Q49" i="22"/>
  <c r="P49" i="22"/>
  <c r="O49" i="22"/>
  <c r="N49" i="22"/>
  <c r="M49" i="22"/>
  <c r="L49" i="22"/>
  <c r="K49" i="22"/>
  <c r="AP48" i="22"/>
  <c r="AO48" i="22"/>
  <c r="AN48" i="22"/>
  <c r="AM48" i="22"/>
  <c r="AL48" i="22"/>
  <c r="AK48" i="22"/>
  <c r="AJ48" i="22"/>
  <c r="AI48" i="22"/>
  <c r="AH48" i="22"/>
  <c r="AG48" i="22"/>
  <c r="AF48" i="22"/>
  <c r="AE48" i="22"/>
  <c r="AD48" i="22"/>
  <c r="AC48" i="22"/>
  <c r="AB48" i="22"/>
  <c r="AA48" i="22"/>
  <c r="Z48" i="22"/>
  <c r="Y48" i="22"/>
  <c r="X48" i="22"/>
  <c r="W48" i="22"/>
  <c r="V48" i="22"/>
  <c r="U48" i="22"/>
  <c r="T48" i="22"/>
  <c r="S48" i="22"/>
  <c r="R48" i="22"/>
  <c r="Q48" i="22"/>
  <c r="P48" i="22"/>
  <c r="O48" i="22"/>
  <c r="N48" i="22"/>
  <c r="M48" i="22"/>
  <c r="L48" i="22"/>
  <c r="K48" i="22"/>
  <c r="AP47" i="22"/>
  <c r="AO47" i="22"/>
  <c r="AN47" i="22"/>
  <c r="AM47" i="22"/>
  <c r="AL47" i="22"/>
  <c r="AK47" i="22"/>
  <c r="AJ47" i="22"/>
  <c r="AI47" i="22"/>
  <c r="AH47" i="22"/>
  <c r="AG47" i="22"/>
  <c r="AF47" i="22"/>
  <c r="AE47" i="22"/>
  <c r="AD47" i="22"/>
  <c r="AC47" i="22"/>
  <c r="AB47" i="22"/>
  <c r="AA47" i="22"/>
  <c r="Z47" i="22"/>
  <c r="Y47" i="22"/>
  <c r="X47" i="22"/>
  <c r="W47" i="22"/>
  <c r="V47" i="22"/>
  <c r="U47" i="22"/>
  <c r="T47" i="22"/>
  <c r="S47" i="22"/>
  <c r="R47" i="22"/>
  <c r="Q47" i="22"/>
  <c r="P47" i="22"/>
  <c r="O47" i="22"/>
  <c r="N47" i="22"/>
  <c r="M47" i="22"/>
  <c r="L47" i="22"/>
  <c r="K47" i="22"/>
  <c r="AP46" i="22"/>
  <c r="AO46" i="22"/>
  <c r="AN46" i="22"/>
  <c r="AM46" i="22"/>
  <c r="AL46" i="22"/>
  <c r="AK46" i="22"/>
  <c r="AJ46" i="22"/>
  <c r="AI46" i="22"/>
  <c r="AH46" i="22"/>
  <c r="AG46" i="22"/>
  <c r="AF46" i="22"/>
  <c r="AE46" i="22"/>
  <c r="AD46" i="22"/>
  <c r="AC46" i="22"/>
  <c r="AB46" i="22"/>
  <c r="AA46" i="22"/>
  <c r="Z46" i="22"/>
  <c r="Y46" i="22"/>
  <c r="X46" i="22"/>
  <c r="W46" i="22"/>
  <c r="V46" i="22"/>
  <c r="U46" i="22"/>
  <c r="T46" i="22"/>
  <c r="S46" i="22"/>
  <c r="R46" i="22"/>
  <c r="Q46" i="22"/>
  <c r="P46" i="22"/>
  <c r="O46" i="22"/>
  <c r="N46" i="22"/>
  <c r="M46" i="22"/>
  <c r="L46" i="22"/>
  <c r="K46" i="22"/>
  <c r="AP45" i="22"/>
  <c r="AO45" i="22"/>
  <c r="AN45" i="22"/>
  <c r="AM45" i="22"/>
  <c r="AL45" i="22"/>
  <c r="AK45" i="22"/>
  <c r="AJ45" i="22"/>
  <c r="AI45" i="22"/>
  <c r="AH45" i="22"/>
  <c r="AG45" i="22"/>
  <c r="AF45" i="22"/>
  <c r="AE45" i="22"/>
  <c r="AD45" i="22"/>
  <c r="AC45" i="22"/>
  <c r="AB45" i="22"/>
  <c r="AA45" i="22"/>
  <c r="Z45" i="22"/>
  <c r="Y45" i="22"/>
  <c r="X45" i="22"/>
  <c r="W45" i="22"/>
  <c r="V45" i="22"/>
  <c r="U45" i="22"/>
  <c r="T45" i="22"/>
  <c r="S45" i="22"/>
  <c r="R45" i="22"/>
  <c r="Q45" i="22"/>
  <c r="P45" i="22"/>
  <c r="O45" i="22"/>
  <c r="N45" i="22"/>
  <c r="M45" i="22"/>
  <c r="L45" i="22"/>
  <c r="K45" i="22"/>
  <c r="J49" i="22"/>
  <c r="J48" i="22"/>
  <c r="J47" i="22"/>
  <c r="J46" i="22"/>
  <c r="J45" i="22"/>
  <c r="AB43" i="22"/>
  <c r="AA43" i="22"/>
  <c r="Z43" i="22"/>
  <c r="Y43" i="22"/>
  <c r="X43" i="22"/>
  <c r="W43" i="22"/>
  <c r="V43" i="22"/>
  <c r="U43" i="22"/>
  <c r="T43" i="22"/>
  <c r="S43" i="22"/>
  <c r="R43" i="22"/>
  <c r="Q43" i="22"/>
  <c r="P43" i="22"/>
  <c r="O43" i="22"/>
  <c r="N43" i="22"/>
  <c r="M43" i="22"/>
  <c r="L43" i="22"/>
  <c r="K43" i="22"/>
  <c r="AP42" i="22"/>
  <c r="AO42" i="22"/>
  <c r="AN42" i="22"/>
  <c r="AM42" i="22"/>
  <c r="AL42" i="22"/>
  <c r="AK42" i="22"/>
  <c r="AJ42" i="22"/>
  <c r="AI42" i="22"/>
  <c r="AH42" i="22"/>
  <c r="AG42" i="22"/>
  <c r="AF42" i="22"/>
  <c r="AE42" i="22"/>
  <c r="AD42" i="22"/>
  <c r="AC42" i="22"/>
  <c r="AB42" i="22"/>
  <c r="AA42" i="22"/>
  <c r="Z42" i="22"/>
  <c r="Y42" i="22"/>
  <c r="X42" i="22"/>
  <c r="W42" i="22"/>
  <c r="V42" i="22"/>
  <c r="U42" i="22"/>
  <c r="T42" i="22"/>
  <c r="S42" i="22"/>
  <c r="R42" i="22"/>
  <c r="Q42" i="22"/>
  <c r="P42" i="22"/>
  <c r="O42" i="22"/>
  <c r="N42" i="22"/>
  <c r="M42" i="22"/>
  <c r="L42" i="22"/>
  <c r="K42" i="22"/>
  <c r="AP41" i="22"/>
  <c r="AO41" i="22"/>
  <c r="AN41" i="22"/>
  <c r="AM41" i="22"/>
  <c r="AL41" i="22"/>
  <c r="AK41" i="22"/>
  <c r="AJ41" i="22"/>
  <c r="AI41" i="22"/>
  <c r="AH41" i="22"/>
  <c r="AG41" i="22"/>
  <c r="AF41" i="22"/>
  <c r="AE41" i="22"/>
  <c r="AD41" i="22"/>
  <c r="AC41" i="22"/>
  <c r="AB41" i="22"/>
  <c r="AA41" i="22"/>
  <c r="Z41" i="22"/>
  <c r="Y41" i="22"/>
  <c r="X41" i="22"/>
  <c r="W41" i="22"/>
  <c r="V41" i="22"/>
  <c r="U41" i="22"/>
  <c r="T41" i="22"/>
  <c r="S41" i="22"/>
  <c r="R41" i="22"/>
  <c r="Q41" i="22"/>
  <c r="P41" i="22"/>
  <c r="O41" i="22"/>
  <c r="N41" i="22"/>
  <c r="M41" i="22"/>
  <c r="L41" i="22"/>
  <c r="K41" i="22"/>
  <c r="AP40" i="22"/>
  <c r="AO40" i="22"/>
  <c r="AN40" i="22"/>
  <c r="AM40" i="22"/>
  <c r="AL40" i="22"/>
  <c r="AK40" i="22"/>
  <c r="AJ40" i="22"/>
  <c r="AI40" i="22"/>
  <c r="AH40" i="22"/>
  <c r="AG40" i="22"/>
  <c r="AF40" i="22"/>
  <c r="AE40" i="22"/>
  <c r="AD40" i="22"/>
  <c r="AC40" i="22"/>
  <c r="AB40" i="22"/>
  <c r="AA40" i="22"/>
  <c r="Z40" i="22"/>
  <c r="Y40" i="22"/>
  <c r="X40" i="22"/>
  <c r="W40" i="22"/>
  <c r="V40" i="22"/>
  <c r="U40" i="22"/>
  <c r="T40" i="22"/>
  <c r="S40" i="22"/>
  <c r="R40" i="22"/>
  <c r="Q40" i="22"/>
  <c r="P40" i="22"/>
  <c r="O40" i="22"/>
  <c r="N40" i="22"/>
  <c r="M40" i="22"/>
  <c r="L40" i="22"/>
  <c r="K40" i="22"/>
  <c r="AP39" i="22"/>
  <c r="AO39" i="22"/>
  <c r="AN39" i="22"/>
  <c r="AM39" i="22"/>
  <c r="AL39" i="22"/>
  <c r="AK39" i="22"/>
  <c r="AJ39" i="22"/>
  <c r="AI39" i="22"/>
  <c r="AH39" i="22"/>
  <c r="AG39" i="22"/>
  <c r="AF39" i="22"/>
  <c r="AE39" i="22"/>
  <c r="AD39" i="22"/>
  <c r="AC39" i="22"/>
  <c r="AB39" i="22"/>
  <c r="AA39" i="22"/>
  <c r="Z39" i="22"/>
  <c r="Y39" i="22"/>
  <c r="X39" i="22"/>
  <c r="W39" i="22"/>
  <c r="V39" i="22"/>
  <c r="U39" i="22"/>
  <c r="T39" i="22"/>
  <c r="S39" i="22"/>
  <c r="R39" i="22"/>
  <c r="Q39" i="22"/>
  <c r="P39" i="22"/>
  <c r="O39" i="22"/>
  <c r="N39" i="22"/>
  <c r="M39" i="22"/>
  <c r="L39" i="22"/>
  <c r="K39" i="22"/>
  <c r="J43" i="22"/>
  <c r="J42" i="22"/>
  <c r="J41" i="22"/>
  <c r="J40" i="22"/>
  <c r="J39" i="22"/>
  <c r="AP33" i="22"/>
  <c r="AO33" i="22"/>
  <c r="AN33" i="22"/>
  <c r="AM33" i="22"/>
  <c r="AL33" i="22"/>
  <c r="AK33" i="22"/>
  <c r="AJ33" i="22"/>
  <c r="AI33" i="22"/>
  <c r="AH33" i="22"/>
  <c r="AG33" i="22"/>
  <c r="AF33" i="22"/>
  <c r="AE33" i="22"/>
  <c r="AD33" i="22"/>
  <c r="AC33" i="22"/>
  <c r="AB33" i="22"/>
  <c r="AA33" i="22"/>
  <c r="Z33" i="22"/>
  <c r="Y33" i="22"/>
  <c r="X33" i="22"/>
  <c r="W33" i="22"/>
  <c r="V33" i="22"/>
  <c r="U33" i="22"/>
  <c r="T33" i="22"/>
  <c r="S33" i="22"/>
  <c r="R33" i="22"/>
  <c r="Q33" i="22"/>
  <c r="P33" i="22"/>
  <c r="O33" i="22"/>
  <c r="N33" i="22"/>
  <c r="M33" i="22"/>
  <c r="L33" i="22"/>
  <c r="K33" i="22"/>
  <c r="J33" i="22"/>
  <c r="AP32" i="22"/>
  <c r="AO32" i="22"/>
  <c r="AN32" i="22"/>
  <c r="AM32" i="22"/>
  <c r="AL32" i="22"/>
  <c r="AK32" i="22"/>
  <c r="AJ32" i="22"/>
  <c r="AI32" i="22"/>
  <c r="AH32" i="22"/>
  <c r="AG32" i="22"/>
  <c r="AF32" i="22"/>
  <c r="AE32" i="22"/>
  <c r="AD32" i="22"/>
  <c r="AC32" i="22"/>
  <c r="AB32" i="22"/>
  <c r="AA32" i="22"/>
  <c r="Z32" i="22"/>
  <c r="Y32" i="22"/>
  <c r="X32" i="22"/>
  <c r="W32" i="22"/>
  <c r="V32" i="22"/>
  <c r="U32" i="22"/>
  <c r="T32" i="22"/>
  <c r="S32" i="22"/>
  <c r="R32" i="22"/>
  <c r="Q32" i="22"/>
  <c r="P32" i="22"/>
  <c r="O32" i="22"/>
  <c r="N32" i="22"/>
  <c r="M32" i="22"/>
  <c r="L32" i="22"/>
  <c r="K32" i="22"/>
  <c r="J32" i="22"/>
  <c r="AP31" i="22"/>
  <c r="AO31" i="22"/>
  <c r="AN31" i="22"/>
  <c r="AM31" i="22"/>
  <c r="AL31" i="22"/>
  <c r="AK31" i="22"/>
  <c r="AJ31" i="22"/>
  <c r="AI31" i="22"/>
  <c r="AH31" i="22"/>
  <c r="AG31" i="22"/>
  <c r="AF31" i="22"/>
  <c r="AE31" i="22"/>
  <c r="AD31" i="22"/>
  <c r="AC31" i="22"/>
  <c r="AB31" i="22"/>
  <c r="AA31" i="22"/>
  <c r="Z31" i="22"/>
  <c r="Y31" i="22"/>
  <c r="X31" i="22"/>
  <c r="W31" i="22"/>
  <c r="V31" i="22"/>
  <c r="U31" i="22"/>
  <c r="T31" i="22"/>
  <c r="S31" i="22"/>
  <c r="R31" i="22"/>
  <c r="Q31" i="22"/>
  <c r="P31" i="22"/>
  <c r="O31" i="22"/>
  <c r="N31" i="22"/>
  <c r="M31" i="22"/>
  <c r="L31" i="22"/>
  <c r="K31" i="22"/>
  <c r="J31" i="22"/>
  <c r="AP30" i="22"/>
  <c r="AO30" i="22"/>
  <c r="AN30" i="22"/>
  <c r="AM30" i="22"/>
  <c r="AL30" i="22"/>
  <c r="AK30" i="22"/>
  <c r="AJ30" i="22"/>
  <c r="AI30" i="22"/>
  <c r="AH30" i="22"/>
  <c r="AG30" i="22"/>
  <c r="AF30" i="22"/>
  <c r="AE30" i="22"/>
  <c r="AD30" i="22"/>
  <c r="AC30" i="22"/>
  <c r="AB30" i="22"/>
  <c r="AA30" i="22"/>
  <c r="Z30" i="22"/>
  <c r="Y30" i="22"/>
  <c r="X30" i="22"/>
  <c r="W30" i="22"/>
  <c r="V30" i="22"/>
  <c r="U30" i="22"/>
  <c r="T30" i="22"/>
  <c r="S30" i="22"/>
  <c r="R30" i="22"/>
  <c r="Q30" i="22"/>
  <c r="P30" i="22"/>
  <c r="O30" i="22"/>
  <c r="N30" i="22"/>
  <c r="M30" i="22"/>
  <c r="L30" i="22"/>
  <c r="K30" i="22"/>
  <c r="J30" i="22"/>
  <c r="J21" i="23" a="1"/>
  <c r="M53" i="23" s="1"/>
  <c r="J118" i="31" a="1"/>
  <c r="J118" i="31" s="1"/>
  <c r="J155" i="31" s="1"/>
  <c r="J46" i="31" a="1"/>
  <c r="AB34" i="70"/>
  <c r="AA34" i="70"/>
  <c r="Z34" i="70"/>
  <c r="Y34" i="70"/>
  <c r="X34" i="70"/>
  <c r="W34" i="70"/>
  <c r="V34" i="70"/>
  <c r="U34" i="70"/>
  <c r="T34" i="70"/>
  <c r="S34" i="70"/>
  <c r="R34" i="70"/>
  <c r="Q34" i="70"/>
  <c r="P34" i="70"/>
  <c r="O34" i="70"/>
  <c r="N34" i="70"/>
  <c r="M34" i="70"/>
  <c r="L34" i="70"/>
  <c r="K34" i="70"/>
  <c r="J34" i="70"/>
  <c r="AB33" i="70"/>
  <c r="AA33" i="70"/>
  <c r="Z33" i="70"/>
  <c r="Y33" i="70"/>
  <c r="X33" i="70"/>
  <c r="W33" i="70"/>
  <c r="V33" i="70"/>
  <c r="U33" i="70"/>
  <c r="T33" i="70"/>
  <c r="S33" i="70"/>
  <c r="R33" i="70"/>
  <c r="Q33" i="70"/>
  <c r="P33" i="70"/>
  <c r="O33" i="70"/>
  <c r="N33" i="70"/>
  <c r="M33" i="70"/>
  <c r="L33" i="70"/>
  <c r="K33" i="70"/>
  <c r="J33" i="70"/>
  <c r="AB32" i="70"/>
  <c r="AA32" i="70"/>
  <c r="Z32" i="70"/>
  <c r="Y32" i="70"/>
  <c r="X32" i="70"/>
  <c r="W32" i="70"/>
  <c r="V32" i="70"/>
  <c r="U32" i="70"/>
  <c r="T32" i="70"/>
  <c r="S32" i="70"/>
  <c r="R32" i="70"/>
  <c r="Q32" i="70"/>
  <c r="P32" i="70"/>
  <c r="O32" i="70"/>
  <c r="N32" i="70"/>
  <c r="M32" i="70"/>
  <c r="L32" i="70"/>
  <c r="K32" i="70"/>
  <c r="J32" i="70"/>
  <c r="AB31" i="70"/>
  <c r="AA31" i="70"/>
  <c r="Z31" i="70"/>
  <c r="Y31" i="70"/>
  <c r="X31" i="70"/>
  <c r="W31" i="70"/>
  <c r="V31" i="70"/>
  <c r="U31" i="70"/>
  <c r="T31" i="70"/>
  <c r="S31" i="70"/>
  <c r="R31" i="70"/>
  <c r="Q31" i="70"/>
  <c r="P31" i="70"/>
  <c r="O31" i="70"/>
  <c r="N31" i="70"/>
  <c r="M31" i="70"/>
  <c r="L31" i="70"/>
  <c r="K31" i="70"/>
  <c r="J31" i="70"/>
  <c r="AB30" i="70"/>
  <c r="AA30" i="70"/>
  <c r="Z30" i="70"/>
  <c r="Y30" i="70"/>
  <c r="X30" i="70"/>
  <c r="W30" i="70"/>
  <c r="V30" i="70"/>
  <c r="U30" i="70"/>
  <c r="T30" i="70"/>
  <c r="S30" i="70"/>
  <c r="R30" i="70"/>
  <c r="Q30" i="70"/>
  <c r="P30" i="70"/>
  <c r="O30" i="70"/>
  <c r="N30" i="70"/>
  <c r="M30" i="70"/>
  <c r="L30" i="70"/>
  <c r="K30" i="70"/>
  <c r="J30" i="70"/>
  <c r="AB29" i="70"/>
  <c r="AA29" i="70"/>
  <c r="Z29" i="70"/>
  <c r="Y29" i="70"/>
  <c r="X29" i="70"/>
  <c r="W29" i="70"/>
  <c r="V29" i="70"/>
  <c r="U29" i="70"/>
  <c r="T29" i="70"/>
  <c r="S29" i="70"/>
  <c r="R29" i="70"/>
  <c r="Q29" i="70"/>
  <c r="P29" i="70"/>
  <c r="O29" i="70"/>
  <c r="N29" i="70"/>
  <c r="M29" i="70"/>
  <c r="L29" i="70"/>
  <c r="K29" i="70"/>
  <c r="J29" i="70"/>
  <c r="AB28" i="70"/>
  <c r="AA28" i="70"/>
  <c r="Z28" i="70"/>
  <c r="Y28" i="70"/>
  <c r="X28" i="70"/>
  <c r="W28" i="70"/>
  <c r="V28" i="70"/>
  <c r="U28" i="70"/>
  <c r="T28" i="70"/>
  <c r="S28" i="70"/>
  <c r="R28" i="70"/>
  <c r="Q28" i="70"/>
  <c r="P28" i="70"/>
  <c r="O28" i="70"/>
  <c r="N28" i="70"/>
  <c r="M28" i="70"/>
  <c r="L28" i="70"/>
  <c r="K28" i="70"/>
  <c r="J28" i="70"/>
  <c r="AB27" i="70"/>
  <c r="AA27" i="70"/>
  <c r="Z27" i="70"/>
  <c r="Y27" i="70"/>
  <c r="X27" i="70"/>
  <c r="W27" i="70"/>
  <c r="V27" i="70"/>
  <c r="U27" i="70"/>
  <c r="T27" i="70"/>
  <c r="S27" i="70"/>
  <c r="R27" i="70"/>
  <c r="Q27" i="70"/>
  <c r="P27" i="70"/>
  <c r="O27" i="70"/>
  <c r="N27" i="70"/>
  <c r="M27" i="70"/>
  <c r="L27" i="70"/>
  <c r="K27" i="70"/>
  <c r="J27" i="70"/>
  <c r="AB26" i="70"/>
  <c r="AA26" i="70"/>
  <c r="Z26" i="70"/>
  <c r="Y26" i="70"/>
  <c r="X26" i="70"/>
  <c r="W26" i="70"/>
  <c r="V26" i="70"/>
  <c r="U26" i="70"/>
  <c r="T26" i="70"/>
  <c r="S26" i="70"/>
  <c r="R26" i="70"/>
  <c r="Q26" i="70"/>
  <c r="P26" i="70"/>
  <c r="O26" i="70"/>
  <c r="N26" i="70"/>
  <c r="M26" i="70"/>
  <c r="L26" i="70"/>
  <c r="K26" i="70"/>
  <c r="J26" i="70"/>
  <c r="AB25" i="70"/>
  <c r="AA25" i="70"/>
  <c r="Z25" i="70"/>
  <c r="Y25" i="70"/>
  <c r="X25" i="70"/>
  <c r="W25" i="70"/>
  <c r="V25" i="70"/>
  <c r="U25" i="70"/>
  <c r="T25" i="70"/>
  <c r="S25" i="70"/>
  <c r="R25" i="70"/>
  <c r="Q25" i="70"/>
  <c r="P25" i="70"/>
  <c r="O25" i="70"/>
  <c r="N25" i="70"/>
  <c r="M25" i="70"/>
  <c r="L25" i="70"/>
  <c r="K25" i="70"/>
  <c r="J25" i="70"/>
  <c r="H22" i="72" l="1" a="1"/>
  <c r="H23" i="72" s="1"/>
  <c r="L57" i="86"/>
  <c r="K18" i="86"/>
  <c r="O25" i="76"/>
  <c r="O21" i="111"/>
  <c r="AJ21" i="111"/>
  <c r="AJ25" i="76"/>
  <c r="T26" i="76"/>
  <c r="T22" i="111"/>
  <c r="AO26" i="76"/>
  <c r="AO22" i="111"/>
  <c r="T25" i="76"/>
  <c r="T21" i="111"/>
  <c r="AO25" i="76"/>
  <c r="AO21" i="111"/>
  <c r="AD26" i="76"/>
  <c r="AD22" i="111"/>
  <c r="AA23" i="111"/>
  <c r="AA27" i="76"/>
  <c r="U21" i="111"/>
  <c r="U25" i="76"/>
  <c r="J22" i="111"/>
  <c r="J26" i="76"/>
  <c r="AE26" i="76"/>
  <c r="AE22" i="111"/>
  <c r="AB27" i="76"/>
  <c r="AB23" i="111"/>
  <c r="V25" i="76"/>
  <c r="V21" i="111"/>
  <c r="K22" i="111"/>
  <c r="K26" i="76"/>
  <c r="AF26" i="76"/>
  <c r="AF22" i="111"/>
  <c r="S25" i="76"/>
  <c r="S21" i="111"/>
  <c r="AN21" i="111"/>
  <c r="AN25" i="76"/>
  <c r="AC26" i="76"/>
  <c r="AC22" i="111"/>
  <c r="Z27" i="76"/>
  <c r="Z23" i="111"/>
  <c r="AC25" i="76"/>
  <c r="AC21" i="111"/>
  <c r="M26" i="76"/>
  <c r="M22" i="111"/>
  <c r="AH26" i="76"/>
  <c r="AH22" i="111"/>
  <c r="AP21" i="111"/>
  <c r="AP25" i="76"/>
  <c r="AD21" i="111"/>
  <c r="AD25" i="76"/>
  <c r="N22" i="111"/>
  <c r="N26" i="76"/>
  <c r="AI26" i="76"/>
  <c r="AI22" i="111"/>
  <c r="J25" i="76"/>
  <c r="J21" i="111"/>
  <c r="AE21" i="111"/>
  <c r="AE25" i="76"/>
  <c r="O22" i="111"/>
  <c r="O26" i="76"/>
  <c r="AJ26" i="76"/>
  <c r="AJ22" i="111"/>
  <c r="W25" i="76"/>
  <c r="W21" i="111"/>
  <c r="L26" i="76"/>
  <c r="L22" i="111"/>
  <c r="AG26" i="76"/>
  <c r="AG22" i="111"/>
  <c r="L25" i="76"/>
  <c r="L21" i="111"/>
  <c r="AG25" i="76"/>
  <c r="AG21" i="111"/>
  <c r="Q26" i="76"/>
  <c r="Q22" i="111"/>
  <c r="AL26" i="76"/>
  <c r="AL22" i="111"/>
  <c r="M21" i="111"/>
  <c r="M25" i="76"/>
  <c r="AH21" i="111"/>
  <c r="AH25" i="76"/>
  <c r="R22" i="111"/>
  <c r="R26" i="76"/>
  <c r="AM26" i="76"/>
  <c r="AM22" i="111"/>
  <c r="N25" i="76"/>
  <c r="N21" i="111"/>
  <c r="AI21" i="111"/>
  <c r="AI25" i="76"/>
  <c r="S22" i="111"/>
  <c r="S26" i="76"/>
  <c r="AN26" i="76"/>
  <c r="AN22" i="111"/>
  <c r="K25" i="76"/>
  <c r="K21" i="111"/>
  <c r="AF21" i="111"/>
  <c r="AF25" i="76"/>
  <c r="P26" i="76"/>
  <c r="P22" i="111"/>
  <c r="AK26" i="76"/>
  <c r="AK22" i="111"/>
  <c r="P25" i="76"/>
  <c r="P21" i="111"/>
  <c r="AK25" i="76"/>
  <c r="AK21" i="111"/>
  <c r="U26" i="76"/>
  <c r="U22" i="111"/>
  <c r="AP26" i="76"/>
  <c r="AP22" i="111"/>
  <c r="Q25" i="76"/>
  <c r="Q21" i="111"/>
  <c r="AL21" i="111"/>
  <c r="AL25" i="76"/>
  <c r="V22" i="111"/>
  <c r="V26" i="76"/>
  <c r="X27" i="76"/>
  <c r="X23" i="111"/>
  <c r="R25" i="76"/>
  <c r="R21" i="111"/>
  <c r="AM21" i="111"/>
  <c r="AM25" i="76"/>
  <c r="W22" i="111"/>
  <c r="W26" i="76"/>
  <c r="Y27" i="76"/>
  <c r="Y23" i="111"/>
  <c r="AB62" i="87"/>
  <c r="AB85" i="87" s="1"/>
  <c r="AB68" i="87"/>
  <c r="AB86" i="87" s="1"/>
  <c r="M57" i="86"/>
  <c r="P57" i="86"/>
  <c r="H1278" i="97" a="1"/>
  <c r="H1278" i="97" s="1"/>
  <c r="H1384" i="97" s="1"/>
  <c r="N85" i="87"/>
  <c r="AO84" i="87"/>
  <c r="K85" i="87"/>
  <c r="H80" i="89"/>
  <c r="H47" i="89"/>
  <c r="H48" i="89" s="1"/>
  <c r="AO85" i="87"/>
  <c r="H87" i="89"/>
  <c r="H57" i="89"/>
  <c r="H70" i="89"/>
  <c r="AH86" i="87"/>
  <c r="H293" i="73"/>
  <c r="H116" i="98" a="1"/>
  <c r="H116" i="98" s="1"/>
  <c r="H190" i="100" a="1"/>
  <c r="H190" i="100" s="1"/>
  <c r="H218" i="100" s="1"/>
  <c r="J39" i="105"/>
  <c r="J18" i="105"/>
  <c r="J36" i="105"/>
  <c r="J35" i="105"/>
  <c r="J20" i="105"/>
  <c r="J40" i="105"/>
  <c r="J27" i="105"/>
  <c r="J29" i="105"/>
  <c r="J17" i="105"/>
  <c r="J26" i="105"/>
  <c r="J31" i="105"/>
  <c r="J21" i="105"/>
  <c r="J22" i="105"/>
  <c r="J38" i="105"/>
  <c r="J30" i="105"/>
  <c r="S45" i="53"/>
  <c r="U45" i="53"/>
  <c r="AG45" i="53"/>
  <c r="W45" i="53"/>
  <c r="AK45" i="53"/>
  <c r="T44" i="53"/>
  <c r="AB44" i="53"/>
  <c r="AO45" i="53"/>
  <c r="T45" i="53"/>
  <c r="AB45" i="53"/>
  <c r="V44" i="53"/>
  <c r="AH44" i="53"/>
  <c r="AL44" i="53"/>
  <c r="AP44" i="53"/>
  <c r="J22" i="23"/>
  <c r="J24" i="23"/>
  <c r="J26" i="23"/>
  <c r="J28" i="23"/>
  <c r="J30" i="23"/>
  <c r="J32" i="23"/>
  <c r="J34" i="23"/>
  <c r="J36" i="23"/>
  <c r="J37" i="23"/>
  <c r="J39" i="23"/>
  <c r="J41" i="23"/>
  <c r="J43" i="23"/>
  <c r="J44" i="23"/>
  <c r="J46" i="23"/>
  <c r="J48" i="23"/>
  <c r="J50" i="23"/>
  <c r="J51" i="23"/>
  <c r="J53" i="23"/>
  <c r="K22" i="23"/>
  <c r="K24" i="23"/>
  <c r="K26" i="23"/>
  <c r="K28" i="23"/>
  <c r="K30" i="23"/>
  <c r="K32" i="23"/>
  <c r="K34" i="23"/>
  <c r="K36" i="23"/>
  <c r="K38" i="23"/>
  <c r="K40" i="23"/>
  <c r="K41" i="23"/>
  <c r="K43" i="23"/>
  <c r="K44" i="23"/>
  <c r="K45" i="23"/>
  <c r="K46" i="23"/>
  <c r="K47" i="23"/>
  <c r="K48" i="23"/>
  <c r="K49" i="23"/>
  <c r="K50" i="23"/>
  <c r="K51" i="23"/>
  <c r="K53" i="23"/>
  <c r="L21" i="23"/>
  <c r="L22" i="23"/>
  <c r="L23" i="23"/>
  <c r="L24" i="23"/>
  <c r="L25" i="23"/>
  <c r="L26" i="23"/>
  <c r="L27" i="23"/>
  <c r="L28" i="23"/>
  <c r="L29" i="23"/>
  <c r="L30" i="23"/>
  <c r="L31" i="23"/>
  <c r="L32" i="23"/>
  <c r="L33" i="23"/>
  <c r="L34" i="23"/>
  <c r="L35" i="23"/>
  <c r="L36" i="23"/>
  <c r="L37" i="23"/>
  <c r="L38" i="23"/>
  <c r="L39" i="23"/>
  <c r="L40" i="23"/>
  <c r="L41" i="23"/>
  <c r="L42" i="23"/>
  <c r="L43" i="23"/>
  <c r="L44" i="23"/>
  <c r="L45" i="23"/>
  <c r="L46" i="23"/>
  <c r="L47" i="23"/>
  <c r="L48" i="23"/>
  <c r="L49" i="23"/>
  <c r="L50" i="23"/>
  <c r="L51" i="23"/>
  <c r="L52" i="23"/>
  <c r="L53" i="23"/>
  <c r="J23" i="23"/>
  <c r="J25" i="23"/>
  <c r="J27" i="23"/>
  <c r="J29" i="23"/>
  <c r="J31" i="23"/>
  <c r="J33" i="23"/>
  <c r="J35" i="23"/>
  <c r="J38" i="23"/>
  <c r="J40" i="23"/>
  <c r="J42" i="23"/>
  <c r="J45" i="23"/>
  <c r="J47" i="23"/>
  <c r="J49" i="23"/>
  <c r="J52" i="23"/>
  <c r="K21" i="23"/>
  <c r="K23" i="23"/>
  <c r="K25" i="23"/>
  <c r="K27" i="23"/>
  <c r="K29" i="23"/>
  <c r="K31" i="23"/>
  <c r="K33" i="23"/>
  <c r="K35" i="23"/>
  <c r="K37" i="23"/>
  <c r="K39" i="23"/>
  <c r="K42" i="23"/>
  <c r="K52" i="23"/>
  <c r="J21" i="23"/>
  <c r="M21" i="23"/>
  <c r="M22" i="23"/>
  <c r="M23" i="23"/>
  <c r="M24" i="23"/>
  <c r="M25" i="23"/>
  <c r="M26" i="23"/>
  <c r="M27" i="23"/>
  <c r="M28" i="23"/>
  <c r="M29" i="23"/>
  <c r="M30" i="23"/>
  <c r="M31" i="23"/>
  <c r="M32" i="23"/>
  <c r="M33" i="23"/>
  <c r="M34" i="23"/>
  <c r="M35" i="23"/>
  <c r="M36" i="23"/>
  <c r="M37" i="23"/>
  <c r="M38" i="23"/>
  <c r="M39" i="23"/>
  <c r="M40" i="23"/>
  <c r="M41" i="23"/>
  <c r="M42" i="23"/>
  <c r="M43" i="23"/>
  <c r="M44" i="23"/>
  <c r="M45" i="23"/>
  <c r="M46" i="23"/>
  <c r="M47" i="23"/>
  <c r="M48" i="23"/>
  <c r="M49" i="23"/>
  <c r="M50" i="23"/>
  <c r="M51" i="23"/>
  <c r="M52" i="23"/>
  <c r="J46" i="31"/>
  <c r="J82" i="31" s="1"/>
  <c r="M48" i="31"/>
  <c r="N65" i="31"/>
  <c r="P52" i="31"/>
  <c r="P69" i="31"/>
  <c r="N73" i="31"/>
  <c r="O75" i="31"/>
  <c r="K61" i="31"/>
  <c r="K97" i="31" s="1"/>
  <c r="P77" i="31"/>
  <c r="R56" i="31"/>
  <c r="R92" i="31" s="1"/>
  <c r="O149" i="31"/>
  <c r="S147" i="31"/>
  <c r="S184" i="31" s="1"/>
  <c r="M146" i="31"/>
  <c r="Q144" i="31"/>
  <c r="Q181" i="31" s="1"/>
  <c r="K143" i="31"/>
  <c r="K180" i="31" s="1"/>
  <c r="O141" i="31"/>
  <c r="S139" i="31"/>
  <c r="S176" i="31" s="1"/>
  <c r="M138" i="31"/>
  <c r="Q136" i="31"/>
  <c r="Q173" i="31" s="1"/>
  <c r="K135" i="31"/>
  <c r="K172" i="31" s="1"/>
  <c r="O133" i="31"/>
  <c r="S131" i="31"/>
  <c r="S168" i="31" s="1"/>
  <c r="M130" i="31"/>
  <c r="Q128" i="31"/>
  <c r="Q165" i="31" s="1"/>
  <c r="K127" i="31"/>
  <c r="K164" i="31" s="1"/>
  <c r="O125" i="31"/>
  <c r="S123" i="31"/>
  <c r="S160" i="31" s="1"/>
  <c r="M122" i="31"/>
  <c r="Q120" i="31"/>
  <c r="Q157" i="31" s="1"/>
  <c r="M150" i="31"/>
  <c r="Q148" i="31"/>
  <c r="Q185" i="31" s="1"/>
  <c r="K147" i="31"/>
  <c r="K184" i="31" s="1"/>
  <c r="O145" i="31"/>
  <c r="S143" i="31"/>
  <c r="S180" i="31" s="1"/>
  <c r="M142" i="31"/>
  <c r="Q140" i="31"/>
  <c r="Q177" i="31" s="1"/>
  <c r="K139" i="31"/>
  <c r="K176" i="31" s="1"/>
  <c r="O137" i="31"/>
  <c r="S135" i="31"/>
  <c r="S172" i="31" s="1"/>
  <c r="M134" i="31"/>
  <c r="Q132" i="31"/>
  <c r="Q169" i="31" s="1"/>
  <c r="K131" i="31"/>
  <c r="K168" i="31" s="1"/>
  <c r="O129" i="31"/>
  <c r="S127" i="31"/>
  <c r="S164" i="31" s="1"/>
  <c r="M126" i="31"/>
  <c r="Q124" i="31"/>
  <c r="Q161" i="31" s="1"/>
  <c r="K123" i="31"/>
  <c r="K160" i="31" s="1"/>
  <c r="O121" i="31"/>
  <c r="O77" i="31"/>
  <c r="N75" i="31"/>
  <c r="R72" i="31"/>
  <c r="R108" i="31" s="1"/>
  <c r="K69" i="31"/>
  <c r="K105" i="31" s="1"/>
  <c r="R64" i="31"/>
  <c r="R100" i="31" s="1"/>
  <c r="P60" i="31"/>
  <c r="M56" i="31"/>
  <c r="J52" i="31"/>
  <c r="J88" i="31" s="1"/>
  <c r="R47" i="31"/>
  <c r="R83" i="31" s="1"/>
  <c r="S149" i="31"/>
  <c r="S186" i="31" s="1"/>
  <c r="M148" i="31"/>
  <c r="Q146" i="31"/>
  <c r="Q183" i="31" s="1"/>
  <c r="K145" i="31"/>
  <c r="K182" i="31" s="1"/>
  <c r="O143" i="31"/>
  <c r="S141" i="31"/>
  <c r="S178" i="31" s="1"/>
  <c r="M140" i="31"/>
  <c r="Q138" i="31"/>
  <c r="Q175" i="31" s="1"/>
  <c r="K137" i="31"/>
  <c r="K174" i="31" s="1"/>
  <c r="O135" i="31"/>
  <c r="S133" i="31"/>
  <c r="S170" i="31" s="1"/>
  <c r="M132" i="31"/>
  <c r="Q130" i="31"/>
  <c r="Q167" i="31" s="1"/>
  <c r="K129" i="31"/>
  <c r="K166" i="31" s="1"/>
  <c r="O127" i="31"/>
  <c r="S125" i="31"/>
  <c r="S162" i="31" s="1"/>
  <c r="M124" i="31"/>
  <c r="Q122" i="31"/>
  <c r="Q159" i="31" s="1"/>
  <c r="K121" i="31"/>
  <c r="K158" i="31" s="1"/>
  <c r="Q78" i="31"/>
  <c r="Q114" i="31" s="1"/>
  <c r="P76" i="31"/>
  <c r="N74" i="31"/>
  <c r="R71" i="31"/>
  <c r="R107" i="31" s="1"/>
  <c r="O67" i="31"/>
  <c r="L63" i="31"/>
  <c r="L99" i="31" s="1"/>
  <c r="J59" i="31"/>
  <c r="J95" i="31" s="1"/>
  <c r="Q54" i="31"/>
  <c r="Q90" i="31" s="1"/>
  <c r="N50" i="31"/>
  <c r="P78" i="31"/>
  <c r="N76" i="31"/>
  <c r="M74" i="31"/>
  <c r="L71" i="31"/>
  <c r="L107" i="31" s="1"/>
  <c r="J67" i="31"/>
  <c r="J103" i="31" s="1"/>
  <c r="Q62" i="31"/>
  <c r="Q98" i="31" s="1"/>
  <c r="N58" i="31"/>
  <c r="L54" i="31"/>
  <c r="L90" i="31" s="1"/>
  <c r="S49" i="31"/>
  <c r="S85" i="31" s="1"/>
  <c r="Q150" i="31"/>
  <c r="Q187" i="31" s="1"/>
  <c r="K149" i="31"/>
  <c r="K186" i="31" s="1"/>
  <c r="O147" i="31"/>
  <c r="S145" i="31"/>
  <c r="S182" i="31" s="1"/>
  <c r="M144" i="31"/>
  <c r="Q142" i="31"/>
  <c r="Q179" i="31" s="1"/>
  <c r="K141" i="31"/>
  <c r="K178" i="31" s="1"/>
  <c r="O139" i="31"/>
  <c r="S137" i="31"/>
  <c r="S174" i="31" s="1"/>
  <c r="M136" i="31"/>
  <c r="Q134" i="31"/>
  <c r="Q171" i="31" s="1"/>
  <c r="K133" i="31"/>
  <c r="K170" i="31" s="1"/>
  <c r="O131" i="31"/>
  <c r="S129" i="31"/>
  <c r="S166" i="31" s="1"/>
  <c r="M128" i="31"/>
  <c r="Q126" i="31"/>
  <c r="Q163" i="31" s="1"/>
  <c r="K125" i="31"/>
  <c r="K162" i="31" s="1"/>
  <c r="O123" i="31"/>
  <c r="S121" i="31"/>
  <c r="S158" i="31" s="1"/>
  <c r="M120" i="31"/>
  <c r="M118" i="31"/>
  <c r="P150" i="31"/>
  <c r="L150" i="31"/>
  <c r="L187" i="31" s="1"/>
  <c r="R149" i="31"/>
  <c r="R186" i="31" s="1"/>
  <c r="N149" i="31"/>
  <c r="J149" i="31"/>
  <c r="J186" i="31" s="1"/>
  <c r="P148" i="31"/>
  <c r="L148" i="31"/>
  <c r="L185" i="31" s="1"/>
  <c r="R147" i="31"/>
  <c r="R184" i="31" s="1"/>
  <c r="N147" i="31"/>
  <c r="J147" i="31"/>
  <c r="J184" i="31" s="1"/>
  <c r="P146" i="31"/>
  <c r="L146" i="31"/>
  <c r="L183" i="31" s="1"/>
  <c r="R145" i="31"/>
  <c r="R182" i="31" s="1"/>
  <c r="N145" i="31"/>
  <c r="J145" i="31"/>
  <c r="J182" i="31" s="1"/>
  <c r="P144" i="31"/>
  <c r="L144" i="31"/>
  <c r="L181" i="31" s="1"/>
  <c r="R143" i="31"/>
  <c r="R180" i="31" s="1"/>
  <c r="N143" i="31"/>
  <c r="J143" i="31"/>
  <c r="J180" i="31" s="1"/>
  <c r="P142" i="31"/>
  <c r="L142" i="31"/>
  <c r="L179" i="31" s="1"/>
  <c r="R141" i="31"/>
  <c r="R178" i="31" s="1"/>
  <c r="N141" i="31"/>
  <c r="J141" i="31"/>
  <c r="J178" i="31" s="1"/>
  <c r="P140" i="31"/>
  <c r="L140" i="31"/>
  <c r="L177" i="31" s="1"/>
  <c r="R139" i="31"/>
  <c r="R176" i="31" s="1"/>
  <c r="N139" i="31"/>
  <c r="J139" i="31"/>
  <c r="J176" i="31" s="1"/>
  <c r="P138" i="31"/>
  <c r="L138" i="31"/>
  <c r="L175" i="31" s="1"/>
  <c r="R137" i="31"/>
  <c r="R174" i="31" s="1"/>
  <c r="N137" i="31"/>
  <c r="J137" i="31"/>
  <c r="J174" i="31" s="1"/>
  <c r="P136" i="31"/>
  <c r="L136" i="31"/>
  <c r="L173" i="31" s="1"/>
  <c r="R135" i="31"/>
  <c r="R172" i="31" s="1"/>
  <c r="N135" i="31"/>
  <c r="J135" i="31"/>
  <c r="J172" i="31" s="1"/>
  <c r="P134" i="31"/>
  <c r="L134" i="31"/>
  <c r="L171" i="31" s="1"/>
  <c r="R133" i="31"/>
  <c r="R170" i="31" s="1"/>
  <c r="N133" i="31"/>
  <c r="J133" i="31"/>
  <c r="J170" i="31" s="1"/>
  <c r="P132" i="31"/>
  <c r="L132" i="31"/>
  <c r="L169" i="31" s="1"/>
  <c r="R131" i="31"/>
  <c r="R168" i="31" s="1"/>
  <c r="N131" i="31"/>
  <c r="J131" i="31"/>
  <c r="J168" i="31" s="1"/>
  <c r="P130" i="31"/>
  <c r="L130" i="31"/>
  <c r="L167" i="31" s="1"/>
  <c r="R129" i="31"/>
  <c r="R166" i="31" s="1"/>
  <c r="N129" i="31"/>
  <c r="J129" i="31"/>
  <c r="J166" i="31" s="1"/>
  <c r="P128" i="31"/>
  <c r="L128" i="31"/>
  <c r="L165" i="31" s="1"/>
  <c r="R127" i="31"/>
  <c r="R164" i="31" s="1"/>
  <c r="N127" i="31"/>
  <c r="J127" i="31"/>
  <c r="J164" i="31" s="1"/>
  <c r="P126" i="31"/>
  <c r="L126" i="31"/>
  <c r="L163" i="31" s="1"/>
  <c r="R125" i="31"/>
  <c r="R162" i="31" s="1"/>
  <c r="N125" i="31"/>
  <c r="J125" i="31"/>
  <c r="J162" i="31" s="1"/>
  <c r="P124" i="31"/>
  <c r="L124" i="31"/>
  <c r="L161" i="31" s="1"/>
  <c r="R123" i="31"/>
  <c r="R160" i="31" s="1"/>
  <c r="N123" i="31"/>
  <c r="J123" i="31"/>
  <c r="J160" i="31" s="1"/>
  <c r="P122" i="31"/>
  <c r="L122" i="31"/>
  <c r="L159" i="31" s="1"/>
  <c r="R121" i="31"/>
  <c r="R158" i="31" s="1"/>
  <c r="N121" i="31"/>
  <c r="J121" i="31"/>
  <c r="J158" i="31" s="1"/>
  <c r="P120" i="31"/>
  <c r="L120" i="31"/>
  <c r="L157" i="31" s="1"/>
  <c r="R119" i="31"/>
  <c r="R156" i="31" s="1"/>
  <c r="N119" i="31"/>
  <c r="J119" i="31"/>
  <c r="J156" i="31" s="1"/>
  <c r="P118" i="31"/>
  <c r="L118" i="31"/>
  <c r="L155" i="31" s="1"/>
  <c r="S119" i="31"/>
  <c r="S156" i="31" s="1"/>
  <c r="K119" i="31"/>
  <c r="K156" i="31" s="1"/>
  <c r="S150" i="31"/>
  <c r="S187" i="31" s="1"/>
  <c r="O150" i="31"/>
  <c r="K150" i="31"/>
  <c r="K187" i="31" s="1"/>
  <c r="Q149" i="31"/>
  <c r="Q186" i="31" s="1"/>
  <c r="M149" i="31"/>
  <c r="S148" i="31"/>
  <c r="S185" i="31" s="1"/>
  <c r="O148" i="31"/>
  <c r="K148" i="31"/>
  <c r="K185" i="31" s="1"/>
  <c r="Q147" i="31"/>
  <c r="Q184" i="31" s="1"/>
  <c r="M147" i="31"/>
  <c r="S146" i="31"/>
  <c r="S183" i="31" s="1"/>
  <c r="O146" i="31"/>
  <c r="K146" i="31"/>
  <c r="K183" i="31" s="1"/>
  <c r="Q145" i="31"/>
  <c r="Q182" i="31" s="1"/>
  <c r="M145" i="31"/>
  <c r="S144" i="31"/>
  <c r="S181" i="31" s="1"/>
  <c r="O144" i="31"/>
  <c r="K144" i="31"/>
  <c r="K181" i="31" s="1"/>
  <c r="Q143" i="31"/>
  <c r="Q180" i="31" s="1"/>
  <c r="M143" i="31"/>
  <c r="S142" i="31"/>
  <c r="S179" i="31" s="1"/>
  <c r="O142" i="31"/>
  <c r="K142" i="31"/>
  <c r="K179" i="31" s="1"/>
  <c r="Q141" i="31"/>
  <c r="Q178" i="31" s="1"/>
  <c r="M141" i="31"/>
  <c r="S140" i="31"/>
  <c r="S177" i="31" s="1"/>
  <c r="O140" i="31"/>
  <c r="K140" i="31"/>
  <c r="K177" i="31" s="1"/>
  <c r="Q139" i="31"/>
  <c r="Q176" i="31" s="1"/>
  <c r="M139" i="31"/>
  <c r="S138" i="31"/>
  <c r="S175" i="31" s="1"/>
  <c r="O138" i="31"/>
  <c r="K138" i="31"/>
  <c r="K175" i="31" s="1"/>
  <c r="Q137" i="31"/>
  <c r="Q174" i="31" s="1"/>
  <c r="M137" i="31"/>
  <c r="S136" i="31"/>
  <c r="S173" i="31" s="1"/>
  <c r="O136" i="31"/>
  <c r="K136" i="31"/>
  <c r="K173" i="31" s="1"/>
  <c r="Q135" i="31"/>
  <c r="Q172" i="31" s="1"/>
  <c r="M135" i="31"/>
  <c r="S134" i="31"/>
  <c r="S171" i="31" s="1"/>
  <c r="O134" i="31"/>
  <c r="K134" i="31"/>
  <c r="K171" i="31" s="1"/>
  <c r="Q133" i="31"/>
  <c r="Q170" i="31" s="1"/>
  <c r="M133" i="31"/>
  <c r="S132" i="31"/>
  <c r="S169" i="31" s="1"/>
  <c r="O132" i="31"/>
  <c r="K132" i="31"/>
  <c r="K169" i="31" s="1"/>
  <c r="Q131" i="31"/>
  <c r="Q168" i="31" s="1"/>
  <c r="M131" i="31"/>
  <c r="S130" i="31"/>
  <c r="S167" i="31" s="1"/>
  <c r="O130" i="31"/>
  <c r="K130" i="31"/>
  <c r="K167" i="31" s="1"/>
  <c r="Q129" i="31"/>
  <c r="Q166" i="31" s="1"/>
  <c r="M129" i="31"/>
  <c r="S128" i="31"/>
  <c r="S165" i="31" s="1"/>
  <c r="O128" i="31"/>
  <c r="K128" i="31"/>
  <c r="K165" i="31" s="1"/>
  <c r="Q127" i="31"/>
  <c r="Q164" i="31" s="1"/>
  <c r="M127" i="31"/>
  <c r="S126" i="31"/>
  <c r="S163" i="31" s="1"/>
  <c r="O126" i="31"/>
  <c r="K126" i="31"/>
  <c r="K163" i="31" s="1"/>
  <c r="Q125" i="31"/>
  <c r="Q162" i="31" s="1"/>
  <c r="M125" i="31"/>
  <c r="S124" i="31"/>
  <c r="S161" i="31" s="1"/>
  <c r="O124" i="31"/>
  <c r="K124" i="31"/>
  <c r="K161" i="31" s="1"/>
  <c r="Q123" i="31"/>
  <c r="Q160" i="31" s="1"/>
  <c r="M123" i="31"/>
  <c r="S122" i="31"/>
  <c r="S159" i="31" s="1"/>
  <c r="O122" i="31"/>
  <c r="K122" i="31"/>
  <c r="K159" i="31" s="1"/>
  <c r="Q121" i="31"/>
  <c r="Q158" i="31" s="1"/>
  <c r="M121" i="31"/>
  <c r="S120" i="31"/>
  <c r="S157" i="31" s="1"/>
  <c r="O120" i="31"/>
  <c r="K120" i="31"/>
  <c r="K157" i="31" s="1"/>
  <c r="Q119" i="31"/>
  <c r="Q156" i="31" s="1"/>
  <c r="M119" i="31"/>
  <c r="S118" i="31"/>
  <c r="S155" i="31" s="1"/>
  <c r="O118" i="31"/>
  <c r="K118" i="31"/>
  <c r="K155" i="31" s="1"/>
  <c r="O119" i="31"/>
  <c r="Q118" i="31"/>
  <c r="Q155" i="31" s="1"/>
  <c r="R150" i="31"/>
  <c r="R187" i="31" s="1"/>
  <c r="N150" i="31"/>
  <c r="J150" i="31"/>
  <c r="J187" i="31" s="1"/>
  <c r="P149" i="31"/>
  <c r="L149" i="31"/>
  <c r="L186" i="31" s="1"/>
  <c r="R148" i="31"/>
  <c r="R185" i="31" s="1"/>
  <c r="N148" i="31"/>
  <c r="J148" i="31"/>
  <c r="J185" i="31" s="1"/>
  <c r="P147" i="31"/>
  <c r="L147" i="31"/>
  <c r="L184" i="31" s="1"/>
  <c r="R146" i="31"/>
  <c r="R183" i="31" s="1"/>
  <c r="N146" i="31"/>
  <c r="J146" i="31"/>
  <c r="J183" i="31" s="1"/>
  <c r="P145" i="31"/>
  <c r="L145" i="31"/>
  <c r="L182" i="31" s="1"/>
  <c r="R144" i="31"/>
  <c r="R181" i="31" s="1"/>
  <c r="N144" i="31"/>
  <c r="J144" i="31"/>
  <c r="J181" i="31" s="1"/>
  <c r="P143" i="31"/>
  <c r="L143" i="31"/>
  <c r="L180" i="31" s="1"/>
  <c r="R142" i="31"/>
  <c r="R179" i="31" s="1"/>
  <c r="N142" i="31"/>
  <c r="J142" i="31"/>
  <c r="J179" i="31" s="1"/>
  <c r="P141" i="31"/>
  <c r="L141" i="31"/>
  <c r="L178" i="31" s="1"/>
  <c r="R140" i="31"/>
  <c r="R177" i="31" s="1"/>
  <c r="N140" i="31"/>
  <c r="J140" i="31"/>
  <c r="J177" i="31" s="1"/>
  <c r="P139" i="31"/>
  <c r="L139" i="31"/>
  <c r="L176" i="31" s="1"/>
  <c r="R138" i="31"/>
  <c r="R175" i="31" s="1"/>
  <c r="N138" i="31"/>
  <c r="J138" i="31"/>
  <c r="J175" i="31" s="1"/>
  <c r="P137" i="31"/>
  <c r="L137" i="31"/>
  <c r="L174" i="31" s="1"/>
  <c r="R136" i="31"/>
  <c r="R173" i="31" s="1"/>
  <c r="N136" i="31"/>
  <c r="J136" i="31"/>
  <c r="J173" i="31" s="1"/>
  <c r="P135" i="31"/>
  <c r="L135" i="31"/>
  <c r="L172" i="31" s="1"/>
  <c r="R134" i="31"/>
  <c r="R171" i="31" s="1"/>
  <c r="N134" i="31"/>
  <c r="J134" i="31"/>
  <c r="J171" i="31" s="1"/>
  <c r="P133" i="31"/>
  <c r="L133" i="31"/>
  <c r="L170" i="31" s="1"/>
  <c r="R132" i="31"/>
  <c r="R169" i="31" s="1"/>
  <c r="N132" i="31"/>
  <c r="J132" i="31"/>
  <c r="J169" i="31" s="1"/>
  <c r="P131" i="31"/>
  <c r="L131" i="31"/>
  <c r="L168" i="31" s="1"/>
  <c r="R130" i="31"/>
  <c r="R167" i="31" s="1"/>
  <c r="N130" i="31"/>
  <c r="J130" i="31"/>
  <c r="J167" i="31" s="1"/>
  <c r="P129" i="31"/>
  <c r="L129" i="31"/>
  <c r="L166" i="31" s="1"/>
  <c r="R128" i="31"/>
  <c r="R165" i="31" s="1"/>
  <c r="N128" i="31"/>
  <c r="J128" i="31"/>
  <c r="J165" i="31" s="1"/>
  <c r="P127" i="31"/>
  <c r="L127" i="31"/>
  <c r="L164" i="31" s="1"/>
  <c r="R126" i="31"/>
  <c r="R163" i="31" s="1"/>
  <c r="N126" i="31"/>
  <c r="J126" i="31"/>
  <c r="J163" i="31" s="1"/>
  <c r="P125" i="31"/>
  <c r="L125" i="31"/>
  <c r="L162" i="31" s="1"/>
  <c r="R124" i="31"/>
  <c r="R161" i="31" s="1"/>
  <c r="N124" i="31"/>
  <c r="J124" i="31"/>
  <c r="J161" i="31" s="1"/>
  <c r="P123" i="31"/>
  <c r="L123" i="31"/>
  <c r="L160" i="31" s="1"/>
  <c r="R122" i="31"/>
  <c r="R159" i="31" s="1"/>
  <c r="N122" i="31"/>
  <c r="J122" i="31"/>
  <c r="J159" i="31" s="1"/>
  <c r="P121" i="31"/>
  <c r="L121" i="31"/>
  <c r="L158" i="31" s="1"/>
  <c r="R120" i="31"/>
  <c r="R157" i="31" s="1"/>
  <c r="N120" i="31"/>
  <c r="J120" i="31"/>
  <c r="J157" i="31" s="1"/>
  <c r="P119" i="31"/>
  <c r="L119" i="31"/>
  <c r="L156" i="31" s="1"/>
  <c r="R118" i="31"/>
  <c r="R155" i="31" s="1"/>
  <c r="N118" i="31"/>
  <c r="L78" i="31"/>
  <c r="L114" i="31" s="1"/>
  <c r="K77" i="31"/>
  <c r="K113" i="31" s="1"/>
  <c r="J76" i="31"/>
  <c r="J112" i="31" s="1"/>
  <c r="J75" i="31"/>
  <c r="J111" i="31" s="1"/>
  <c r="S73" i="31"/>
  <c r="S109" i="31" s="1"/>
  <c r="Q72" i="31"/>
  <c r="Q108" i="31" s="1"/>
  <c r="Q70" i="31"/>
  <c r="Q106" i="31" s="1"/>
  <c r="P68" i="31"/>
  <c r="N66" i="31"/>
  <c r="M64" i="31"/>
  <c r="L62" i="31"/>
  <c r="L98" i="31" s="1"/>
  <c r="J60" i="31"/>
  <c r="J96" i="31" s="1"/>
  <c r="S57" i="31"/>
  <c r="S93" i="31" s="1"/>
  <c r="R55" i="31"/>
  <c r="R91" i="31" s="1"/>
  <c r="P53" i="31"/>
  <c r="O51" i="31"/>
  <c r="N49" i="31"/>
  <c r="L47" i="31"/>
  <c r="L83" i="31" s="1"/>
  <c r="J78" i="31"/>
  <c r="J114" i="31" s="1"/>
  <c r="J77" i="31"/>
  <c r="J113" i="31" s="1"/>
  <c r="S75" i="31"/>
  <c r="S111" i="31" s="1"/>
  <c r="R74" i="31"/>
  <c r="R110" i="31" s="1"/>
  <c r="R73" i="31"/>
  <c r="R109" i="31" s="1"/>
  <c r="M72" i="31"/>
  <c r="L70" i="31"/>
  <c r="L106" i="31" s="1"/>
  <c r="J68" i="31"/>
  <c r="J104" i="31" s="1"/>
  <c r="S65" i="31"/>
  <c r="S101" i="31" s="1"/>
  <c r="R63" i="31"/>
  <c r="R99" i="31" s="1"/>
  <c r="P61" i="31"/>
  <c r="O59" i="31"/>
  <c r="N57" i="31"/>
  <c r="L55" i="31"/>
  <c r="L91" i="31" s="1"/>
  <c r="K53" i="31"/>
  <c r="K89" i="31" s="1"/>
  <c r="J51" i="31"/>
  <c r="J87" i="31" s="1"/>
  <c r="R48" i="31"/>
  <c r="R84" i="31" s="1"/>
  <c r="Q46" i="31"/>
  <c r="Q82" i="31" s="1"/>
  <c r="L73" i="31"/>
  <c r="L109" i="31" s="1"/>
  <c r="L72" i="31"/>
  <c r="L108" i="31" s="1"/>
  <c r="K71" i="31"/>
  <c r="K107" i="31" s="1"/>
  <c r="J70" i="31"/>
  <c r="J106" i="31" s="1"/>
  <c r="N68" i="31"/>
  <c r="R65" i="31"/>
  <c r="R101" i="31" s="1"/>
  <c r="Q64" i="31"/>
  <c r="Q100" i="31" s="1"/>
  <c r="P63" i="31"/>
  <c r="P62" i="31"/>
  <c r="O61" i="31"/>
  <c r="N60" i="31"/>
  <c r="N59" i="31"/>
  <c r="M58" i="31"/>
  <c r="L57" i="31"/>
  <c r="L93" i="31" s="1"/>
  <c r="L56" i="31"/>
  <c r="L92" i="31" s="1"/>
  <c r="K55" i="31"/>
  <c r="K91" i="31" s="1"/>
  <c r="J54" i="31"/>
  <c r="J90" i="31" s="1"/>
  <c r="J53" i="31"/>
  <c r="J89" i="31" s="1"/>
  <c r="S51" i="31"/>
  <c r="S87" i="31" s="1"/>
  <c r="N51" i="31"/>
  <c r="M50" i="31"/>
  <c r="R49" i="31"/>
  <c r="R85" i="31" s="1"/>
  <c r="L49" i="31"/>
  <c r="L85" i="31" s="1"/>
  <c r="Q48" i="31"/>
  <c r="Q84" i="31" s="1"/>
  <c r="L48" i="31"/>
  <c r="L84" i="31" s="1"/>
  <c r="P47" i="31"/>
  <c r="N46" i="31"/>
  <c r="N78" i="31"/>
  <c r="S77" i="31"/>
  <c r="S113" i="31" s="1"/>
  <c r="N77" i="31"/>
  <c r="R76" i="31"/>
  <c r="R112" i="31" s="1"/>
  <c r="M76" i="31"/>
  <c r="R75" i="31"/>
  <c r="R111" i="31" s="1"/>
  <c r="L75" i="31"/>
  <c r="L111" i="31" s="1"/>
  <c r="Q74" i="31"/>
  <c r="Q110" i="31" s="1"/>
  <c r="L74" i="31"/>
  <c r="L110" i="31" s="1"/>
  <c r="P73" i="31"/>
  <c r="K73" i="31"/>
  <c r="K109" i="31" s="1"/>
  <c r="P72" i="31"/>
  <c r="J72" i="31"/>
  <c r="J108" i="31" s="1"/>
  <c r="O71" i="31"/>
  <c r="J71" i="31"/>
  <c r="J107" i="31" s="1"/>
  <c r="N70" i="31"/>
  <c r="S69" i="31"/>
  <c r="S105" i="31" s="1"/>
  <c r="N69" i="31"/>
  <c r="R68" i="31"/>
  <c r="R104" i="31" s="1"/>
  <c r="M68" i="31"/>
  <c r="R67" i="31"/>
  <c r="R103" i="31" s="1"/>
  <c r="L67" i="31"/>
  <c r="L103" i="31" s="1"/>
  <c r="Q66" i="31"/>
  <c r="Q102" i="31" s="1"/>
  <c r="L66" i="31"/>
  <c r="L102" i="31" s="1"/>
  <c r="P65" i="31"/>
  <c r="K65" i="31"/>
  <c r="K101" i="31" s="1"/>
  <c r="P64" i="31"/>
  <c r="J64" i="31"/>
  <c r="J100" i="31" s="1"/>
  <c r="O63" i="31"/>
  <c r="J63" i="31"/>
  <c r="J99" i="31" s="1"/>
  <c r="N62" i="31"/>
  <c r="S61" i="31"/>
  <c r="S97" i="31" s="1"/>
  <c r="N61" i="31"/>
  <c r="R60" i="31"/>
  <c r="R96" i="31" s="1"/>
  <c r="M60" i="31"/>
  <c r="R59" i="31"/>
  <c r="R95" i="31" s="1"/>
  <c r="L59" i="31"/>
  <c r="L95" i="31" s="1"/>
  <c r="Q58" i="31"/>
  <c r="Q94" i="31" s="1"/>
  <c r="L58" i="31"/>
  <c r="L94" i="31" s="1"/>
  <c r="P57" i="31"/>
  <c r="K57" i="31"/>
  <c r="K93" i="31" s="1"/>
  <c r="P56" i="31"/>
  <c r="J56" i="31"/>
  <c r="J92" i="31" s="1"/>
  <c r="O55" i="31"/>
  <c r="J55" i="31"/>
  <c r="J91" i="31" s="1"/>
  <c r="N54" i="31"/>
  <c r="S53" i="31"/>
  <c r="S89" i="31" s="1"/>
  <c r="N53" i="31"/>
  <c r="R52" i="31"/>
  <c r="R88" i="31" s="1"/>
  <c r="M52" i="31"/>
  <c r="R51" i="31"/>
  <c r="R87" i="31" s="1"/>
  <c r="L51" i="31"/>
  <c r="L87" i="31" s="1"/>
  <c r="Q50" i="31"/>
  <c r="Q86" i="31" s="1"/>
  <c r="L50" i="31"/>
  <c r="L86" i="31" s="1"/>
  <c r="P49" i="31"/>
  <c r="K49" i="31"/>
  <c r="K85" i="31" s="1"/>
  <c r="P48" i="31"/>
  <c r="J48" i="31"/>
  <c r="J84" i="31" s="1"/>
  <c r="O47" i="31"/>
  <c r="J47" i="31"/>
  <c r="J83" i="31" s="1"/>
  <c r="M46" i="31"/>
  <c r="P71" i="31"/>
  <c r="P70" i="31"/>
  <c r="O69" i="31"/>
  <c r="J69" i="31"/>
  <c r="J105" i="31" s="1"/>
  <c r="S67" i="31"/>
  <c r="S103" i="31" s="1"/>
  <c r="N67" i="31"/>
  <c r="R66" i="31"/>
  <c r="R102" i="31" s="1"/>
  <c r="M66" i="31"/>
  <c r="L65" i="31"/>
  <c r="L101" i="31" s="1"/>
  <c r="L64" i="31"/>
  <c r="L100" i="31" s="1"/>
  <c r="K63" i="31"/>
  <c r="K99" i="31" s="1"/>
  <c r="J62" i="31"/>
  <c r="J98" i="31" s="1"/>
  <c r="J61" i="31"/>
  <c r="J97" i="31" s="1"/>
  <c r="S59" i="31"/>
  <c r="S95" i="31" s="1"/>
  <c r="R58" i="31"/>
  <c r="R94" i="31" s="1"/>
  <c r="R57" i="31"/>
  <c r="R93" i="31" s="1"/>
  <c r="Q56" i="31"/>
  <c r="Q92" i="31" s="1"/>
  <c r="P55" i="31"/>
  <c r="P54" i="31"/>
  <c r="O53" i="31"/>
  <c r="N52" i="31"/>
  <c r="R50" i="31"/>
  <c r="R86" i="31" s="1"/>
  <c r="K47" i="31"/>
  <c r="K83" i="31" s="1"/>
  <c r="R78" i="31"/>
  <c r="R114" i="31" s="1"/>
  <c r="M78" i="31"/>
  <c r="R77" i="31"/>
  <c r="R113" i="31" s="1"/>
  <c r="L77" i="31"/>
  <c r="L113" i="31" s="1"/>
  <c r="Q76" i="31"/>
  <c r="Q112" i="31" s="1"/>
  <c r="L76" i="31"/>
  <c r="L112" i="31" s="1"/>
  <c r="P75" i="31"/>
  <c r="K75" i="31"/>
  <c r="K111" i="31" s="1"/>
  <c r="P74" i="31"/>
  <c r="J74" i="31"/>
  <c r="J110" i="31" s="1"/>
  <c r="O73" i="31"/>
  <c r="J73" i="31"/>
  <c r="J109" i="31" s="1"/>
  <c r="N72" i="31"/>
  <c r="S71" i="31"/>
  <c r="S107" i="31" s="1"/>
  <c r="N71" i="31"/>
  <c r="R70" i="31"/>
  <c r="R106" i="31" s="1"/>
  <c r="M70" i="31"/>
  <c r="R69" i="31"/>
  <c r="R105" i="31" s="1"/>
  <c r="L69" i="31"/>
  <c r="L105" i="31" s="1"/>
  <c r="Q68" i="31"/>
  <c r="Q104" i="31" s="1"/>
  <c r="L68" i="31"/>
  <c r="L104" i="31" s="1"/>
  <c r="P67" i="31"/>
  <c r="K67" i="31"/>
  <c r="K103" i="31" s="1"/>
  <c r="P66" i="31"/>
  <c r="J66" i="31"/>
  <c r="J102" i="31" s="1"/>
  <c r="O65" i="31"/>
  <c r="J65" i="31"/>
  <c r="J101" i="31" s="1"/>
  <c r="N64" i="31"/>
  <c r="S63" i="31"/>
  <c r="S99" i="31" s="1"/>
  <c r="N63" i="31"/>
  <c r="R62" i="31"/>
  <c r="R98" i="31" s="1"/>
  <c r="M62" i="31"/>
  <c r="R61" i="31"/>
  <c r="R97" i="31" s="1"/>
  <c r="L61" i="31"/>
  <c r="L97" i="31" s="1"/>
  <c r="Q60" i="31"/>
  <c r="Q96" i="31" s="1"/>
  <c r="L60" i="31"/>
  <c r="L96" i="31" s="1"/>
  <c r="P59" i="31"/>
  <c r="K59" i="31"/>
  <c r="K95" i="31" s="1"/>
  <c r="P58" i="31"/>
  <c r="J58" i="31"/>
  <c r="J94" i="31" s="1"/>
  <c r="O57" i="31"/>
  <c r="J57" i="31"/>
  <c r="J93" i="31" s="1"/>
  <c r="N56" i="31"/>
  <c r="S55" i="31"/>
  <c r="S91" i="31" s="1"/>
  <c r="N55" i="31"/>
  <c r="R54" i="31"/>
  <c r="R90" i="31" s="1"/>
  <c r="M54" i="31"/>
  <c r="R53" i="31"/>
  <c r="R89" i="31" s="1"/>
  <c r="L53" i="31"/>
  <c r="L89" i="31" s="1"/>
  <c r="Q52" i="31"/>
  <c r="Q88" i="31" s="1"/>
  <c r="L52" i="31"/>
  <c r="L88" i="31" s="1"/>
  <c r="P51" i="31"/>
  <c r="K51" i="31"/>
  <c r="K87" i="31" s="1"/>
  <c r="P50" i="31"/>
  <c r="J50" i="31"/>
  <c r="J86" i="31" s="1"/>
  <c r="O49" i="31"/>
  <c r="J49" i="31"/>
  <c r="J85" i="31" s="1"/>
  <c r="N48" i="31"/>
  <c r="S47" i="31"/>
  <c r="S83" i="31" s="1"/>
  <c r="N47" i="31"/>
  <c r="R46" i="31"/>
  <c r="R82" i="31" s="1"/>
  <c r="K46" i="31"/>
  <c r="K82" i="31" s="1"/>
  <c r="O46" i="31"/>
  <c r="S46" i="31"/>
  <c r="S82" i="31" s="1"/>
  <c r="M47" i="31"/>
  <c r="Q47" i="31"/>
  <c r="Q83" i="31" s="1"/>
  <c r="K48" i="31"/>
  <c r="K84" i="31" s="1"/>
  <c r="O48" i="31"/>
  <c r="S48" i="31"/>
  <c r="S84" i="31" s="1"/>
  <c r="M49" i="31"/>
  <c r="Q49" i="31"/>
  <c r="Q85" i="31" s="1"/>
  <c r="K50" i="31"/>
  <c r="K86" i="31" s="1"/>
  <c r="O50" i="31"/>
  <c r="S50" i="31"/>
  <c r="S86" i="31" s="1"/>
  <c r="M51" i="31"/>
  <c r="Q51" i="31"/>
  <c r="Q87" i="31" s="1"/>
  <c r="K52" i="31"/>
  <c r="K88" i="31" s="1"/>
  <c r="O52" i="31"/>
  <c r="S52" i="31"/>
  <c r="S88" i="31" s="1"/>
  <c r="M53" i="31"/>
  <c r="Q53" i="31"/>
  <c r="Q89" i="31" s="1"/>
  <c r="K54" i="31"/>
  <c r="K90" i="31" s="1"/>
  <c r="O54" i="31"/>
  <c r="S54" i="31"/>
  <c r="S90" i="31" s="1"/>
  <c r="M55" i="31"/>
  <c r="Q55" i="31"/>
  <c r="Q91" i="31" s="1"/>
  <c r="K56" i="31"/>
  <c r="K92" i="31" s="1"/>
  <c r="O56" i="31"/>
  <c r="S56" i="31"/>
  <c r="S92" i="31" s="1"/>
  <c r="M57" i="31"/>
  <c r="Q57" i="31"/>
  <c r="Q93" i="31" s="1"/>
  <c r="K58" i="31"/>
  <c r="K94" i="31" s="1"/>
  <c r="O58" i="31"/>
  <c r="S58" i="31"/>
  <c r="S94" i="31" s="1"/>
  <c r="M59" i="31"/>
  <c r="Q59" i="31"/>
  <c r="Q95" i="31" s="1"/>
  <c r="K60" i="31"/>
  <c r="K96" i="31" s="1"/>
  <c r="O60" i="31"/>
  <c r="S60" i="31"/>
  <c r="S96" i="31" s="1"/>
  <c r="M61" i="31"/>
  <c r="Q61" i="31"/>
  <c r="Q97" i="31" s="1"/>
  <c r="K62" i="31"/>
  <c r="K98" i="31" s="1"/>
  <c r="O62" i="31"/>
  <c r="S62" i="31"/>
  <c r="S98" i="31" s="1"/>
  <c r="M63" i="31"/>
  <c r="Q63" i="31"/>
  <c r="Q99" i="31" s="1"/>
  <c r="K64" i="31"/>
  <c r="K100" i="31" s="1"/>
  <c r="O64" i="31"/>
  <c r="S64" i="31"/>
  <c r="S100" i="31" s="1"/>
  <c r="M65" i="31"/>
  <c r="Q65" i="31"/>
  <c r="Q101" i="31" s="1"/>
  <c r="K66" i="31"/>
  <c r="K102" i="31" s="1"/>
  <c r="O66" i="31"/>
  <c r="S66" i="31"/>
  <c r="S102" i="31" s="1"/>
  <c r="M67" i="31"/>
  <c r="Q67" i="31"/>
  <c r="Q103" i="31" s="1"/>
  <c r="K68" i="31"/>
  <c r="K104" i="31" s="1"/>
  <c r="O68" i="31"/>
  <c r="S68" i="31"/>
  <c r="S104" i="31" s="1"/>
  <c r="M69" i="31"/>
  <c r="Q69" i="31"/>
  <c r="Q105" i="31" s="1"/>
  <c r="K70" i="31"/>
  <c r="K106" i="31" s="1"/>
  <c r="O70" i="31"/>
  <c r="S70" i="31"/>
  <c r="S106" i="31" s="1"/>
  <c r="M71" i="31"/>
  <c r="Q71" i="31"/>
  <c r="Q107" i="31" s="1"/>
  <c r="K72" i="31"/>
  <c r="K108" i="31" s="1"/>
  <c r="O72" i="31"/>
  <c r="S72" i="31"/>
  <c r="S108" i="31" s="1"/>
  <c r="M73" i="31"/>
  <c r="Q73" i="31"/>
  <c r="Q109" i="31" s="1"/>
  <c r="K74" i="31"/>
  <c r="K110" i="31" s="1"/>
  <c r="O74" i="31"/>
  <c r="S74" i="31"/>
  <c r="S110" i="31" s="1"/>
  <c r="M75" i="31"/>
  <c r="Q75" i="31"/>
  <c r="Q111" i="31" s="1"/>
  <c r="K76" i="31"/>
  <c r="K112" i="31" s="1"/>
  <c r="O76" i="31"/>
  <c r="S76" i="31"/>
  <c r="S112" i="31" s="1"/>
  <c r="M77" i="31"/>
  <c r="Q77" i="31"/>
  <c r="Q113" i="31" s="1"/>
  <c r="K78" i="31"/>
  <c r="K114" i="31" s="1"/>
  <c r="O78" i="31"/>
  <c r="S78" i="31"/>
  <c r="S114" i="31" s="1"/>
  <c r="L46" i="31"/>
  <c r="L82" i="31" s="1"/>
  <c r="P46" i="31"/>
  <c r="AP43" i="22"/>
  <c r="AO43" i="22"/>
  <c r="AN43" i="22"/>
  <c r="AM43" i="22"/>
  <c r="AL43" i="22"/>
  <c r="AK43" i="22"/>
  <c r="AJ43" i="22"/>
  <c r="AI43" i="22"/>
  <c r="AH43" i="22"/>
  <c r="AG43" i="22"/>
  <c r="AF43" i="22"/>
  <c r="AE43" i="22"/>
  <c r="AD43" i="22"/>
  <c r="AC43" i="22"/>
  <c r="A2" i="90"/>
  <c r="A1" i="90"/>
  <c r="C157" i="90" s="1"/>
  <c r="G121" i="85" s="1"/>
  <c r="H29" i="72" l="1"/>
  <c r="C100" i="90"/>
  <c r="G119" i="85" s="1"/>
  <c r="C146" i="90"/>
  <c r="G120" i="85" s="1"/>
  <c r="C43" i="90"/>
  <c r="G117" i="85" s="1"/>
  <c r="C84" i="90"/>
  <c r="G118" i="85" s="1"/>
  <c r="C20" i="90"/>
  <c r="G115" i="85" s="1"/>
  <c r="C33" i="90"/>
  <c r="G116" i="85" s="1"/>
  <c r="C13" i="90"/>
  <c r="G114" i="85" s="1"/>
  <c r="H22" i="72"/>
  <c r="H24" i="72"/>
  <c r="H25" i="72"/>
  <c r="H26" i="72"/>
  <c r="H27" i="72"/>
  <c r="H28" i="72"/>
  <c r="H30" i="72"/>
  <c r="H57" i="86"/>
  <c r="H142" i="53"/>
  <c r="H198" i="53"/>
  <c r="H158" i="53"/>
  <c r="P61" i="23"/>
  <c r="P54" i="53"/>
  <c r="N61" i="23"/>
  <c r="Q61" i="23"/>
  <c r="P53" i="53"/>
  <c r="Q27" i="31"/>
  <c r="J45" i="53"/>
  <c r="L62" i="23"/>
  <c r="L63" i="23"/>
  <c r="H73" i="89"/>
  <c r="H81" i="89" s="1"/>
  <c r="H88" i="89" s="1"/>
  <c r="H73" i="105" s="1"/>
  <c r="H113" i="105" s="1"/>
  <c r="H197" i="53"/>
  <c r="H149" i="53"/>
  <c r="H141" i="53"/>
  <c r="H181" i="53"/>
  <c r="H173" i="53"/>
  <c r="H189" i="53"/>
  <c r="H157" i="53"/>
  <c r="AH85" i="87"/>
  <c r="AG85" i="87"/>
  <c r="AK84" i="87"/>
  <c r="J19" i="105"/>
  <c r="J34" i="105"/>
  <c r="AK86" i="87"/>
  <c r="S86" i="87"/>
  <c r="J37" i="105"/>
  <c r="H135" i="53"/>
  <c r="AK85" i="87"/>
  <c r="J25" i="105"/>
  <c r="H50" i="86" a="1"/>
  <c r="H50" i="86" s="1"/>
  <c r="J28" i="105"/>
  <c r="X45" i="53"/>
  <c r="AO86" i="87"/>
  <c r="J16" i="105"/>
  <c r="K27" i="31"/>
  <c r="L54" i="81"/>
  <c r="AG86" i="87"/>
  <c r="S61" i="23"/>
  <c r="M61" i="23"/>
  <c r="O61" i="23"/>
  <c r="R61" i="23"/>
  <c r="L61" i="23"/>
  <c r="AH84" i="87"/>
  <c r="AG84" i="87"/>
  <c r="H133" i="53"/>
  <c r="H165" i="53"/>
  <c r="H134" i="53"/>
  <c r="H182" i="53"/>
  <c r="H150" i="53"/>
  <c r="H174" i="53"/>
  <c r="H166" i="53"/>
  <c r="H190" i="53"/>
  <c r="H88" i="81"/>
  <c r="H87" i="81"/>
  <c r="H86" i="81"/>
  <c r="H84" i="81"/>
  <c r="J98" i="81"/>
  <c r="H163" i="90" a="1"/>
  <c r="H163" i="90" s="1"/>
  <c r="H174" i="90" s="1"/>
  <c r="A4" i="90" s="1"/>
  <c r="H24" i="81"/>
  <c r="H23" i="81"/>
  <c r="H25" i="22"/>
  <c r="H24" i="22"/>
  <c r="H23" i="22"/>
  <c r="H22" i="22"/>
  <c r="A2" i="89"/>
  <c r="A1" i="89"/>
  <c r="A2" i="87"/>
  <c r="A1" i="87"/>
  <c r="N54" i="53"/>
  <c r="K54" i="53"/>
  <c r="N53" i="53"/>
  <c r="K53" i="53"/>
  <c r="X44" i="53"/>
  <c r="J131" i="22"/>
  <c r="J120" i="22"/>
  <c r="J109" i="22"/>
  <c r="J83" i="22"/>
  <c r="J72" i="22"/>
  <c r="J130" i="22"/>
  <c r="J119" i="22"/>
  <c r="J108" i="22"/>
  <c r="J82" i="22"/>
  <c r="J71" i="22"/>
  <c r="J129" i="22"/>
  <c r="J118" i="22"/>
  <c r="J107" i="22"/>
  <c r="J81" i="22"/>
  <c r="J70" i="22"/>
  <c r="L60" i="23"/>
  <c r="H39" i="81"/>
  <c r="Q19" i="31"/>
  <c r="N19" i="31"/>
  <c r="A2" i="86"/>
  <c r="A1" i="86"/>
  <c r="C38" i="86" s="1"/>
  <c r="G129" i="85" s="1"/>
  <c r="C100" i="89" l="1"/>
  <c r="G135" i="85" s="1"/>
  <c r="C96" i="89"/>
  <c r="G134" i="85" s="1"/>
  <c r="C90" i="89"/>
  <c r="G133" i="85" s="1"/>
  <c r="C28" i="89"/>
  <c r="G131" i="85" s="1"/>
  <c r="C38" i="89"/>
  <c r="G132" i="85" s="1"/>
  <c r="C26" i="86"/>
  <c r="G127" i="85" s="1"/>
  <c r="C34" i="86"/>
  <c r="G128" i="85" s="1"/>
  <c r="C70" i="87"/>
  <c r="G125" i="85" s="1"/>
  <c r="C21" i="87"/>
  <c r="G123" i="85" s="1"/>
  <c r="C50" i="87"/>
  <c r="G124" i="85" s="1"/>
  <c r="C16" i="87"/>
  <c r="G122" i="85" s="1"/>
  <c r="C16" i="86"/>
  <c r="G126" i="85" s="1"/>
  <c r="C16" i="89"/>
  <c r="G130" i="85" s="1"/>
  <c r="P85" i="87"/>
  <c r="O84" i="87"/>
  <c r="J84" i="87"/>
  <c r="L84" i="87"/>
  <c r="N84" i="87"/>
  <c r="P84" i="87"/>
  <c r="M84" i="87"/>
  <c r="K84" i="87"/>
  <c r="J97" i="22"/>
  <c r="J61" i="22"/>
  <c r="J96" i="22"/>
  <c r="J60" i="22"/>
  <c r="J59" i="22"/>
  <c r="J98" i="22"/>
  <c r="J44" i="53"/>
  <c r="O56" i="86"/>
  <c r="S56" i="86"/>
  <c r="R56" i="86"/>
  <c r="Q56" i="86"/>
  <c r="N56" i="86"/>
  <c r="H132" i="53"/>
  <c r="AP206" i="53" s="1"/>
  <c r="K56" i="86"/>
  <c r="H109" i="89" a="1"/>
  <c r="H109" i="89" s="1"/>
  <c r="H113" i="89"/>
  <c r="H112" i="89"/>
  <c r="AO243" i="53"/>
  <c r="AN243" i="53"/>
  <c r="P243" i="53"/>
  <c r="AE243" i="53"/>
  <c r="K243" i="53"/>
  <c r="AD243" i="53"/>
  <c r="J243" i="53"/>
  <c r="Q243" i="53"/>
  <c r="AJ243" i="53"/>
  <c r="L243" i="53"/>
  <c r="W243" i="53"/>
  <c r="AP243" i="53"/>
  <c r="V243" i="53"/>
  <c r="AK243" i="53"/>
  <c r="AC243" i="53"/>
  <c r="AF243" i="53"/>
  <c r="S243" i="53"/>
  <c r="R243" i="53"/>
  <c r="M243" i="53"/>
  <c r="AI243" i="53"/>
  <c r="T243" i="53"/>
  <c r="O243" i="53"/>
  <c r="N243" i="53"/>
  <c r="AH243" i="53"/>
  <c r="AM243" i="53"/>
  <c r="AL243" i="53"/>
  <c r="U243" i="53"/>
  <c r="H193" i="53"/>
  <c r="AG243" i="53"/>
  <c r="H145" i="53"/>
  <c r="AC213" i="53"/>
  <c r="AK213" i="53"/>
  <c r="J213" i="53"/>
  <c r="AP213" i="53"/>
  <c r="K213" i="53"/>
  <c r="Q213" i="53"/>
  <c r="N213" i="53"/>
  <c r="AD213" i="53"/>
  <c r="O213" i="53"/>
  <c r="AE213" i="53"/>
  <c r="AG213" i="53"/>
  <c r="AO213" i="53"/>
  <c r="R213" i="53"/>
  <c r="S213" i="53"/>
  <c r="P213" i="53"/>
  <c r="AJ213" i="53"/>
  <c r="AL213" i="53"/>
  <c r="L213" i="53"/>
  <c r="U213" i="53"/>
  <c r="V213" i="53"/>
  <c r="W213" i="53"/>
  <c r="T213" i="53"/>
  <c r="AN213" i="53"/>
  <c r="AM213" i="53"/>
  <c r="AF213" i="53"/>
  <c r="M213" i="53"/>
  <c r="AH213" i="53"/>
  <c r="AI213" i="53"/>
  <c r="H137" i="53"/>
  <c r="AH208" i="53"/>
  <c r="S208" i="53"/>
  <c r="AI208" i="53"/>
  <c r="T208" i="53"/>
  <c r="AJ208" i="53"/>
  <c r="N208" i="53"/>
  <c r="W208" i="53"/>
  <c r="AM208" i="53"/>
  <c r="AN208" i="53"/>
  <c r="AP208" i="53"/>
  <c r="AD208" i="53"/>
  <c r="V208" i="53"/>
  <c r="R208" i="53"/>
  <c r="K208" i="53"/>
  <c r="L208" i="53"/>
  <c r="M208" i="53"/>
  <c r="AG208" i="53"/>
  <c r="J208" i="53"/>
  <c r="O208" i="53"/>
  <c r="P208" i="53"/>
  <c r="Q208" i="53"/>
  <c r="AK208" i="53"/>
  <c r="AL208" i="53"/>
  <c r="AE208" i="53"/>
  <c r="AF208" i="53"/>
  <c r="U208" i="53"/>
  <c r="AO208" i="53"/>
  <c r="AC208" i="53"/>
  <c r="AM222" i="53"/>
  <c r="R222" i="53"/>
  <c r="AP222" i="53"/>
  <c r="U222" i="53"/>
  <c r="AK222" i="53"/>
  <c r="P222" i="53"/>
  <c r="AF222" i="53"/>
  <c r="K222" i="53"/>
  <c r="J222" i="53"/>
  <c r="AL222" i="53"/>
  <c r="Q222" i="53"/>
  <c r="AG222" i="53"/>
  <c r="L222" i="53"/>
  <c r="W222" i="53"/>
  <c r="AE222" i="53"/>
  <c r="N222" i="53"/>
  <c r="AH222" i="53"/>
  <c r="AC222" i="53"/>
  <c r="S222" i="53"/>
  <c r="AJ222" i="53"/>
  <c r="AI222" i="53"/>
  <c r="AD222" i="53"/>
  <c r="T222" i="53"/>
  <c r="O222" i="53"/>
  <c r="V222" i="53"/>
  <c r="M222" i="53"/>
  <c r="AN222" i="53"/>
  <c r="AO222" i="53"/>
  <c r="N237" i="53"/>
  <c r="AH237" i="53"/>
  <c r="M237" i="53"/>
  <c r="AI237" i="53"/>
  <c r="AD237" i="53"/>
  <c r="AO237" i="53"/>
  <c r="U237" i="53"/>
  <c r="AC237" i="53"/>
  <c r="AN237" i="53"/>
  <c r="S237" i="53"/>
  <c r="J237" i="53"/>
  <c r="AL237" i="53"/>
  <c r="W237" i="53"/>
  <c r="R237" i="53"/>
  <c r="Q237" i="53"/>
  <c r="T237" i="53"/>
  <c r="AJ237" i="53"/>
  <c r="O237" i="53"/>
  <c r="V237" i="53"/>
  <c r="AG237" i="53"/>
  <c r="AE237" i="53"/>
  <c r="AP237" i="53"/>
  <c r="AK237" i="53"/>
  <c r="P237" i="53"/>
  <c r="AF237" i="53"/>
  <c r="K237" i="53"/>
  <c r="AM237" i="53"/>
  <c r="L237" i="53"/>
  <c r="H196" i="53"/>
  <c r="H148" i="53"/>
  <c r="AO223" i="53"/>
  <c r="U223" i="53"/>
  <c r="AJ223" i="53"/>
  <c r="L223" i="53"/>
  <c r="W223" i="53"/>
  <c r="R223" i="53"/>
  <c r="N223" i="53"/>
  <c r="AK223" i="53"/>
  <c r="Q223" i="53"/>
  <c r="AF223" i="53"/>
  <c r="AM223" i="53"/>
  <c r="S223" i="53"/>
  <c r="AH223" i="53"/>
  <c r="V223" i="53"/>
  <c r="AG223" i="53"/>
  <c r="M223" i="53"/>
  <c r="T223" i="53"/>
  <c r="AI223" i="53"/>
  <c r="O223" i="53"/>
  <c r="AN223" i="53"/>
  <c r="J223" i="53"/>
  <c r="K223" i="53"/>
  <c r="P223" i="53"/>
  <c r="AP223" i="53"/>
  <c r="AD223" i="53"/>
  <c r="H161" i="53"/>
  <c r="AE223" i="53"/>
  <c r="AL223" i="53"/>
  <c r="AC223" i="53"/>
  <c r="R238" i="53"/>
  <c r="H185" i="53"/>
  <c r="AC238" i="53"/>
  <c r="AN238" i="53"/>
  <c r="P238" i="53"/>
  <c r="AE238" i="53"/>
  <c r="K238" i="53"/>
  <c r="J238" i="53"/>
  <c r="T238" i="53"/>
  <c r="AP238" i="53"/>
  <c r="AO238" i="53"/>
  <c r="U238" i="53"/>
  <c r="AJ238" i="53"/>
  <c r="L238" i="53"/>
  <c r="W238" i="53"/>
  <c r="AD238" i="53"/>
  <c r="AL238" i="53"/>
  <c r="AG238" i="53"/>
  <c r="AI238" i="53"/>
  <c r="AK238" i="53"/>
  <c r="Q238" i="53"/>
  <c r="AF238" i="53"/>
  <c r="AM238" i="53"/>
  <c r="S238" i="53"/>
  <c r="N238" i="53"/>
  <c r="V238" i="53"/>
  <c r="AH238" i="53"/>
  <c r="M238" i="53"/>
  <c r="O238" i="53"/>
  <c r="W247" i="53"/>
  <c r="AM247" i="53"/>
  <c r="R247" i="53"/>
  <c r="AL247" i="53"/>
  <c r="Q247" i="53"/>
  <c r="T247" i="53"/>
  <c r="AG247" i="53"/>
  <c r="AN247" i="53"/>
  <c r="S247" i="53"/>
  <c r="AI247" i="53"/>
  <c r="N247" i="53"/>
  <c r="AH247" i="53"/>
  <c r="M247" i="53"/>
  <c r="AK247" i="53"/>
  <c r="AJ247" i="53"/>
  <c r="AE247" i="53"/>
  <c r="AD247" i="53"/>
  <c r="P247" i="53"/>
  <c r="L247" i="53"/>
  <c r="K247" i="53"/>
  <c r="AF247" i="53"/>
  <c r="V247" i="53"/>
  <c r="U247" i="53"/>
  <c r="AP247" i="53"/>
  <c r="O247" i="53"/>
  <c r="J247" i="53"/>
  <c r="AC247" i="53"/>
  <c r="AO247" i="53"/>
  <c r="AI217" i="53"/>
  <c r="N217" i="53"/>
  <c r="AH217" i="53"/>
  <c r="M217" i="53"/>
  <c r="AC217" i="53"/>
  <c r="AF217" i="53"/>
  <c r="W217" i="53"/>
  <c r="S217" i="53"/>
  <c r="AE217" i="53"/>
  <c r="J217" i="53"/>
  <c r="AD217" i="53"/>
  <c r="AO217" i="53"/>
  <c r="T217" i="53"/>
  <c r="AN217" i="53"/>
  <c r="V217" i="53"/>
  <c r="U217" i="53"/>
  <c r="P217" i="53"/>
  <c r="AG217" i="53"/>
  <c r="R217" i="53"/>
  <c r="Q217" i="53"/>
  <c r="O217" i="53"/>
  <c r="K217" i="53"/>
  <c r="AM217" i="53"/>
  <c r="AP217" i="53"/>
  <c r="AK217" i="53"/>
  <c r="AJ217" i="53"/>
  <c r="AL217" i="53"/>
  <c r="L217" i="53"/>
  <c r="H164" i="53"/>
  <c r="H172" i="53"/>
  <c r="AJ228" i="53"/>
  <c r="L228" i="53"/>
  <c r="W228" i="53"/>
  <c r="AP228" i="53"/>
  <c r="V228" i="53"/>
  <c r="AF228" i="53"/>
  <c r="AM228" i="53"/>
  <c r="S228" i="53"/>
  <c r="AL228" i="53"/>
  <c r="R228" i="53"/>
  <c r="H169" i="53"/>
  <c r="T228" i="53"/>
  <c r="AI228" i="53"/>
  <c r="O228" i="53"/>
  <c r="AH228" i="53"/>
  <c r="N228" i="53"/>
  <c r="AK228" i="53"/>
  <c r="AE228" i="53"/>
  <c r="AO228" i="53"/>
  <c r="M228" i="53"/>
  <c r="U228" i="53"/>
  <c r="J228" i="53"/>
  <c r="K228" i="53"/>
  <c r="AC228" i="53"/>
  <c r="Q228" i="53"/>
  <c r="P228" i="53"/>
  <c r="AN228" i="53"/>
  <c r="AD228" i="53"/>
  <c r="AG228" i="53"/>
  <c r="K233" i="53"/>
  <c r="AH233" i="53"/>
  <c r="N233" i="53"/>
  <c r="AG233" i="53"/>
  <c r="M233" i="53"/>
  <c r="T233" i="53"/>
  <c r="W233" i="53"/>
  <c r="O233" i="53"/>
  <c r="H177" i="53"/>
  <c r="AD233" i="53"/>
  <c r="J233" i="53"/>
  <c r="AC233" i="53"/>
  <c r="AN233" i="53"/>
  <c r="P233" i="53"/>
  <c r="AI233" i="53"/>
  <c r="V233" i="53"/>
  <c r="U233" i="53"/>
  <c r="L233" i="53"/>
  <c r="AK233" i="53"/>
  <c r="R233" i="53"/>
  <c r="Q233" i="53"/>
  <c r="AM233" i="53"/>
  <c r="AF233" i="53"/>
  <c r="AP233" i="53"/>
  <c r="AO233" i="53"/>
  <c r="AJ233" i="53"/>
  <c r="S233" i="53"/>
  <c r="AL233" i="53"/>
  <c r="AE233" i="53"/>
  <c r="AC242" i="53"/>
  <c r="AN242" i="53"/>
  <c r="S242" i="53"/>
  <c r="AI242" i="53"/>
  <c r="N242" i="53"/>
  <c r="AH242" i="53"/>
  <c r="AO242" i="53"/>
  <c r="T242" i="53"/>
  <c r="AJ242" i="53"/>
  <c r="O242" i="53"/>
  <c r="AE242" i="53"/>
  <c r="J242" i="53"/>
  <c r="M242" i="53"/>
  <c r="AK242" i="53"/>
  <c r="AF242" i="53"/>
  <c r="V242" i="53"/>
  <c r="AD242" i="53"/>
  <c r="Q242" i="53"/>
  <c r="AG242" i="53"/>
  <c r="W242" i="53"/>
  <c r="R242" i="53"/>
  <c r="L242" i="53"/>
  <c r="AP242" i="53"/>
  <c r="P242" i="53"/>
  <c r="K242" i="53"/>
  <c r="AL242" i="53"/>
  <c r="U242" i="53"/>
  <c r="AM242" i="53"/>
  <c r="AH212" i="53"/>
  <c r="V212" i="53"/>
  <c r="AD212" i="53"/>
  <c r="W212" i="53"/>
  <c r="J212" i="53"/>
  <c r="AE212" i="53"/>
  <c r="AL212" i="53"/>
  <c r="K212" i="53"/>
  <c r="AF212" i="53"/>
  <c r="N212" i="53"/>
  <c r="O212" i="53"/>
  <c r="AC212" i="53"/>
  <c r="AO212" i="53"/>
  <c r="AN212" i="53"/>
  <c r="Q212" i="53"/>
  <c r="R212" i="53"/>
  <c r="M212" i="53"/>
  <c r="S212" i="53"/>
  <c r="U212" i="53"/>
  <c r="L212" i="53"/>
  <c r="AG212" i="53"/>
  <c r="AI212" i="53"/>
  <c r="AP212" i="53"/>
  <c r="AJ212" i="53"/>
  <c r="P212" i="53"/>
  <c r="AK212" i="53"/>
  <c r="AM212" i="53"/>
  <c r="T212" i="53"/>
  <c r="AP207" i="53"/>
  <c r="V207" i="53"/>
  <c r="AE207" i="53"/>
  <c r="R207" i="53"/>
  <c r="O207" i="53"/>
  <c r="AJ207" i="53"/>
  <c r="P207" i="53"/>
  <c r="AK207" i="53"/>
  <c r="N207" i="53"/>
  <c r="AM207" i="53"/>
  <c r="S207" i="53"/>
  <c r="AN207" i="53"/>
  <c r="T207" i="53"/>
  <c r="AO207" i="53"/>
  <c r="AI207" i="53"/>
  <c r="J207" i="53"/>
  <c r="U207" i="53"/>
  <c r="AG207" i="53"/>
  <c r="AL207" i="53"/>
  <c r="K207" i="53"/>
  <c r="L207" i="53"/>
  <c r="AD207" i="53"/>
  <c r="Q207" i="53"/>
  <c r="W207" i="53"/>
  <c r="AC207" i="53"/>
  <c r="M207" i="53"/>
  <c r="AH207" i="53"/>
  <c r="AF207" i="53"/>
  <c r="H188" i="53"/>
  <c r="H180" i="53"/>
  <c r="AM248" i="53"/>
  <c r="S248" i="53"/>
  <c r="AL248" i="53"/>
  <c r="R248" i="53"/>
  <c r="AK248" i="53"/>
  <c r="Q248" i="53"/>
  <c r="AJ248" i="53"/>
  <c r="AP248" i="53"/>
  <c r="U248" i="53"/>
  <c r="P248" i="53"/>
  <c r="AI248" i="53"/>
  <c r="O248" i="53"/>
  <c r="AH248" i="53"/>
  <c r="N248" i="53"/>
  <c r="AG248" i="53"/>
  <c r="M248" i="53"/>
  <c r="T248" i="53"/>
  <c r="H201" i="53"/>
  <c r="W248" i="53"/>
  <c r="AO248" i="53"/>
  <c r="AE248" i="53"/>
  <c r="K248" i="53"/>
  <c r="AD248" i="53"/>
  <c r="J248" i="53"/>
  <c r="AC248" i="53"/>
  <c r="L248" i="53"/>
  <c r="AF248" i="53"/>
  <c r="V248" i="53"/>
  <c r="AN248" i="53"/>
  <c r="K218" i="53"/>
  <c r="AL218" i="53"/>
  <c r="R218" i="53"/>
  <c r="AK218" i="53"/>
  <c r="Q218" i="53"/>
  <c r="AF218" i="53"/>
  <c r="W218" i="53"/>
  <c r="O218" i="53"/>
  <c r="AH218" i="53"/>
  <c r="N218" i="53"/>
  <c r="AG218" i="53"/>
  <c r="M218" i="53"/>
  <c r="T218" i="53"/>
  <c r="AE218" i="53"/>
  <c r="AD218" i="53"/>
  <c r="AC218" i="53"/>
  <c r="P218" i="53"/>
  <c r="AI218" i="53"/>
  <c r="AO218" i="53"/>
  <c r="S218" i="53"/>
  <c r="V218" i="53"/>
  <c r="U218" i="53"/>
  <c r="L218" i="53"/>
  <c r="AP218" i="53"/>
  <c r="AM218" i="53"/>
  <c r="H153" i="53"/>
  <c r="J218" i="53"/>
  <c r="AN218" i="53"/>
  <c r="AJ218" i="53"/>
  <c r="AL227" i="53"/>
  <c r="AC227" i="53"/>
  <c r="AN227" i="53"/>
  <c r="S227" i="53"/>
  <c r="AI227" i="53"/>
  <c r="N227" i="53"/>
  <c r="U227" i="53"/>
  <c r="AO227" i="53"/>
  <c r="T227" i="53"/>
  <c r="AJ227" i="53"/>
  <c r="O227" i="53"/>
  <c r="AE227" i="53"/>
  <c r="J227" i="53"/>
  <c r="AP227" i="53"/>
  <c r="AD227" i="53"/>
  <c r="Q227" i="53"/>
  <c r="AK227" i="53"/>
  <c r="P227" i="53"/>
  <c r="AF227" i="53"/>
  <c r="K227" i="53"/>
  <c r="V227" i="53"/>
  <c r="AM227" i="53"/>
  <c r="AH227" i="53"/>
  <c r="M227" i="53"/>
  <c r="AG227" i="53"/>
  <c r="R227" i="53"/>
  <c r="L227" i="53"/>
  <c r="W227" i="53"/>
  <c r="AE232" i="53"/>
  <c r="J232" i="53"/>
  <c r="AD232" i="53"/>
  <c r="AO232" i="53"/>
  <c r="T232" i="53"/>
  <c r="S232" i="53"/>
  <c r="K232" i="53"/>
  <c r="V232" i="53"/>
  <c r="AP232" i="53"/>
  <c r="U232" i="53"/>
  <c r="AK232" i="53"/>
  <c r="P232" i="53"/>
  <c r="AJ232" i="53"/>
  <c r="AM232" i="53"/>
  <c r="AL232" i="53"/>
  <c r="AG232" i="53"/>
  <c r="O232" i="53"/>
  <c r="W232" i="53"/>
  <c r="M232" i="53"/>
  <c r="AI232" i="53"/>
  <c r="AH232" i="53"/>
  <c r="AC232" i="53"/>
  <c r="AF232" i="53"/>
  <c r="N232" i="53"/>
  <c r="AN232" i="53"/>
  <c r="R232" i="53"/>
  <c r="Q232" i="53"/>
  <c r="L232" i="53"/>
  <c r="H156" i="53"/>
  <c r="H140" i="53"/>
  <c r="J37" i="55"/>
  <c r="K19" i="31"/>
  <c r="J43" i="53"/>
  <c r="N52" i="53"/>
  <c r="AH53" i="53"/>
  <c r="AG63" i="53"/>
  <c r="AO63" i="53"/>
  <c r="P52" i="53"/>
  <c r="AH63" i="53"/>
  <c r="K52" i="53"/>
  <c r="J98" i="53"/>
  <c r="J61" i="80"/>
  <c r="H39" i="70"/>
  <c r="H37" i="31"/>
  <c r="P46" i="81"/>
  <c r="J99" i="53"/>
  <c r="Y206" i="53"/>
  <c r="AB206" i="53"/>
  <c r="X206" i="53"/>
  <c r="AA206" i="53"/>
  <c r="Z206" i="53"/>
  <c r="Y29" i="53"/>
  <c r="AB29" i="53"/>
  <c r="Z29" i="53"/>
  <c r="X29" i="53"/>
  <c r="AA29" i="53"/>
  <c r="AN30" i="53"/>
  <c r="Q30" i="53"/>
  <c r="AC30" i="53"/>
  <c r="N30" i="53"/>
  <c r="AD30" i="53"/>
  <c r="K30" i="53"/>
  <c r="T30" i="53"/>
  <c r="M30" i="53"/>
  <c r="J30" i="53"/>
  <c r="AP30" i="53"/>
  <c r="W30" i="53"/>
  <c r="L30" i="53"/>
  <c r="AG30" i="53"/>
  <c r="R30" i="53"/>
  <c r="AH30" i="53"/>
  <c r="O30" i="53"/>
  <c r="AE30" i="53"/>
  <c r="AJ30" i="53"/>
  <c r="AK30" i="53"/>
  <c r="AM30" i="53"/>
  <c r="P30" i="53"/>
  <c r="AF30" i="53"/>
  <c r="U30" i="53"/>
  <c r="AO30" i="53"/>
  <c r="V30" i="53"/>
  <c r="AL30" i="53"/>
  <c r="S30" i="53"/>
  <c r="AI30" i="53"/>
  <c r="X30" i="53"/>
  <c r="AA30" i="53"/>
  <c r="AB30" i="53"/>
  <c r="Y30" i="53"/>
  <c r="Z30" i="53"/>
  <c r="V31" i="53"/>
  <c r="AL31" i="53"/>
  <c r="S31" i="53"/>
  <c r="AI31" i="53"/>
  <c r="T31" i="53"/>
  <c r="AN31" i="53"/>
  <c r="M31" i="53"/>
  <c r="AC31" i="53"/>
  <c r="R31" i="53"/>
  <c r="AH31" i="53"/>
  <c r="AE31" i="53"/>
  <c r="AF31" i="53"/>
  <c r="J31" i="53"/>
  <c r="AP31" i="53"/>
  <c r="W31" i="53"/>
  <c r="AM31" i="53"/>
  <c r="AJ31" i="53"/>
  <c r="L31" i="53"/>
  <c r="Q31" i="53"/>
  <c r="AG31" i="53"/>
  <c r="O31" i="53"/>
  <c r="AO31" i="53"/>
  <c r="N31" i="53"/>
  <c r="AD31" i="53"/>
  <c r="K31" i="53"/>
  <c r="P31" i="53"/>
  <c r="U31" i="53"/>
  <c r="AK31" i="53"/>
  <c r="Y31" i="53"/>
  <c r="Z31" i="53"/>
  <c r="X31" i="53"/>
  <c r="AA31" i="53"/>
  <c r="AB31" i="53"/>
  <c r="AO29" i="53"/>
  <c r="V29" i="53"/>
  <c r="AP29" i="53"/>
  <c r="O29" i="53"/>
  <c r="AE29" i="53"/>
  <c r="L29" i="53"/>
  <c r="U29" i="53"/>
  <c r="K29" i="53"/>
  <c r="M29" i="53"/>
  <c r="AC29" i="53"/>
  <c r="AL29" i="53"/>
  <c r="N29" i="53"/>
  <c r="S29" i="53"/>
  <c r="AI29" i="53"/>
  <c r="P29" i="53"/>
  <c r="AF29" i="53"/>
  <c r="AK29" i="53"/>
  <c r="AH29" i="53"/>
  <c r="AN29" i="53"/>
  <c r="Q29" i="53"/>
  <c r="AG29" i="53"/>
  <c r="R29" i="53"/>
  <c r="J29" i="53"/>
  <c r="AD29" i="53"/>
  <c r="W29" i="53"/>
  <c r="AM29" i="53"/>
  <c r="T29" i="53"/>
  <c r="AJ29" i="53"/>
  <c r="AK53" i="53"/>
  <c r="AB53" i="53"/>
  <c r="S63" i="53"/>
  <c r="AK63" i="53"/>
  <c r="AK43" i="53"/>
  <c r="AG43" i="53"/>
  <c r="AO43" i="53"/>
  <c r="AG53" i="53"/>
  <c r="AO53" i="53"/>
  <c r="AB63" i="53"/>
  <c r="AH43" i="53"/>
  <c r="H115" i="89" l="1"/>
  <c r="A4" i="89" s="1"/>
  <c r="U206" i="53"/>
  <c r="M206" i="53"/>
  <c r="AE206" i="53"/>
  <c r="AD206" i="53"/>
  <c r="AI206" i="53"/>
  <c r="AO206" i="53"/>
  <c r="R206" i="53"/>
  <c r="V206" i="53"/>
  <c r="S206" i="53"/>
  <c r="T206" i="53"/>
  <c r="AF206" i="53"/>
  <c r="Q206" i="53"/>
  <c r="L206" i="53"/>
  <c r="AL206" i="53"/>
  <c r="AK206" i="53"/>
  <c r="AG206" i="53"/>
  <c r="H136" i="53"/>
  <c r="AB207" i="53" s="1"/>
  <c r="J206" i="53"/>
  <c r="O206" i="53"/>
  <c r="K206" i="53"/>
  <c r="AC206" i="53"/>
  <c r="N206" i="53"/>
  <c r="AH206" i="53"/>
  <c r="AJ206" i="53"/>
  <c r="P206" i="53"/>
  <c r="AM206" i="53"/>
  <c r="AN206" i="53"/>
  <c r="W206" i="53"/>
  <c r="K45" i="70"/>
  <c r="AA45" i="70"/>
  <c r="X45" i="70"/>
  <c r="U45" i="70"/>
  <c r="R45" i="70"/>
  <c r="O45" i="70"/>
  <c r="L45" i="70"/>
  <c r="AB45" i="70"/>
  <c r="Y45" i="70"/>
  <c r="V45" i="70"/>
  <c r="S45" i="70"/>
  <c r="P45" i="70"/>
  <c r="M45" i="70"/>
  <c r="J45" i="70"/>
  <c r="Z45" i="70"/>
  <c r="W45" i="70"/>
  <c r="T45" i="70"/>
  <c r="Q45" i="70"/>
  <c r="N45" i="70"/>
  <c r="Z218" i="53"/>
  <c r="AA218" i="53"/>
  <c r="X218" i="53"/>
  <c r="Y218" i="53"/>
  <c r="AB218" i="53"/>
  <c r="AO226" i="53"/>
  <c r="T226" i="53"/>
  <c r="AJ226" i="53"/>
  <c r="O226" i="53"/>
  <c r="AE226" i="53"/>
  <c r="J226" i="53"/>
  <c r="AP226" i="53"/>
  <c r="AK226" i="53"/>
  <c r="P226" i="53"/>
  <c r="AF226" i="53"/>
  <c r="K226" i="53"/>
  <c r="V226" i="53"/>
  <c r="AH226" i="53"/>
  <c r="M226" i="53"/>
  <c r="AG226" i="53"/>
  <c r="L226" i="53"/>
  <c r="W226" i="53"/>
  <c r="AM226" i="53"/>
  <c r="R226" i="53"/>
  <c r="AC226" i="53"/>
  <c r="N226" i="53"/>
  <c r="U226" i="53"/>
  <c r="AN226" i="53"/>
  <c r="AI226" i="53"/>
  <c r="S226" i="53"/>
  <c r="Q226" i="53"/>
  <c r="AD226" i="53"/>
  <c r="AL226" i="53"/>
  <c r="L216" i="53"/>
  <c r="AK216" i="53"/>
  <c r="AC216" i="53"/>
  <c r="AD216" i="53"/>
  <c r="J216" i="53"/>
  <c r="AE216" i="53"/>
  <c r="AG216" i="53"/>
  <c r="T216" i="53"/>
  <c r="M216" i="53"/>
  <c r="AH216" i="53"/>
  <c r="N216" i="53"/>
  <c r="AI216" i="53"/>
  <c r="AO216" i="53"/>
  <c r="Q216" i="53"/>
  <c r="R216" i="53"/>
  <c r="S216" i="53"/>
  <c r="AN216" i="53"/>
  <c r="U216" i="53"/>
  <c r="V216" i="53"/>
  <c r="W216" i="53"/>
  <c r="AJ216" i="53"/>
  <c r="AP216" i="53"/>
  <c r="P216" i="53"/>
  <c r="AL216" i="53"/>
  <c r="AM216" i="53"/>
  <c r="K216" i="53"/>
  <c r="AF216" i="53"/>
  <c r="O216" i="53"/>
  <c r="Z208" i="53"/>
  <c r="X208" i="53"/>
  <c r="AA208" i="53"/>
  <c r="AB208" i="53"/>
  <c r="Y208" i="53"/>
  <c r="AP221" i="53"/>
  <c r="U221" i="53"/>
  <c r="AK221" i="53"/>
  <c r="P221" i="53"/>
  <c r="AF221" i="53"/>
  <c r="K221" i="53"/>
  <c r="AE221" i="53"/>
  <c r="V221" i="53"/>
  <c r="J221" i="53"/>
  <c r="AL221" i="53"/>
  <c r="Q221" i="53"/>
  <c r="AG221" i="53"/>
  <c r="L221" i="53"/>
  <c r="W221" i="53"/>
  <c r="M221" i="53"/>
  <c r="AN221" i="53"/>
  <c r="N221" i="53"/>
  <c r="AD221" i="53"/>
  <c r="O221" i="53"/>
  <c r="AO221" i="53"/>
  <c r="AJ221" i="53"/>
  <c r="AI221" i="53"/>
  <c r="R221" i="53"/>
  <c r="T221" i="53"/>
  <c r="AH221" i="53"/>
  <c r="AC221" i="53"/>
  <c r="S221" i="53"/>
  <c r="AM221" i="53"/>
  <c r="X233" i="53"/>
  <c r="Z233" i="53"/>
  <c r="AA233" i="53"/>
  <c r="AB233" i="53"/>
  <c r="Y233" i="53"/>
  <c r="X243" i="53"/>
  <c r="AB243" i="53"/>
  <c r="AA243" i="53"/>
  <c r="Y243" i="53"/>
  <c r="Z243" i="53"/>
  <c r="AH211" i="53"/>
  <c r="U211" i="53"/>
  <c r="R211" i="53"/>
  <c r="AM211" i="53"/>
  <c r="S211" i="53"/>
  <c r="AN211" i="53"/>
  <c r="AD211" i="53"/>
  <c r="Q211" i="53"/>
  <c r="AP211" i="53"/>
  <c r="V211" i="53"/>
  <c r="W211" i="53"/>
  <c r="AO211" i="53"/>
  <c r="AL211" i="53"/>
  <c r="J211" i="53"/>
  <c r="K211" i="53"/>
  <c r="P211" i="53"/>
  <c r="AK211" i="53"/>
  <c r="AI211" i="53"/>
  <c r="AG211" i="53"/>
  <c r="M211" i="53"/>
  <c r="N211" i="53"/>
  <c r="O211" i="53"/>
  <c r="T211" i="53"/>
  <c r="L211" i="53"/>
  <c r="AE211" i="53"/>
  <c r="AF211" i="53"/>
  <c r="AC211" i="53"/>
  <c r="AJ211" i="53"/>
  <c r="Y248" i="53"/>
  <c r="AB248" i="53"/>
  <c r="Z248" i="53"/>
  <c r="AA248" i="53"/>
  <c r="X248" i="53"/>
  <c r="AC241" i="53"/>
  <c r="AN241" i="53"/>
  <c r="S241" i="53"/>
  <c r="AI241" i="53"/>
  <c r="N241" i="53"/>
  <c r="AD241" i="53"/>
  <c r="AO241" i="53"/>
  <c r="T241" i="53"/>
  <c r="AJ241" i="53"/>
  <c r="O241" i="53"/>
  <c r="AE241" i="53"/>
  <c r="J241" i="53"/>
  <c r="AP241" i="53"/>
  <c r="Q241" i="53"/>
  <c r="AL241" i="53"/>
  <c r="P241" i="53"/>
  <c r="K241" i="53"/>
  <c r="AH241" i="53"/>
  <c r="W241" i="53"/>
  <c r="L241" i="53"/>
  <c r="AM241" i="53"/>
  <c r="M241" i="53"/>
  <c r="AG241" i="53"/>
  <c r="R241" i="53"/>
  <c r="AK241" i="53"/>
  <c r="AF241" i="53"/>
  <c r="V241" i="53"/>
  <c r="U241" i="53"/>
  <c r="H56" i="86"/>
  <c r="H59" i="86" s="1"/>
  <c r="A4" i="86" s="1"/>
  <c r="Y238" i="53"/>
  <c r="Z238" i="53"/>
  <c r="AB238" i="53"/>
  <c r="AA238" i="53"/>
  <c r="X238" i="53"/>
  <c r="Z213" i="53"/>
  <c r="AA213" i="53"/>
  <c r="AB213" i="53"/>
  <c r="Y213" i="53"/>
  <c r="X213" i="53"/>
  <c r="J236" i="53"/>
  <c r="AP236" i="53"/>
  <c r="U236" i="53"/>
  <c r="AK236" i="53"/>
  <c r="P236" i="53"/>
  <c r="AF236" i="53"/>
  <c r="K236" i="53"/>
  <c r="AI236" i="53"/>
  <c r="AL236" i="53"/>
  <c r="Q236" i="53"/>
  <c r="AG236" i="53"/>
  <c r="L236" i="53"/>
  <c r="W236" i="53"/>
  <c r="V236" i="53"/>
  <c r="N236" i="53"/>
  <c r="M236" i="53"/>
  <c r="AN236" i="53"/>
  <c r="AM236" i="53"/>
  <c r="AD236" i="53"/>
  <c r="AO236" i="53"/>
  <c r="AJ236" i="53"/>
  <c r="R236" i="53"/>
  <c r="AE236" i="53"/>
  <c r="T236" i="53"/>
  <c r="AH236" i="53"/>
  <c r="AC236" i="53"/>
  <c r="S236" i="53"/>
  <c r="O236" i="53"/>
  <c r="Z228" i="53"/>
  <c r="AA228" i="53"/>
  <c r="AB228" i="53"/>
  <c r="Y228" i="53"/>
  <c r="X228" i="53"/>
  <c r="AI231" i="53"/>
  <c r="AH231" i="53"/>
  <c r="AJ231" i="53"/>
  <c r="K231" i="53"/>
  <c r="N231" i="53"/>
  <c r="Q231" i="53"/>
  <c r="L231" i="53"/>
  <c r="AE231" i="53"/>
  <c r="AO231" i="53"/>
  <c r="W231" i="53"/>
  <c r="AF231" i="53"/>
  <c r="J231" i="53"/>
  <c r="M231" i="53"/>
  <c r="AN231" i="53"/>
  <c r="T231" i="53"/>
  <c r="AK231" i="53"/>
  <c r="V231" i="53"/>
  <c r="O231" i="53"/>
  <c r="AC231" i="53"/>
  <c r="AM231" i="53"/>
  <c r="AG231" i="53"/>
  <c r="R231" i="53"/>
  <c r="AL231" i="53"/>
  <c r="AP231" i="53"/>
  <c r="S231" i="53"/>
  <c r="AD231" i="53"/>
  <c r="U231" i="53"/>
  <c r="P231" i="53"/>
  <c r="X223" i="53"/>
  <c r="AB223" i="53"/>
  <c r="AA223" i="53"/>
  <c r="Y223" i="53"/>
  <c r="Z223" i="53"/>
  <c r="AN246" i="53"/>
  <c r="S246" i="53"/>
  <c r="AI246" i="53"/>
  <c r="N246" i="53"/>
  <c r="AH246" i="53"/>
  <c r="M246" i="53"/>
  <c r="P246" i="53"/>
  <c r="AJ246" i="53"/>
  <c r="O246" i="53"/>
  <c r="AE246" i="53"/>
  <c r="J246" i="53"/>
  <c r="AD246" i="53"/>
  <c r="AO246" i="53"/>
  <c r="AG246" i="53"/>
  <c r="AF246" i="53"/>
  <c r="V246" i="53"/>
  <c r="U246" i="53"/>
  <c r="L246" i="53"/>
  <c r="AK246" i="53"/>
  <c r="W246" i="53"/>
  <c r="R246" i="53"/>
  <c r="Q246" i="53"/>
  <c r="AL246" i="53"/>
  <c r="AC246" i="53"/>
  <c r="K246" i="53"/>
  <c r="AP246" i="53"/>
  <c r="T246" i="53"/>
  <c r="AM246" i="53"/>
  <c r="H119" i="98"/>
  <c r="H120" i="98"/>
  <c r="H37" i="41"/>
  <c r="H122" i="98" l="1"/>
  <c r="M116" i="41"/>
  <c r="Q116" i="41"/>
  <c r="U116" i="41"/>
  <c r="Y116" i="41"/>
  <c r="AC116" i="41"/>
  <c r="AG116" i="41"/>
  <c r="AK116" i="41"/>
  <c r="AO116" i="41"/>
  <c r="AS116" i="41"/>
  <c r="AW116" i="41"/>
  <c r="BA116" i="41"/>
  <c r="BE116" i="41"/>
  <c r="BI116" i="41"/>
  <c r="BM116" i="41"/>
  <c r="BQ116" i="41"/>
  <c r="BU116" i="41"/>
  <c r="BY116" i="41"/>
  <c r="CC116" i="41"/>
  <c r="CG116" i="41"/>
  <c r="CK116" i="41"/>
  <c r="CO116" i="41"/>
  <c r="CS116" i="41"/>
  <c r="CW116" i="41"/>
  <c r="DA116" i="41"/>
  <c r="J116" i="41"/>
  <c r="N116" i="41"/>
  <c r="R116" i="41"/>
  <c r="V116" i="41"/>
  <c r="Z116" i="41"/>
  <c r="AD116" i="41"/>
  <c r="AH116" i="41"/>
  <c r="AL116" i="41"/>
  <c r="AP116" i="41"/>
  <c r="AT116" i="41"/>
  <c r="AX116" i="41"/>
  <c r="BB116" i="41"/>
  <c r="BF116" i="41"/>
  <c r="BJ116" i="41"/>
  <c r="BN116" i="41"/>
  <c r="BR116" i="41"/>
  <c r="BV116" i="41"/>
  <c r="BZ116" i="41"/>
  <c r="CD116" i="41"/>
  <c r="CH116" i="41"/>
  <c r="CL116" i="41"/>
  <c r="CP116" i="41"/>
  <c r="CT116" i="41"/>
  <c r="CX116" i="41"/>
  <c r="DB116" i="41"/>
  <c r="K116" i="41"/>
  <c r="O116" i="41"/>
  <c r="S116" i="41"/>
  <c r="W116" i="41"/>
  <c r="AA116" i="41"/>
  <c r="AE116" i="41"/>
  <c r="AI116" i="41"/>
  <c r="AM116" i="41"/>
  <c r="AQ116" i="41"/>
  <c r="AU116" i="41"/>
  <c r="AY116" i="41"/>
  <c r="BC116" i="41"/>
  <c r="BG116" i="41"/>
  <c r="BK116" i="41"/>
  <c r="BO116" i="41"/>
  <c r="BS116" i="41"/>
  <c r="BW116" i="41"/>
  <c r="CA116" i="41"/>
  <c r="CE116" i="41"/>
  <c r="CI116" i="41"/>
  <c r="CM116" i="41"/>
  <c r="CQ116" i="41"/>
  <c r="CU116" i="41"/>
  <c r="CY116" i="41"/>
  <c r="DC116" i="41"/>
  <c r="L116" i="41"/>
  <c r="P116" i="41"/>
  <c r="T116" i="41"/>
  <c r="X116" i="41"/>
  <c r="AB116" i="41"/>
  <c r="AF116" i="41"/>
  <c r="AJ116" i="41"/>
  <c r="AN116" i="41"/>
  <c r="AR116" i="41"/>
  <c r="AV116" i="41"/>
  <c r="AZ116" i="41"/>
  <c r="BD116" i="41"/>
  <c r="BH116" i="41"/>
  <c r="BL116" i="41"/>
  <c r="BP116" i="41"/>
  <c r="BT116" i="41"/>
  <c r="BX116" i="41"/>
  <c r="CB116" i="41"/>
  <c r="CF116" i="41"/>
  <c r="CJ116" i="41"/>
  <c r="CN116" i="41"/>
  <c r="CR116" i="41"/>
  <c r="CV116" i="41"/>
  <c r="CZ116" i="41"/>
  <c r="DD116" i="41"/>
  <c r="Z207" i="53"/>
  <c r="X207" i="53"/>
  <c r="AA207" i="53"/>
  <c r="Y207" i="53"/>
  <c r="J40" i="55"/>
  <c r="A2" i="85"/>
  <c r="A1" i="85"/>
  <c r="A2" i="84"/>
  <c r="A1" i="84"/>
  <c r="J36" i="55" l="1"/>
  <c r="A4" i="98"/>
  <c r="J20" i="31"/>
  <c r="AE116" i="53" l="1"/>
  <c r="AE504" i="53" s="1"/>
  <c r="AI116" i="53"/>
  <c r="AI504" i="53" s="1"/>
  <c r="AM116" i="53"/>
  <c r="AM504" i="53" s="1"/>
  <c r="AF116" i="53"/>
  <c r="AF504" i="53" s="1"/>
  <c r="AJ116" i="53"/>
  <c r="AJ504" i="53" s="1"/>
  <c r="AN116" i="53"/>
  <c r="AN504" i="53" s="1"/>
  <c r="AC116" i="53"/>
  <c r="AC504" i="53" s="1"/>
  <c r="AG116" i="53"/>
  <c r="AG504" i="53" s="1"/>
  <c r="AK116" i="53"/>
  <c r="AK504" i="53" s="1"/>
  <c r="AO116" i="53"/>
  <c r="AO504" i="53" s="1"/>
  <c r="AD116" i="53"/>
  <c r="AD504" i="53" s="1"/>
  <c r="AH116" i="53"/>
  <c r="AH504" i="53" s="1"/>
  <c r="AL116" i="53"/>
  <c r="AL504" i="53" s="1"/>
  <c r="AP116" i="53"/>
  <c r="AP504" i="53" s="1"/>
  <c r="J21" i="31"/>
  <c r="J23" i="31" s="1"/>
  <c r="A1" i="55" l="1"/>
  <c r="AP89" i="72" l="1"/>
  <c r="AO89" i="72"/>
  <c r="AN89" i="72"/>
  <c r="AM89" i="72"/>
  <c r="AL89" i="72"/>
  <c r="AK89" i="72"/>
  <c r="AJ89" i="72"/>
  <c r="AI89" i="72"/>
  <c r="AH89" i="72"/>
  <c r="AG89" i="72"/>
  <c r="AF89" i="72"/>
  <c r="AE89" i="72"/>
  <c r="AD89" i="72"/>
  <c r="AC89" i="72"/>
  <c r="AP88" i="72"/>
  <c r="AO88" i="72"/>
  <c r="AN88" i="72"/>
  <c r="AM88" i="72"/>
  <c r="AL88" i="72"/>
  <c r="AK88" i="72"/>
  <c r="AJ88" i="72"/>
  <c r="AI88" i="72"/>
  <c r="AH88" i="72"/>
  <c r="AG88" i="72"/>
  <c r="AF88" i="72"/>
  <c r="AE88" i="72"/>
  <c r="AD88" i="72"/>
  <c r="AC88" i="72"/>
  <c r="AP87" i="72"/>
  <c r="AO87" i="72"/>
  <c r="AN87" i="72"/>
  <c r="AM87" i="72"/>
  <c r="AL87" i="72"/>
  <c r="AK87" i="72"/>
  <c r="AJ87" i="72"/>
  <c r="AI87" i="72"/>
  <c r="AH87" i="72"/>
  <c r="AG87" i="72"/>
  <c r="AF87" i="72"/>
  <c r="AE87" i="72"/>
  <c r="AD87" i="72"/>
  <c r="AC87" i="72"/>
  <c r="AP86" i="72"/>
  <c r="AO86" i="72"/>
  <c r="AN86" i="72"/>
  <c r="AM86" i="72"/>
  <c r="AL86" i="72"/>
  <c r="AK86" i="72"/>
  <c r="AJ86" i="72"/>
  <c r="AI86" i="72"/>
  <c r="AH86" i="72"/>
  <c r="AG86" i="72"/>
  <c r="AF86" i="72"/>
  <c r="AE86" i="72"/>
  <c r="AD86" i="72"/>
  <c r="AC86" i="72"/>
  <c r="AP85" i="72"/>
  <c r="AO85" i="72"/>
  <c r="AN85" i="72"/>
  <c r="AM85" i="72"/>
  <c r="AL85" i="72"/>
  <c r="AK85" i="72"/>
  <c r="AJ85" i="72"/>
  <c r="AI85" i="72"/>
  <c r="AH85" i="72"/>
  <c r="AG85" i="72"/>
  <c r="AF85" i="72"/>
  <c r="AE85" i="72"/>
  <c r="AD85" i="72"/>
  <c r="AC85" i="72"/>
  <c r="AP84" i="72"/>
  <c r="AO84" i="72"/>
  <c r="AN84" i="72"/>
  <c r="AM84" i="72"/>
  <c r="AL84" i="72"/>
  <c r="AK84" i="72"/>
  <c r="AJ84" i="72"/>
  <c r="AI84" i="72"/>
  <c r="AH84" i="72"/>
  <c r="AG84" i="72"/>
  <c r="AF84" i="72"/>
  <c r="AE84" i="72"/>
  <c r="AD84" i="72"/>
  <c r="AC84" i="72"/>
  <c r="AP83" i="72"/>
  <c r="AO83" i="72"/>
  <c r="AN83" i="72"/>
  <c r="AM83" i="72"/>
  <c r="AL83" i="72"/>
  <c r="AK83" i="72"/>
  <c r="AJ83" i="72"/>
  <c r="AI83" i="72"/>
  <c r="AH83" i="72"/>
  <c r="AG83" i="72"/>
  <c r="AF83" i="72"/>
  <c r="AE83" i="72"/>
  <c r="AD83" i="72"/>
  <c r="AC83" i="72"/>
  <c r="AP82" i="72"/>
  <c r="AO82" i="72"/>
  <c r="AN82" i="72"/>
  <c r="AM82" i="72"/>
  <c r="AL82" i="72"/>
  <c r="AK82" i="72"/>
  <c r="AJ82" i="72"/>
  <c r="AI82" i="72"/>
  <c r="AH82" i="72"/>
  <c r="AG82" i="72"/>
  <c r="AF82" i="72"/>
  <c r="AE82" i="72"/>
  <c r="AD82" i="72"/>
  <c r="AC82" i="72"/>
  <c r="AP81" i="72"/>
  <c r="AO81" i="72"/>
  <c r="AN81" i="72"/>
  <c r="AM81" i="72"/>
  <c r="AL81" i="72"/>
  <c r="AK81" i="72"/>
  <c r="AJ81" i="72"/>
  <c r="AI81" i="72"/>
  <c r="AH81" i="72"/>
  <c r="AG81" i="72"/>
  <c r="AF81" i="72"/>
  <c r="AE81" i="72"/>
  <c r="AD81" i="72"/>
  <c r="AC81" i="72"/>
  <c r="AB81" i="72"/>
  <c r="AA81" i="72"/>
  <c r="Z81" i="72"/>
  <c r="Y81" i="72"/>
  <c r="X81" i="72"/>
  <c r="W81" i="72"/>
  <c r="V81" i="72"/>
  <c r="U81" i="72"/>
  <c r="T81" i="72"/>
  <c r="S81" i="72"/>
  <c r="R81" i="72"/>
  <c r="Q81" i="72"/>
  <c r="P81" i="72"/>
  <c r="O81" i="72"/>
  <c r="N81" i="72"/>
  <c r="M81" i="72"/>
  <c r="L81" i="72"/>
  <c r="K81" i="72"/>
  <c r="J81" i="72"/>
  <c r="AP102" i="73"/>
  <c r="AO102" i="73"/>
  <c r="AN102" i="73"/>
  <c r="AM102" i="73"/>
  <c r="AL102" i="73"/>
  <c r="AK102" i="73"/>
  <c r="AJ102" i="73"/>
  <c r="AI102" i="73"/>
  <c r="AH102" i="73"/>
  <c r="AG102" i="73"/>
  <c r="AF102" i="73"/>
  <c r="AE102" i="73"/>
  <c r="AD102" i="73"/>
  <c r="AC102" i="73"/>
  <c r="AP101" i="73"/>
  <c r="AO101" i="73"/>
  <c r="AN101" i="73"/>
  <c r="AM101" i="73"/>
  <c r="AL101" i="73"/>
  <c r="AK101" i="73"/>
  <c r="AJ101" i="73"/>
  <c r="AI101" i="73"/>
  <c r="AH101" i="73"/>
  <c r="AG101" i="73"/>
  <c r="AF101" i="73"/>
  <c r="AE101" i="73"/>
  <c r="AD101" i="73"/>
  <c r="AC101" i="73"/>
  <c r="AP100" i="73"/>
  <c r="AO100" i="73"/>
  <c r="AN100" i="73"/>
  <c r="AM100" i="73"/>
  <c r="AL100" i="73"/>
  <c r="AK100" i="73"/>
  <c r="AJ100" i="73"/>
  <c r="AI100" i="73"/>
  <c r="AH100" i="73"/>
  <c r="AG100" i="73"/>
  <c r="AF100" i="73"/>
  <c r="AE100" i="73"/>
  <c r="AD100" i="73"/>
  <c r="AC100" i="73"/>
  <c r="AP99" i="73"/>
  <c r="AO99" i="73"/>
  <c r="AN99" i="73"/>
  <c r="AM99" i="73"/>
  <c r="AL99" i="73"/>
  <c r="AK99" i="73"/>
  <c r="AJ99" i="73"/>
  <c r="AI99" i="73"/>
  <c r="AH99" i="73"/>
  <c r="AG99" i="73"/>
  <c r="AF99" i="73"/>
  <c r="AE99" i="73"/>
  <c r="AD99" i="73"/>
  <c r="AC99" i="73"/>
  <c r="AP98" i="73"/>
  <c r="AO98" i="73"/>
  <c r="AN98" i="73"/>
  <c r="AM98" i="73"/>
  <c r="AL98" i="73"/>
  <c r="AK98" i="73"/>
  <c r="AJ98" i="73"/>
  <c r="AI98" i="73"/>
  <c r="AH98" i="73"/>
  <c r="AG98" i="73"/>
  <c r="AF98" i="73"/>
  <c r="AE98" i="73"/>
  <c r="AD98" i="73"/>
  <c r="AC98" i="73"/>
  <c r="AP97" i="73"/>
  <c r="AO97" i="73"/>
  <c r="AN97" i="73"/>
  <c r="AM97" i="73"/>
  <c r="AL97" i="73"/>
  <c r="AK97" i="73"/>
  <c r="AJ97" i="73"/>
  <c r="AI97" i="73"/>
  <c r="AH97" i="73"/>
  <c r="AG97" i="73"/>
  <c r="AF97" i="73"/>
  <c r="AE97" i="73"/>
  <c r="AD97" i="73"/>
  <c r="AC97" i="73"/>
  <c r="AP96" i="73"/>
  <c r="AO96" i="73"/>
  <c r="AN96" i="73"/>
  <c r="AM96" i="73"/>
  <c r="AL96" i="73"/>
  <c r="AK96" i="73"/>
  <c r="AJ96" i="73"/>
  <c r="AI96" i="73"/>
  <c r="AH96" i="73"/>
  <c r="AG96" i="73"/>
  <c r="AF96" i="73"/>
  <c r="AE96" i="73"/>
  <c r="AD96" i="73"/>
  <c r="AC96" i="73"/>
  <c r="AP95" i="73"/>
  <c r="AO95" i="73"/>
  <c r="AN95" i="73"/>
  <c r="AM95" i="73"/>
  <c r="AL95" i="73"/>
  <c r="AK95" i="73"/>
  <c r="AJ95" i="73"/>
  <c r="AI95" i="73"/>
  <c r="AH95" i="73"/>
  <c r="AG95" i="73"/>
  <c r="AF95" i="73"/>
  <c r="AE95" i="73"/>
  <c r="AD95" i="73"/>
  <c r="AC95" i="73"/>
  <c r="AP94" i="73"/>
  <c r="AO94" i="73"/>
  <c r="AN94" i="73"/>
  <c r="AM94" i="73"/>
  <c r="AL94" i="73"/>
  <c r="AK94" i="73"/>
  <c r="AJ94" i="73"/>
  <c r="AI94" i="73"/>
  <c r="AH94" i="73"/>
  <c r="AG94" i="73"/>
  <c r="AF94" i="73"/>
  <c r="AE94" i="73"/>
  <c r="AD94" i="73"/>
  <c r="AC94" i="73"/>
  <c r="AB94" i="73"/>
  <c r="AA94" i="73"/>
  <c r="Z94" i="73"/>
  <c r="Y94" i="73"/>
  <c r="X94" i="73"/>
  <c r="W94" i="73"/>
  <c r="V94" i="73"/>
  <c r="U94" i="73"/>
  <c r="T94" i="73"/>
  <c r="S94" i="73"/>
  <c r="R94" i="73"/>
  <c r="Q94" i="73"/>
  <c r="P94" i="73"/>
  <c r="O94" i="73"/>
  <c r="N94" i="73"/>
  <c r="M94" i="73"/>
  <c r="L94" i="73"/>
  <c r="K94" i="73"/>
  <c r="J94" i="73"/>
  <c r="A2" i="83"/>
  <c r="A1" i="83"/>
  <c r="AP31" i="80"/>
  <c r="AO31" i="80"/>
  <c r="AN31" i="80"/>
  <c r="AM31" i="80"/>
  <c r="AL31" i="80"/>
  <c r="AK31" i="80"/>
  <c r="AJ31" i="80"/>
  <c r="AI31" i="80"/>
  <c r="AH31" i="80"/>
  <c r="AG31" i="80"/>
  <c r="AF31" i="80"/>
  <c r="AE31" i="80"/>
  <c r="AD31" i="80"/>
  <c r="AC31" i="80"/>
  <c r="AP30" i="80"/>
  <c r="AO30" i="80"/>
  <c r="AN30" i="80"/>
  <c r="AM30" i="80"/>
  <c r="AL30" i="80"/>
  <c r="AK30" i="80"/>
  <c r="AJ30" i="80"/>
  <c r="AI30" i="80"/>
  <c r="AH30" i="80"/>
  <c r="AG30" i="80"/>
  <c r="AF30" i="80"/>
  <c r="AE30" i="80"/>
  <c r="AD30" i="80"/>
  <c r="AC30" i="80"/>
  <c r="AP29" i="80"/>
  <c r="AO29" i="80"/>
  <c r="AN29" i="80"/>
  <c r="AM29" i="80"/>
  <c r="AL29" i="80"/>
  <c r="AK29" i="80"/>
  <c r="AJ29" i="80"/>
  <c r="AI29" i="80"/>
  <c r="AH29" i="80"/>
  <c r="AG29" i="80"/>
  <c r="AF29" i="80"/>
  <c r="AE29" i="80"/>
  <c r="AD29" i="80"/>
  <c r="AC29" i="80"/>
  <c r="AP28" i="80"/>
  <c r="AO28" i="80"/>
  <c r="AN28" i="80"/>
  <c r="AM28" i="80"/>
  <c r="AL28" i="80"/>
  <c r="AK28" i="80"/>
  <c r="AJ28" i="80"/>
  <c r="AI28" i="80"/>
  <c r="AH28" i="80"/>
  <c r="AG28" i="80"/>
  <c r="AF28" i="80"/>
  <c r="AE28" i="80"/>
  <c r="AD28" i="80"/>
  <c r="AC28" i="80"/>
  <c r="AP27" i="80"/>
  <c r="AO27" i="80"/>
  <c r="AN27" i="80"/>
  <c r="AM27" i="80"/>
  <c r="AL27" i="80"/>
  <c r="AK27" i="80"/>
  <c r="AJ27" i="80"/>
  <c r="AI27" i="80"/>
  <c r="AH27" i="80"/>
  <c r="AG27" i="80"/>
  <c r="AF27" i="80"/>
  <c r="AE27" i="80"/>
  <c r="AD27" i="80"/>
  <c r="AC27" i="80"/>
  <c r="AP26" i="80"/>
  <c r="AO26" i="80"/>
  <c r="AN26" i="80"/>
  <c r="AM26" i="80"/>
  <c r="AL26" i="80"/>
  <c r="AK26" i="80"/>
  <c r="AJ26" i="80"/>
  <c r="AI26" i="80"/>
  <c r="AH26" i="80"/>
  <c r="AG26" i="80"/>
  <c r="AF26" i="80"/>
  <c r="AE26" i="80"/>
  <c r="AD26" i="80"/>
  <c r="AC26" i="80"/>
  <c r="AP25" i="80"/>
  <c r="AO25" i="80"/>
  <c r="AN25" i="80"/>
  <c r="AM25" i="80"/>
  <c r="AL25" i="80"/>
  <c r="AK25" i="80"/>
  <c r="AJ25" i="80"/>
  <c r="AI25" i="80"/>
  <c r="AH25" i="80"/>
  <c r="AG25" i="80"/>
  <c r="AF25" i="80"/>
  <c r="AE25" i="80"/>
  <c r="AD25" i="80"/>
  <c r="AC25" i="80"/>
  <c r="AP24" i="80"/>
  <c r="AO24" i="80"/>
  <c r="AN24" i="80"/>
  <c r="AM24" i="80"/>
  <c r="AL24" i="80"/>
  <c r="AK24" i="80"/>
  <c r="AJ24" i="80"/>
  <c r="AI24" i="80"/>
  <c r="AH24" i="80"/>
  <c r="AG24" i="80"/>
  <c r="AF24" i="80"/>
  <c r="AE24" i="80"/>
  <c r="AD24" i="80"/>
  <c r="AC24" i="80"/>
  <c r="AP23" i="80"/>
  <c r="AO23" i="80"/>
  <c r="AN23" i="80"/>
  <c r="AM23" i="80"/>
  <c r="AL23" i="80"/>
  <c r="AK23" i="80"/>
  <c r="AJ23" i="80"/>
  <c r="AI23" i="80"/>
  <c r="AH23" i="80"/>
  <c r="AG23" i="80"/>
  <c r="AF23" i="80"/>
  <c r="AE23" i="80"/>
  <c r="AD23" i="80"/>
  <c r="AC23" i="80"/>
  <c r="AB23" i="80"/>
  <c r="AA23" i="80"/>
  <c r="Z23" i="80"/>
  <c r="Y23" i="80"/>
  <c r="X23" i="80"/>
  <c r="W23" i="80"/>
  <c r="V23" i="80"/>
  <c r="U23" i="80"/>
  <c r="T23" i="80"/>
  <c r="S23" i="80"/>
  <c r="R23" i="80"/>
  <c r="Q23" i="80"/>
  <c r="P23" i="80"/>
  <c r="O23" i="80"/>
  <c r="N23" i="80"/>
  <c r="M23" i="80"/>
  <c r="L23" i="80"/>
  <c r="K23" i="80"/>
  <c r="J23" i="80"/>
  <c r="AP120" i="71"/>
  <c r="AO120" i="71"/>
  <c r="AN120" i="71"/>
  <c r="AM120" i="71"/>
  <c r="AL120" i="71"/>
  <c r="AK120" i="71"/>
  <c r="AJ120" i="71"/>
  <c r="AI120" i="71"/>
  <c r="AH120" i="71"/>
  <c r="AG120" i="71"/>
  <c r="AF120" i="71"/>
  <c r="AE120" i="71"/>
  <c r="AD120" i="71"/>
  <c r="AC120" i="71"/>
  <c r="AP119" i="71"/>
  <c r="AO119" i="71"/>
  <c r="AN119" i="71"/>
  <c r="AM119" i="71"/>
  <c r="AL119" i="71"/>
  <c r="AK119" i="71"/>
  <c r="AJ119" i="71"/>
  <c r="AI119" i="71"/>
  <c r="AH119" i="71"/>
  <c r="AG119" i="71"/>
  <c r="AF119" i="71"/>
  <c r="AE119" i="71"/>
  <c r="AD119" i="71"/>
  <c r="AC119" i="71"/>
  <c r="AP118" i="71"/>
  <c r="AO118" i="71"/>
  <c r="AN118" i="71"/>
  <c r="AM118" i="71"/>
  <c r="AL118" i="71"/>
  <c r="AK118" i="71"/>
  <c r="AJ118" i="71"/>
  <c r="AI118" i="71"/>
  <c r="AH118" i="71"/>
  <c r="AG118" i="71"/>
  <c r="AF118" i="71"/>
  <c r="AE118" i="71"/>
  <c r="AD118" i="71"/>
  <c r="AC118" i="71"/>
  <c r="AP117" i="71"/>
  <c r="AO117" i="71"/>
  <c r="AN117" i="71"/>
  <c r="AM117" i="71"/>
  <c r="AL117" i="71"/>
  <c r="AK117" i="71"/>
  <c r="AJ117" i="71"/>
  <c r="AI117" i="71"/>
  <c r="AH117" i="71"/>
  <c r="AG117" i="71"/>
  <c r="AF117" i="71"/>
  <c r="AE117" i="71"/>
  <c r="AD117" i="71"/>
  <c r="AC117" i="71"/>
  <c r="AP116" i="71"/>
  <c r="AO116" i="71"/>
  <c r="AN116" i="71"/>
  <c r="AM116" i="71"/>
  <c r="AL116" i="71"/>
  <c r="AK116" i="71"/>
  <c r="AJ116" i="71"/>
  <c r="AI116" i="71"/>
  <c r="AH116" i="71"/>
  <c r="AG116" i="71"/>
  <c r="AF116" i="71"/>
  <c r="AE116" i="71"/>
  <c r="AD116" i="71"/>
  <c r="AC116" i="71"/>
  <c r="AP115" i="71"/>
  <c r="AO115" i="71"/>
  <c r="AN115" i="71"/>
  <c r="AM115" i="71"/>
  <c r="AL115" i="71"/>
  <c r="AK115" i="71"/>
  <c r="AJ115" i="71"/>
  <c r="AI115" i="71"/>
  <c r="AH115" i="71"/>
  <c r="AG115" i="71"/>
  <c r="AF115" i="71"/>
  <c r="AE115" i="71"/>
  <c r="AD115" i="71"/>
  <c r="AC115" i="71"/>
  <c r="AP114" i="71"/>
  <c r="AO114" i="71"/>
  <c r="AN114" i="71"/>
  <c r="AM114" i="71"/>
  <c r="AL114" i="71"/>
  <c r="AK114" i="71"/>
  <c r="AJ114" i="71"/>
  <c r="AI114" i="71"/>
  <c r="AH114" i="71"/>
  <c r="AG114" i="71"/>
  <c r="AF114" i="71"/>
  <c r="AE114" i="71"/>
  <c r="AD114" i="71"/>
  <c r="AC114" i="71"/>
  <c r="AP113" i="71"/>
  <c r="AO113" i="71"/>
  <c r="AN113" i="71"/>
  <c r="AM113" i="71"/>
  <c r="AL113" i="71"/>
  <c r="AK113" i="71"/>
  <c r="AJ113" i="71"/>
  <c r="AI113" i="71"/>
  <c r="AH113" i="71"/>
  <c r="AG113" i="71"/>
  <c r="AF113" i="71"/>
  <c r="AE113" i="71"/>
  <c r="AD113" i="71"/>
  <c r="AC113" i="71"/>
  <c r="AP112" i="71"/>
  <c r="AO112" i="71"/>
  <c r="AN112" i="71"/>
  <c r="AM112" i="71"/>
  <c r="AL112" i="71"/>
  <c r="AK112" i="71"/>
  <c r="AJ112" i="71"/>
  <c r="AI112" i="71"/>
  <c r="AH112" i="71"/>
  <c r="AG112" i="71"/>
  <c r="AF112" i="71"/>
  <c r="AE112" i="71"/>
  <c r="AD112" i="71"/>
  <c r="AC112" i="71"/>
  <c r="AB112" i="71"/>
  <c r="AA112" i="71"/>
  <c r="Z112" i="71"/>
  <c r="Y112" i="71"/>
  <c r="X112" i="71"/>
  <c r="W112" i="71"/>
  <c r="V112" i="71"/>
  <c r="U112" i="71"/>
  <c r="T112" i="71"/>
  <c r="S112" i="71"/>
  <c r="R112" i="71"/>
  <c r="Q112" i="71"/>
  <c r="P112" i="71"/>
  <c r="O112" i="71"/>
  <c r="N112" i="71"/>
  <c r="M112" i="71"/>
  <c r="L112" i="71"/>
  <c r="K112" i="71"/>
  <c r="J112" i="71"/>
  <c r="C175" i="83" l="1"/>
  <c r="G190" i="85" s="1"/>
  <c r="C204" i="83"/>
  <c r="G191" i="85" s="1"/>
  <c r="C118" i="83"/>
  <c r="G188" i="85" s="1"/>
  <c r="C146" i="83"/>
  <c r="G189" i="85" s="1"/>
  <c r="C13" i="83"/>
  <c r="G187" i="85" s="1"/>
  <c r="A2" i="81" l="1"/>
  <c r="A1" i="81"/>
  <c r="C117" i="81" s="1"/>
  <c r="G186" i="85" s="1"/>
  <c r="C104" i="81" l="1"/>
  <c r="G184" i="85" s="1"/>
  <c r="C110" i="81"/>
  <c r="G185" i="85" s="1"/>
  <c r="C80" i="81"/>
  <c r="G182" i="85" s="1"/>
  <c r="C92" i="81"/>
  <c r="G183" i="85" s="1"/>
  <c r="C62" i="81"/>
  <c r="G180" i="85" s="1"/>
  <c r="C69" i="81"/>
  <c r="G181" i="85" s="1"/>
  <c r="C42" i="81"/>
  <c r="G178" i="85" s="1"/>
  <c r="C50" i="81"/>
  <c r="G179" i="85" s="1"/>
  <c r="C27" i="81"/>
  <c r="G176" i="85" s="1"/>
  <c r="C35" i="81"/>
  <c r="G177" i="85" s="1"/>
  <c r="C19" i="81"/>
  <c r="G175" i="85" s="1"/>
  <c r="A2" i="80"/>
  <c r="A1" i="80"/>
  <c r="C266" i="80" s="1"/>
  <c r="G173" i="85" s="1"/>
  <c r="C236" i="80" l="1"/>
  <c r="G171" i="85" s="1"/>
  <c r="C249" i="80"/>
  <c r="G172" i="85" s="1"/>
  <c r="C184" i="80"/>
  <c r="G169" i="85" s="1"/>
  <c r="C194" i="80"/>
  <c r="G170" i="85" s="1"/>
  <c r="C138" i="80"/>
  <c r="G167" i="85" s="1"/>
  <c r="C164" i="80"/>
  <c r="G168" i="85" s="1"/>
  <c r="C67" i="80"/>
  <c r="G166" i="85" s="1"/>
  <c r="C18" i="80"/>
  <c r="G165" i="85" s="1"/>
  <c r="AM118" i="53"/>
  <c r="AF118" i="53"/>
  <c r="AJ118" i="53"/>
  <c r="AN118" i="53"/>
  <c r="AI118" i="53"/>
  <c r="AC118" i="53"/>
  <c r="AG118" i="53"/>
  <c r="AK118" i="53"/>
  <c r="AO118" i="53"/>
  <c r="AE118" i="53"/>
  <c r="AD118" i="53"/>
  <c r="AH118" i="53"/>
  <c r="AL118" i="53"/>
  <c r="AP118" i="53"/>
  <c r="A2" i="65" l="1"/>
  <c r="A1" i="65"/>
  <c r="AP34" i="65"/>
  <c r="AO34" i="65"/>
  <c r="AN34" i="65"/>
  <c r="AM34" i="65"/>
  <c r="AL34" i="65"/>
  <c r="AK34" i="65"/>
  <c r="AJ34" i="65"/>
  <c r="AI34" i="65"/>
  <c r="AH34" i="65"/>
  <c r="AG34" i="65"/>
  <c r="AF34" i="65"/>
  <c r="AE34" i="65"/>
  <c r="AD34" i="65"/>
  <c r="AC34" i="65"/>
  <c r="AA34" i="65"/>
  <c r="Z34" i="65"/>
  <c r="Y34" i="65"/>
  <c r="X34" i="65"/>
  <c r="R34" i="65"/>
  <c r="Q34" i="65"/>
  <c r="P34" i="65"/>
  <c r="O34" i="65"/>
  <c r="N34" i="65"/>
  <c r="M34" i="65"/>
  <c r="L34" i="65"/>
  <c r="K34" i="65"/>
  <c r="AP33" i="65"/>
  <c r="AO33" i="65"/>
  <c r="AN33" i="65"/>
  <c r="AM33" i="65"/>
  <c r="AL33" i="65"/>
  <c r="AK33" i="65"/>
  <c r="AJ33" i="65"/>
  <c r="AI33" i="65"/>
  <c r="AH33" i="65"/>
  <c r="AG33" i="65"/>
  <c r="AF33" i="65"/>
  <c r="AE33" i="65"/>
  <c r="AD33" i="65"/>
  <c r="AC33" i="65"/>
  <c r="AA33" i="65"/>
  <c r="Z33" i="65"/>
  <c r="Y33" i="65"/>
  <c r="X33" i="65"/>
  <c r="O33" i="65"/>
  <c r="M33" i="65"/>
  <c r="L33" i="65"/>
  <c r="AP32" i="65"/>
  <c r="AO32" i="65"/>
  <c r="AN32" i="65"/>
  <c r="AM32" i="65"/>
  <c r="AL32" i="65"/>
  <c r="AK32" i="65"/>
  <c r="AJ32" i="65"/>
  <c r="AI32" i="65"/>
  <c r="AH32" i="65"/>
  <c r="AG32" i="65"/>
  <c r="AF32" i="65"/>
  <c r="AE32" i="65"/>
  <c r="AD32" i="65"/>
  <c r="AC32" i="65"/>
  <c r="J34" i="65"/>
  <c r="J33" i="65"/>
  <c r="C86" i="65" l="1"/>
  <c r="G233" i="85" s="1"/>
  <c r="C75" i="65"/>
  <c r="G232" i="85" s="1"/>
  <c r="C16" i="65"/>
  <c r="G228" i="85" s="1"/>
  <c r="C60" i="65"/>
  <c r="G231" i="85" s="1"/>
  <c r="C28" i="65"/>
  <c r="G229" i="85" s="1"/>
  <c r="C40" i="65"/>
  <c r="G230" i="85" s="1"/>
  <c r="A2" i="76"/>
  <c r="A1" i="76"/>
  <c r="C37" i="76" l="1"/>
  <c r="G194" i="85" s="1"/>
  <c r="C17" i="76"/>
  <c r="G192" i="85" s="1"/>
  <c r="C33" i="76"/>
  <c r="G193" i="85" s="1"/>
  <c r="Z49" i="70"/>
  <c r="J49" i="70"/>
  <c r="V49" i="70"/>
  <c r="R49" i="70"/>
  <c r="N49" i="70"/>
  <c r="U49" i="70"/>
  <c r="Q49" i="70"/>
  <c r="X49" i="70"/>
  <c r="Y49" i="70"/>
  <c r="M49" i="70"/>
  <c r="AB49" i="70"/>
  <c r="T49" i="70"/>
  <c r="P49" i="70"/>
  <c r="L49" i="70"/>
  <c r="AA49" i="70"/>
  <c r="W49" i="70"/>
  <c r="S49" i="70"/>
  <c r="O49" i="70"/>
  <c r="K49" i="70"/>
  <c r="A2" i="74" l="1"/>
  <c r="A1" i="74"/>
  <c r="C159" i="74" s="1"/>
  <c r="G222" i="85" s="1"/>
  <c r="A2" i="73"/>
  <c r="A1" i="73"/>
  <c r="C259" i="73" s="1"/>
  <c r="G214" i="85" s="1"/>
  <c r="A2" i="72"/>
  <c r="A1" i="72"/>
  <c r="A2" i="71"/>
  <c r="A1" i="71"/>
  <c r="C214" i="71" s="1"/>
  <c r="G202" i="85" s="1"/>
  <c r="A2" i="70"/>
  <c r="A1" i="70"/>
  <c r="C19" i="70" s="1"/>
  <c r="G136" i="85" s="1"/>
  <c r="AB52" i="70"/>
  <c r="AA52" i="70"/>
  <c r="Z52" i="70"/>
  <c r="Y52" i="70"/>
  <c r="X52" i="70"/>
  <c r="W52" i="70"/>
  <c r="V52" i="70"/>
  <c r="U52" i="70"/>
  <c r="T52" i="70"/>
  <c r="S52" i="70"/>
  <c r="R52" i="70"/>
  <c r="Q52" i="70"/>
  <c r="P52" i="70"/>
  <c r="O52" i="70"/>
  <c r="N52" i="70"/>
  <c r="M52" i="70"/>
  <c r="L52" i="70"/>
  <c r="K52" i="70"/>
  <c r="J52" i="70"/>
  <c r="AB51" i="70"/>
  <c r="AA51" i="70"/>
  <c r="Z51" i="70"/>
  <c r="Y51" i="70"/>
  <c r="X51" i="70"/>
  <c r="W51" i="70"/>
  <c r="V51" i="70"/>
  <c r="U51" i="70"/>
  <c r="T51" i="70"/>
  <c r="S51" i="70"/>
  <c r="R51" i="70"/>
  <c r="Q51" i="70"/>
  <c r="P51" i="70"/>
  <c r="O51" i="70"/>
  <c r="N51" i="70"/>
  <c r="M51" i="70"/>
  <c r="L51" i="70"/>
  <c r="K51" i="70"/>
  <c r="J51" i="70"/>
  <c r="AB50" i="70"/>
  <c r="AA50" i="70"/>
  <c r="Z50" i="70"/>
  <c r="Y50" i="70"/>
  <c r="X50" i="70"/>
  <c r="W50" i="70"/>
  <c r="V50" i="70"/>
  <c r="U50" i="70"/>
  <c r="T50" i="70"/>
  <c r="S50" i="70"/>
  <c r="R50" i="70"/>
  <c r="Q50" i="70"/>
  <c r="P50" i="70"/>
  <c r="O50" i="70"/>
  <c r="N50" i="70"/>
  <c r="M50" i="70"/>
  <c r="L50" i="70"/>
  <c r="K50" i="70"/>
  <c r="J50" i="70"/>
  <c r="AB48" i="70"/>
  <c r="AA48" i="70"/>
  <c r="Z48" i="70"/>
  <c r="Y48" i="70"/>
  <c r="X48" i="70"/>
  <c r="W48" i="70"/>
  <c r="V48" i="70"/>
  <c r="U48" i="70"/>
  <c r="T48" i="70"/>
  <c r="S48" i="70"/>
  <c r="R48" i="70"/>
  <c r="Q48" i="70"/>
  <c r="P48" i="70"/>
  <c r="O48" i="70"/>
  <c r="N48" i="70"/>
  <c r="M48" i="70"/>
  <c r="L48" i="70"/>
  <c r="K48" i="70"/>
  <c r="J48" i="70"/>
  <c r="AB47" i="70"/>
  <c r="AA47" i="70"/>
  <c r="Z47" i="70"/>
  <c r="Y47" i="70"/>
  <c r="X47" i="70"/>
  <c r="W47" i="70"/>
  <c r="V47" i="70"/>
  <c r="U47" i="70"/>
  <c r="T47" i="70"/>
  <c r="S47" i="70"/>
  <c r="R47" i="70"/>
  <c r="Q47" i="70"/>
  <c r="P47" i="70"/>
  <c r="O47" i="70"/>
  <c r="N47" i="70"/>
  <c r="M47" i="70"/>
  <c r="L47" i="70"/>
  <c r="K47" i="70"/>
  <c r="J47" i="70"/>
  <c r="AB46" i="70"/>
  <c r="AA46" i="70"/>
  <c r="Z46" i="70"/>
  <c r="Y46" i="70"/>
  <c r="X46" i="70"/>
  <c r="W46" i="70"/>
  <c r="V46" i="70"/>
  <c r="U46" i="70"/>
  <c r="T46" i="70"/>
  <c r="S46" i="70"/>
  <c r="R46" i="70"/>
  <c r="Q46" i="70"/>
  <c r="P46" i="70"/>
  <c r="O46" i="70"/>
  <c r="N46" i="70"/>
  <c r="M46" i="70"/>
  <c r="L46" i="70"/>
  <c r="K46" i="70"/>
  <c r="J46" i="70"/>
  <c r="C97" i="74" l="1"/>
  <c r="G220" i="85" s="1"/>
  <c r="C127" i="74"/>
  <c r="G221" i="85" s="1"/>
  <c r="C58" i="74"/>
  <c r="G218" i="85" s="1"/>
  <c r="C67" i="74"/>
  <c r="G219" i="85" s="1"/>
  <c r="C22" i="74"/>
  <c r="G216" i="85" s="1"/>
  <c r="C52" i="74"/>
  <c r="G217" i="85" s="1"/>
  <c r="C219" i="73"/>
  <c r="G212" i="85" s="1"/>
  <c r="C254" i="73"/>
  <c r="G213" i="85" s="1"/>
  <c r="C159" i="73"/>
  <c r="G210" i="85" s="1"/>
  <c r="C189" i="73"/>
  <c r="G211" i="85" s="1"/>
  <c r="C129" i="73"/>
  <c r="G209" i="85" s="1"/>
  <c r="C190" i="72"/>
  <c r="G206" i="85" s="1"/>
  <c r="C220" i="72"/>
  <c r="G207" i="85" s="1"/>
  <c r="C120" i="72"/>
  <c r="G204" i="85" s="1"/>
  <c r="C155" i="72"/>
  <c r="G205" i="85" s="1"/>
  <c r="C154" i="71"/>
  <c r="G200" i="85" s="1"/>
  <c r="C184" i="71"/>
  <c r="G201" i="85" s="1"/>
  <c r="C109" i="71"/>
  <c r="G198" i="85" s="1"/>
  <c r="C124" i="71"/>
  <c r="G199" i="85" s="1"/>
  <c r="C49" i="71"/>
  <c r="G196" i="85" s="1"/>
  <c r="C79" i="71"/>
  <c r="G197" i="85" s="1"/>
  <c r="C19" i="71"/>
  <c r="G195" i="85" s="1"/>
  <c r="C17" i="72"/>
  <c r="G203" i="85" s="1"/>
  <c r="C19" i="73"/>
  <c r="G208" i="85" s="1"/>
  <c r="C16" i="74"/>
  <c r="G215" i="85" s="1"/>
  <c r="J83" i="72"/>
  <c r="J96" i="73"/>
  <c r="J25" i="80"/>
  <c r="J114" i="71"/>
  <c r="K96" i="73"/>
  <c r="K25" i="80"/>
  <c r="K83" i="72"/>
  <c r="K114" i="71"/>
  <c r="O83" i="72"/>
  <c r="O96" i="73"/>
  <c r="O25" i="80"/>
  <c r="O114" i="71"/>
  <c r="S96" i="73"/>
  <c r="S83" i="72"/>
  <c r="S25" i="80"/>
  <c r="S114" i="71"/>
  <c r="W83" i="72"/>
  <c r="W96" i="73"/>
  <c r="W25" i="80"/>
  <c r="W114" i="71"/>
  <c r="AA96" i="73"/>
  <c r="AA83" i="72"/>
  <c r="AA25" i="80"/>
  <c r="AA114" i="71"/>
  <c r="L84" i="72"/>
  <c r="L97" i="73"/>
  <c r="L26" i="80"/>
  <c r="L115" i="71"/>
  <c r="P84" i="72"/>
  <c r="P97" i="73"/>
  <c r="P26" i="80"/>
  <c r="P115" i="71"/>
  <c r="T84" i="72"/>
  <c r="T97" i="73"/>
  <c r="T115" i="71"/>
  <c r="T26" i="80"/>
  <c r="X84" i="72"/>
  <c r="X97" i="73"/>
  <c r="X26" i="80"/>
  <c r="X115" i="71"/>
  <c r="AB84" i="72"/>
  <c r="AB97" i="73"/>
  <c r="AB115" i="71"/>
  <c r="AB26" i="80"/>
  <c r="M98" i="73"/>
  <c r="M85" i="72"/>
  <c r="M27" i="80"/>
  <c r="M116" i="71"/>
  <c r="Q98" i="73"/>
  <c r="Q85" i="72"/>
  <c r="Q27" i="80"/>
  <c r="Q116" i="71"/>
  <c r="U98" i="73"/>
  <c r="U85" i="72"/>
  <c r="U27" i="80"/>
  <c r="U116" i="71"/>
  <c r="Y98" i="73"/>
  <c r="Y85" i="72"/>
  <c r="Y27" i="80"/>
  <c r="Y116" i="71"/>
  <c r="J87" i="72"/>
  <c r="J100" i="73"/>
  <c r="J29" i="80"/>
  <c r="J118" i="71"/>
  <c r="N87" i="72"/>
  <c r="N100" i="73"/>
  <c r="N29" i="80"/>
  <c r="N118" i="71"/>
  <c r="R87" i="72"/>
  <c r="R100" i="73"/>
  <c r="R29" i="80"/>
  <c r="R118" i="71"/>
  <c r="V87" i="72"/>
  <c r="V100" i="73"/>
  <c r="V29" i="80"/>
  <c r="V118" i="71"/>
  <c r="Z87" i="72"/>
  <c r="Z100" i="73"/>
  <c r="Z29" i="80"/>
  <c r="Z118" i="71"/>
  <c r="K88" i="72"/>
  <c r="K101" i="73"/>
  <c r="K119" i="71"/>
  <c r="K30" i="80"/>
  <c r="O88" i="72"/>
  <c r="O119" i="71"/>
  <c r="O101" i="73"/>
  <c r="O30" i="80"/>
  <c r="S101" i="73"/>
  <c r="S119" i="71"/>
  <c r="S88" i="72"/>
  <c r="S30" i="80"/>
  <c r="W88" i="72"/>
  <c r="W119" i="71"/>
  <c r="W30" i="80"/>
  <c r="W101" i="73"/>
  <c r="AA88" i="72"/>
  <c r="AA101" i="73"/>
  <c r="AA119" i="71"/>
  <c r="AA30" i="80"/>
  <c r="L89" i="72"/>
  <c r="L102" i="73"/>
  <c r="L31" i="80"/>
  <c r="L120" i="71"/>
  <c r="P89" i="72"/>
  <c r="P102" i="73"/>
  <c r="P31" i="80"/>
  <c r="P120" i="71"/>
  <c r="T89" i="72"/>
  <c r="T102" i="73"/>
  <c r="T31" i="80"/>
  <c r="T120" i="71"/>
  <c r="X89" i="72"/>
  <c r="X102" i="73"/>
  <c r="X31" i="80"/>
  <c r="X120" i="71"/>
  <c r="AB89" i="72"/>
  <c r="AB102" i="73"/>
  <c r="AB31" i="80"/>
  <c r="AB120" i="71"/>
  <c r="R83" i="72"/>
  <c r="R96" i="73"/>
  <c r="R25" i="80"/>
  <c r="R114" i="71"/>
  <c r="N83" i="72"/>
  <c r="N96" i="73"/>
  <c r="N25" i="80"/>
  <c r="N114" i="71"/>
  <c r="V83" i="72"/>
  <c r="V96" i="73"/>
  <c r="V25" i="80"/>
  <c r="V114" i="71"/>
  <c r="Z83" i="72"/>
  <c r="Z96" i="73"/>
  <c r="Z25" i="80"/>
  <c r="Z114" i="71"/>
  <c r="K84" i="72"/>
  <c r="K97" i="73"/>
  <c r="K115" i="71"/>
  <c r="K26" i="80"/>
  <c r="O97" i="73"/>
  <c r="O115" i="71"/>
  <c r="O26" i="80"/>
  <c r="O84" i="72"/>
  <c r="S84" i="72"/>
  <c r="S115" i="71"/>
  <c r="S97" i="73"/>
  <c r="S26" i="80"/>
  <c r="W97" i="73"/>
  <c r="W84" i="72"/>
  <c r="W115" i="71"/>
  <c r="W26" i="80"/>
  <c r="AA84" i="72"/>
  <c r="AA97" i="73"/>
  <c r="AA115" i="71"/>
  <c r="AA26" i="80"/>
  <c r="L85" i="72"/>
  <c r="L98" i="73"/>
  <c r="L27" i="80"/>
  <c r="L116" i="71"/>
  <c r="P85" i="72"/>
  <c r="P98" i="73"/>
  <c r="P27" i="80"/>
  <c r="P116" i="71"/>
  <c r="T85" i="72"/>
  <c r="T98" i="73"/>
  <c r="T27" i="80"/>
  <c r="T116" i="71"/>
  <c r="X85" i="72"/>
  <c r="X98" i="73"/>
  <c r="X27" i="80"/>
  <c r="X116" i="71"/>
  <c r="AB85" i="72"/>
  <c r="AB98" i="73"/>
  <c r="AB27" i="80"/>
  <c r="AB116" i="71"/>
  <c r="M87" i="72"/>
  <c r="M118" i="71"/>
  <c r="M100" i="73"/>
  <c r="M29" i="80"/>
  <c r="Q87" i="72"/>
  <c r="Q100" i="73"/>
  <c r="Q29" i="80"/>
  <c r="Q118" i="71"/>
  <c r="U87" i="72"/>
  <c r="U100" i="73"/>
  <c r="U118" i="71"/>
  <c r="U29" i="80"/>
  <c r="Y87" i="72"/>
  <c r="Y100" i="73"/>
  <c r="Y29" i="80"/>
  <c r="Y118" i="71"/>
  <c r="J88" i="72"/>
  <c r="J101" i="73"/>
  <c r="J30" i="80"/>
  <c r="J119" i="71"/>
  <c r="N101" i="73"/>
  <c r="N30" i="80"/>
  <c r="N88" i="72"/>
  <c r="N119" i="71"/>
  <c r="R88" i="72"/>
  <c r="R101" i="73"/>
  <c r="R30" i="80"/>
  <c r="R119" i="71"/>
  <c r="V101" i="73"/>
  <c r="V88" i="72"/>
  <c r="V30" i="80"/>
  <c r="V119" i="71"/>
  <c r="Z88" i="72"/>
  <c r="Z101" i="73"/>
  <c r="Z30" i="80"/>
  <c r="Z119" i="71"/>
  <c r="K89" i="72"/>
  <c r="K102" i="73"/>
  <c r="K31" i="80"/>
  <c r="K120" i="71"/>
  <c r="O89" i="72"/>
  <c r="O102" i="73"/>
  <c r="O120" i="71"/>
  <c r="O31" i="80"/>
  <c r="S89" i="72"/>
  <c r="S31" i="80"/>
  <c r="S102" i="73"/>
  <c r="S120" i="71"/>
  <c r="W89" i="72"/>
  <c r="W120" i="71"/>
  <c r="W102" i="73"/>
  <c r="W31" i="80"/>
  <c r="AA89" i="72"/>
  <c r="AA102" i="73"/>
  <c r="AA31" i="80"/>
  <c r="AA120" i="71"/>
  <c r="L83" i="72"/>
  <c r="L96" i="73"/>
  <c r="L114" i="71"/>
  <c r="L25" i="80"/>
  <c r="P114" i="71"/>
  <c r="P25" i="80"/>
  <c r="P83" i="72"/>
  <c r="P96" i="73"/>
  <c r="T83" i="72"/>
  <c r="T96" i="73"/>
  <c r="T114" i="71"/>
  <c r="T25" i="80"/>
  <c r="X83" i="72"/>
  <c r="X96" i="73"/>
  <c r="X114" i="71"/>
  <c r="X25" i="80"/>
  <c r="AB83" i="72"/>
  <c r="AB96" i="73"/>
  <c r="AB114" i="71"/>
  <c r="AB25" i="80"/>
  <c r="M84" i="72"/>
  <c r="M97" i="73"/>
  <c r="M26" i="80"/>
  <c r="M115" i="71"/>
  <c r="Q84" i="72"/>
  <c r="Q97" i="73"/>
  <c r="Q26" i="80"/>
  <c r="Q115" i="71"/>
  <c r="U84" i="72"/>
  <c r="U97" i="73"/>
  <c r="U26" i="80"/>
  <c r="U115" i="71"/>
  <c r="Y84" i="72"/>
  <c r="Y97" i="73"/>
  <c r="Y26" i="80"/>
  <c r="Y115" i="71"/>
  <c r="J85" i="72"/>
  <c r="J116" i="71"/>
  <c r="J98" i="73"/>
  <c r="J27" i="80"/>
  <c r="N85" i="72"/>
  <c r="N98" i="73"/>
  <c r="N116" i="71"/>
  <c r="N27" i="80"/>
  <c r="R116" i="71"/>
  <c r="R98" i="73"/>
  <c r="R85" i="72"/>
  <c r="R27" i="80"/>
  <c r="V85" i="72"/>
  <c r="V98" i="73"/>
  <c r="V116" i="71"/>
  <c r="V27" i="80"/>
  <c r="Z85" i="72"/>
  <c r="Z116" i="71"/>
  <c r="Z98" i="73"/>
  <c r="Z27" i="80"/>
  <c r="K87" i="72"/>
  <c r="K100" i="73"/>
  <c r="K29" i="80"/>
  <c r="K118" i="71"/>
  <c r="O100" i="73"/>
  <c r="O29" i="80"/>
  <c r="O118" i="71"/>
  <c r="O87" i="72"/>
  <c r="S87" i="72"/>
  <c r="S100" i="73"/>
  <c r="S29" i="80"/>
  <c r="S118" i="71"/>
  <c r="W100" i="73"/>
  <c r="W87" i="72"/>
  <c r="W29" i="80"/>
  <c r="W118" i="71"/>
  <c r="AA87" i="72"/>
  <c r="AA100" i="73"/>
  <c r="AA29" i="80"/>
  <c r="AA118" i="71"/>
  <c r="L88" i="72"/>
  <c r="L101" i="73"/>
  <c r="L119" i="71"/>
  <c r="L30" i="80"/>
  <c r="P88" i="72"/>
  <c r="P101" i="73"/>
  <c r="P30" i="80"/>
  <c r="P119" i="71"/>
  <c r="T88" i="72"/>
  <c r="T101" i="73"/>
  <c r="T119" i="71"/>
  <c r="T30" i="80"/>
  <c r="X88" i="72"/>
  <c r="X101" i="73"/>
  <c r="X30" i="80"/>
  <c r="X119" i="71"/>
  <c r="AB88" i="72"/>
  <c r="AB101" i="73"/>
  <c r="AB119" i="71"/>
  <c r="AB30" i="80"/>
  <c r="M102" i="73"/>
  <c r="M89" i="72"/>
  <c r="M31" i="80"/>
  <c r="M120" i="71"/>
  <c r="Q102" i="73"/>
  <c r="Q89" i="72"/>
  <c r="Q31" i="80"/>
  <c r="Q120" i="71"/>
  <c r="U102" i="73"/>
  <c r="U31" i="80"/>
  <c r="U120" i="71"/>
  <c r="U89" i="72"/>
  <c r="Y102" i="73"/>
  <c r="Y89" i="72"/>
  <c r="Y31" i="80"/>
  <c r="Y120" i="71"/>
  <c r="M83" i="72"/>
  <c r="M96" i="73"/>
  <c r="M25" i="80"/>
  <c r="M114" i="71"/>
  <c r="Q83" i="72"/>
  <c r="Q114" i="71"/>
  <c r="Q96" i="73"/>
  <c r="Q25" i="80"/>
  <c r="U83" i="72"/>
  <c r="U96" i="73"/>
  <c r="U114" i="71"/>
  <c r="U25" i="80"/>
  <c r="Y83" i="72"/>
  <c r="Y25" i="80"/>
  <c r="Y96" i="73"/>
  <c r="Y114" i="71"/>
  <c r="J97" i="73"/>
  <c r="J84" i="72"/>
  <c r="J26" i="80"/>
  <c r="J115" i="71"/>
  <c r="N84" i="72"/>
  <c r="N97" i="73"/>
  <c r="N26" i="80"/>
  <c r="N115" i="71"/>
  <c r="R97" i="73"/>
  <c r="R84" i="72"/>
  <c r="R26" i="80"/>
  <c r="R115" i="71"/>
  <c r="V84" i="72"/>
  <c r="V97" i="73"/>
  <c r="V26" i="80"/>
  <c r="V115" i="71"/>
  <c r="Z97" i="73"/>
  <c r="Z84" i="72"/>
  <c r="Z26" i="80"/>
  <c r="Z115" i="71"/>
  <c r="K85" i="72"/>
  <c r="K98" i="73"/>
  <c r="K116" i="71"/>
  <c r="K27" i="80"/>
  <c r="O85" i="72"/>
  <c r="O98" i="73"/>
  <c r="O27" i="80"/>
  <c r="O116" i="71"/>
  <c r="S85" i="72"/>
  <c r="S98" i="73"/>
  <c r="S116" i="71"/>
  <c r="S27" i="80"/>
  <c r="W85" i="72"/>
  <c r="W98" i="73"/>
  <c r="W27" i="80"/>
  <c r="W116" i="71"/>
  <c r="AA85" i="72"/>
  <c r="AA98" i="73"/>
  <c r="AA116" i="71"/>
  <c r="AA27" i="80"/>
  <c r="L87" i="72"/>
  <c r="L118" i="71"/>
  <c r="L100" i="73"/>
  <c r="L29" i="80"/>
  <c r="P87" i="72"/>
  <c r="P100" i="73"/>
  <c r="P118" i="71"/>
  <c r="P29" i="80"/>
  <c r="T87" i="72"/>
  <c r="T118" i="71"/>
  <c r="T29" i="80"/>
  <c r="T100" i="73"/>
  <c r="X87" i="72"/>
  <c r="X100" i="73"/>
  <c r="X118" i="71"/>
  <c r="X29" i="80"/>
  <c r="AB118" i="71"/>
  <c r="AB29" i="80"/>
  <c r="AB87" i="72"/>
  <c r="AB100" i="73"/>
  <c r="M88" i="72"/>
  <c r="M101" i="73"/>
  <c r="M30" i="80"/>
  <c r="M119" i="71"/>
  <c r="Q88" i="72"/>
  <c r="Q101" i="73"/>
  <c r="Q30" i="80"/>
  <c r="Q119" i="71"/>
  <c r="U88" i="72"/>
  <c r="U101" i="73"/>
  <c r="U30" i="80"/>
  <c r="U119" i="71"/>
  <c r="Y88" i="72"/>
  <c r="Y101" i="73"/>
  <c r="Y30" i="80"/>
  <c r="Y119" i="71"/>
  <c r="J89" i="72"/>
  <c r="J102" i="73"/>
  <c r="J120" i="71"/>
  <c r="J31" i="80"/>
  <c r="N89" i="72"/>
  <c r="N102" i="73"/>
  <c r="N120" i="71"/>
  <c r="N31" i="80"/>
  <c r="R89" i="72"/>
  <c r="R102" i="73"/>
  <c r="R120" i="71"/>
  <c r="R31" i="80"/>
  <c r="V102" i="73"/>
  <c r="V120" i="71"/>
  <c r="V89" i="72"/>
  <c r="V31" i="80"/>
  <c r="Z89" i="72"/>
  <c r="Z102" i="73"/>
  <c r="Z120" i="71"/>
  <c r="Z31" i="80"/>
  <c r="N86" i="72" l="1"/>
  <c r="N99" i="73"/>
  <c r="N117" i="71"/>
  <c r="N28" i="80"/>
  <c r="P99" i="73"/>
  <c r="P86" i="72"/>
  <c r="P28" i="80"/>
  <c r="P117" i="71"/>
  <c r="Q86" i="72"/>
  <c r="Q117" i="71"/>
  <c r="Q99" i="73"/>
  <c r="Q28" i="80"/>
  <c r="J86" i="72"/>
  <c r="J99" i="73"/>
  <c r="J28" i="80"/>
  <c r="J117" i="71"/>
  <c r="K86" i="72"/>
  <c r="K99" i="73"/>
  <c r="K28" i="80"/>
  <c r="K117" i="71"/>
  <c r="M86" i="72"/>
  <c r="M99" i="73"/>
  <c r="M117" i="71"/>
  <c r="M28" i="80"/>
  <c r="X99" i="73"/>
  <c r="X86" i="72"/>
  <c r="X28" i="80"/>
  <c r="X117" i="71"/>
  <c r="W86" i="72"/>
  <c r="W99" i="73"/>
  <c r="W28" i="80"/>
  <c r="W117" i="71"/>
  <c r="T99" i="73"/>
  <c r="T86" i="72"/>
  <c r="T28" i="80"/>
  <c r="T117" i="71"/>
  <c r="AB99" i="73"/>
  <c r="AB28" i="80"/>
  <c r="AB86" i="72"/>
  <c r="AB117" i="71"/>
  <c r="V86" i="72"/>
  <c r="V99" i="73"/>
  <c r="V117" i="71"/>
  <c r="V28" i="80"/>
  <c r="AA86" i="72"/>
  <c r="AA99" i="73"/>
  <c r="AA28" i="80"/>
  <c r="AA117" i="71"/>
  <c r="O86" i="72"/>
  <c r="O99" i="73"/>
  <c r="O28" i="80"/>
  <c r="O117" i="71"/>
  <c r="S86" i="72"/>
  <c r="S99" i="73"/>
  <c r="S28" i="80"/>
  <c r="S117" i="71"/>
  <c r="R86" i="72"/>
  <c r="R99" i="73"/>
  <c r="R28" i="80"/>
  <c r="R117" i="71"/>
  <c r="U99" i="73"/>
  <c r="U86" i="72"/>
  <c r="U117" i="71"/>
  <c r="U28" i="80"/>
  <c r="Z86" i="72"/>
  <c r="Z99" i="73"/>
  <c r="Z28" i="80"/>
  <c r="Z117" i="71"/>
  <c r="Y86" i="72"/>
  <c r="Y117" i="71"/>
  <c r="Y99" i="73"/>
  <c r="Y28" i="80"/>
  <c r="L99" i="73"/>
  <c r="L28" i="80"/>
  <c r="L86" i="72"/>
  <c r="L117" i="71"/>
  <c r="B14" i="27" l="1"/>
  <c r="B10" i="27"/>
  <c r="B6" i="27"/>
  <c r="B8" i="27"/>
  <c r="A2" i="41" l="1"/>
  <c r="A2" i="53"/>
  <c r="A2" i="22"/>
  <c r="A2" i="23"/>
  <c r="A2" i="31"/>
  <c r="A2" i="28"/>
  <c r="A2" i="55"/>
  <c r="D14" i="27"/>
  <c r="D10" i="27"/>
  <c r="D8" i="27"/>
  <c r="D6" i="27"/>
  <c r="A3" i="111" l="1"/>
  <c r="A3" i="28"/>
  <c r="A3" i="93"/>
  <c r="A3" i="97"/>
  <c r="A3" i="90"/>
  <c r="A3" i="89"/>
  <c r="A3" i="22"/>
  <c r="A3" i="81"/>
  <c r="A3" i="72"/>
  <c r="A3" i="65"/>
  <c r="A3" i="92"/>
  <c r="A3" i="23"/>
  <c r="A3" i="80"/>
  <c r="A3" i="85"/>
  <c r="A3" i="94"/>
  <c r="A3" i="87"/>
  <c r="A3" i="70"/>
  <c r="A3" i="83"/>
  <c r="A3" i="73"/>
  <c r="A3" i="105"/>
  <c r="A3" i="55"/>
  <c r="A3" i="96"/>
  <c r="A3" i="86"/>
  <c r="A3" i="71"/>
  <c r="A3" i="107"/>
  <c r="A3" i="84"/>
  <c r="A3" i="95"/>
  <c r="A3" i="100"/>
  <c r="A3" i="31"/>
  <c r="A3" i="53"/>
  <c r="A3" i="76"/>
  <c r="A3" i="74"/>
  <c r="A3" i="106"/>
  <c r="A3" i="98"/>
  <c r="A3" i="41"/>
  <c r="A1" i="28" l="1"/>
  <c r="K110" i="41" l="1"/>
  <c r="L110" i="41" l="1"/>
  <c r="M110" i="41" l="1"/>
  <c r="N110" i="41" l="1"/>
  <c r="A1" i="53"/>
  <c r="C335" i="53" l="1"/>
  <c r="G157" i="85" s="1"/>
  <c r="C365" i="53"/>
  <c r="G159" i="85" s="1"/>
  <c r="C506" i="53"/>
  <c r="G164" i="85" s="1"/>
  <c r="C485" i="53"/>
  <c r="G162" i="85" s="1"/>
  <c r="C502" i="53"/>
  <c r="G163" i="85" s="1"/>
  <c r="C393" i="53"/>
  <c r="G160" i="85" s="1"/>
  <c r="C417" i="53"/>
  <c r="G161" i="85" s="1"/>
  <c r="C359" i="53"/>
  <c r="G158" i="85" s="1"/>
  <c r="C290" i="53"/>
  <c r="G156" i="85" s="1"/>
  <c r="C203" i="53"/>
  <c r="G154" i="85" s="1"/>
  <c r="C250" i="53"/>
  <c r="G155" i="85" s="1"/>
  <c r="C114" i="53"/>
  <c r="G152" i="85" s="1"/>
  <c r="C129" i="53"/>
  <c r="G153" i="85" s="1"/>
  <c r="C96" i="53"/>
  <c r="G150" i="85" s="1"/>
  <c r="C101" i="53"/>
  <c r="G151" i="85" s="1"/>
  <c r="C77" i="53"/>
  <c r="G148" i="85" s="1"/>
  <c r="C86" i="53"/>
  <c r="G149" i="85" s="1"/>
  <c r="C33" i="53"/>
  <c r="G147" i="85" s="1"/>
  <c r="C21" i="53"/>
  <c r="G146" i="85" s="1"/>
  <c r="O110" i="41"/>
  <c r="P110" i="41" l="1"/>
  <c r="A1" i="41"/>
  <c r="C86" i="41" l="1"/>
  <c r="G226" i="85" s="1"/>
  <c r="C125" i="41"/>
  <c r="G227" i="85" s="1"/>
  <c r="C39" i="41"/>
  <c r="G224" i="85" s="1"/>
  <c r="C62" i="41"/>
  <c r="G225" i="85" s="1"/>
  <c r="C15" i="41"/>
  <c r="G223" i="85" s="1"/>
  <c r="Q110" i="41"/>
  <c r="R110" i="41" l="1"/>
  <c r="S110" i="41" l="1"/>
  <c r="DD97" i="41"/>
  <c r="DC97" i="41"/>
  <c r="DB97" i="41"/>
  <c r="DA97" i="41"/>
  <c r="CZ97" i="41"/>
  <c r="CY97" i="41"/>
  <c r="CX97" i="41"/>
  <c r="CW97" i="41"/>
  <c r="CV97" i="41"/>
  <c r="CU97" i="41"/>
  <c r="CT97" i="41"/>
  <c r="CS97" i="41"/>
  <c r="CR97" i="41"/>
  <c r="CQ97" i="41"/>
  <c r="BW97" i="41"/>
  <c r="BV97" i="41"/>
  <c r="BU97" i="41"/>
  <c r="BT97" i="41"/>
  <c r="BS97" i="41"/>
  <c r="BR97" i="41"/>
  <c r="BQ97" i="41"/>
  <c r="BP97" i="41"/>
  <c r="BO97" i="41"/>
  <c r="BN97" i="41"/>
  <c r="BM97" i="41"/>
  <c r="BL97" i="41"/>
  <c r="BK97" i="41"/>
  <c r="BJ97" i="41"/>
  <c r="AP97" i="41"/>
  <c r="AO97" i="41"/>
  <c r="AN97" i="41"/>
  <c r="AM97" i="41"/>
  <c r="AL97" i="41"/>
  <c r="AK97" i="41"/>
  <c r="AJ97" i="41"/>
  <c r="AI97" i="41"/>
  <c r="AH97" i="41"/>
  <c r="AG97" i="41"/>
  <c r="AF97" i="41"/>
  <c r="AE97" i="41"/>
  <c r="AD97" i="41"/>
  <c r="AC97" i="41"/>
  <c r="T110" i="41" l="1"/>
  <c r="A1" i="31"/>
  <c r="C189" i="31" s="1"/>
  <c r="G141" i="85" s="1"/>
  <c r="A1" i="23"/>
  <c r="C55" i="23" s="1"/>
  <c r="G143" i="85" s="1"/>
  <c r="A1" i="22"/>
  <c r="C55" i="22" l="1"/>
  <c r="G145" i="85" s="1"/>
  <c r="C16" i="23"/>
  <c r="G142" i="85" s="1"/>
  <c r="C35" i="31"/>
  <c r="G139" i="85" s="1"/>
  <c r="C40" i="31"/>
  <c r="G140" i="85" s="1"/>
  <c r="C25" i="31"/>
  <c r="G138" i="85" s="1"/>
  <c r="C17" i="31"/>
  <c r="G137" i="85" s="1"/>
  <c r="C15" i="22"/>
  <c r="G144" i="85" s="1"/>
  <c r="U110" i="41"/>
  <c r="V110" i="41" l="1"/>
  <c r="W110" i="41" l="1"/>
  <c r="AD100" i="22" l="1"/>
  <c r="AD55" i="65" s="1"/>
  <c r="AD99" i="22"/>
  <c r="AD46" i="65" s="1"/>
  <c r="AL100" i="22"/>
  <c r="AL55" i="65" s="1"/>
  <c r="AL99" i="22"/>
  <c r="AL46" i="65" s="1"/>
  <c r="AP100" i="22"/>
  <c r="AP55" i="65" s="1"/>
  <c r="AP99" i="22"/>
  <c r="AP46" i="65" s="1"/>
  <c r="AC110" i="22"/>
  <c r="AC47" i="65" s="1"/>
  <c r="AC111" i="22"/>
  <c r="AC56" i="65" s="1"/>
  <c r="AG110" i="22"/>
  <c r="AG47" i="65" s="1"/>
  <c r="AG111" i="22"/>
  <c r="AG56" i="65" s="1"/>
  <c r="AK110" i="22"/>
  <c r="AK47" i="65" s="1"/>
  <c r="AK111" i="22"/>
  <c r="AK56" i="65" s="1"/>
  <c r="AO110" i="22"/>
  <c r="AO47" i="65" s="1"/>
  <c r="AO111" i="22"/>
  <c r="AO56" i="65" s="1"/>
  <c r="AF121" i="22"/>
  <c r="AF48" i="65" s="1"/>
  <c r="AF122" i="22"/>
  <c r="AF57" i="65" s="1"/>
  <c r="AJ121" i="22"/>
  <c r="AJ48" i="65" s="1"/>
  <c r="AJ122" i="22"/>
  <c r="AJ57" i="65" s="1"/>
  <c r="AN121" i="22"/>
  <c r="AN48" i="65" s="1"/>
  <c r="AN122" i="22"/>
  <c r="AN57" i="65" s="1"/>
  <c r="AE100" i="22"/>
  <c r="AE55" i="65" s="1"/>
  <c r="AE99" i="22"/>
  <c r="AE46" i="65" s="1"/>
  <c r="AI100" i="22"/>
  <c r="AI55" i="65" s="1"/>
  <c r="AI99" i="22"/>
  <c r="AI46" i="65" s="1"/>
  <c r="AM100" i="22"/>
  <c r="AM55" i="65" s="1"/>
  <c r="AM99" i="22"/>
  <c r="AM46" i="65" s="1"/>
  <c r="AD111" i="22"/>
  <c r="AD56" i="65" s="1"/>
  <c r="AD110" i="22"/>
  <c r="AD47" i="65" s="1"/>
  <c r="AH111" i="22"/>
  <c r="AH56" i="65" s="1"/>
  <c r="AH110" i="22"/>
  <c r="AH47" i="65" s="1"/>
  <c r="AL111" i="22"/>
  <c r="AL56" i="65" s="1"/>
  <c r="AL110" i="22"/>
  <c r="AL47" i="65" s="1"/>
  <c r="AP111" i="22"/>
  <c r="AP56" i="65" s="1"/>
  <c r="AP110" i="22"/>
  <c r="AP47" i="65" s="1"/>
  <c r="AC121" i="22"/>
  <c r="AC48" i="65" s="1"/>
  <c r="AC122" i="22"/>
  <c r="AC57" i="65" s="1"/>
  <c r="AG121" i="22"/>
  <c r="AG48" i="65" s="1"/>
  <c r="AG122" i="22"/>
  <c r="AG57" i="65" s="1"/>
  <c r="AK121" i="22"/>
  <c r="AK48" i="65" s="1"/>
  <c r="AK122" i="22"/>
  <c r="AK57" i="65" s="1"/>
  <c r="AO121" i="22"/>
  <c r="AO48" i="65" s="1"/>
  <c r="AO122" i="22"/>
  <c r="AO57" i="65" s="1"/>
  <c r="AJ99" i="22"/>
  <c r="AJ46" i="65" s="1"/>
  <c r="AJ100" i="22"/>
  <c r="AJ55" i="65" s="1"/>
  <c r="AD121" i="22"/>
  <c r="AD48" i="65" s="1"/>
  <c r="AD122" i="22"/>
  <c r="AD57" i="65" s="1"/>
  <c r="AF99" i="22"/>
  <c r="AF46" i="65" s="1"/>
  <c r="AF100" i="22"/>
  <c r="AF55" i="65" s="1"/>
  <c r="AN99" i="22"/>
  <c r="AN46" i="65" s="1"/>
  <c r="AN100" i="22"/>
  <c r="AN55" i="65" s="1"/>
  <c r="AE111" i="22"/>
  <c r="AE56" i="65" s="1"/>
  <c r="AE110" i="22"/>
  <c r="AE47" i="65" s="1"/>
  <c r="AI110" i="22"/>
  <c r="AI47" i="65" s="1"/>
  <c r="AI111" i="22"/>
  <c r="AI56" i="65" s="1"/>
  <c r="AM111" i="22"/>
  <c r="AM56" i="65" s="1"/>
  <c r="AM110" i="22"/>
  <c r="AM47" i="65" s="1"/>
  <c r="AH121" i="22"/>
  <c r="AH48" i="65" s="1"/>
  <c r="AH122" i="22"/>
  <c r="AH57" i="65" s="1"/>
  <c r="AL122" i="22"/>
  <c r="AL57" i="65" s="1"/>
  <c r="AL121" i="22"/>
  <c r="AL48" i="65" s="1"/>
  <c r="AP121" i="22"/>
  <c r="AP48" i="65" s="1"/>
  <c r="AP122" i="22"/>
  <c r="AP57" i="65" s="1"/>
  <c r="AC99" i="22"/>
  <c r="AC46" i="65" s="1"/>
  <c r="AC100" i="22"/>
  <c r="AC55" i="65" s="1"/>
  <c r="AG99" i="22"/>
  <c r="AG46" i="65" s="1"/>
  <c r="AG100" i="22"/>
  <c r="AG55" i="65" s="1"/>
  <c r="AK99" i="22"/>
  <c r="AK46" i="65" s="1"/>
  <c r="AK100" i="22"/>
  <c r="AK55" i="65" s="1"/>
  <c r="AO99" i="22"/>
  <c r="AO46" i="65" s="1"/>
  <c r="AO100" i="22"/>
  <c r="AO55" i="65" s="1"/>
  <c r="AF110" i="22"/>
  <c r="AF47" i="65" s="1"/>
  <c r="AF111" i="22"/>
  <c r="AF56" i="65" s="1"/>
  <c r="AJ110" i="22"/>
  <c r="AJ47" i="65" s="1"/>
  <c r="AJ111" i="22"/>
  <c r="AJ56" i="65" s="1"/>
  <c r="AN110" i="22"/>
  <c r="AN47" i="65" s="1"/>
  <c r="AN111" i="22"/>
  <c r="AN56" i="65" s="1"/>
  <c r="AE122" i="22"/>
  <c r="AE57" i="65" s="1"/>
  <c r="AE121" i="22"/>
  <c r="AE48" i="65" s="1"/>
  <c r="AI122" i="22"/>
  <c r="AI57" i="65" s="1"/>
  <c r="AI121" i="22"/>
  <c r="AI48" i="65" s="1"/>
  <c r="AM122" i="22"/>
  <c r="AM57" i="65" s="1"/>
  <c r="AM121" i="22"/>
  <c r="AM48" i="65" s="1"/>
  <c r="AH99" i="22"/>
  <c r="AH46" i="65" s="1"/>
  <c r="AH100" i="22"/>
  <c r="AH55" i="65" s="1"/>
  <c r="X110" i="41"/>
  <c r="AC74" i="22"/>
  <c r="AC53" i="65" s="1"/>
  <c r="AG74" i="22"/>
  <c r="AG53" i="65" s="1"/>
  <c r="AK74" i="22"/>
  <c r="AK53" i="65" s="1"/>
  <c r="AO74" i="22"/>
  <c r="AO53" i="65" s="1"/>
  <c r="AD74" i="22"/>
  <c r="AD53" i="65" s="1"/>
  <c r="AH74" i="22"/>
  <c r="AH53" i="65" s="1"/>
  <c r="AL74" i="22"/>
  <c r="AL53" i="65" s="1"/>
  <c r="AP74" i="22"/>
  <c r="AP53" i="65" s="1"/>
  <c r="AF74" i="22"/>
  <c r="AF53" i="65" s="1"/>
  <c r="AJ74" i="22"/>
  <c r="AJ53" i="65" s="1"/>
  <c r="AN74" i="22"/>
  <c r="AN53" i="65" s="1"/>
  <c r="AE85" i="22"/>
  <c r="AE54" i="65" s="1"/>
  <c r="AI85" i="22"/>
  <c r="AI54" i="65" s="1"/>
  <c r="AM85" i="22"/>
  <c r="AM54" i="65" s="1"/>
  <c r="AJ84" i="22"/>
  <c r="AJ45" i="65" s="1"/>
  <c r="AF73" i="22"/>
  <c r="AF44" i="65" s="1"/>
  <c r="AC84" i="22"/>
  <c r="AC45" i="65" s="1"/>
  <c r="AG84" i="22"/>
  <c r="AG45" i="65" s="1"/>
  <c r="AK84" i="22"/>
  <c r="AK45" i="65" s="1"/>
  <c r="AO84" i="22"/>
  <c r="AO45" i="65" s="1"/>
  <c r="AF85" i="22"/>
  <c r="AF54" i="65" s="1"/>
  <c r="AJ85" i="22"/>
  <c r="AJ54" i="65" s="1"/>
  <c r="AN85" i="22"/>
  <c r="AN54" i="65" s="1"/>
  <c r="AF84" i="22"/>
  <c r="AF45" i="65" s="1"/>
  <c r="AJ73" i="22"/>
  <c r="AJ44" i="65" s="1"/>
  <c r="AD84" i="22"/>
  <c r="AD45" i="65" s="1"/>
  <c r="AH84" i="22"/>
  <c r="AH45" i="65" s="1"/>
  <c r="AL84" i="22"/>
  <c r="AL45" i="65" s="1"/>
  <c r="AP84" i="22"/>
  <c r="AP45" i="65" s="1"/>
  <c r="AC85" i="22"/>
  <c r="AC54" i="65" s="1"/>
  <c r="AG85" i="22"/>
  <c r="AG54" i="65" s="1"/>
  <c r="AK85" i="22"/>
  <c r="AK54" i="65" s="1"/>
  <c r="AO85" i="22"/>
  <c r="AO54" i="65" s="1"/>
  <c r="AN84" i="22"/>
  <c r="AN45" i="65" s="1"/>
  <c r="AE73" i="22"/>
  <c r="AE44" i="65" s="1"/>
  <c r="AI73" i="22"/>
  <c r="AI44" i="65" s="1"/>
  <c r="AM73" i="22"/>
  <c r="AM44" i="65" s="1"/>
  <c r="AN73" i="22"/>
  <c r="AN44" i="65" s="1"/>
  <c r="AE84" i="22"/>
  <c r="AE45" i="65" s="1"/>
  <c r="AI84" i="22"/>
  <c r="AI45" i="65" s="1"/>
  <c r="AM84" i="22"/>
  <c r="AM45" i="65" s="1"/>
  <c r="AD85" i="22"/>
  <c r="AD54" i="65" s="1"/>
  <c r="AH85" i="22"/>
  <c r="AH54" i="65" s="1"/>
  <c r="AL85" i="22"/>
  <c r="AL54" i="65" s="1"/>
  <c r="AP85" i="22"/>
  <c r="AP54" i="65" s="1"/>
  <c r="AE62" i="22"/>
  <c r="AE43" i="65" s="1"/>
  <c r="AI62" i="22"/>
  <c r="AI43" i="65" s="1"/>
  <c r="AE63" i="22"/>
  <c r="AE52" i="65" s="1"/>
  <c r="AM63" i="22"/>
  <c r="AM52" i="65" s="1"/>
  <c r="AE74" i="22"/>
  <c r="AE53" i="65" s="1"/>
  <c r="AM74" i="22"/>
  <c r="AM53" i="65" s="1"/>
  <c r="AF62" i="22"/>
  <c r="AF43" i="65" s="1"/>
  <c r="AJ62" i="22"/>
  <c r="AJ43" i="65" s="1"/>
  <c r="AN62" i="22"/>
  <c r="AN43" i="65" s="1"/>
  <c r="AF63" i="22"/>
  <c r="AF52" i="65" s="1"/>
  <c r="AJ63" i="22"/>
  <c r="AJ52" i="65" s="1"/>
  <c r="AN63" i="22"/>
  <c r="AN52" i="65" s="1"/>
  <c r="AC73" i="22"/>
  <c r="AC44" i="65" s="1"/>
  <c r="AG73" i="22"/>
  <c r="AG44" i="65" s="1"/>
  <c r="AK73" i="22"/>
  <c r="AK44" i="65" s="1"/>
  <c r="AO73" i="22"/>
  <c r="AO44" i="65" s="1"/>
  <c r="AM62" i="22"/>
  <c r="AM43" i="65" s="1"/>
  <c r="AI74" i="22"/>
  <c r="AI53" i="65" s="1"/>
  <c r="AC62" i="22"/>
  <c r="AC43" i="65" s="1"/>
  <c r="AG62" i="22"/>
  <c r="AG43" i="65" s="1"/>
  <c r="AK62" i="22"/>
  <c r="AK43" i="65" s="1"/>
  <c r="AO62" i="22"/>
  <c r="AO43" i="65" s="1"/>
  <c r="AC63" i="22"/>
  <c r="AC52" i="65" s="1"/>
  <c r="AG63" i="22"/>
  <c r="AG52" i="65" s="1"/>
  <c r="AK63" i="22"/>
  <c r="AK52" i="65" s="1"/>
  <c r="AO63" i="22"/>
  <c r="AO52" i="65" s="1"/>
  <c r="AD73" i="22"/>
  <c r="AD44" i="65" s="1"/>
  <c r="AH73" i="22"/>
  <c r="AH44" i="65" s="1"/>
  <c r="AL73" i="22"/>
  <c r="AL44" i="65" s="1"/>
  <c r="AP73" i="22"/>
  <c r="AP44" i="65" s="1"/>
  <c r="AI63" i="22"/>
  <c r="AI52" i="65" s="1"/>
  <c r="AD62" i="22"/>
  <c r="AD43" i="65" s="1"/>
  <c r="AH62" i="22"/>
  <c r="AH43" i="65" s="1"/>
  <c r="AL62" i="22"/>
  <c r="AL43" i="65" s="1"/>
  <c r="AP62" i="22"/>
  <c r="AP43" i="65" s="1"/>
  <c r="AD63" i="22"/>
  <c r="AD52" i="65" s="1"/>
  <c r="AH63" i="22"/>
  <c r="AH52" i="65" s="1"/>
  <c r="AL63" i="22"/>
  <c r="AL52" i="65" s="1"/>
  <c r="AP63" i="22"/>
  <c r="AP52" i="65" s="1"/>
  <c r="Y110" i="41" l="1"/>
  <c r="K29" i="31"/>
  <c r="H45" i="80" s="1"/>
  <c r="K31" i="81" l="1"/>
  <c r="Z110" i="41"/>
  <c r="J28" i="31"/>
  <c r="J29" i="31" s="1"/>
  <c r="AA110" i="41" l="1"/>
  <c r="AB110" i="41" l="1"/>
  <c r="AC110" i="41" l="1"/>
  <c r="AD110" i="41" l="1"/>
  <c r="AE110" i="41" l="1"/>
  <c r="AF110" i="41" l="1"/>
  <c r="AG110" i="41" l="1"/>
  <c r="AH110" i="41" l="1"/>
  <c r="AI110" i="41" l="1"/>
  <c r="AJ110" i="41" l="1"/>
  <c r="AK110" i="41" l="1"/>
  <c r="AL110" i="41" l="1"/>
  <c r="AM110" i="41" l="1"/>
  <c r="AN110" i="41" l="1"/>
  <c r="AO110" i="41" l="1"/>
  <c r="AP110" i="41" l="1"/>
  <c r="AQ110" i="41" l="1"/>
  <c r="AR110" i="41" l="1"/>
  <c r="AS110" i="41" l="1"/>
  <c r="AT110" i="41" s="1"/>
  <c r="AU110" i="41" l="1"/>
  <c r="AV110" i="41" l="1"/>
  <c r="AW110" i="41" l="1"/>
  <c r="AX110" i="41" l="1"/>
  <c r="AY110" i="41" l="1"/>
  <c r="AZ110" i="41" l="1"/>
  <c r="BA110" i="41" l="1"/>
  <c r="BB110" i="41" l="1"/>
  <c r="BC110" i="41" l="1"/>
  <c r="BD110" i="41" l="1"/>
  <c r="BE110" i="41" l="1"/>
  <c r="BF110" i="41" l="1"/>
  <c r="BG110" i="41" l="1"/>
  <c r="BH110" i="41" l="1"/>
  <c r="BI110" i="41" l="1"/>
  <c r="BJ110" i="41" l="1"/>
  <c r="BK110" i="41" l="1"/>
  <c r="BL110" i="41" l="1"/>
  <c r="BM110" i="41" l="1"/>
  <c r="BN110" i="41" l="1"/>
  <c r="BO110" i="41" l="1"/>
  <c r="BP110" i="41" l="1"/>
  <c r="BQ110" i="41" l="1"/>
  <c r="BR110" i="41" l="1"/>
  <c r="BS110" i="41" l="1"/>
  <c r="BT110" i="41" l="1"/>
  <c r="BU110" i="41" l="1"/>
  <c r="BV110" i="41" l="1"/>
  <c r="BW110" i="41" l="1"/>
  <c r="BX110" i="41" l="1"/>
  <c r="BY110" i="41" l="1"/>
  <c r="BZ110" i="41" l="1"/>
  <c r="CA110" i="41" l="1"/>
  <c r="CB110" i="41" l="1"/>
  <c r="CC110" i="41" l="1"/>
  <c r="CD110" i="41" l="1"/>
  <c r="CE110" i="41" l="1"/>
  <c r="CF110" i="41" l="1"/>
  <c r="CG110" i="41" l="1"/>
  <c r="CH110" i="41" l="1"/>
  <c r="CI110" i="41" l="1"/>
  <c r="CJ110" i="41" l="1"/>
  <c r="CK110" i="41" l="1"/>
  <c r="CL110" i="41" l="1"/>
  <c r="CM110" i="41" l="1"/>
  <c r="CN110" i="41" l="1"/>
  <c r="CO110" i="41" l="1"/>
  <c r="CP110" i="41" l="1"/>
  <c r="CQ110" i="41" l="1"/>
  <c r="CR110" i="41" l="1"/>
  <c r="CS110" i="41" l="1"/>
  <c r="CT110" i="41" l="1"/>
  <c r="CU110" i="41" l="1"/>
  <c r="CV110" i="41" l="1"/>
  <c r="CW110" i="41" l="1"/>
  <c r="CX110" i="41" l="1"/>
  <c r="CY110" i="41" l="1"/>
  <c r="CZ110" i="41" l="1"/>
  <c r="DA110" i="41" l="1"/>
  <c r="DB110" i="41" l="1"/>
  <c r="DC110" i="41" l="1"/>
  <c r="DD110" i="41" l="1"/>
  <c r="K20" i="31" l="1"/>
  <c r="Q29" i="31"/>
  <c r="H51" i="80" s="1"/>
  <c r="M38" i="31" l="1"/>
  <c r="P38" i="31"/>
  <c r="O38" i="31"/>
  <c r="N38" i="31"/>
  <c r="AB254" i="53"/>
  <c r="Y254" i="53"/>
  <c r="Z254" i="53"/>
  <c r="AA254" i="53"/>
  <c r="Q209" i="31"/>
  <c r="Q217" i="31"/>
  <c r="Q194" i="31"/>
  <c r="Q225" i="31"/>
  <c r="Q223" i="31"/>
  <c r="Q203" i="31"/>
  <c r="Q207" i="31"/>
  <c r="Q216" i="31"/>
  <c r="Q206" i="31"/>
  <c r="Q211" i="31"/>
  <c r="Q199" i="31"/>
  <c r="Q210" i="31"/>
  <c r="Q31" i="81"/>
  <c r="Q202" i="31"/>
  <c r="Q218" i="31"/>
  <c r="Q204" i="31"/>
  <c r="Q220" i="31"/>
  <c r="Q197" i="31"/>
  <c r="Q226" i="31"/>
  <c r="Q221" i="31"/>
  <c r="Q200" i="31"/>
  <c r="Q219" i="31"/>
  <c r="Q208" i="31"/>
  <c r="Q198" i="31"/>
  <c r="Q215" i="31"/>
  <c r="Q212" i="31"/>
  <c r="Q214" i="31"/>
  <c r="Q196" i="31"/>
  <c r="Q195" i="31"/>
  <c r="Q201" i="31"/>
  <c r="Q222" i="31"/>
  <c r="Q205" i="31"/>
  <c r="Q224" i="31"/>
  <c r="Q213" i="31"/>
  <c r="H90" i="81"/>
  <c r="H122" i="81" s="1"/>
  <c r="H20" i="76" s="1"/>
  <c r="AH253" i="53"/>
  <c r="AL253" i="53"/>
  <c r="AF43" i="53"/>
  <c r="AJ43" i="53"/>
  <c r="V253" i="53"/>
  <c r="P253" i="53"/>
  <c r="Q253" i="53"/>
  <c r="AM43" i="53"/>
  <c r="AO253" i="53"/>
  <c r="AC43" i="53"/>
  <c r="AG253" i="53"/>
  <c r="W253" i="53"/>
  <c r="L253" i="53"/>
  <c r="N253" i="53"/>
  <c r="AN43" i="53"/>
  <c r="AP253" i="53"/>
  <c r="AD43" i="53"/>
  <c r="AK253" i="53"/>
  <c r="AE43" i="53"/>
  <c r="AI43" i="53"/>
  <c r="T253" i="53"/>
  <c r="S253" i="53"/>
  <c r="J253" i="53"/>
  <c r="M253" i="53"/>
  <c r="R253" i="53"/>
  <c r="K253" i="53"/>
  <c r="U253" i="53"/>
  <c r="O253" i="53"/>
  <c r="K21" i="31"/>
  <c r="K23" i="31" s="1"/>
  <c r="AP254" i="53"/>
  <c r="AI44" i="53"/>
  <c r="AL254" i="53"/>
  <c r="T254" i="53"/>
  <c r="U254" i="53"/>
  <c r="K254" i="53"/>
  <c r="O254" i="53"/>
  <c r="AM44" i="53"/>
  <c r="AN44" i="53"/>
  <c r="AG254" i="53"/>
  <c r="P254" i="53"/>
  <c r="J254" i="53"/>
  <c r="S254" i="53"/>
  <c r="L254" i="53"/>
  <c r="AJ44" i="53"/>
  <c r="AD44" i="53"/>
  <c r="AC44" i="53"/>
  <c r="AH254" i="53"/>
  <c r="V254" i="53"/>
  <c r="M254" i="53"/>
  <c r="Q254" i="53"/>
  <c r="AO254" i="53"/>
  <c r="AK254" i="53"/>
  <c r="AF44" i="53"/>
  <c r="AE44" i="53"/>
  <c r="W254" i="53"/>
  <c r="N254" i="53"/>
  <c r="R254" i="53"/>
  <c r="R34" i="22"/>
  <c r="X34" i="22"/>
  <c r="T34" i="22"/>
  <c r="Z34" i="22"/>
  <c r="L34" i="22"/>
  <c r="AK34" i="22"/>
  <c r="AK132" i="22" s="1"/>
  <c r="AI34" i="22"/>
  <c r="AI132" i="22" s="1"/>
  <c r="AM34" i="22"/>
  <c r="AM132" i="22" s="1"/>
  <c r="V34" i="22"/>
  <c r="N34" i="22"/>
  <c r="AN34" i="22"/>
  <c r="AN132" i="22" s="1"/>
  <c r="AH34" i="22"/>
  <c r="AH132" i="22" s="1"/>
  <c r="AD34" i="22"/>
  <c r="AD132" i="22" s="1"/>
  <c r="AB34" i="22"/>
  <c r="AP34" i="22"/>
  <c r="AP132" i="22" s="1"/>
  <c r="P34" i="22"/>
  <c r="AJ34" i="22"/>
  <c r="AJ132" i="22" s="1"/>
  <c r="M34" i="22"/>
  <c r="K34" i="22"/>
  <c r="AO34" i="22"/>
  <c r="AO132" i="22" s="1"/>
  <c r="Q34" i="22"/>
  <c r="O34" i="22"/>
  <c r="J34" i="22"/>
  <c r="AL34" i="22"/>
  <c r="AL132" i="22" s="1"/>
  <c r="AF34" i="22"/>
  <c r="AF132" i="22" s="1"/>
  <c r="AC34" i="22"/>
  <c r="AC132" i="22" s="1"/>
  <c r="AA34" i="22"/>
  <c r="W34" i="22"/>
  <c r="AG34" i="22"/>
  <c r="AG132" i="22" s="1"/>
  <c r="AE34" i="22"/>
  <c r="AE132" i="22" s="1"/>
  <c r="U34" i="22"/>
  <c r="S34" i="22"/>
  <c r="Y34" i="22"/>
  <c r="H25" i="81"/>
  <c r="AE45" i="53"/>
  <c r="M255" i="53"/>
  <c r="AL255" i="53"/>
  <c r="AI45" i="53"/>
  <c r="AD45" i="53"/>
  <c r="R255" i="53"/>
  <c r="J255" i="53"/>
  <c r="L255" i="53"/>
  <c r="K255" i="53"/>
  <c r="AO255" i="53"/>
  <c r="AP255" i="53"/>
  <c r="AG255" i="53"/>
  <c r="P255" i="53"/>
  <c r="V255" i="53"/>
  <c r="N255" i="53"/>
  <c r="O255" i="53"/>
  <c r="AN45" i="53"/>
  <c r="T255" i="53"/>
  <c r="AF45" i="53"/>
  <c r="AC45" i="53"/>
  <c r="AK255" i="53"/>
  <c r="AM45" i="53"/>
  <c r="S255" i="53"/>
  <c r="U255" i="53"/>
  <c r="W255" i="53"/>
  <c r="AJ45" i="53"/>
  <c r="AH255" i="53"/>
  <c r="Q255" i="53"/>
  <c r="P35" i="22"/>
  <c r="L35" i="22"/>
  <c r="AM35" i="22"/>
  <c r="AM133" i="22" s="1"/>
  <c r="AB35" i="22"/>
  <c r="N35" i="22"/>
  <c r="AF35" i="22"/>
  <c r="AF133" i="22" s="1"/>
  <c r="T35" i="22"/>
  <c r="O35" i="22"/>
  <c r="AI35" i="22"/>
  <c r="AI133" i="22" s="1"/>
  <c r="Q35" i="22"/>
  <c r="J35" i="22"/>
  <c r="M35" i="22"/>
  <c r="U35" i="22"/>
  <c r="AH35" i="22"/>
  <c r="AH133" i="22" s="1"/>
  <c r="V35" i="22"/>
  <c r="AN35" i="22"/>
  <c r="AN133" i="22" s="1"/>
  <c r="AE35" i="22"/>
  <c r="AE133" i="22" s="1"/>
  <c r="AG35" i="22"/>
  <c r="AG133" i="22" s="1"/>
  <c r="S35" i="22"/>
  <c r="AA35" i="22"/>
  <c r="AL35" i="22"/>
  <c r="AL133" i="22" s="1"/>
  <c r="AD35" i="22"/>
  <c r="AD133" i="22" s="1"/>
  <c r="AO35" i="22"/>
  <c r="AO133" i="22" s="1"/>
  <c r="AJ35" i="22"/>
  <c r="AJ133" i="22" s="1"/>
  <c r="AC35" i="22"/>
  <c r="AC133" i="22" s="1"/>
  <c r="W35" i="22"/>
  <c r="X35" i="22"/>
  <c r="Y35" i="22"/>
  <c r="AP35" i="22"/>
  <c r="AP133" i="22" s="1"/>
  <c r="AK35" i="22"/>
  <c r="AK133" i="22" s="1"/>
  <c r="Z35" i="22"/>
  <c r="K35" i="22"/>
  <c r="R35" i="22"/>
  <c r="Y253" i="53"/>
  <c r="AB253" i="53"/>
  <c r="Z253" i="53"/>
  <c r="AA253" i="53"/>
  <c r="L100" i="23"/>
  <c r="L81" i="23"/>
  <c r="L97" i="23"/>
  <c r="L94" i="23"/>
  <c r="L98" i="23"/>
  <c r="L83" i="23"/>
  <c r="L99" i="23"/>
  <c r="L88" i="23"/>
  <c r="L72" i="23"/>
  <c r="L69" i="23"/>
  <c r="L85" i="23"/>
  <c r="L74" i="23"/>
  <c r="L70" i="23"/>
  <c r="L71" i="23"/>
  <c r="L87" i="23"/>
  <c r="L76" i="23"/>
  <c r="L80" i="23"/>
  <c r="L73" i="23"/>
  <c r="L78" i="23"/>
  <c r="L75" i="23"/>
  <c r="L92" i="23"/>
  <c r="L89" i="23"/>
  <c r="L82" i="23"/>
  <c r="L91" i="23"/>
  <c r="L96" i="23"/>
  <c r="L90" i="23"/>
  <c r="L84" i="23"/>
  <c r="L77" i="23"/>
  <c r="L79" i="23"/>
  <c r="L93" i="23"/>
  <c r="L95" i="23"/>
  <c r="L86" i="23"/>
  <c r="L68" i="23"/>
  <c r="Z255" i="53"/>
  <c r="AA255" i="53"/>
  <c r="Y255" i="53"/>
  <c r="AB255" i="53"/>
  <c r="J258" i="53" l="1"/>
  <c r="J261" i="53"/>
  <c r="J262" i="53"/>
  <c r="J259" i="53"/>
  <c r="J266" i="53"/>
  <c r="J260" i="53"/>
  <c r="J263" i="53"/>
  <c r="J264" i="53"/>
  <c r="J265" i="53"/>
  <c r="H121" i="81"/>
  <c r="H19" i="76" s="1"/>
  <c r="AJ58" i="65"/>
  <c r="AN58" i="65"/>
  <c r="AG49" i="65"/>
  <c r="AF49" i="65"/>
  <c r="AJ49" i="65"/>
  <c r="AD49" i="65"/>
  <c r="AO58" i="65"/>
  <c r="AM58" i="65"/>
  <c r="AL49" i="65"/>
  <c r="AO49" i="65"/>
  <c r="AH49" i="65"/>
  <c r="AM49" i="65"/>
  <c r="AK58" i="65"/>
  <c r="AD58" i="65"/>
  <c r="AG58" i="65"/>
  <c r="AH58" i="65"/>
  <c r="AF58" i="65"/>
  <c r="AP49" i="65"/>
  <c r="AN49" i="65"/>
  <c r="AI49" i="65"/>
  <c r="AP58" i="65"/>
  <c r="AC58" i="65"/>
  <c r="AL58" i="65"/>
  <c r="AE58" i="65"/>
  <c r="AI58" i="65"/>
  <c r="AE49" i="65"/>
  <c r="AC49" i="65"/>
  <c r="AK49" i="65"/>
  <c r="AN255" i="53"/>
  <c r="AI255" i="53"/>
  <c r="AM255" i="53"/>
  <c r="AE254" i="53"/>
  <c r="AC254" i="53"/>
  <c r="AI253" i="53"/>
  <c r="AM253" i="53"/>
  <c r="AJ253" i="53"/>
  <c r="AI254" i="53"/>
  <c r="AE255" i="53"/>
  <c r="AN254" i="53"/>
  <c r="AF254" i="53"/>
  <c r="AD254" i="53"/>
  <c r="AM254" i="53"/>
  <c r="AE253" i="53"/>
  <c r="AN253" i="53"/>
  <c r="AF253" i="53"/>
  <c r="AJ255" i="53"/>
  <c r="AF255" i="53"/>
  <c r="AD253" i="53"/>
  <c r="AC255" i="53"/>
  <c r="AD255" i="53"/>
  <c r="AJ254" i="53"/>
  <c r="AC253" i="53"/>
  <c r="O187" i="31"/>
  <c r="O185" i="31"/>
  <c r="O183" i="31"/>
  <c r="O181" i="31"/>
  <c r="O179" i="31"/>
  <c r="O177" i="31"/>
  <c r="O175" i="31"/>
  <c r="O173" i="31"/>
  <c r="O171" i="31"/>
  <c r="O169" i="31"/>
  <c r="O167" i="31"/>
  <c r="O165" i="31"/>
  <c r="O163" i="31"/>
  <c r="O161" i="31"/>
  <c r="O159" i="31"/>
  <c r="O157" i="31"/>
  <c r="O155" i="31"/>
  <c r="O186" i="31"/>
  <c r="O184" i="31"/>
  <c r="O182" i="31"/>
  <c r="O180" i="31"/>
  <c r="O178" i="31"/>
  <c r="O176" i="31"/>
  <c r="O174" i="31"/>
  <c r="O172" i="31"/>
  <c r="O170" i="31"/>
  <c r="O168" i="31"/>
  <c r="O166" i="31"/>
  <c r="O164" i="31"/>
  <c r="O162" i="31"/>
  <c r="O160" i="31"/>
  <c r="O158" i="31"/>
  <c r="O156" i="31"/>
  <c r="P186" i="31"/>
  <c r="P184" i="31"/>
  <c r="P182" i="31"/>
  <c r="P180" i="31"/>
  <c r="P178" i="31"/>
  <c r="P176" i="31"/>
  <c r="P174" i="31"/>
  <c r="P172" i="31"/>
  <c r="P170" i="31"/>
  <c r="P168" i="31"/>
  <c r="P166" i="31"/>
  <c r="P164" i="31"/>
  <c r="P162" i="31"/>
  <c r="P160" i="31"/>
  <c r="P158" i="31"/>
  <c r="P156" i="31"/>
  <c r="P187" i="31"/>
  <c r="P179" i="31"/>
  <c r="P171" i="31"/>
  <c r="P163" i="31"/>
  <c r="P155" i="31"/>
  <c r="P173" i="31"/>
  <c r="P157" i="31"/>
  <c r="P185" i="31"/>
  <c r="P177" i="31"/>
  <c r="P169" i="31"/>
  <c r="P161" i="31"/>
  <c r="P165" i="31"/>
  <c r="P183" i="31"/>
  <c r="P175" i="31"/>
  <c r="P167" i="31"/>
  <c r="P159" i="31"/>
  <c r="P181" i="31"/>
  <c r="M186" i="31"/>
  <c r="M184" i="31"/>
  <c r="M182" i="31"/>
  <c r="M180" i="31"/>
  <c r="M178" i="31"/>
  <c r="M176" i="31"/>
  <c r="M174" i="31"/>
  <c r="M172" i="31"/>
  <c r="M170" i="31"/>
  <c r="M168" i="31"/>
  <c r="M166" i="31"/>
  <c r="M164" i="31"/>
  <c r="M162" i="31"/>
  <c r="M160" i="31"/>
  <c r="M158" i="31"/>
  <c r="M156" i="31"/>
  <c r="M187" i="31"/>
  <c r="M185" i="31"/>
  <c r="M183" i="31"/>
  <c r="M181" i="31"/>
  <c r="M179" i="31"/>
  <c r="M177" i="31"/>
  <c r="M175" i="31"/>
  <c r="M173" i="31"/>
  <c r="M171" i="31"/>
  <c r="M169" i="31"/>
  <c r="M167" i="31"/>
  <c r="M165" i="31"/>
  <c r="M163" i="31"/>
  <c r="M161" i="31"/>
  <c r="M159" i="31"/>
  <c r="M157" i="31"/>
  <c r="M155" i="31"/>
  <c r="N187" i="31"/>
  <c r="N185" i="31"/>
  <c r="N183" i="31"/>
  <c r="N181" i="31"/>
  <c r="N179" i="31"/>
  <c r="N177" i="31"/>
  <c r="N175" i="31"/>
  <c r="N173" i="31"/>
  <c r="N171" i="31"/>
  <c r="N169" i="31"/>
  <c r="N167" i="31"/>
  <c r="N165" i="31"/>
  <c r="N163" i="31"/>
  <c r="N161" i="31"/>
  <c r="N159" i="31"/>
  <c r="N157" i="31"/>
  <c r="N155" i="31"/>
  <c r="N184" i="31"/>
  <c r="N176" i="31"/>
  <c r="N168" i="31"/>
  <c r="N160" i="31"/>
  <c r="N186" i="31"/>
  <c r="N170" i="31"/>
  <c r="N182" i="31"/>
  <c r="N174" i="31"/>
  <c r="N166" i="31"/>
  <c r="N158" i="31"/>
  <c r="N162" i="31"/>
  <c r="N180" i="31"/>
  <c r="N172" i="31"/>
  <c r="N164" i="31"/>
  <c r="N156" i="31"/>
  <c r="N178" i="31"/>
  <c r="O113" i="31"/>
  <c r="O111" i="31"/>
  <c r="O109" i="31"/>
  <c r="O107" i="31"/>
  <c r="O105" i="31"/>
  <c r="O103" i="31"/>
  <c r="O114" i="31"/>
  <c r="O112" i="31"/>
  <c r="O110" i="31"/>
  <c r="O108" i="31"/>
  <c r="O106" i="31"/>
  <c r="O104" i="31"/>
  <c r="O102" i="31"/>
  <c r="O100" i="31"/>
  <c r="O98" i="31"/>
  <c r="O96" i="31"/>
  <c r="O94" i="31"/>
  <c r="O97" i="31"/>
  <c r="O93" i="31"/>
  <c r="O91" i="31"/>
  <c r="O89" i="31"/>
  <c r="O87" i="31"/>
  <c r="O85" i="31"/>
  <c r="O83" i="31"/>
  <c r="O99" i="31"/>
  <c r="O101" i="31"/>
  <c r="O92" i="31"/>
  <c r="O90" i="31"/>
  <c r="O88" i="31"/>
  <c r="O86" i="31"/>
  <c r="O84" i="31"/>
  <c r="O82" i="31"/>
  <c r="O95" i="31"/>
  <c r="P114" i="31"/>
  <c r="P112" i="31"/>
  <c r="P110" i="31"/>
  <c r="P108" i="31"/>
  <c r="P106" i="31"/>
  <c r="P104" i="31"/>
  <c r="P102" i="31"/>
  <c r="P109" i="31"/>
  <c r="P99" i="31"/>
  <c r="P98" i="31"/>
  <c r="P107" i="31"/>
  <c r="P101" i="31"/>
  <c r="P100" i="31"/>
  <c r="P92" i="31"/>
  <c r="P90" i="31"/>
  <c r="P88" i="31"/>
  <c r="P86" i="31"/>
  <c r="P84" i="31"/>
  <c r="P82" i="31"/>
  <c r="P111" i="31"/>
  <c r="P113" i="31"/>
  <c r="P105" i="31"/>
  <c r="P95" i="31"/>
  <c r="P94" i="31"/>
  <c r="P91" i="31"/>
  <c r="P83" i="31"/>
  <c r="P96" i="31"/>
  <c r="P89" i="31"/>
  <c r="P85" i="31"/>
  <c r="P103" i="31"/>
  <c r="P87" i="31"/>
  <c r="P97" i="31"/>
  <c r="P93" i="31"/>
  <c r="M114" i="31"/>
  <c r="M112" i="31"/>
  <c r="M110" i="31"/>
  <c r="M108" i="31"/>
  <c r="M106" i="31"/>
  <c r="M104" i="31"/>
  <c r="M102" i="31"/>
  <c r="M113" i="31"/>
  <c r="M111" i="31"/>
  <c r="M109" i="31"/>
  <c r="M107" i="31"/>
  <c r="M105" i="31"/>
  <c r="M103" i="31"/>
  <c r="M101" i="31"/>
  <c r="M99" i="31"/>
  <c r="M97" i="31"/>
  <c r="M95" i="31"/>
  <c r="M94" i="31"/>
  <c r="M92" i="31"/>
  <c r="M90" i="31"/>
  <c r="M88" i="31"/>
  <c r="M86" i="31"/>
  <c r="M84" i="31"/>
  <c r="M82" i="31"/>
  <c r="M96" i="31"/>
  <c r="M98" i="31"/>
  <c r="M93" i="31"/>
  <c r="M91" i="31"/>
  <c r="M89" i="31"/>
  <c r="M87" i="31"/>
  <c r="M85" i="31"/>
  <c r="M83" i="31"/>
  <c r="M100" i="31"/>
  <c r="N113" i="31"/>
  <c r="N111" i="31"/>
  <c r="N109" i="31"/>
  <c r="N107" i="31"/>
  <c r="N105" i="31"/>
  <c r="N103" i="31"/>
  <c r="N114" i="31"/>
  <c r="N106" i="31"/>
  <c r="N96" i="31"/>
  <c r="N95" i="31"/>
  <c r="N112" i="31"/>
  <c r="N104" i="31"/>
  <c r="N98" i="31"/>
  <c r="N97" i="31"/>
  <c r="N93" i="31"/>
  <c r="N91" i="31"/>
  <c r="N89" i="31"/>
  <c r="N87" i="31"/>
  <c r="N85" i="31"/>
  <c r="N83" i="31"/>
  <c r="N110" i="31"/>
  <c r="N102" i="31"/>
  <c r="N100" i="31"/>
  <c r="N99" i="31"/>
  <c r="N101" i="31"/>
  <c r="N88" i="31"/>
  <c r="N94" i="31"/>
  <c r="N86" i="31"/>
  <c r="N92" i="31"/>
  <c r="N84" i="31"/>
  <c r="N108" i="31"/>
  <c r="N90" i="31"/>
  <c r="N82" i="31"/>
  <c r="J116" i="53"/>
  <c r="H84" i="53"/>
  <c r="X253" i="53"/>
  <c r="W74" i="22"/>
  <c r="W122" i="22"/>
  <c r="W111" i="22"/>
  <c r="W63" i="22"/>
  <c r="W85" i="22"/>
  <c r="W100" i="22"/>
  <c r="W133" i="22"/>
  <c r="Q85" i="22"/>
  <c r="Q122" i="22"/>
  <c r="Q63" i="22"/>
  <c r="Q111" i="22"/>
  <c r="Q100" i="22"/>
  <c r="Q133" i="22"/>
  <c r="Q74" i="22"/>
  <c r="L85" i="22"/>
  <c r="L111" i="22"/>
  <c r="L56" i="65" s="1"/>
  <c r="L63" i="22"/>
  <c r="L133" i="22"/>
  <c r="L58" i="65" s="1"/>
  <c r="L74" i="22"/>
  <c r="L122" i="22"/>
  <c r="L57" i="65" s="1"/>
  <c r="L100" i="22"/>
  <c r="Y99" i="22"/>
  <c r="Y121" i="22"/>
  <c r="Y48" i="65" s="1"/>
  <c r="Y84" i="22"/>
  <c r="Y132" i="22"/>
  <c r="Y49" i="65" s="1"/>
  <c r="Y62" i="22"/>
  <c r="Y73" i="22"/>
  <c r="Y110" i="22"/>
  <c r="Y47" i="65" s="1"/>
  <c r="Q121" i="22"/>
  <c r="Q73" i="22"/>
  <c r="Q132" i="22"/>
  <c r="Q110" i="22"/>
  <c r="Q62" i="22"/>
  <c r="Q84" i="22"/>
  <c r="Q99" i="22"/>
  <c r="V121" i="22"/>
  <c r="V132" i="22"/>
  <c r="V99" i="22"/>
  <c r="V62" i="22"/>
  <c r="V84" i="22"/>
  <c r="V110" i="22"/>
  <c r="V73" i="22"/>
  <c r="L84" i="22"/>
  <c r="L132" i="22"/>
  <c r="L49" i="65" s="1"/>
  <c r="L121" i="22"/>
  <c r="L48" i="65" s="1"/>
  <c r="L62" i="22"/>
  <c r="L99" i="22"/>
  <c r="L73" i="22"/>
  <c r="L110" i="22"/>
  <c r="L47" i="65" s="1"/>
  <c r="R121" i="22"/>
  <c r="R99" i="22"/>
  <c r="R110" i="22"/>
  <c r="R84" i="22"/>
  <c r="R73" i="22"/>
  <c r="R132" i="22"/>
  <c r="R62" i="22"/>
  <c r="O47" i="81"/>
  <c r="N47" i="81"/>
  <c r="P47" i="81"/>
  <c r="M47" i="81"/>
  <c r="X254" i="53"/>
  <c r="X255" i="53"/>
  <c r="R111" i="22"/>
  <c r="R63" i="22"/>
  <c r="R133" i="22"/>
  <c r="R122" i="22"/>
  <c r="R100" i="22"/>
  <c r="R85" i="22"/>
  <c r="R74" i="22"/>
  <c r="U133" i="22"/>
  <c r="U111" i="22"/>
  <c r="U85" i="22"/>
  <c r="U74" i="22"/>
  <c r="U122" i="22"/>
  <c r="U100" i="22"/>
  <c r="U63" i="22"/>
  <c r="N74" i="22"/>
  <c r="N111" i="22"/>
  <c r="N56" i="65" s="1"/>
  <c r="N100" i="22"/>
  <c r="N63" i="22"/>
  <c r="N133" i="22"/>
  <c r="N58" i="65" s="1"/>
  <c r="N122" i="22"/>
  <c r="N57" i="65" s="1"/>
  <c r="N85" i="22"/>
  <c r="P100" i="22"/>
  <c r="P133" i="22"/>
  <c r="P58" i="65" s="1"/>
  <c r="P74" i="22"/>
  <c r="P122" i="22"/>
  <c r="P57" i="65" s="1"/>
  <c r="P111" i="22"/>
  <c r="P56" i="65" s="1"/>
  <c r="P85" i="22"/>
  <c r="P63" i="22"/>
  <c r="S132" i="22"/>
  <c r="S49" i="65" s="1"/>
  <c r="S62" i="22"/>
  <c r="S99" i="22"/>
  <c r="S84" i="22"/>
  <c r="S73" i="22"/>
  <c r="S110" i="22"/>
  <c r="S47" i="65" s="1"/>
  <c r="S121" i="22"/>
  <c r="S48" i="65" s="1"/>
  <c r="W84" i="22"/>
  <c r="W132" i="22"/>
  <c r="W73" i="22"/>
  <c r="W62" i="22"/>
  <c r="W99" i="22"/>
  <c r="W121" i="22"/>
  <c r="W110" i="22"/>
  <c r="P110" i="22"/>
  <c r="P47" i="65" s="1"/>
  <c r="P84" i="22"/>
  <c r="P132" i="22"/>
  <c r="P49" i="65" s="1"/>
  <c r="P99" i="22"/>
  <c r="P121" i="22"/>
  <c r="P48" i="65" s="1"/>
  <c r="P62" i="22"/>
  <c r="P73" i="22"/>
  <c r="Z110" i="22"/>
  <c r="Z47" i="65" s="1"/>
  <c r="Z62" i="22"/>
  <c r="Z73" i="22"/>
  <c r="Z121" i="22"/>
  <c r="Z48" i="65" s="1"/>
  <c r="Z99" i="22"/>
  <c r="Z132" i="22"/>
  <c r="Z49" i="65" s="1"/>
  <c r="Z84" i="22"/>
  <c r="K32" i="81"/>
  <c r="K33" i="81" s="1"/>
  <c r="K111" i="22"/>
  <c r="K56" i="65" s="1"/>
  <c r="K74" i="22"/>
  <c r="K100" i="22"/>
  <c r="K122" i="22"/>
  <c r="K57" i="65" s="1"/>
  <c r="K85" i="22"/>
  <c r="K63" i="22"/>
  <c r="K133" i="22"/>
  <c r="K58" i="65" s="1"/>
  <c r="Y133" i="22"/>
  <c r="Y58" i="65" s="1"/>
  <c r="Y85" i="22"/>
  <c r="Y100" i="22"/>
  <c r="Y63" i="22"/>
  <c r="Y74" i="22"/>
  <c r="Y122" i="22"/>
  <c r="Y57" i="65" s="1"/>
  <c r="Y111" i="22"/>
  <c r="Y56" i="65" s="1"/>
  <c r="AA63" i="22"/>
  <c r="AA100" i="22"/>
  <c r="AA111" i="22"/>
  <c r="AA56" i="65" s="1"/>
  <c r="AA133" i="22"/>
  <c r="AA58" i="65" s="1"/>
  <c r="AA74" i="22"/>
  <c r="AA85" i="22"/>
  <c r="AA122" i="22"/>
  <c r="AA57" i="65" s="1"/>
  <c r="M111" i="22"/>
  <c r="M56" i="65" s="1"/>
  <c r="M63" i="22"/>
  <c r="M122" i="22"/>
  <c r="M57" i="65" s="1"/>
  <c r="M133" i="22"/>
  <c r="M58" i="65" s="1"/>
  <c r="M85" i="22"/>
  <c r="M74" i="22"/>
  <c r="M100" i="22"/>
  <c r="O122" i="22"/>
  <c r="O57" i="65" s="1"/>
  <c r="O63" i="22"/>
  <c r="O74" i="22"/>
  <c r="O111" i="22"/>
  <c r="O56" i="65" s="1"/>
  <c r="O100" i="22"/>
  <c r="O133" i="22"/>
  <c r="O58" i="65" s="1"/>
  <c r="O85" i="22"/>
  <c r="AB133" i="22"/>
  <c r="AB58" i="65" s="1"/>
  <c r="AB111" i="22"/>
  <c r="AB56" i="65" s="1"/>
  <c r="AB63" i="22"/>
  <c r="AB85" i="22"/>
  <c r="AB122" i="22"/>
  <c r="AB57" i="65" s="1"/>
  <c r="AB74" i="22"/>
  <c r="AB100" i="22"/>
  <c r="U62" i="22"/>
  <c r="U121" i="22"/>
  <c r="U84" i="22"/>
  <c r="U99" i="22"/>
  <c r="U132" i="22"/>
  <c r="U110" i="22"/>
  <c r="U73" i="22"/>
  <c r="AA99" i="22"/>
  <c r="AA121" i="22"/>
  <c r="AA48" i="65" s="1"/>
  <c r="AA62" i="22"/>
  <c r="AA132" i="22"/>
  <c r="AA49" i="65" s="1"/>
  <c r="AA110" i="22"/>
  <c r="AA47" i="65" s="1"/>
  <c r="AA73" i="22"/>
  <c r="AA84" i="22"/>
  <c r="J132" i="22"/>
  <c r="J49" i="65" s="1"/>
  <c r="J62" i="22"/>
  <c r="J99" i="22"/>
  <c r="J110" i="22"/>
  <c r="J47" i="65" s="1"/>
  <c r="J73" i="22"/>
  <c r="J84" i="22"/>
  <c r="J121" i="22"/>
  <c r="J48" i="65" s="1"/>
  <c r="K62" i="22"/>
  <c r="K110" i="22"/>
  <c r="K47" i="65" s="1"/>
  <c r="K121" i="22"/>
  <c r="K48" i="65" s="1"/>
  <c r="K99" i="22"/>
  <c r="K84" i="22"/>
  <c r="K132" i="22"/>
  <c r="K49" i="65" s="1"/>
  <c r="K73" i="22"/>
  <c r="T99" i="22"/>
  <c r="T132" i="22"/>
  <c r="T49" i="65" s="1"/>
  <c r="T73" i="22"/>
  <c r="T121" i="22"/>
  <c r="T48" i="65" s="1"/>
  <c r="T110" i="22"/>
  <c r="T47" i="65" s="1"/>
  <c r="T62" i="22"/>
  <c r="T84" i="22"/>
  <c r="Z111" i="22"/>
  <c r="Z56" i="65" s="1"/>
  <c r="Z100" i="22"/>
  <c r="Z63" i="22"/>
  <c r="Z133" i="22"/>
  <c r="Z58" i="65" s="1"/>
  <c r="Z74" i="22"/>
  <c r="Z122" i="22"/>
  <c r="Z57" i="65" s="1"/>
  <c r="Z85" i="22"/>
  <c r="X122" i="22"/>
  <c r="X57" i="65" s="1"/>
  <c r="X133" i="22"/>
  <c r="X58" i="65" s="1"/>
  <c r="X85" i="22"/>
  <c r="X74" i="22"/>
  <c r="X100" i="22"/>
  <c r="X111" i="22"/>
  <c r="X56" i="65" s="1"/>
  <c r="X63" i="22"/>
  <c r="S100" i="22"/>
  <c r="S63" i="22"/>
  <c r="S122" i="22"/>
  <c r="S57" i="65" s="1"/>
  <c r="S133" i="22"/>
  <c r="S58" i="65" s="1"/>
  <c r="S111" i="22"/>
  <c r="S56" i="65" s="1"/>
  <c r="S74" i="22"/>
  <c r="S85" i="22"/>
  <c r="V100" i="22"/>
  <c r="V111" i="22"/>
  <c r="V63" i="22"/>
  <c r="V133" i="22"/>
  <c r="V122" i="22"/>
  <c r="V85" i="22"/>
  <c r="V74" i="22"/>
  <c r="J85" i="22"/>
  <c r="J122" i="22"/>
  <c r="J57" i="65" s="1"/>
  <c r="J100" i="22"/>
  <c r="J63" i="22"/>
  <c r="J111" i="22"/>
  <c r="J56" i="65" s="1"/>
  <c r="J133" i="22"/>
  <c r="J58" i="65" s="1"/>
  <c r="J74" i="22"/>
  <c r="T133" i="22"/>
  <c r="T58" i="65" s="1"/>
  <c r="T100" i="22"/>
  <c r="T122" i="22"/>
  <c r="T57" i="65" s="1"/>
  <c r="T111" i="22"/>
  <c r="T56" i="65" s="1"/>
  <c r="T85" i="22"/>
  <c r="T74" i="22"/>
  <c r="T63" i="22"/>
  <c r="O110" i="22"/>
  <c r="O47" i="65" s="1"/>
  <c r="O99" i="22"/>
  <c r="O84" i="22"/>
  <c r="O73" i="22"/>
  <c r="O121" i="22"/>
  <c r="O48" i="65" s="1"/>
  <c r="O132" i="22"/>
  <c r="O49" i="65" s="1"/>
  <c r="O62" i="22"/>
  <c r="M121" i="22"/>
  <c r="M48" i="65" s="1"/>
  <c r="M132" i="22"/>
  <c r="M49" i="65" s="1"/>
  <c r="M110" i="22"/>
  <c r="M47" i="65" s="1"/>
  <c r="M62" i="22"/>
  <c r="M73" i="22"/>
  <c r="M84" i="22"/>
  <c r="M99" i="22"/>
  <c r="AB62" i="22"/>
  <c r="AB110" i="22"/>
  <c r="AB47" i="65" s="1"/>
  <c r="AB99" i="22"/>
  <c r="AB132" i="22"/>
  <c r="AB49" i="65" s="1"/>
  <c r="AB84" i="22"/>
  <c r="AB121" i="22"/>
  <c r="AB48" i="65" s="1"/>
  <c r="AB73" i="22"/>
  <c r="N73" i="22"/>
  <c r="N84" i="22"/>
  <c r="N110" i="22"/>
  <c r="N47" i="65" s="1"/>
  <c r="N132" i="22"/>
  <c r="N49" i="65" s="1"/>
  <c r="N99" i="22"/>
  <c r="N62" i="22"/>
  <c r="N121" i="22"/>
  <c r="N48" i="65" s="1"/>
  <c r="X121" i="22"/>
  <c r="X48" i="65" s="1"/>
  <c r="X110" i="22"/>
  <c r="X47" i="65" s="1"/>
  <c r="X84" i="22"/>
  <c r="X62" i="22"/>
  <c r="X99" i="22"/>
  <c r="X132" i="22"/>
  <c r="X49" i="65" s="1"/>
  <c r="X73" i="22"/>
  <c r="H58" i="70" l="1" a="1"/>
  <c r="H58" i="70" s="1"/>
  <c r="J204" i="31"/>
  <c r="N46" i="65"/>
  <c r="M46" i="65"/>
  <c r="J76" i="22"/>
  <c r="J53" i="65"/>
  <c r="X53" i="65"/>
  <c r="Z54" i="65"/>
  <c r="X46" i="65"/>
  <c r="AB44" i="65"/>
  <c r="M45" i="65"/>
  <c r="V55" i="65"/>
  <c r="X52" i="65"/>
  <c r="X54" i="65"/>
  <c r="Z55" i="65"/>
  <c r="J87" i="22"/>
  <c r="J54" i="65"/>
  <c r="V58" i="65"/>
  <c r="S54" i="65"/>
  <c r="Z53" i="65"/>
  <c r="K44" i="65"/>
  <c r="J86" i="22"/>
  <c r="J45" i="65"/>
  <c r="J64" i="22"/>
  <c r="J43" i="65"/>
  <c r="AA46" i="65"/>
  <c r="U46" i="65"/>
  <c r="AB53" i="65"/>
  <c r="O55" i="65"/>
  <c r="Y54" i="65"/>
  <c r="K54" i="65"/>
  <c r="Z43" i="65"/>
  <c r="W43" i="65"/>
  <c r="S46" i="65"/>
  <c r="P52" i="65"/>
  <c r="P53" i="65"/>
  <c r="U57" i="65"/>
  <c r="U58" i="65"/>
  <c r="R57" i="65"/>
  <c r="R49" i="65"/>
  <c r="R46" i="65"/>
  <c r="L46" i="65"/>
  <c r="L45" i="65"/>
  <c r="V43" i="65"/>
  <c r="Q46" i="65"/>
  <c r="Q49" i="65"/>
  <c r="Y44" i="65"/>
  <c r="L53" i="65"/>
  <c r="L54" i="65"/>
  <c r="Q56" i="65"/>
  <c r="W58" i="65"/>
  <c r="W56" i="65"/>
  <c r="N44" i="65"/>
  <c r="O46" i="65"/>
  <c r="AB46" i="65"/>
  <c r="T52" i="65"/>
  <c r="V57" i="65"/>
  <c r="X43" i="65"/>
  <c r="M44" i="65"/>
  <c r="O44" i="65"/>
  <c r="T53" i="65"/>
  <c r="T55" i="65"/>
  <c r="X44" i="65"/>
  <c r="X45" i="65"/>
  <c r="N43" i="65"/>
  <c r="N45" i="65"/>
  <c r="AB45" i="65"/>
  <c r="AB43" i="65"/>
  <c r="M43" i="65"/>
  <c r="O43" i="65"/>
  <c r="O45" i="65"/>
  <c r="T54" i="65"/>
  <c r="J65" i="22"/>
  <c r="J52" i="65"/>
  <c r="V53" i="65"/>
  <c r="V52" i="65"/>
  <c r="S53" i="65"/>
  <c r="S52" i="65"/>
  <c r="X55" i="65"/>
  <c r="T45" i="65"/>
  <c r="T44" i="65"/>
  <c r="J75" i="22"/>
  <c r="J44" i="65"/>
  <c r="U44" i="65"/>
  <c r="U45" i="65"/>
  <c r="M55" i="65"/>
  <c r="AA54" i="65"/>
  <c r="AA55" i="65"/>
  <c r="Y53" i="65"/>
  <c r="Z46" i="65"/>
  <c r="P46" i="65"/>
  <c r="W47" i="65"/>
  <c r="W44" i="65"/>
  <c r="S43" i="65"/>
  <c r="P54" i="65"/>
  <c r="N53" i="65"/>
  <c r="U53" i="65"/>
  <c r="R53" i="65"/>
  <c r="R58" i="65"/>
  <c r="R44" i="65"/>
  <c r="R48" i="65"/>
  <c r="L43" i="65"/>
  <c r="V44" i="65"/>
  <c r="V46" i="65"/>
  <c r="Q45" i="65"/>
  <c r="Q44" i="65"/>
  <c r="Y43" i="65"/>
  <c r="Y46" i="65"/>
  <c r="Q53" i="65"/>
  <c r="Q52" i="65"/>
  <c r="W55" i="65"/>
  <c r="W57" i="65"/>
  <c r="T43" i="65"/>
  <c r="K45" i="65"/>
  <c r="K43" i="65"/>
  <c r="AA45" i="65"/>
  <c r="AA43" i="65"/>
  <c r="U47" i="65"/>
  <c r="U48" i="65"/>
  <c r="AB54" i="65"/>
  <c r="O54" i="65"/>
  <c r="O53" i="65"/>
  <c r="M53" i="65"/>
  <c r="M52" i="65"/>
  <c r="AA53" i="65"/>
  <c r="AA52" i="65"/>
  <c r="Y52" i="65"/>
  <c r="K55" i="65"/>
  <c r="P44" i="65"/>
  <c r="W48" i="65"/>
  <c r="W49" i="65"/>
  <c r="S44" i="65"/>
  <c r="P55" i="65"/>
  <c r="N52" i="65"/>
  <c r="U52" i="65"/>
  <c r="U54" i="65"/>
  <c r="R54" i="65"/>
  <c r="R52" i="65"/>
  <c r="R45" i="65"/>
  <c r="V47" i="65"/>
  <c r="V49" i="65"/>
  <c r="Q43" i="65"/>
  <c r="Q48" i="65"/>
  <c r="L55" i="65"/>
  <c r="L52" i="65"/>
  <c r="Q58" i="65"/>
  <c r="Q57" i="65"/>
  <c r="W54" i="65"/>
  <c r="W53" i="65"/>
  <c r="J102" i="22"/>
  <c r="J55" i="65"/>
  <c r="V54" i="65"/>
  <c r="V56" i="65"/>
  <c r="S55" i="65"/>
  <c r="Z52" i="65"/>
  <c r="T46" i="65"/>
  <c r="K46" i="65"/>
  <c r="J101" i="22"/>
  <c r="J46" i="65"/>
  <c r="AA44" i="65"/>
  <c r="U49" i="65"/>
  <c r="U43" i="65"/>
  <c r="AB55" i="65"/>
  <c r="AB52" i="65"/>
  <c r="O52" i="65"/>
  <c r="M54" i="65"/>
  <c r="Y55" i="65"/>
  <c r="K52" i="65"/>
  <c r="K53" i="65"/>
  <c r="Z45" i="65"/>
  <c r="Z44" i="65"/>
  <c r="P43" i="65"/>
  <c r="P45" i="65"/>
  <c r="W46" i="65"/>
  <c r="W45" i="65"/>
  <c r="S45" i="65"/>
  <c r="N54" i="65"/>
  <c r="N55" i="65"/>
  <c r="U55" i="65"/>
  <c r="U56" i="65"/>
  <c r="R55" i="65"/>
  <c r="R56" i="65"/>
  <c r="R43" i="65"/>
  <c r="R47" i="65"/>
  <c r="L44" i="65"/>
  <c r="V45" i="65"/>
  <c r="V48" i="65"/>
  <c r="Q47" i="65"/>
  <c r="Y45" i="65"/>
  <c r="Q55" i="65"/>
  <c r="Q54" i="65"/>
  <c r="W52" i="65"/>
  <c r="K214" i="31"/>
  <c r="J203" i="31"/>
  <c r="K215" i="31"/>
  <c r="K224" i="31"/>
  <c r="K194" i="31"/>
  <c r="K204" i="31"/>
  <c r="J200" i="31"/>
  <c r="K206" i="31"/>
  <c r="K199" i="31"/>
  <c r="J208" i="31"/>
  <c r="K196" i="31"/>
  <c r="K201" i="31"/>
  <c r="K208" i="31"/>
  <c r="J199" i="31"/>
  <c r="K207" i="31"/>
  <c r="J220" i="31"/>
  <c r="J198" i="31"/>
  <c r="J214" i="31"/>
  <c r="K222" i="31"/>
  <c r="K202" i="31"/>
  <c r="J207" i="31"/>
  <c r="K216" i="31"/>
  <c r="K209" i="31"/>
  <c r="K225" i="31"/>
  <c r="J216" i="31"/>
  <c r="K195" i="31"/>
  <c r="J202" i="31"/>
  <c r="K218" i="31"/>
  <c r="K226" i="31"/>
  <c r="K200" i="31"/>
  <c r="J195" i="31"/>
  <c r="K211" i="31"/>
  <c r="K217" i="31"/>
  <c r="J194" i="31"/>
  <c r="J209" i="31"/>
  <c r="J226" i="31"/>
  <c r="J225" i="31"/>
  <c r="J211" i="31"/>
  <c r="K210" i="31"/>
  <c r="K203" i="31"/>
  <c r="J210" i="31"/>
  <c r="J218" i="31"/>
  <c r="K197" i="31"/>
  <c r="K205" i="31"/>
  <c r="J224" i="31"/>
  <c r="K223" i="31"/>
  <c r="J196" i="31"/>
  <c r="J212" i="31"/>
  <c r="K220" i="31"/>
  <c r="K212" i="31"/>
  <c r="K198" i="31"/>
  <c r="J215" i="31"/>
  <c r="J222" i="31"/>
  <c r="J205" i="31"/>
  <c r="J197" i="31"/>
  <c r="K221" i="31"/>
  <c r="J206" i="31"/>
  <c r="J217" i="31"/>
  <c r="J201" i="31"/>
  <c r="J223" i="31"/>
  <c r="J219" i="31"/>
  <c r="K219" i="31"/>
  <c r="J221" i="31"/>
  <c r="J504" i="53"/>
  <c r="J118" i="53"/>
  <c r="AH20" i="74"/>
  <c r="AO20" i="74"/>
  <c r="J95" i="73"/>
  <c r="J82" i="72"/>
  <c r="J113" i="71"/>
  <c r="J24" i="80"/>
  <c r="U95" i="73"/>
  <c r="U24" i="80"/>
  <c r="U82" i="72"/>
  <c r="U113" i="71"/>
  <c r="R82" i="72"/>
  <c r="R113" i="71"/>
  <c r="R24" i="80"/>
  <c r="R95" i="73"/>
  <c r="W113" i="71"/>
  <c r="W95" i="73"/>
  <c r="W82" i="72"/>
  <c r="W24" i="80"/>
  <c r="M82" i="72"/>
  <c r="M95" i="73"/>
  <c r="M113" i="71"/>
  <c r="M24" i="80"/>
  <c r="AJ20" i="74"/>
  <c r="J134" i="22"/>
  <c r="L113" i="71"/>
  <c r="L82" i="72"/>
  <c r="L95" i="73"/>
  <c r="L24" i="80"/>
  <c r="X113" i="71"/>
  <c r="X95" i="73"/>
  <c r="X82" i="72"/>
  <c r="X24" i="80"/>
  <c r="N82" i="72"/>
  <c r="N95" i="73"/>
  <c r="N24" i="80"/>
  <c r="N113" i="71"/>
  <c r="S82" i="72"/>
  <c r="S95" i="73"/>
  <c r="S24" i="80"/>
  <c r="S113" i="71"/>
  <c r="O82" i="72"/>
  <c r="O95" i="73"/>
  <c r="O24" i="80"/>
  <c r="O113" i="71"/>
  <c r="K40" i="81"/>
  <c r="K48" i="81" s="1"/>
  <c r="Q40" i="81"/>
  <c r="Q48" i="81" s="1"/>
  <c r="AM20" i="74"/>
  <c r="AN20" i="74"/>
  <c r="J135" i="22"/>
  <c r="J124" i="22"/>
  <c r="J112" i="22"/>
  <c r="AA82" i="72"/>
  <c r="AA95" i="73"/>
  <c r="AA24" i="80"/>
  <c r="AA113" i="71"/>
  <c r="V24" i="80"/>
  <c r="V82" i="72"/>
  <c r="V113" i="71"/>
  <c r="V95" i="73"/>
  <c r="Q24" i="80"/>
  <c r="Q95" i="73"/>
  <c r="Q113" i="71"/>
  <c r="Q82" i="72"/>
  <c r="Y82" i="72"/>
  <c r="Y113" i="71"/>
  <c r="Y95" i="73"/>
  <c r="Y24" i="80"/>
  <c r="AF20" i="74"/>
  <c r="J113" i="22"/>
  <c r="AL20" i="74"/>
  <c r="J123" i="22"/>
  <c r="K213" i="31"/>
  <c r="J213" i="31"/>
  <c r="Z95" i="73"/>
  <c r="Z82" i="72"/>
  <c r="Z113" i="71"/>
  <c r="Z24" i="80"/>
  <c r="AB95" i="73"/>
  <c r="AB82" i="72"/>
  <c r="AB24" i="80"/>
  <c r="AB113" i="71"/>
  <c r="T95" i="73"/>
  <c r="T24" i="80"/>
  <c r="T113" i="71"/>
  <c r="T82" i="72"/>
  <c r="K82" i="72"/>
  <c r="K95" i="73"/>
  <c r="K24" i="80"/>
  <c r="K113" i="71"/>
  <c r="P113" i="71"/>
  <c r="P82" i="72"/>
  <c r="P95" i="73"/>
  <c r="P24" i="80"/>
  <c r="J41" i="55" l="1"/>
  <c r="A4" i="70"/>
  <c r="J77" i="22"/>
  <c r="J30" i="41" s="1"/>
  <c r="J66" i="22"/>
  <c r="J36" i="53" s="1"/>
  <c r="J103" i="22"/>
  <c r="J16" i="111" s="1"/>
  <c r="J88" i="22"/>
  <c r="J125" i="22"/>
  <c r="J189" i="80" s="1"/>
  <c r="R280" i="53"/>
  <c r="AH280" i="53"/>
  <c r="AH258" i="53"/>
  <c r="AH269" i="53"/>
  <c r="AF260" i="53"/>
  <c r="AF271" i="53"/>
  <c r="AF282" i="53"/>
  <c r="AM272" i="53"/>
  <c r="AM283" i="53"/>
  <c r="AM261" i="53"/>
  <c r="Q283" i="53"/>
  <c r="AD20" i="74"/>
  <c r="P287" i="53"/>
  <c r="P276" i="53"/>
  <c r="N276" i="53"/>
  <c r="N287" i="53"/>
  <c r="R287" i="53"/>
  <c r="AN286" i="53"/>
  <c r="AN275" i="53"/>
  <c r="AN264" i="53"/>
  <c r="AC262" i="53"/>
  <c r="AC284" i="53"/>
  <c r="AC273" i="53"/>
  <c r="Q284" i="53"/>
  <c r="J277" i="53"/>
  <c r="J288" i="53"/>
  <c r="AE277" i="53"/>
  <c r="AE266" i="53"/>
  <c r="AE288" i="53"/>
  <c r="AJ274" i="53"/>
  <c r="AJ263" i="53"/>
  <c r="AJ285" i="53"/>
  <c r="AD263" i="53"/>
  <c r="AD274" i="53"/>
  <c r="AD285" i="53"/>
  <c r="AK263" i="53"/>
  <c r="AK274" i="53"/>
  <c r="AK285" i="53"/>
  <c r="K274" i="53"/>
  <c r="K285" i="53"/>
  <c r="O274" i="53"/>
  <c r="O285" i="53"/>
  <c r="AF263" i="53"/>
  <c r="AF274" i="53"/>
  <c r="AF285" i="53"/>
  <c r="AM269" i="53"/>
  <c r="AM280" i="53"/>
  <c r="AM258" i="53"/>
  <c r="N269" i="53"/>
  <c r="N280" i="53"/>
  <c r="AN271" i="53"/>
  <c r="AN282" i="53"/>
  <c r="AN260" i="53"/>
  <c r="AO282" i="53"/>
  <c r="AO260" i="53"/>
  <c r="AO271" i="53"/>
  <c r="S282" i="53"/>
  <c r="AM281" i="53"/>
  <c r="AM259" i="53"/>
  <c r="AM270" i="53"/>
  <c r="O281" i="53"/>
  <c r="O270" i="53"/>
  <c r="K287" i="53"/>
  <c r="K276" i="53"/>
  <c r="AD276" i="53"/>
  <c r="AD287" i="53"/>
  <c r="AD265" i="53"/>
  <c r="K275" i="53"/>
  <c r="K286" i="53"/>
  <c r="R286" i="53"/>
  <c r="AM275" i="53"/>
  <c r="AM264" i="53"/>
  <c r="AM286" i="53"/>
  <c r="AF273" i="53"/>
  <c r="AF262" i="53"/>
  <c r="AF284" i="53"/>
  <c r="AO262" i="53"/>
  <c r="AO284" i="53"/>
  <c r="AO273" i="53"/>
  <c r="R288" i="53"/>
  <c r="S288" i="53"/>
  <c r="AI266" i="53"/>
  <c r="AI277" i="53"/>
  <c r="AI288" i="53"/>
  <c r="AN258" i="53"/>
  <c r="AN280" i="53"/>
  <c r="AN269" i="53"/>
  <c r="S280" i="53"/>
  <c r="AK269" i="53"/>
  <c r="AK280" i="53"/>
  <c r="AK258" i="53"/>
  <c r="K269" i="53"/>
  <c r="K280" i="53"/>
  <c r="AG258" i="53"/>
  <c r="AG269" i="53"/>
  <c r="AG280" i="53"/>
  <c r="Q282" i="53"/>
  <c r="AH260" i="53"/>
  <c r="AH282" i="53"/>
  <c r="AH271" i="53"/>
  <c r="AE282" i="53"/>
  <c r="AE271" i="53"/>
  <c r="AE260" i="53"/>
  <c r="O271" i="53"/>
  <c r="O282" i="53"/>
  <c r="AI260" i="53"/>
  <c r="AI271" i="53"/>
  <c r="AI282" i="53"/>
  <c r="R282" i="53"/>
  <c r="AH259" i="53"/>
  <c r="AH281" i="53"/>
  <c r="AH270" i="53"/>
  <c r="K281" i="53"/>
  <c r="K270" i="53"/>
  <c r="AF281" i="53"/>
  <c r="AF259" i="53"/>
  <c r="AF270" i="53"/>
  <c r="AK272" i="53"/>
  <c r="AK261" i="53"/>
  <c r="AK283" i="53"/>
  <c r="AI283" i="53"/>
  <c r="AI261" i="53"/>
  <c r="AI272" i="53"/>
  <c r="AG261" i="53"/>
  <c r="AG283" i="53"/>
  <c r="AG272" i="53"/>
  <c r="L283" i="53"/>
  <c r="L272" i="53"/>
  <c r="AC261" i="53"/>
  <c r="AC272" i="53"/>
  <c r="AC283" i="53"/>
  <c r="AI20" i="74"/>
  <c r="AP20" i="74"/>
  <c r="S287" i="53"/>
  <c r="L287" i="53"/>
  <c r="L276" i="53"/>
  <c r="AI287" i="53"/>
  <c r="AI276" i="53"/>
  <c r="AI265" i="53"/>
  <c r="J287" i="53"/>
  <c r="J276" i="53"/>
  <c r="AJ276" i="53"/>
  <c r="AJ287" i="53"/>
  <c r="AJ265" i="53"/>
  <c r="AC286" i="53"/>
  <c r="AC275" i="53"/>
  <c r="AC264" i="53"/>
  <c r="L275" i="53"/>
  <c r="L286" i="53"/>
  <c r="AF275" i="53"/>
  <c r="AF286" i="53"/>
  <c r="AF264" i="53"/>
  <c r="P275" i="53"/>
  <c r="P286" i="53"/>
  <c r="AD275" i="53"/>
  <c r="AD264" i="53"/>
  <c r="AD286" i="53"/>
  <c r="AI284" i="53"/>
  <c r="AI273" i="53"/>
  <c r="AI262" i="53"/>
  <c r="AG284" i="53"/>
  <c r="AG262" i="53"/>
  <c r="AG273" i="53"/>
  <c r="P284" i="53"/>
  <c r="P273" i="53"/>
  <c r="AD284" i="53"/>
  <c r="AD273" i="53"/>
  <c r="AD262" i="53"/>
  <c r="AE20" i="74"/>
  <c r="J136" i="22"/>
  <c r="J35" i="41" s="1"/>
  <c r="K277" i="53"/>
  <c r="K288" i="53"/>
  <c r="AJ277" i="53"/>
  <c r="AJ288" i="53"/>
  <c r="AJ266" i="53"/>
  <c r="O277" i="53"/>
  <c r="O288" i="53"/>
  <c r="AO277" i="53"/>
  <c r="AO288" i="53"/>
  <c r="AO266" i="53"/>
  <c r="AG20" i="74"/>
  <c r="AH285" i="53"/>
  <c r="AH274" i="53"/>
  <c r="AH263" i="53"/>
  <c r="J285" i="53"/>
  <c r="J274" i="53"/>
  <c r="S285" i="53"/>
  <c r="AN263" i="53"/>
  <c r="AN274" i="53"/>
  <c r="AN285" i="53"/>
  <c r="M274" i="53"/>
  <c r="M285" i="53"/>
  <c r="AG285" i="53"/>
  <c r="AG263" i="53"/>
  <c r="AG274" i="53"/>
  <c r="AJ280" i="53"/>
  <c r="AJ258" i="53"/>
  <c r="AJ269" i="53"/>
  <c r="M271" i="53"/>
  <c r="M282" i="53"/>
  <c r="AM260" i="53"/>
  <c r="AM271" i="53"/>
  <c r="AM282" i="53"/>
  <c r="J270" i="53"/>
  <c r="J281" i="53"/>
  <c r="AO281" i="53"/>
  <c r="AO270" i="53"/>
  <c r="AO259" i="53"/>
  <c r="AJ272" i="53"/>
  <c r="AJ261" i="53"/>
  <c r="AJ283" i="53"/>
  <c r="AH261" i="53"/>
  <c r="AH283" i="53"/>
  <c r="AH272" i="53"/>
  <c r="AG275" i="53"/>
  <c r="AG264" i="53"/>
  <c r="AG286" i="53"/>
  <c r="Q286" i="53"/>
  <c r="AJ275" i="53"/>
  <c r="AJ286" i="53"/>
  <c r="AJ264" i="53"/>
  <c r="AE262" i="53"/>
  <c r="AE273" i="53"/>
  <c r="AE284" i="53"/>
  <c r="AM262" i="53"/>
  <c r="AM273" i="53"/>
  <c r="AM284" i="53"/>
  <c r="AG277" i="53"/>
  <c r="AG266" i="53"/>
  <c r="AG288" i="53"/>
  <c r="O269" i="53"/>
  <c r="O280" i="53"/>
  <c r="AD269" i="53"/>
  <c r="AD258" i="53"/>
  <c r="AD280" i="53"/>
  <c r="J280" i="53"/>
  <c r="J269" i="53"/>
  <c r="AO269" i="53"/>
  <c r="AO258" i="53"/>
  <c r="AO280" i="53"/>
  <c r="P280" i="53"/>
  <c r="P269" i="53"/>
  <c r="AF269" i="53"/>
  <c r="AF258" i="53"/>
  <c r="AF280" i="53"/>
  <c r="AK271" i="53"/>
  <c r="AK282" i="53"/>
  <c r="AK260" i="53"/>
  <c r="L282" i="53"/>
  <c r="L271" i="53"/>
  <c r="J271" i="53"/>
  <c r="J282" i="53"/>
  <c r="AC260" i="53"/>
  <c r="AC271" i="53"/>
  <c r="AC282" i="53"/>
  <c r="L281" i="53"/>
  <c r="L270" i="53"/>
  <c r="AC281" i="53"/>
  <c r="AC259" i="53"/>
  <c r="AC270" i="53"/>
  <c r="R281" i="53"/>
  <c r="M281" i="53"/>
  <c r="M270" i="53"/>
  <c r="AJ281" i="53"/>
  <c r="AJ259" i="53"/>
  <c r="AJ270" i="53"/>
  <c r="Q281" i="53"/>
  <c r="AK259" i="53"/>
  <c r="AK270" i="53"/>
  <c r="AK281" i="53"/>
  <c r="P283" i="53"/>
  <c r="P272" i="53"/>
  <c r="J272" i="53"/>
  <c r="J283" i="53"/>
  <c r="N283" i="53"/>
  <c r="N272" i="53"/>
  <c r="AE283" i="53"/>
  <c r="AE261" i="53"/>
  <c r="AE272" i="53"/>
  <c r="AN283" i="53"/>
  <c r="AN272" i="53"/>
  <c r="AN261" i="53"/>
  <c r="J114" i="22"/>
  <c r="AG265" i="53"/>
  <c r="AG287" i="53"/>
  <c r="AG276" i="53"/>
  <c r="AM276" i="53"/>
  <c r="AM265" i="53"/>
  <c r="AM287" i="53"/>
  <c r="AN276" i="53"/>
  <c r="AN287" i="53"/>
  <c r="AN265" i="53"/>
  <c r="O287" i="53"/>
  <c r="O276" i="53"/>
  <c r="M276" i="53"/>
  <c r="M287" i="53"/>
  <c r="AF287" i="53"/>
  <c r="AF276" i="53"/>
  <c r="AF265" i="53"/>
  <c r="M275" i="53"/>
  <c r="M286" i="53"/>
  <c r="AO286" i="53"/>
  <c r="AO275" i="53"/>
  <c r="AO264" i="53"/>
  <c r="J286" i="53"/>
  <c r="J275" i="53"/>
  <c r="O286" i="53"/>
  <c r="O275" i="53"/>
  <c r="AK286" i="53"/>
  <c r="AK264" i="53"/>
  <c r="AK275" i="53"/>
  <c r="L273" i="53"/>
  <c r="L284" i="53"/>
  <c r="O284" i="53"/>
  <c r="O273" i="53"/>
  <c r="R284" i="53"/>
  <c r="J284" i="53"/>
  <c r="J273" i="53"/>
  <c r="AK262" i="53"/>
  <c r="AK284" i="53"/>
  <c r="AK273" i="53"/>
  <c r="N288" i="53"/>
  <c r="N277" i="53"/>
  <c r="P288" i="53"/>
  <c r="P277" i="53"/>
  <c r="AK277" i="53"/>
  <c r="AK288" i="53"/>
  <c r="AK266" i="53"/>
  <c r="AM266" i="53"/>
  <c r="AM288" i="53"/>
  <c r="AM277" i="53"/>
  <c r="Q288" i="53"/>
  <c r="AN266" i="53"/>
  <c r="AN288" i="53"/>
  <c r="AN277" i="53"/>
  <c r="L274" i="53"/>
  <c r="L285" i="53"/>
  <c r="Q285" i="53"/>
  <c r="P285" i="53"/>
  <c r="P274" i="53"/>
  <c r="AI274" i="53"/>
  <c r="AI285" i="53"/>
  <c r="AI263" i="53"/>
  <c r="R285" i="53"/>
  <c r="AE258" i="53"/>
  <c r="AE269" i="53"/>
  <c r="AE280" i="53"/>
  <c r="AJ282" i="53"/>
  <c r="AJ271" i="53"/>
  <c r="AJ260" i="53"/>
  <c r="P270" i="53"/>
  <c r="P281" i="53"/>
  <c r="AI281" i="53"/>
  <c r="AI270" i="53"/>
  <c r="AI259" i="53"/>
  <c r="AO272" i="53"/>
  <c r="AO283" i="53"/>
  <c r="AO261" i="53"/>
  <c r="M272" i="53"/>
  <c r="M283" i="53"/>
  <c r="M280" i="53"/>
  <c r="M269" i="53"/>
  <c r="AI280" i="53"/>
  <c r="AI269" i="53"/>
  <c r="AI258" i="53"/>
  <c r="Q280" i="53"/>
  <c r="L280" i="53"/>
  <c r="L269" i="53"/>
  <c r="AC258" i="53"/>
  <c r="AC269" i="53"/>
  <c r="AC280" i="53"/>
  <c r="K282" i="53"/>
  <c r="K271" i="53"/>
  <c r="N282" i="53"/>
  <c r="N271" i="53"/>
  <c r="P282" i="53"/>
  <c r="P271" i="53"/>
  <c r="AD282" i="53"/>
  <c r="AD260" i="53"/>
  <c r="AD271" i="53"/>
  <c r="AG271" i="53"/>
  <c r="AG260" i="53"/>
  <c r="AG282" i="53"/>
  <c r="AG270" i="53"/>
  <c r="AG281" i="53"/>
  <c r="AG259" i="53"/>
  <c r="AN270" i="53"/>
  <c r="AN281" i="53"/>
  <c r="AN259" i="53"/>
  <c r="N270" i="53"/>
  <c r="N281" i="53"/>
  <c r="AD259" i="53"/>
  <c r="AD270" i="53"/>
  <c r="AD281" i="53"/>
  <c r="S281" i="53"/>
  <c r="AE270" i="53"/>
  <c r="AE259" i="53"/>
  <c r="AE281" i="53"/>
  <c r="R283" i="53"/>
  <c r="O272" i="53"/>
  <c r="O283" i="53"/>
  <c r="K272" i="53"/>
  <c r="K283" i="53"/>
  <c r="AD283" i="53"/>
  <c r="AD261" i="53"/>
  <c r="AD272" i="53"/>
  <c r="S283" i="53"/>
  <c r="AF283" i="53"/>
  <c r="AF272" i="53"/>
  <c r="AF261" i="53"/>
  <c r="AK20" i="74"/>
  <c r="AC265" i="53"/>
  <c r="AC287" i="53"/>
  <c r="AC276" i="53"/>
  <c r="AH287" i="53"/>
  <c r="AH276" i="53"/>
  <c r="AH265" i="53"/>
  <c r="AO287" i="53"/>
  <c r="AO265" i="53"/>
  <c r="AO276" i="53"/>
  <c r="Q287" i="53"/>
  <c r="AE276" i="53"/>
  <c r="AE265" i="53"/>
  <c r="AE287" i="53"/>
  <c r="AK276" i="53"/>
  <c r="AK265" i="53"/>
  <c r="AK287" i="53"/>
  <c r="S286" i="53"/>
  <c r="AE264" i="53"/>
  <c r="AE286" i="53"/>
  <c r="AE275" i="53"/>
  <c r="AI286" i="53"/>
  <c r="AI275" i="53"/>
  <c r="AI264" i="53"/>
  <c r="N275" i="53"/>
  <c r="N286" i="53"/>
  <c r="AH264" i="53"/>
  <c r="AH286" i="53"/>
  <c r="AH275" i="53"/>
  <c r="K273" i="53"/>
  <c r="K284" i="53"/>
  <c r="S284" i="53"/>
  <c r="N284" i="53"/>
  <c r="N273" i="53"/>
  <c r="AH284" i="53"/>
  <c r="AH262" i="53"/>
  <c r="AH273" i="53"/>
  <c r="AN262" i="53"/>
  <c r="AN273" i="53"/>
  <c r="AN284" i="53"/>
  <c r="M273" i="53"/>
  <c r="M284" i="53"/>
  <c r="AJ273" i="53"/>
  <c r="AJ262" i="53"/>
  <c r="AJ284" i="53"/>
  <c r="AC20" i="74"/>
  <c r="AH266" i="53"/>
  <c r="AH277" i="53"/>
  <c r="AH288" i="53"/>
  <c r="AF277" i="53"/>
  <c r="AF266" i="53"/>
  <c r="AF288" i="53"/>
  <c r="M288" i="53"/>
  <c r="M277" i="53"/>
  <c r="AD266" i="53"/>
  <c r="AD288" i="53"/>
  <c r="AD277" i="53"/>
  <c r="L288" i="53"/>
  <c r="L277" i="53"/>
  <c r="AC266" i="53"/>
  <c r="AC288" i="53"/>
  <c r="AC277" i="53"/>
  <c r="AO285" i="53"/>
  <c r="AO263" i="53"/>
  <c r="AO274" i="53"/>
  <c r="AE285" i="53"/>
  <c r="AE274" i="53"/>
  <c r="AE263" i="53"/>
  <c r="AC274" i="53"/>
  <c r="AC285" i="53"/>
  <c r="AC263" i="53"/>
  <c r="AM263" i="53"/>
  <c r="AM274" i="53"/>
  <c r="AM285" i="53"/>
  <c r="N285" i="53"/>
  <c r="N274" i="53"/>
  <c r="J28" i="111" l="1"/>
  <c r="J34" i="111" s="1"/>
  <c r="J27" i="111"/>
  <c r="J33" i="111" s="1"/>
  <c r="J92" i="22"/>
  <c r="J17" i="111" s="1"/>
  <c r="J38" i="53"/>
  <c r="J78" i="83" s="1"/>
  <c r="J57" i="80"/>
  <c r="J240" i="83"/>
  <c r="J37" i="53"/>
  <c r="J55" i="53" s="1"/>
  <c r="J241" i="83"/>
  <c r="J268" i="83" s="1"/>
  <c r="J56" i="80"/>
  <c r="J29" i="41"/>
  <c r="J76" i="41" s="1"/>
  <c r="J18" i="74"/>
  <c r="J32" i="41"/>
  <c r="J242" i="83"/>
  <c r="J269" i="83" s="1"/>
  <c r="J58" i="80"/>
  <c r="J31" i="41"/>
  <c r="J78" i="41" s="1"/>
  <c r="J34" i="41"/>
  <c r="J33" i="41"/>
  <c r="J188" i="80"/>
  <c r="J77" i="41"/>
  <c r="J46" i="53"/>
  <c r="J47" i="53"/>
  <c r="J48" i="53"/>
  <c r="AA269" i="53"/>
  <c r="Z280" i="53"/>
  <c r="X280" i="53"/>
  <c r="AB269" i="53"/>
  <c r="J267" i="83" l="1"/>
  <c r="J66" i="53"/>
  <c r="J65" i="53"/>
  <c r="J64" i="53"/>
  <c r="J73" i="53" s="1"/>
  <c r="J39" i="53"/>
  <c r="J56" i="53"/>
  <c r="J57" i="53"/>
  <c r="J59" i="80"/>
  <c r="J200" i="80" s="1"/>
  <c r="J20" i="74" s="1"/>
  <c r="J243" i="83"/>
  <c r="Y280" i="53"/>
  <c r="Y269" i="53"/>
  <c r="AB280" i="53"/>
  <c r="Z269" i="53"/>
  <c r="AA280" i="53"/>
  <c r="BX97" i="41"/>
  <c r="AQ97" i="41"/>
  <c r="X269" i="53"/>
  <c r="J191" i="80"/>
  <c r="J192" i="80" s="1"/>
  <c r="J97" i="41"/>
  <c r="J70" i="53" l="1"/>
  <c r="J270" i="83"/>
  <c r="J246" i="83"/>
  <c r="J75" i="53"/>
  <c r="J71" i="53"/>
  <c r="J74" i="53"/>
  <c r="J72" i="53"/>
  <c r="J247" i="83" l="1"/>
  <c r="J248" i="83"/>
  <c r="J88" i="53"/>
  <c r="J249" i="83" l="1"/>
  <c r="J90" i="53"/>
  <c r="AK78" i="83"/>
  <c r="AG78" i="83"/>
  <c r="AO78" i="83"/>
  <c r="J120" i="53" l="1"/>
  <c r="J122" i="53" s="1"/>
  <c r="J315" i="53" s="1"/>
  <c r="J339" i="53" l="1"/>
  <c r="J338" i="53"/>
  <c r="J349" i="53" s="1"/>
  <c r="J345" i="53"/>
  <c r="J341" i="53"/>
  <c r="J342" i="53"/>
  <c r="J346" i="53"/>
  <c r="J340" i="53"/>
  <c r="J344" i="53"/>
  <c r="J343" i="53"/>
  <c r="J301" i="53"/>
  <c r="J295" i="53"/>
  <c r="J311" i="53"/>
  <c r="J317" i="53"/>
  <c r="J312" i="53"/>
  <c r="J305" i="53"/>
  <c r="J306" i="53"/>
  <c r="J322" i="53"/>
  <c r="J299" i="53"/>
  <c r="J321" i="53"/>
  <c r="J308" i="53"/>
  <c r="J318" i="53"/>
  <c r="J298" i="53"/>
  <c r="J293" i="53"/>
  <c r="J309" i="53"/>
  <c r="J296" i="53"/>
  <c r="J323" i="53"/>
  <c r="J319" i="53"/>
  <c r="J294" i="53"/>
  <c r="J304" i="53"/>
  <c r="J320" i="53"/>
  <c r="J297" i="53"/>
  <c r="J300" i="53"/>
  <c r="J316" i="53"/>
  <c r="J307" i="53"/>
  <c r="J310" i="53"/>
  <c r="J355" i="53" l="1"/>
  <c r="J352" i="53"/>
  <c r="J351" i="53"/>
  <c r="J356" i="53"/>
  <c r="J357" i="53"/>
  <c r="J354" i="53"/>
  <c r="J353" i="53"/>
  <c r="J350" i="53"/>
  <c r="L27" i="31"/>
  <c r="L29" i="31" s="1"/>
  <c r="L225" i="31" s="1"/>
  <c r="M27" i="31"/>
  <c r="M29" i="31" s="1"/>
  <c r="H47" i="80" s="1"/>
  <c r="N27" i="31"/>
  <c r="N29" i="31" s="1"/>
  <c r="O27" i="31"/>
  <c r="P28" i="31" s="1"/>
  <c r="P29" i="31" s="1"/>
  <c r="H50" i="80" s="1"/>
  <c r="R27" i="31"/>
  <c r="R29" i="31" s="1"/>
  <c r="H52" i="80" s="1"/>
  <c r="S27" i="31"/>
  <c r="S29" i="31" s="1"/>
  <c r="H53" i="80" s="1"/>
  <c r="K16" i="105"/>
  <c r="K25" i="105"/>
  <c r="K34" i="105"/>
  <c r="K17" i="105"/>
  <c r="K26" i="105"/>
  <c r="K18" i="105"/>
  <c r="K27" i="105"/>
  <c r="K36" i="105"/>
  <c r="L25" i="105"/>
  <c r="L17" i="105"/>
  <c r="L26" i="105"/>
  <c r="L35" i="105"/>
  <c r="L18" i="105"/>
  <c r="L27" i="105"/>
  <c r="AG16" i="105"/>
  <c r="AG34" i="105"/>
  <c r="AG17" i="105"/>
  <c r="AG26" i="105"/>
  <c r="AG35" i="105"/>
  <c r="AG18" i="105"/>
  <c r="AG27" i="105"/>
  <c r="T84" i="87"/>
  <c r="T16" i="105"/>
  <c r="T34" i="105"/>
  <c r="T17" i="105"/>
  <c r="T26" i="105"/>
  <c r="T35" i="105"/>
  <c r="T18" i="105"/>
  <c r="T27" i="105"/>
  <c r="T36" i="105"/>
  <c r="T99" i="53"/>
  <c r="T85" i="87"/>
  <c r="T86" i="87"/>
  <c r="S84" i="87"/>
  <c r="S25" i="105"/>
  <c r="S17" i="105"/>
  <c r="S26" i="105"/>
  <c r="S35" i="105"/>
  <c r="S18" i="105"/>
  <c r="S27" i="105"/>
  <c r="S36" i="105"/>
  <c r="S99" i="53"/>
  <c r="S85" i="87"/>
  <c r="AE16" i="105"/>
  <c r="AE25" i="105"/>
  <c r="AE34" i="105"/>
  <c r="AE17" i="105"/>
  <c r="AE26" i="105"/>
  <c r="AE35" i="105"/>
  <c r="AE27" i="105"/>
  <c r="AE36" i="105"/>
  <c r="L19" i="31"/>
  <c r="V84" i="87"/>
  <c r="V25" i="105"/>
  <c r="V34" i="105"/>
  <c r="V35" i="105"/>
  <c r="V27" i="105"/>
  <c r="V94" i="105" s="1"/>
  <c r="V36" i="105"/>
  <c r="V99" i="53"/>
  <c r="AK25" i="105"/>
  <c r="AK34" i="105"/>
  <c r="AK17" i="105"/>
  <c r="AK27" i="105"/>
  <c r="AK94" i="105" s="1"/>
  <c r="AO34" i="105"/>
  <c r="AO17" i="105"/>
  <c r="AO35" i="105"/>
  <c r="AO36" i="105"/>
  <c r="X84" i="87"/>
  <c r="X98" i="53"/>
  <c r="X99" i="53"/>
  <c r="Y98" i="53"/>
  <c r="Y99" i="53"/>
  <c r="Z98" i="53"/>
  <c r="Z99" i="53"/>
  <c r="AA98" i="53"/>
  <c r="AA99" i="53"/>
  <c r="AB98" i="53"/>
  <c r="AB99" i="53"/>
  <c r="X16" i="105"/>
  <c r="X25" i="105"/>
  <c r="X34" i="105"/>
  <c r="X17" i="105"/>
  <c r="X26" i="105"/>
  <c r="X35" i="105"/>
  <c r="X18" i="105"/>
  <c r="X27" i="105"/>
  <c r="X36" i="105"/>
  <c r="Y16" i="105"/>
  <c r="Y25" i="105"/>
  <c r="Y34" i="105"/>
  <c r="Y17" i="105"/>
  <c r="Y26" i="105"/>
  <c r="Y35" i="105"/>
  <c r="Y18" i="105"/>
  <c r="Y27" i="105"/>
  <c r="Y36" i="105"/>
  <c r="Z16" i="105"/>
  <c r="Z25" i="105"/>
  <c r="Z34" i="105"/>
  <c r="Z17" i="105"/>
  <c r="Z26" i="105"/>
  <c r="Z35" i="105"/>
  <c r="Z18" i="105"/>
  <c r="Z27" i="105"/>
  <c r="Z36" i="105"/>
  <c r="AA16" i="105"/>
  <c r="AA25" i="105"/>
  <c r="AA34" i="105"/>
  <c r="AA17" i="105"/>
  <c r="AA26" i="105"/>
  <c r="AA35" i="105"/>
  <c r="AA18" i="105"/>
  <c r="AA27" i="105"/>
  <c r="AA36" i="105"/>
  <c r="AB16" i="105"/>
  <c r="AB25" i="105"/>
  <c r="AB34" i="105"/>
  <c r="AB17" i="105"/>
  <c r="AB26" i="105"/>
  <c r="AB35" i="105"/>
  <c r="AB18" i="105"/>
  <c r="AB27" i="105"/>
  <c r="AB36" i="105"/>
  <c r="AB84" i="87"/>
  <c r="Y44" i="53"/>
  <c r="Z44" i="53"/>
  <c r="AA44" i="53"/>
  <c r="Y45" i="53"/>
  <c r="Z45" i="53"/>
  <c r="AA45" i="53"/>
  <c r="U84" i="87"/>
  <c r="U16" i="105"/>
  <c r="U25" i="105"/>
  <c r="U17" i="105"/>
  <c r="U26" i="105"/>
  <c r="U35" i="105"/>
  <c r="U18" i="105"/>
  <c r="U27" i="105"/>
  <c r="U36" i="105"/>
  <c r="U99" i="53"/>
  <c r="U98" i="53"/>
  <c r="V98" i="53"/>
  <c r="W98" i="53"/>
  <c r="W99" i="53"/>
  <c r="K19" i="105"/>
  <c r="K28" i="105"/>
  <c r="K37" i="105"/>
  <c r="M19" i="105"/>
  <c r="M28" i="105"/>
  <c r="N19" i="105"/>
  <c r="N28" i="105"/>
  <c r="N37" i="105"/>
  <c r="L19" i="105"/>
  <c r="L28" i="105"/>
  <c r="L37" i="105"/>
  <c r="O19" i="105"/>
  <c r="O28" i="105"/>
  <c r="O37" i="105"/>
  <c r="P28" i="105"/>
  <c r="P37" i="105"/>
  <c r="Q19" i="105"/>
  <c r="Q37" i="105"/>
  <c r="Q105" i="105" s="1"/>
  <c r="R19" i="105"/>
  <c r="R28" i="105"/>
  <c r="R95" i="105" s="1"/>
  <c r="R37" i="105"/>
  <c r="R105" i="105" s="1"/>
  <c r="S19" i="105"/>
  <c r="S37" i="105"/>
  <c r="T28" i="105"/>
  <c r="T37" i="105"/>
  <c r="U19" i="105"/>
  <c r="U37" i="105"/>
  <c r="V28" i="105"/>
  <c r="V95" i="105" s="1"/>
  <c r="V37" i="105"/>
  <c r="W19" i="105"/>
  <c r="W37" i="105"/>
  <c r="X28" i="105"/>
  <c r="X37" i="105"/>
  <c r="Y19" i="105"/>
  <c r="Y37" i="105"/>
  <c r="Z28" i="105"/>
  <c r="Z37" i="105"/>
  <c r="AA19" i="105"/>
  <c r="AA37" i="105"/>
  <c r="AB28" i="105"/>
  <c r="AB37" i="105"/>
  <c r="AC19" i="105"/>
  <c r="AC37" i="105"/>
  <c r="AD28" i="105"/>
  <c r="AD95" i="105" s="1"/>
  <c r="AD37" i="105"/>
  <c r="AE19" i="105"/>
  <c r="AE37" i="105"/>
  <c r="AF28" i="105"/>
  <c r="AF95" i="105" s="1"/>
  <c r="AF37" i="105"/>
  <c r="AF105" i="105" s="1"/>
  <c r="AG19" i="105"/>
  <c r="AG28" i="105"/>
  <c r="AG37" i="105"/>
  <c r="AH28" i="105"/>
  <c r="AH95" i="105" s="1"/>
  <c r="AH37" i="105"/>
  <c r="AH105" i="105" s="1"/>
  <c r="AI19" i="105"/>
  <c r="AI28" i="105"/>
  <c r="AI95" i="105" s="1"/>
  <c r="AI37" i="105"/>
  <c r="AJ28" i="105"/>
  <c r="AJ95" i="105" s="1"/>
  <c r="AJ37" i="105"/>
  <c r="AJ105" i="105" s="1"/>
  <c r="AK19" i="105"/>
  <c r="AK28" i="105"/>
  <c r="AK95" i="105" s="1"/>
  <c r="AK37" i="105"/>
  <c r="AL28" i="105"/>
  <c r="AL95" i="105" s="1"/>
  <c r="AL37" i="105"/>
  <c r="AL105" i="105" s="1"/>
  <c r="AM19" i="105"/>
  <c r="AM28" i="105"/>
  <c r="AM95" i="105" s="1"/>
  <c r="AM37" i="105"/>
  <c r="AN28" i="105"/>
  <c r="AN95" i="105" s="1"/>
  <c r="AN37" i="105"/>
  <c r="AN105" i="105" s="1"/>
  <c r="AO19" i="105"/>
  <c r="AO28" i="105"/>
  <c r="AO95" i="105" s="1"/>
  <c r="AO37" i="105"/>
  <c r="AP28" i="105"/>
  <c r="AP95" i="105" s="1"/>
  <c r="AP37" i="105"/>
  <c r="AP105" i="105" s="1"/>
  <c r="L213" i="31"/>
  <c r="AC34" i="105"/>
  <c r="AC26" i="105"/>
  <c r="AC18" i="105"/>
  <c r="AC36" i="105"/>
  <c r="AD34" i="105"/>
  <c r="AD17" i="105"/>
  <c r="AD35" i="105"/>
  <c r="AD27" i="105"/>
  <c r="AD94" i="105" s="1"/>
  <c r="AD36" i="105"/>
  <c r="AI16" i="105"/>
  <c r="AI25" i="105"/>
  <c r="AI34" i="105"/>
  <c r="AI26" i="105"/>
  <c r="AI93" i="105" s="1"/>
  <c r="AI35" i="105"/>
  <c r="AI18" i="105"/>
  <c r="AI27" i="105"/>
  <c r="AI94" i="105" s="1"/>
  <c r="AI36" i="105"/>
  <c r="W84" i="87"/>
  <c r="W16" i="105"/>
  <c r="W34" i="105"/>
  <c r="W17" i="105"/>
  <c r="W26" i="105"/>
  <c r="W93" i="105" s="1"/>
  <c r="W18" i="105"/>
  <c r="W27" i="105"/>
  <c r="W94" i="105" s="1"/>
  <c r="W36" i="105"/>
  <c r="AM16" i="105"/>
  <c r="AM34" i="105"/>
  <c r="AM26" i="105"/>
  <c r="AM93" i="105" s="1"/>
  <c r="AM18" i="105"/>
  <c r="AM27" i="105"/>
  <c r="AM94" i="105" s="1"/>
  <c r="AM36" i="105"/>
  <c r="L222" i="31"/>
  <c r="AL84" i="87"/>
  <c r="AL16" i="105"/>
  <c r="AL25" i="105"/>
  <c r="AL17" i="105"/>
  <c r="AL26" i="105"/>
  <c r="AL93" i="105" s="1"/>
  <c r="AL35" i="105"/>
  <c r="AL103" i="105" s="1"/>
  <c r="AL18" i="105"/>
  <c r="AL36" i="105"/>
  <c r="AL104" i="105" s="1"/>
  <c r="L216" i="31"/>
  <c r="AF16" i="105"/>
  <c r="AF34" i="105"/>
  <c r="AF17" i="105"/>
  <c r="AF26" i="105"/>
  <c r="AF93" i="105" s="1"/>
  <c r="AF18" i="105"/>
  <c r="AF27" i="105"/>
  <c r="AF94" i="105" s="1"/>
  <c r="AF36" i="105"/>
  <c r="AF104" i="105" s="1"/>
  <c r="L224" i="31"/>
  <c r="AN25" i="105"/>
  <c r="AN17" i="105"/>
  <c r="AN26" i="105"/>
  <c r="AN93" i="105" s="1"/>
  <c r="AN35" i="105"/>
  <c r="AN103" i="105" s="1"/>
  <c r="AN18" i="105"/>
  <c r="AN27" i="105"/>
  <c r="AN94" i="105" s="1"/>
  <c r="AN36" i="105"/>
  <c r="AN104" i="105" s="1"/>
  <c r="AP84" i="87"/>
  <c r="AP16" i="105"/>
  <c r="AP25" i="105"/>
  <c r="AP17" i="105"/>
  <c r="AP26" i="105"/>
  <c r="AP93" i="105" s="1"/>
  <c r="AP35" i="105"/>
  <c r="AP103" i="105" s="1"/>
  <c r="AP18" i="105"/>
  <c r="AP27" i="105"/>
  <c r="AP94" i="105" s="1"/>
  <c r="AP36" i="105"/>
  <c r="AP104" i="105" s="1"/>
  <c r="AJ16" i="105"/>
  <c r="AJ25" i="105"/>
  <c r="AJ34" i="105"/>
  <c r="AJ17" i="105"/>
  <c r="AJ35" i="105"/>
  <c r="AJ103" i="105" s="1"/>
  <c r="AJ18" i="105"/>
  <c r="AJ27" i="105"/>
  <c r="AJ94" i="105" s="1"/>
  <c r="AH16" i="105"/>
  <c r="AH34" i="105"/>
  <c r="AH26" i="105"/>
  <c r="AH93" i="105" s="1"/>
  <c r="AH35" i="105"/>
  <c r="AH103" i="105" s="1"/>
  <c r="AH18" i="105"/>
  <c r="AH36" i="105"/>
  <c r="AH104" i="105" s="1"/>
  <c r="N16" i="105"/>
  <c r="N25" i="105"/>
  <c r="N17" i="105"/>
  <c r="N26" i="105"/>
  <c r="N35" i="105"/>
  <c r="N18" i="105"/>
  <c r="N27" i="105"/>
  <c r="N99" i="53"/>
  <c r="P25" i="105"/>
  <c r="P34" i="105"/>
  <c r="P17" i="105"/>
  <c r="P18" i="105"/>
  <c r="P36" i="105"/>
  <c r="P99" i="53"/>
  <c r="L99" i="53"/>
  <c r="V85" i="87"/>
  <c r="K99" i="53"/>
  <c r="O16" i="105"/>
  <c r="O34" i="105"/>
  <c r="O17" i="105"/>
  <c r="O26" i="105"/>
  <c r="O35" i="105"/>
  <c r="O18" i="105"/>
  <c r="O27" i="105"/>
  <c r="O36" i="105"/>
  <c r="O99" i="53"/>
  <c r="W85" i="87"/>
  <c r="U85" i="87"/>
  <c r="V86" i="87"/>
  <c r="W86" i="87"/>
  <c r="U86" i="87"/>
  <c r="M16" i="105"/>
  <c r="M25" i="105"/>
  <c r="M34" i="105"/>
  <c r="M17" i="105"/>
  <c r="M26" i="105"/>
  <c r="M35" i="105"/>
  <c r="M18" i="105"/>
  <c r="M27" i="105"/>
  <c r="M99" i="53"/>
  <c r="M54" i="81"/>
  <c r="N54" i="81"/>
  <c r="O54" i="81"/>
  <c r="Q54" i="81"/>
  <c r="Q129" i="81" s="1"/>
  <c r="R54" i="81"/>
  <c r="S54" i="81"/>
  <c r="AL85" i="87"/>
  <c r="AL86" i="87"/>
  <c r="Q16" i="105"/>
  <c r="Q25" i="105"/>
  <c r="Q34" i="105"/>
  <c r="Q17" i="105"/>
  <c r="Q35" i="105"/>
  <c r="Q103" i="105" s="1"/>
  <c r="Q27" i="105"/>
  <c r="Q94" i="105" s="1"/>
  <c r="Q36" i="105"/>
  <c r="Q104" i="105" s="1"/>
  <c r="R16" i="105"/>
  <c r="R34" i="105"/>
  <c r="R17" i="105"/>
  <c r="R26" i="105"/>
  <c r="R93" i="105" s="1"/>
  <c r="R35" i="105"/>
  <c r="R103" i="105" s="1"/>
  <c r="R18" i="105"/>
  <c r="R27" i="105"/>
  <c r="R94" i="105" s="1"/>
  <c r="R36" i="105"/>
  <c r="R104" i="105" s="1"/>
  <c r="R99" i="53"/>
  <c r="AP86" i="87"/>
  <c r="AP85" i="87"/>
  <c r="K61" i="80"/>
  <c r="L98" i="53"/>
  <c r="M98" i="53"/>
  <c r="N98" i="53"/>
  <c r="O98" i="53"/>
  <c r="P98" i="53"/>
  <c r="Q98" i="53"/>
  <c r="R98" i="53"/>
  <c r="S98" i="53"/>
  <c r="T98" i="53"/>
  <c r="AC78" i="83"/>
  <c r="AD78" i="83"/>
  <c r="AE78" i="83"/>
  <c r="AF78" i="83"/>
  <c r="AH78" i="83"/>
  <c r="AI78" i="83"/>
  <c r="AJ78" i="83"/>
  <c r="AL78" i="83"/>
  <c r="AM78" i="83"/>
  <c r="AN78" i="83"/>
  <c r="AP78" i="83"/>
  <c r="M60" i="23"/>
  <c r="M62" i="23"/>
  <c r="M63" i="23"/>
  <c r="N60" i="23"/>
  <c r="N62" i="23"/>
  <c r="N63" i="23"/>
  <c r="O60" i="23"/>
  <c r="O62" i="23"/>
  <c r="O63" i="23"/>
  <c r="P60" i="23"/>
  <c r="P62" i="23"/>
  <c r="P63" i="23"/>
  <c r="Q60" i="23"/>
  <c r="Q62" i="23"/>
  <c r="Q63" i="23"/>
  <c r="R60" i="23"/>
  <c r="R62" i="23"/>
  <c r="R63" i="23"/>
  <c r="S60" i="23"/>
  <c r="S62" i="23"/>
  <c r="S63" i="23"/>
  <c r="H143" i="53"/>
  <c r="H151" i="53"/>
  <c r="H159" i="53"/>
  <c r="H167" i="53"/>
  <c r="H175" i="53"/>
  <c r="H183" i="53"/>
  <c r="H191" i="53"/>
  <c r="H199" i="53"/>
  <c r="Y246" i="53" s="1"/>
  <c r="K22" i="105"/>
  <c r="K31" i="105"/>
  <c r="K40" i="105"/>
  <c r="L22" i="105"/>
  <c r="L31" i="105"/>
  <c r="M22" i="105"/>
  <c r="M40" i="105"/>
  <c r="N22" i="105"/>
  <c r="N31" i="105"/>
  <c r="N40" i="105"/>
  <c r="O22" i="105"/>
  <c r="O31" i="105"/>
  <c r="O40" i="105"/>
  <c r="P31" i="105"/>
  <c r="P40" i="105"/>
  <c r="Q22" i="105"/>
  <c r="Q31" i="105"/>
  <c r="Q98" i="105" s="1"/>
  <c r="Q40" i="105"/>
  <c r="Q108" i="105" s="1"/>
  <c r="R22" i="105"/>
  <c r="R31" i="105"/>
  <c r="R98" i="105" s="1"/>
  <c r="S22" i="105"/>
  <c r="S40" i="105"/>
  <c r="T22" i="105"/>
  <c r="T31" i="105"/>
  <c r="T40" i="105"/>
  <c r="U31" i="105"/>
  <c r="V22" i="105"/>
  <c r="V40" i="105"/>
  <c r="W22" i="105"/>
  <c r="W31" i="105"/>
  <c r="W98" i="105" s="1"/>
  <c r="W40" i="105"/>
  <c r="X22" i="105"/>
  <c r="X31" i="105"/>
  <c r="Y22" i="105"/>
  <c r="Y40" i="105"/>
  <c r="Z22" i="105"/>
  <c r="Z31" i="105"/>
  <c r="Z40" i="105"/>
  <c r="AA22" i="105"/>
  <c r="AA31" i="105"/>
  <c r="AA40" i="105"/>
  <c r="AB22" i="105"/>
  <c r="AB31" i="105"/>
  <c r="AC22" i="105"/>
  <c r="AC40" i="105"/>
  <c r="AD22" i="105"/>
  <c r="AD31" i="105"/>
  <c r="AD98" i="105" s="1"/>
  <c r="AD40" i="105"/>
  <c r="AE22" i="105"/>
  <c r="AE31" i="105"/>
  <c r="AE40" i="105"/>
  <c r="AF22" i="105"/>
  <c r="AF31" i="105"/>
  <c r="AF98" i="105" s="1"/>
  <c r="AF40" i="105"/>
  <c r="AF108" i="105" s="1"/>
  <c r="AG31" i="105"/>
  <c r="AH22" i="105"/>
  <c r="AH31" i="105"/>
  <c r="AH98" i="105" s="1"/>
  <c r="AH40" i="105"/>
  <c r="AH108" i="105" s="1"/>
  <c r="AI22" i="105"/>
  <c r="AI31" i="105"/>
  <c r="AI98" i="105" s="1"/>
  <c r="AI40" i="105"/>
  <c r="AJ22" i="105"/>
  <c r="AJ31" i="105"/>
  <c r="AJ98" i="105" s="1"/>
  <c r="AJ40" i="105"/>
  <c r="AJ108" i="105" s="1"/>
  <c r="AK31" i="105"/>
  <c r="AK98" i="105" s="1"/>
  <c r="AL22" i="105"/>
  <c r="AL40" i="105"/>
  <c r="AL108" i="105" s="1"/>
  <c r="AM22" i="105"/>
  <c r="AM31" i="105"/>
  <c r="AM98" i="105" s="1"/>
  <c r="AM40" i="105"/>
  <c r="AN22" i="105"/>
  <c r="AN31" i="105"/>
  <c r="AN98" i="105" s="1"/>
  <c r="AO22" i="105"/>
  <c r="AO40" i="105"/>
  <c r="AP22" i="105"/>
  <c r="AP31" i="105"/>
  <c r="AP98" i="105" s="1"/>
  <c r="AP40" i="105"/>
  <c r="AP108" i="105" s="1"/>
  <c r="K21" i="105"/>
  <c r="K30" i="105"/>
  <c r="L21" i="105"/>
  <c r="L39" i="105"/>
  <c r="M30" i="105"/>
  <c r="M39" i="105"/>
  <c r="N21" i="105"/>
  <c r="N30" i="105"/>
  <c r="N39" i="105"/>
  <c r="O21" i="105"/>
  <c r="O30" i="105"/>
  <c r="P21" i="105"/>
  <c r="P39" i="105"/>
  <c r="Q30" i="105"/>
  <c r="Q97" i="105" s="1"/>
  <c r="Q39" i="105"/>
  <c r="Q107" i="105" s="1"/>
  <c r="R21" i="105"/>
  <c r="R30" i="105"/>
  <c r="R97" i="105" s="1"/>
  <c r="R39" i="105"/>
  <c r="R107" i="105" s="1"/>
  <c r="S21" i="105"/>
  <c r="S39" i="105"/>
  <c r="T21" i="105"/>
  <c r="T39" i="105"/>
  <c r="U30" i="105"/>
  <c r="U39" i="105"/>
  <c r="V21" i="105"/>
  <c r="V30" i="105"/>
  <c r="V97" i="105" s="1"/>
  <c r="V39" i="105"/>
  <c r="W21" i="105"/>
  <c r="W39" i="105"/>
  <c r="X21" i="105"/>
  <c r="X30" i="105"/>
  <c r="X39" i="105"/>
  <c r="Y21" i="105"/>
  <c r="Y30" i="105"/>
  <c r="Y39" i="105"/>
  <c r="Z21" i="105"/>
  <c r="Z30" i="105"/>
  <c r="Z39" i="105"/>
  <c r="AA21" i="105"/>
  <c r="AA39" i="105"/>
  <c r="AB21" i="105"/>
  <c r="AB30" i="105"/>
  <c r="AB39" i="105"/>
  <c r="AC21" i="105"/>
  <c r="AC30" i="105"/>
  <c r="AC39" i="105"/>
  <c r="AD21" i="105"/>
  <c r="AD30" i="105"/>
  <c r="AD97" i="105" s="1"/>
  <c r="AD39" i="105"/>
  <c r="AE21" i="105"/>
  <c r="AE39" i="105"/>
  <c r="AF21" i="105"/>
  <c r="AF30" i="105"/>
  <c r="AF97" i="105" s="1"/>
  <c r="AF39" i="105"/>
  <c r="AF107" i="105" s="1"/>
  <c r="AG21" i="105"/>
  <c r="AG30" i="105"/>
  <c r="AG39" i="105"/>
  <c r="AH21" i="105"/>
  <c r="AH30" i="105"/>
  <c r="AH97" i="105" s="1"/>
  <c r="AH39" i="105"/>
  <c r="AH107" i="105" s="1"/>
  <c r="AI21" i="105"/>
  <c r="AI39" i="105"/>
  <c r="AJ21" i="105"/>
  <c r="AJ30" i="105"/>
  <c r="AJ97" i="105" s="1"/>
  <c r="AJ39" i="105"/>
  <c r="AJ107" i="105" s="1"/>
  <c r="AK21" i="105"/>
  <c r="AK30" i="105"/>
  <c r="AK97" i="105" s="1"/>
  <c r="AK39" i="105"/>
  <c r="AL21" i="105"/>
  <c r="AL30" i="105"/>
  <c r="AL97" i="105" s="1"/>
  <c r="AL39" i="105"/>
  <c r="AL107" i="105" s="1"/>
  <c r="AM21" i="105"/>
  <c r="AM39" i="105"/>
  <c r="AN21" i="105"/>
  <c r="AN30" i="105"/>
  <c r="AN97" i="105" s="1"/>
  <c r="AN39" i="105"/>
  <c r="AN107" i="105" s="1"/>
  <c r="AO21" i="105"/>
  <c r="AO30" i="105"/>
  <c r="AO97" i="105" s="1"/>
  <c r="AO39" i="105"/>
  <c r="AP21" i="105"/>
  <c r="AP30" i="105"/>
  <c r="AP97" i="105" s="1"/>
  <c r="AP39" i="105"/>
  <c r="AP107" i="105" s="1"/>
  <c r="U20" i="105"/>
  <c r="U29" i="105"/>
  <c r="K20" i="105"/>
  <c r="K29" i="105"/>
  <c r="K38" i="105"/>
  <c r="L20" i="105"/>
  <c r="L29" i="105"/>
  <c r="M20" i="105"/>
  <c r="M38" i="105"/>
  <c r="N20" i="105"/>
  <c r="N29" i="105"/>
  <c r="N38" i="105"/>
  <c r="O20" i="105"/>
  <c r="O29" i="105"/>
  <c r="O38" i="105"/>
  <c r="P20" i="105"/>
  <c r="P29" i="105"/>
  <c r="P38" i="105"/>
  <c r="Q29" i="105"/>
  <c r="Q96" i="105" s="1"/>
  <c r="Q38" i="105"/>
  <c r="Q106" i="105" s="1"/>
  <c r="R20" i="105"/>
  <c r="R29" i="105"/>
  <c r="R96" i="105" s="1"/>
  <c r="R38" i="105"/>
  <c r="R106" i="105" s="1"/>
  <c r="S29" i="105"/>
  <c r="S38" i="105"/>
  <c r="T20" i="105"/>
  <c r="T29" i="105"/>
  <c r="T38" i="105"/>
  <c r="V20" i="105"/>
  <c r="V29" i="105"/>
  <c r="V96" i="105" s="1"/>
  <c r="V38" i="105"/>
  <c r="W20" i="105"/>
  <c r="W29" i="105"/>
  <c r="W96" i="105" s="1"/>
  <c r="X20" i="105"/>
  <c r="X29" i="105"/>
  <c r="X38" i="105"/>
  <c r="Y20" i="105"/>
  <c r="Y29" i="105"/>
  <c r="Z20" i="105"/>
  <c r="Z38" i="105"/>
  <c r="AA20" i="105"/>
  <c r="AA29" i="105"/>
  <c r="AA38" i="105"/>
  <c r="AB20" i="105"/>
  <c r="AB29" i="105"/>
  <c r="AB38" i="105"/>
  <c r="AC20" i="105"/>
  <c r="AC29" i="105"/>
  <c r="AC38" i="105"/>
  <c r="AD29" i="105"/>
  <c r="AD96" i="105" s="1"/>
  <c r="AD38" i="105"/>
  <c r="AE20" i="105"/>
  <c r="AE29" i="105"/>
  <c r="AE38" i="105"/>
  <c r="AF20" i="105"/>
  <c r="AF29" i="105"/>
  <c r="AF96" i="105" s="1"/>
  <c r="AF38" i="105"/>
  <c r="AF106" i="105" s="1"/>
  <c r="AG20" i="105"/>
  <c r="AG29" i="105"/>
  <c r="AG38" i="105"/>
  <c r="AH20" i="105"/>
  <c r="AH29" i="105"/>
  <c r="AH96" i="105" s="1"/>
  <c r="AH38" i="105"/>
  <c r="AH106" i="105" s="1"/>
  <c r="AI20" i="105"/>
  <c r="AI29" i="105"/>
  <c r="AI96" i="105" s="1"/>
  <c r="AJ20" i="105"/>
  <c r="AJ38" i="105"/>
  <c r="AJ106" i="105" s="1"/>
  <c r="AK20" i="105"/>
  <c r="AK29" i="105"/>
  <c r="AK96" i="105" s="1"/>
  <c r="AK38" i="105"/>
  <c r="AL20" i="105"/>
  <c r="AL29" i="105"/>
  <c r="AL96" i="105" s="1"/>
  <c r="AL38" i="105"/>
  <c r="AL106" i="105" s="1"/>
  <c r="AM20" i="105"/>
  <c r="AM29" i="105"/>
  <c r="AM96" i="105" s="1"/>
  <c r="AM38" i="105"/>
  <c r="AN29" i="105"/>
  <c r="AN96" i="105" s="1"/>
  <c r="AN38" i="105"/>
  <c r="AN106" i="105" s="1"/>
  <c r="AO20" i="105"/>
  <c r="AO29" i="105"/>
  <c r="AO96" i="105" s="1"/>
  <c r="AO38" i="105"/>
  <c r="AP20" i="105"/>
  <c r="AP29" i="105"/>
  <c r="AP96" i="105" s="1"/>
  <c r="AP38" i="105"/>
  <c r="AP106" i="105" s="1"/>
  <c r="M45" i="53"/>
  <c r="N45" i="53"/>
  <c r="O45" i="53"/>
  <c r="M44" i="53"/>
  <c r="O44" i="53"/>
  <c r="R54" i="53"/>
  <c r="R45" i="53"/>
  <c r="Q54" i="53"/>
  <c r="Q45" i="53"/>
  <c r="K45" i="53"/>
  <c r="L45" i="53"/>
  <c r="L44" i="53"/>
  <c r="P45" i="53"/>
  <c r="P54" i="81"/>
  <c r="L218" i="31" l="1"/>
  <c r="L210" i="31"/>
  <c r="R226" i="31"/>
  <c r="R224" i="31"/>
  <c r="R220" i="31"/>
  <c r="R31" i="81"/>
  <c r="R40" i="81" s="1"/>
  <c r="R48" i="81" s="1"/>
  <c r="R129" i="81" s="1"/>
  <c r="R222" i="31"/>
  <c r="R197" i="31"/>
  <c r="R218" i="31"/>
  <c r="S226" i="31"/>
  <c r="R216" i="31"/>
  <c r="R208" i="31"/>
  <c r="S197" i="31"/>
  <c r="S225" i="31"/>
  <c r="S224" i="31"/>
  <c r="S213" i="31"/>
  <c r="S216" i="31"/>
  <c r="R202" i="31"/>
  <c r="R201" i="31"/>
  <c r="L197" i="31"/>
  <c r="R214" i="31"/>
  <c r="L196" i="31"/>
  <c r="L220" i="31"/>
  <c r="L226" i="31"/>
  <c r="L202" i="31"/>
  <c r="L201" i="31"/>
  <c r="R210" i="31"/>
  <c r="L214" i="31"/>
  <c r="R223" i="31"/>
  <c r="S212" i="31"/>
  <c r="S208" i="31"/>
  <c r="R225" i="31"/>
  <c r="R213" i="31"/>
  <c r="R221" i="31"/>
  <c r="R198" i="31"/>
  <c r="R196" i="31"/>
  <c r="R219" i="31"/>
  <c r="R212" i="31"/>
  <c r="Q102" i="105"/>
  <c r="Q109" i="105" s="1"/>
  <c r="Q126" i="105" s="1"/>
  <c r="AP92" i="105"/>
  <c r="AN92" i="105"/>
  <c r="AI92" i="105"/>
  <c r="V92" i="105"/>
  <c r="Q92" i="105"/>
  <c r="AH102" i="105"/>
  <c r="AJ102" i="105"/>
  <c r="AK92" i="105"/>
  <c r="AF102" i="105"/>
  <c r="AL92" i="105"/>
  <c r="R102" i="105"/>
  <c r="AJ92" i="105"/>
  <c r="Q85" i="87"/>
  <c r="R85" i="87"/>
  <c r="S211" i="31"/>
  <c r="S31" i="81"/>
  <c r="S40" i="81" s="1"/>
  <c r="S48" i="81" s="1"/>
  <c r="S55" i="81" s="1"/>
  <c r="S56" i="81" s="1"/>
  <c r="S114" i="81" s="1"/>
  <c r="S220" i="31"/>
  <c r="S202" i="31"/>
  <c r="S210" i="31"/>
  <c r="S219" i="31"/>
  <c r="S218" i="31"/>
  <c r="S201" i="31"/>
  <c r="S222" i="31"/>
  <c r="S214" i="31"/>
  <c r="S223" i="31"/>
  <c r="S206" i="31"/>
  <c r="Z84" i="87"/>
  <c r="Y84" i="87"/>
  <c r="Q84" i="87"/>
  <c r="R84" i="87"/>
  <c r="AA84" i="87"/>
  <c r="X61" i="80"/>
  <c r="W61" i="80"/>
  <c r="L61" i="80"/>
  <c r="T116" i="53"/>
  <c r="T504" i="53" s="1"/>
  <c r="T78" i="83" s="1"/>
  <c r="Q52" i="53"/>
  <c r="R52" i="53"/>
  <c r="AB61" i="80"/>
  <c r="Q53" i="53"/>
  <c r="R53" i="53"/>
  <c r="Z61" i="80"/>
  <c r="N116" i="53"/>
  <c r="N504" i="53" s="1"/>
  <c r="N78" i="83" s="1"/>
  <c r="Z116" i="53"/>
  <c r="Z504" i="53" s="1"/>
  <c r="Z78" i="83" s="1"/>
  <c r="X116" i="53"/>
  <c r="X504" i="53" s="1"/>
  <c r="X78" i="83" s="1"/>
  <c r="S43" i="53"/>
  <c r="S264" i="53" s="1"/>
  <c r="P61" i="80"/>
  <c r="T43" i="53"/>
  <c r="T262" i="53" s="1"/>
  <c r="Q55" i="81"/>
  <c r="Q56" i="81" s="1"/>
  <c r="Q114" i="81" s="1"/>
  <c r="L116" i="53"/>
  <c r="H48" i="80"/>
  <c r="L194" i="31"/>
  <c r="H46" i="80"/>
  <c r="L20" i="31"/>
  <c r="O61" i="80"/>
  <c r="S61" i="80"/>
  <c r="AA116" i="53"/>
  <c r="AA504" i="53" s="1"/>
  <c r="AA78" i="83" s="1"/>
  <c r="M116" i="53"/>
  <c r="M504" i="53" s="1"/>
  <c r="M78" i="83" s="1"/>
  <c r="Y61" i="80"/>
  <c r="Y116" i="53"/>
  <c r="Y504" i="53" s="1"/>
  <c r="Y78" i="83" s="1"/>
  <c r="K130" i="22"/>
  <c r="K134" i="22" s="1"/>
  <c r="R61" i="80"/>
  <c r="AA61" i="80"/>
  <c r="P116" i="53"/>
  <c r="U61" i="80"/>
  <c r="N61" i="80"/>
  <c r="AM120" i="22"/>
  <c r="AM124" i="22" s="1"/>
  <c r="AL120" i="22"/>
  <c r="AL124" i="22" s="1"/>
  <c r="AO131" i="22"/>
  <c r="AO135" i="22" s="1"/>
  <c r="T131" i="22"/>
  <c r="T135" i="22" s="1"/>
  <c r="S116" i="53"/>
  <c r="Z107" i="22"/>
  <c r="T107" i="22"/>
  <c r="K98" i="53"/>
  <c r="K108" i="22"/>
  <c r="K112" i="22" s="1"/>
  <c r="L118" i="22"/>
  <c r="Q59" i="22"/>
  <c r="AD108" i="22"/>
  <c r="AD112" i="22" s="1"/>
  <c r="AB107" i="22"/>
  <c r="AP130" i="22"/>
  <c r="AP134" i="22" s="1"/>
  <c r="AN71" i="22"/>
  <c r="AN75" i="22" s="1"/>
  <c r="V116" i="53"/>
  <c r="V504" i="53" s="1"/>
  <c r="V78" i="83" s="1"/>
  <c r="P44" i="53"/>
  <c r="M43" i="53"/>
  <c r="P118" i="22"/>
  <c r="N118" i="22"/>
  <c r="Y129" i="22"/>
  <c r="V131" i="22"/>
  <c r="V135" i="22" s="1"/>
  <c r="W63" i="53"/>
  <c r="V53" i="53"/>
  <c r="U43" i="53"/>
  <c r="U259" i="53" s="1"/>
  <c r="Y43" i="53"/>
  <c r="Y258" i="53" s="1"/>
  <c r="V43" i="53"/>
  <c r="S53" i="53"/>
  <c r="K44" i="53"/>
  <c r="R43" i="53"/>
  <c r="N43" i="53"/>
  <c r="AN119" i="22"/>
  <c r="AN123" i="22" s="1"/>
  <c r="R118" i="22"/>
  <c r="N120" i="22"/>
  <c r="N124" i="22" s="1"/>
  <c r="R59" i="22"/>
  <c r="V63" i="53"/>
  <c r="U53" i="53"/>
  <c r="W43" i="53"/>
  <c r="M96" i="22"/>
  <c r="AB43" i="53"/>
  <c r="AB258" i="53" s="1"/>
  <c r="X43" i="53"/>
  <c r="X258" i="53" s="1"/>
  <c r="P43" i="53"/>
  <c r="L43" i="53"/>
  <c r="R44" i="53"/>
  <c r="N44" i="53"/>
  <c r="O108" i="22"/>
  <c r="O112" i="22" s="1"/>
  <c r="N108" i="22"/>
  <c r="N112" i="22" s="1"/>
  <c r="AE120" i="22"/>
  <c r="AE124" i="22" s="1"/>
  <c r="AD120" i="22"/>
  <c r="AD124" i="22" s="1"/>
  <c r="K119" i="22"/>
  <c r="K123" i="22" s="1"/>
  <c r="AO129" i="22"/>
  <c r="AK130" i="22"/>
  <c r="AK134" i="22" s="1"/>
  <c r="AP53" i="53"/>
  <c r="AP275" i="53" s="1"/>
  <c r="AL63" i="53"/>
  <c r="AL283" i="53" s="1"/>
  <c r="U63" i="53"/>
  <c r="W53" i="53"/>
  <c r="AP43" i="53"/>
  <c r="AP258" i="53" s="1"/>
  <c r="AL43" i="53"/>
  <c r="AL264" i="53" s="1"/>
  <c r="AA43" i="53"/>
  <c r="AA258" i="53" s="1"/>
  <c r="T63" i="53"/>
  <c r="L71" i="22"/>
  <c r="L75" i="22" s="1"/>
  <c r="Q44" i="53"/>
  <c r="Q43" i="53"/>
  <c r="K43" i="53"/>
  <c r="O43" i="53"/>
  <c r="AP63" i="53"/>
  <c r="AL53" i="53"/>
  <c r="AL269" i="53" s="1"/>
  <c r="N71" i="22"/>
  <c r="N75" i="22" s="1"/>
  <c r="W83" i="22"/>
  <c r="W87" i="22" s="1"/>
  <c r="Z43" i="53"/>
  <c r="Z258" i="53" s="1"/>
  <c r="S82" i="22"/>
  <c r="S86" i="22" s="1"/>
  <c r="T53" i="53"/>
  <c r="T276" i="53" s="1"/>
  <c r="V61" i="80"/>
  <c r="Q61" i="80"/>
  <c r="T61" i="80"/>
  <c r="AJ107" i="22"/>
  <c r="AF108" i="22"/>
  <c r="AF112" i="22" s="1"/>
  <c r="AF119" i="22"/>
  <c r="AF123" i="22" s="1"/>
  <c r="T118" i="22"/>
  <c r="AH131" i="22"/>
  <c r="AH135" i="22" s="1"/>
  <c r="AF131" i="22"/>
  <c r="AF135" i="22" s="1"/>
  <c r="AD131" i="22"/>
  <c r="AD135" i="22" s="1"/>
  <c r="AC131" i="22"/>
  <c r="AC135" i="22" s="1"/>
  <c r="N131" i="22"/>
  <c r="N135" i="22" s="1"/>
  <c r="AB116" i="53"/>
  <c r="AB504" i="53" s="1"/>
  <c r="AB78" i="83" s="1"/>
  <c r="R72" i="22"/>
  <c r="R76" i="22" s="1"/>
  <c r="Q72" i="22"/>
  <c r="Q76" i="22" s="1"/>
  <c r="O81" i="22"/>
  <c r="O70" i="22"/>
  <c r="Q98" i="22"/>
  <c r="Q102" i="22" s="1"/>
  <c r="P98" i="22"/>
  <c r="P102" i="22" s="1"/>
  <c r="L70" i="22"/>
  <c r="M61" i="80"/>
  <c r="AL107" i="22"/>
  <c r="S108" i="22"/>
  <c r="S112" i="22" s="1"/>
  <c r="M109" i="22"/>
  <c r="M113" i="22" s="1"/>
  <c r="AH118" i="22"/>
  <c r="AG118" i="22"/>
  <c r="N119" i="22"/>
  <c r="N123" i="22" s="1"/>
  <c r="M120" i="22"/>
  <c r="M124" i="22" s="1"/>
  <c r="AI130" i="22"/>
  <c r="AI134" i="22" s="1"/>
  <c r="AG130" i="22"/>
  <c r="AG134" i="22" s="1"/>
  <c r="AE130" i="22"/>
  <c r="AE134" i="22" s="1"/>
  <c r="T129" i="22"/>
  <c r="S129" i="22"/>
  <c r="O130" i="22"/>
  <c r="O134" i="22" s="1"/>
  <c r="K129" i="22"/>
  <c r="U83" i="22"/>
  <c r="U87" i="22" s="1"/>
  <c r="T83" i="22"/>
  <c r="T87" i="22" s="1"/>
  <c r="K71" i="22"/>
  <c r="K75" i="22" s="1"/>
  <c r="P207" i="31"/>
  <c r="P221" i="31"/>
  <c r="P208" i="31"/>
  <c r="P212" i="31"/>
  <c r="P213" i="31"/>
  <c r="P222" i="31"/>
  <c r="P218" i="31"/>
  <c r="P31" i="81"/>
  <c r="P40" i="81" s="1"/>
  <c r="P48" i="81" s="1"/>
  <c r="P55" i="81" s="1"/>
  <c r="P56" i="81" s="1"/>
  <c r="P114" i="81" s="1"/>
  <c r="P225" i="31"/>
  <c r="P214" i="31"/>
  <c r="P226" i="31"/>
  <c r="P223" i="31"/>
  <c r="P201" i="31"/>
  <c r="P216" i="31"/>
  <c r="P195" i="31"/>
  <c r="P219" i="31"/>
  <c r="P210" i="31"/>
  <c r="P197" i="31"/>
  <c r="P202" i="31"/>
  <c r="P224" i="31"/>
  <c r="P220" i="31"/>
  <c r="AM109" i="22"/>
  <c r="AM113" i="22" s="1"/>
  <c r="AH107" i="22"/>
  <c r="AB108" i="22"/>
  <c r="AB112" i="22" s="1"/>
  <c r="AA109" i="22"/>
  <c r="AA113" i="22" s="1"/>
  <c r="X108" i="22"/>
  <c r="X112" i="22" s="1"/>
  <c r="W108" i="22"/>
  <c r="W112" i="22" s="1"/>
  <c r="V108" i="22"/>
  <c r="V112" i="22" s="1"/>
  <c r="R109" i="22"/>
  <c r="R113" i="22" s="1"/>
  <c r="Q109" i="22"/>
  <c r="Q113" i="22" s="1"/>
  <c r="P109" i="22"/>
  <c r="P113" i="22" s="1"/>
  <c r="K107" i="22"/>
  <c r="AP118" i="22"/>
  <c r="AO118" i="22"/>
  <c r="AM129" i="22"/>
  <c r="M60" i="22"/>
  <c r="M64" i="22" s="1"/>
  <c r="AO83" i="22"/>
  <c r="AO87" i="22" s="1"/>
  <c r="AO72" i="22"/>
  <c r="AO76" i="22" s="1"/>
  <c r="AO61" i="22"/>
  <c r="S70" i="22"/>
  <c r="AG70" i="22"/>
  <c r="AP108" i="22"/>
  <c r="AP112" i="22" s="1"/>
  <c r="AO109" i="22"/>
  <c r="AO113" i="22" s="1"/>
  <c r="V119" i="22"/>
  <c r="V123" i="22" s="1"/>
  <c r="R116" i="53"/>
  <c r="R118" i="53" s="1"/>
  <c r="M70" i="22"/>
  <c r="O83" i="22"/>
  <c r="O87" i="22" s="1"/>
  <c r="AH83" i="22"/>
  <c r="AH87" i="22" s="1"/>
  <c r="AH72" i="22"/>
  <c r="AH76" i="22" s="1"/>
  <c r="AH61" i="22"/>
  <c r="R68" i="23"/>
  <c r="AE71" i="22"/>
  <c r="AE75" i="22" s="1"/>
  <c r="K81" i="22"/>
  <c r="K59" i="22"/>
  <c r="AP107" i="22"/>
  <c r="T109" i="22"/>
  <c r="T113" i="22" s="1"/>
  <c r="P107" i="22"/>
  <c r="U108" i="22"/>
  <c r="U112" i="22" s="1"/>
  <c r="AL118" i="22"/>
  <c r="AK118" i="22"/>
  <c r="AJ119" i="22"/>
  <c r="AJ123" i="22" s="1"/>
  <c r="AI120" i="22"/>
  <c r="AI124" i="22" s="1"/>
  <c r="AH120" i="22"/>
  <c r="AH124" i="22" s="1"/>
  <c r="Z118" i="22"/>
  <c r="Y118" i="22"/>
  <c r="X119" i="22"/>
  <c r="X123" i="22" s="1"/>
  <c r="W120" i="22"/>
  <c r="W124" i="22" s="1"/>
  <c r="V120" i="22"/>
  <c r="V124" i="22" s="1"/>
  <c r="R119" i="22"/>
  <c r="R123" i="22" s="1"/>
  <c r="Q120" i="22"/>
  <c r="Q124" i="22" s="1"/>
  <c r="AI129" i="22"/>
  <c r="AD130" i="22"/>
  <c r="AD134" i="22" s="1"/>
  <c r="AA129" i="22"/>
  <c r="Z130" i="22"/>
  <c r="Z134" i="22" s="1"/>
  <c r="Y131" i="22"/>
  <c r="Y135" i="22" s="1"/>
  <c r="Q129" i="22"/>
  <c r="O129" i="22"/>
  <c r="M129" i="22"/>
  <c r="S68" i="23"/>
  <c r="R82" i="22"/>
  <c r="R86" i="22" s="1"/>
  <c r="AD82" i="22"/>
  <c r="AD86" i="22" s="1"/>
  <c r="K98" i="22"/>
  <c r="K102" i="22" s="1"/>
  <c r="S87" i="23"/>
  <c r="S71" i="23"/>
  <c r="S95" i="23"/>
  <c r="AN108" i="22"/>
  <c r="AN112" i="22" s="1"/>
  <c r="AL108" i="22"/>
  <c r="AL112" i="22" s="1"/>
  <c r="AK109" i="22"/>
  <c r="AK113" i="22" s="1"/>
  <c r="AH108" i="22"/>
  <c r="AH112" i="22" s="1"/>
  <c r="AG109" i="22"/>
  <c r="AG113" i="22" s="1"/>
  <c r="AE109" i="22"/>
  <c r="AE113" i="22" s="1"/>
  <c r="AC109" i="22"/>
  <c r="AC113" i="22" s="1"/>
  <c r="V109" i="22"/>
  <c r="V113" i="22" s="1"/>
  <c r="V107" i="22"/>
  <c r="R108" i="22"/>
  <c r="R112" i="22" s="1"/>
  <c r="N109" i="22"/>
  <c r="N113" i="22" s="1"/>
  <c r="M107" i="22"/>
  <c r="AP120" i="22"/>
  <c r="AP124" i="22" s="1"/>
  <c r="AD118" i="22"/>
  <c r="AC118" i="22"/>
  <c r="AB119" i="22"/>
  <c r="AB123" i="22" s="1"/>
  <c r="AA120" i="22"/>
  <c r="AA124" i="22" s="1"/>
  <c r="Z120" i="22"/>
  <c r="Z124" i="22" s="1"/>
  <c r="U120" i="22"/>
  <c r="U124" i="22" s="1"/>
  <c r="S120" i="22"/>
  <c r="S124" i="22" s="1"/>
  <c r="AP131" i="22"/>
  <c r="AP135" i="22" s="1"/>
  <c r="AM130" i="22"/>
  <c r="AM134" i="22" s="1"/>
  <c r="AL131" i="22"/>
  <c r="AL135" i="22" s="1"/>
  <c r="AJ131" i="22"/>
  <c r="AJ135" i="22" s="1"/>
  <c r="AE129" i="22"/>
  <c r="AC129" i="22"/>
  <c r="AB129" i="22"/>
  <c r="AA130" i="22"/>
  <c r="AA134" i="22" s="1"/>
  <c r="Z131" i="22"/>
  <c r="Z135" i="22" s="1"/>
  <c r="W130" i="22"/>
  <c r="W134" i="22" s="1"/>
  <c r="U130" i="22"/>
  <c r="U134" i="22" s="1"/>
  <c r="Q130" i="22"/>
  <c r="Q134" i="22" s="1"/>
  <c r="P131" i="22"/>
  <c r="P135" i="22" s="1"/>
  <c r="N130" i="22"/>
  <c r="N134" i="22" s="1"/>
  <c r="M131" i="22"/>
  <c r="M135" i="22" s="1"/>
  <c r="R25" i="105"/>
  <c r="R60" i="22"/>
  <c r="R64" i="22" s="1"/>
  <c r="Q83" i="22"/>
  <c r="Q87" i="22" s="1"/>
  <c r="N223" i="31"/>
  <c r="N216" i="31"/>
  <c r="N202" i="31"/>
  <c r="N220" i="31"/>
  <c r="N218" i="31"/>
  <c r="N207" i="31"/>
  <c r="N224" i="31"/>
  <c r="N194" i="31"/>
  <c r="N221" i="31"/>
  <c r="N213" i="31"/>
  <c r="N214" i="31"/>
  <c r="N210" i="31"/>
  <c r="N226" i="31"/>
  <c r="N31" i="81"/>
  <c r="N40" i="81" s="1"/>
  <c r="N48" i="81" s="1"/>
  <c r="N55" i="81" s="1"/>
  <c r="N56" i="81" s="1"/>
  <c r="N114" i="81" s="1"/>
  <c r="N199" i="31"/>
  <c r="N197" i="31"/>
  <c r="N222" i="31"/>
  <c r="N201" i="31"/>
  <c r="S81" i="23"/>
  <c r="R70" i="22"/>
  <c r="Q26" i="105"/>
  <c r="Q93" i="105" s="1"/>
  <c r="Q71" i="22"/>
  <c r="Q75" i="22" s="1"/>
  <c r="S93" i="23"/>
  <c r="Q18" i="105"/>
  <c r="Q81" i="22"/>
  <c r="AE72" i="22"/>
  <c r="AE76" i="22" s="1"/>
  <c r="AE70" i="22"/>
  <c r="AE59" i="22"/>
  <c r="S71" i="22"/>
  <c r="S75" i="22" s="1"/>
  <c r="T71" i="22"/>
  <c r="T75" i="22" s="1"/>
  <c r="P81" i="22"/>
  <c r="N81" i="22"/>
  <c r="N59" i="22"/>
  <c r="AP83" i="22"/>
  <c r="AP87" i="22" s="1"/>
  <c r="AI83" i="22"/>
  <c r="AI87" i="22" s="1"/>
  <c r="AI72" i="22"/>
  <c r="AI76" i="22" s="1"/>
  <c r="AI61" i="22"/>
  <c r="AC81" i="22"/>
  <c r="N97" i="22"/>
  <c r="N101" i="22" s="1"/>
  <c r="S83" i="22"/>
  <c r="S87" i="22" s="1"/>
  <c r="S81" i="22"/>
  <c r="T81" i="22"/>
  <c r="M71" i="22"/>
  <c r="M75" i="22" s="1"/>
  <c r="M61" i="22"/>
  <c r="M65" i="22" s="1"/>
  <c r="M59" i="22"/>
  <c r="O82" i="22"/>
  <c r="P61" i="22"/>
  <c r="P65" i="22" s="1"/>
  <c r="AJ59" i="22"/>
  <c r="AP71" i="22"/>
  <c r="AP75" i="22" s="1"/>
  <c r="AN70" i="22"/>
  <c r="AF82" i="22"/>
  <c r="AF86" i="22" s="1"/>
  <c r="W82" i="22"/>
  <c r="W86" i="22" s="1"/>
  <c r="AD61" i="22"/>
  <c r="AD65" i="22" s="1"/>
  <c r="AC61" i="22"/>
  <c r="AC65" i="22" s="1"/>
  <c r="AP98" i="22"/>
  <c r="AP102" i="22" s="1"/>
  <c r="AO98" i="22"/>
  <c r="AO102" i="22" s="1"/>
  <c r="AN98" i="22"/>
  <c r="AN102" i="22" s="1"/>
  <c r="AM98" i="22"/>
  <c r="AM102" i="22" s="1"/>
  <c r="AL98" i="22"/>
  <c r="AL102" i="22" s="1"/>
  <c r="AK98" i="22"/>
  <c r="AK102" i="22" s="1"/>
  <c r="AJ98" i="22"/>
  <c r="AJ102" i="22" s="1"/>
  <c r="AI98" i="22"/>
  <c r="AI102" i="22" s="1"/>
  <c r="AH98" i="22"/>
  <c r="AH102" i="22" s="1"/>
  <c r="AG98" i="22"/>
  <c r="AG102" i="22" s="1"/>
  <c r="AF98" i="22"/>
  <c r="AF102" i="22" s="1"/>
  <c r="AE98" i="22"/>
  <c r="AE102" i="22" s="1"/>
  <c r="AD98" i="22"/>
  <c r="AD102" i="22" s="1"/>
  <c r="AC98" i="22"/>
  <c r="AC102" i="22" s="1"/>
  <c r="AB98" i="22"/>
  <c r="AB102" i="22" s="1"/>
  <c r="AA98" i="22"/>
  <c r="AA102" i="22" s="1"/>
  <c r="Z98" i="22"/>
  <c r="Z102" i="22" s="1"/>
  <c r="Y98" i="22"/>
  <c r="Y102" i="22" s="1"/>
  <c r="X98" i="22"/>
  <c r="X102" i="22" s="1"/>
  <c r="W98" i="22"/>
  <c r="W102" i="22" s="1"/>
  <c r="V98" i="22"/>
  <c r="V102" i="22" s="1"/>
  <c r="U98" i="22"/>
  <c r="U102" i="22" s="1"/>
  <c r="T98" i="22"/>
  <c r="T102" i="22" s="1"/>
  <c r="S98" i="22"/>
  <c r="S102" i="22" s="1"/>
  <c r="R98" i="22"/>
  <c r="R102" i="22" s="1"/>
  <c r="U116" i="53"/>
  <c r="U82" i="22"/>
  <c r="U86" i="22" s="1"/>
  <c r="M81" i="22"/>
  <c r="O116" i="53"/>
  <c r="O71" i="22"/>
  <c r="O75" i="22" s="1"/>
  <c r="AJ81" i="22"/>
  <c r="AP59" i="22"/>
  <c r="AN83" i="22"/>
  <c r="AN87" i="22" s="1"/>
  <c r="AF70" i="22"/>
  <c r="AL70" i="22"/>
  <c r="AM82" i="22"/>
  <c r="AM86" i="22" s="1"/>
  <c r="W70" i="22"/>
  <c r="U70" i="22"/>
  <c r="AK61" i="22"/>
  <c r="AK65" i="22" s="1"/>
  <c r="V83" i="22"/>
  <c r="V87" i="22" s="1"/>
  <c r="V72" i="22"/>
  <c r="V76" i="22" s="1"/>
  <c r="V61" i="22"/>
  <c r="AD20" i="105"/>
  <c r="AD107" i="22"/>
  <c r="AE30" i="105"/>
  <c r="AE119" i="22"/>
  <c r="AE123" i="22" s="1"/>
  <c r="U21" i="105"/>
  <c r="U118" i="22"/>
  <c r="K39" i="105"/>
  <c r="K120" i="22"/>
  <c r="K124" i="22" s="1"/>
  <c r="AK22" i="105"/>
  <c r="AK129" i="22"/>
  <c r="AC31" i="105"/>
  <c r="AC130" i="22"/>
  <c r="U40" i="105"/>
  <c r="U131" i="22"/>
  <c r="U135" i="22" s="1"/>
  <c r="AH27" i="105"/>
  <c r="AH82" i="22"/>
  <c r="AH86" i="22" s="1"/>
  <c r="AJ36" i="105"/>
  <c r="AJ83" i="22"/>
  <c r="AJ87" i="22" s="1"/>
  <c r="AG25" i="105"/>
  <c r="AG60" i="22"/>
  <c r="AG64" i="22" s="1"/>
  <c r="M196" i="31"/>
  <c r="M225" i="31"/>
  <c r="M203" i="31"/>
  <c r="M215" i="31"/>
  <c r="M205" i="31"/>
  <c r="M206" i="31"/>
  <c r="M200" i="31"/>
  <c r="M198" i="31"/>
  <c r="M208" i="31"/>
  <c r="M207" i="31"/>
  <c r="M199" i="31"/>
  <c r="M221" i="31"/>
  <c r="M223" i="31"/>
  <c r="M194" i="31"/>
  <c r="M209" i="31"/>
  <c r="M214" i="31"/>
  <c r="M197" i="31"/>
  <c r="M201" i="31"/>
  <c r="M216" i="31"/>
  <c r="M218" i="31"/>
  <c r="M217" i="31"/>
  <c r="M204" i="31"/>
  <c r="M211" i="31"/>
  <c r="M213" i="31"/>
  <c r="M210" i="31"/>
  <c r="M202" i="31"/>
  <c r="M224" i="31"/>
  <c r="M226" i="31"/>
  <c r="M212" i="31"/>
  <c r="M219" i="31"/>
  <c r="M31" i="81"/>
  <c r="M40" i="81" s="1"/>
  <c r="M48" i="81" s="1"/>
  <c r="M55" i="81" s="1"/>
  <c r="M56" i="81" s="1"/>
  <c r="M114" i="81" s="1"/>
  <c r="M195" i="31"/>
  <c r="M222" i="31"/>
  <c r="M220" i="31"/>
  <c r="AI38" i="105"/>
  <c r="AI109" i="22"/>
  <c r="AI113" i="22" s="1"/>
  <c r="W38" i="105"/>
  <c r="W109" i="22"/>
  <c r="W113" i="22" s="1"/>
  <c r="AI30" i="105"/>
  <c r="AI119" i="22"/>
  <c r="AI123" i="22" s="1"/>
  <c r="Q21" i="105"/>
  <c r="Q118" i="22"/>
  <c r="L30" i="105"/>
  <c r="L119" i="22"/>
  <c r="L123" i="22" s="1"/>
  <c r="AN40" i="105"/>
  <c r="AN131" i="22"/>
  <c r="AN135" i="22" s="1"/>
  <c r="AK40" i="105"/>
  <c r="AK131" i="22"/>
  <c r="AK135" i="22" s="1"/>
  <c r="AG22" i="105"/>
  <c r="AG129" i="22"/>
  <c r="X40" i="105"/>
  <c r="X131" i="22"/>
  <c r="X135" i="22" s="1"/>
  <c r="R40" i="105"/>
  <c r="R131" i="22"/>
  <c r="R135" i="22" s="1"/>
  <c r="U38" i="105"/>
  <c r="U109" i="22"/>
  <c r="U113" i="22" s="1"/>
  <c r="AJ29" i="105"/>
  <c r="AJ96" i="105" s="1"/>
  <c r="AJ108" i="22"/>
  <c r="AJ112" i="22" s="1"/>
  <c r="Y38" i="105"/>
  <c r="Y109" i="22"/>
  <c r="Y113" i="22" s="1"/>
  <c r="AM30" i="105"/>
  <c r="AM119" i="22"/>
  <c r="AM123" i="22" s="1"/>
  <c r="W30" i="105"/>
  <c r="W97" i="105" s="1"/>
  <c r="W119" i="22"/>
  <c r="W123" i="22" s="1"/>
  <c r="T30" i="105"/>
  <c r="T119" i="22"/>
  <c r="T123" i="22" s="1"/>
  <c r="O39" i="105"/>
  <c r="O120" i="22"/>
  <c r="O124" i="22" s="1"/>
  <c r="AO31" i="105"/>
  <c r="AO98" i="105" s="1"/>
  <c r="AO130" i="22"/>
  <c r="AG40" i="105"/>
  <c r="AG131" i="22"/>
  <c r="AG135" i="22" s="1"/>
  <c r="Y31" i="105"/>
  <c r="Y130" i="22"/>
  <c r="V31" i="105"/>
  <c r="V98" i="105" s="1"/>
  <c r="V130" i="22"/>
  <c r="V134" i="22" s="1"/>
  <c r="S31" i="105"/>
  <c r="S130" i="22"/>
  <c r="S134" i="22" s="1"/>
  <c r="L40" i="105"/>
  <c r="L131" i="22"/>
  <c r="L135" i="22" s="1"/>
  <c r="S20" i="105"/>
  <c r="S107" i="22"/>
  <c r="M29" i="105"/>
  <c r="M108" i="22"/>
  <c r="P22" i="105"/>
  <c r="P129" i="22"/>
  <c r="J39" i="55"/>
  <c r="AN20" i="105"/>
  <c r="AN107" i="22"/>
  <c r="Z29" i="105"/>
  <c r="Z108" i="22"/>
  <c r="Z112" i="22" s="1"/>
  <c r="Q20" i="105"/>
  <c r="Q107" i="22"/>
  <c r="L38" i="105"/>
  <c r="L109" i="22"/>
  <c r="L113" i="22" s="1"/>
  <c r="AA30" i="105"/>
  <c r="AA119" i="22"/>
  <c r="AA123" i="22" s="1"/>
  <c r="S30" i="105"/>
  <c r="S119" i="22"/>
  <c r="S123" i="22" s="1"/>
  <c r="P30" i="105"/>
  <c r="P119" i="22"/>
  <c r="P123" i="22" s="1"/>
  <c r="M21" i="105"/>
  <c r="M118" i="22"/>
  <c r="AL31" i="105"/>
  <c r="AL98" i="105" s="1"/>
  <c r="AL130" i="22"/>
  <c r="AL134" i="22" s="1"/>
  <c r="AB40" i="105"/>
  <c r="AB131" i="22"/>
  <c r="AB135" i="22" s="1"/>
  <c r="U22" i="105"/>
  <c r="U129" i="22"/>
  <c r="M31" i="105"/>
  <c r="M130" i="22"/>
  <c r="Z246" i="53"/>
  <c r="X246" i="53"/>
  <c r="AA246" i="53"/>
  <c r="H200" i="53"/>
  <c r="X247" i="53" s="1"/>
  <c r="AB246" i="53"/>
  <c r="S70" i="23"/>
  <c r="S73" i="23"/>
  <c r="S86" i="23"/>
  <c r="S88" i="23"/>
  <c r="S90" i="23"/>
  <c r="S92" i="23"/>
  <c r="S98" i="23"/>
  <c r="S100" i="23"/>
  <c r="S77" i="23"/>
  <c r="S85" i="23"/>
  <c r="S89" i="23"/>
  <c r="S91" i="23"/>
  <c r="S97" i="23"/>
  <c r="S99" i="23"/>
  <c r="S79" i="23"/>
  <c r="S82" i="23"/>
  <c r="S94" i="23"/>
  <c r="S96" i="23"/>
  <c r="Q99" i="53"/>
  <c r="Q116" i="53" s="1"/>
  <c r="M36" i="105"/>
  <c r="M83" i="22"/>
  <c r="M87" i="22" s="1"/>
  <c r="AI17" i="105"/>
  <c r="AI70" i="22"/>
  <c r="AD25" i="105"/>
  <c r="AD60" i="22"/>
  <c r="AD64" i="22" s="1"/>
  <c r="L107" i="22"/>
  <c r="V118" i="22"/>
  <c r="R120" i="22"/>
  <c r="O119" i="22"/>
  <c r="O123" i="22" s="1"/>
  <c r="W129" i="22"/>
  <c r="R130" i="22"/>
  <c r="R134" i="22" s="1"/>
  <c r="Q131" i="22"/>
  <c r="O68" i="23"/>
  <c r="M68" i="23"/>
  <c r="AN16" i="105"/>
  <c r="AN59" i="22"/>
  <c r="AL34" i="105"/>
  <c r="AL61" i="22"/>
  <c r="AL65" i="22" s="1"/>
  <c r="AL19" i="105"/>
  <c r="AL96" i="22"/>
  <c r="S69" i="23"/>
  <c r="O25" i="105"/>
  <c r="O60" i="22"/>
  <c r="V19" i="105"/>
  <c r="V96" i="22"/>
  <c r="O61" i="22"/>
  <c r="O65" i="22" s="1"/>
  <c r="O59" i="22"/>
  <c r="P35" i="105"/>
  <c r="P72" i="22"/>
  <c r="P76" i="22" s="1"/>
  <c r="N36" i="105"/>
  <c r="N83" i="22"/>
  <c r="N87" i="22" s="1"/>
  <c r="N34" i="105"/>
  <c r="N61" i="22"/>
  <c r="N65" i="22" s="1"/>
  <c r="AH17" i="105"/>
  <c r="AH70" i="22"/>
  <c r="AH25" i="105"/>
  <c r="AH60" i="22"/>
  <c r="AH64" i="22" s="1"/>
  <c r="AJ26" i="105"/>
  <c r="AJ93" i="105" s="1"/>
  <c r="AJ71" i="22"/>
  <c r="AJ75" i="22" s="1"/>
  <c r="AF25" i="105"/>
  <c r="AF60" i="22"/>
  <c r="AF64" i="22" s="1"/>
  <c r="AM17" i="105"/>
  <c r="AM70" i="22"/>
  <c r="W25" i="105"/>
  <c r="W60" i="22"/>
  <c r="W64" i="22" s="1"/>
  <c r="AC59" i="22"/>
  <c r="AJ19" i="105"/>
  <c r="AJ96" i="22"/>
  <c r="P26" i="105"/>
  <c r="P71" i="22"/>
  <c r="P75" i="22" s="1"/>
  <c r="AP34" i="105"/>
  <c r="AP61" i="22"/>
  <c r="AP65" i="22" s="1"/>
  <c r="AN34" i="105"/>
  <c r="AN61" i="22"/>
  <c r="AN65" i="22" s="1"/>
  <c r="AL27" i="105"/>
  <c r="AL94" i="105" s="1"/>
  <c r="AL82" i="22"/>
  <c r="AL86" i="22" s="1"/>
  <c r="AP19" i="105"/>
  <c r="AP96" i="22"/>
  <c r="AH19" i="105"/>
  <c r="AH96" i="22"/>
  <c r="AC28" i="105"/>
  <c r="AC97" i="22"/>
  <c r="AC101" i="22" s="1"/>
  <c r="L36" i="105"/>
  <c r="L83" i="22"/>
  <c r="L87" i="22" s="1"/>
  <c r="L34" i="105"/>
  <c r="L61" i="22"/>
  <c r="L65" i="22" s="1"/>
  <c r="P16" i="105"/>
  <c r="P59" i="22"/>
  <c r="AF35" i="105"/>
  <c r="AF103" i="105" s="1"/>
  <c r="AF72" i="22"/>
  <c r="AF76" i="22" s="1"/>
  <c r="AM35" i="105"/>
  <c r="AM72" i="22"/>
  <c r="AM76" i="22" s="1"/>
  <c r="AM25" i="105"/>
  <c r="AM60" i="22"/>
  <c r="W35" i="105"/>
  <c r="W72" i="22"/>
  <c r="W76" i="22" s="1"/>
  <c r="AC35" i="105"/>
  <c r="AC72" i="22"/>
  <c r="AN19" i="105"/>
  <c r="AN96" i="22"/>
  <c r="AD19" i="105"/>
  <c r="AD96" i="22"/>
  <c r="U28" i="105"/>
  <c r="U97" i="22"/>
  <c r="U101" i="22" s="1"/>
  <c r="S34" i="105"/>
  <c r="S61" i="22"/>
  <c r="S65" i="22" s="1"/>
  <c r="AP81" i="22"/>
  <c r="AN60" i="22"/>
  <c r="AN64" i="22" s="1"/>
  <c r="AF83" i="22"/>
  <c r="AF87" i="22" s="1"/>
  <c r="AF61" i="22"/>
  <c r="AL83" i="22"/>
  <c r="AL87" i="22" s="1"/>
  <c r="AL60" i="22"/>
  <c r="AL64" i="22" s="1"/>
  <c r="AM71" i="22"/>
  <c r="AM75" i="22" s="1"/>
  <c r="AM59" i="22"/>
  <c r="W61" i="22"/>
  <c r="AI82" i="22"/>
  <c r="AI86" i="22" s="1"/>
  <c r="AI60" i="22"/>
  <c r="AI64" i="22" s="1"/>
  <c r="AD83" i="22"/>
  <c r="AD87" i="22" s="1"/>
  <c r="AD70" i="22"/>
  <c r="AC83" i="22"/>
  <c r="AC87" i="22" s="1"/>
  <c r="AC71" i="22"/>
  <c r="AC75" i="22" s="1"/>
  <c r="AO97" i="22"/>
  <c r="AO101" i="22" s="1"/>
  <c r="AM97" i="22"/>
  <c r="AM101" i="22" s="1"/>
  <c r="AK97" i="22"/>
  <c r="AK101" i="22" s="1"/>
  <c r="AI97" i="22"/>
  <c r="AI101" i="22" s="1"/>
  <c r="AG97" i="22"/>
  <c r="AG101" i="22" s="1"/>
  <c r="AB19" i="105"/>
  <c r="AB96" i="22"/>
  <c r="AA28" i="105"/>
  <c r="AA97" i="22"/>
  <c r="AA101" i="22" s="1"/>
  <c r="T19" i="105"/>
  <c r="T96" i="22"/>
  <c r="S28" i="105"/>
  <c r="S97" i="22"/>
  <c r="S101" i="22" s="1"/>
  <c r="U34" i="105"/>
  <c r="U61" i="22"/>
  <c r="AO27" i="105"/>
  <c r="AO94" i="105" s="1"/>
  <c r="AO82" i="22"/>
  <c r="AO86" i="22" s="1"/>
  <c r="AO25" i="105"/>
  <c r="AO60" i="22"/>
  <c r="AO64" i="22" s="1"/>
  <c r="AK36" i="105"/>
  <c r="AK83" i="22"/>
  <c r="AK87" i="22" s="1"/>
  <c r="AK26" i="105"/>
  <c r="AK71" i="22"/>
  <c r="AK75" i="22" s="1"/>
  <c r="N209" i="31"/>
  <c r="N217" i="31"/>
  <c r="N204" i="31"/>
  <c r="N211" i="31"/>
  <c r="N195" i="31"/>
  <c r="N212" i="31"/>
  <c r="N219" i="31"/>
  <c r="N196" i="31"/>
  <c r="N225" i="31"/>
  <c r="N203" i="31"/>
  <c r="N215" i="31"/>
  <c r="N205" i="31"/>
  <c r="N206" i="31"/>
  <c r="N200" i="31"/>
  <c r="N198" i="31"/>
  <c r="N208" i="31"/>
  <c r="Z19" i="105"/>
  <c r="Z96" i="22"/>
  <c r="Y28" i="105"/>
  <c r="Y97" i="22"/>
  <c r="Y101" i="22" s="1"/>
  <c r="Q28" i="105"/>
  <c r="Q95" i="105" s="1"/>
  <c r="Q97" i="22"/>
  <c r="Q101" i="22" s="1"/>
  <c r="M37" i="105"/>
  <c r="M98" i="22"/>
  <c r="M102" i="22" s="1"/>
  <c r="AK16" i="105"/>
  <c r="AK59" i="22"/>
  <c r="AE18" i="105"/>
  <c r="AE81" i="22"/>
  <c r="S16" i="105"/>
  <c r="S59" i="22"/>
  <c r="T25" i="105"/>
  <c r="T60" i="22"/>
  <c r="L16" i="105"/>
  <c r="L59" i="22"/>
  <c r="AF19" i="105"/>
  <c r="AF96" i="22"/>
  <c r="AE28" i="105"/>
  <c r="AE97" i="22"/>
  <c r="AE101" i="22" s="1"/>
  <c r="X19" i="105"/>
  <c r="X96" i="22"/>
  <c r="W28" i="105"/>
  <c r="W95" i="105" s="1"/>
  <c r="W97" i="22"/>
  <c r="W101" i="22" s="1"/>
  <c r="P19" i="105"/>
  <c r="P96" i="22"/>
  <c r="W116" i="53"/>
  <c r="AK18" i="105"/>
  <c r="AK81" i="22"/>
  <c r="V17" i="105"/>
  <c r="V70" i="22"/>
  <c r="AG36" i="105"/>
  <c r="AG83" i="22"/>
  <c r="AG87" i="22" s="1"/>
  <c r="K35" i="105"/>
  <c r="K72" i="22"/>
  <c r="K76" i="22" s="1"/>
  <c r="L203" i="31"/>
  <c r="L215" i="31"/>
  <c r="L205" i="31"/>
  <c r="L206" i="31"/>
  <c r="L200" i="31"/>
  <c r="L198" i="31"/>
  <c r="L208" i="31"/>
  <c r="L31" i="81"/>
  <c r="L207" i="31"/>
  <c r="L199" i="31"/>
  <c r="L221" i="31"/>
  <c r="L223" i="31"/>
  <c r="L209" i="31"/>
  <c r="L217" i="31"/>
  <c r="L204" i="31"/>
  <c r="L211" i="31"/>
  <c r="L195" i="31"/>
  <c r="L212" i="31"/>
  <c r="L219" i="31"/>
  <c r="O98" i="22"/>
  <c r="O102" i="22" s="1"/>
  <c r="L98" i="22"/>
  <c r="L102" i="22" s="1"/>
  <c r="N98" i="22"/>
  <c r="N102" i="22" s="1"/>
  <c r="U72" i="22"/>
  <c r="U76" i="22" s="1"/>
  <c r="U60" i="22"/>
  <c r="U64" i="22" s="1"/>
  <c r="AB83" i="22"/>
  <c r="AB87" i="22" s="1"/>
  <c r="AB72" i="22"/>
  <c r="AB76" i="22" s="1"/>
  <c r="AB61" i="22"/>
  <c r="AA83" i="22"/>
  <c r="AA87" i="22" s="1"/>
  <c r="AA72" i="22"/>
  <c r="AA76" i="22" s="1"/>
  <c r="AA61" i="22"/>
  <c r="Z83" i="22"/>
  <c r="Z87" i="22" s="1"/>
  <c r="Z72" i="22"/>
  <c r="Z76" i="22" s="1"/>
  <c r="Z61" i="22"/>
  <c r="Y83" i="22"/>
  <c r="Y87" i="22" s="1"/>
  <c r="Y72" i="22"/>
  <c r="Y76" i="22" s="1"/>
  <c r="Y61" i="22"/>
  <c r="X83" i="22"/>
  <c r="X87" i="22" s="1"/>
  <c r="X72" i="22"/>
  <c r="X76" i="22" s="1"/>
  <c r="X61" i="22"/>
  <c r="AO70" i="22"/>
  <c r="AK82" i="22"/>
  <c r="AK86" i="22" s="1"/>
  <c r="AK70" i="22"/>
  <c r="V82" i="22"/>
  <c r="V86" i="22" s="1"/>
  <c r="V60" i="22"/>
  <c r="V64" i="22" s="1"/>
  <c r="AE82" i="22"/>
  <c r="AE86" i="22" s="1"/>
  <c r="S60" i="22"/>
  <c r="T61" i="22"/>
  <c r="T65" i="22" s="1"/>
  <c r="T59" i="22"/>
  <c r="AG82" i="22"/>
  <c r="AG86" i="22" s="1"/>
  <c r="AG61" i="22"/>
  <c r="AG65" i="22" s="1"/>
  <c r="L82" i="22"/>
  <c r="L86" i="22" s="1"/>
  <c r="L60" i="22"/>
  <c r="K83" i="22"/>
  <c r="K87" i="22" s="1"/>
  <c r="K61" i="22"/>
  <c r="O29" i="31"/>
  <c r="H37" i="73" s="1" a="1"/>
  <c r="T82" i="22"/>
  <c r="T70" i="22"/>
  <c r="AP109" i="22"/>
  <c r="AO107" i="22"/>
  <c r="AM108" i="22"/>
  <c r="AM112" i="22" s="1"/>
  <c r="AL109" i="22"/>
  <c r="AK107" i="22"/>
  <c r="AI108" i="22"/>
  <c r="AI112" i="22" s="1"/>
  <c r="AH109" i="22"/>
  <c r="AG107" i="22"/>
  <c r="AE108" i="22"/>
  <c r="AE112" i="22" s="1"/>
  <c r="AD109" i="22"/>
  <c r="AC107" i="22"/>
  <c r="AA108" i="22"/>
  <c r="AA112" i="22" s="1"/>
  <c r="Z109" i="22"/>
  <c r="Y107" i="22"/>
  <c r="AN129" i="22"/>
  <c r="AJ129" i="22"/>
  <c r="AH130" i="22"/>
  <c r="AH134" i="22" s="1"/>
  <c r="AF129" i="22"/>
  <c r="X129" i="22"/>
  <c r="L129" i="22"/>
  <c r="AO108" i="22"/>
  <c r="AO112" i="22" s="1"/>
  <c r="AN109" i="22"/>
  <c r="AM107" i="22"/>
  <c r="AK108" i="22"/>
  <c r="AK112" i="22" s="1"/>
  <c r="AJ109" i="22"/>
  <c r="AI107" i="22"/>
  <c r="AG108" i="22"/>
  <c r="AG112" i="22" s="1"/>
  <c r="AF109" i="22"/>
  <c r="AF113" i="22" s="1"/>
  <c r="AE107" i="22"/>
  <c r="AC108" i="22"/>
  <c r="AC112" i="22" s="1"/>
  <c r="AB109" i="22"/>
  <c r="AA107" i="22"/>
  <c r="Y108" i="22"/>
  <c r="Y112" i="22" s="1"/>
  <c r="X109" i="22"/>
  <c r="X113" i="22" s="1"/>
  <c r="W107" i="22"/>
  <c r="T108" i="22"/>
  <c r="S109" i="22"/>
  <c r="R107" i="22"/>
  <c r="P108" i="22"/>
  <c r="O109" i="22"/>
  <c r="O113" i="22" s="1"/>
  <c r="N107" i="22"/>
  <c r="L108" i="22"/>
  <c r="K109" i="22"/>
  <c r="U107" i="22"/>
  <c r="AO119" i="22"/>
  <c r="AN120" i="22"/>
  <c r="AN124" i="22" s="1"/>
  <c r="AM118" i="22"/>
  <c r="AK119" i="22"/>
  <c r="AJ120" i="22"/>
  <c r="AJ124" i="22" s="1"/>
  <c r="AI118" i="22"/>
  <c r="AG119" i="22"/>
  <c r="AF120" i="22"/>
  <c r="AF124" i="22" s="1"/>
  <c r="AE118" i="22"/>
  <c r="AC119" i="22"/>
  <c r="AB120" i="22"/>
  <c r="AB124" i="22" s="1"/>
  <c r="AA118" i="22"/>
  <c r="Y119" i="22"/>
  <c r="X120" i="22"/>
  <c r="X124" i="22" s="1"/>
  <c r="W118" i="22"/>
  <c r="U119" i="22"/>
  <c r="T120" i="22"/>
  <c r="S118" i="22"/>
  <c r="Q119" i="22"/>
  <c r="P120" i="22"/>
  <c r="O118" i="22"/>
  <c r="M119" i="22"/>
  <c r="L120" i="22"/>
  <c r="K118" i="22"/>
  <c r="AP129" i="22"/>
  <c r="AN130" i="22"/>
  <c r="AN134" i="22" s="1"/>
  <c r="AM131" i="22"/>
  <c r="AL129" i="22"/>
  <c r="AJ130" i="22"/>
  <c r="AJ134" i="22" s="1"/>
  <c r="AI131" i="22"/>
  <c r="AH129" i="22"/>
  <c r="AF130" i="22"/>
  <c r="AF134" i="22" s="1"/>
  <c r="AE131" i="22"/>
  <c r="AD129" i="22"/>
  <c r="AB130" i="22"/>
  <c r="AA131" i="22"/>
  <c r="Z129" i="22"/>
  <c r="X130" i="22"/>
  <c r="X134" i="22" s="1"/>
  <c r="W131" i="22"/>
  <c r="V129" i="22"/>
  <c r="T130" i="22"/>
  <c r="S131" i="22"/>
  <c r="R129" i="22"/>
  <c r="P130" i="22"/>
  <c r="O131" i="22"/>
  <c r="N129" i="22"/>
  <c r="L130" i="22"/>
  <c r="L134" i="22" s="1"/>
  <c r="K131" i="22"/>
  <c r="AF107" i="22"/>
  <c r="X107" i="22"/>
  <c r="Q108" i="22"/>
  <c r="O107" i="22"/>
  <c r="AP119" i="22"/>
  <c r="AO120" i="22"/>
  <c r="AO124" i="22" s="1"/>
  <c r="AN118" i="22"/>
  <c r="AL119" i="22"/>
  <c r="AK120" i="22"/>
  <c r="AK124" i="22" s="1"/>
  <c r="AJ118" i="22"/>
  <c r="AH119" i="22"/>
  <c r="AG120" i="22"/>
  <c r="AG124" i="22" s="1"/>
  <c r="AF118" i="22"/>
  <c r="AD119" i="22"/>
  <c r="AC120" i="22"/>
  <c r="AC124" i="22" s="1"/>
  <c r="AB118" i="22"/>
  <c r="Z119" i="22"/>
  <c r="Y120" i="22"/>
  <c r="Y124" i="22" s="1"/>
  <c r="X118" i="22"/>
  <c r="Y226" i="53"/>
  <c r="AA226" i="53"/>
  <c r="X226" i="53"/>
  <c r="H168" i="53"/>
  <c r="Z226" i="53"/>
  <c r="AB226" i="53"/>
  <c r="Y231" i="53"/>
  <c r="AA231" i="53"/>
  <c r="X231" i="53"/>
  <c r="H176" i="53"/>
  <c r="Z231" i="53"/>
  <c r="AB231" i="53"/>
  <c r="Y236" i="53"/>
  <c r="AA236" i="53"/>
  <c r="X236" i="53"/>
  <c r="H184" i="53"/>
  <c r="Z236" i="53"/>
  <c r="AB236" i="53"/>
  <c r="Y216" i="53"/>
  <c r="AA216" i="53"/>
  <c r="X216" i="53"/>
  <c r="H152" i="53"/>
  <c r="Z216" i="53"/>
  <c r="AB216" i="53"/>
  <c r="Y211" i="53"/>
  <c r="AA211" i="53"/>
  <c r="X211" i="53"/>
  <c r="H144" i="53"/>
  <c r="Z211" i="53"/>
  <c r="AB211" i="53"/>
  <c r="Y241" i="53"/>
  <c r="AA241" i="53"/>
  <c r="X241" i="53"/>
  <c r="H192" i="53"/>
  <c r="Z241" i="53"/>
  <c r="AB241" i="53"/>
  <c r="Y221" i="53"/>
  <c r="AA221" i="53"/>
  <c r="X221" i="53"/>
  <c r="H160" i="53"/>
  <c r="Z221" i="53"/>
  <c r="AB221" i="53"/>
  <c r="Q68" i="23"/>
  <c r="Q69" i="23"/>
  <c r="Q70" i="23"/>
  <c r="Q71" i="23"/>
  <c r="Q72" i="23"/>
  <c r="Q73" i="23"/>
  <c r="Q74" i="23"/>
  <c r="Q75" i="23"/>
  <c r="Q76" i="23"/>
  <c r="Q77" i="23"/>
  <c r="Q78" i="23"/>
  <c r="Q79" i="23"/>
  <c r="Q80" i="23"/>
  <c r="Q81" i="23"/>
  <c r="Q82" i="23"/>
  <c r="Q83" i="23"/>
  <c r="Q84" i="23"/>
  <c r="Q85" i="23"/>
  <c r="Q86" i="23"/>
  <c r="Q87" i="23"/>
  <c r="Q88" i="23"/>
  <c r="Q89" i="23"/>
  <c r="Q90" i="23"/>
  <c r="Q91" i="23"/>
  <c r="Q92" i="23"/>
  <c r="Q93" i="23"/>
  <c r="Q94" i="23"/>
  <c r="Q95" i="23"/>
  <c r="Q96" i="23"/>
  <c r="Q97" i="23"/>
  <c r="Q98" i="23"/>
  <c r="Q99" i="23"/>
  <c r="Q100" i="23"/>
  <c r="P68" i="23"/>
  <c r="P69" i="23"/>
  <c r="P70" i="23"/>
  <c r="P71" i="23"/>
  <c r="P72" i="23"/>
  <c r="P73" i="23"/>
  <c r="P74" i="23"/>
  <c r="P75" i="23"/>
  <c r="P76" i="23"/>
  <c r="P77" i="23"/>
  <c r="P78" i="23"/>
  <c r="P79" i="23"/>
  <c r="P80" i="23"/>
  <c r="P81" i="23"/>
  <c r="P82" i="23"/>
  <c r="P83" i="23"/>
  <c r="P84" i="23"/>
  <c r="P85" i="23"/>
  <c r="P86" i="23"/>
  <c r="P87" i="23"/>
  <c r="P88" i="23"/>
  <c r="P89" i="23"/>
  <c r="P90" i="23"/>
  <c r="P91" i="23"/>
  <c r="P92" i="23"/>
  <c r="P93" i="23"/>
  <c r="P94" i="23"/>
  <c r="P95" i="23"/>
  <c r="P96" i="23"/>
  <c r="P97" i="23"/>
  <c r="P98" i="23"/>
  <c r="P99" i="23"/>
  <c r="P100" i="23"/>
  <c r="N68" i="23"/>
  <c r="N69" i="23"/>
  <c r="N70" i="23"/>
  <c r="N71" i="23"/>
  <c r="N72" i="23"/>
  <c r="N73" i="23"/>
  <c r="N74" i="23"/>
  <c r="N75" i="23"/>
  <c r="N76" i="23"/>
  <c r="N77" i="23"/>
  <c r="N78" i="23"/>
  <c r="N79" i="23"/>
  <c r="N80" i="23"/>
  <c r="N81" i="23"/>
  <c r="N82" i="23"/>
  <c r="N83" i="23"/>
  <c r="N84" i="23"/>
  <c r="N85" i="23"/>
  <c r="N86" i="23"/>
  <c r="N87" i="23"/>
  <c r="N88" i="23"/>
  <c r="N89" i="23"/>
  <c r="N90" i="23"/>
  <c r="N91" i="23"/>
  <c r="N92" i="23"/>
  <c r="N93" i="23"/>
  <c r="N94" i="23"/>
  <c r="N95" i="23"/>
  <c r="N96" i="23"/>
  <c r="N97" i="23"/>
  <c r="N98" i="23"/>
  <c r="N99" i="23"/>
  <c r="N100" i="23"/>
  <c r="S84" i="23"/>
  <c r="S83" i="23"/>
  <c r="S80" i="23"/>
  <c r="S78" i="23"/>
  <c r="S76" i="23"/>
  <c r="S75" i="23"/>
  <c r="S74" i="23"/>
  <c r="S72" i="23"/>
  <c r="O100" i="23"/>
  <c r="O99" i="23"/>
  <c r="O98" i="23"/>
  <c r="O97" i="23"/>
  <c r="O96" i="23"/>
  <c r="O95" i="23"/>
  <c r="O94" i="23"/>
  <c r="O93" i="23"/>
  <c r="O92" i="23"/>
  <c r="O91" i="23"/>
  <c r="O90" i="23"/>
  <c r="O89" i="23"/>
  <c r="O88" i="23"/>
  <c r="O87" i="23"/>
  <c r="O86" i="23"/>
  <c r="O85" i="23"/>
  <c r="O84" i="23"/>
  <c r="O83" i="23"/>
  <c r="O82" i="23"/>
  <c r="O81" i="23"/>
  <c r="O80" i="23"/>
  <c r="O79" i="23"/>
  <c r="O78" i="23"/>
  <c r="O77" i="23"/>
  <c r="O76" i="23"/>
  <c r="O75" i="23"/>
  <c r="O74" i="23"/>
  <c r="O73" i="23"/>
  <c r="O72" i="23"/>
  <c r="O71" i="23"/>
  <c r="O70" i="23"/>
  <c r="O69" i="23"/>
  <c r="R100" i="23"/>
  <c r="R99" i="23"/>
  <c r="R98" i="23"/>
  <c r="R97" i="23"/>
  <c r="R96" i="23"/>
  <c r="R95" i="23"/>
  <c r="R94" i="23"/>
  <c r="R93" i="23"/>
  <c r="R92" i="23"/>
  <c r="R91" i="23"/>
  <c r="R90" i="23"/>
  <c r="R89" i="23"/>
  <c r="R88" i="23"/>
  <c r="R87" i="23"/>
  <c r="R86" i="23"/>
  <c r="R85" i="23"/>
  <c r="R84" i="23"/>
  <c r="R83" i="23"/>
  <c r="R82" i="23"/>
  <c r="R81" i="23"/>
  <c r="R80" i="23"/>
  <c r="R79" i="23"/>
  <c r="R78" i="23"/>
  <c r="R77" i="23"/>
  <c r="R76" i="23"/>
  <c r="R75" i="23"/>
  <c r="R74" i="23"/>
  <c r="R73" i="23"/>
  <c r="R72" i="23"/>
  <c r="R71" i="23"/>
  <c r="R70" i="23"/>
  <c r="R69" i="23"/>
  <c r="M100" i="23"/>
  <c r="M99" i="23"/>
  <c r="M98" i="23"/>
  <c r="M97" i="23"/>
  <c r="M96" i="23"/>
  <c r="M95" i="23"/>
  <c r="M94" i="23"/>
  <c r="M93" i="23"/>
  <c r="M92" i="23"/>
  <c r="M91" i="23"/>
  <c r="M90" i="23"/>
  <c r="M89" i="23"/>
  <c r="M88" i="23"/>
  <c r="M87" i="23"/>
  <c r="M86" i="23"/>
  <c r="M85" i="23"/>
  <c r="M84" i="23"/>
  <c r="M83" i="23"/>
  <c r="M82" i="23"/>
  <c r="M81" i="23"/>
  <c r="M80" i="23"/>
  <c r="M79" i="23"/>
  <c r="M78" i="23"/>
  <c r="M77" i="23"/>
  <c r="M76" i="23"/>
  <c r="M75" i="23"/>
  <c r="M74" i="23"/>
  <c r="M73" i="23"/>
  <c r="M72" i="23"/>
  <c r="M71" i="23"/>
  <c r="M70" i="23"/>
  <c r="M69" i="23"/>
  <c r="R83" i="22"/>
  <c r="R87" i="22" s="1"/>
  <c r="R61" i="22"/>
  <c r="Q82" i="22"/>
  <c r="Q70" i="22"/>
  <c r="Q60" i="22"/>
  <c r="R81" i="22"/>
  <c r="R71" i="22"/>
  <c r="Q61" i="22"/>
  <c r="P27" i="105"/>
  <c r="P82" i="22"/>
  <c r="M72" i="22"/>
  <c r="O72" i="22"/>
  <c r="M82" i="22"/>
  <c r="P83" i="22"/>
  <c r="P70" i="22"/>
  <c r="P60" i="22"/>
  <c r="N72" i="22"/>
  <c r="AH81" i="22"/>
  <c r="AH71" i="22"/>
  <c r="AH59" i="22"/>
  <c r="AJ82" i="22"/>
  <c r="AJ70" i="22"/>
  <c r="AJ60" i="22"/>
  <c r="AP82" i="22"/>
  <c r="AP70" i="22"/>
  <c r="AP60" i="22"/>
  <c r="AN72" i="22"/>
  <c r="AF81" i="22"/>
  <c r="AF71" i="22"/>
  <c r="AF59" i="22"/>
  <c r="AL72" i="22"/>
  <c r="AM83" i="22"/>
  <c r="AM87" i="22" s="1"/>
  <c r="AM61" i="22"/>
  <c r="W81" i="22"/>
  <c r="W71" i="22"/>
  <c r="W59" i="22"/>
  <c r="AI81" i="22"/>
  <c r="AI71" i="22"/>
  <c r="AI59" i="22"/>
  <c r="AD72" i="22"/>
  <c r="AD16" i="105"/>
  <c r="AD59" i="22"/>
  <c r="N82" i="22"/>
  <c r="N70" i="22"/>
  <c r="N60" i="22"/>
  <c r="AJ61" i="22"/>
  <c r="AN82" i="22"/>
  <c r="AM81" i="22"/>
  <c r="AC27" i="105"/>
  <c r="AC82" i="22"/>
  <c r="AD18" i="105"/>
  <c r="AD81" i="22"/>
  <c r="AD26" i="105"/>
  <c r="AD71" i="22"/>
  <c r="AJ72" i="22"/>
  <c r="AJ76" i="22" s="1"/>
  <c r="AP72" i="22"/>
  <c r="AN81" i="22"/>
  <c r="AL81" i="22"/>
  <c r="AL71" i="22"/>
  <c r="AL59" i="22"/>
  <c r="AC17" i="105"/>
  <c r="AC70" i="22"/>
  <c r="AC25" i="105"/>
  <c r="AC60" i="22"/>
  <c r="V18" i="105"/>
  <c r="V81" i="22"/>
  <c r="R96" i="22"/>
  <c r="O97" i="22"/>
  <c r="O101" i="22" s="1"/>
  <c r="L96" i="22"/>
  <c r="K97" i="22"/>
  <c r="K101" i="22" s="1"/>
  <c r="AB81" i="22"/>
  <c r="AB71" i="22"/>
  <c r="AB75" i="22" s="1"/>
  <c r="AB59" i="22"/>
  <c r="AA81" i="22"/>
  <c r="AA71" i="22"/>
  <c r="AA75" i="22" s="1"/>
  <c r="AA59" i="22"/>
  <c r="Z81" i="22"/>
  <c r="Z71" i="22"/>
  <c r="Z75" i="22" s="1"/>
  <c r="Z59" i="22"/>
  <c r="Y81" i="22"/>
  <c r="Y71" i="22"/>
  <c r="Y75" i="22" s="1"/>
  <c r="Y59" i="22"/>
  <c r="X81" i="22"/>
  <c r="X71" i="22"/>
  <c r="X75" i="22" s="1"/>
  <c r="X59" i="22"/>
  <c r="AO26" i="105"/>
  <c r="AO93" i="105" s="1"/>
  <c r="AO71" i="22"/>
  <c r="V16" i="105"/>
  <c r="V59" i="22"/>
  <c r="AK35" i="105"/>
  <c r="AK72" i="22"/>
  <c r="S217" i="31"/>
  <c r="S204" i="31"/>
  <c r="S203" i="31"/>
  <c r="S196" i="31"/>
  <c r="S198" i="31"/>
  <c r="S221" i="31"/>
  <c r="S194" i="31"/>
  <c r="S209" i="31"/>
  <c r="S215" i="31"/>
  <c r="S207" i="31"/>
  <c r="S195" i="31"/>
  <c r="S205" i="31"/>
  <c r="S200" i="31"/>
  <c r="S199" i="31"/>
  <c r="P209" i="31"/>
  <c r="P215" i="31"/>
  <c r="P205" i="31"/>
  <c r="P200" i="31"/>
  <c r="P199" i="31"/>
  <c r="P194" i="31"/>
  <c r="P217" i="31"/>
  <c r="P206" i="31"/>
  <c r="P211" i="31"/>
  <c r="P204" i="31"/>
  <c r="P203" i="31"/>
  <c r="P196" i="31"/>
  <c r="P198" i="31"/>
  <c r="AP97" i="22"/>
  <c r="AO96" i="22"/>
  <c r="AN97" i="22"/>
  <c r="AM96" i="22"/>
  <c r="AL97" i="22"/>
  <c r="AK96" i="22"/>
  <c r="AJ97" i="22"/>
  <c r="AI96" i="22"/>
  <c r="AH97" i="22"/>
  <c r="AG96" i="22"/>
  <c r="AF97" i="22"/>
  <c r="AE96" i="22"/>
  <c r="AD97" i="22"/>
  <c r="AC96" i="22"/>
  <c r="AB97" i="22"/>
  <c r="AA96" i="22"/>
  <c r="Z97" i="22"/>
  <c r="Y96" i="22"/>
  <c r="X97" i="22"/>
  <c r="W96" i="22"/>
  <c r="V97" i="22"/>
  <c r="U96" i="22"/>
  <c r="T97" i="22"/>
  <c r="S96" i="22"/>
  <c r="R97" i="22"/>
  <c r="R101" i="22" s="1"/>
  <c r="Q96" i="22"/>
  <c r="P97" i="22"/>
  <c r="O96" i="22"/>
  <c r="L97" i="22"/>
  <c r="L101" i="22" s="1"/>
  <c r="N96" i="22"/>
  <c r="M97" i="22"/>
  <c r="K96" i="22"/>
  <c r="U81" i="22"/>
  <c r="U71" i="22"/>
  <c r="U59" i="22"/>
  <c r="AB82" i="22"/>
  <c r="AB86" i="22" s="1"/>
  <c r="AB70" i="22"/>
  <c r="AB60" i="22"/>
  <c r="AA82" i="22"/>
  <c r="AA86" i="22" s="1"/>
  <c r="AA70" i="22"/>
  <c r="AA60" i="22"/>
  <c r="Z82" i="22"/>
  <c r="Z86" i="22" s="1"/>
  <c r="Z70" i="22"/>
  <c r="Z60" i="22"/>
  <c r="Y82" i="22"/>
  <c r="Y86" i="22" s="1"/>
  <c r="Y70" i="22"/>
  <c r="Y60" i="22"/>
  <c r="X82" i="22"/>
  <c r="X86" i="22" s="1"/>
  <c r="X70" i="22"/>
  <c r="X60" i="22"/>
  <c r="AO18" i="105"/>
  <c r="AO81" i="22"/>
  <c r="AO16" i="105"/>
  <c r="AO59" i="22"/>
  <c r="AK60" i="22"/>
  <c r="V26" i="105"/>
  <c r="V93" i="105" s="1"/>
  <c r="V71" i="22"/>
  <c r="R204" i="31"/>
  <c r="R203" i="31"/>
  <c r="R209" i="31"/>
  <c r="R215" i="31"/>
  <c r="R207" i="31"/>
  <c r="R195" i="31"/>
  <c r="R194" i="31"/>
  <c r="R205" i="31"/>
  <c r="R200" i="31"/>
  <c r="R199" i="31"/>
  <c r="R217" i="31"/>
  <c r="R206" i="31"/>
  <c r="R211" i="31"/>
  <c r="AE60" i="22"/>
  <c r="AG81" i="22"/>
  <c r="AG71" i="22"/>
  <c r="AG59" i="22"/>
  <c r="L81" i="22"/>
  <c r="AE83" i="22"/>
  <c r="AE61" i="22"/>
  <c r="S72" i="22"/>
  <c r="T72" i="22"/>
  <c r="AG72" i="22"/>
  <c r="L72" i="22"/>
  <c r="K82" i="22"/>
  <c r="K70" i="22"/>
  <c r="K60" i="22"/>
  <c r="R55" i="81" l="1"/>
  <c r="R56" i="81" s="1"/>
  <c r="R114" i="81" s="1"/>
  <c r="P129" i="81"/>
  <c r="N129" i="81"/>
  <c r="S129" i="81"/>
  <c r="AH109" i="105"/>
  <c r="AH126" i="105" s="1"/>
  <c r="AN99" i="105"/>
  <c r="AP99" i="105"/>
  <c r="AF109" i="105"/>
  <c r="AF126" i="105" s="1"/>
  <c r="AO92" i="105"/>
  <c r="AD92" i="105"/>
  <c r="AF92" i="105"/>
  <c r="R92" i="105"/>
  <c r="AM92" i="105"/>
  <c r="AN102" i="105"/>
  <c r="AP102" i="105"/>
  <c r="W92" i="105"/>
  <c r="AH92" i="105"/>
  <c r="AL102" i="105"/>
  <c r="AN108" i="105"/>
  <c r="AK93" i="105"/>
  <c r="AJ104" i="105"/>
  <c r="R108" i="105"/>
  <c r="R109" i="105" s="1"/>
  <c r="R126" i="105" s="1"/>
  <c r="AI97" i="105"/>
  <c r="AI99" i="105" s="1"/>
  <c r="AM97" i="105"/>
  <c r="AD93" i="105"/>
  <c r="AH94" i="105"/>
  <c r="K116" i="53"/>
  <c r="K504" i="53" s="1"/>
  <c r="K78" i="83" s="1"/>
  <c r="T118" i="53"/>
  <c r="S266" i="53"/>
  <c r="S263" i="53"/>
  <c r="S265" i="53"/>
  <c r="R271" i="53"/>
  <c r="S262" i="53"/>
  <c r="O260" i="53"/>
  <c r="K261" i="53"/>
  <c r="M262" i="53"/>
  <c r="L262" i="53"/>
  <c r="T258" i="53"/>
  <c r="R269" i="53"/>
  <c r="Q272" i="53"/>
  <c r="O258" i="53"/>
  <c r="N118" i="53"/>
  <c r="U262" i="53"/>
  <c r="T261" i="53"/>
  <c r="T265" i="53"/>
  <c r="T260" i="53"/>
  <c r="T264" i="53"/>
  <c r="H37" i="73"/>
  <c r="H44" i="73"/>
  <c r="H40" i="73"/>
  <c r="H42" i="73"/>
  <c r="H41" i="73"/>
  <c r="H39" i="73"/>
  <c r="H46" i="73"/>
  <c r="H38" i="73"/>
  <c r="H43" i="73"/>
  <c r="H45" i="73"/>
  <c r="H43" i="83" a="1"/>
  <c r="Q276" i="53"/>
  <c r="R276" i="53"/>
  <c r="M260" i="53"/>
  <c r="U263" i="53"/>
  <c r="N263" i="53"/>
  <c r="Q274" i="53"/>
  <c r="Q271" i="53"/>
  <c r="Q273" i="53"/>
  <c r="AP274" i="53"/>
  <c r="Q269" i="53"/>
  <c r="Q270" i="53"/>
  <c r="S260" i="53"/>
  <c r="U264" i="53"/>
  <c r="Q275" i="53"/>
  <c r="Q277" i="53"/>
  <c r="AP269" i="53"/>
  <c r="T259" i="53"/>
  <c r="T266" i="53"/>
  <c r="T263" i="53"/>
  <c r="R270" i="53"/>
  <c r="R274" i="53"/>
  <c r="R277" i="53"/>
  <c r="R272" i="53"/>
  <c r="R273" i="53"/>
  <c r="T274" i="53"/>
  <c r="S258" i="53"/>
  <c r="S259" i="53"/>
  <c r="S261" i="53"/>
  <c r="R275" i="53"/>
  <c r="T270" i="53"/>
  <c r="AP259" i="53"/>
  <c r="AP273" i="53"/>
  <c r="AP276" i="53"/>
  <c r="AL280" i="53"/>
  <c r="AP271" i="53"/>
  <c r="O259" i="53"/>
  <c r="AP261" i="53"/>
  <c r="O263" i="53"/>
  <c r="N264" i="53"/>
  <c r="N260" i="53"/>
  <c r="N261" i="53"/>
  <c r="N262" i="53"/>
  <c r="J69" i="83" a="1"/>
  <c r="O262" i="53"/>
  <c r="L40" i="81"/>
  <c r="L48" i="81" s="1"/>
  <c r="AJ99" i="105"/>
  <c r="L258" i="53"/>
  <c r="L266" i="53"/>
  <c r="L261" i="53"/>
  <c r="AP266" i="53"/>
  <c r="N265" i="53"/>
  <c r="M264" i="53"/>
  <c r="AP265" i="53"/>
  <c r="O265" i="53"/>
  <c r="M258" i="53"/>
  <c r="U260" i="53"/>
  <c r="M263" i="53"/>
  <c r="AP264" i="53"/>
  <c r="U266" i="53"/>
  <c r="AP262" i="53"/>
  <c r="H35" i="72" a="1"/>
  <c r="H40" i="72" s="1"/>
  <c r="H49" i="80"/>
  <c r="M118" i="53"/>
  <c r="L504" i="53"/>
  <c r="L78" i="83" s="1"/>
  <c r="L118" i="53"/>
  <c r="AL277" i="53"/>
  <c r="AL259" i="53"/>
  <c r="O266" i="53"/>
  <c r="AL273" i="53"/>
  <c r="P266" i="53"/>
  <c r="AL282" i="53"/>
  <c r="AL284" i="53"/>
  <c r="Q262" i="53"/>
  <c r="P262" i="53"/>
  <c r="L21" i="31"/>
  <c r="L23" i="31" s="1"/>
  <c r="M20" i="31"/>
  <c r="AP263" i="53"/>
  <c r="M261" i="53"/>
  <c r="AP270" i="53"/>
  <c r="AP272" i="53"/>
  <c r="T277" i="53"/>
  <c r="T275" i="53"/>
  <c r="T273" i="53"/>
  <c r="N258" i="53"/>
  <c r="P258" i="53"/>
  <c r="Q258" i="53"/>
  <c r="M266" i="53"/>
  <c r="M259" i="53"/>
  <c r="AP260" i="53"/>
  <c r="M265" i="53"/>
  <c r="AP277" i="53"/>
  <c r="T272" i="53"/>
  <c r="V118" i="53"/>
  <c r="AM77" i="22"/>
  <c r="AM37" i="53" s="1"/>
  <c r="O261" i="53"/>
  <c r="N266" i="53"/>
  <c r="L260" i="53"/>
  <c r="L265" i="53"/>
  <c r="V114" i="22"/>
  <c r="V33" i="41" s="1"/>
  <c r="L259" i="53"/>
  <c r="N125" i="22"/>
  <c r="N34" i="41" s="1"/>
  <c r="AL275" i="53"/>
  <c r="N259" i="53"/>
  <c r="L264" i="53"/>
  <c r="S88" i="22"/>
  <c r="S242" i="83" s="1"/>
  <c r="L263" i="53"/>
  <c r="AL271" i="53"/>
  <c r="P265" i="53"/>
  <c r="R260" i="53"/>
  <c r="Q263" i="53"/>
  <c r="R504" i="53"/>
  <c r="R78" i="83" s="1"/>
  <c r="AL260" i="53"/>
  <c r="AL265" i="53"/>
  <c r="AL281" i="53"/>
  <c r="AL287" i="53"/>
  <c r="S504" i="53"/>
  <c r="S78" i="83" s="1"/>
  <c r="S118" i="53"/>
  <c r="M66" i="22"/>
  <c r="M56" i="80" s="1"/>
  <c r="AL266" i="53"/>
  <c r="AL261" i="53"/>
  <c r="AL285" i="53"/>
  <c r="AL286" i="53"/>
  <c r="P259" i="53"/>
  <c r="V99" i="105"/>
  <c r="P261" i="53"/>
  <c r="Q261" i="53"/>
  <c r="Q99" i="105"/>
  <c r="AK136" i="22"/>
  <c r="AK35" i="41" s="1"/>
  <c r="AL263" i="53"/>
  <c r="AL288" i="53"/>
  <c r="P504" i="53"/>
  <c r="P78" i="83" s="1"/>
  <c r="P118" i="53"/>
  <c r="R258" i="53"/>
  <c r="P264" i="53"/>
  <c r="P260" i="53"/>
  <c r="Q265" i="53"/>
  <c r="Q260" i="53"/>
  <c r="R263" i="53"/>
  <c r="P263" i="53"/>
  <c r="Q264" i="53"/>
  <c r="Q259" i="53"/>
  <c r="AG136" i="22"/>
  <c r="AG35" i="41" s="1"/>
  <c r="R259" i="53"/>
  <c r="K263" i="53"/>
  <c r="K265" i="53"/>
  <c r="R264" i="53"/>
  <c r="K266" i="53"/>
  <c r="Q266" i="53"/>
  <c r="R261" i="53"/>
  <c r="R265" i="53"/>
  <c r="K259" i="53"/>
  <c r="R262" i="53"/>
  <c r="R266" i="53"/>
  <c r="K260" i="53"/>
  <c r="K262" i="53"/>
  <c r="K264" i="53"/>
  <c r="O264" i="53"/>
  <c r="AL270" i="53"/>
  <c r="AL274" i="53"/>
  <c r="H86" i="87"/>
  <c r="K258" i="53"/>
  <c r="AL272" i="53"/>
  <c r="AL276" i="53"/>
  <c r="U136" i="22"/>
  <c r="U35" i="41" s="1"/>
  <c r="AE77" i="22"/>
  <c r="AE57" i="80" s="1"/>
  <c r="AP280" i="53"/>
  <c r="AP281" i="53"/>
  <c r="AP282" i="53"/>
  <c r="AP283" i="53"/>
  <c r="AP284" i="53"/>
  <c r="AP285" i="53"/>
  <c r="AP286" i="53"/>
  <c r="AP287" i="53"/>
  <c r="AP288" i="53"/>
  <c r="S269" i="53"/>
  <c r="S275" i="53"/>
  <c r="S270" i="53"/>
  <c r="S271" i="53"/>
  <c r="S272" i="53"/>
  <c r="S273" i="53"/>
  <c r="S274" i="53"/>
  <c r="S276" i="53"/>
  <c r="S277" i="53"/>
  <c r="V269" i="53"/>
  <c r="V272" i="53"/>
  <c r="V276" i="53"/>
  <c r="V271" i="53"/>
  <c r="V275" i="53"/>
  <c r="V270" i="53"/>
  <c r="V274" i="53"/>
  <c r="V273" i="53"/>
  <c r="V277" i="53"/>
  <c r="T269" i="53"/>
  <c r="T271" i="53"/>
  <c r="U280" i="53"/>
  <c r="U281" i="53"/>
  <c r="U282" i="53"/>
  <c r="U283" i="53"/>
  <c r="U284" i="53"/>
  <c r="U285" i="53"/>
  <c r="U286" i="53"/>
  <c r="U287" i="53"/>
  <c r="U288" i="53"/>
  <c r="U269" i="53"/>
  <c r="U271" i="53"/>
  <c r="U275" i="53"/>
  <c r="U270" i="53"/>
  <c r="U274" i="53"/>
  <c r="U273" i="53"/>
  <c r="U277" i="53"/>
  <c r="U272" i="53"/>
  <c r="U276" i="53"/>
  <c r="H85" i="87"/>
  <c r="V258" i="53"/>
  <c r="V259" i="53"/>
  <c r="V262" i="53"/>
  <c r="V263" i="53"/>
  <c r="V260" i="53"/>
  <c r="V261" i="53"/>
  <c r="V266" i="53"/>
  <c r="V264" i="53"/>
  <c r="V265" i="53"/>
  <c r="U258" i="53"/>
  <c r="U261" i="53"/>
  <c r="U265" i="53"/>
  <c r="W280" i="53"/>
  <c r="W281" i="53"/>
  <c r="W282" i="53"/>
  <c r="W283" i="53"/>
  <c r="W284" i="53"/>
  <c r="W285" i="53"/>
  <c r="W286" i="53"/>
  <c r="W287" i="53"/>
  <c r="W288" i="53"/>
  <c r="H84" i="87"/>
  <c r="T280" i="53"/>
  <c r="T282" i="53"/>
  <c r="T287" i="53"/>
  <c r="T288" i="53"/>
  <c r="T286" i="53"/>
  <c r="T281" i="53"/>
  <c r="T283" i="53"/>
  <c r="T284" i="53"/>
  <c r="T285" i="53"/>
  <c r="AL258" i="53"/>
  <c r="AL262" i="53"/>
  <c r="W269" i="53"/>
  <c r="W273" i="53"/>
  <c r="W277" i="53"/>
  <c r="W272" i="53"/>
  <c r="W276" i="53"/>
  <c r="W271" i="53"/>
  <c r="W275" i="53"/>
  <c r="W270" i="53"/>
  <c r="W274" i="53"/>
  <c r="W258" i="53"/>
  <c r="W264" i="53"/>
  <c r="W265" i="53"/>
  <c r="W259" i="53"/>
  <c r="W262" i="53"/>
  <c r="W263" i="53"/>
  <c r="W260" i="53"/>
  <c r="W261" i="53"/>
  <c r="W266" i="53"/>
  <c r="V280" i="53"/>
  <c r="V281" i="53"/>
  <c r="V282" i="53"/>
  <c r="V283" i="53"/>
  <c r="V284" i="53"/>
  <c r="V285" i="53"/>
  <c r="V286" i="53"/>
  <c r="V287" i="53"/>
  <c r="V288" i="53"/>
  <c r="V125" i="22"/>
  <c r="V34" i="41" s="1"/>
  <c r="Z247" i="53"/>
  <c r="Z266" i="53" s="1"/>
  <c r="AH65" i="22"/>
  <c r="AK88" i="22"/>
  <c r="AO65" i="22"/>
  <c r="V65" i="22"/>
  <c r="U504" i="53"/>
  <c r="U78" i="83" s="1"/>
  <c r="U118" i="53"/>
  <c r="AI65" i="22"/>
  <c r="O504" i="53"/>
  <c r="O78" i="83" s="1"/>
  <c r="O118" i="53"/>
  <c r="O86" i="22"/>
  <c r="O88" i="22" s="1"/>
  <c r="AL99" i="105"/>
  <c r="AN66" i="22"/>
  <c r="AN56" i="80" s="1"/>
  <c r="Q504" i="53"/>
  <c r="Q78" i="83" s="1"/>
  <c r="Q118" i="53"/>
  <c r="Z65" i="22"/>
  <c r="AC134" i="22"/>
  <c r="AC136" i="22" s="1"/>
  <c r="AC35" i="41" s="1"/>
  <c r="AB247" i="53"/>
  <c r="AB288" i="53" s="1"/>
  <c r="T86" i="22"/>
  <c r="T88" i="22" s="1"/>
  <c r="T242" i="83" s="1"/>
  <c r="L64" i="22"/>
  <c r="Y65" i="22"/>
  <c r="W504" i="53"/>
  <c r="W78" i="83" s="1"/>
  <c r="W118" i="53"/>
  <c r="W65" i="22"/>
  <c r="AM64" i="22"/>
  <c r="Q135" i="22"/>
  <c r="Q136" i="22" s="1"/>
  <c r="Q35" i="41" s="1"/>
  <c r="R124" i="22"/>
  <c r="R125" i="22" s="1"/>
  <c r="R189" i="80" s="1"/>
  <c r="Y134" i="22"/>
  <c r="Y136" i="22" s="1"/>
  <c r="Y35" i="41" s="1"/>
  <c r="AO134" i="22"/>
  <c r="AO136" i="22" s="1"/>
  <c r="AO35" i="41" s="1"/>
  <c r="Y247" i="53"/>
  <c r="Y288" i="53" s="1"/>
  <c r="O207" i="31"/>
  <c r="H207" i="31" s="1"/>
  <c r="O199" i="31"/>
  <c r="H199" i="31" s="1"/>
  <c r="O221" i="31"/>
  <c r="H221" i="31" s="1"/>
  <c r="O223" i="31"/>
  <c r="H223" i="31" s="1"/>
  <c r="O209" i="31"/>
  <c r="H209" i="31" s="1"/>
  <c r="O217" i="31"/>
  <c r="H217" i="31" s="1"/>
  <c r="O204" i="31"/>
  <c r="H204" i="31" s="1"/>
  <c r="O211" i="31"/>
  <c r="H211" i="31" s="1"/>
  <c r="O195" i="31"/>
  <c r="H195" i="31" s="1"/>
  <c r="O212" i="31"/>
  <c r="H212" i="31" s="1"/>
  <c r="O219" i="31"/>
  <c r="H219" i="31" s="1"/>
  <c r="O196" i="31"/>
  <c r="H196" i="31" s="1"/>
  <c r="O225" i="31"/>
  <c r="H225" i="31" s="1"/>
  <c r="O206" i="31"/>
  <c r="H206" i="31" s="1"/>
  <c r="O200" i="31"/>
  <c r="H200" i="31" s="1"/>
  <c r="O208" i="31"/>
  <c r="H208" i="31" s="1"/>
  <c r="O222" i="31"/>
  <c r="H222" i="31" s="1"/>
  <c r="O220" i="31"/>
  <c r="H220" i="31" s="1"/>
  <c r="O194" i="31"/>
  <c r="H194" i="31" s="1"/>
  <c r="O203" i="31"/>
  <c r="H203" i="31" s="1"/>
  <c r="O215" i="31"/>
  <c r="H215" i="31" s="1"/>
  <c r="O205" i="31"/>
  <c r="H205" i="31" s="1"/>
  <c r="O198" i="31"/>
  <c r="H198" i="31" s="1"/>
  <c r="O214" i="31"/>
  <c r="H214" i="31" s="1"/>
  <c r="O197" i="31"/>
  <c r="H197" i="31" s="1"/>
  <c r="O201" i="31"/>
  <c r="H201" i="31" s="1"/>
  <c r="O216" i="31"/>
  <c r="H216" i="31" s="1"/>
  <c r="O218" i="31"/>
  <c r="H218" i="31" s="1"/>
  <c r="O210" i="31"/>
  <c r="H210" i="31" s="1"/>
  <c r="O202" i="31"/>
  <c r="H202" i="31" s="1"/>
  <c r="O31" i="81"/>
  <c r="O40" i="81" s="1"/>
  <c r="O48" i="81" s="1"/>
  <c r="O129" i="81" s="1"/>
  <c r="O226" i="31"/>
  <c r="H226" i="31" s="1"/>
  <c r="O213" i="31"/>
  <c r="H213" i="31" s="1"/>
  <c r="O224" i="31"/>
  <c r="H224" i="31" s="1"/>
  <c r="X65" i="22"/>
  <c r="AB65" i="22"/>
  <c r="O64" i="22"/>
  <c r="X266" i="53"/>
  <c r="X288" i="53"/>
  <c r="X277" i="53"/>
  <c r="U65" i="22"/>
  <c r="AC76" i="22"/>
  <c r="M134" i="22"/>
  <c r="M136" i="22" s="1"/>
  <c r="M35" i="41" s="1"/>
  <c r="AA247" i="53"/>
  <c r="AA266" i="53" s="1"/>
  <c r="K65" i="22"/>
  <c r="S64" i="22"/>
  <c r="AA65" i="22"/>
  <c r="T64" i="22"/>
  <c r="AF65" i="22"/>
  <c r="M112" i="22"/>
  <c r="M114" i="22" s="1"/>
  <c r="M33" i="41" s="1"/>
  <c r="AL75" i="22"/>
  <c r="AP76" i="22"/>
  <c r="AD88" i="22"/>
  <c r="AD66" i="22"/>
  <c r="AI75" i="22"/>
  <c r="W88" i="22"/>
  <c r="AL76" i="22"/>
  <c r="AP86" i="22"/>
  <c r="AP88" i="22" s="1"/>
  <c r="N76" i="22"/>
  <c r="M86" i="22"/>
  <c r="P86" i="22"/>
  <c r="R88" i="22"/>
  <c r="Q64" i="22"/>
  <c r="J107" i="73" a="1"/>
  <c r="X222" i="53"/>
  <c r="X272" i="53" s="1"/>
  <c r="Z222" i="53"/>
  <c r="Z261" i="53" s="1"/>
  <c r="AB222" i="53"/>
  <c r="AB261" i="53" s="1"/>
  <c r="Y222" i="53"/>
  <c r="Y272" i="53" s="1"/>
  <c r="AA222" i="53"/>
  <c r="AA261" i="53" s="1"/>
  <c r="X237" i="53"/>
  <c r="X275" i="53" s="1"/>
  <c r="Z237" i="53"/>
  <c r="Z275" i="53" s="1"/>
  <c r="AB237" i="53"/>
  <c r="AB275" i="53" s="1"/>
  <c r="Y237" i="53"/>
  <c r="Y275" i="53" s="1"/>
  <c r="AA237" i="53"/>
  <c r="AA286" i="53" s="1"/>
  <c r="Z123" i="22"/>
  <c r="Z125" i="22" s="1"/>
  <c r="AF125" i="22"/>
  <c r="X114" i="22"/>
  <c r="O135" i="22"/>
  <c r="O136" i="22" s="1"/>
  <c r="O35" i="41" s="1"/>
  <c r="T134" i="22"/>
  <c r="T136" i="22" s="1"/>
  <c r="T35" i="41" s="1"/>
  <c r="Z136" i="22"/>
  <c r="Z35" i="41" s="1"/>
  <c r="AE135" i="22"/>
  <c r="AE136" i="22" s="1"/>
  <c r="AE35" i="41" s="1"/>
  <c r="AP136" i="22"/>
  <c r="AP35" i="41" s="1"/>
  <c r="O125" i="22"/>
  <c r="T124" i="22"/>
  <c r="T125" i="22" s="1"/>
  <c r="Y123" i="22"/>
  <c r="Y125" i="22" s="1"/>
  <c r="AE125" i="22"/>
  <c r="AO123" i="22"/>
  <c r="AO125" i="22" s="1"/>
  <c r="N114" i="22"/>
  <c r="S113" i="22"/>
  <c r="S114" i="22" s="1"/>
  <c r="AE114" i="22"/>
  <c r="AJ113" i="22"/>
  <c r="AJ114" i="22" s="1"/>
  <c r="Y114" i="22"/>
  <c r="AH113" i="22"/>
  <c r="AH114" i="22" s="1"/>
  <c r="S76" i="22"/>
  <c r="U75" i="22"/>
  <c r="Q103" i="22"/>
  <c r="Q16" i="111" s="1"/>
  <c r="Y103" i="22"/>
  <c r="Y16" i="111" s="1"/>
  <c r="AK103" i="22"/>
  <c r="AK16" i="111" s="1"/>
  <c r="AA88" i="22"/>
  <c r="L76" i="22"/>
  <c r="AG75" i="22"/>
  <c r="V75" i="22"/>
  <c r="AB77" i="22"/>
  <c r="Z101" i="22"/>
  <c r="Z103" i="22" s="1"/>
  <c r="Z16" i="111" s="1"/>
  <c r="Z88" i="22"/>
  <c r="L103" i="22"/>
  <c r="L16" i="111" s="1"/>
  <c r="V88" i="22"/>
  <c r="AC64" i="22"/>
  <c r="AC86" i="22"/>
  <c r="AC88" i="22" s="1"/>
  <c r="N64" i="22"/>
  <c r="AI88" i="22"/>
  <c r="AM65" i="22"/>
  <c r="AN76" i="22"/>
  <c r="AJ64" i="22"/>
  <c r="AH75" i="22"/>
  <c r="P64" i="22"/>
  <c r="Q77" i="22"/>
  <c r="AP123" i="22"/>
  <c r="AP125" i="22" s="1"/>
  <c r="K135" i="22"/>
  <c r="K136" i="22" s="1"/>
  <c r="K35" i="41" s="1"/>
  <c r="K125" i="22"/>
  <c r="U123" i="22"/>
  <c r="U125" i="22" s="1"/>
  <c r="AA125" i="22"/>
  <c r="T112" i="22"/>
  <c r="T114" i="22" s="1"/>
  <c r="AA114" i="22"/>
  <c r="L136" i="22"/>
  <c r="L35" i="41" s="1"/>
  <c r="Z113" i="22"/>
  <c r="Z114" i="22" s="1"/>
  <c r="K64" i="22"/>
  <c r="AO88" i="22"/>
  <c r="Z64" i="22"/>
  <c r="AA77" i="22"/>
  <c r="K103" i="22"/>
  <c r="K16" i="111" s="1"/>
  <c r="O103" i="22"/>
  <c r="O16" i="111" s="1"/>
  <c r="S103" i="22"/>
  <c r="S16" i="111" s="1"/>
  <c r="W103" i="22"/>
  <c r="W16" i="111" s="1"/>
  <c r="AA103" i="22"/>
  <c r="AA16" i="111" s="1"/>
  <c r="AE103" i="22"/>
  <c r="AE16" i="111" s="1"/>
  <c r="AI103" i="22"/>
  <c r="AI16" i="111" s="1"/>
  <c r="AM103" i="22"/>
  <c r="AM16" i="111" s="1"/>
  <c r="Y88" i="22"/>
  <c r="AD75" i="22"/>
  <c r="AN86" i="22"/>
  <c r="AD76" i="22"/>
  <c r="AF75" i="22"/>
  <c r="AP64" i="22"/>
  <c r="AJ77" i="22"/>
  <c r="AH88" i="22"/>
  <c r="P77" i="22"/>
  <c r="P87" i="22"/>
  <c r="O76" i="22"/>
  <c r="Q65" i="22"/>
  <c r="Q86" i="22"/>
  <c r="Q88" i="22" s="1"/>
  <c r="H104" i="23" a="1"/>
  <c r="H104" i="23" s="1"/>
  <c r="Y212" i="53"/>
  <c r="Y281" i="53" s="1"/>
  <c r="AA212" i="53"/>
  <c r="AA281" i="53" s="1"/>
  <c r="X212" i="53"/>
  <c r="X281" i="53" s="1"/>
  <c r="Z212" i="53"/>
  <c r="Z270" i="53" s="1"/>
  <c r="AB212" i="53"/>
  <c r="AB270" i="53" s="1"/>
  <c r="X217" i="53"/>
  <c r="X260" i="53" s="1"/>
  <c r="Z217" i="53"/>
  <c r="Z282" i="53" s="1"/>
  <c r="AB217" i="53"/>
  <c r="AB271" i="53" s="1"/>
  <c r="Y217" i="53"/>
  <c r="Y260" i="53" s="1"/>
  <c r="AA217" i="53"/>
  <c r="AA260" i="53" s="1"/>
  <c r="X232" i="53"/>
  <c r="X285" i="53" s="1"/>
  <c r="Z232" i="53"/>
  <c r="Z263" i="53" s="1"/>
  <c r="AB232" i="53"/>
  <c r="AB263" i="53" s="1"/>
  <c r="Y232" i="53"/>
  <c r="Y285" i="53" s="1"/>
  <c r="AA232" i="53"/>
  <c r="AA274" i="53" s="1"/>
  <c r="X227" i="53"/>
  <c r="X284" i="53" s="1"/>
  <c r="Z227" i="53"/>
  <c r="Z273" i="53" s="1"/>
  <c r="AB227" i="53"/>
  <c r="AB284" i="53" s="1"/>
  <c r="Y227" i="53"/>
  <c r="Y262" i="53" s="1"/>
  <c r="AA227" i="53"/>
  <c r="AA273" i="53" s="1"/>
  <c r="X125" i="22"/>
  <c r="AH123" i="22"/>
  <c r="AH125" i="22" s="1"/>
  <c r="AN125" i="22"/>
  <c r="O114" i="22"/>
  <c r="R136" i="22"/>
  <c r="R35" i="41" s="1"/>
  <c r="W135" i="22"/>
  <c r="W136" i="22" s="1"/>
  <c r="W35" i="41" s="1"/>
  <c r="AB134" i="22"/>
  <c r="AB136" i="22" s="1"/>
  <c r="AB35" i="41" s="1"/>
  <c r="AH136" i="22"/>
  <c r="AH35" i="41" s="1"/>
  <c r="AM135" i="22"/>
  <c r="AM136" i="22" s="1"/>
  <c r="AM35" i="41" s="1"/>
  <c r="L124" i="22"/>
  <c r="L125" i="22" s="1"/>
  <c r="Q123" i="22"/>
  <c r="Q125" i="22" s="1"/>
  <c r="W125" i="22"/>
  <c r="AG123" i="22"/>
  <c r="AG125" i="22" s="1"/>
  <c r="AM125" i="22"/>
  <c r="K113" i="22"/>
  <c r="K114" i="22" s="1"/>
  <c r="P112" i="22"/>
  <c r="P114" i="22" s="1"/>
  <c r="W114" i="22"/>
  <c r="AB113" i="22"/>
  <c r="AB114" i="22" s="1"/>
  <c r="AM114" i="22"/>
  <c r="X136" i="22"/>
  <c r="X35" i="41" s="1"/>
  <c r="AN136" i="22"/>
  <c r="AN35" i="41" s="1"/>
  <c r="AK114" i="22"/>
  <c r="AP113" i="22"/>
  <c r="AP114" i="22" s="1"/>
  <c r="K86" i="22"/>
  <c r="K88" i="22" s="1"/>
  <c r="AG66" i="22"/>
  <c r="X64" i="22"/>
  <c r="Y77" i="22"/>
  <c r="AB64" i="22"/>
  <c r="N103" i="22"/>
  <c r="N16" i="111" s="1"/>
  <c r="U103" i="22"/>
  <c r="U16" i="111" s="1"/>
  <c r="AC103" i="22"/>
  <c r="AC16" i="111" s="1"/>
  <c r="AG103" i="22"/>
  <c r="AG16" i="111" s="1"/>
  <c r="AO103" i="22"/>
  <c r="AO16" i="111" s="1"/>
  <c r="AM88" i="22"/>
  <c r="AE65" i="22"/>
  <c r="X77" i="22"/>
  <c r="AA64" i="22"/>
  <c r="U88" i="22"/>
  <c r="V101" i="22"/>
  <c r="V103" i="22" s="1"/>
  <c r="V16" i="111" s="1"/>
  <c r="AD101" i="22"/>
  <c r="AD103" i="22" s="1"/>
  <c r="AD16" i="111" s="1"/>
  <c r="AH101" i="22"/>
  <c r="AH103" i="22" s="1"/>
  <c r="AH16" i="111" s="1"/>
  <c r="AL101" i="22"/>
  <c r="AL103" i="22" s="1"/>
  <c r="AL16" i="111" s="1"/>
  <c r="AP101" i="22"/>
  <c r="AP103" i="22" s="1"/>
  <c r="AP16" i="111" s="1"/>
  <c r="AL88" i="22"/>
  <c r="X242" i="53"/>
  <c r="X287" i="53" s="1"/>
  <c r="Z242" i="53"/>
  <c r="Z265" i="53" s="1"/>
  <c r="AB242" i="53"/>
  <c r="AB287" i="53" s="1"/>
  <c r="Y242" i="53"/>
  <c r="Y265" i="53" s="1"/>
  <c r="AA242" i="53"/>
  <c r="AA265" i="53" s="1"/>
  <c r="AB125" i="22"/>
  <c r="AL123" i="22"/>
  <c r="AL125" i="22" s="1"/>
  <c r="AF114" i="22"/>
  <c r="P134" i="22"/>
  <c r="P136" i="22" s="1"/>
  <c r="P35" i="41" s="1"/>
  <c r="V136" i="22"/>
  <c r="V35" i="41" s="1"/>
  <c r="AA135" i="22"/>
  <c r="AA136" i="22" s="1"/>
  <c r="AA35" i="41" s="1"/>
  <c r="AL136" i="22"/>
  <c r="AL35" i="41" s="1"/>
  <c r="P124" i="22"/>
  <c r="P125" i="22" s="1"/>
  <c r="AK123" i="22"/>
  <c r="AK125" i="22" s="1"/>
  <c r="U114" i="22"/>
  <c r="AJ136" i="22"/>
  <c r="AJ35" i="41" s="1"/>
  <c r="AD113" i="22"/>
  <c r="AD114" i="22" s="1"/>
  <c r="AO114" i="22"/>
  <c r="AG76" i="22"/>
  <c r="AE87" i="22"/>
  <c r="AE88" i="22" s="1"/>
  <c r="AG88" i="22"/>
  <c r="K77" i="22"/>
  <c r="T76" i="22"/>
  <c r="L88" i="22"/>
  <c r="AE64" i="22"/>
  <c r="AK64" i="22"/>
  <c r="Y64" i="22"/>
  <c r="Z77" i="22"/>
  <c r="M101" i="22"/>
  <c r="M103" i="22" s="1"/>
  <c r="M16" i="111" s="1"/>
  <c r="P101" i="22"/>
  <c r="P103" i="22" s="1"/>
  <c r="P16" i="111" s="1"/>
  <c r="T101" i="22"/>
  <c r="T103" i="22" s="1"/>
  <c r="T16" i="111" s="1"/>
  <c r="X101" i="22"/>
  <c r="X103" i="22" s="1"/>
  <c r="X16" i="111" s="1"/>
  <c r="AB101" i="22"/>
  <c r="AB103" i="22" s="1"/>
  <c r="AB16" i="111" s="1"/>
  <c r="AF101" i="22"/>
  <c r="AF103" i="22" s="1"/>
  <c r="AF16" i="111" s="1"/>
  <c r="AJ101" i="22"/>
  <c r="AJ103" i="22" s="1"/>
  <c r="AJ16" i="111" s="1"/>
  <c r="AN101" i="22"/>
  <c r="AN103" i="22" s="1"/>
  <c r="AN16" i="111" s="1"/>
  <c r="AK76" i="22"/>
  <c r="AO75" i="22"/>
  <c r="X88" i="22"/>
  <c r="AB88" i="22"/>
  <c r="R103" i="22"/>
  <c r="R16" i="111" s="1"/>
  <c r="AL66" i="22"/>
  <c r="AJ65" i="22"/>
  <c r="N86" i="22"/>
  <c r="N88" i="22" s="1"/>
  <c r="W75" i="22"/>
  <c r="AF88" i="22"/>
  <c r="AJ86" i="22"/>
  <c r="AJ88" i="22" s="1"/>
  <c r="M76" i="22"/>
  <c r="R75" i="22"/>
  <c r="R65" i="22"/>
  <c r="J109" i="72" a="1"/>
  <c r="AD123" i="22"/>
  <c r="AD125" i="22" s="1"/>
  <c r="AJ125" i="22"/>
  <c r="Q112" i="22"/>
  <c r="Q114" i="22" s="1"/>
  <c r="N136" i="22"/>
  <c r="N35" i="41" s="1"/>
  <c r="S135" i="22"/>
  <c r="S136" i="22" s="1"/>
  <c r="S35" i="41" s="1"/>
  <c r="AD136" i="22"/>
  <c r="AD35" i="41" s="1"/>
  <c r="AI135" i="22"/>
  <c r="AI136" i="22" s="1"/>
  <c r="AI35" i="41" s="1"/>
  <c r="M123" i="22"/>
  <c r="M125" i="22" s="1"/>
  <c r="S125" i="22"/>
  <c r="AC123" i="22"/>
  <c r="AC125" i="22" s="1"/>
  <c r="AI125" i="22"/>
  <c r="L112" i="22"/>
  <c r="L114" i="22" s="1"/>
  <c r="R114" i="22"/>
  <c r="AI114" i="22"/>
  <c r="AN113" i="22"/>
  <c r="AN114" i="22" s="1"/>
  <c r="AF136" i="22"/>
  <c r="AF35" i="41" s="1"/>
  <c r="AC114" i="22"/>
  <c r="AG114" i="22"/>
  <c r="AL113" i="22"/>
  <c r="AL114" i="22" s="1"/>
  <c r="J43" i="55" l="1"/>
  <c r="A4" i="23"/>
  <c r="AB27" i="111"/>
  <c r="AB28" i="111"/>
  <c r="AB34" i="111" s="1"/>
  <c r="M28" i="111"/>
  <c r="M34" i="111" s="1"/>
  <c r="M27" i="111"/>
  <c r="M33" i="111" s="1"/>
  <c r="AH27" i="111"/>
  <c r="AH33" i="111" s="1"/>
  <c r="AH28" i="111"/>
  <c r="AH34" i="111" s="1"/>
  <c r="AO27" i="111"/>
  <c r="AO33" i="111" s="1"/>
  <c r="AO28" i="111"/>
  <c r="AO34" i="111" s="1"/>
  <c r="N28" i="111"/>
  <c r="N34" i="111" s="1"/>
  <c r="N27" i="111"/>
  <c r="N33" i="111" s="1"/>
  <c r="AI27" i="111"/>
  <c r="AI33" i="111" s="1"/>
  <c r="AI28" i="111"/>
  <c r="AI34" i="111" s="1"/>
  <c r="S27" i="111"/>
  <c r="S33" i="111" s="1"/>
  <c r="S28" i="111"/>
  <c r="S34" i="111" s="1"/>
  <c r="Y28" i="111"/>
  <c r="Y34" i="111" s="1"/>
  <c r="Y27" i="111"/>
  <c r="P27" i="111"/>
  <c r="P33" i="111" s="1"/>
  <c r="P28" i="111"/>
  <c r="P34" i="111" s="1"/>
  <c r="AL28" i="111"/>
  <c r="AL34" i="111" s="1"/>
  <c r="AL27" i="111"/>
  <c r="AL33" i="111" s="1"/>
  <c r="AN27" i="111"/>
  <c r="AN33" i="111" s="1"/>
  <c r="AN28" i="111"/>
  <c r="AN34" i="111" s="1"/>
  <c r="X27" i="111"/>
  <c r="X28" i="111"/>
  <c r="X34" i="111" s="1"/>
  <c r="AD27" i="111"/>
  <c r="AD33" i="111" s="1"/>
  <c r="AD28" i="111"/>
  <c r="AD34" i="111" s="1"/>
  <c r="AE28" i="111"/>
  <c r="AE34" i="111" s="1"/>
  <c r="AE27" i="111"/>
  <c r="AE33" i="111" s="1"/>
  <c r="O28" i="111"/>
  <c r="O34" i="111" s="1"/>
  <c r="O27" i="111"/>
  <c r="O33" i="111" s="1"/>
  <c r="Z28" i="111"/>
  <c r="Z34" i="111" s="1"/>
  <c r="Z27" i="111"/>
  <c r="Q27" i="111"/>
  <c r="Q33" i="111" s="1"/>
  <c r="Q28" i="111"/>
  <c r="Q34" i="111" s="1"/>
  <c r="AF27" i="111"/>
  <c r="AF33" i="111" s="1"/>
  <c r="AF28" i="111"/>
  <c r="AF34" i="111" s="1"/>
  <c r="R28" i="111"/>
  <c r="R34" i="111" s="1"/>
  <c r="R27" i="111"/>
  <c r="R33" i="111" s="1"/>
  <c r="AG27" i="111"/>
  <c r="AG33" i="111" s="1"/>
  <c r="AG28" i="111"/>
  <c r="AG34" i="111" s="1"/>
  <c r="AJ28" i="111"/>
  <c r="AJ34" i="111" s="1"/>
  <c r="AJ27" i="111"/>
  <c r="AJ33" i="111" s="1"/>
  <c r="T27" i="111"/>
  <c r="T33" i="111" s="1"/>
  <c r="T28" i="111"/>
  <c r="T34" i="111" s="1"/>
  <c r="AP28" i="111"/>
  <c r="AP34" i="111" s="1"/>
  <c r="AP27" i="111"/>
  <c r="AP33" i="111" s="1"/>
  <c r="V28" i="111"/>
  <c r="V34" i="111" s="1"/>
  <c r="V27" i="111"/>
  <c r="V33" i="111" s="1"/>
  <c r="AC27" i="111"/>
  <c r="AC33" i="111" s="1"/>
  <c r="AC28" i="111"/>
  <c r="AC34" i="111" s="1"/>
  <c r="AA28" i="111"/>
  <c r="AA34" i="111" s="1"/>
  <c r="AA27" i="111"/>
  <c r="K28" i="111"/>
  <c r="K34" i="111" s="1"/>
  <c r="K27" i="111"/>
  <c r="K33" i="111" s="1"/>
  <c r="U28" i="111"/>
  <c r="U34" i="111" s="1"/>
  <c r="U27" i="111"/>
  <c r="U33" i="111" s="1"/>
  <c r="AM27" i="111"/>
  <c r="AM33" i="111" s="1"/>
  <c r="AM28" i="111"/>
  <c r="AM34" i="111" s="1"/>
  <c r="W28" i="111"/>
  <c r="W34" i="111" s="1"/>
  <c r="W27" i="111"/>
  <c r="W33" i="111" s="1"/>
  <c r="L28" i="111"/>
  <c r="L34" i="111" s="1"/>
  <c r="L27" i="111"/>
  <c r="L33" i="111" s="1"/>
  <c r="AK27" i="111"/>
  <c r="AK33" i="111" s="1"/>
  <c r="AK28" i="111"/>
  <c r="AK34" i="111" s="1"/>
  <c r="Q290" i="31"/>
  <c r="M290" i="31"/>
  <c r="S290" i="31"/>
  <c r="N290" i="31"/>
  <c r="O290" i="31"/>
  <c r="R290" i="31"/>
  <c r="L290" i="31"/>
  <c r="K290" i="31"/>
  <c r="P290" i="31"/>
  <c r="J290" i="31"/>
  <c r="S293" i="31"/>
  <c r="O293" i="31"/>
  <c r="K293" i="31"/>
  <c r="P293" i="31"/>
  <c r="J293" i="31"/>
  <c r="L293" i="31"/>
  <c r="N293" i="31"/>
  <c r="R293" i="31"/>
  <c r="M293" i="31"/>
  <c r="Q293" i="31"/>
  <c r="Q286" i="31"/>
  <c r="M286" i="31"/>
  <c r="P286" i="31"/>
  <c r="K286" i="31"/>
  <c r="L286" i="31"/>
  <c r="O286" i="31"/>
  <c r="J286" i="31"/>
  <c r="N286" i="31"/>
  <c r="S286" i="31"/>
  <c r="R286" i="31"/>
  <c r="S295" i="31"/>
  <c r="O295" i="31"/>
  <c r="K295" i="31"/>
  <c r="Q295" i="31"/>
  <c r="L295" i="31"/>
  <c r="P295" i="31"/>
  <c r="J295" i="31"/>
  <c r="N295" i="31"/>
  <c r="R295" i="31"/>
  <c r="M295" i="31"/>
  <c r="Q296" i="31"/>
  <c r="M296" i="31"/>
  <c r="R296" i="31"/>
  <c r="L296" i="31"/>
  <c r="P296" i="31"/>
  <c r="K296" i="31"/>
  <c r="O296" i="31"/>
  <c r="J296" i="31"/>
  <c r="S296" i="31"/>
  <c r="N296" i="31"/>
  <c r="Q288" i="31"/>
  <c r="M288" i="31"/>
  <c r="R288" i="31"/>
  <c r="L288" i="31"/>
  <c r="S288" i="31"/>
  <c r="P288" i="31"/>
  <c r="K288" i="31"/>
  <c r="O288" i="31"/>
  <c r="J288" i="31"/>
  <c r="N288" i="31"/>
  <c r="S291" i="31"/>
  <c r="O291" i="31"/>
  <c r="K291" i="31"/>
  <c r="N291" i="31"/>
  <c r="R291" i="31"/>
  <c r="M291" i="31"/>
  <c r="Q291" i="31"/>
  <c r="L291" i="31"/>
  <c r="J291" i="31"/>
  <c r="P291" i="31"/>
  <c r="Q292" i="31"/>
  <c r="M292" i="31"/>
  <c r="O292" i="31"/>
  <c r="J292" i="31"/>
  <c r="S292" i="31"/>
  <c r="N292" i="31"/>
  <c r="R292" i="31"/>
  <c r="K292" i="31"/>
  <c r="L292" i="31"/>
  <c r="P292" i="31"/>
  <c r="S289" i="31"/>
  <c r="O289" i="31"/>
  <c r="K289" i="31"/>
  <c r="R289" i="31"/>
  <c r="M289" i="31"/>
  <c r="Q289" i="31"/>
  <c r="L289" i="31"/>
  <c r="P289" i="31"/>
  <c r="N289" i="31"/>
  <c r="J289" i="31"/>
  <c r="Q298" i="31"/>
  <c r="M298" i="31"/>
  <c r="S298" i="31"/>
  <c r="N298" i="31"/>
  <c r="R298" i="31"/>
  <c r="L298" i="31"/>
  <c r="P298" i="31"/>
  <c r="K298" i="31"/>
  <c r="J298" i="31"/>
  <c r="O298" i="31"/>
  <c r="S285" i="31"/>
  <c r="O285" i="31"/>
  <c r="K285" i="31"/>
  <c r="P285" i="31"/>
  <c r="J285" i="31"/>
  <c r="N285" i="31"/>
  <c r="R285" i="31"/>
  <c r="Q285" i="31"/>
  <c r="M285" i="31"/>
  <c r="L285" i="31"/>
  <c r="S287" i="31"/>
  <c r="O287" i="31"/>
  <c r="K287" i="31"/>
  <c r="Q287" i="31"/>
  <c r="L287" i="31"/>
  <c r="R287" i="31"/>
  <c r="P287" i="31"/>
  <c r="J287" i="31"/>
  <c r="N287" i="31"/>
  <c r="M287" i="31"/>
  <c r="Q294" i="31"/>
  <c r="M294" i="31"/>
  <c r="P294" i="31"/>
  <c r="K294" i="31"/>
  <c r="O294" i="31"/>
  <c r="J294" i="31"/>
  <c r="S294" i="31"/>
  <c r="R294" i="31"/>
  <c r="N294" i="31"/>
  <c r="L294" i="31"/>
  <c r="S297" i="31"/>
  <c r="O297" i="31"/>
  <c r="K297" i="31"/>
  <c r="R297" i="31"/>
  <c r="M297" i="31"/>
  <c r="Q297" i="31"/>
  <c r="L297" i="31"/>
  <c r="P297" i="31"/>
  <c r="J297" i="31"/>
  <c r="N297" i="31"/>
  <c r="AM99" i="105"/>
  <c r="AD99" i="105"/>
  <c r="AL109" i="105"/>
  <c r="AL126" i="105" s="1"/>
  <c r="AN125" i="105"/>
  <c r="V125" i="105"/>
  <c r="AM125" i="105"/>
  <c r="AJ109" i="105"/>
  <c r="AJ126" i="105" s="1"/>
  <c r="AO99" i="105"/>
  <c r="AP125" i="105"/>
  <c r="AL125" i="105"/>
  <c r="Q125" i="105"/>
  <c r="AI125" i="105"/>
  <c r="AK99" i="105"/>
  <c r="W99" i="105"/>
  <c r="R99" i="105"/>
  <c r="AJ125" i="105"/>
  <c r="AP109" i="105"/>
  <c r="AP126" i="105" s="1"/>
  <c r="AF99" i="105"/>
  <c r="AN109" i="105"/>
  <c r="AN126" i="105" s="1"/>
  <c r="AH99" i="105"/>
  <c r="K118" i="53"/>
  <c r="O38" i="53"/>
  <c r="O64" i="53" s="1"/>
  <c r="AK38" i="53"/>
  <c r="AK65" i="53" s="1"/>
  <c r="Z271" i="53"/>
  <c r="Y277" i="53"/>
  <c r="Y263" i="53"/>
  <c r="H43" i="83"/>
  <c r="H45" i="83"/>
  <c r="H51" i="83"/>
  <c r="H46" i="83"/>
  <c r="H49" i="83"/>
  <c r="H50" i="83"/>
  <c r="H52" i="83"/>
  <c r="H47" i="83"/>
  <c r="H48" i="83"/>
  <c r="H44" i="83"/>
  <c r="X264" i="53"/>
  <c r="V188" i="80"/>
  <c r="V189" i="80"/>
  <c r="M29" i="41"/>
  <c r="M76" i="41" s="1"/>
  <c r="Y264" i="53"/>
  <c r="X261" i="53"/>
  <c r="J69" i="83"/>
  <c r="L69" i="83"/>
  <c r="T69" i="83"/>
  <c r="AB69" i="83"/>
  <c r="AJ69" i="83"/>
  <c r="K70" i="83"/>
  <c r="S70" i="83"/>
  <c r="AA70" i="83"/>
  <c r="AI70" i="83"/>
  <c r="J71" i="83"/>
  <c r="R71" i="83"/>
  <c r="W71" i="83"/>
  <c r="AC71" i="83"/>
  <c r="AH71" i="83"/>
  <c r="AM71" i="83"/>
  <c r="L72" i="83"/>
  <c r="Q72" i="83"/>
  <c r="V72" i="83"/>
  <c r="AB72" i="83"/>
  <c r="AG72" i="83"/>
  <c r="AL72" i="83"/>
  <c r="K73" i="83"/>
  <c r="P73" i="83"/>
  <c r="U73" i="83"/>
  <c r="AA73" i="83"/>
  <c r="AF73" i="83"/>
  <c r="AK73" i="83"/>
  <c r="J74" i="83"/>
  <c r="O74" i="83"/>
  <c r="T74" i="83"/>
  <c r="Z74" i="83"/>
  <c r="AE74" i="83"/>
  <c r="AJ74" i="83"/>
  <c r="AP74" i="83"/>
  <c r="N75" i="83"/>
  <c r="S75" i="83"/>
  <c r="Y75" i="83"/>
  <c r="AD75" i="83"/>
  <c r="AI75" i="83"/>
  <c r="AO75" i="83"/>
  <c r="M76" i="83"/>
  <c r="R76" i="83"/>
  <c r="X76" i="83"/>
  <c r="AC76" i="83"/>
  <c r="AH76" i="83"/>
  <c r="M69" i="83"/>
  <c r="U69" i="83"/>
  <c r="AC69" i="83"/>
  <c r="AK69" i="83"/>
  <c r="L70" i="83"/>
  <c r="T70" i="83"/>
  <c r="AB70" i="83"/>
  <c r="AJ70" i="83"/>
  <c r="K71" i="83"/>
  <c r="S71" i="83"/>
  <c r="Y71" i="83"/>
  <c r="AD71" i="83"/>
  <c r="AI71" i="83"/>
  <c r="AO71" i="83"/>
  <c r="M72" i="83"/>
  <c r="R72" i="83"/>
  <c r="X72" i="83"/>
  <c r="AC72" i="83"/>
  <c r="AH72" i="83"/>
  <c r="AN72" i="83"/>
  <c r="L73" i="83"/>
  <c r="Q73" i="83"/>
  <c r="W73" i="83"/>
  <c r="AB73" i="83"/>
  <c r="AG73" i="83"/>
  <c r="AM73" i="83"/>
  <c r="K74" i="83"/>
  <c r="P74" i="83"/>
  <c r="V74" i="83"/>
  <c r="AA74" i="83"/>
  <c r="AF74" i="83"/>
  <c r="AL74" i="83"/>
  <c r="J75" i="83"/>
  <c r="O75" i="83"/>
  <c r="U75" i="83"/>
  <c r="Z75" i="83"/>
  <c r="AE75" i="83"/>
  <c r="AK75" i="83"/>
  <c r="AP75" i="83"/>
  <c r="N76" i="83"/>
  <c r="T76" i="83"/>
  <c r="Y76" i="83"/>
  <c r="AD76" i="83"/>
  <c r="AJ76" i="83"/>
  <c r="X69" i="83"/>
  <c r="AN69" i="83"/>
  <c r="W70" i="83"/>
  <c r="AM70" i="83"/>
  <c r="U71" i="83"/>
  <c r="AE71" i="83"/>
  <c r="AP71" i="83"/>
  <c r="T72" i="83"/>
  <c r="AD72" i="83"/>
  <c r="AO72" i="83"/>
  <c r="S73" i="83"/>
  <c r="AC73" i="83"/>
  <c r="AN73" i="83"/>
  <c r="R74" i="83"/>
  <c r="AB74" i="83"/>
  <c r="AM74" i="83"/>
  <c r="Q75" i="83"/>
  <c r="AA75" i="83"/>
  <c r="AL75" i="83"/>
  <c r="P76" i="83"/>
  <c r="Z76" i="83"/>
  <c r="AK76" i="83"/>
  <c r="AP76" i="83"/>
  <c r="P70" i="83"/>
  <c r="P72" i="83"/>
  <c r="O73" i="83"/>
  <c r="AI74" i="83"/>
  <c r="AH75" i="83"/>
  <c r="AG76" i="83"/>
  <c r="Y69" i="83"/>
  <c r="AO69" i="83"/>
  <c r="X70" i="83"/>
  <c r="AN70" i="83"/>
  <c r="V71" i="83"/>
  <c r="AG71" i="83"/>
  <c r="J72" i="83"/>
  <c r="U72" i="83"/>
  <c r="AF72" i="83"/>
  <c r="AP72" i="83"/>
  <c r="T73" i="83"/>
  <c r="AE73" i="83"/>
  <c r="AO73" i="83"/>
  <c r="S74" i="83"/>
  <c r="AD74" i="83"/>
  <c r="AN74" i="83"/>
  <c r="R75" i="83"/>
  <c r="AC75" i="83"/>
  <c r="AM75" i="83"/>
  <c r="Q76" i="83"/>
  <c r="AB76" i="83"/>
  <c r="AL76" i="83"/>
  <c r="Q69" i="83"/>
  <c r="AF70" i="83"/>
  <c r="AA71" i="83"/>
  <c r="AK72" i="83"/>
  <c r="AJ73" i="83"/>
  <c r="N74" i="83"/>
  <c r="M75" i="83"/>
  <c r="V76" i="83"/>
  <c r="AO76" i="83"/>
  <c r="P69" i="83"/>
  <c r="AF69" i="83"/>
  <c r="O70" i="83"/>
  <c r="AE70" i="83"/>
  <c r="N71" i="83"/>
  <c r="Z71" i="83"/>
  <c r="AK71" i="83"/>
  <c r="N72" i="83"/>
  <c r="Y72" i="83"/>
  <c r="AJ72" i="83"/>
  <c r="M73" i="83"/>
  <c r="X73" i="83"/>
  <c r="AI73" i="83"/>
  <c r="L74" i="83"/>
  <c r="W74" i="83"/>
  <c r="AH74" i="83"/>
  <c r="K75" i="83"/>
  <c r="V75" i="83"/>
  <c r="AG75" i="83"/>
  <c r="J76" i="83"/>
  <c r="U76" i="83"/>
  <c r="AF76" i="83"/>
  <c r="AN76" i="83"/>
  <c r="AG69" i="83"/>
  <c r="O71" i="83"/>
  <c r="AL71" i="83"/>
  <c r="Z72" i="83"/>
  <c r="Y73" i="83"/>
  <c r="X74" i="83"/>
  <c r="W75" i="83"/>
  <c r="L76" i="83"/>
  <c r="AL70" i="83"/>
  <c r="V70" i="83"/>
  <c r="AM69" i="83"/>
  <c r="W69" i="83"/>
  <c r="AM76" i="83"/>
  <c r="W76" i="83"/>
  <c r="AN75" i="83"/>
  <c r="X75" i="83"/>
  <c r="AO74" i="83"/>
  <c r="Y74" i="83"/>
  <c r="AP73" i="83"/>
  <c r="Z73" i="83"/>
  <c r="J73" i="83"/>
  <c r="AA72" i="83"/>
  <c r="K72" i="83"/>
  <c r="AB71" i="83"/>
  <c r="L71" i="83"/>
  <c r="AC70" i="83"/>
  <c r="M70" i="83"/>
  <c r="AD69" i="83"/>
  <c r="N69" i="83"/>
  <c r="Q71" i="83"/>
  <c r="AH70" i="83"/>
  <c r="R70" i="83"/>
  <c r="AI69" i="83"/>
  <c r="S69" i="83"/>
  <c r="AI76" i="83"/>
  <c r="S76" i="83"/>
  <c r="AJ75" i="83"/>
  <c r="T75" i="83"/>
  <c r="AK74" i="83"/>
  <c r="U74" i="83"/>
  <c r="AL73" i="83"/>
  <c r="V73" i="83"/>
  <c r="AM72" i="83"/>
  <c r="W72" i="83"/>
  <c r="AN71" i="83"/>
  <c r="X71" i="83"/>
  <c r="AO70" i="83"/>
  <c r="Y70" i="83"/>
  <c r="AP69" i="83"/>
  <c r="Z69" i="83"/>
  <c r="M71" i="83"/>
  <c r="AD70" i="83"/>
  <c r="N70" i="83"/>
  <c r="AE69" i="83"/>
  <c r="O69" i="83"/>
  <c r="AE76" i="83"/>
  <c r="O76" i="83"/>
  <c r="AF75" i="83"/>
  <c r="P75" i="83"/>
  <c r="AG74" i="83"/>
  <c r="Q74" i="83"/>
  <c r="AH73" i="83"/>
  <c r="R73" i="83"/>
  <c r="AI72" i="83"/>
  <c r="S72" i="83"/>
  <c r="AJ71" i="83"/>
  <c r="T71" i="83"/>
  <c r="AK70" i="83"/>
  <c r="U70" i="83"/>
  <c r="AL69" i="83"/>
  <c r="V69" i="83"/>
  <c r="AP70" i="83"/>
  <c r="K69" i="83"/>
  <c r="L75" i="83"/>
  <c r="N73" i="83"/>
  <c r="P71" i="83"/>
  <c r="R69" i="83"/>
  <c r="Z70" i="83"/>
  <c r="AA76" i="83"/>
  <c r="AC74" i="83"/>
  <c r="AE72" i="83"/>
  <c r="AG70" i="83"/>
  <c r="AA69" i="83"/>
  <c r="AD73" i="83"/>
  <c r="AH69" i="83"/>
  <c r="J70" i="83"/>
  <c r="K76" i="83"/>
  <c r="M74" i="83"/>
  <c r="O72" i="83"/>
  <c r="Q70" i="83"/>
  <c r="AB75" i="83"/>
  <c r="AF71" i="83"/>
  <c r="AM30" i="41"/>
  <c r="O55" i="81"/>
  <c r="O56" i="81" s="1"/>
  <c r="O114" i="81" s="1"/>
  <c r="L55" i="81"/>
  <c r="L56" i="81" s="1"/>
  <c r="L114" i="81" s="1"/>
  <c r="H39" i="72"/>
  <c r="H44" i="72"/>
  <c r="H42" i="72"/>
  <c r="H38" i="72"/>
  <c r="H37" i="72"/>
  <c r="H41" i="72"/>
  <c r="H36" i="72"/>
  <c r="H43" i="72"/>
  <c r="AB266" i="53"/>
  <c r="H35" i="72"/>
  <c r="Z272" i="53"/>
  <c r="AB277" i="53"/>
  <c r="S38" i="53"/>
  <c r="S65" i="53" s="1"/>
  <c r="Y274" i="53"/>
  <c r="AA275" i="53"/>
  <c r="X270" i="53"/>
  <c r="Z283" i="53"/>
  <c r="AM57" i="80"/>
  <c r="X286" i="53"/>
  <c r="S238" i="31"/>
  <c r="R42" i="80" s="1"/>
  <c r="O238" i="31"/>
  <c r="R38" i="80" s="1"/>
  <c r="K238" i="31"/>
  <c r="R34" i="80" s="1"/>
  <c r="R238" i="31"/>
  <c r="R41" i="80" s="1"/>
  <c r="N238" i="31"/>
  <c r="R37" i="80" s="1"/>
  <c r="J238" i="31"/>
  <c r="Q238" i="31"/>
  <c r="R40" i="80" s="1"/>
  <c r="M238" i="31"/>
  <c r="R36" i="80" s="1"/>
  <c r="P238" i="31"/>
  <c r="R39" i="80" s="1"/>
  <c r="L238" i="31"/>
  <c r="R35" i="80" s="1"/>
  <c r="Q237" i="31"/>
  <c r="Q40" i="80" s="1"/>
  <c r="M237" i="31"/>
  <c r="Q36" i="80" s="1"/>
  <c r="P237" i="31"/>
  <c r="Q39" i="80" s="1"/>
  <c r="L237" i="31"/>
  <c r="Q35" i="80" s="1"/>
  <c r="S237" i="31"/>
  <c r="Q42" i="80" s="1"/>
  <c r="O237" i="31"/>
  <c r="Q38" i="80" s="1"/>
  <c r="K237" i="31"/>
  <c r="Q34" i="80" s="1"/>
  <c r="N237" i="31"/>
  <c r="Q37" i="80" s="1"/>
  <c r="J237" i="31"/>
  <c r="R237" i="31"/>
  <c r="Q41" i="80" s="1"/>
  <c r="Q241" i="31"/>
  <c r="M241" i="31"/>
  <c r="P241" i="31"/>
  <c r="L241" i="31"/>
  <c r="U35" i="80" s="1"/>
  <c r="S241" i="31"/>
  <c r="O241" i="31"/>
  <c r="U38" i="80" s="1"/>
  <c r="K241" i="31"/>
  <c r="R241" i="31"/>
  <c r="U41" i="80" s="1"/>
  <c r="J241" i="31"/>
  <c r="N241" i="31"/>
  <c r="S256" i="31"/>
  <c r="AJ42" i="80" s="1"/>
  <c r="AJ204" i="80" s="1"/>
  <c r="O256" i="31"/>
  <c r="AJ38" i="80" s="1"/>
  <c r="K256" i="31"/>
  <c r="AJ34" i="80" s="1"/>
  <c r="R256" i="31"/>
  <c r="AJ41" i="80" s="1"/>
  <c r="N256" i="31"/>
  <c r="AJ37" i="80" s="1"/>
  <c r="J256" i="31"/>
  <c r="Q256" i="31"/>
  <c r="AJ40" i="80" s="1"/>
  <c r="M256" i="31"/>
  <c r="AJ36" i="80" s="1"/>
  <c r="P256" i="31"/>
  <c r="AJ39" i="80" s="1"/>
  <c r="L256" i="31"/>
  <c r="AJ35" i="80" s="1"/>
  <c r="S242" i="31"/>
  <c r="O242" i="31"/>
  <c r="K242" i="31"/>
  <c r="R242" i="31"/>
  <c r="N242" i="31"/>
  <c r="J242" i="31"/>
  <c r="Q242" i="31"/>
  <c r="V40" i="80" s="1"/>
  <c r="M242" i="31"/>
  <c r="L242" i="31"/>
  <c r="P242" i="31"/>
  <c r="S248" i="31"/>
  <c r="AB42" i="80" s="1"/>
  <c r="O248" i="31"/>
  <c r="AB38" i="80" s="1"/>
  <c r="K248" i="31"/>
  <c r="AB34" i="80" s="1"/>
  <c r="R248" i="31"/>
  <c r="AB41" i="80" s="1"/>
  <c r="N248" i="31"/>
  <c r="AB37" i="80" s="1"/>
  <c r="J248" i="31"/>
  <c r="Q248" i="31"/>
  <c r="AB40" i="80" s="1"/>
  <c r="M248" i="31"/>
  <c r="AB36" i="80" s="1"/>
  <c r="P248" i="31"/>
  <c r="AB39" i="80" s="1"/>
  <c r="L248" i="31"/>
  <c r="AB35" i="80" s="1"/>
  <c r="Q253" i="31"/>
  <c r="M253" i="31"/>
  <c r="P253" i="31"/>
  <c r="L253" i="31"/>
  <c r="S253" i="31"/>
  <c r="O253" i="31"/>
  <c r="K253" i="31"/>
  <c r="N253" i="31"/>
  <c r="J253" i="31"/>
  <c r="R253" i="31"/>
  <c r="Q235" i="31"/>
  <c r="M235" i="31"/>
  <c r="O36" i="80" s="1"/>
  <c r="P235" i="31"/>
  <c r="O39" i="80" s="1"/>
  <c r="L235" i="31"/>
  <c r="S235" i="31"/>
  <c r="O235" i="31"/>
  <c r="K235" i="31"/>
  <c r="R235" i="31"/>
  <c r="O41" i="80" s="1"/>
  <c r="N235" i="31"/>
  <c r="J235" i="31"/>
  <c r="Q251" i="31"/>
  <c r="AE40" i="80" s="1"/>
  <c r="M251" i="31"/>
  <c r="AE36" i="80" s="1"/>
  <c r="P251" i="31"/>
  <c r="AE39" i="80" s="1"/>
  <c r="L251" i="31"/>
  <c r="AE35" i="80" s="1"/>
  <c r="S251" i="31"/>
  <c r="AE42" i="80" s="1"/>
  <c r="AE204" i="80" s="1"/>
  <c r="O251" i="31"/>
  <c r="AE38" i="80" s="1"/>
  <c r="K251" i="31"/>
  <c r="AE34" i="80" s="1"/>
  <c r="R251" i="31"/>
  <c r="AE41" i="80" s="1"/>
  <c r="N251" i="31"/>
  <c r="AE37" i="80" s="1"/>
  <c r="J251" i="31"/>
  <c r="Q249" i="31"/>
  <c r="AC40" i="80" s="1"/>
  <c r="M249" i="31"/>
  <c r="AC36" i="80" s="1"/>
  <c r="P249" i="31"/>
  <c r="AC39" i="80" s="1"/>
  <c r="L249" i="31"/>
  <c r="AC35" i="80" s="1"/>
  <c r="S249" i="31"/>
  <c r="AC42" i="80" s="1"/>
  <c r="AC204" i="80" s="1"/>
  <c r="O249" i="31"/>
  <c r="AC38" i="80" s="1"/>
  <c r="K249" i="31"/>
  <c r="AC34" i="80" s="1"/>
  <c r="R249" i="31"/>
  <c r="AC41" i="80" s="1"/>
  <c r="N249" i="31"/>
  <c r="AC37" i="80" s="1"/>
  <c r="J249" i="31"/>
  <c r="S246" i="31"/>
  <c r="Z42" i="80" s="1"/>
  <c r="O246" i="31"/>
  <c r="Z38" i="80" s="1"/>
  <c r="K246" i="31"/>
  <c r="Z34" i="80" s="1"/>
  <c r="R246" i="31"/>
  <c r="Z41" i="80" s="1"/>
  <c r="N246" i="31"/>
  <c r="Z37" i="80" s="1"/>
  <c r="J246" i="31"/>
  <c r="Q246" i="31"/>
  <c r="Z40" i="80" s="1"/>
  <c r="M246" i="31"/>
  <c r="Z36" i="80" s="1"/>
  <c r="P246" i="31"/>
  <c r="Z39" i="80" s="1"/>
  <c r="L246" i="31"/>
  <c r="Z35" i="80" s="1"/>
  <c r="Q233" i="31"/>
  <c r="M40" i="80" s="1"/>
  <c r="M233" i="31"/>
  <c r="M36" i="80" s="1"/>
  <c r="P233" i="31"/>
  <c r="M39" i="80" s="1"/>
  <c r="L233" i="31"/>
  <c r="M35" i="80" s="1"/>
  <c r="S233" i="31"/>
  <c r="M42" i="80" s="1"/>
  <c r="O233" i="31"/>
  <c r="M38" i="80" s="1"/>
  <c r="K233" i="31"/>
  <c r="M34" i="80" s="1"/>
  <c r="R233" i="31"/>
  <c r="M41" i="80" s="1"/>
  <c r="J233" i="31"/>
  <c r="N233" i="31"/>
  <c r="M37" i="80" s="1"/>
  <c r="S258" i="31"/>
  <c r="AL42" i="80" s="1"/>
  <c r="AL204" i="80" s="1"/>
  <c r="O258" i="31"/>
  <c r="AL38" i="80" s="1"/>
  <c r="K258" i="31"/>
  <c r="AL34" i="80" s="1"/>
  <c r="R258" i="31"/>
  <c r="AL41" i="80" s="1"/>
  <c r="N258" i="31"/>
  <c r="AL37" i="80" s="1"/>
  <c r="J258" i="31"/>
  <c r="Q258" i="31"/>
  <c r="AL40" i="80" s="1"/>
  <c r="M258" i="31"/>
  <c r="AL36" i="80" s="1"/>
  <c r="L258" i="31"/>
  <c r="AL35" i="80" s="1"/>
  <c r="P258" i="31"/>
  <c r="AL39" i="80" s="1"/>
  <c r="Q261" i="31"/>
  <c r="AO40" i="80" s="1"/>
  <c r="M261" i="31"/>
  <c r="AO36" i="80" s="1"/>
  <c r="P261" i="31"/>
  <c r="AO39" i="80" s="1"/>
  <c r="L261" i="31"/>
  <c r="AO35" i="80" s="1"/>
  <c r="R261" i="31"/>
  <c r="S261" i="31"/>
  <c r="AO42" i="80" s="1"/>
  <c r="AO204" i="80" s="1"/>
  <c r="O261" i="31"/>
  <c r="AO38" i="80" s="1"/>
  <c r="K261" i="31"/>
  <c r="AO34" i="80" s="1"/>
  <c r="N261" i="31"/>
  <c r="AO37" i="80" s="1"/>
  <c r="J261" i="31"/>
  <c r="Q231" i="31"/>
  <c r="M231" i="31"/>
  <c r="P231" i="31"/>
  <c r="L231" i="31"/>
  <c r="K35" i="80" s="1"/>
  <c r="S231" i="31"/>
  <c r="K42" i="80" s="1"/>
  <c r="O231" i="31"/>
  <c r="K38" i="80" s="1"/>
  <c r="K231" i="31"/>
  <c r="J231" i="31"/>
  <c r="R231" i="31"/>
  <c r="N231" i="31"/>
  <c r="Q245" i="31"/>
  <c r="Y40" i="80" s="1"/>
  <c r="M245" i="31"/>
  <c r="Y36" i="80" s="1"/>
  <c r="P245" i="31"/>
  <c r="Y39" i="80" s="1"/>
  <c r="L245" i="31"/>
  <c r="Y35" i="80" s="1"/>
  <c r="S245" i="31"/>
  <c r="Y42" i="80" s="1"/>
  <c r="O245" i="31"/>
  <c r="Y38" i="80" s="1"/>
  <c r="K245" i="31"/>
  <c r="Y34" i="80" s="1"/>
  <c r="N245" i="31"/>
  <c r="Y37" i="80" s="1"/>
  <c r="J245" i="31"/>
  <c r="R245" i="31"/>
  <c r="Y41" i="80" s="1"/>
  <c r="Q243" i="31"/>
  <c r="W40" i="80" s="1"/>
  <c r="M243" i="31"/>
  <c r="W36" i="80" s="1"/>
  <c r="P243" i="31"/>
  <c r="L243" i="31"/>
  <c r="W35" i="80" s="1"/>
  <c r="S243" i="31"/>
  <c r="W42" i="80" s="1"/>
  <c r="O243" i="31"/>
  <c r="K243" i="31"/>
  <c r="R243" i="31"/>
  <c r="W41" i="80" s="1"/>
  <c r="N243" i="31"/>
  <c r="W37" i="80" s="1"/>
  <c r="J243" i="31"/>
  <c r="Q239" i="31"/>
  <c r="S40" i="80" s="1"/>
  <c r="M239" i="31"/>
  <c r="P239" i="31"/>
  <c r="L239" i="31"/>
  <c r="S35" i="80" s="1"/>
  <c r="S239" i="31"/>
  <c r="O239" i="31"/>
  <c r="K239" i="31"/>
  <c r="S34" i="80" s="1"/>
  <c r="J239" i="31"/>
  <c r="N239" i="31"/>
  <c r="R239" i="31"/>
  <c r="S41" i="80" s="1"/>
  <c r="S260" i="31"/>
  <c r="AN42" i="80" s="1"/>
  <c r="AN204" i="80" s="1"/>
  <c r="O260" i="31"/>
  <c r="AN38" i="80" s="1"/>
  <c r="K260" i="31"/>
  <c r="AN34" i="80" s="1"/>
  <c r="R260" i="31"/>
  <c r="AN41" i="80" s="1"/>
  <c r="N260" i="31"/>
  <c r="AN37" i="80" s="1"/>
  <c r="J260" i="31"/>
  <c r="Q260" i="31"/>
  <c r="AN40" i="80" s="1"/>
  <c r="M260" i="31"/>
  <c r="AN36" i="80" s="1"/>
  <c r="P260" i="31"/>
  <c r="AN39" i="80" s="1"/>
  <c r="L260" i="31"/>
  <c r="AN35" i="80" s="1"/>
  <c r="S252" i="31"/>
  <c r="AF42" i="80" s="1"/>
  <c r="AF204" i="80" s="1"/>
  <c r="O252" i="31"/>
  <c r="AF38" i="80" s="1"/>
  <c r="K252" i="31"/>
  <c r="AF34" i="80" s="1"/>
  <c r="R252" i="31"/>
  <c r="AF41" i="80" s="1"/>
  <c r="N252" i="31"/>
  <c r="AF37" i="80" s="1"/>
  <c r="J252" i="31"/>
  <c r="Q252" i="31"/>
  <c r="AF40" i="80" s="1"/>
  <c r="M252" i="31"/>
  <c r="AF36" i="80" s="1"/>
  <c r="L252" i="31"/>
  <c r="AF35" i="80" s="1"/>
  <c r="P252" i="31"/>
  <c r="AF39" i="80" s="1"/>
  <c r="S234" i="31"/>
  <c r="O234" i="31"/>
  <c r="K234" i="31"/>
  <c r="R234" i="31"/>
  <c r="N41" i="80" s="1"/>
  <c r="N234" i="31"/>
  <c r="J234" i="31"/>
  <c r="Q234" i="31"/>
  <c r="M234" i="31"/>
  <c r="L234" i="31"/>
  <c r="N35" i="80" s="1"/>
  <c r="P234" i="31"/>
  <c r="N39" i="80" s="1"/>
  <c r="S230" i="31"/>
  <c r="J42" i="80" s="1"/>
  <c r="O230" i="31"/>
  <c r="K230" i="31"/>
  <c r="J34" i="80" s="1" a="1"/>
  <c r="J34" i="80" s="1"/>
  <c r="R230" i="31"/>
  <c r="N230" i="31"/>
  <c r="J37" i="80" s="1"/>
  <c r="J230" i="31"/>
  <c r="Q230" i="31"/>
  <c r="J40" i="80" s="1"/>
  <c r="M230" i="31"/>
  <c r="J36" i="80" s="1"/>
  <c r="P230" i="31"/>
  <c r="L230" i="31"/>
  <c r="J35" i="80" s="1"/>
  <c r="S236" i="31"/>
  <c r="O236" i="31"/>
  <c r="P38" i="80" s="1"/>
  <c r="K236" i="31"/>
  <c r="R236" i="31"/>
  <c r="P41" i="80" s="1"/>
  <c r="N236" i="31"/>
  <c r="J236" i="31"/>
  <c r="Q236" i="31"/>
  <c r="P40" i="80" s="1"/>
  <c r="M236" i="31"/>
  <c r="L236" i="31"/>
  <c r="P236" i="31"/>
  <c r="Q255" i="31"/>
  <c r="AI40" i="80" s="1"/>
  <c r="M255" i="31"/>
  <c r="AI36" i="80" s="1"/>
  <c r="P255" i="31"/>
  <c r="AI39" i="80" s="1"/>
  <c r="L255" i="31"/>
  <c r="AI35" i="80" s="1"/>
  <c r="S255" i="31"/>
  <c r="AI42" i="80" s="1"/>
  <c r="AI204" i="80" s="1"/>
  <c r="O255" i="31"/>
  <c r="AI38" i="80" s="1"/>
  <c r="K255" i="31"/>
  <c r="AI34" i="80" s="1"/>
  <c r="J255" i="31"/>
  <c r="N255" i="31"/>
  <c r="AI37" i="80" s="1"/>
  <c r="R255" i="31"/>
  <c r="AI41" i="80" s="1"/>
  <c r="S240" i="31"/>
  <c r="O240" i="31"/>
  <c r="K240" i="31"/>
  <c r="T34" i="80" s="1"/>
  <c r="R240" i="31"/>
  <c r="T41" i="80" s="1"/>
  <c r="N240" i="31"/>
  <c r="T37" i="80" s="1"/>
  <c r="J240" i="31"/>
  <c r="Q240" i="31"/>
  <c r="T40" i="80" s="1"/>
  <c r="M240" i="31"/>
  <c r="P240" i="31"/>
  <c r="T39" i="80" s="1"/>
  <c r="L240" i="31"/>
  <c r="Q257" i="31"/>
  <c r="M257" i="31"/>
  <c r="P257" i="31"/>
  <c r="L257" i="31"/>
  <c r="S257" i="31"/>
  <c r="AK42" i="80" s="1"/>
  <c r="AK204" i="80" s="1"/>
  <c r="O257" i="31"/>
  <c r="K257" i="31"/>
  <c r="R257" i="31"/>
  <c r="N257" i="31"/>
  <c r="J257" i="31"/>
  <c r="AC77" i="22"/>
  <c r="AC57" i="80" s="1"/>
  <c r="AH66" i="22"/>
  <c r="AH56" i="80" s="1"/>
  <c r="S262" i="31"/>
  <c r="AP42" i="80" s="1"/>
  <c r="AP204" i="80" s="1"/>
  <c r="O262" i="31"/>
  <c r="AP38" i="80" s="1"/>
  <c r="K262" i="31"/>
  <c r="AP34" i="80" s="1"/>
  <c r="L262" i="31"/>
  <c r="AP35" i="80" s="1"/>
  <c r="R262" i="31"/>
  <c r="AP41" i="80" s="1"/>
  <c r="N262" i="31"/>
  <c r="AP37" i="80" s="1"/>
  <c r="J262" i="31"/>
  <c r="P262" i="31"/>
  <c r="AP39" i="80" s="1"/>
  <c r="Q262" i="31"/>
  <c r="AP40" i="80" s="1"/>
  <c r="M262" i="31"/>
  <c r="AP36" i="80" s="1"/>
  <c r="S254" i="31"/>
  <c r="AH42" i="80" s="1"/>
  <c r="AH204" i="80" s="1"/>
  <c r="O254" i="31"/>
  <c r="AH38" i="80" s="1"/>
  <c r="K254" i="31"/>
  <c r="AH34" i="80" s="1"/>
  <c r="R254" i="31"/>
  <c r="AH41" i="80" s="1"/>
  <c r="N254" i="31"/>
  <c r="AH37" i="80" s="1"/>
  <c r="J254" i="31"/>
  <c r="Q254" i="31"/>
  <c r="AH40" i="80" s="1"/>
  <c r="M254" i="31"/>
  <c r="AH36" i="80" s="1"/>
  <c r="P254" i="31"/>
  <c r="AH39" i="80" s="1"/>
  <c r="L254" i="31"/>
  <c r="AH35" i="80" s="1"/>
  <c r="S250" i="31"/>
  <c r="AD42" i="80" s="1"/>
  <c r="AD204" i="80" s="1"/>
  <c r="O250" i="31"/>
  <c r="AD38" i="80" s="1"/>
  <c r="K250" i="31"/>
  <c r="AD34" i="80" s="1"/>
  <c r="R250" i="31"/>
  <c r="N250" i="31"/>
  <c r="J250" i="31"/>
  <c r="Q250" i="31"/>
  <c r="M250" i="31"/>
  <c r="L250" i="31"/>
  <c r="P250" i="31"/>
  <c r="AD39" i="80" s="1"/>
  <c r="S244" i="31"/>
  <c r="X42" i="80" s="1"/>
  <c r="O244" i="31"/>
  <c r="X38" i="80" s="1"/>
  <c r="K244" i="31"/>
  <c r="X34" i="80" s="1"/>
  <c r="R244" i="31"/>
  <c r="X41" i="80" s="1"/>
  <c r="N244" i="31"/>
  <c r="X37" i="80" s="1"/>
  <c r="J244" i="31"/>
  <c r="Q244" i="31"/>
  <c r="X40" i="80" s="1"/>
  <c r="M244" i="31"/>
  <c r="X36" i="80" s="1"/>
  <c r="L244" i="31"/>
  <c r="X35" i="80" s="1"/>
  <c r="P244" i="31"/>
  <c r="X39" i="80" s="1"/>
  <c r="S232" i="31"/>
  <c r="O232" i="31"/>
  <c r="L38" i="80" s="1"/>
  <c r="K232" i="31"/>
  <c r="L34" i="80" s="1"/>
  <c r="R232" i="31"/>
  <c r="L41" i="80" s="1"/>
  <c r="N232" i="31"/>
  <c r="L37" i="80" s="1"/>
  <c r="J232" i="31"/>
  <c r="Q232" i="31"/>
  <c r="M232" i="31"/>
  <c r="P232" i="31"/>
  <c r="L232" i="31"/>
  <c r="Q247" i="31"/>
  <c r="AA40" i="80" s="1"/>
  <c r="M247" i="31"/>
  <c r="AA36" i="80" s="1"/>
  <c r="P247" i="31"/>
  <c r="L247" i="31"/>
  <c r="AA35" i="80" s="1"/>
  <c r="S247" i="31"/>
  <c r="AA42" i="80" s="1"/>
  <c r="O247" i="31"/>
  <c r="K247" i="31"/>
  <c r="AA34" i="80" s="1"/>
  <c r="J247" i="31"/>
  <c r="N247" i="31"/>
  <c r="R247" i="31"/>
  <c r="AA41" i="80" s="1"/>
  <c r="Q259" i="31"/>
  <c r="AM40" i="80" s="1"/>
  <c r="M259" i="31"/>
  <c r="AM36" i="80" s="1"/>
  <c r="P259" i="31"/>
  <c r="AM39" i="80" s="1"/>
  <c r="L259" i="31"/>
  <c r="AM35" i="80" s="1"/>
  <c r="S259" i="31"/>
  <c r="AM42" i="80" s="1"/>
  <c r="AM204" i="80" s="1"/>
  <c r="O259" i="31"/>
  <c r="AM38" i="80" s="1"/>
  <c r="K259" i="31"/>
  <c r="AM34" i="80" s="1"/>
  <c r="R259" i="31"/>
  <c r="AM41" i="80" s="1"/>
  <c r="N259" i="31"/>
  <c r="AM37" i="80" s="1"/>
  <c r="J259" i="31"/>
  <c r="X282" i="53"/>
  <c r="AB286" i="53"/>
  <c r="AB264" i="53"/>
  <c r="V66" i="22"/>
  <c r="V56" i="80" s="1"/>
  <c r="Z277" i="53"/>
  <c r="AK58" i="80"/>
  <c r="Z259" i="53"/>
  <c r="AA283" i="53"/>
  <c r="M21" i="31"/>
  <c r="N20" i="31"/>
  <c r="Y286" i="53"/>
  <c r="AA272" i="53"/>
  <c r="AA288" i="53"/>
  <c r="S58" i="80"/>
  <c r="AE37" i="53"/>
  <c r="AE57" i="53" s="1"/>
  <c r="AA276" i="53"/>
  <c r="AA277" i="53"/>
  <c r="S31" i="41"/>
  <c r="S78" i="41" s="1"/>
  <c r="N189" i="80"/>
  <c r="AF66" i="22"/>
  <c r="AF29" i="41" s="1"/>
  <c r="AP77" i="22"/>
  <c r="AP30" i="41" s="1"/>
  <c r="AI66" i="22"/>
  <c r="AI56" i="80" s="1"/>
  <c r="M36" i="53"/>
  <c r="M47" i="53" s="1"/>
  <c r="AE30" i="41"/>
  <c r="AN29" i="41"/>
  <c r="M240" i="83"/>
  <c r="M267" i="83" s="1"/>
  <c r="AO66" i="22"/>
  <c r="AO36" i="53" s="1"/>
  <c r="AB265" i="53"/>
  <c r="AA287" i="53"/>
  <c r="X283" i="53"/>
  <c r="O242" i="83"/>
  <c r="O269" i="83" s="1"/>
  <c r="N77" i="22"/>
  <c r="N241" i="83" s="1"/>
  <c r="N268" i="83" s="1"/>
  <c r="AN36" i="53"/>
  <c r="AN48" i="53" s="1"/>
  <c r="O58" i="80"/>
  <c r="AK31" i="41"/>
  <c r="R34" i="41"/>
  <c r="O31" i="41"/>
  <c r="O78" i="41" s="1"/>
  <c r="X271" i="53"/>
  <c r="Z288" i="53"/>
  <c r="AB66" i="22"/>
  <c r="AB36" i="53" s="1"/>
  <c r="AB276" i="53"/>
  <c r="AB273" i="53"/>
  <c r="X273" i="53"/>
  <c r="Y283" i="53"/>
  <c r="Y284" i="53"/>
  <c r="X274" i="53"/>
  <c r="Z264" i="53"/>
  <c r="Y261" i="53"/>
  <c r="Z281" i="53"/>
  <c r="AB260" i="53"/>
  <c r="Z66" i="22"/>
  <c r="Z36" i="53" s="1"/>
  <c r="W66" i="22"/>
  <c r="W36" i="53" s="1"/>
  <c r="T66" i="22"/>
  <c r="T240" i="83" s="1"/>
  <c r="O66" i="22"/>
  <c r="X262" i="53"/>
  <c r="X276" i="53"/>
  <c r="AB283" i="53"/>
  <c r="Y266" i="53"/>
  <c r="AA270" i="53"/>
  <c r="P88" i="22"/>
  <c r="T31" i="41"/>
  <c r="T78" i="41" s="1"/>
  <c r="T58" i="80"/>
  <c r="T38" i="53"/>
  <c r="M188" i="80"/>
  <c r="Z286" i="53"/>
  <c r="U66" i="22"/>
  <c r="U29" i="41" s="1"/>
  <c r="AB272" i="53"/>
  <c r="AA284" i="53"/>
  <c r="AA271" i="53"/>
  <c r="L66" i="22"/>
  <c r="Z274" i="53"/>
  <c r="AA262" i="53"/>
  <c r="AB282" i="53"/>
  <c r="S66" i="22"/>
  <c r="S240" i="83" s="1"/>
  <c r="AI33" i="41"/>
  <c r="AI188" i="80"/>
  <c r="AJ37" i="53"/>
  <c r="AJ30" i="41"/>
  <c r="AJ57" i="80"/>
  <c r="AD77" i="22"/>
  <c r="AD92" i="22" s="1"/>
  <c r="AD17" i="111" s="1"/>
  <c r="AM18" i="74"/>
  <c r="AM32" i="41"/>
  <c r="AE18" i="74"/>
  <c r="AE32" i="41"/>
  <c r="W18" i="74"/>
  <c r="W32" i="41"/>
  <c r="O18" i="74"/>
  <c r="O32" i="41"/>
  <c r="AA37" i="53"/>
  <c r="AA30" i="41"/>
  <c r="AA57" i="80"/>
  <c r="AO38" i="53"/>
  <c r="AO31" i="41"/>
  <c r="AO58" i="80"/>
  <c r="T33" i="41"/>
  <c r="T188" i="80"/>
  <c r="U34" i="41"/>
  <c r="U189" i="80"/>
  <c r="Z262" i="53"/>
  <c r="Y282" i="53"/>
  <c r="Y270" i="53"/>
  <c r="AN77" i="22"/>
  <c r="AI38" i="53"/>
  <c r="AI31" i="41"/>
  <c r="AI58" i="80"/>
  <c r="N66" i="22"/>
  <c r="V38" i="53"/>
  <c r="V31" i="41"/>
  <c r="V58" i="80"/>
  <c r="Z38" i="53"/>
  <c r="Z31" i="41"/>
  <c r="Z58" i="80"/>
  <c r="V77" i="22"/>
  <c r="AA38" i="53"/>
  <c r="AA31" i="41"/>
  <c r="AA58" i="80"/>
  <c r="Y18" i="74"/>
  <c r="Y32" i="41"/>
  <c r="AH33" i="41"/>
  <c r="AH188" i="80"/>
  <c r="AJ33" i="41"/>
  <c r="AJ188" i="80"/>
  <c r="S33" i="41"/>
  <c r="S188" i="80"/>
  <c r="AO34" i="41"/>
  <c r="AO189" i="80"/>
  <c r="Y34" i="41"/>
  <c r="Y189" i="80"/>
  <c r="O34" i="41"/>
  <c r="O189" i="80"/>
  <c r="X33" i="41"/>
  <c r="X188" i="80"/>
  <c r="Z34" i="41"/>
  <c r="Z189" i="80"/>
  <c r="AA263" i="53"/>
  <c r="AB259" i="53"/>
  <c r="Z287" i="53"/>
  <c r="U107" i="73"/>
  <c r="W107" i="73"/>
  <c r="V107" i="73"/>
  <c r="J114" i="73"/>
  <c r="AP114" i="73"/>
  <c r="AI114" i="73"/>
  <c r="AG114" i="73"/>
  <c r="Y114" i="73"/>
  <c r="AM114" i="73"/>
  <c r="P114" i="73"/>
  <c r="N114" i="73"/>
  <c r="AL114" i="73"/>
  <c r="AC114" i="73"/>
  <c r="T114" i="73"/>
  <c r="L114" i="73"/>
  <c r="AO114" i="73"/>
  <c r="AN114" i="73"/>
  <c r="AF114" i="73"/>
  <c r="AK114" i="73"/>
  <c r="Q114" i="73"/>
  <c r="U114" i="73"/>
  <c r="AE114" i="73"/>
  <c r="Z114" i="73"/>
  <c r="W114" i="73"/>
  <c r="AH114" i="73"/>
  <c r="R114" i="73"/>
  <c r="AA114" i="73"/>
  <c r="O114" i="73"/>
  <c r="AD114" i="73"/>
  <c r="S114" i="73"/>
  <c r="AB114" i="73"/>
  <c r="M114" i="73"/>
  <c r="K114" i="73"/>
  <c r="AJ114" i="73"/>
  <c r="X114" i="73"/>
  <c r="V114" i="73"/>
  <c r="J113" i="73"/>
  <c r="S112" i="73"/>
  <c r="M113" i="73"/>
  <c r="R113" i="73"/>
  <c r="V113" i="73"/>
  <c r="O113" i="73"/>
  <c r="AM113" i="73"/>
  <c r="AC113" i="73"/>
  <c r="AB113" i="73"/>
  <c r="AH113" i="73"/>
  <c r="Y112" i="73"/>
  <c r="Z112" i="73"/>
  <c r="AP112" i="73"/>
  <c r="AA112" i="73"/>
  <c r="AJ112" i="73"/>
  <c r="J110" i="73"/>
  <c r="T110" i="73"/>
  <c r="S111" i="73"/>
  <c r="L107" i="73"/>
  <c r="P107" i="73"/>
  <c r="Y107" i="73"/>
  <c r="AC107" i="73"/>
  <c r="AG107" i="73"/>
  <c r="AK107" i="73"/>
  <c r="AO107" i="73"/>
  <c r="M108" i="73"/>
  <c r="Q108" i="73"/>
  <c r="V108" i="73"/>
  <c r="Z108" i="73"/>
  <c r="AD108" i="73"/>
  <c r="AH108" i="73"/>
  <c r="AL108" i="73"/>
  <c r="AP108" i="73"/>
  <c r="N109" i="73"/>
  <c r="R109" i="73"/>
  <c r="W109" i="73"/>
  <c r="AA109" i="73"/>
  <c r="AE109" i="73"/>
  <c r="AI109" i="73"/>
  <c r="AM109" i="73"/>
  <c r="K110" i="73"/>
  <c r="O110" i="73"/>
  <c r="U110" i="73"/>
  <c r="Y110" i="73"/>
  <c r="AC110" i="73"/>
  <c r="AG110" i="73"/>
  <c r="AK110" i="73"/>
  <c r="AO110" i="73"/>
  <c r="M111" i="73"/>
  <c r="Q111" i="73"/>
  <c r="W111" i="73"/>
  <c r="AA111" i="73"/>
  <c r="AE111" i="73"/>
  <c r="AI111" i="73"/>
  <c r="AM111" i="73"/>
  <c r="J107" i="73"/>
  <c r="N112" i="73"/>
  <c r="Q112" i="73"/>
  <c r="W113" i="73"/>
  <c r="AN113" i="73"/>
  <c r="T113" i="73"/>
  <c r="U113" i="73"/>
  <c r="P113" i="73"/>
  <c r="AJ113" i="73"/>
  <c r="Z113" i="73"/>
  <c r="AF112" i="73"/>
  <c r="AL112" i="73"/>
  <c r="W112" i="73"/>
  <c r="AE112" i="73"/>
  <c r="X112" i="73"/>
  <c r="J108" i="73"/>
  <c r="J111" i="73"/>
  <c r="Q107" i="73"/>
  <c r="T111" i="73"/>
  <c r="S110" i="73"/>
  <c r="M107" i="73"/>
  <c r="R107" i="73"/>
  <c r="Z107" i="73"/>
  <c r="AD107" i="73"/>
  <c r="AH107" i="73"/>
  <c r="AL107" i="73"/>
  <c r="AP107" i="73"/>
  <c r="N108" i="73"/>
  <c r="R108" i="73"/>
  <c r="W108" i="73"/>
  <c r="AA108" i="73"/>
  <c r="AE108" i="73"/>
  <c r="AI108" i="73"/>
  <c r="AM108" i="73"/>
  <c r="K109" i="73"/>
  <c r="O109" i="73"/>
  <c r="S109" i="73"/>
  <c r="X109" i="73"/>
  <c r="AB109" i="73"/>
  <c r="AF109" i="73"/>
  <c r="AJ109" i="73"/>
  <c r="AN109" i="73"/>
  <c r="L110" i="73"/>
  <c r="P110" i="73"/>
  <c r="V110" i="73"/>
  <c r="Z110" i="73"/>
  <c r="AD110" i="73"/>
  <c r="AH110" i="73"/>
  <c r="AL110" i="73"/>
  <c r="AP110" i="73"/>
  <c r="N111" i="73"/>
  <c r="R111" i="73"/>
  <c r="X111" i="73"/>
  <c r="AB111" i="73"/>
  <c r="AF111" i="73"/>
  <c r="AJ111" i="73"/>
  <c r="AN111" i="73"/>
  <c r="J112" i="73"/>
  <c r="R112" i="73"/>
  <c r="T112" i="73"/>
  <c r="M112" i="73"/>
  <c r="AO113" i="73"/>
  <c r="AG113" i="73"/>
  <c r="AF113" i="73"/>
  <c r="AA113" i="73"/>
  <c r="AP113" i="73"/>
  <c r="Y113" i="73"/>
  <c r="Q113" i="73"/>
  <c r="N113" i="73"/>
  <c r="U112" i="73"/>
  <c r="AO112" i="73"/>
  <c r="AM112" i="73"/>
  <c r="L112" i="73"/>
  <c r="V112" i="73"/>
  <c r="AI112" i="73"/>
  <c r="AH112" i="73"/>
  <c r="S108" i="73"/>
  <c r="N107" i="73"/>
  <c r="T107" i="73"/>
  <c r="AA107" i="73"/>
  <c r="AE107" i="73"/>
  <c r="AI107" i="73"/>
  <c r="AM107" i="73"/>
  <c r="K108" i="73"/>
  <c r="O108" i="73"/>
  <c r="T108" i="73"/>
  <c r="X108" i="73"/>
  <c r="AB108" i="73"/>
  <c r="AF108" i="73"/>
  <c r="AJ108" i="73"/>
  <c r="AN108" i="73"/>
  <c r="L109" i="73"/>
  <c r="P109" i="73"/>
  <c r="U109" i="73"/>
  <c r="Y109" i="73"/>
  <c r="AC109" i="73"/>
  <c r="AG109" i="73"/>
  <c r="AK109" i="73"/>
  <c r="AO109" i="73"/>
  <c r="M110" i="73"/>
  <c r="Q110" i="73"/>
  <c r="W110" i="73"/>
  <c r="AA110" i="73"/>
  <c r="AE110" i="73"/>
  <c r="AI110" i="73"/>
  <c r="AM110" i="73"/>
  <c r="K111" i="73"/>
  <c r="O111" i="73"/>
  <c r="U111" i="73"/>
  <c r="Y111" i="73"/>
  <c r="AC111" i="73"/>
  <c r="AG111" i="73"/>
  <c r="AK111" i="73"/>
  <c r="AO111" i="73"/>
  <c r="K112" i="73"/>
  <c r="L113" i="73"/>
  <c r="AI113" i="73"/>
  <c r="AK113" i="73"/>
  <c r="AL113" i="73"/>
  <c r="K113" i="73"/>
  <c r="X113" i="73"/>
  <c r="AE113" i="73"/>
  <c r="AD113" i="73"/>
  <c r="S113" i="73"/>
  <c r="P112" i="73"/>
  <c r="J109" i="73"/>
  <c r="AN112" i="73"/>
  <c r="AB112" i="73"/>
  <c r="AD112" i="73"/>
  <c r="AK112" i="73"/>
  <c r="O112" i="73"/>
  <c r="AG112" i="73"/>
  <c r="AC112" i="73"/>
  <c r="S107" i="73"/>
  <c r="T109" i="73"/>
  <c r="K107" i="73"/>
  <c r="O107" i="73"/>
  <c r="X107" i="73"/>
  <c r="AB107" i="73"/>
  <c r="AF107" i="73"/>
  <c r="AJ107" i="73"/>
  <c r="AN107" i="73"/>
  <c r="L108" i="73"/>
  <c r="P108" i="73"/>
  <c r="U108" i="73"/>
  <c r="Y108" i="73"/>
  <c r="AC108" i="73"/>
  <c r="AG108" i="73"/>
  <c r="AK108" i="73"/>
  <c r="AO108" i="73"/>
  <c r="M109" i="73"/>
  <c r="Q109" i="73"/>
  <c r="V109" i="73"/>
  <c r="Z109" i="73"/>
  <c r="AD109" i="73"/>
  <c r="AH109" i="73"/>
  <c r="AL109" i="73"/>
  <c r="AP109" i="73"/>
  <c r="N110" i="73"/>
  <c r="R110" i="73"/>
  <c r="X110" i="73"/>
  <c r="AB110" i="73"/>
  <c r="AF110" i="73"/>
  <c r="AJ110" i="73"/>
  <c r="AN110" i="73"/>
  <c r="L111" i="73"/>
  <c r="P111" i="73"/>
  <c r="V111" i="73"/>
  <c r="Z111" i="73"/>
  <c r="AD111" i="73"/>
  <c r="AH111" i="73"/>
  <c r="AL111" i="73"/>
  <c r="AP111" i="73"/>
  <c r="R31" i="41"/>
  <c r="R38" i="53"/>
  <c r="R58" i="80"/>
  <c r="AP38" i="53"/>
  <c r="AP31" i="41"/>
  <c r="AP58" i="80"/>
  <c r="W38" i="53"/>
  <c r="W31" i="41"/>
  <c r="W58" i="80"/>
  <c r="AD38" i="53"/>
  <c r="AD31" i="41"/>
  <c r="AD58" i="80"/>
  <c r="X263" i="53"/>
  <c r="X259" i="53"/>
  <c r="AF38" i="53"/>
  <c r="AF31" i="41"/>
  <c r="AF58" i="80"/>
  <c r="N38" i="53"/>
  <c r="N31" i="41"/>
  <c r="N242" i="83"/>
  <c r="N269" i="83" s="1"/>
  <c r="N58" i="80"/>
  <c r="AB38" i="53"/>
  <c r="AB31" i="41"/>
  <c r="AB58" i="80"/>
  <c r="AO77" i="22"/>
  <c r="AJ18" i="74"/>
  <c r="AJ32" i="41"/>
  <c r="AB18" i="74"/>
  <c r="AB32" i="41"/>
  <c r="T18" i="74"/>
  <c r="T32" i="41"/>
  <c r="M18" i="74"/>
  <c r="M32" i="41"/>
  <c r="AK66" i="22"/>
  <c r="L242" i="83"/>
  <c r="L269" i="83" s="1"/>
  <c r="L38" i="53"/>
  <c r="L31" i="41"/>
  <c r="L58" i="80"/>
  <c r="AG38" i="53"/>
  <c r="AG31" i="41"/>
  <c r="AG58" i="80"/>
  <c r="AD33" i="41"/>
  <c r="AD188" i="80"/>
  <c r="U33" i="41"/>
  <c r="U188" i="80"/>
  <c r="P34" i="41"/>
  <c r="P189" i="80"/>
  <c r="AL34" i="41"/>
  <c r="AL189" i="80"/>
  <c r="Y273" i="53"/>
  <c r="Z260" i="53"/>
  <c r="AL18" i="74"/>
  <c r="AL32" i="41"/>
  <c r="AD18" i="74"/>
  <c r="AD32" i="41"/>
  <c r="U38" i="53"/>
  <c r="U31" i="41"/>
  <c r="U58" i="80"/>
  <c r="X37" i="53"/>
  <c r="X30" i="41"/>
  <c r="X57" i="80"/>
  <c r="AO18" i="74"/>
  <c r="AO32" i="41"/>
  <c r="AC18" i="74"/>
  <c r="AC32" i="41"/>
  <c r="N18" i="74"/>
  <c r="N32" i="41"/>
  <c r="Y37" i="53"/>
  <c r="Y30" i="41"/>
  <c r="Y57" i="80"/>
  <c r="AA264" i="53"/>
  <c r="X265" i="53"/>
  <c r="Q38" i="53"/>
  <c r="Q31" i="41"/>
  <c r="Q58" i="80"/>
  <c r="AH38" i="53"/>
  <c r="AH31" i="41"/>
  <c r="AH58" i="80"/>
  <c r="Y38" i="53"/>
  <c r="Y31" i="41"/>
  <c r="Y58" i="80"/>
  <c r="Z285" i="53"/>
  <c r="Y271" i="53"/>
  <c r="Y259" i="53"/>
  <c r="AJ66" i="22"/>
  <c r="AJ92" i="22" s="1"/>
  <c r="AJ17" i="111" s="1"/>
  <c r="AB37" i="53"/>
  <c r="AB30" i="41"/>
  <c r="AB57" i="80"/>
  <c r="U77" i="22"/>
  <c r="AB262" i="53"/>
  <c r="AB285" i="53"/>
  <c r="AA282" i="53"/>
  <c r="AA259" i="53"/>
  <c r="Y287" i="53"/>
  <c r="Z276" i="53"/>
  <c r="Q66" i="22"/>
  <c r="Q92" i="22" s="1"/>
  <c r="Q17" i="111" s="1"/>
  <c r="M88" i="22"/>
  <c r="AL77" i="22"/>
  <c r="AL92" i="22" s="1"/>
  <c r="AL17" i="111" s="1"/>
  <c r="AG33" i="41"/>
  <c r="AG188" i="80"/>
  <c r="L33" i="41"/>
  <c r="L188" i="80"/>
  <c r="AJ34" i="41"/>
  <c r="AJ189" i="80"/>
  <c r="AJ38" i="53"/>
  <c r="AJ31" i="41"/>
  <c r="AJ58" i="80"/>
  <c r="W77" i="22"/>
  <c r="AK77" i="22"/>
  <c r="AG36" i="53"/>
  <c r="AG29" i="41"/>
  <c r="AG56" i="80"/>
  <c r="P33" i="41"/>
  <c r="P188" i="80"/>
  <c r="W34" i="41"/>
  <c r="W189" i="80"/>
  <c r="O33" i="41"/>
  <c r="O188" i="80"/>
  <c r="AL33" i="41"/>
  <c r="AL188" i="80"/>
  <c r="AC33" i="41"/>
  <c r="AC188" i="80"/>
  <c r="AN33" i="41"/>
  <c r="AN188" i="80"/>
  <c r="R33" i="41"/>
  <c r="R188" i="80"/>
  <c r="R191" i="80" s="1"/>
  <c r="R192" i="80" s="1"/>
  <c r="AI34" i="41"/>
  <c r="AI189" i="80"/>
  <c r="S34" i="41"/>
  <c r="S189" i="80"/>
  <c r="Q33" i="41"/>
  <c r="Q188" i="80"/>
  <c r="AD34" i="41"/>
  <c r="AD189" i="80"/>
  <c r="AE109" i="72"/>
  <c r="AI109" i="72"/>
  <c r="AM109" i="72"/>
  <c r="AG109" i="72"/>
  <c r="AK109" i="72"/>
  <c r="AO109" i="72"/>
  <c r="AD116" i="72"/>
  <c r="AP114" i="72"/>
  <c r="AM114" i="72"/>
  <c r="AJ114" i="72"/>
  <c r="AE114" i="72"/>
  <c r="AC110" i="72"/>
  <c r="AP110" i="72"/>
  <c r="M109" i="72"/>
  <c r="Q109" i="72"/>
  <c r="U109" i="72"/>
  <c r="Y109" i="72"/>
  <c r="AC109" i="72"/>
  <c r="AJ109" i="72"/>
  <c r="J110" i="72"/>
  <c r="N110" i="72"/>
  <c r="R110" i="72"/>
  <c r="V110" i="72"/>
  <c r="Z110" i="72"/>
  <c r="AM110" i="72"/>
  <c r="L111" i="72"/>
  <c r="P111" i="72"/>
  <c r="T111" i="72"/>
  <c r="X111" i="72"/>
  <c r="AB111" i="72"/>
  <c r="AF111" i="72"/>
  <c r="AM116" i="72"/>
  <c r="AG116" i="72"/>
  <c r="AP116" i="72"/>
  <c r="AN114" i="72"/>
  <c r="AO114" i="72"/>
  <c r="AF114" i="72"/>
  <c r="AJ110" i="72"/>
  <c r="AG110" i="72"/>
  <c r="AD110" i="72"/>
  <c r="J109" i="72"/>
  <c r="N109" i="72"/>
  <c r="R109" i="72"/>
  <c r="V109" i="72"/>
  <c r="Z109" i="72"/>
  <c r="AD109" i="72"/>
  <c r="AL109" i="72"/>
  <c r="K110" i="72"/>
  <c r="O110" i="72"/>
  <c r="S110" i="72"/>
  <c r="W110" i="72"/>
  <c r="AA110" i="72"/>
  <c r="AN110" i="72"/>
  <c r="M111" i="72"/>
  <c r="Q111" i="72"/>
  <c r="U111" i="72"/>
  <c r="Y111" i="72"/>
  <c r="AC111" i="72"/>
  <c r="AG111" i="72"/>
  <c r="AO116" i="72"/>
  <c r="AF116" i="72"/>
  <c r="AI114" i="72"/>
  <c r="AD114" i="72"/>
  <c r="AK114" i="72"/>
  <c r="AL114" i="72"/>
  <c r="AJ116" i="72"/>
  <c r="AG114" i="72"/>
  <c r="AK110" i="72"/>
  <c r="AE110" i="72"/>
  <c r="L109" i="72"/>
  <c r="T109" i="72"/>
  <c r="AB109" i="72"/>
  <c r="AP109" i="72"/>
  <c r="Q110" i="72"/>
  <c r="Y110" i="72"/>
  <c r="K111" i="72"/>
  <c r="S111" i="72"/>
  <c r="AA111" i="72"/>
  <c r="AI111" i="72"/>
  <c r="AM111" i="72"/>
  <c r="J112" i="72"/>
  <c r="N112" i="72"/>
  <c r="R112" i="72"/>
  <c r="V112" i="72"/>
  <c r="Z112" i="72"/>
  <c r="AD112" i="72"/>
  <c r="AH112" i="72"/>
  <c r="AL112" i="72"/>
  <c r="AP112" i="72"/>
  <c r="M113" i="72"/>
  <c r="Q113" i="72"/>
  <c r="U113" i="72"/>
  <c r="Y113" i="72"/>
  <c r="AC113" i="72"/>
  <c r="AG113" i="72"/>
  <c r="AK113" i="72"/>
  <c r="AO113" i="72"/>
  <c r="L114" i="72"/>
  <c r="P114" i="72"/>
  <c r="T114" i="72"/>
  <c r="X114" i="72"/>
  <c r="AB114" i="72"/>
  <c r="M115" i="72"/>
  <c r="Q115" i="72"/>
  <c r="U115" i="72"/>
  <c r="Y115" i="72"/>
  <c r="AC115" i="72"/>
  <c r="AG115" i="72"/>
  <c r="AK115" i="72"/>
  <c r="AO115" i="72"/>
  <c r="L116" i="72"/>
  <c r="P116" i="72"/>
  <c r="T116" i="72"/>
  <c r="X116" i="72"/>
  <c r="AB116" i="72"/>
  <c r="AK116" i="72"/>
  <c r="AC114" i="72"/>
  <c r="AH110" i="72"/>
  <c r="O109" i="72"/>
  <c r="W109" i="72"/>
  <c r="AF109" i="72"/>
  <c r="L110" i="72"/>
  <c r="T110" i="72"/>
  <c r="AB110" i="72"/>
  <c r="N111" i="72"/>
  <c r="V111" i="72"/>
  <c r="AD111" i="72"/>
  <c r="AJ111" i="72"/>
  <c r="AN111" i="72"/>
  <c r="K112" i="72"/>
  <c r="O112" i="72"/>
  <c r="S112" i="72"/>
  <c r="W112" i="72"/>
  <c r="AA112" i="72"/>
  <c r="AE112" i="72"/>
  <c r="AI112" i="72"/>
  <c r="AM112" i="72"/>
  <c r="J113" i="72"/>
  <c r="N113" i="72"/>
  <c r="R113" i="72"/>
  <c r="V113" i="72"/>
  <c r="Z113" i="72"/>
  <c r="AD113" i="72"/>
  <c r="AH113" i="72"/>
  <c r="AL113" i="72"/>
  <c r="AP113" i="72"/>
  <c r="M114" i="72"/>
  <c r="Q114" i="72"/>
  <c r="U114" i="72"/>
  <c r="Y114" i="72"/>
  <c r="J115" i="72"/>
  <c r="N115" i="72"/>
  <c r="R115" i="72"/>
  <c r="V115" i="72"/>
  <c r="Z115" i="72"/>
  <c r="AD115" i="72"/>
  <c r="AH115" i="72"/>
  <c r="AL115" i="72"/>
  <c r="AP115" i="72"/>
  <c r="M116" i="72"/>
  <c r="Q116" i="72"/>
  <c r="U116" i="72"/>
  <c r="Y116" i="72"/>
  <c r="AC116" i="72"/>
  <c r="AL116" i="72"/>
  <c r="AI116" i="72"/>
  <c r="AH114" i="72"/>
  <c r="AL110" i="72"/>
  <c r="P109" i="72"/>
  <c r="X109" i="72"/>
  <c r="AH109" i="72"/>
  <c r="M110" i="72"/>
  <c r="U110" i="72"/>
  <c r="AI110" i="72"/>
  <c r="O111" i="72"/>
  <c r="W111" i="72"/>
  <c r="AE111" i="72"/>
  <c r="AK111" i="72"/>
  <c r="AO111" i="72"/>
  <c r="L112" i="72"/>
  <c r="P112" i="72"/>
  <c r="T112" i="72"/>
  <c r="X112" i="72"/>
  <c r="AB112" i="72"/>
  <c r="AF112" i="72"/>
  <c r="AJ112" i="72"/>
  <c r="AN112" i="72"/>
  <c r="K113" i="72"/>
  <c r="O113" i="72"/>
  <c r="S113" i="72"/>
  <c r="W113" i="72"/>
  <c r="AA113" i="72"/>
  <c r="AE113" i="72"/>
  <c r="AI113" i="72"/>
  <c r="AM113" i="72"/>
  <c r="J114" i="72"/>
  <c r="N114" i="72"/>
  <c r="R114" i="72"/>
  <c r="V114" i="72"/>
  <c r="Z114" i="72"/>
  <c r="K115" i="72"/>
  <c r="O115" i="72"/>
  <c r="S115" i="72"/>
  <c r="W115" i="72"/>
  <c r="AA115" i="72"/>
  <c r="AE115" i="72"/>
  <c r="AI115" i="72"/>
  <c r="AM115" i="72"/>
  <c r="J116" i="72"/>
  <c r="N116" i="72"/>
  <c r="R116" i="72"/>
  <c r="V116" i="72"/>
  <c r="Z116" i="72"/>
  <c r="AE116" i="72"/>
  <c r="AN116" i="72"/>
  <c r="AF110" i="72"/>
  <c r="AO110" i="72"/>
  <c r="K109" i="72"/>
  <c r="S109" i="72"/>
  <c r="AA109" i="72"/>
  <c r="AN109" i="72"/>
  <c r="P110" i="72"/>
  <c r="X110" i="72"/>
  <c r="J111" i="72"/>
  <c r="R111" i="72"/>
  <c r="Z111" i="72"/>
  <c r="AH111" i="72"/>
  <c r="AL111" i="72"/>
  <c r="AP111" i="72"/>
  <c r="M112" i="72"/>
  <c r="Q112" i="72"/>
  <c r="U112" i="72"/>
  <c r="Y112" i="72"/>
  <c r="AC112" i="72"/>
  <c r="AG112" i="72"/>
  <c r="AK112" i="72"/>
  <c r="AO112" i="72"/>
  <c r="L113" i="72"/>
  <c r="P113" i="72"/>
  <c r="T113" i="72"/>
  <c r="X113" i="72"/>
  <c r="AB113" i="72"/>
  <c r="AF113" i="72"/>
  <c r="AJ113" i="72"/>
  <c r="AN113" i="72"/>
  <c r="K114" i="72"/>
  <c r="O114" i="72"/>
  <c r="S114" i="72"/>
  <c r="W114" i="72"/>
  <c r="AA114" i="72"/>
  <c r="L115" i="72"/>
  <c r="P115" i="72"/>
  <c r="T115" i="72"/>
  <c r="X115" i="72"/>
  <c r="AB115" i="72"/>
  <c r="AF115" i="72"/>
  <c r="AJ115" i="72"/>
  <c r="AN115" i="72"/>
  <c r="K116" i="72"/>
  <c r="O116" i="72"/>
  <c r="S116" i="72"/>
  <c r="W116" i="72"/>
  <c r="AA116" i="72"/>
  <c r="AH116" i="72"/>
  <c r="R77" i="22"/>
  <c r="AM55" i="53"/>
  <c r="AM57" i="53"/>
  <c r="AM56" i="53"/>
  <c r="X38" i="53"/>
  <c r="X31" i="41"/>
  <c r="X58" i="80"/>
  <c r="AE66" i="22"/>
  <c r="AE92" i="22" s="1"/>
  <c r="AE17" i="111" s="1"/>
  <c r="AL38" i="53"/>
  <c r="AL31" i="41"/>
  <c r="AL58" i="80"/>
  <c r="K242" i="83"/>
  <c r="K269" i="83" s="1"/>
  <c r="K38" i="53"/>
  <c r="K31" i="41"/>
  <c r="K58" i="80"/>
  <c r="AP33" i="41"/>
  <c r="AP188" i="80"/>
  <c r="AM33" i="41"/>
  <c r="AM188" i="80"/>
  <c r="W33" i="41"/>
  <c r="W188" i="80"/>
  <c r="K33" i="41"/>
  <c r="K188" i="80"/>
  <c r="AG34" i="41"/>
  <c r="AG189" i="80"/>
  <c r="Q34" i="41"/>
  <c r="Q189" i="80"/>
  <c r="AN34" i="41"/>
  <c r="AN189" i="80"/>
  <c r="X34" i="41"/>
  <c r="X189" i="80"/>
  <c r="O77" i="22"/>
  <c r="AF77" i="22"/>
  <c r="AI18" i="74"/>
  <c r="AI32" i="41"/>
  <c r="AA18" i="74"/>
  <c r="AA32" i="41"/>
  <c r="S18" i="74"/>
  <c r="S32" i="41"/>
  <c r="K18" i="74"/>
  <c r="K32" i="41"/>
  <c r="Z33" i="41"/>
  <c r="Z188" i="80"/>
  <c r="AA33" i="41"/>
  <c r="AA188" i="80"/>
  <c r="AA34" i="41"/>
  <c r="AA189" i="80"/>
  <c r="K34" i="41"/>
  <c r="K189" i="80"/>
  <c r="AP34" i="41"/>
  <c r="AP189" i="80"/>
  <c r="Z284" i="53"/>
  <c r="AH77" i="22"/>
  <c r="AM66" i="22"/>
  <c r="AM92" i="22" s="1"/>
  <c r="AM17" i="111" s="1"/>
  <c r="AC38" i="53"/>
  <c r="AC31" i="41"/>
  <c r="AC58" i="80"/>
  <c r="AC66" i="22"/>
  <c r="L18" i="74"/>
  <c r="L32" i="41"/>
  <c r="L77" i="22"/>
  <c r="AK18" i="74"/>
  <c r="AK32" i="41"/>
  <c r="Q18" i="74"/>
  <c r="Q129" i="74" s="1"/>
  <c r="Q32" i="41"/>
  <c r="Y33" i="41"/>
  <c r="Y188" i="80"/>
  <c r="AE33" i="41"/>
  <c r="AE188" i="80"/>
  <c r="N33" i="41"/>
  <c r="N188" i="80"/>
  <c r="AE34" i="41"/>
  <c r="AE189" i="80"/>
  <c r="T34" i="41"/>
  <c r="T189" i="80"/>
  <c r="AF34" i="41"/>
  <c r="AF189" i="80"/>
  <c r="AA285" i="53"/>
  <c r="AB274" i="53"/>
  <c r="AB281" i="53"/>
  <c r="Y276" i="53"/>
  <c r="AD36" i="53"/>
  <c r="AD29" i="41"/>
  <c r="AD56" i="80"/>
  <c r="AC34" i="41"/>
  <c r="AC189" i="80"/>
  <c r="M34" i="41"/>
  <c r="M189" i="80"/>
  <c r="T77" i="22"/>
  <c r="T241" i="83" s="1"/>
  <c r="AK33" i="41"/>
  <c r="AK188" i="80"/>
  <c r="AB33" i="41"/>
  <c r="AB188" i="80"/>
  <c r="AM34" i="41"/>
  <c r="AM189" i="80"/>
  <c r="L34" i="41"/>
  <c r="L189" i="80"/>
  <c r="AH34" i="41"/>
  <c r="AH189" i="80"/>
  <c r="R66" i="22"/>
  <c r="M77" i="22"/>
  <c r="AL36" i="53"/>
  <c r="AL29" i="41"/>
  <c r="AL56" i="80"/>
  <c r="R18" i="74"/>
  <c r="R129" i="74" s="1"/>
  <c r="R32" i="41"/>
  <c r="AN18" i="74"/>
  <c r="AN32" i="41"/>
  <c r="AF18" i="74"/>
  <c r="AF32" i="41"/>
  <c r="X18" i="74"/>
  <c r="X32" i="41"/>
  <c r="P18" i="74"/>
  <c r="P129" i="74" s="1"/>
  <c r="P32" i="41"/>
  <c r="Z37" i="53"/>
  <c r="Z30" i="41"/>
  <c r="Z57" i="80"/>
  <c r="K241" i="83"/>
  <c r="K268" i="83" s="1"/>
  <c r="K37" i="53"/>
  <c r="K30" i="41"/>
  <c r="K57" i="80"/>
  <c r="AE38" i="53"/>
  <c r="AE31" i="41"/>
  <c r="AE58" i="80"/>
  <c r="AO33" i="41"/>
  <c r="AO188" i="80"/>
  <c r="AK34" i="41"/>
  <c r="AK189" i="80"/>
  <c r="AF33" i="41"/>
  <c r="AF188" i="80"/>
  <c r="AB34" i="41"/>
  <c r="AB189" i="80"/>
  <c r="AP18" i="74"/>
  <c r="AP32" i="41"/>
  <c r="AH18" i="74"/>
  <c r="AH32" i="41"/>
  <c r="V18" i="74"/>
  <c r="V32" i="41"/>
  <c r="AM38" i="53"/>
  <c r="AM31" i="41"/>
  <c r="AM58" i="80"/>
  <c r="Y66" i="22"/>
  <c r="Y92" i="22" s="1"/>
  <c r="Y17" i="111" s="1"/>
  <c r="Y29" i="111" s="1"/>
  <c r="AG18" i="74"/>
  <c r="AG32" i="41"/>
  <c r="U18" i="74"/>
  <c r="U32" i="41"/>
  <c r="P37" i="53"/>
  <c r="P30" i="41"/>
  <c r="P57" i="80"/>
  <c r="AP66" i="22"/>
  <c r="AN88" i="22"/>
  <c r="AA66" i="22"/>
  <c r="AA92" i="22" s="1"/>
  <c r="AA17" i="111" s="1"/>
  <c r="AA29" i="111" s="1"/>
  <c r="K66" i="22"/>
  <c r="K92" i="22" s="1"/>
  <c r="K17" i="111" s="1"/>
  <c r="Q37" i="53"/>
  <c r="Q30" i="41"/>
  <c r="Q57" i="80"/>
  <c r="P66" i="22"/>
  <c r="X66" i="22"/>
  <c r="X92" i="22" s="1"/>
  <c r="X17" i="111" s="1"/>
  <c r="X29" i="111" s="1"/>
  <c r="Z18" i="74"/>
  <c r="Z32" i="41"/>
  <c r="AG77" i="22"/>
  <c r="AG92" i="22" s="1"/>
  <c r="AG17" i="111" s="1"/>
  <c r="S77" i="22"/>
  <c r="S241" i="83" s="1"/>
  <c r="AI77" i="22"/>
  <c r="AN92" i="22" l="1"/>
  <c r="AN17" i="111" s="1"/>
  <c r="AA33" i="111"/>
  <c r="Y33" i="111"/>
  <c r="X33" i="111"/>
  <c r="H34" i="111"/>
  <c r="R125" i="105"/>
  <c r="AK125" i="105"/>
  <c r="AF125" i="105"/>
  <c r="W125" i="105"/>
  <c r="AO125" i="105"/>
  <c r="AH125" i="105"/>
  <c r="AD125" i="105"/>
  <c r="AI92" i="22"/>
  <c r="AI17" i="111" s="1"/>
  <c r="AH92" i="22"/>
  <c r="AH17" i="111" s="1"/>
  <c r="AF92" i="22"/>
  <c r="AF17" i="111" s="1"/>
  <c r="O65" i="53"/>
  <c r="AK66" i="53"/>
  <c r="W92" i="22"/>
  <c r="W17" i="111" s="1"/>
  <c r="V92" i="22"/>
  <c r="V17" i="111" s="1"/>
  <c r="AK92" i="22"/>
  <c r="AK17" i="111" s="1"/>
  <c r="U92" i="22"/>
  <c r="U17" i="111" s="1"/>
  <c r="S92" i="22"/>
  <c r="S17" i="111" s="1"/>
  <c r="T92" i="22"/>
  <c r="T17" i="111" s="1"/>
  <c r="L92" i="22"/>
  <c r="L17" i="111" s="1"/>
  <c r="AK64" i="53"/>
  <c r="AO92" i="22"/>
  <c r="AO17" i="111" s="1"/>
  <c r="O92" i="22"/>
  <c r="O17" i="111" s="1"/>
  <c r="R92" i="22"/>
  <c r="R17" i="111" s="1"/>
  <c r="AB92" i="22"/>
  <c r="AB17" i="111" s="1"/>
  <c r="AB29" i="111" s="1"/>
  <c r="AB33" i="111" s="1"/>
  <c r="M92" i="22"/>
  <c r="M17" i="111" s="1"/>
  <c r="N92" i="22"/>
  <c r="N17" i="111" s="1"/>
  <c r="AP92" i="22"/>
  <c r="AP17" i="111" s="1"/>
  <c r="O66" i="53"/>
  <c r="P38" i="53"/>
  <c r="P64" i="53" s="1"/>
  <c r="P92" i="22"/>
  <c r="P17" i="111" s="1"/>
  <c r="Z92" i="22"/>
  <c r="Z17" i="111" s="1"/>
  <c r="Z29" i="111" s="1"/>
  <c r="Z33" i="111" s="1"/>
  <c r="AC92" i="22"/>
  <c r="AC17" i="111" s="1"/>
  <c r="V191" i="80"/>
  <c r="V192" i="80" s="1"/>
  <c r="AE55" i="53"/>
  <c r="AH36" i="53"/>
  <c r="AH48" i="53" s="1"/>
  <c r="V29" i="41"/>
  <c r="V76" i="41" s="1"/>
  <c r="M46" i="53"/>
  <c r="S66" i="53"/>
  <c r="AP57" i="80"/>
  <c r="J55" i="83" a="1"/>
  <c r="H129" i="81"/>
  <c r="H53" i="73" a="1"/>
  <c r="H51" i="72" a="1"/>
  <c r="H20" i="83" a="1"/>
  <c r="R133" i="74"/>
  <c r="R132" i="74"/>
  <c r="P133" i="74"/>
  <c r="P132" i="74"/>
  <c r="S64" i="53"/>
  <c r="V36" i="53"/>
  <c r="V47" i="53" s="1"/>
  <c r="Z56" i="80"/>
  <c r="Q132" i="74"/>
  <c r="Q133" i="74"/>
  <c r="AC30" i="41"/>
  <c r="AN47" i="53"/>
  <c r="J41" i="80"/>
  <c r="AP37" i="53"/>
  <c r="AP57" i="53" s="1"/>
  <c r="Z29" i="41"/>
  <c r="Z76" i="41" s="1"/>
  <c r="N30" i="41"/>
  <c r="N77" i="41" s="1"/>
  <c r="AE56" i="53"/>
  <c r="AD36" i="80"/>
  <c r="P34" i="80"/>
  <c r="J39" i="80"/>
  <c r="N34" i="80"/>
  <c r="S37" i="80"/>
  <c r="W34" i="80"/>
  <c r="K34" i="80"/>
  <c r="AO41" i="80"/>
  <c r="O42" i="80"/>
  <c r="O40" i="80"/>
  <c r="AG34" i="80"/>
  <c r="U34" i="80"/>
  <c r="AC93" i="72" a="1"/>
  <c r="K36" i="80"/>
  <c r="U37" i="80"/>
  <c r="AK41" i="80"/>
  <c r="V39" i="80"/>
  <c r="AI29" i="41"/>
  <c r="AH29" i="41"/>
  <c r="M191" i="80"/>
  <c r="M192" i="80" s="1"/>
  <c r="M202" i="80" s="1"/>
  <c r="AO56" i="80"/>
  <c r="P35" i="80"/>
  <c r="AC37" i="53"/>
  <c r="AC56" i="53" s="1"/>
  <c r="AA39" i="80"/>
  <c r="V41" i="80"/>
  <c r="W38" i="80"/>
  <c r="L39" i="80"/>
  <c r="AB56" i="80"/>
  <c r="R202" i="80"/>
  <c r="J202" i="80"/>
  <c r="J204" i="80"/>
  <c r="N36" i="80"/>
  <c r="S38" i="80"/>
  <c r="AD35" i="80"/>
  <c r="N40" i="80"/>
  <c r="S42" i="80"/>
  <c r="AA37" i="80"/>
  <c r="N42" i="80"/>
  <c r="S36" i="80"/>
  <c r="L40" i="80"/>
  <c r="AA38" i="80"/>
  <c r="AD40" i="80"/>
  <c r="O38" i="80"/>
  <c r="O34" i="80"/>
  <c r="AG38" i="80"/>
  <c r="AG35" i="80"/>
  <c r="V42" i="80"/>
  <c r="V37" i="80"/>
  <c r="T42" i="80"/>
  <c r="AK40" i="80"/>
  <c r="U39" i="80"/>
  <c r="N37" i="80"/>
  <c r="L35" i="80"/>
  <c r="AK35" i="80"/>
  <c r="AK39" i="80"/>
  <c r="L36" i="80"/>
  <c r="AD37" i="80"/>
  <c r="O35" i="80"/>
  <c r="AG36" i="80"/>
  <c r="AG37" i="80"/>
  <c r="AG41" i="80"/>
  <c r="V36" i="80"/>
  <c r="V34" i="80"/>
  <c r="T36" i="80"/>
  <c r="S39" i="80"/>
  <c r="AK34" i="80"/>
  <c r="P37" i="80"/>
  <c r="P36" i="80"/>
  <c r="K37" i="80"/>
  <c r="P39" i="80"/>
  <c r="K41" i="80"/>
  <c r="W39" i="80"/>
  <c r="AK36" i="80"/>
  <c r="AD41" i="80"/>
  <c r="N38" i="80"/>
  <c r="AK37" i="80"/>
  <c r="L42" i="80"/>
  <c r="O37" i="80"/>
  <c r="AG42" i="80"/>
  <c r="AG204" i="80" s="1"/>
  <c r="AG40" i="80"/>
  <c r="AG39" i="80"/>
  <c r="V38" i="80"/>
  <c r="V35" i="80"/>
  <c r="T35" i="80"/>
  <c r="T38" i="80"/>
  <c r="AK38" i="80"/>
  <c r="U42" i="80"/>
  <c r="U40" i="80"/>
  <c r="U36" i="80"/>
  <c r="P42" i="80"/>
  <c r="J38" i="80"/>
  <c r="K40" i="80"/>
  <c r="K39" i="80"/>
  <c r="U191" i="80"/>
  <c r="U192" i="80" s="1"/>
  <c r="AF36" i="53"/>
  <c r="AF48" i="53" s="1"/>
  <c r="O20" i="31"/>
  <c r="N21" i="31"/>
  <c r="N23" i="31" s="1"/>
  <c r="M23" i="31"/>
  <c r="P22" i="31"/>
  <c r="P23" i="31" s="1"/>
  <c r="AF56" i="80"/>
  <c r="AB29" i="41"/>
  <c r="AB76" i="41" s="1"/>
  <c r="AI36" i="53"/>
  <c r="AI47" i="53" s="1"/>
  <c r="N191" i="80"/>
  <c r="N192" i="80" s="1"/>
  <c r="W56" i="80"/>
  <c r="W29" i="41"/>
  <c r="W76" i="41" s="1"/>
  <c r="U36" i="53"/>
  <c r="U46" i="53" s="1"/>
  <c r="Z191" i="80"/>
  <c r="Z192" i="80" s="1"/>
  <c r="Z202" i="80" s="1"/>
  <c r="N37" i="53"/>
  <c r="N56" i="53" s="1"/>
  <c r="AO29" i="41"/>
  <c r="AN46" i="53"/>
  <c r="M48" i="53"/>
  <c r="N57" i="80"/>
  <c r="U56" i="80"/>
  <c r="CC97" i="41"/>
  <c r="P58" i="80"/>
  <c r="AB191" i="80"/>
  <c r="AB192" i="80" s="1"/>
  <c r="AB202" i="80" s="1"/>
  <c r="X191" i="80"/>
  <c r="X192" i="80" s="1"/>
  <c r="X202" i="80" s="1"/>
  <c r="T56" i="80"/>
  <c r="T29" i="41"/>
  <c r="T76" i="41" s="1"/>
  <c r="T36" i="53"/>
  <c r="P31" i="41"/>
  <c r="P78" i="41" s="1"/>
  <c r="Y191" i="80"/>
  <c r="Y192" i="80" s="1"/>
  <c r="Y202" i="80" s="1"/>
  <c r="AA191" i="80"/>
  <c r="AA192" i="80" s="1"/>
  <c r="AA202" i="80" s="1"/>
  <c r="AM191" i="80"/>
  <c r="AM192" i="80" s="1"/>
  <c r="AM202" i="80" s="1"/>
  <c r="AM206" i="80" s="1"/>
  <c r="T66" i="53"/>
  <c r="T65" i="53"/>
  <c r="T64" i="53"/>
  <c r="O36" i="53"/>
  <c r="O29" i="41"/>
  <c r="O76" i="41" s="1"/>
  <c r="O56" i="80"/>
  <c r="O240" i="83"/>
  <c r="O267" i="83" s="1"/>
  <c r="AC191" i="80"/>
  <c r="AC192" i="80" s="1"/>
  <c r="AC202" i="80" s="1"/>
  <c r="AC206" i="80" s="1"/>
  <c r="AD191" i="80"/>
  <c r="AD192" i="80" s="1"/>
  <c r="AD202" i="80" s="1"/>
  <c r="AD206" i="80" s="1"/>
  <c r="AJ191" i="80"/>
  <c r="AJ192" i="80" s="1"/>
  <c r="AJ202" i="80" s="1"/>
  <c r="AJ206" i="80" s="1"/>
  <c r="AE191" i="80"/>
  <c r="AE192" i="80" s="1"/>
  <c r="AE202" i="80" s="1"/>
  <c r="AE206" i="80" s="1"/>
  <c r="S36" i="53"/>
  <c r="S56" i="80"/>
  <c r="S29" i="41"/>
  <c r="S76" i="41" s="1"/>
  <c r="S97" i="41" s="1"/>
  <c r="L240" i="83"/>
  <c r="L267" i="83" s="1"/>
  <c r="L36" i="53"/>
  <c r="L29" i="41"/>
  <c r="L76" i="41" s="1"/>
  <c r="L56" i="80"/>
  <c r="CH97" i="41"/>
  <c r="P57" i="53"/>
  <c r="P56" i="53"/>
  <c r="P55" i="53"/>
  <c r="AM65" i="53"/>
  <c r="AM66" i="53"/>
  <c r="AM64" i="53"/>
  <c r="K77" i="41"/>
  <c r="AM36" i="53"/>
  <c r="AM29" i="41"/>
  <c r="AM56" i="80"/>
  <c r="AK37" i="53"/>
  <c r="AK30" i="41"/>
  <c r="AK57" i="80"/>
  <c r="AB77" i="41"/>
  <c r="Q64" i="53"/>
  <c r="Q66" i="53"/>
  <c r="Q65" i="53"/>
  <c r="AP64" i="53"/>
  <c r="AP66" i="53"/>
  <c r="AP65" i="53"/>
  <c r="V78" i="41"/>
  <c r="X36" i="53"/>
  <c r="X29" i="41"/>
  <c r="X56" i="80"/>
  <c r="P36" i="53"/>
  <c r="P29" i="41"/>
  <c r="P56" i="80"/>
  <c r="K240" i="83"/>
  <c r="K36" i="53"/>
  <c r="K29" i="41"/>
  <c r="K56" i="80"/>
  <c r="Y36" i="53"/>
  <c r="Y29" i="41"/>
  <c r="Y56" i="80"/>
  <c r="AB46" i="53"/>
  <c r="AB48" i="53"/>
  <c r="AB39" i="53"/>
  <c r="AB106" i="53" s="1"/>
  <c r="AB107" i="53" s="1"/>
  <c r="AB47" i="53"/>
  <c r="AF191" i="80"/>
  <c r="AF192" i="80" s="1"/>
  <c r="AF202" i="80" s="1"/>
  <c r="AF206" i="80" s="1"/>
  <c r="K57" i="53"/>
  <c r="K56" i="53"/>
  <c r="K55" i="53"/>
  <c r="Z77" i="41"/>
  <c r="L241" i="83"/>
  <c r="L268" i="83" s="1"/>
  <c r="L37" i="53"/>
  <c r="L30" i="41"/>
  <c r="L57" i="80"/>
  <c r="AF37" i="53"/>
  <c r="AF30" i="41"/>
  <c r="AF57" i="80"/>
  <c r="AE36" i="53"/>
  <c r="AE29" i="41"/>
  <c r="AE56" i="80"/>
  <c r="Q191" i="80"/>
  <c r="Q192" i="80" s="1"/>
  <c r="Q202" i="80" s="1"/>
  <c r="L191" i="80"/>
  <c r="L192" i="80" s="1"/>
  <c r="M38" i="53"/>
  <c r="M31" i="41"/>
  <c r="M242" i="83"/>
  <c r="M269" i="83" s="1"/>
  <c r="M58" i="80"/>
  <c r="AB57" i="53"/>
  <c r="AB55" i="53"/>
  <c r="AB56" i="53"/>
  <c r="AH64" i="53"/>
  <c r="AH66" i="53"/>
  <c r="AH65" i="53"/>
  <c r="Y55" i="53"/>
  <c r="Y56" i="53"/>
  <c r="Y57" i="53"/>
  <c r="U78" i="41"/>
  <c r="AK36" i="53"/>
  <c r="AK29" i="41"/>
  <c r="AK56" i="80"/>
  <c r="AB64" i="53"/>
  <c r="AB65" i="53"/>
  <c r="AB66" i="53"/>
  <c r="AA78" i="41"/>
  <c r="Z78" i="41"/>
  <c r="V66" i="53"/>
  <c r="V64" i="53"/>
  <c r="V65" i="53"/>
  <c r="AA77" i="41"/>
  <c r="AA36" i="53"/>
  <c r="AA29" i="41"/>
  <c r="AA56" i="80"/>
  <c r="J129" i="74"/>
  <c r="K129" i="74"/>
  <c r="S129" i="74"/>
  <c r="M129" i="74"/>
  <c r="N129" i="74"/>
  <c r="T129" i="74"/>
  <c r="U76" i="41"/>
  <c r="AB78" i="41"/>
  <c r="AN37" i="53"/>
  <c r="AN30" i="41"/>
  <c r="AN57" i="80"/>
  <c r="Q55" i="53"/>
  <c r="Q57" i="53"/>
  <c r="Q56" i="53"/>
  <c r="AN38" i="53"/>
  <c r="AN31" i="41"/>
  <c r="AN58" i="80"/>
  <c r="AL46" i="53"/>
  <c r="AL48" i="53"/>
  <c r="AL47" i="53"/>
  <c r="M37" i="53"/>
  <c r="M30" i="41"/>
  <c r="M241" i="83"/>
  <c r="M57" i="80"/>
  <c r="AD46" i="53"/>
  <c r="AD48" i="53"/>
  <c r="AD47" i="53"/>
  <c r="AG129" i="74"/>
  <c r="W129" i="74"/>
  <c r="AD129" i="74"/>
  <c r="O129" i="74"/>
  <c r="AK129" i="74"/>
  <c r="AM129" i="74"/>
  <c r="Y129" i="74"/>
  <c r="L129" i="74"/>
  <c r="AB129" i="74"/>
  <c r="AC129" i="74"/>
  <c r="V129" i="74"/>
  <c r="AI129" i="74"/>
  <c r="AO129" i="74"/>
  <c r="X129" i="74"/>
  <c r="AE129" i="74"/>
  <c r="Z129" i="74"/>
  <c r="U129" i="74"/>
  <c r="AA129" i="74"/>
  <c r="AH129" i="74"/>
  <c r="AL129" i="74"/>
  <c r="AJ129" i="74"/>
  <c r="AP129" i="74"/>
  <c r="AF129" i="74"/>
  <c r="AN129" i="74"/>
  <c r="AH37" i="53"/>
  <c r="AH30" i="41"/>
  <c r="AH57" i="80"/>
  <c r="K78" i="41"/>
  <c r="AL64" i="53"/>
  <c r="AL66" i="53"/>
  <c r="AL65" i="53"/>
  <c r="S37" i="53"/>
  <c r="S30" i="41"/>
  <c r="S57" i="80"/>
  <c r="AG37" i="53"/>
  <c r="AG39" i="53" s="1"/>
  <c r="AG30" i="41"/>
  <c r="AG57" i="80"/>
  <c r="Q77" i="41"/>
  <c r="AP36" i="53"/>
  <c r="AP29" i="41"/>
  <c r="AP56" i="80"/>
  <c r="CG97" i="41"/>
  <c r="K191" i="80"/>
  <c r="K192" i="80" s="1"/>
  <c r="K202" i="80" s="1"/>
  <c r="Y77" i="41"/>
  <c r="W78" i="41"/>
  <c r="W66" i="53"/>
  <c r="W64" i="53"/>
  <c r="W65" i="53"/>
  <c r="AI37" i="53"/>
  <c r="AI30" i="41"/>
  <c r="AI57" i="80"/>
  <c r="AO191" i="80"/>
  <c r="AO192" i="80" s="1"/>
  <c r="AO202" i="80" s="1"/>
  <c r="AO206" i="80" s="1"/>
  <c r="AE65" i="53"/>
  <c r="AE66" i="53"/>
  <c r="AE64" i="53"/>
  <c r="Z57" i="53"/>
  <c r="Z55" i="53"/>
  <c r="Z56" i="53"/>
  <c r="T37" i="53"/>
  <c r="T30" i="41"/>
  <c r="T57" i="80"/>
  <c r="Z46" i="53"/>
  <c r="Z47" i="53"/>
  <c r="Z39" i="53"/>
  <c r="Z106" i="53" s="1"/>
  <c r="Z107" i="53" s="1"/>
  <c r="Z48" i="53"/>
  <c r="AC36" i="53"/>
  <c r="AC29" i="41"/>
  <c r="AC56" i="80"/>
  <c r="AC64" i="53"/>
  <c r="AC66" i="53"/>
  <c r="AC65" i="53"/>
  <c r="W191" i="80"/>
  <c r="W192" i="80" s="1"/>
  <c r="W202" i="80" s="1"/>
  <c r="AP191" i="80"/>
  <c r="AP192" i="80" s="1"/>
  <c r="AP202" i="80" s="1"/>
  <c r="AP206" i="80" s="1"/>
  <c r="K65" i="53"/>
  <c r="K64" i="53"/>
  <c r="K66" i="53"/>
  <c r="X78" i="41"/>
  <c r="R30" i="41"/>
  <c r="R37" i="53"/>
  <c r="R57" i="80"/>
  <c r="AN191" i="80"/>
  <c r="AN192" i="80" s="1"/>
  <c r="AN202" i="80" s="1"/>
  <c r="AN206" i="80" s="1"/>
  <c r="AL191" i="80"/>
  <c r="AL192" i="80" s="1"/>
  <c r="AL202" i="80" s="1"/>
  <c r="AL206" i="80" s="1"/>
  <c r="AL37" i="53"/>
  <c r="AL39" i="53" s="1"/>
  <c r="AL30" i="41"/>
  <c r="AL57" i="80"/>
  <c r="Q36" i="53"/>
  <c r="Q29" i="41"/>
  <c r="Q56" i="80"/>
  <c r="M97" i="41"/>
  <c r="Y78" i="41"/>
  <c r="W48" i="53"/>
  <c r="W46" i="53"/>
  <c r="W47" i="53"/>
  <c r="X77" i="41"/>
  <c r="U65" i="53"/>
  <c r="U66" i="53"/>
  <c r="U64" i="53"/>
  <c r="AG64" i="53"/>
  <c r="AG66" i="53"/>
  <c r="AG65" i="53"/>
  <c r="L78" i="41"/>
  <c r="AO37" i="53"/>
  <c r="AO39" i="53" s="1"/>
  <c r="AO30" i="41"/>
  <c r="AO57" i="80"/>
  <c r="N78" i="41"/>
  <c r="AF65" i="53"/>
  <c r="AF64" i="53"/>
  <c r="AF66" i="53"/>
  <c r="AD64" i="53"/>
  <c r="AD66" i="53"/>
  <c r="AD65" i="53"/>
  <c r="R64" i="53"/>
  <c r="R66" i="53"/>
  <c r="R65" i="53"/>
  <c r="S191" i="80"/>
  <c r="S192" i="80" s="1"/>
  <c r="AH191" i="80"/>
  <c r="AH192" i="80" s="1"/>
  <c r="AH202" i="80" s="1"/>
  <c r="AH206" i="80" s="1"/>
  <c r="AO46" i="53"/>
  <c r="AO48" i="53"/>
  <c r="AO47" i="53"/>
  <c r="AA66" i="53"/>
  <c r="AA64" i="53"/>
  <c r="AA65" i="53"/>
  <c r="Z64" i="53"/>
  <c r="Z65" i="53"/>
  <c r="Z66" i="53"/>
  <c r="AI65" i="53"/>
  <c r="AI64" i="53"/>
  <c r="AI66" i="53"/>
  <c r="AA55" i="53"/>
  <c r="AA56" i="53"/>
  <c r="AA57" i="53"/>
  <c r="P77" i="41"/>
  <c r="R29" i="41"/>
  <c r="R36" i="53"/>
  <c r="R56" i="80"/>
  <c r="AK191" i="80"/>
  <c r="AK192" i="80" s="1"/>
  <c r="AK202" i="80" s="1"/>
  <c r="AK206" i="80" s="1"/>
  <c r="O37" i="53"/>
  <c r="O30" i="41"/>
  <c r="O241" i="83"/>
  <c r="O268" i="83" s="1"/>
  <c r="O57" i="80"/>
  <c r="X66" i="53"/>
  <c r="X64" i="53"/>
  <c r="X65" i="53"/>
  <c r="O191" i="80"/>
  <c r="O192" i="80" s="1"/>
  <c r="P191" i="80"/>
  <c r="P192" i="80" s="1"/>
  <c r="AG46" i="53"/>
  <c r="AG48" i="53"/>
  <c r="AG47" i="53"/>
  <c r="W37" i="53"/>
  <c r="W39" i="53" s="1"/>
  <c r="W30" i="41"/>
  <c r="W57" i="80"/>
  <c r="AJ65" i="53"/>
  <c r="AJ64" i="53"/>
  <c r="AJ66" i="53"/>
  <c r="AG191" i="80"/>
  <c r="AG192" i="80" s="1"/>
  <c r="U37" i="53"/>
  <c r="U30" i="41"/>
  <c r="U57" i="80"/>
  <c r="AJ36" i="53"/>
  <c r="AJ29" i="41"/>
  <c r="AJ56" i="80"/>
  <c r="Y66" i="53"/>
  <c r="Y64" i="53"/>
  <c r="Y65" i="53"/>
  <c r="Q78" i="41"/>
  <c r="X55" i="53"/>
  <c r="X56" i="53"/>
  <c r="X57" i="53"/>
  <c r="J80" i="73" a="1"/>
  <c r="L66" i="53"/>
  <c r="L65" i="53"/>
  <c r="L64" i="53"/>
  <c r="N65" i="53"/>
  <c r="N64" i="53"/>
  <c r="N66" i="53"/>
  <c r="R78" i="41"/>
  <c r="V37" i="53"/>
  <c r="V30" i="41"/>
  <c r="V57" i="80"/>
  <c r="N36" i="53"/>
  <c r="N29" i="41"/>
  <c r="N240" i="83"/>
  <c r="N56" i="80"/>
  <c r="T191" i="80"/>
  <c r="T192" i="80" s="1"/>
  <c r="AO64" i="53"/>
  <c r="AO66" i="53"/>
  <c r="AO65" i="53"/>
  <c r="AD37" i="53"/>
  <c r="AD39" i="53" s="1"/>
  <c r="AD30" i="41"/>
  <c r="AD57" i="80"/>
  <c r="AJ55" i="53"/>
  <c r="AJ57" i="53"/>
  <c r="AJ56" i="53"/>
  <c r="AI191" i="80"/>
  <c r="AI192" i="80" s="1"/>
  <c r="AI202" i="80" s="1"/>
  <c r="AI206" i="80" s="1"/>
  <c r="H33" i="111" l="1"/>
  <c r="H38" i="111" s="1" a="1"/>
  <c r="H38" i="111" s="1"/>
  <c r="J206" i="80"/>
  <c r="N267" i="83"/>
  <c r="M268" i="83"/>
  <c r="K267" i="83"/>
  <c r="O270" i="83"/>
  <c r="L270" i="83"/>
  <c r="P65" i="53"/>
  <c r="H140" i="22" a="1"/>
  <c r="H140" i="22" s="1"/>
  <c r="A4" i="22" s="1"/>
  <c r="P66" i="53"/>
  <c r="AB59" i="80"/>
  <c r="AB200" i="80" s="1"/>
  <c r="AB204" i="80" s="1"/>
  <c r="AB206" i="80" s="1"/>
  <c r="Z59" i="80"/>
  <c r="Z200" i="80" s="1"/>
  <c r="Z204" i="80" s="1"/>
  <c r="Z206" i="80" s="1"/>
  <c r="AP56" i="53"/>
  <c r="AH47" i="53"/>
  <c r="AH46" i="53"/>
  <c r="O202" i="80"/>
  <c r="O206" i="80" s="1"/>
  <c r="AP55" i="53"/>
  <c r="AH39" i="53"/>
  <c r="AH72" i="53" s="1"/>
  <c r="V39" i="53"/>
  <c r="V48" i="53"/>
  <c r="T202" i="80"/>
  <c r="AF46" i="53"/>
  <c r="H51" i="72"/>
  <c r="H54" i="72"/>
  <c r="H57" i="72"/>
  <c r="H58" i="72"/>
  <c r="H53" i="72"/>
  <c r="H52" i="72"/>
  <c r="H55" i="72"/>
  <c r="H56" i="72"/>
  <c r="H53" i="73"/>
  <c r="H59" i="73"/>
  <c r="H60" i="73"/>
  <c r="H55" i="73"/>
  <c r="H56" i="73"/>
  <c r="H58" i="73"/>
  <c r="H54" i="73"/>
  <c r="H57" i="73"/>
  <c r="H20" i="83"/>
  <c r="H25" i="83"/>
  <c r="H27" i="83"/>
  <c r="H21" i="83"/>
  <c r="H24" i="83"/>
  <c r="H26" i="83"/>
  <c r="H23" i="83"/>
  <c r="H22" i="83"/>
  <c r="AP64" i="83"/>
  <c r="K64" i="83"/>
  <c r="AB63" i="83"/>
  <c r="L63" i="83"/>
  <c r="AC62" i="83"/>
  <c r="M62" i="83"/>
  <c r="AD61" i="83"/>
  <c r="N61" i="83"/>
  <c r="AE60" i="83"/>
  <c r="O60" i="83"/>
  <c r="AF59" i="83"/>
  <c r="P59" i="83"/>
  <c r="AG58" i="83"/>
  <c r="Q58" i="83"/>
  <c r="AH57" i="83"/>
  <c r="R57" i="83"/>
  <c r="AI56" i="83"/>
  <c r="S56" i="83"/>
  <c r="AJ55" i="83"/>
  <c r="T55" i="83"/>
  <c r="AF63" i="83"/>
  <c r="AG62" i="83"/>
  <c r="R61" i="83"/>
  <c r="AJ59" i="83"/>
  <c r="U58" i="83"/>
  <c r="AM56" i="83"/>
  <c r="X55" i="83"/>
  <c r="W64" i="83"/>
  <c r="AN63" i="83"/>
  <c r="X63" i="83"/>
  <c r="AO62" i="83"/>
  <c r="Y62" i="83"/>
  <c r="AP61" i="83"/>
  <c r="Z61" i="83"/>
  <c r="J61" i="83"/>
  <c r="AA60" i="83"/>
  <c r="K60" i="83"/>
  <c r="AB59" i="83"/>
  <c r="L59" i="83"/>
  <c r="AC58" i="83"/>
  <c r="M58" i="83"/>
  <c r="AD57" i="83"/>
  <c r="N57" i="83"/>
  <c r="AE56" i="83"/>
  <c r="O56" i="83"/>
  <c r="AF55" i="83"/>
  <c r="P55" i="83"/>
  <c r="Q62" i="83"/>
  <c r="AI60" i="83"/>
  <c r="T59" i="83"/>
  <c r="AL57" i="83"/>
  <c r="AN55" i="83"/>
  <c r="S64" i="83"/>
  <c r="AJ63" i="83"/>
  <c r="T63" i="83"/>
  <c r="AK62" i="83"/>
  <c r="U62" i="83"/>
  <c r="AL61" i="83"/>
  <c r="V61" i="83"/>
  <c r="AM60" i="83"/>
  <c r="W60" i="83"/>
  <c r="AN59" i="83"/>
  <c r="X59" i="83"/>
  <c r="AO58" i="83"/>
  <c r="Y58" i="83"/>
  <c r="AP57" i="83"/>
  <c r="Z57" i="83"/>
  <c r="J57" i="83"/>
  <c r="AA56" i="83"/>
  <c r="K56" i="83"/>
  <c r="AB55" i="83"/>
  <c r="L55" i="83"/>
  <c r="O64" i="83"/>
  <c r="P63" i="83"/>
  <c r="AH61" i="83"/>
  <c r="S60" i="83"/>
  <c r="AK58" i="83"/>
  <c r="V57" i="83"/>
  <c r="W56" i="83"/>
  <c r="M55" i="83"/>
  <c r="AC55" i="83"/>
  <c r="L56" i="83"/>
  <c r="AB56" i="83"/>
  <c r="K57" i="83"/>
  <c r="AA57" i="83"/>
  <c r="J58" i="83"/>
  <c r="Z58" i="83"/>
  <c r="AP58" i="83"/>
  <c r="Y59" i="83"/>
  <c r="AO59" i="83"/>
  <c r="X60" i="83"/>
  <c r="AN60" i="83"/>
  <c r="W61" i="83"/>
  <c r="AM61" i="83"/>
  <c r="V62" i="83"/>
  <c r="AL62" i="83"/>
  <c r="U63" i="83"/>
  <c r="AK63" i="83"/>
  <c r="T64" i="83"/>
  <c r="AJ64" i="83"/>
  <c r="V55" i="83"/>
  <c r="AL55" i="83"/>
  <c r="U56" i="83"/>
  <c r="AK56" i="83"/>
  <c r="T57" i="83"/>
  <c r="AJ57" i="83"/>
  <c r="S58" i="83"/>
  <c r="AI58" i="83"/>
  <c r="R59" i="83"/>
  <c r="AH59" i="83"/>
  <c r="Q60" i="83"/>
  <c r="AG60" i="83"/>
  <c r="P61" i="83"/>
  <c r="AF61" i="83"/>
  <c r="O62" i="83"/>
  <c r="AE62" i="83"/>
  <c r="N63" i="83"/>
  <c r="AD63" i="83"/>
  <c r="M64" i="83"/>
  <c r="AC64" i="83"/>
  <c r="AA64" i="83"/>
  <c r="S55" i="83"/>
  <c r="AI55" i="83"/>
  <c r="R56" i="83"/>
  <c r="AH56" i="83"/>
  <c r="Q57" i="83"/>
  <c r="AG57" i="83"/>
  <c r="P58" i="83"/>
  <c r="AF58" i="83"/>
  <c r="O59" i="83"/>
  <c r="AE59" i="83"/>
  <c r="N60" i="83"/>
  <c r="AD60" i="83"/>
  <c r="M61" i="83"/>
  <c r="AE64" i="83"/>
  <c r="Q55" i="83"/>
  <c r="AG55" i="83"/>
  <c r="P56" i="83"/>
  <c r="AF56" i="83"/>
  <c r="O57" i="83"/>
  <c r="AE57" i="83"/>
  <c r="N58" i="83"/>
  <c r="AD58" i="83"/>
  <c r="M59" i="83"/>
  <c r="AC59" i="83"/>
  <c r="L60" i="83"/>
  <c r="AB60" i="83"/>
  <c r="K61" i="83"/>
  <c r="AA61" i="83"/>
  <c r="J62" i="83"/>
  <c r="Z62" i="83"/>
  <c r="AP62" i="83"/>
  <c r="Y63" i="83"/>
  <c r="AO63" i="83"/>
  <c r="X64" i="83"/>
  <c r="AN64" i="83"/>
  <c r="Z55" i="83"/>
  <c r="AP55" i="83"/>
  <c r="Y56" i="83"/>
  <c r="AO56" i="83"/>
  <c r="X57" i="83"/>
  <c r="AN57" i="83"/>
  <c r="W58" i="83"/>
  <c r="AM58" i="83"/>
  <c r="V59" i="83"/>
  <c r="AL59" i="83"/>
  <c r="U60" i="83"/>
  <c r="AK60" i="83"/>
  <c r="T61" i="83"/>
  <c r="AJ61" i="83"/>
  <c r="S62" i="83"/>
  <c r="AI62" i="83"/>
  <c r="R63" i="83"/>
  <c r="AH63" i="83"/>
  <c r="Q64" i="83"/>
  <c r="AG64" i="83"/>
  <c r="AI64" i="83"/>
  <c r="W55" i="83"/>
  <c r="AM55" i="83"/>
  <c r="V56" i="83"/>
  <c r="AL56" i="83"/>
  <c r="U57" i="83"/>
  <c r="AK57" i="83"/>
  <c r="T58" i="83"/>
  <c r="AJ58" i="83"/>
  <c r="S59" i="83"/>
  <c r="AI59" i="83"/>
  <c r="R60" i="83"/>
  <c r="AH60" i="83"/>
  <c r="Q61" i="83"/>
  <c r="AG61" i="83"/>
  <c r="P62" i="83"/>
  <c r="AF62" i="83"/>
  <c r="O63" i="83"/>
  <c r="AE63" i="83"/>
  <c r="N64" i="83"/>
  <c r="AM64" i="83"/>
  <c r="U55" i="83"/>
  <c r="AK55" i="83"/>
  <c r="T56" i="83"/>
  <c r="AJ56" i="83"/>
  <c r="S57" i="83"/>
  <c r="AI57" i="83"/>
  <c r="R58" i="83"/>
  <c r="AH58" i="83"/>
  <c r="Q59" i="83"/>
  <c r="AG59" i="83"/>
  <c r="P60" i="83"/>
  <c r="AF60" i="83"/>
  <c r="O61" i="83"/>
  <c r="AE61" i="83"/>
  <c r="N62" i="83"/>
  <c r="AD62" i="83"/>
  <c r="M63" i="83"/>
  <c r="AC63" i="83"/>
  <c r="L64" i="83"/>
  <c r="AB64" i="83"/>
  <c r="N55" i="83"/>
  <c r="AD55" i="83"/>
  <c r="M56" i="83"/>
  <c r="AC56" i="83"/>
  <c r="L57" i="83"/>
  <c r="AB57" i="83"/>
  <c r="K58" i="83"/>
  <c r="AA58" i="83"/>
  <c r="J59" i="83"/>
  <c r="Z59" i="83"/>
  <c r="AP59" i="83"/>
  <c r="Y60" i="83"/>
  <c r="AO60" i="83"/>
  <c r="X61" i="83"/>
  <c r="AN61" i="83"/>
  <c r="W62" i="83"/>
  <c r="AM62" i="83"/>
  <c r="V63" i="83"/>
  <c r="AL63" i="83"/>
  <c r="U64" i="83"/>
  <c r="AK64" i="83"/>
  <c r="K55" i="83"/>
  <c r="AA55" i="83"/>
  <c r="J56" i="83"/>
  <c r="J124" i="83" s="1"/>
  <c r="Z56" i="83"/>
  <c r="AP56" i="83"/>
  <c r="Y57" i="83"/>
  <c r="AO57" i="83"/>
  <c r="X58" i="83"/>
  <c r="AN58" i="83"/>
  <c r="W59" i="83"/>
  <c r="AM59" i="83"/>
  <c r="V60" i="83"/>
  <c r="AL60" i="83"/>
  <c r="U61" i="83"/>
  <c r="AK61" i="83"/>
  <c r="T62" i="83"/>
  <c r="AJ62" i="83"/>
  <c r="S63" i="83"/>
  <c r="AI63" i="83"/>
  <c r="R64" i="83"/>
  <c r="AH64" i="83"/>
  <c r="X56" i="83"/>
  <c r="V58" i="83"/>
  <c r="T60" i="83"/>
  <c r="R62" i="83"/>
  <c r="P64" i="83"/>
  <c r="Q56" i="83"/>
  <c r="O58" i="83"/>
  <c r="M60" i="83"/>
  <c r="K62" i="83"/>
  <c r="AP63" i="83"/>
  <c r="AE55" i="83"/>
  <c r="AC57" i="83"/>
  <c r="AA59" i="83"/>
  <c r="Y61" i="83"/>
  <c r="X62" i="83"/>
  <c r="W63" i="83"/>
  <c r="V64" i="83"/>
  <c r="J55" i="83"/>
  <c r="J123" i="83" s="1"/>
  <c r="AN56" i="83"/>
  <c r="AL58" i="83"/>
  <c r="AJ60" i="83"/>
  <c r="AH62" i="83"/>
  <c r="AF64" i="83"/>
  <c r="AG56" i="83"/>
  <c r="AE58" i="83"/>
  <c r="AC60" i="83"/>
  <c r="AA62" i="83"/>
  <c r="Y64" i="83"/>
  <c r="N56" i="83"/>
  <c r="L58" i="83"/>
  <c r="J60" i="83"/>
  <c r="AC61" i="83"/>
  <c r="AB62" i="83"/>
  <c r="AA63" i="83"/>
  <c r="Z64" i="83"/>
  <c r="AM57" i="83"/>
  <c r="AI61" i="83"/>
  <c r="AH55" i="83"/>
  <c r="AD59" i="83"/>
  <c r="Z63" i="83"/>
  <c r="M57" i="83"/>
  <c r="AP60" i="83"/>
  <c r="K63" i="83"/>
  <c r="AL64" i="83"/>
  <c r="Y55" i="83"/>
  <c r="W57" i="83"/>
  <c r="U59" i="83"/>
  <c r="S61" i="83"/>
  <c r="Q63" i="83"/>
  <c r="R55" i="83"/>
  <c r="P57" i="83"/>
  <c r="N59" i="83"/>
  <c r="L61" i="83"/>
  <c r="J63" i="83"/>
  <c r="AO64" i="83"/>
  <c r="AD56" i="83"/>
  <c r="AB58" i="83"/>
  <c r="Z60" i="83"/>
  <c r="AO61" i="83"/>
  <c r="AN62" i="83"/>
  <c r="AM63" i="83"/>
  <c r="AD64" i="83"/>
  <c r="AO55" i="83"/>
  <c r="AK59" i="83"/>
  <c r="AG63" i="83"/>
  <c r="AF57" i="83"/>
  <c r="AB61" i="83"/>
  <c r="O55" i="83"/>
  <c r="K59" i="83"/>
  <c r="L62" i="83"/>
  <c r="J64" i="83"/>
  <c r="V46" i="53"/>
  <c r="U47" i="53"/>
  <c r="AP133" i="74"/>
  <c r="AP132" i="74"/>
  <c r="AC132" i="74"/>
  <c r="AC133" i="74"/>
  <c r="AJ133" i="74"/>
  <c r="AJ132" i="74"/>
  <c r="AB133" i="74"/>
  <c r="AB132" i="74"/>
  <c r="X133" i="74"/>
  <c r="X132" i="74"/>
  <c r="W133" i="74"/>
  <c r="W132" i="74"/>
  <c r="U132" i="74"/>
  <c r="U133" i="74"/>
  <c r="AG132" i="74"/>
  <c r="AG133" i="74"/>
  <c r="S133" i="74"/>
  <c r="S132" i="74"/>
  <c r="AC55" i="53"/>
  <c r="AN133" i="74"/>
  <c r="AN132" i="74"/>
  <c r="AL133" i="74"/>
  <c r="AL132" i="74"/>
  <c r="Z133" i="74"/>
  <c r="Z132" i="74"/>
  <c r="AI133" i="74"/>
  <c r="AI132" i="74"/>
  <c r="L133" i="74"/>
  <c r="L132" i="74"/>
  <c r="O133" i="74"/>
  <c r="O132" i="74"/>
  <c r="T133" i="74"/>
  <c r="T132" i="74"/>
  <c r="K133" i="74"/>
  <c r="K132" i="74"/>
  <c r="U48" i="53"/>
  <c r="N57" i="53"/>
  <c r="AA133" i="74"/>
  <c r="AA132" i="74"/>
  <c r="AM133" i="74"/>
  <c r="AM132" i="74"/>
  <c r="M132" i="74"/>
  <c r="M133" i="74"/>
  <c r="AC57" i="53"/>
  <c r="AO132" i="74"/>
  <c r="AO133" i="74"/>
  <c r="AK132" i="74"/>
  <c r="AK133" i="74"/>
  <c r="U39" i="53"/>
  <c r="AF133" i="74"/>
  <c r="AF132" i="74"/>
  <c r="AH133" i="74"/>
  <c r="AH132" i="74"/>
  <c r="AE133" i="74"/>
  <c r="AE132" i="74"/>
  <c r="V133" i="74"/>
  <c r="V132" i="74"/>
  <c r="Y132" i="74"/>
  <c r="Y133" i="74"/>
  <c r="AD133" i="74"/>
  <c r="AD132" i="74"/>
  <c r="N133" i="74"/>
  <c r="N132" i="74"/>
  <c r="J133" i="74"/>
  <c r="J132" i="74"/>
  <c r="AG202" i="80"/>
  <c r="AG206" i="80" s="1"/>
  <c r="AF47" i="53"/>
  <c r="N55" i="53"/>
  <c r="AI48" i="53"/>
  <c r="AF39" i="53"/>
  <c r="AF71" i="53" s="1"/>
  <c r="N202" i="80"/>
  <c r="L202" i="80"/>
  <c r="L206" i="80" s="1"/>
  <c r="P202" i="80"/>
  <c r="S202" i="80"/>
  <c r="U202" i="80"/>
  <c r="AE93" i="72"/>
  <c r="AL102" i="72"/>
  <c r="AH100" i="72"/>
  <c r="AF102" i="72"/>
  <c r="AD101" i="72"/>
  <c r="AP99" i="72"/>
  <c r="AN98" i="72"/>
  <c r="AL97" i="72"/>
  <c r="AJ96" i="72"/>
  <c r="AH95" i="72"/>
  <c r="AF94" i="72"/>
  <c r="AD93" i="72"/>
  <c r="AO101" i="72"/>
  <c r="AM100" i="72"/>
  <c r="AK99" i="72"/>
  <c r="AI98" i="72"/>
  <c r="AG97" i="72"/>
  <c r="AE96" i="72"/>
  <c r="AC95" i="72"/>
  <c r="AO93" i="72"/>
  <c r="AP102" i="72"/>
  <c r="AL100" i="72"/>
  <c r="AP98" i="72"/>
  <c r="AN97" i="72"/>
  <c r="AL96" i="72"/>
  <c r="AJ95" i="72"/>
  <c r="AH94" i="72"/>
  <c r="AF93" i="72"/>
  <c r="AC102" i="72"/>
  <c r="AO100" i="72"/>
  <c r="AM99" i="72"/>
  <c r="AK98" i="72"/>
  <c r="AI97" i="72"/>
  <c r="AG96" i="72"/>
  <c r="AE95" i="72"/>
  <c r="AC94" i="72"/>
  <c r="AN102" i="72"/>
  <c r="AJ100" i="72"/>
  <c r="AF98" i="72"/>
  <c r="AP95" i="72"/>
  <c r="AN94" i="72"/>
  <c r="AI102" i="72"/>
  <c r="AE100" i="72"/>
  <c r="AO97" i="72"/>
  <c r="AK95" i="72"/>
  <c r="AG93" i="72"/>
  <c r="AJ99" i="72"/>
  <c r="AF97" i="72"/>
  <c r="AP94" i="72"/>
  <c r="AK102" i="72"/>
  <c r="AG100" i="72"/>
  <c r="AC98" i="72"/>
  <c r="AM95" i="72"/>
  <c r="AI93" i="72"/>
  <c r="AP100" i="72"/>
  <c r="AH101" i="72"/>
  <c r="AD99" i="72"/>
  <c r="AN96" i="72"/>
  <c r="AJ94" i="72"/>
  <c r="AE102" i="72"/>
  <c r="AO99" i="72"/>
  <c r="AK97" i="72"/>
  <c r="AG95" i="72"/>
  <c r="AC93" i="72"/>
  <c r="AD98" i="72"/>
  <c r="AN95" i="72"/>
  <c r="AJ93" i="72"/>
  <c r="AE101" i="72"/>
  <c r="AO98" i="72"/>
  <c r="AK96" i="72"/>
  <c r="AG94" i="72"/>
  <c r="AD102" i="72"/>
  <c r="AN99" i="72"/>
  <c r="AP101" i="72"/>
  <c r="AN100" i="72"/>
  <c r="AL99" i="72"/>
  <c r="AJ98" i="72"/>
  <c r="AH97" i="72"/>
  <c r="AF96" i="72"/>
  <c r="AD95" i="72"/>
  <c r="AP93" i="72"/>
  <c r="AM102" i="72"/>
  <c r="AK101" i="72"/>
  <c r="AI100" i="72"/>
  <c r="AG99" i="72"/>
  <c r="AE98" i="72"/>
  <c r="AC97" i="72"/>
  <c r="AO95" i="72"/>
  <c r="AM94" i="72"/>
  <c r="AK93" i="72"/>
  <c r="AH102" i="72"/>
  <c r="AD100" i="72"/>
  <c r="AL98" i="72"/>
  <c r="AJ97" i="72"/>
  <c r="AH96" i="72"/>
  <c r="AF95" i="72"/>
  <c r="AD94" i="72"/>
  <c r="AO102" i="72"/>
  <c r="AM101" i="72"/>
  <c r="AK100" i="72"/>
  <c r="AI99" i="72"/>
  <c r="AG98" i="72"/>
  <c r="AE97" i="72"/>
  <c r="AC96" i="72"/>
  <c r="AO94" i="72"/>
  <c r="AM93" i="72"/>
  <c r="AJ101" i="72"/>
  <c r="AL101" i="72"/>
  <c r="AH99" i="72"/>
  <c r="AD97" i="72"/>
  <c r="AL93" i="72"/>
  <c r="AG101" i="72"/>
  <c r="AC99" i="72"/>
  <c r="AM96" i="72"/>
  <c r="AI94" i="72"/>
  <c r="AN101" i="72"/>
  <c r="AH98" i="72"/>
  <c r="AD96" i="72"/>
  <c r="AN93" i="72"/>
  <c r="AI101" i="72"/>
  <c r="AE99" i="72"/>
  <c r="AO96" i="72"/>
  <c r="AK94" i="72"/>
  <c r="AJ102" i="72"/>
  <c r="AF100" i="72"/>
  <c r="AP97" i="72"/>
  <c r="AL95" i="72"/>
  <c r="AH93" i="72"/>
  <c r="AC101" i="72"/>
  <c r="AM98" i="72"/>
  <c r="AI96" i="72"/>
  <c r="AE94" i="72"/>
  <c r="AF101" i="72"/>
  <c r="AF99" i="72"/>
  <c r="AP96" i="72"/>
  <c r="AL94" i="72"/>
  <c r="AG102" i="72"/>
  <c r="AC100" i="72"/>
  <c r="AM97" i="72"/>
  <c r="AI95" i="72"/>
  <c r="V202" i="80"/>
  <c r="O259" i="80"/>
  <c r="O255" i="80"/>
  <c r="O258" i="80"/>
  <c r="O254" i="80"/>
  <c r="O257" i="80"/>
  <c r="O253" i="80"/>
  <c r="O252" i="80"/>
  <c r="O260" i="80"/>
  <c r="O256" i="80"/>
  <c r="L258" i="80"/>
  <c r="L254" i="80"/>
  <c r="L257" i="80"/>
  <c r="L253" i="80"/>
  <c r="L260" i="80"/>
  <c r="L256" i="80"/>
  <c r="L252" i="80"/>
  <c r="L255" i="80"/>
  <c r="L259" i="80"/>
  <c r="AD59" i="80"/>
  <c r="AO59" i="80"/>
  <c r="AH59" i="80"/>
  <c r="AL59" i="80"/>
  <c r="AI59" i="80"/>
  <c r="AI46" i="53"/>
  <c r="AF59" i="80"/>
  <c r="O21" i="31"/>
  <c r="O23" i="31" s="1"/>
  <c r="P20" i="31"/>
  <c r="U59" i="80"/>
  <c r="U200" i="80" s="1"/>
  <c r="AB73" i="53"/>
  <c r="S48" i="53"/>
  <c r="S47" i="53"/>
  <c r="S46" i="53"/>
  <c r="O47" i="53"/>
  <c r="O48" i="53"/>
  <c r="O46" i="53"/>
  <c r="T46" i="53"/>
  <c r="T47" i="53"/>
  <c r="T48" i="53"/>
  <c r="Z74" i="53"/>
  <c r="L47" i="53"/>
  <c r="L46" i="53"/>
  <c r="L48" i="53"/>
  <c r="O97" i="41"/>
  <c r="T97" i="41"/>
  <c r="AB74" i="53"/>
  <c r="L97" i="41"/>
  <c r="R59" i="80"/>
  <c r="R200" i="80" s="1"/>
  <c r="R204" i="80" s="1"/>
  <c r="R206" i="80" s="1"/>
  <c r="Z73" i="53"/>
  <c r="CL97" i="41"/>
  <c r="AC39" i="53"/>
  <c r="AC46" i="53"/>
  <c r="AC48" i="53"/>
  <c r="AC47" i="53"/>
  <c r="AC74" i="53" s="1"/>
  <c r="T59" i="80"/>
  <c r="T200" i="80" s="1"/>
  <c r="AI55" i="53"/>
  <c r="AI57" i="53"/>
  <c r="AI56" i="53"/>
  <c r="AI74" i="53" s="1"/>
  <c r="CK97" i="41"/>
  <c r="S77" i="41"/>
  <c r="M59" i="80"/>
  <c r="M200" i="80" s="1"/>
  <c r="M204" i="80" s="1"/>
  <c r="M206" i="80" s="1"/>
  <c r="AK39" i="53"/>
  <c r="AK46" i="53"/>
  <c r="AK48" i="53"/>
  <c r="AK47" i="53"/>
  <c r="M78" i="41"/>
  <c r="AE59" i="80"/>
  <c r="AB105" i="53"/>
  <c r="AB70" i="53"/>
  <c r="AB88" i="53" s="1"/>
  <c r="AB71" i="53"/>
  <c r="AB72" i="53"/>
  <c r="Y59" i="80"/>
  <c r="Y200" i="80" s="1"/>
  <c r="Y204" i="80" s="1"/>
  <c r="Y206" i="80" s="1"/>
  <c r="P59" i="80"/>
  <c r="P200" i="80" s="1"/>
  <c r="AM39" i="53"/>
  <c r="AM47" i="53"/>
  <c r="AM74" i="53" s="1"/>
  <c r="AM48" i="53"/>
  <c r="AM75" i="53" s="1"/>
  <c r="AM46" i="53"/>
  <c r="AM73" i="53" s="1"/>
  <c r="V77" i="41"/>
  <c r="W77" i="41"/>
  <c r="O57" i="53"/>
  <c r="O55" i="53"/>
  <c r="O56" i="53"/>
  <c r="O39" i="53"/>
  <c r="BZ97" i="41"/>
  <c r="CD97" i="41"/>
  <c r="Z105" i="53"/>
  <c r="Z71" i="53"/>
  <c r="Z72" i="53"/>
  <c r="Z70" i="53"/>
  <c r="Z88" i="53" s="1"/>
  <c r="T77" i="41"/>
  <c r="AA59" i="80"/>
  <c r="AA200" i="80" s="1"/>
  <c r="AA204" i="80" s="1"/>
  <c r="AA206" i="80" s="1"/>
  <c r="CO97" i="41"/>
  <c r="M66" i="53"/>
  <c r="M65" i="53"/>
  <c r="M64" i="53"/>
  <c r="AF55" i="53"/>
  <c r="AF57" i="53"/>
  <c r="AF75" i="53" s="1"/>
  <c r="AF56" i="53"/>
  <c r="L59" i="80"/>
  <c r="L200" i="80" s="1"/>
  <c r="L20" i="74" s="1"/>
  <c r="BG97" i="41"/>
  <c r="Y76" i="41"/>
  <c r="K76" i="41"/>
  <c r="P76" i="41"/>
  <c r="X46" i="53"/>
  <c r="X73" i="53" s="1"/>
  <c r="X47" i="53"/>
  <c r="X74" i="53" s="1"/>
  <c r="X39" i="53"/>
  <c r="X106" i="53" s="1"/>
  <c r="X107" i="53" s="1"/>
  <c r="X48" i="53"/>
  <c r="X75" i="53" s="1"/>
  <c r="AH56" i="53"/>
  <c r="AH55" i="53"/>
  <c r="AH57" i="53"/>
  <c r="AH75" i="53" s="1"/>
  <c r="L243" i="83"/>
  <c r="K59" i="80"/>
  <c r="K200" i="80" s="1"/>
  <c r="X76" i="41"/>
  <c r="N39" i="53"/>
  <c r="N47" i="53"/>
  <c r="N74" i="53" s="1"/>
  <c r="N247" i="83" s="1"/>
  <c r="N46" i="53"/>
  <c r="N48" i="53"/>
  <c r="CF97" i="41"/>
  <c r="U77" i="41"/>
  <c r="R39" i="53"/>
  <c r="R46" i="53"/>
  <c r="R48" i="53"/>
  <c r="R47" i="53"/>
  <c r="AO56" i="53"/>
  <c r="AO74" i="53" s="1"/>
  <c r="AO55" i="53"/>
  <c r="AO57" i="53"/>
  <c r="BE97" i="41"/>
  <c r="Q59" i="80"/>
  <c r="Q200" i="80" s="1"/>
  <c r="V97" i="41"/>
  <c r="AI39" i="53"/>
  <c r="AB97" i="41"/>
  <c r="AP39" i="53"/>
  <c r="AP46" i="53"/>
  <c r="AP48" i="53"/>
  <c r="AP75" i="53" s="1"/>
  <c r="AP47" i="53"/>
  <c r="S57" i="53"/>
  <c r="S56" i="53"/>
  <c r="S55" i="53"/>
  <c r="S39" i="53"/>
  <c r="M243" i="83"/>
  <c r="AN59" i="80"/>
  <c r="CP97" i="41"/>
  <c r="N59" i="80"/>
  <c r="N200" i="80" s="1"/>
  <c r="N204" i="80" s="1"/>
  <c r="V56" i="53"/>
  <c r="V74" i="53" s="1"/>
  <c r="V57" i="53"/>
  <c r="V55" i="53"/>
  <c r="AJ59" i="80"/>
  <c r="U56" i="53"/>
  <c r="U55" i="53"/>
  <c r="U73" i="53" s="1"/>
  <c r="U57" i="53"/>
  <c r="W57" i="53"/>
  <c r="W55" i="53"/>
  <c r="W73" i="53" s="1"/>
  <c r="W56" i="53"/>
  <c r="O59" i="80"/>
  <c r="O200" i="80" s="1"/>
  <c r="O20" i="74" s="1"/>
  <c r="R76" i="41"/>
  <c r="Z75" i="53"/>
  <c r="CB97" i="41"/>
  <c r="CM97" i="41"/>
  <c r="Q76" i="41"/>
  <c r="AL56" i="53"/>
  <c r="AL74" i="53" s="1"/>
  <c r="AL55" i="53"/>
  <c r="AL73" i="53" s="1"/>
  <c r="AL57" i="53"/>
  <c r="AL75" i="53" s="1"/>
  <c r="R55" i="53"/>
  <c r="R57" i="53"/>
  <c r="R56" i="53"/>
  <c r="AC59" i="80"/>
  <c r="T55" i="53"/>
  <c r="T57" i="53"/>
  <c r="T56" i="53"/>
  <c r="T39" i="53"/>
  <c r="AG56" i="53"/>
  <c r="AG74" i="53" s="1"/>
  <c r="AG55" i="53"/>
  <c r="AG73" i="53" s="1"/>
  <c r="AG57" i="53"/>
  <c r="AG75" i="53" s="1"/>
  <c r="S243" i="83"/>
  <c r="Z97" i="41"/>
  <c r="M77" i="41"/>
  <c r="AN65" i="53"/>
  <c r="AN64" i="53"/>
  <c r="AN66" i="53"/>
  <c r="AA76" i="41"/>
  <c r="BH97" i="41"/>
  <c r="CN97" i="41"/>
  <c r="AB75" i="53"/>
  <c r="AK59" i="80"/>
  <c r="W97" i="41"/>
  <c r="AG59" i="80"/>
  <c r="AE39" i="53"/>
  <c r="AE47" i="53"/>
  <c r="AE74" i="53" s="1"/>
  <c r="AE46" i="53"/>
  <c r="AE73" i="53" s="1"/>
  <c r="AE48" i="53"/>
  <c r="AE75" i="53" s="1"/>
  <c r="L77" i="41"/>
  <c r="Y48" i="53"/>
  <c r="Y75" i="53" s="1"/>
  <c r="Y39" i="53"/>
  <c r="Y106" i="53" s="1"/>
  <c r="Y107" i="53" s="1"/>
  <c r="Y46" i="53"/>
  <c r="Y73" i="53" s="1"/>
  <c r="Y47" i="53"/>
  <c r="Y74" i="53" s="1"/>
  <c r="K39" i="53"/>
  <c r="K47" i="53"/>
  <c r="K74" i="53" s="1"/>
  <c r="K46" i="53"/>
  <c r="K73" i="53" s="1"/>
  <c r="K48" i="53"/>
  <c r="K75" i="53" s="1"/>
  <c r="P39" i="53"/>
  <c r="P46" i="53"/>
  <c r="P73" i="53" s="1"/>
  <c r="P47" i="53"/>
  <c r="P48" i="53"/>
  <c r="AM59" i="80"/>
  <c r="AD56" i="53"/>
  <c r="AD74" i="53" s="1"/>
  <c r="AD55" i="53"/>
  <c r="AD73" i="53" s="1"/>
  <c r="AD57" i="53"/>
  <c r="AD75" i="53" s="1"/>
  <c r="N76" i="41"/>
  <c r="CE97" i="41"/>
  <c r="AJ39" i="53"/>
  <c r="AJ47" i="53"/>
  <c r="AJ74" i="53" s="1"/>
  <c r="AJ46" i="53"/>
  <c r="AJ73" i="53" s="1"/>
  <c r="AJ48" i="53"/>
  <c r="AJ75" i="53" s="1"/>
  <c r="O77" i="41"/>
  <c r="N243" i="83"/>
  <c r="W82" i="73"/>
  <c r="U82" i="73"/>
  <c r="V82" i="73"/>
  <c r="J81" i="73"/>
  <c r="J85" i="73"/>
  <c r="J84" i="73"/>
  <c r="J83" i="73"/>
  <c r="J87" i="73"/>
  <c r="Y86" i="73"/>
  <c r="AL86" i="73"/>
  <c r="AG86" i="73"/>
  <c r="M86" i="73"/>
  <c r="V86" i="73"/>
  <c r="AA86" i="73"/>
  <c r="AM86" i="73"/>
  <c r="AD87" i="73"/>
  <c r="AP87" i="73"/>
  <c r="AM87" i="73"/>
  <c r="W87" i="73"/>
  <c r="AA83" i="73"/>
  <c r="AP83" i="73"/>
  <c r="AC83" i="73"/>
  <c r="AJ83" i="73"/>
  <c r="S83" i="73"/>
  <c r="L83" i="73"/>
  <c r="AK83" i="73"/>
  <c r="Y83" i="73"/>
  <c r="Z83" i="73"/>
  <c r="O83" i="73"/>
  <c r="AI83" i="73"/>
  <c r="R83" i="73"/>
  <c r="AM82" i="73"/>
  <c r="K82" i="73"/>
  <c r="AI82" i="73"/>
  <c r="X82" i="73"/>
  <c r="AC82" i="73"/>
  <c r="O82" i="73"/>
  <c r="AN82" i="73"/>
  <c r="AO85" i="73"/>
  <c r="L85" i="73"/>
  <c r="AL85" i="73"/>
  <c r="AM85" i="73"/>
  <c r="AJ85" i="73"/>
  <c r="M85" i="73"/>
  <c r="AP85" i="73"/>
  <c r="AG85" i="73"/>
  <c r="N85" i="73"/>
  <c r="V85" i="73"/>
  <c r="S85" i="73"/>
  <c r="K85" i="73"/>
  <c r="W84" i="73"/>
  <c r="AB84" i="73"/>
  <c r="AA84" i="73"/>
  <c r="X84" i="73"/>
  <c r="AO84" i="73"/>
  <c r="AF84" i="73"/>
  <c r="L84" i="73"/>
  <c r="Y84" i="73"/>
  <c r="AJ84" i="73"/>
  <c r="AG84" i="73"/>
  <c r="AI84" i="73"/>
  <c r="Z81" i="73"/>
  <c r="Y81" i="73"/>
  <c r="AM81" i="73"/>
  <c r="V81" i="73"/>
  <c r="AC81" i="73"/>
  <c r="AI88" i="73"/>
  <c r="X88" i="73"/>
  <c r="AB88" i="73"/>
  <c r="AA88" i="73"/>
  <c r="T89" i="73"/>
  <c r="AF89" i="73"/>
  <c r="R89" i="73"/>
  <c r="X89" i="73"/>
  <c r="AE89" i="73"/>
  <c r="S81" i="73"/>
  <c r="M81" i="73"/>
  <c r="Q81" i="73"/>
  <c r="J88" i="73"/>
  <c r="AD86" i="73"/>
  <c r="P86" i="73"/>
  <c r="O86" i="73"/>
  <c r="AJ86" i="73"/>
  <c r="AH86" i="73"/>
  <c r="Q86" i="73"/>
  <c r="AB86" i="73"/>
  <c r="R87" i="73"/>
  <c r="AC87" i="73"/>
  <c r="L87" i="73"/>
  <c r="M87" i="73"/>
  <c r="O87" i="73"/>
  <c r="AN87" i="73"/>
  <c r="AJ87" i="73"/>
  <c r="K87" i="73"/>
  <c r="AL87" i="73"/>
  <c r="P87" i="73"/>
  <c r="AG87" i="73"/>
  <c r="X87" i="73"/>
  <c r="W83" i="73"/>
  <c r="AB83" i="73"/>
  <c r="AL83" i="73"/>
  <c r="AM83" i="73"/>
  <c r="T82" i="73"/>
  <c r="Z82" i="73"/>
  <c r="AG82" i="73"/>
  <c r="AL82" i="73"/>
  <c r="AA82" i="73"/>
  <c r="AE82" i="73"/>
  <c r="AH82" i="73"/>
  <c r="AO82" i="73"/>
  <c r="AF85" i="73"/>
  <c r="W85" i="73"/>
  <c r="Q85" i="73"/>
  <c r="AH85" i="73"/>
  <c r="S84" i="73"/>
  <c r="AK84" i="73"/>
  <c r="N84" i="73"/>
  <c r="Q84" i="73"/>
  <c r="AH84" i="73"/>
  <c r="U84" i="73"/>
  <c r="V84" i="73"/>
  <c r="Z84" i="73"/>
  <c r="X81" i="73"/>
  <c r="W81" i="73"/>
  <c r="O81" i="73"/>
  <c r="AB81" i="73"/>
  <c r="AA81" i="73"/>
  <c r="Z88" i="73"/>
  <c r="AM88" i="73"/>
  <c r="AC88" i="73"/>
  <c r="T88" i="73"/>
  <c r="K88" i="73"/>
  <c r="AN88" i="73"/>
  <c r="AJ88" i="73"/>
  <c r="S88" i="73"/>
  <c r="AL89" i="73"/>
  <c r="AD89" i="73"/>
  <c r="P89" i="73"/>
  <c r="S89" i="73"/>
  <c r="AC89" i="73"/>
  <c r="L89" i="73"/>
  <c r="AM89" i="73"/>
  <c r="AA89" i="73"/>
  <c r="O89" i="73"/>
  <c r="AG89" i="73"/>
  <c r="U89" i="73"/>
  <c r="P81" i="73"/>
  <c r="R81" i="73"/>
  <c r="J89" i="73"/>
  <c r="J82" i="73"/>
  <c r="J86" i="73"/>
  <c r="R86" i="73"/>
  <c r="AI86" i="73"/>
  <c r="AP86" i="73"/>
  <c r="S86" i="73"/>
  <c r="U86" i="73"/>
  <c r="AE86" i="73"/>
  <c r="L86" i="73"/>
  <c r="Y87" i="73"/>
  <c r="T87" i="73"/>
  <c r="S87" i="73"/>
  <c r="AO87" i="73"/>
  <c r="AK87" i="73"/>
  <c r="AE87" i="73"/>
  <c r="AH83" i="73"/>
  <c r="M83" i="73"/>
  <c r="AD83" i="73"/>
  <c r="N83" i="73"/>
  <c r="AF83" i="73"/>
  <c r="K83" i="73"/>
  <c r="AG83" i="73"/>
  <c r="X83" i="73"/>
  <c r="AN83" i="73"/>
  <c r="U83" i="73"/>
  <c r="AB82" i="73"/>
  <c r="AP82" i="73"/>
  <c r="AJ82" i="73"/>
  <c r="L82" i="73"/>
  <c r="AK82" i="73"/>
  <c r="Y82" i="73"/>
  <c r="AA85" i="73"/>
  <c r="X85" i="73"/>
  <c r="O85" i="73"/>
  <c r="AC85" i="73"/>
  <c r="AN85" i="73"/>
  <c r="AE85" i="73"/>
  <c r="AB85" i="73"/>
  <c r="Z85" i="73"/>
  <c r="AI85" i="73"/>
  <c r="Y85" i="73"/>
  <c r="P85" i="73"/>
  <c r="AD85" i="73"/>
  <c r="T85" i="73"/>
  <c r="AP84" i="73"/>
  <c r="R84" i="73"/>
  <c r="AD84" i="73"/>
  <c r="AC84" i="73"/>
  <c r="P84" i="73"/>
  <c r="AM84" i="73"/>
  <c r="AE84" i="73"/>
  <c r="O84" i="73"/>
  <c r="AG81" i="73"/>
  <c r="U81" i="73"/>
  <c r="AP81" i="73"/>
  <c r="AE81" i="73"/>
  <c r="AI81" i="73"/>
  <c r="AF81" i="73"/>
  <c r="N88" i="73"/>
  <c r="AL88" i="73"/>
  <c r="U88" i="73"/>
  <c r="AK88" i="73"/>
  <c r="M88" i="73"/>
  <c r="Q88" i="73"/>
  <c r="AO88" i="73"/>
  <c r="AF88" i="73"/>
  <c r="R88" i="73"/>
  <c r="AH88" i="73"/>
  <c r="V89" i="73"/>
  <c r="AI89" i="73"/>
  <c r="AN89" i="73"/>
  <c r="W89" i="73"/>
  <c r="AN86" i="73"/>
  <c r="AO86" i="73"/>
  <c r="AK86" i="73"/>
  <c r="V87" i="73"/>
  <c r="V83" i="73"/>
  <c r="Q83" i="73"/>
  <c r="P83" i="73"/>
  <c r="AD82" i="73"/>
  <c r="AK85" i="73"/>
  <c r="AK81" i="73"/>
  <c r="AH81" i="73"/>
  <c r="O88" i="73"/>
  <c r="AK89" i="73"/>
  <c r="AP89" i="73"/>
  <c r="AO89" i="73"/>
  <c r="L80" i="73"/>
  <c r="AG80" i="73"/>
  <c r="N80" i="73"/>
  <c r="T81" i="73"/>
  <c r="K81" i="73"/>
  <c r="T86" i="73"/>
  <c r="AI87" i="73"/>
  <c r="AF87" i="73"/>
  <c r="Z87" i="73"/>
  <c r="AE83" i="73"/>
  <c r="AO83" i="73"/>
  <c r="P82" i="73"/>
  <c r="Q82" i="73"/>
  <c r="AF82" i="73"/>
  <c r="AN84" i="73"/>
  <c r="K84" i="73"/>
  <c r="AO81" i="73"/>
  <c r="AN81" i="73"/>
  <c r="AJ81" i="73"/>
  <c r="AD88" i="73"/>
  <c r="L88" i="73"/>
  <c r="Y88" i="73"/>
  <c r="AE88" i="73"/>
  <c r="Q89" i="73"/>
  <c r="Y89" i="73"/>
  <c r="M89" i="73"/>
  <c r="N89" i="73"/>
  <c r="J80" i="73"/>
  <c r="AK80" i="73"/>
  <c r="AD80" i="73"/>
  <c r="AM80" i="73"/>
  <c r="P80" i="73"/>
  <c r="AB80" i="73"/>
  <c r="AJ80" i="73"/>
  <c r="O80" i="73"/>
  <c r="T80" i="73"/>
  <c r="Q80" i="73"/>
  <c r="Y80" i="73"/>
  <c r="AE80" i="73"/>
  <c r="AI80" i="73"/>
  <c r="AP80" i="73"/>
  <c r="U80" i="73"/>
  <c r="AC86" i="73"/>
  <c r="Z86" i="73"/>
  <c r="X86" i="73"/>
  <c r="U87" i="73"/>
  <c r="T83" i="73"/>
  <c r="N82" i="73"/>
  <c r="R82" i="73"/>
  <c r="U85" i="73"/>
  <c r="AL84" i="73"/>
  <c r="AG88" i="73"/>
  <c r="V88" i="73"/>
  <c r="P88" i="73"/>
  <c r="W88" i="73"/>
  <c r="AH89" i="73"/>
  <c r="AB89" i="73"/>
  <c r="W80" i="73"/>
  <c r="S80" i="73"/>
  <c r="V80" i="73"/>
  <c r="AO80" i="73"/>
  <c r="N81" i="73"/>
  <c r="W86" i="73"/>
  <c r="K86" i="73"/>
  <c r="AF86" i="73"/>
  <c r="N86" i="73"/>
  <c r="AH87" i="73"/>
  <c r="N87" i="73"/>
  <c r="AA87" i="73"/>
  <c r="AB87" i="73"/>
  <c r="Q87" i="73"/>
  <c r="S82" i="73"/>
  <c r="M82" i="73"/>
  <c r="R85" i="73"/>
  <c r="T84" i="73"/>
  <c r="M84" i="73"/>
  <c r="L81" i="73"/>
  <c r="AL81" i="73"/>
  <c r="AD81" i="73"/>
  <c r="AP88" i="73"/>
  <c r="K89" i="73"/>
  <c r="Z89" i="73"/>
  <c r="AJ89" i="73"/>
  <c r="AL80" i="73"/>
  <c r="AC80" i="73"/>
  <c r="K80" i="73"/>
  <c r="X80" i="73"/>
  <c r="AA80" i="73"/>
  <c r="M80" i="73"/>
  <c r="AN80" i="73"/>
  <c r="AF80" i="73"/>
  <c r="R80" i="73"/>
  <c r="Z80" i="73"/>
  <c r="AH80" i="73"/>
  <c r="O243" i="83"/>
  <c r="AU97" i="41"/>
  <c r="AW97" i="41"/>
  <c r="Q39" i="53"/>
  <c r="Q48" i="53"/>
  <c r="Q75" i="53" s="1"/>
  <c r="Q46" i="53"/>
  <c r="Q73" i="53" s="1"/>
  <c r="Q47" i="53"/>
  <c r="Q74" i="53" s="1"/>
  <c r="R77" i="41"/>
  <c r="T243" i="83"/>
  <c r="BF97" i="41"/>
  <c r="W59" i="80"/>
  <c r="W200" i="80" s="1"/>
  <c r="AP59" i="80"/>
  <c r="AX97" i="41"/>
  <c r="S59" i="80"/>
  <c r="S200" i="80" s="1"/>
  <c r="BY97" i="41"/>
  <c r="M55" i="53"/>
  <c r="M57" i="53"/>
  <c r="M56" i="53"/>
  <c r="M39" i="53"/>
  <c r="AL70" i="53"/>
  <c r="AL88" i="53" s="1"/>
  <c r="AL72" i="53"/>
  <c r="AL71" i="53"/>
  <c r="AN55" i="53"/>
  <c r="AN57" i="53"/>
  <c r="AN56" i="53"/>
  <c r="AN39" i="53"/>
  <c r="U97" i="41"/>
  <c r="AA48" i="53"/>
  <c r="AA75" i="53" s="1"/>
  <c r="AA39" i="53"/>
  <c r="AA106" i="53" s="1"/>
  <c r="AA107" i="53" s="1"/>
  <c r="AA46" i="53"/>
  <c r="AA73" i="53" s="1"/>
  <c r="AA47" i="53"/>
  <c r="AA74" i="53" s="1"/>
  <c r="CI97" i="41"/>
  <c r="L39" i="53"/>
  <c r="L55" i="53"/>
  <c r="L57" i="53"/>
  <c r="L56" i="53"/>
  <c r="K243" i="83"/>
  <c r="X59" i="80"/>
  <c r="X200" i="80" s="1"/>
  <c r="V59" i="80"/>
  <c r="V200" i="80" s="1"/>
  <c r="V204" i="80" s="1"/>
  <c r="CJ97" i="41"/>
  <c r="BI97" i="41"/>
  <c r="AK56" i="53"/>
  <c r="AK55" i="53"/>
  <c r="AK57" i="53"/>
  <c r="AR97" i="41"/>
  <c r="AD71" i="53" l="1"/>
  <c r="AD72" i="53"/>
  <c r="AD70" i="53"/>
  <c r="AD88" i="53" s="1"/>
  <c r="K127" i="83"/>
  <c r="J47" i="55"/>
  <c r="A4" i="111"/>
  <c r="R123" i="83"/>
  <c r="AH123" i="83"/>
  <c r="Q124" i="83"/>
  <c r="AC124" i="83"/>
  <c r="AJ124" i="83"/>
  <c r="AL124" i="83"/>
  <c r="Z123" i="83"/>
  <c r="AG123" i="83"/>
  <c r="AH124" i="83"/>
  <c r="V123" i="83"/>
  <c r="AC123" i="83"/>
  <c r="AA124" i="83"/>
  <c r="O124" i="83"/>
  <c r="AI124" i="83"/>
  <c r="J129" i="83"/>
  <c r="AO129" i="83"/>
  <c r="AG129" i="83"/>
  <c r="AK129" i="83"/>
  <c r="AP129" i="83"/>
  <c r="AJ129" i="83"/>
  <c r="AN129" i="83"/>
  <c r="AM129" i="83"/>
  <c r="AH129" i="83"/>
  <c r="AC129" i="83"/>
  <c r="AL129" i="83"/>
  <c r="AE129" i="83"/>
  <c r="AI129" i="83"/>
  <c r="AD129" i="83"/>
  <c r="AF129" i="83"/>
  <c r="AB129" i="83"/>
  <c r="Z129" i="83"/>
  <c r="AA129" i="83"/>
  <c r="N129" i="83"/>
  <c r="X129" i="83"/>
  <c r="V129" i="83"/>
  <c r="M129" i="83"/>
  <c r="Y129" i="83"/>
  <c r="T129" i="83"/>
  <c r="L129" i="83"/>
  <c r="R129" i="83"/>
  <c r="S129" i="83"/>
  <c r="K129" i="83"/>
  <c r="P129" i="83"/>
  <c r="Q129" i="83"/>
  <c r="O129" i="83"/>
  <c r="W129" i="83"/>
  <c r="U129" i="83"/>
  <c r="J125" i="83"/>
  <c r="AK125" i="83"/>
  <c r="AO125" i="83"/>
  <c r="AG125" i="83"/>
  <c r="AP125" i="83"/>
  <c r="AJ125" i="83"/>
  <c r="AN125" i="83"/>
  <c r="AM125" i="83"/>
  <c r="AH125" i="83"/>
  <c r="AF125" i="83"/>
  <c r="AC125" i="83"/>
  <c r="AL125" i="83"/>
  <c r="AD125" i="83"/>
  <c r="AE125" i="83"/>
  <c r="AI125" i="83"/>
  <c r="AB125" i="83"/>
  <c r="Z125" i="83"/>
  <c r="Z125" i="72" s="1"/>
  <c r="Z195" i="72" s="1"/>
  <c r="Z225" i="72" s="1"/>
  <c r="AA125" i="83"/>
  <c r="AA125" i="72" s="1"/>
  <c r="N125" i="83"/>
  <c r="X125" i="83"/>
  <c r="X125" i="72" s="1"/>
  <c r="X195" i="72" s="1"/>
  <c r="X225" i="72" s="1"/>
  <c r="V125" i="83"/>
  <c r="M125" i="83"/>
  <c r="Y125" i="83"/>
  <c r="T125" i="83"/>
  <c r="P125" i="83"/>
  <c r="U125" i="83"/>
  <c r="L125" i="83"/>
  <c r="R125" i="83"/>
  <c r="S125" i="83"/>
  <c r="K125" i="83"/>
  <c r="Q125" i="83"/>
  <c r="O125" i="83"/>
  <c r="W125" i="83"/>
  <c r="W125" i="72" s="1"/>
  <c r="W195" i="72" s="1"/>
  <c r="W225" i="72" s="1"/>
  <c r="Y123" i="83"/>
  <c r="N124" i="83"/>
  <c r="X124" i="83"/>
  <c r="AA123" i="83"/>
  <c r="M124" i="83"/>
  <c r="T124" i="83"/>
  <c r="V124" i="83"/>
  <c r="AO124" i="83"/>
  <c r="Q123" i="83"/>
  <c r="R124" i="83"/>
  <c r="AK124" i="83"/>
  <c r="M123" i="83"/>
  <c r="L123" i="83"/>
  <c r="AN123" i="83"/>
  <c r="AE124" i="83"/>
  <c r="T123" i="83"/>
  <c r="J127" i="83"/>
  <c r="AK127" i="83"/>
  <c r="AO127" i="83"/>
  <c r="AG127" i="83"/>
  <c r="AL127" i="83"/>
  <c r="AJ127" i="83"/>
  <c r="AE127" i="83"/>
  <c r="AN127" i="83"/>
  <c r="AI127" i="83"/>
  <c r="AC127" i="83"/>
  <c r="AP127" i="83"/>
  <c r="AF127" i="83"/>
  <c r="AM127" i="83"/>
  <c r="AD127" i="83"/>
  <c r="AH127" i="83"/>
  <c r="AB127" i="83"/>
  <c r="X127" i="83"/>
  <c r="N127" i="83"/>
  <c r="M127" i="83"/>
  <c r="Y127" i="83"/>
  <c r="Z127" i="83"/>
  <c r="AA127" i="83"/>
  <c r="V127" i="83"/>
  <c r="T127" i="83"/>
  <c r="L127" i="83"/>
  <c r="O127" i="83"/>
  <c r="P127" i="83"/>
  <c r="W127" i="83"/>
  <c r="Q127" i="83"/>
  <c r="S127" i="83"/>
  <c r="R127" i="83"/>
  <c r="U127" i="83"/>
  <c r="J126" i="83"/>
  <c r="AO126" i="83"/>
  <c r="AG126" i="83"/>
  <c r="AK126" i="83"/>
  <c r="AC126" i="83"/>
  <c r="AP126" i="83"/>
  <c r="AL126" i="83"/>
  <c r="AD126" i="83"/>
  <c r="AF126" i="83"/>
  <c r="AM126" i="83"/>
  <c r="AE126" i="83"/>
  <c r="AN126" i="83"/>
  <c r="AH126" i="83"/>
  <c r="AJ126" i="83"/>
  <c r="AI126" i="83"/>
  <c r="M126" i="83"/>
  <c r="Y126" i="83"/>
  <c r="AA126" i="83"/>
  <c r="T126" i="83"/>
  <c r="AB126" i="83"/>
  <c r="Z126" i="83"/>
  <c r="N126" i="83"/>
  <c r="X126" i="83"/>
  <c r="V126" i="83"/>
  <c r="Q126" i="83"/>
  <c r="S126" i="83"/>
  <c r="K126" i="83"/>
  <c r="O126" i="83"/>
  <c r="U126" i="83"/>
  <c r="L126" i="83"/>
  <c r="P126" i="83"/>
  <c r="R126" i="83"/>
  <c r="W126" i="83"/>
  <c r="O123" i="83"/>
  <c r="AD124" i="83"/>
  <c r="AG124" i="83"/>
  <c r="AP124" i="83"/>
  <c r="K123" i="83"/>
  <c r="AD123" i="83"/>
  <c r="AK123" i="83"/>
  <c r="AM123" i="83"/>
  <c r="Y124" i="83"/>
  <c r="AF124" i="83"/>
  <c r="AI123" i="83"/>
  <c r="U124" i="83"/>
  <c r="AB124" i="83"/>
  <c r="W124" i="83"/>
  <c r="AB123" i="83"/>
  <c r="P123" i="83"/>
  <c r="X123" i="83"/>
  <c r="AJ123" i="83"/>
  <c r="J128" i="83"/>
  <c r="AO128" i="83"/>
  <c r="AK128" i="83"/>
  <c r="AG128" i="83"/>
  <c r="AL128" i="83"/>
  <c r="AJ128" i="83"/>
  <c r="AE128" i="83"/>
  <c r="AN128" i="83"/>
  <c r="AI128" i="83"/>
  <c r="AD128" i="83"/>
  <c r="AP128" i="83"/>
  <c r="AM128" i="83"/>
  <c r="AF128" i="83"/>
  <c r="AH128" i="83"/>
  <c r="AC128" i="83"/>
  <c r="Y128" i="83"/>
  <c r="AB128" i="83"/>
  <c r="X128" i="83"/>
  <c r="Z128" i="83"/>
  <c r="AA128" i="83"/>
  <c r="N128" i="83"/>
  <c r="V128" i="83"/>
  <c r="M128" i="83"/>
  <c r="T128" i="83"/>
  <c r="L128" i="83"/>
  <c r="O128" i="83"/>
  <c r="P128" i="83"/>
  <c r="W128" i="83"/>
  <c r="Q128" i="83"/>
  <c r="U128" i="83"/>
  <c r="R128" i="83"/>
  <c r="S128" i="83"/>
  <c r="K128" i="83"/>
  <c r="J132" i="83"/>
  <c r="AG132" i="83"/>
  <c r="AK132" i="83"/>
  <c r="AO132" i="83"/>
  <c r="AL132" i="83"/>
  <c r="AJ132" i="83"/>
  <c r="AE132" i="83"/>
  <c r="AN132" i="83"/>
  <c r="AI132" i="83"/>
  <c r="AD132" i="83"/>
  <c r="AC132" i="83"/>
  <c r="AP132" i="83"/>
  <c r="AF132" i="83"/>
  <c r="AM132" i="83"/>
  <c r="AH132" i="83"/>
  <c r="AB132" i="83"/>
  <c r="X132" i="83"/>
  <c r="M132" i="83"/>
  <c r="Z132" i="83"/>
  <c r="AA132" i="83"/>
  <c r="N132" i="83"/>
  <c r="V132" i="83"/>
  <c r="T132" i="83"/>
  <c r="Y132" i="83"/>
  <c r="L132" i="83"/>
  <c r="O132" i="83"/>
  <c r="P132" i="83"/>
  <c r="W132" i="83"/>
  <c r="Q132" i="83"/>
  <c r="U132" i="83"/>
  <c r="R132" i="83"/>
  <c r="S132" i="83"/>
  <c r="K132" i="83"/>
  <c r="AO123" i="83"/>
  <c r="AN124" i="83"/>
  <c r="AE123" i="83"/>
  <c r="Z124" i="83"/>
  <c r="N123" i="83"/>
  <c r="U123" i="83"/>
  <c r="W123" i="83"/>
  <c r="AP123" i="83"/>
  <c r="P124" i="83"/>
  <c r="S123" i="83"/>
  <c r="AL123" i="83"/>
  <c r="L124" i="83"/>
  <c r="K124" i="83"/>
  <c r="AF123" i="83"/>
  <c r="AM124" i="83"/>
  <c r="S124" i="83"/>
  <c r="J131" i="83"/>
  <c r="AO131" i="83"/>
  <c r="AG131" i="83"/>
  <c r="AK131" i="83"/>
  <c r="AC131" i="83"/>
  <c r="AP131" i="83"/>
  <c r="AD131" i="83"/>
  <c r="AF131" i="83"/>
  <c r="AM131" i="83"/>
  <c r="AH131" i="83"/>
  <c r="AI131" i="83"/>
  <c r="AL131" i="83"/>
  <c r="AJ131" i="83"/>
  <c r="AE131" i="83"/>
  <c r="AN131" i="83"/>
  <c r="M131" i="83"/>
  <c r="Y131" i="83"/>
  <c r="Y131" i="72" s="1"/>
  <c r="Z131" i="83"/>
  <c r="AA131" i="83"/>
  <c r="V131" i="83"/>
  <c r="T131" i="83"/>
  <c r="AB131" i="83"/>
  <c r="N131" i="83"/>
  <c r="X131" i="83"/>
  <c r="Q131" i="83"/>
  <c r="S131" i="83"/>
  <c r="K131" i="83"/>
  <c r="R131" i="83"/>
  <c r="U131" i="83"/>
  <c r="L131" i="83"/>
  <c r="O131" i="83"/>
  <c r="P131" i="83"/>
  <c r="W131" i="83"/>
  <c r="J130" i="83"/>
  <c r="AO130" i="83"/>
  <c r="AK130" i="83"/>
  <c r="AG130" i="83"/>
  <c r="AL130" i="83"/>
  <c r="AD130" i="83"/>
  <c r="AF130" i="83"/>
  <c r="AM130" i="83"/>
  <c r="AP130" i="83"/>
  <c r="AJ130" i="83"/>
  <c r="AN130" i="83"/>
  <c r="AI130" i="83"/>
  <c r="AH130" i="83"/>
  <c r="AC130" i="83"/>
  <c r="AE130" i="83"/>
  <c r="AA130" i="83"/>
  <c r="T130" i="83"/>
  <c r="AB130" i="83"/>
  <c r="Z130" i="83"/>
  <c r="N130" i="83"/>
  <c r="X130" i="83"/>
  <c r="V130" i="83"/>
  <c r="M130" i="83"/>
  <c r="Y130" i="83"/>
  <c r="S130" i="83"/>
  <c r="K130" i="83"/>
  <c r="U130" i="83"/>
  <c r="L130" i="83"/>
  <c r="P130" i="83"/>
  <c r="R130" i="83"/>
  <c r="W130" i="83"/>
  <c r="O130" i="83"/>
  <c r="Q130" i="83"/>
  <c r="K247" i="83"/>
  <c r="K248" i="83"/>
  <c r="AG70" i="53"/>
  <c r="AG88" i="53" s="1"/>
  <c r="AG90" i="53" s="1"/>
  <c r="AG120" i="53" s="1"/>
  <c r="AG122" i="53" s="1"/>
  <c r="V206" i="80"/>
  <c r="N206" i="80"/>
  <c r="AG72" i="53"/>
  <c r="M270" i="83"/>
  <c r="N270" i="83"/>
  <c r="K270" i="83"/>
  <c r="S70" i="53"/>
  <c r="S72" i="53"/>
  <c r="S71" i="53"/>
  <c r="K246" i="83"/>
  <c r="AG71" i="53"/>
  <c r="P75" i="53"/>
  <c r="H112" i="53"/>
  <c r="W74" i="53"/>
  <c r="W71" i="53"/>
  <c r="AO75" i="53"/>
  <c r="AO72" i="53"/>
  <c r="V72" i="53"/>
  <c r="W75" i="53"/>
  <c r="W72" i="53"/>
  <c r="AO73" i="53"/>
  <c r="AO70" i="53"/>
  <c r="AO88" i="53" s="1"/>
  <c r="AO90" i="53" s="1"/>
  <c r="AO120" i="53" s="1"/>
  <c r="AO122" i="53" s="1"/>
  <c r="U72" i="53"/>
  <c r="W70" i="53"/>
  <c r="W88" i="53" s="1"/>
  <c r="W90" i="53" s="1"/>
  <c r="W120" i="53" s="1"/>
  <c r="W122" i="53" s="1"/>
  <c r="AO71" i="53"/>
  <c r="P74" i="53"/>
  <c r="AC165" i="72"/>
  <c r="AC200" i="72" s="1"/>
  <c r="AC230" i="72" s="1"/>
  <c r="AO167" i="72"/>
  <c r="AO202" i="72" s="1"/>
  <c r="AO232" i="72" s="1"/>
  <c r="AM167" i="72"/>
  <c r="AM202" i="72" s="1"/>
  <c r="AM232" i="72" s="1"/>
  <c r="AK167" i="72"/>
  <c r="AK202" i="72" s="1"/>
  <c r="AK232" i="72" s="1"/>
  <c r="AI167" i="72"/>
  <c r="AI202" i="72" s="1"/>
  <c r="AI232" i="72" s="1"/>
  <c r="AJ165" i="72"/>
  <c r="AJ200" i="72" s="1"/>
  <c r="AJ230" i="72" s="1"/>
  <c r="AO165" i="72"/>
  <c r="AO200" i="72" s="1"/>
  <c r="AO230" i="72" s="1"/>
  <c r="AL165" i="72"/>
  <c r="AL200" i="72" s="1"/>
  <c r="AL230" i="72" s="1"/>
  <c r="AM165" i="72"/>
  <c r="AM200" i="72" s="1"/>
  <c r="AM230" i="72" s="1"/>
  <c r="AL167" i="72"/>
  <c r="AL202" i="72" s="1"/>
  <c r="AL232" i="72" s="1"/>
  <c r="AP162" i="72"/>
  <c r="AP197" i="72" s="1"/>
  <c r="AP227" i="72" s="1"/>
  <c r="AB20" i="74"/>
  <c r="AH70" i="53"/>
  <c r="AH88" i="53" s="1"/>
  <c r="V70" i="53"/>
  <c r="V88" i="53" s="1"/>
  <c r="Z20" i="74"/>
  <c r="V71" i="53"/>
  <c r="AG167" i="72"/>
  <c r="AG202" i="72" s="1"/>
  <c r="AG232" i="72" s="1"/>
  <c r="AF165" i="72"/>
  <c r="AF200" i="72" s="1"/>
  <c r="AF230" i="72" s="1"/>
  <c r="AN167" i="72"/>
  <c r="AN202" i="72" s="1"/>
  <c r="AN232" i="72" s="1"/>
  <c r="AC167" i="72"/>
  <c r="AC202" i="72" s="1"/>
  <c r="AC232" i="72" s="1"/>
  <c r="AP167" i="72"/>
  <c r="AP202" i="72" s="1"/>
  <c r="AP232" i="72" s="1"/>
  <c r="AJ167" i="72"/>
  <c r="AJ202" i="72" s="1"/>
  <c r="AJ232" i="72" s="1"/>
  <c r="AI166" i="72"/>
  <c r="AI201" i="72" s="1"/>
  <c r="AI231" i="72" s="1"/>
  <c r="AN166" i="72"/>
  <c r="AN201" i="72" s="1"/>
  <c r="AN231" i="72" s="1"/>
  <c r="AG166" i="72"/>
  <c r="AG201" i="72" s="1"/>
  <c r="AG231" i="72" s="1"/>
  <c r="AL166" i="72"/>
  <c r="AL201" i="72" s="1"/>
  <c r="AL231" i="72" s="1"/>
  <c r="AK165" i="72"/>
  <c r="AK200" i="72" s="1"/>
  <c r="AK230" i="72" s="1"/>
  <c r="AD165" i="72"/>
  <c r="AD200" i="72" s="1"/>
  <c r="AD230" i="72" s="1"/>
  <c r="AI165" i="72"/>
  <c r="AI200" i="72" s="1"/>
  <c r="AI230" i="72" s="1"/>
  <c r="AL164" i="72"/>
  <c r="AL199" i="72" s="1"/>
  <c r="AL229" i="72" s="1"/>
  <c r="AD167" i="72"/>
  <c r="AD202" i="72" s="1"/>
  <c r="AD232" i="72" s="1"/>
  <c r="AE166" i="72"/>
  <c r="AE201" i="72" s="1"/>
  <c r="AE231" i="72" s="1"/>
  <c r="AE167" i="72"/>
  <c r="AE202" i="72" s="1"/>
  <c r="AE232" i="72" s="1"/>
  <c r="AH166" i="72"/>
  <c r="AH201" i="72" s="1"/>
  <c r="AH231" i="72" s="1"/>
  <c r="AF167" i="72"/>
  <c r="AF202" i="72" s="1"/>
  <c r="AF232" i="72" s="1"/>
  <c r="AP74" i="53"/>
  <c r="AJ166" i="72"/>
  <c r="AJ201" i="72" s="1"/>
  <c r="AJ231" i="72" s="1"/>
  <c r="AM166" i="72"/>
  <c r="AM201" i="72" s="1"/>
  <c r="AM231" i="72" s="1"/>
  <c r="AH167" i="72"/>
  <c r="AH202" i="72" s="1"/>
  <c r="AH232" i="72" s="1"/>
  <c r="AK166" i="72"/>
  <c r="AK201" i="72" s="1"/>
  <c r="AK231" i="72" s="1"/>
  <c r="AN165" i="72"/>
  <c r="AN200" i="72" s="1"/>
  <c r="AN230" i="72" s="1"/>
  <c r="AP165" i="72"/>
  <c r="AP200" i="72" s="1"/>
  <c r="AP230" i="72" s="1"/>
  <c r="AG165" i="72"/>
  <c r="AG200" i="72" s="1"/>
  <c r="AG230" i="72" s="1"/>
  <c r="AJ164" i="72"/>
  <c r="AJ199" i="72" s="1"/>
  <c r="AJ229" i="72" s="1"/>
  <c r="AE165" i="72"/>
  <c r="AE200" i="72" s="1"/>
  <c r="AE230" i="72" s="1"/>
  <c r="AM164" i="72"/>
  <c r="AM199" i="72" s="1"/>
  <c r="AM229" i="72" s="1"/>
  <c r="AH165" i="72"/>
  <c r="AH200" i="72" s="1"/>
  <c r="AH230" i="72" s="1"/>
  <c r="AH74" i="53"/>
  <c r="AH71" i="53"/>
  <c r="AH73" i="53"/>
  <c r="AP73" i="53"/>
  <c r="AK163" i="72"/>
  <c r="AK198" i="72" s="1"/>
  <c r="AK228" i="72" s="1"/>
  <c r="AF164" i="72"/>
  <c r="AF199" i="72" s="1"/>
  <c r="AF229" i="72" s="1"/>
  <c r="AP166" i="72"/>
  <c r="AP201" i="72" s="1"/>
  <c r="AP231" i="72" s="1"/>
  <c r="AP164" i="72"/>
  <c r="AP199" i="72" s="1"/>
  <c r="AP229" i="72" s="1"/>
  <c r="AF73" i="53"/>
  <c r="AF166" i="72"/>
  <c r="AF201" i="72" s="1"/>
  <c r="AF231" i="72" s="1"/>
  <c r="AC166" i="72"/>
  <c r="AC201" i="72" s="1"/>
  <c r="AC231" i="72" s="1"/>
  <c r="AE164" i="72"/>
  <c r="AE199" i="72" s="1"/>
  <c r="AE229" i="72" s="1"/>
  <c r="AC164" i="72"/>
  <c r="AC199" i="72" s="1"/>
  <c r="AC229" i="72" s="1"/>
  <c r="AH164" i="72"/>
  <c r="AH199" i="72" s="1"/>
  <c r="AH229" i="72" s="1"/>
  <c r="AI164" i="72"/>
  <c r="AI199" i="72" s="1"/>
  <c r="AI229" i="72" s="1"/>
  <c r="AG164" i="72"/>
  <c r="AG199" i="72" s="1"/>
  <c r="AG229" i="72" s="1"/>
  <c r="AN164" i="72"/>
  <c r="AN199" i="72" s="1"/>
  <c r="AN229" i="72" s="1"/>
  <c r="AO164" i="72"/>
  <c r="AO199" i="72" s="1"/>
  <c r="AO229" i="72" s="1"/>
  <c r="AD164" i="72"/>
  <c r="AD199" i="72" s="1"/>
  <c r="AD229" i="72" s="1"/>
  <c r="AC163" i="72"/>
  <c r="AC198" i="72" s="1"/>
  <c r="AC228" i="72" s="1"/>
  <c r="AP163" i="72"/>
  <c r="AP198" i="72" s="1"/>
  <c r="AP228" i="72" s="1"/>
  <c r="AM162" i="72"/>
  <c r="AM197" i="72" s="1"/>
  <c r="AM227" i="72" s="1"/>
  <c r="AP161" i="72"/>
  <c r="AP196" i="72" s="1"/>
  <c r="AP226" i="72" s="1"/>
  <c r="AI161" i="72"/>
  <c r="AI196" i="72" s="1"/>
  <c r="AI226" i="72" s="1"/>
  <c r="AL160" i="72"/>
  <c r="AL195" i="72" s="1"/>
  <c r="AL225" i="72" s="1"/>
  <c r="AE162" i="72"/>
  <c r="AE197" i="72" s="1"/>
  <c r="AE227" i="72" s="1"/>
  <c r="AH161" i="72"/>
  <c r="AH196" i="72" s="1"/>
  <c r="AH226" i="72" s="1"/>
  <c r="AC162" i="72"/>
  <c r="AC197" i="72" s="1"/>
  <c r="AC227" i="72" s="1"/>
  <c r="AF161" i="72"/>
  <c r="AF196" i="72" s="1"/>
  <c r="AF226" i="72" s="1"/>
  <c r="AG160" i="72"/>
  <c r="AG195" i="72" s="1"/>
  <c r="AG225" i="72" s="1"/>
  <c r="AF163" i="72"/>
  <c r="AF198" i="72" s="1"/>
  <c r="AF228" i="72" s="1"/>
  <c r="AE160" i="72"/>
  <c r="AE195" i="72" s="1"/>
  <c r="AE225" i="72" s="1"/>
  <c r="AN163" i="72"/>
  <c r="AN198" i="72" s="1"/>
  <c r="AN228" i="72" s="1"/>
  <c r="AM163" i="72"/>
  <c r="AM198" i="72" s="1"/>
  <c r="AM228" i="72" s="1"/>
  <c r="AO161" i="72"/>
  <c r="AO196" i="72" s="1"/>
  <c r="AO226" i="72" s="1"/>
  <c r="AD161" i="72"/>
  <c r="AD196" i="72" s="1"/>
  <c r="AD226" i="72" s="1"/>
  <c r="AM161" i="72"/>
  <c r="AM196" i="72" s="1"/>
  <c r="AM226" i="72" s="1"/>
  <c r="AG163" i="72"/>
  <c r="AG198" i="72" s="1"/>
  <c r="AG228" i="72" s="1"/>
  <c r="AE163" i="72"/>
  <c r="AE198" i="72" s="1"/>
  <c r="AE228" i="72" s="1"/>
  <c r="AK161" i="72"/>
  <c r="AK196" i="72" s="1"/>
  <c r="AK226" i="72" s="1"/>
  <c r="AN161" i="72"/>
  <c r="AN196" i="72" s="1"/>
  <c r="AN226" i="72" s="1"/>
  <c r="AG161" i="72"/>
  <c r="AG196" i="72" s="1"/>
  <c r="AG226" i="72" s="1"/>
  <c r="AE161" i="72"/>
  <c r="AE196" i="72" s="1"/>
  <c r="AE226" i="72" s="1"/>
  <c r="AI163" i="72"/>
  <c r="AI198" i="72" s="1"/>
  <c r="AI228" i="72" s="1"/>
  <c r="AJ163" i="72"/>
  <c r="AJ198" i="72" s="1"/>
  <c r="AJ228" i="72" s="1"/>
  <c r="AH163" i="72"/>
  <c r="AH198" i="72" s="1"/>
  <c r="AH228" i="72" s="1"/>
  <c r="AL163" i="72"/>
  <c r="AL198" i="72" s="1"/>
  <c r="AL228" i="72" s="1"/>
  <c r="AO163" i="72"/>
  <c r="AO198" i="72" s="1"/>
  <c r="AO228" i="72" s="1"/>
  <c r="AD163" i="72"/>
  <c r="AD198" i="72" s="1"/>
  <c r="AD228" i="72" s="1"/>
  <c r="AL161" i="72"/>
  <c r="AL196" i="72" s="1"/>
  <c r="AL226" i="72" s="1"/>
  <c r="AJ161" i="72"/>
  <c r="AJ196" i="72" s="1"/>
  <c r="AJ226" i="72" s="1"/>
  <c r="AC161" i="72"/>
  <c r="AC196" i="72" s="1"/>
  <c r="AC226" i="72" s="1"/>
  <c r="V75" i="53"/>
  <c r="AF70" i="53"/>
  <c r="AF88" i="53" s="1"/>
  <c r="U71" i="53"/>
  <c r="U70" i="53"/>
  <c r="U88" i="53" s="1"/>
  <c r="AF72" i="53"/>
  <c r="N75" i="53"/>
  <c r="N248" i="83" s="1"/>
  <c r="AI75" i="53"/>
  <c r="V73" i="53"/>
  <c r="N73" i="53"/>
  <c r="N246" i="83" s="1"/>
  <c r="U75" i="53"/>
  <c r="AD162" i="72"/>
  <c r="AD197" i="72" s="1"/>
  <c r="AD227" i="72" s="1"/>
  <c r="AJ162" i="72"/>
  <c r="AJ197" i="72" s="1"/>
  <c r="AJ227" i="72" s="1"/>
  <c r="AH162" i="72"/>
  <c r="AH197" i="72" s="1"/>
  <c r="AH227" i="72" s="1"/>
  <c r="AN160" i="72"/>
  <c r="AN195" i="72" s="1"/>
  <c r="AN225" i="72" s="1"/>
  <c r="AK162" i="72"/>
  <c r="AK197" i="72" s="1"/>
  <c r="AK227" i="72" s="1"/>
  <c r="AJ160" i="72"/>
  <c r="AJ195" i="72" s="1"/>
  <c r="AJ225" i="72" s="1"/>
  <c r="AH160" i="72"/>
  <c r="AH195" i="72" s="1"/>
  <c r="AH225" i="72" s="1"/>
  <c r="AM160" i="72"/>
  <c r="AM195" i="72" s="1"/>
  <c r="AM225" i="72" s="1"/>
  <c r="AK160" i="72"/>
  <c r="AK195" i="72" s="1"/>
  <c r="AK225" i="72" s="1"/>
  <c r="AI162" i="72"/>
  <c r="AI197" i="72" s="1"/>
  <c r="AI227" i="72" s="1"/>
  <c r="AG162" i="72"/>
  <c r="AG197" i="72" s="1"/>
  <c r="AG227" i="72" s="1"/>
  <c r="AI160" i="72"/>
  <c r="AI195" i="72" s="1"/>
  <c r="AI225" i="72" s="1"/>
  <c r="AF160" i="72"/>
  <c r="AF195" i="72" s="1"/>
  <c r="AF225" i="72" s="1"/>
  <c r="AO160" i="72"/>
  <c r="AO195" i="72" s="1"/>
  <c r="AO225" i="72" s="1"/>
  <c r="AD160" i="72"/>
  <c r="AD195" i="72" s="1"/>
  <c r="AD225" i="72" s="1"/>
  <c r="AF162" i="72"/>
  <c r="AF197" i="72" s="1"/>
  <c r="AF227" i="72" s="1"/>
  <c r="AO162" i="72"/>
  <c r="AO197" i="72" s="1"/>
  <c r="AO227" i="72" s="1"/>
  <c r="AP160" i="72"/>
  <c r="AP195" i="72" s="1"/>
  <c r="AP225" i="72" s="1"/>
  <c r="AN162" i="72"/>
  <c r="AN197" i="72" s="1"/>
  <c r="AN227" i="72" s="1"/>
  <c r="AL162" i="72"/>
  <c r="AL197" i="72" s="1"/>
  <c r="AL227" i="72" s="1"/>
  <c r="AC160" i="72"/>
  <c r="AC195" i="72" s="1"/>
  <c r="AC225" i="72" s="1"/>
  <c r="L75" i="53"/>
  <c r="S370" i="53" s="1"/>
  <c r="AO166" i="72"/>
  <c r="AO201" i="72" s="1"/>
  <c r="AO231" i="72" s="1"/>
  <c r="AD166" i="72"/>
  <c r="AD201" i="72" s="1"/>
  <c r="AD231" i="72" s="1"/>
  <c r="AK164" i="72"/>
  <c r="AK199" i="72" s="1"/>
  <c r="AK229" i="72" s="1"/>
  <c r="U74" i="53"/>
  <c r="AC75" i="53"/>
  <c r="AC73" i="53"/>
  <c r="AF74" i="53"/>
  <c r="AI73" i="53"/>
  <c r="U20" i="74"/>
  <c r="T73" i="53"/>
  <c r="T246" i="83" s="1"/>
  <c r="S73" i="53"/>
  <c r="S246" i="83" s="1"/>
  <c r="O75" i="53"/>
  <c r="O248" i="83" s="1"/>
  <c r="P204" i="80"/>
  <c r="P206" i="80" s="1"/>
  <c r="X204" i="80"/>
  <c r="X206" i="80" s="1"/>
  <c r="L73" i="53"/>
  <c r="L246" i="83" s="1"/>
  <c r="S204" i="80"/>
  <c r="S206" i="80" s="1"/>
  <c r="W204" i="80"/>
  <c r="W206" i="80" s="1"/>
  <c r="Q204" i="80"/>
  <c r="Q206" i="80" s="1"/>
  <c r="K204" i="80"/>
  <c r="K206" i="80" s="1"/>
  <c r="T204" i="80"/>
  <c r="T206" i="80" s="1"/>
  <c r="U204" i="80"/>
  <c r="U206" i="80" s="1"/>
  <c r="T74" i="53"/>
  <c r="T247" i="83" s="1"/>
  <c r="Q20" i="31"/>
  <c r="P21" i="31"/>
  <c r="R74" i="53"/>
  <c r="S75" i="53"/>
  <c r="S248" i="83" s="1"/>
  <c r="AK73" i="53"/>
  <c r="O73" i="53"/>
  <c r="O246" i="83" s="1"/>
  <c r="AK75" i="53"/>
  <c r="T75" i="53"/>
  <c r="T248" i="83" s="1"/>
  <c r="R73" i="53"/>
  <c r="AK74" i="53"/>
  <c r="L74" i="53"/>
  <c r="S369" i="53" s="1"/>
  <c r="S74" i="53"/>
  <c r="S247" i="83" s="1"/>
  <c r="O74" i="53"/>
  <c r="O247" i="83" s="1"/>
  <c r="R75" i="53"/>
  <c r="K97" i="41"/>
  <c r="BA97" i="41"/>
  <c r="T20" i="74"/>
  <c r="AC70" i="53"/>
  <c r="AC88" i="53" s="1"/>
  <c r="AC71" i="53"/>
  <c r="AC72" i="53"/>
  <c r="R20" i="74"/>
  <c r="X20" i="74"/>
  <c r="M70" i="53"/>
  <c r="M71" i="53"/>
  <c r="M72" i="53"/>
  <c r="S20" i="74"/>
  <c r="Q70" i="53"/>
  <c r="Q88" i="53" s="1"/>
  <c r="Q72" i="53"/>
  <c r="Q71" i="53"/>
  <c r="H82" i="53"/>
  <c r="AA105" i="53"/>
  <c r="AA70" i="53"/>
  <c r="AA88" i="53" s="1"/>
  <c r="AA72" i="53"/>
  <c r="AA71" i="53"/>
  <c r="AN70" i="53"/>
  <c r="AN88" i="53" s="1"/>
  <c r="AN71" i="53"/>
  <c r="AN72" i="53"/>
  <c r="H80" i="53"/>
  <c r="H89" i="53" s="1"/>
  <c r="AN73" i="53"/>
  <c r="N20" i="74"/>
  <c r="BB97" i="41"/>
  <c r="K20" i="74"/>
  <c r="V20" i="74"/>
  <c r="L70" i="53"/>
  <c r="L71" i="53"/>
  <c r="L72" i="53"/>
  <c r="W20" i="74"/>
  <c r="AJ70" i="53"/>
  <c r="AJ88" i="53" s="1"/>
  <c r="AJ72" i="53"/>
  <c r="AJ71" i="53"/>
  <c r="N97" i="41"/>
  <c r="AE70" i="53"/>
  <c r="AE88" i="53" s="1"/>
  <c r="AE72" i="53"/>
  <c r="AE71" i="53"/>
  <c r="AA97" i="41"/>
  <c r="AN74" i="53"/>
  <c r="T70" i="53"/>
  <c r="T72" i="53"/>
  <c r="T71" i="53"/>
  <c r="H81" i="53"/>
  <c r="AI70" i="53"/>
  <c r="AI88" i="53" s="1"/>
  <c r="AI71" i="53"/>
  <c r="AI72" i="53"/>
  <c r="N70" i="53"/>
  <c r="N72" i="53"/>
  <c r="N71" i="53"/>
  <c r="M73" i="53"/>
  <c r="BC97" i="41"/>
  <c r="Y20" i="74"/>
  <c r="CA97" i="41"/>
  <c r="M20" i="74"/>
  <c r="AZ97" i="41"/>
  <c r="AL90" i="53"/>
  <c r="AL120" i="53" s="1"/>
  <c r="AL122" i="53" s="1"/>
  <c r="AY97" i="41"/>
  <c r="AV97" i="41"/>
  <c r="P70" i="53"/>
  <c r="P88" i="53" s="1"/>
  <c r="P72" i="53"/>
  <c r="P71" i="53"/>
  <c r="Y105" i="53"/>
  <c r="Y71" i="53"/>
  <c r="Y70" i="53"/>
  <c r="Y88" i="53" s="1"/>
  <c r="Y72" i="53"/>
  <c r="Q97" i="41"/>
  <c r="Q20" i="74"/>
  <c r="R70" i="53"/>
  <c r="R88" i="53" s="1"/>
  <c r="R71" i="53"/>
  <c r="R72" i="53"/>
  <c r="X97" i="41"/>
  <c r="X105" i="53"/>
  <c r="X71" i="53"/>
  <c r="X72" i="53"/>
  <c r="X70" i="53"/>
  <c r="X88" i="53" s="1"/>
  <c r="P97" i="41"/>
  <c r="Y97" i="41"/>
  <c r="M74" i="53"/>
  <c r="BD97" i="41"/>
  <c r="AM70" i="53"/>
  <c r="AM88" i="53" s="1"/>
  <c r="AM71" i="53"/>
  <c r="AM72" i="53"/>
  <c r="AK70" i="53"/>
  <c r="AK88" i="53" s="1"/>
  <c r="AK71" i="53"/>
  <c r="AK72" i="53"/>
  <c r="K70" i="53"/>
  <c r="K71" i="53"/>
  <c r="K72" i="53"/>
  <c r="AS97" i="41"/>
  <c r="AN75" i="53"/>
  <c r="AT97" i="41"/>
  <c r="R97" i="41"/>
  <c r="AP70" i="53"/>
  <c r="AP88" i="53" s="1"/>
  <c r="AP72" i="53"/>
  <c r="AP71" i="53"/>
  <c r="M75" i="53"/>
  <c r="AA20" i="74"/>
  <c r="O70" i="53"/>
  <c r="O72" i="53"/>
  <c r="O71" i="53"/>
  <c r="P20" i="74"/>
  <c r="AD90" i="53"/>
  <c r="AD120" i="53" s="1"/>
  <c r="AD122" i="53" s="1"/>
  <c r="T375" i="53" l="1"/>
  <c r="T380" i="53" s="1"/>
  <c r="T373" i="53"/>
  <c r="T378" i="53" s="1"/>
  <c r="T374" i="53"/>
  <c r="T379" i="53" s="1"/>
  <c r="S368" i="53"/>
  <c r="S378" i="53" s="1"/>
  <c r="Y129" i="72"/>
  <c r="Y199" i="72" s="1"/>
  <c r="Y229" i="72" s="1"/>
  <c r="Y125" i="72"/>
  <c r="Y195" i="72" s="1"/>
  <c r="Y225" i="72" s="1"/>
  <c r="Y126" i="72"/>
  <c r="Y196" i="72" s="1"/>
  <c r="Y226" i="72" s="1"/>
  <c r="S379" i="53"/>
  <c r="S380" i="53"/>
  <c r="M247" i="83"/>
  <c r="M246" i="83"/>
  <c r="M248" i="83"/>
  <c r="N249" i="83"/>
  <c r="O249" i="83"/>
  <c r="T249" i="83"/>
  <c r="L247" i="83"/>
  <c r="K249" i="83"/>
  <c r="S249" i="83"/>
  <c r="L248" i="83"/>
  <c r="AH90" i="53"/>
  <c r="AH120" i="53" s="1"/>
  <c r="AH122" i="53" s="1"/>
  <c r="AH304" i="53" s="1"/>
  <c r="AH520" i="53" s="1"/>
  <c r="AF90" i="53"/>
  <c r="AF120" i="53" s="1"/>
  <c r="AF122" i="53" s="1"/>
  <c r="AF293" i="53" s="1"/>
  <c r="AF509" i="53" s="1"/>
  <c r="Y132" i="72"/>
  <c r="Y202" i="72" s="1"/>
  <c r="Y232" i="72" s="1"/>
  <c r="Y130" i="72"/>
  <c r="Y200" i="72" s="1"/>
  <c r="Y230" i="72" s="1"/>
  <c r="Y128" i="72"/>
  <c r="Y198" i="72" s="1"/>
  <c r="Y228" i="72" s="1"/>
  <c r="V90" i="53"/>
  <c r="V120" i="53" s="1"/>
  <c r="V122" i="53" s="1"/>
  <c r="V308" i="53" s="1"/>
  <c r="V524" i="53" s="1"/>
  <c r="N88" i="53"/>
  <c r="M88" i="53"/>
  <c r="O88" i="53"/>
  <c r="S88" i="53"/>
  <c r="K88" i="53"/>
  <c r="T88" i="53"/>
  <c r="L88" i="53"/>
  <c r="Y127" i="72"/>
  <c r="Y197" i="72" s="1"/>
  <c r="Y227" i="72" s="1"/>
  <c r="P125" i="72"/>
  <c r="P195" i="72" s="1"/>
  <c r="P225" i="72" s="1"/>
  <c r="J125" i="72"/>
  <c r="J195" i="72" s="1"/>
  <c r="J225" i="72" s="1"/>
  <c r="AB125" i="72"/>
  <c r="AB195" i="72" s="1"/>
  <c r="AB225" i="72" s="1"/>
  <c r="T125" i="72"/>
  <c r="T195" i="72" s="1"/>
  <c r="T225" i="72" s="1"/>
  <c r="U90" i="53"/>
  <c r="J128" i="72"/>
  <c r="J198" i="72" s="1"/>
  <c r="J228" i="72" s="1"/>
  <c r="Y201" i="72"/>
  <c r="Y231" i="72" s="1"/>
  <c r="V126" i="72"/>
  <c r="U126" i="72"/>
  <c r="AB126" i="72"/>
  <c r="Q127" i="72"/>
  <c r="W127" i="72"/>
  <c r="AA127" i="72"/>
  <c r="AB127" i="72"/>
  <c r="K127" i="72"/>
  <c r="N125" i="72"/>
  <c r="M129" i="72"/>
  <c r="L129" i="72"/>
  <c r="K129" i="72"/>
  <c r="Q129" i="72"/>
  <c r="O130" i="72"/>
  <c r="S130" i="72"/>
  <c r="M130" i="72"/>
  <c r="L130" i="72"/>
  <c r="O131" i="72"/>
  <c r="AB131" i="72"/>
  <c r="Z131" i="72"/>
  <c r="Q131" i="72"/>
  <c r="L131" i="72"/>
  <c r="J132" i="72"/>
  <c r="O132" i="72"/>
  <c r="Z132" i="72"/>
  <c r="U132" i="72"/>
  <c r="W132" i="72"/>
  <c r="Q132" i="72"/>
  <c r="R132" i="72"/>
  <c r="AA132" i="72"/>
  <c r="AB128" i="72"/>
  <c r="P128" i="72"/>
  <c r="U128" i="72"/>
  <c r="R128" i="72"/>
  <c r="J126" i="72"/>
  <c r="X126" i="72"/>
  <c r="S126" i="72"/>
  <c r="R126" i="72"/>
  <c r="Z127" i="72"/>
  <c r="L127" i="72"/>
  <c r="P127" i="72"/>
  <c r="V125" i="72"/>
  <c r="U125" i="72"/>
  <c r="O129" i="72"/>
  <c r="Z129" i="72"/>
  <c r="N129" i="72"/>
  <c r="W129" i="72"/>
  <c r="Q130" i="72"/>
  <c r="AA130" i="72"/>
  <c r="AB130" i="72"/>
  <c r="N130" i="72"/>
  <c r="M131" i="72"/>
  <c r="U131" i="72"/>
  <c r="N131" i="72"/>
  <c r="T132" i="72"/>
  <c r="L132" i="72"/>
  <c r="X132" i="72"/>
  <c r="P132" i="72"/>
  <c r="K128" i="72"/>
  <c r="N128" i="72"/>
  <c r="V128" i="72"/>
  <c r="O128" i="72"/>
  <c r="M128" i="72"/>
  <c r="L128" i="72"/>
  <c r="AA195" i="72"/>
  <c r="AA225" i="72" s="1"/>
  <c r="O126" i="72"/>
  <c r="P126" i="72"/>
  <c r="Q126" i="72"/>
  <c r="N126" i="72"/>
  <c r="M126" i="72"/>
  <c r="L126" i="72"/>
  <c r="N127" i="72"/>
  <c r="V127" i="72"/>
  <c r="U127" i="72"/>
  <c r="O125" i="72"/>
  <c r="L125" i="72"/>
  <c r="M125" i="72"/>
  <c r="Q125" i="72"/>
  <c r="AA129" i="72"/>
  <c r="U129" i="72"/>
  <c r="P129" i="72"/>
  <c r="R129" i="72"/>
  <c r="V129" i="72"/>
  <c r="W130" i="72"/>
  <c r="J130" i="72"/>
  <c r="T130" i="72"/>
  <c r="X130" i="72"/>
  <c r="V130" i="72"/>
  <c r="AA131" i="72"/>
  <c r="S131" i="72"/>
  <c r="X131" i="72"/>
  <c r="V131" i="72"/>
  <c r="T131" i="72"/>
  <c r="V132" i="72"/>
  <c r="S132" i="72"/>
  <c r="K132" i="72"/>
  <c r="Z128" i="72"/>
  <c r="T128" i="72"/>
  <c r="W128" i="72"/>
  <c r="W126" i="72"/>
  <c r="T126" i="72"/>
  <c r="K126" i="72"/>
  <c r="Z126" i="72"/>
  <c r="AA126" i="72"/>
  <c r="J127" i="72"/>
  <c r="R127" i="72"/>
  <c r="X127" i="72"/>
  <c r="T127" i="72"/>
  <c r="S127" i="72"/>
  <c r="O127" i="72"/>
  <c r="M127" i="72"/>
  <c r="K125" i="72"/>
  <c r="R125" i="72"/>
  <c r="S125" i="72"/>
  <c r="T129" i="72"/>
  <c r="X129" i="72"/>
  <c r="J129" i="72"/>
  <c r="AB129" i="72"/>
  <c r="S129" i="72"/>
  <c r="K130" i="72"/>
  <c r="P130" i="72"/>
  <c r="R130" i="72"/>
  <c r="Z130" i="72"/>
  <c r="U130" i="72"/>
  <c r="P131" i="72"/>
  <c r="K131" i="72"/>
  <c r="R131" i="72"/>
  <c r="J131" i="72"/>
  <c r="W131" i="72"/>
  <c r="N132" i="72"/>
  <c r="AB132" i="72"/>
  <c r="M132" i="72"/>
  <c r="X128" i="72"/>
  <c r="S128" i="72"/>
  <c r="Q128" i="72"/>
  <c r="AA128" i="72"/>
  <c r="AO30" i="74"/>
  <c r="AO75" i="74" s="1"/>
  <c r="AN30" i="74"/>
  <c r="AN75" i="74" s="1"/>
  <c r="AO29" i="74"/>
  <c r="AO74" i="74" s="1"/>
  <c r="AF30" i="74"/>
  <c r="AF75" i="74" s="1"/>
  <c r="AH29" i="74"/>
  <c r="AH74" i="74" s="1"/>
  <c r="AG28" i="74"/>
  <c r="AG73" i="74" s="1"/>
  <c r="AK27" i="74"/>
  <c r="AK72" i="74" s="1"/>
  <c r="AO28" i="74"/>
  <c r="AO73" i="74" s="1"/>
  <c r="AL29" i="74"/>
  <c r="AL74" i="74" s="1"/>
  <c r="AM27" i="74"/>
  <c r="AM72" i="74" s="1"/>
  <c r="AF29" i="74"/>
  <c r="AF74" i="74" s="1"/>
  <c r="AD31" i="74"/>
  <c r="AD76" i="74" s="1"/>
  <c r="AE27" i="74"/>
  <c r="AE72" i="74" s="1"/>
  <c r="AK29" i="74"/>
  <c r="AK74" i="74" s="1"/>
  <c r="AP27" i="74"/>
  <c r="AP72" i="74" s="1"/>
  <c r="AE29" i="74"/>
  <c r="AE74" i="74" s="1"/>
  <c r="AP28" i="74"/>
  <c r="AP73" i="74" s="1"/>
  <c r="AI31" i="74"/>
  <c r="AI76" i="74" s="1"/>
  <c r="AH28" i="74"/>
  <c r="AH73" i="74" s="1"/>
  <c r="AK28" i="74"/>
  <c r="AK73" i="74" s="1"/>
  <c r="AI27" i="74"/>
  <c r="AI72" i="74" s="1"/>
  <c r="AL27" i="74"/>
  <c r="AL72" i="74" s="1"/>
  <c r="AK31" i="74"/>
  <c r="AK76" i="74" s="1"/>
  <c r="AL28" i="74"/>
  <c r="AL73" i="74" s="1"/>
  <c r="AH27" i="74"/>
  <c r="AH72" i="74" s="1"/>
  <c r="AF28" i="74"/>
  <c r="AF73" i="74" s="1"/>
  <c r="AF31" i="74"/>
  <c r="AF76" i="74" s="1"/>
  <c r="AI28" i="74"/>
  <c r="AI73" i="74" s="1"/>
  <c r="AM28" i="74"/>
  <c r="AM73" i="74" s="1"/>
  <c r="AN31" i="74"/>
  <c r="AN76" i="74" s="1"/>
  <c r="AM31" i="74"/>
  <c r="AM76" i="74" s="1"/>
  <c r="AJ29" i="74"/>
  <c r="AJ74" i="74" s="1"/>
  <c r="AD28" i="74"/>
  <c r="AD73" i="74" s="1"/>
  <c r="AM29" i="74"/>
  <c r="AM74" i="74" s="1"/>
  <c r="AN29" i="74"/>
  <c r="AN74" i="74" s="1"/>
  <c r="AC27" i="74"/>
  <c r="AC72" i="74" s="1"/>
  <c r="AG29" i="74"/>
  <c r="AG74" i="74" s="1"/>
  <c r="AH31" i="74"/>
  <c r="AH76" i="74" s="1"/>
  <c r="AD29" i="74"/>
  <c r="AD74" i="74" s="1"/>
  <c r="AE31" i="74"/>
  <c r="AE76" i="74" s="1"/>
  <c r="AJ27" i="74"/>
  <c r="AJ72" i="74" s="1"/>
  <c r="AC29" i="74"/>
  <c r="AC74" i="74" s="1"/>
  <c r="AD27" i="74"/>
  <c r="AD72" i="74" s="1"/>
  <c r="AL31" i="74"/>
  <c r="AL76" i="74" s="1"/>
  <c r="AC28" i="74"/>
  <c r="AC73" i="74" s="1"/>
  <c r="AN27" i="74"/>
  <c r="AN72" i="74" s="1"/>
  <c r="AO27" i="74"/>
  <c r="AO72" i="74" s="1"/>
  <c r="AP31" i="74"/>
  <c r="AP76" i="74" s="1"/>
  <c r="AP29" i="74"/>
  <c r="AP74" i="74" s="1"/>
  <c r="AF27" i="74"/>
  <c r="AF72" i="74" s="1"/>
  <c r="AG31" i="74"/>
  <c r="AG76" i="74" s="1"/>
  <c r="AJ28" i="74"/>
  <c r="AJ73" i="74" s="1"/>
  <c r="AJ31" i="74"/>
  <c r="AJ76" i="74" s="1"/>
  <c r="AO31" i="74"/>
  <c r="AO76" i="74" s="1"/>
  <c r="AC31" i="74"/>
  <c r="AC76" i="74" s="1"/>
  <c r="AI29" i="74"/>
  <c r="AI74" i="74" s="1"/>
  <c r="AG27" i="74"/>
  <c r="AG72" i="74" s="1"/>
  <c r="AN28" i="74"/>
  <c r="AN73" i="74" s="1"/>
  <c r="AE28" i="74"/>
  <c r="AE73" i="74" s="1"/>
  <c r="R20" i="31"/>
  <c r="Q21" i="31"/>
  <c r="Q23" i="31" s="1"/>
  <c r="AL293" i="53"/>
  <c r="AL509" i="53" s="1"/>
  <c r="AL301" i="53"/>
  <c r="AL517" i="53" s="1"/>
  <c r="AL305" i="53"/>
  <c r="AL521" i="53" s="1"/>
  <c r="AL306" i="53"/>
  <c r="AL522" i="53" s="1"/>
  <c r="AL307" i="53"/>
  <c r="AL523" i="53" s="1"/>
  <c r="AL308" i="53"/>
  <c r="AL524" i="53" s="1"/>
  <c r="AL316" i="53"/>
  <c r="AL532" i="53" s="1"/>
  <c r="AL318" i="53"/>
  <c r="AL534" i="53" s="1"/>
  <c r="AL322" i="53"/>
  <c r="AL538" i="53" s="1"/>
  <c r="AL294" i="53"/>
  <c r="AL510" i="53" s="1"/>
  <c r="AL315" i="53"/>
  <c r="AL531" i="53" s="1"/>
  <c r="AL319" i="53"/>
  <c r="AL535" i="53" s="1"/>
  <c r="AL320" i="53"/>
  <c r="AL536" i="53" s="1"/>
  <c r="AL317" i="53"/>
  <c r="AL533" i="53" s="1"/>
  <c r="AL321" i="53"/>
  <c r="AL537" i="53" s="1"/>
  <c r="AL310" i="53"/>
  <c r="AL526" i="53" s="1"/>
  <c r="AL295" i="53"/>
  <c r="AL511" i="53" s="1"/>
  <c r="AL300" i="53"/>
  <c r="AL516" i="53" s="1"/>
  <c r="AL297" i="53"/>
  <c r="AL513" i="53" s="1"/>
  <c r="AL311" i="53"/>
  <c r="AL527" i="53" s="1"/>
  <c r="AL304" i="53"/>
  <c r="AL520" i="53" s="1"/>
  <c r="AL323" i="53"/>
  <c r="AL539" i="53" s="1"/>
  <c r="AL309" i="53"/>
  <c r="AL525" i="53" s="1"/>
  <c r="AL312" i="53"/>
  <c r="AL528" i="53" s="1"/>
  <c r="AL298" i="53"/>
  <c r="AL514" i="53" s="1"/>
  <c r="AL299" i="53"/>
  <c r="AL515" i="53" s="1"/>
  <c r="AL296" i="53"/>
  <c r="AL512" i="53" s="1"/>
  <c r="AE90" i="53"/>
  <c r="AE120" i="53" s="1"/>
  <c r="AE122" i="53" s="1"/>
  <c r="AJ90" i="53"/>
  <c r="AJ120" i="53" s="1"/>
  <c r="AJ122" i="53" s="1"/>
  <c r="AA90" i="53"/>
  <c r="X90" i="53"/>
  <c r="AB90" i="53"/>
  <c r="Y90" i="53"/>
  <c r="Z90" i="53"/>
  <c r="AC90" i="53"/>
  <c r="AC120" i="53" s="1"/>
  <c r="AC122" i="53" s="1"/>
  <c r="AK90" i="53"/>
  <c r="AK120" i="53" s="1"/>
  <c r="AK122" i="53" s="1"/>
  <c r="AM90" i="53"/>
  <c r="AM120" i="53" s="1"/>
  <c r="AM122" i="53" s="1"/>
  <c r="AG293" i="53"/>
  <c r="AG509" i="53" s="1"/>
  <c r="AG304" i="53"/>
  <c r="AG520" i="53" s="1"/>
  <c r="AG315" i="53"/>
  <c r="AG531" i="53" s="1"/>
  <c r="AG294" i="53"/>
  <c r="AG510" i="53" s="1"/>
  <c r="AG295" i="53"/>
  <c r="AG511" i="53" s="1"/>
  <c r="AG296" i="53"/>
  <c r="AG512" i="53" s="1"/>
  <c r="AG297" i="53"/>
  <c r="AG513" i="53" s="1"/>
  <c r="AG298" i="53"/>
  <c r="AG514" i="53" s="1"/>
  <c r="AG299" i="53"/>
  <c r="AG515" i="53" s="1"/>
  <c r="AG300" i="53"/>
  <c r="AG516" i="53" s="1"/>
  <c r="AG305" i="53"/>
  <c r="AG521" i="53" s="1"/>
  <c r="AG306" i="53"/>
  <c r="AG522" i="53" s="1"/>
  <c r="AG307" i="53"/>
  <c r="AG523" i="53" s="1"/>
  <c r="AG308" i="53"/>
  <c r="AG524" i="53" s="1"/>
  <c r="AG309" i="53"/>
  <c r="AG525" i="53" s="1"/>
  <c r="AG301" i="53"/>
  <c r="AG517" i="53" s="1"/>
  <c r="AG312" i="53"/>
  <c r="AG528" i="53" s="1"/>
  <c r="AG311" i="53"/>
  <c r="AG527" i="53" s="1"/>
  <c r="AG310" i="53"/>
  <c r="AG526" i="53" s="1"/>
  <c r="AG316" i="53"/>
  <c r="AG532" i="53" s="1"/>
  <c r="AG317" i="53"/>
  <c r="AG533" i="53" s="1"/>
  <c r="AG318" i="53"/>
  <c r="AG534" i="53" s="1"/>
  <c r="AG319" i="53"/>
  <c r="AG535" i="53" s="1"/>
  <c r="AG320" i="53"/>
  <c r="AG536" i="53" s="1"/>
  <c r="AG322" i="53"/>
  <c r="AG538" i="53" s="1"/>
  <c r="AG321" i="53"/>
  <c r="AG537" i="53" s="1"/>
  <c r="AG323" i="53"/>
  <c r="AG539" i="53" s="1"/>
  <c r="AD293" i="53"/>
  <c r="AD509" i="53" s="1"/>
  <c r="AD304" i="53"/>
  <c r="AD520" i="53" s="1"/>
  <c r="AD315" i="53"/>
  <c r="AD531" i="53" s="1"/>
  <c r="AD298" i="53"/>
  <c r="AD514" i="53" s="1"/>
  <c r="AD323" i="53"/>
  <c r="AD539" i="53" s="1"/>
  <c r="AD309" i="53"/>
  <c r="AD525" i="53" s="1"/>
  <c r="AD322" i="53"/>
  <c r="AD538" i="53" s="1"/>
  <c r="AD311" i="53"/>
  <c r="AD527" i="53" s="1"/>
  <c r="AD296" i="53"/>
  <c r="AD512" i="53" s="1"/>
  <c r="AD319" i="53"/>
  <c r="AD535" i="53" s="1"/>
  <c r="AD294" i="53"/>
  <c r="AD510" i="53" s="1"/>
  <c r="AD305" i="53"/>
  <c r="AD521" i="53" s="1"/>
  <c r="AD300" i="53"/>
  <c r="AD516" i="53" s="1"/>
  <c r="AD317" i="53"/>
  <c r="AD533" i="53" s="1"/>
  <c r="AD312" i="53"/>
  <c r="AD528" i="53" s="1"/>
  <c r="AD306" i="53"/>
  <c r="AD522" i="53" s="1"/>
  <c r="AD316" i="53"/>
  <c r="AD532" i="53" s="1"/>
  <c r="AD295" i="53"/>
  <c r="AD511" i="53" s="1"/>
  <c r="AD308" i="53"/>
  <c r="AD524" i="53" s="1"/>
  <c r="AD307" i="53"/>
  <c r="AD523" i="53" s="1"/>
  <c r="AD321" i="53"/>
  <c r="AD537" i="53" s="1"/>
  <c r="AD299" i="53"/>
  <c r="AD515" i="53" s="1"/>
  <c r="AD297" i="53"/>
  <c r="AD513" i="53" s="1"/>
  <c r="AD301" i="53"/>
  <c r="AD517" i="53" s="1"/>
  <c r="AD320" i="53"/>
  <c r="AD536" i="53" s="1"/>
  <c r="AD310" i="53"/>
  <c r="AD526" i="53" s="1"/>
  <c r="AD318" i="53"/>
  <c r="AD534" i="53" s="1"/>
  <c r="W293" i="53"/>
  <c r="W509" i="53" s="1"/>
  <c r="W316" i="53"/>
  <c r="W532" i="53" s="1"/>
  <c r="W318" i="53"/>
  <c r="W534" i="53" s="1"/>
  <c r="W309" i="53"/>
  <c r="W525" i="53" s="1"/>
  <c r="W305" i="53"/>
  <c r="W521" i="53" s="1"/>
  <c r="W300" i="53"/>
  <c r="W516" i="53" s="1"/>
  <c r="W298" i="53"/>
  <c r="W514" i="53" s="1"/>
  <c r="W295" i="53"/>
  <c r="W511" i="53" s="1"/>
  <c r="W304" i="53"/>
  <c r="W520" i="53" s="1"/>
  <c r="W321" i="53"/>
  <c r="W537" i="53" s="1"/>
  <c r="W312" i="53"/>
  <c r="W528" i="53" s="1"/>
  <c r="W307" i="53"/>
  <c r="W523" i="53" s="1"/>
  <c r="W296" i="53"/>
  <c r="W512" i="53" s="1"/>
  <c r="W297" i="53"/>
  <c r="W513" i="53" s="1"/>
  <c r="W323" i="53"/>
  <c r="W539" i="53" s="1"/>
  <c r="W317" i="53"/>
  <c r="W533" i="53" s="1"/>
  <c r="W311" i="53"/>
  <c r="W527" i="53" s="1"/>
  <c r="W308" i="53"/>
  <c r="W524" i="53" s="1"/>
  <c r="W294" i="53"/>
  <c r="W510" i="53" s="1"/>
  <c r="W322" i="53"/>
  <c r="W538" i="53" s="1"/>
  <c r="W301" i="53"/>
  <c r="W517" i="53" s="1"/>
  <c r="W299" i="53"/>
  <c r="W515" i="53" s="1"/>
  <c r="W319" i="53"/>
  <c r="W535" i="53" s="1"/>
  <c r="W320" i="53"/>
  <c r="W536" i="53" s="1"/>
  <c r="W310" i="53"/>
  <c r="W526" i="53" s="1"/>
  <c r="W306" i="53"/>
  <c r="W522" i="53" s="1"/>
  <c r="W315" i="53"/>
  <c r="W531" i="53" s="1"/>
  <c r="P90" i="53"/>
  <c r="P120" i="53" s="1"/>
  <c r="P122" i="53" s="1"/>
  <c r="AI90" i="53"/>
  <c r="AI120" i="53" s="1"/>
  <c r="AI122" i="53" s="1"/>
  <c r="AO293" i="53"/>
  <c r="AO509" i="53" s="1"/>
  <c r="AO304" i="53"/>
  <c r="AO520" i="53" s="1"/>
  <c r="AO315" i="53"/>
  <c r="AO531" i="53" s="1"/>
  <c r="AO294" i="53"/>
  <c r="AO510" i="53" s="1"/>
  <c r="AO295" i="53"/>
  <c r="AO511" i="53" s="1"/>
  <c r="AO296" i="53"/>
  <c r="AO512" i="53" s="1"/>
  <c r="AO297" i="53"/>
  <c r="AO513" i="53" s="1"/>
  <c r="AO298" i="53"/>
  <c r="AO514" i="53" s="1"/>
  <c r="AO299" i="53"/>
  <c r="AO515" i="53" s="1"/>
  <c r="AO300" i="53"/>
  <c r="AO516" i="53" s="1"/>
  <c r="AO305" i="53"/>
  <c r="AO521" i="53" s="1"/>
  <c r="AO306" i="53"/>
  <c r="AO522" i="53" s="1"/>
  <c r="AO307" i="53"/>
  <c r="AO523" i="53" s="1"/>
  <c r="AO308" i="53"/>
  <c r="AO524" i="53" s="1"/>
  <c r="AO309" i="53"/>
  <c r="AO525" i="53" s="1"/>
  <c r="AO310" i="53"/>
  <c r="AO526" i="53" s="1"/>
  <c r="AO311" i="53"/>
  <c r="AO527" i="53" s="1"/>
  <c r="AO312" i="53"/>
  <c r="AO528" i="53" s="1"/>
  <c r="AO301" i="53"/>
  <c r="AO517" i="53" s="1"/>
  <c r="AO316" i="53"/>
  <c r="AO532" i="53" s="1"/>
  <c r="AO317" i="53"/>
  <c r="AO533" i="53" s="1"/>
  <c r="AO318" i="53"/>
  <c r="AO534" i="53" s="1"/>
  <c r="AO319" i="53"/>
  <c r="AO535" i="53" s="1"/>
  <c r="AO320" i="53"/>
  <c r="AO536" i="53" s="1"/>
  <c r="AO321" i="53"/>
  <c r="AO537" i="53" s="1"/>
  <c r="AO322" i="53"/>
  <c r="AO538" i="53" s="1"/>
  <c r="AO323" i="53"/>
  <c r="AO539" i="53" s="1"/>
  <c r="AP90" i="53"/>
  <c r="AP120" i="53" s="1"/>
  <c r="AP122" i="53" s="1"/>
  <c r="H111" i="53"/>
  <c r="H117" i="53" s="1"/>
  <c r="H121" i="53" s="1"/>
  <c r="R90" i="53"/>
  <c r="R120" i="53" s="1"/>
  <c r="R122" i="53" s="1"/>
  <c r="AN90" i="53"/>
  <c r="AN120" i="53" s="1"/>
  <c r="AN122" i="53" s="1"/>
  <c r="Q90" i="53"/>
  <c r="Q120" i="53" s="1"/>
  <c r="Q122" i="53" s="1"/>
  <c r="M249" i="83" l="1"/>
  <c r="T257" i="83" s="1"/>
  <c r="T262" i="83" s="1"/>
  <c r="T267" i="83" s="1"/>
  <c r="L249" i="83"/>
  <c r="S252" i="83" s="1"/>
  <c r="S262" i="83" s="1"/>
  <c r="S267" i="83" s="1"/>
  <c r="V299" i="53"/>
  <c r="V515" i="53" s="1"/>
  <c r="V315" i="53"/>
  <c r="V531" i="53" s="1"/>
  <c r="V295" i="53"/>
  <c r="V511" i="53" s="1"/>
  <c r="V322" i="53"/>
  <c r="V538" i="53" s="1"/>
  <c r="V319" i="53"/>
  <c r="V535" i="53" s="1"/>
  <c r="V318" i="53"/>
  <c r="V534" i="53" s="1"/>
  <c r="V320" i="53"/>
  <c r="V536" i="53" s="1"/>
  <c r="V293" i="53"/>
  <c r="V509" i="53" s="1"/>
  <c r="V307" i="53"/>
  <c r="V523" i="53" s="1"/>
  <c r="V316" i="53"/>
  <c r="V532" i="53" s="1"/>
  <c r="V312" i="53"/>
  <c r="V528" i="53" s="1"/>
  <c r="V304" i="53"/>
  <c r="V520" i="53" s="1"/>
  <c r="V310" i="53"/>
  <c r="V526" i="53" s="1"/>
  <c r="V301" i="53"/>
  <c r="V517" i="53" s="1"/>
  <c r="V305" i="53"/>
  <c r="V521" i="53" s="1"/>
  <c r="V306" i="53"/>
  <c r="V522" i="53" s="1"/>
  <c r="V297" i="53"/>
  <c r="V513" i="53" s="1"/>
  <c r="V317" i="53"/>
  <c r="V533" i="53" s="1"/>
  <c r="V321" i="53"/>
  <c r="V537" i="53" s="1"/>
  <c r="V294" i="53"/>
  <c r="V510" i="53" s="1"/>
  <c r="V298" i="53"/>
  <c r="V514" i="53" s="1"/>
  <c r="V296" i="53"/>
  <c r="V512" i="53" s="1"/>
  <c r="V309" i="53"/>
  <c r="V525" i="53" s="1"/>
  <c r="V311" i="53"/>
  <c r="V527" i="53" s="1"/>
  <c r="V300" i="53"/>
  <c r="V516" i="53" s="1"/>
  <c r="V323" i="53"/>
  <c r="V539" i="53" s="1"/>
  <c r="Y122" i="53"/>
  <c r="AB122" i="53"/>
  <c r="X122" i="53"/>
  <c r="AA122" i="53"/>
  <c r="Z122" i="53"/>
  <c r="U120" i="53"/>
  <c r="U122" i="53" s="1"/>
  <c r="U297" i="53" s="1"/>
  <c r="U513" i="53" s="1"/>
  <c r="T90" i="53"/>
  <c r="T120" i="53" s="1"/>
  <c r="T122" i="53" s="1"/>
  <c r="T389" i="53" s="1"/>
  <c r="N90" i="53"/>
  <c r="N120" i="53" s="1"/>
  <c r="N122" i="53" s="1"/>
  <c r="O90" i="53"/>
  <c r="O120" i="53" s="1"/>
  <c r="O122" i="53" s="1"/>
  <c r="AH308" i="53"/>
  <c r="AH524" i="53" s="1"/>
  <c r="AH294" i="53"/>
  <c r="AH510" i="53" s="1"/>
  <c r="AH323" i="53"/>
  <c r="AH539" i="53" s="1"/>
  <c r="AH297" i="53"/>
  <c r="AH513" i="53" s="1"/>
  <c r="AH319" i="53"/>
  <c r="AH535" i="53" s="1"/>
  <c r="AH315" i="53"/>
  <c r="AH531" i="53" s="1"/>
  <c r="AH310" i="53"/>
  <c r="AH526" i="53" s="1"/>
  <c r="AH306" i="53"/>
  <c r="AH522" i="53" s="1"/>
  <c r="AH321" i="53"/>
  <c r="AH537" i="53" s="1"/>
  <c r="AH317" i="53"/>
  <c r="AH533" i="53" s="1"/>
  <c r="AH312" i="53"/>
  <c r="AH528" i="53" s="1"/>
  <c r="AH299" i="53"/>
  <c r="AH515" i="53" s="1"/>
  <c r="AH295" i="53"/>
  <c r="AH511" i="53" s="1"/>
  <c r="AH307" i="53"/>
  <c r="AH523" i="53" s="1"/>
  <c r="AH322" i="53"/>
  <c r="AH538" i="53" s="1"/>
  <c r="AH318" i="53"/>
  <c r="AH534" i="53" s="1"/>
  <c r="AH311" i="53"/>
  <c r="AH527" i="53" s="1"/>
  <c r="AH300" i="53"/>
  <c r="AH516" i="53" s="1"/>
  <c r="AH296" i="53"/>
  <c r="AH512" i="53" s="1"/>
  <c r="AH293" i="53"/>
  <c r="AH509" i="53" s="1"/>
  <c r="AH309" i="53"/>
  <c r="AH525" i="53" s="1"/>
  <c r="AH305" i="53"/>
  <c r="AH521" i="53" s="1"/>
  <c r="AH320" i="53"/>
  <c r="AH536" i="53" s="1"/>
  <c r="AH316" i="53"/>
  <c r="AH532" i="53" s="1"/>
  <c r="AH301" i="53"/>
  <c r="AH517" i="53" s="1"/>
  <c r="AH298" i="53"/>
  <c r="AH514" i="53" s="1"/>
  <c r="AF308" i="53"/>
  <c r="AF524" i="53" s="1"/>
  <c r="AF312" i="53"/>
  <c r="AF528" i="53" s="1"/>
  <c r="AF315" i="53"/>
  <c r="AF531" i="53" s="1"/>
  <c r="AF296" i="53"/>
  <c r="AF512" i="53" s="1"/>
  <c r="AF316" i="53"/>
  <c r="AF532" i="53" s="1"/>
  <c r="AF323" i="53"/>
  <c r="AF539" i="53" s="1"/>
  <c r="AF305" i="53"/>
  <c r="AF521" i="53" s="1"/>
  <c r="AF300" i="53"/>
  <c r="AF516" i="53" s="1"/>
  <c r="AF319" i="53"/>
  <c r="AF535" i="53" s="1"/>
  <c r="AF298" i="53"/>
  <c r="AF514" i="53" s="1"/>
  <c r="S90" i="53"/>
  <c r="AF294" i="53"/>
  <c r="AF510" i="53" s="1"/>
  <c r="AF295" i="53"/>
  <c r="AF511" i="53" s="1"/>
  <c r="AF320" i="53"/>
  <c r="AF536" i="53" s="1"/>
  <c r="L90" i="53"/>
  <c r="AF318" i="53"/>
  <c r="AF534" i="53" s="1"/>
  <c r="AF306" i="53"/>
  <c r="AF522" i="53" s="1"/>
  <c r="AF307" i="53"/>
  <c r="AF523" i="53" s="1"/>
  <c r="AF310" i="53"/>
  <c r="AF526" i="53" s="1"/>
  <c r="AF322" i="53"/>
  <c r="AF538" i="53" s="1"/>
  <c r="AF311" i="53"/>
  <c r="AF527" i="53" s="1"/>
  <c r="AF304" i="53"/>
  <c r="AF520" i="53" s="1"/>
  <c r="AF297" i="53"/>
  <c r="AF513" i="53" s="1"/>
  <c r="AF301" i="53"/>
  <c r="AF517" i="53" s="1"/>
  <c r="AF299" i="53"/>
  <c r="AF515" i="53" s="1"/>
  <c r="AF321" i="53"/>
  <c r="AF537" i="53" s="1"/>
  <c r="AF317" i="53"/>
  <c r="AF533" i="53" s="1"/>
  <c r="AF309" i="53"/>
  <c r="AF525" i="53" s="1"/>
  <c r="K90" i="53"/>
  <c r="M90" i="53"/>
  <c r="M202" i="72"/>
  <c r="M232" i="72" s="1"/>
  <c r="N202" i="72"/>
  <c r="N232" i="72" s="1"/>
  <c r="R200" i="72"/>
  <c r="R230" i="72" s="1"/>
  <c r="K200" i="72"/>
  <c r="K230" i="72" s="1"/>
  <c r="AB199" i="72"/>
  <c r="AB229" i="72" s="1"/>
  <c r="O197" i="72"/>
  <c r="O227" i="72" s="1"/>
  <c r="T197" i="72"/>
  <c r="T227" i="72" s="1"/>
  <c r="K196" i="72"/>
  <c r="K226" i="72" s="1"/>
  <c r="R199" i="72"/>
  <c r="R229" i="72" s="1"/>
  <c r="U199" i="72"/>
  <c r="U229" i="72" s="1"/>
  <c r="Q195" i="72"/>
  <c r="Q225" i="72" s="1"/>
  <c r="M196" i="72"/>
  <c r="M226" i="72" s="1"/>
  <c r="O198" i="72"/>
  <c r="O228" i="72" s="1"/>
  <c r="N198" i="72"/>
  <c r="N228" i="72" s="1"/>
  <c r="P202" i="72"/>
  <c r="P232" i="72" s="1"/>
  <c r="M201" i="72"/>
  <c r="M231" i="72" s="1"/>
  <c r="N199" i="72"/>
  <c r="N229" i="72" s="1"/>
  <c r="O199" i="72"/>
  <c r="O229" i="72" s="1"/>
  <c r="V195" i="72"/>
  <c r="V225" i="72" s="1"/>
  <c r="L197" i="72"/>
  <c r="L227" i="72" s="1"/>
  <c r="U198" i="72"/>
  <c r="U228" i="72" s="1"/>
  <c r="W202" i="72"/>
  <c r="W232" i="72" s="1"/>
  <c r="Z202" i="72"/>
  <c r="Z232" i="72" s="1"/>
  <c r="L200" i="72"/>
  <c r="L230" i="72" s="1"/>
  <c r="Q199" i="72"/>
  <c r="Q229" i="72" s="1"/>
  <c r="AB197" i="72"/>
  <c r="AB227" i="72" s="1"/>
  <c r="W197" i="72"/>
  <c r="W227" i="72" s="1"/>
  <c r="AB196" i="72"/>
  <c r="AB226" i="72" s="1"/>
  <c r="V196" i="72"/>
  <c r="V226" i="72" s="1"/>
  <c r="X198" i="72"/>
  <c r="X228" i="72" s="1"/>
  <c r="W201" i="72"/>
  <c r="W231" i="72" s="1"/>
  <c r="R201" i="72"/>
  <c r="R231" i="72" s="1"/>
  <c r="S199" i="72"/>
  <c r="S229" i="72" s="1"/>
  <c r="J199" i="72"/>
  <c r="J229" i="72" s="1"/>
  <c r="T199" i="72"/>
  <c r="T229" i="72" s="1"/>
  <c r="R195" i="72"/>
  <c r="R225" i="72" s="1"/>
  <c r="M197" i="72"/>
  <c r="M227" i="72" s="1"/>
  <c r="S197" i="72"/>
  <c r="S227" i="72" s="1"/>
  <c r="J197" i="72"/>
  <c r="J227" i="72" s="1"/>
  <c r="Z196" i="72"/>
  <c r="Z226" i="72" s="1"/>
  <c r="W198" i="72"/>
  <c r="W228" i="72" s="1"/>
  <c r="T201" i="72"/>
  <c r="T231" i="72" s="1"/>
  <c r="X201" i="72"/>
  <c r="X231" i="72" s="1"/>
  <c r="AA201" i="72"/>
  <c r="AA231" i="72" s="1"/>
  <c r="J200" i="72"/>
  <c r="J230" i="72" s="1"/>
  <c r="V199" i="72"/>
  <c r="V229" i="72" s="1"/>
  <c r="P199" i="72"/>
  <c r="P229" i="72" s="1"/>
  <c r="AA199" i="72"/>
  <c r="AA229" i="72" s="1"/>
  <c r="M195" i="72"/>
  <c r="M225" i="72" s="1"/>
  <c r="O195" i="72"/>
  <c r="O225" i="72" s="1"/>
  <c r="L198" i="72"/>
  <c r="L228" i="72" s="1"/>
  <c r="L202" i="72"/>
  <c r="L232" i="72" s="1"/>
  <c r="N201" i="72"/>
  <c r="N231" i="72" s="1"/>
  <c r="AB200" i="72"/>
  <c r="AB230" i="72" s="1"/>
  <c r="Q200" i="72"/>
  <c r="Q230" i="72" s="1"/>
  <c r="R196" i="72"/>
  <c r="R226" i="72" s="1"/>
  <c r="X196" i="72"/>
  <c r="X226" i="72" s="1"/>
  <c r="AB198" i="72"/>
  <c r="AB228" i="72" s="1"/>
  <c r="R202" i="72"/>
  <c r="R232" i="72" s="1"/>
  <c r="J202" i="72"/>
  <c r="J232" i="72" s="1"/>
  <c r="Q201" i="72"/>
  <c r="Q231" i="72" s="1"/>
  <c r="AB201" i="72"/>
  <c r="AB231" i="72" s="1"/>
  <c r="S200" i="72"/>
  <c r="S230" i="72" s="1"/>
  <c r="L199" i="72"/>
  <c r="L229" i="72" s="1"/>
  <c r="N195" i="72"/>
  <c r="N225" i="72" s="1"/>
  <c r="Q198" i="72"/>
  <c r="Q228" i="72" s="1"/>
  <c r="AB202" i="72"/>
  <c r="AB232" i="72" s="1"/>
  <c r="P201" i="72"/>
  <c r="P231" i="72" s="1"/>
  <c r="Z200" i="72"/>
  <c r="Z230" i="72" s="1"/>
  <c r="P200" i="72"/>
  <c r="P230" i="72" s="1"/>
  <c r="X197" i="72"/>
  <c r="X227" i="72" s="1"/>
  <c r="T196" i="72"/>
  <c r="T226" i="72" s="1"/>
  <c r="Z198" i="72"/>
  <c r="Z228" i="72" s="1"/>
  <c r="S202" i="72"/>
  <c r="S232" i="72" s="1"/>
  <c r="X200" i="72"/>
  <c r="X230" i="72" s="1"/>
  <c r="V197" i="72"/>
  <c r="V227" i="72" s="1"/>
  <c r="L196" i="72"/>
  <c r="L226" i="72" s="1"/>
  <c r="N196" i="72"/>
  <c r="N226" i="72" s="1"/>
  <c r="P196" i="72"/>
  <c r="P226" i="72" s="1"/>
  <c r="V198" i="72"/>
  <c r="V228" i="72" s="1"/>
  <c r="K198" i="72"/>
  <c r="K228" i="72" s="1"/>
  <c r="X202" i="72"/>
  <c r="X232" i="72" s="1"/>
  <c r="U201" i="72"/>
  <c r="U231" i="72" s="1"/>
  <c r="N200" i="72"/>
  <c r="N230" i="72" s="1"/>
  <c r="AA200" i="72"/>
  <c r="AA230" i="72" s="1"/>
  <c r="W199" i="72"/>
  <c r="W229" i="72" s="1"/>
  <c r="Z199" i="72"/>
  <c r="Z229" i="72" s="1"/>
  <c r="Z197" i="72"/>
  <c r="Z227" i="72" s="1"/>
  <c r="J196" i="72"/>
  <c r="J226" i="72" s="1"/>
  <c r="R198" i="72"/>
  <c r="R228" i="72" s="1"/>
  <c r="AA202" i="72"/>
  <c r="AA232" i="72" s="1"/>
  <c r="Q202" i="72"/>
  <c r="Q232" i="72" s="1"/>
  <c r="U202" i="72"/>
  <c r="U232" i="72" s="1"/>
  <c r="L201" i="72"/>
  <c r="L231" i="72" s="1"/>
  <c r="M200" i="72"/>
  <c r="M230" i="72" s="1"/>
  <c r="O200" i="72"/>
  <c r="O230" i="72" s="1"/>
  <c r="K199" i="72"/>
  <c r="K229" i="72" s="1"/>
  <c r="M199" i="72"/>
  <c r="M229" i="72" s="1"/>
  <c r="K197" i="72"/>
  <c r="K227" i="72" s="1"/>
  <c r="AA197" i="72"/>
  <c r="AA227" i="72" s="1"/>
  <c r="U196" i="72"/>
  <c r="U226" i="72" s="1"/>
  <c r="AA198" i="72"/>
  <c r="AA228" i="72" s="1"/>
  <c r="S198" i="72"/>
  <c r="S228" i="72" s="1"/>
  <c r="J201" i="72"/>
  <c r="J231" i="72" s="1"/>
  <c r="K201" i="72"/>
  <c r="K231" i="72" s="1"/>
  <c r="U200" i="72"/>
  <c r="U230" i="72" s="1"/>
  <c r="X199" i="72"/>
  <c r="X229" i="72" s="1"/>
  <c r="S195" i="72"/>
  <c r="S225" i="72" s="1"/>
  <c r="K195" i="72"/>
  <c r="K225" i="72" s="1"/>
  <c r="R197" i="72"/>
  <c r="R227" i="72" s="1"/>
  <c r="AA196" i="72"/>
  <c r="AA226" i="72" s="1"/>
  <c r="W196" i="72"/>
  <c r="W226" i="72" s="1"/>
  <c r="T198" i="72"/>
  <c r="T228" i="72" s="1"/>
  <c r="K202" i="72"/>
  <c r="K232" i="72" s="1"/>
  <c r="V202" i="72"/>
  <c r="V232" i="72" s="1"/>
  <c r="V201" i="72"/>
  <c r="V231" i="72" s="1"/>
  <c r="S201" i="72"/>
  <c r="S231" i="72" s="1"/>
  <c r="V200" i="72"/>
  <c r="V230" i="72" s="1"/>
  <c r="T200" i="72"/>
  <c r="T230" i="72" s="1"/>
  <c r="W200" i="72"/>
  <c r="W230" i="72" s="1"/>
  <c r="L195" i="72"/>
  <c r="L225" i="72" s="1"/>
  <c r="U197" i="72"/>
  <c r="U227" i="72" s="1"/>
  <c r="N197" i="72"/>
  <c r="N227" i="72" s="1"/>
  <c r="Q196" i="72"/>
  <c r="Q226" i="72" s="1"/>
  <c r="O196" i="72"/>
  <c r="O226" i="72" s="1"/>
  <c r="M198" i="72"/>
  <c r="M228" i="72" s="1"/>
  <c r="T202" i="72"/>
  <c r="T232" i="72" s="1"/>
  <c r="U195" i="72"/>
  <c r="U225" i="72" s="1"/>
  <c r="P197" i="72"/>
  <c r="P227" i="72" s="1"/>
  <c r="S196" i="72"/>
  <c r="S226" i="72" s="1"/>
  <c r="P198" i="72"/>
  <c r="P228" i="72" s="1"/>
  <c r="O202" i="72"/>
  <c r="O232" i="72" s="1"/>
  <c r="Z201" i="72"/>
  <c r="Z231" i="72" s="1"/>
  <c r="O201" i="72"/>
  <c r="O231" i="72" s="1"/>
  <c r="Q197" i="72"/>
  <c r="Q227" i="72" s="1"/>
  <c r="AJ30" i="74"/>
  <c r="AJ75" i="74" s="1"/>
  <c r="AD30" i="74"/>
  <c r="AD75" i="74" s="1"/>
  <c r="AK30" i="74"/>
  <c r="AK75" i="74" s="1"/>
  <c r="AH30" i="74"/>
  <c r="AH75" i="74" s="1"/>
  <c r="AC30" i="74"/>
  <c r="AC75" i="74" s="1"/>
  <c r="AE30" i="74"/>
  <c r="AE75" i="74" s="1"/>
  <c r="AG30" i="74"/>
  <c r="AG75" i="74" s="1"/>
  <c r="AL30" i="74"/>
  <c r="AL75" i="74" s="1"/>
  <c r="AM30" i="74"/>
  <c r="AM75" i="74" s="1"/>
  <c r="AP30" i="74"/>
  <c r="AP75" i="74" s="1"/>
  <c r="AI30" i="74"/>
  <c r="AI75" i="74" s="1"/>
  <c r="S20" i="31"/>
  <c r="R21" i="31"/>
  <c r="R23" i="31" s="1"/>
  <c r="AB118" i="53"/>
  <c r="AB120" i="53" s="1"/>
  <c r="Z118" i="53"/>
  <c r="Z120" i="53" s="1"/>
  <c r="Y118" i="53"/>
  <c r="Y120" i="53" s="1"/>
  <c r="X118" i="53"/>
  <c r="X120" i="53" s="1"/>
  <c r="AA118" i="53"/>
  <c r="AA120" i="53" s="1"/>
  <c r="AO113" i="83"/>
  <c r="AO123" i="80"/>
  <c r="AO135" i="80" s="1"/>
  <c r="AO109" i="83"/>
  <c r="AO119" i="80"/>
  <c r="AO131" i="80" s="1"/>
  <c r="AO102" i="83"/>
  <c r="AO101" i="80"/>
  <c r="AO98" i="83"/>
  <c r="AO97" i="80"/>
  <c r="AO89" i="83"/>
  <c r="AO77" i="80"/>
  <c r="AO89" i="80" s="1"/>
  <c r="AO85" i="83"/>
  <c r="AO73" i="80"/>
  <c r="AO85" i="80" s="1"/>
  <c r="AO93" i="83"/>
  <c r="AO94" i="83"/>
  <c r="AO93" i="80"/>
  <c r="AO105" i="80" s="1"/>
  <c r="W111" i="83"/>
  <c r="W121" i="80"/>
  <c r="W133" i="80" s="1"/>
  <c r="W108" i="83"/>
  <c r="W118" i="80"/>
  <c r="W130" i="80" s="1"/>
  <c r="W84" i="83"/>
  <c r="W72" i="80"/>
  <c r="W84" i="80" s="1"/>
  <c r="AD109" i="83"/>
  <c r="AD119" i="80"/>
  <c r="AD131" i="80" s="1"/>
  <c r="AD98" i="83"/>
  <c r="AD97" i="80"/>
  <c r="AD83" i="83"/>
  <c r="AD71" i="80"/>
  <c r="AD83" i="80" s="1"/>
  <c r="AD113" i="83"/>
  <c r="AD123" i="80"/>
  <c r="AD135" i="80" s="1"/>
  <c r="AD105" i="83"/>
  <c r="AD106" i="83"/>
  <c r="AD116" i="80"/>
  <c r="AD128" i="80" s="1"/>
  <c r="AG112" i="83"/>
  <c r="AG122" i="80"/>
  <c r="AG134" i="80" s="1"/>
  <c r="AG101" i="83"/>
  <c r="AG100" i="80"/>
  <c r="AG89" i="83"/>
  <c r="AG77" i="80"/>
  <c r="AG89" i="80" s="1"/>
  <c r="AG93" i="83"/>
  <c r="AG94" i="83"/>
  <c r="AG93" i="80"/>
  <c r="AG105" i="80" s="1"/>
  <c r="AF81" i="83"/>
  <c r="AF82" i="83"/>
  <c r="AF70" i="80"/>
  <c r="AF82" i="80" s="1"/>
  <c r="AM293" i="53"/>
  <c r="AM509" i="53" s="1"/>
  <c r="AM304" i="53"/>
  <c r="AM520" i="53" s="1"/>
  <c r="AM315" i="53"/>
  <c r="AM531" i="53" s="1"/>
  <c r="AM305" i="53"/>
  <c r="AM521" i="53" s="1"/>
  <c r="AM300" i="53"/>
  <c r="AM516" i="53" s="1"/>
  <c r="AM317" i="53"/>
  <c r="AM533" i="53" s="1"/>
  <c r="AM298" i="53"/>
  <c r="AM514" i="53" s="1"/>
  <c r="AM320" i="53"/>
  <c r="AM536" i="53" s="1"/>
  <c r="AM311" i="53"/>
  <c r="AM527" i="53" s="1"/>
  <c r="AM316" i="53"/>
  <c r="AM532" i="53" s="1"/>
  <c r="AM319" i="53"/>
  <c r="AM535" i="53" s="1"/>
  <c r="AM306" i="53"/>
  <c r="AM522" i="53" s="1"/>
  <c r="AM295" i="53"/>
  <c r="AM511" i="53" s="1"/>
  <c r="AM308" i="53"/>
  <c r="AM524" i="53" s="1"/>
  <c r="AM318" i="53"/>
  <c r="AM534" i="53" s="1"/>
  <c r="AM299" i="53"/>
  <c r="AM515" i="53" s="1"/>
  <c r="AM312" i="53"/>
  <c r="AM528" i="53" s="1"/>
  <c r="AM294" i="53"/>
  <c r="AM510" i="53" s="1"/>
  <c r="AM301" i="53"/>
  <c r="AM517" i="53" s="1"/>
  <c r="AM307" i="53"/>
  <c r="AM523" i="53" s="1"/>
  <c r="AM321" i="53"/>
  <c r="AM537" i="53" s="1"/>
  <c r="AM310" i="53"/>
  <c r="AM526" i="53" s="1"/>
  <c r="AM297" i="53"/>
  <c r="AM513" i="53" s="1"/>
  <c r="AM309" i="53"/>
  <c r="AM525" i="53" s="1"/>
  <c r="AM323" i="53"/>
  <c r="AM539" i="53" s="1"/>
  <c r="AM296" i="53"/>
  <c r="AM512" i="53" s="1"/>
  <c r="AM322" i="53"/>
  <c r="AM538" i="53" s="1"/>
  <c r="AE293" i="53"/>
  <c r="AE509" i="53" s="1"/>
  <c r="AE304" i="53"/>
  <c r="AE520" i="53" s="1"/>
  <c r="AE315" i="53"/>
  <c r="AE531" i="53" s="1"/>
  <c r="AE312" i="53"/>
  <c r="AE528" i="53" s="1"/>
  <c r="AE300" i="53"/>
  <c r="AE516" i="53" s="1"/>
  <c r="AE309" i="53"/>
  <c r="AE525" i="53" s="1"/>
  <c r="AE305" i="53"/>
  <c r="AE521" i="53" s="1"/>
  <c r="AE295" i="53"/>
  <c r="AE511" i="53" s="1"/>
  <c r="AE322" i="53"/>
  <c r="AE538" i="53" s="1"/>
  <c r="AE323" i="53"/>
  <c r="AE539" i="53" s="1"/>
  <c r="AE297" i="53"/>
  <c r="AE513" i="53" s="1"/>
  <c r="AE301" i="53"/>
  <c r="AE517" i="53" s="1"/>
  <c r="AE316" i="53"/>
  <c r="AE532" i="53" s="1"/>
  <c r="AE311" i="53"/>
  <c r="AE527" i="53" s="1"/>
  <c r="AE299" i="53"/>
  <c r="AE515" i="53" s="1"/>
  <c r="AE319" i="53"/>
  <c r="AE535" i="53" s="1"/>
  <c r="AE298" i="53"/>
  <c r="AE514" i="53" s="1"/>
  <c r="AE294" i="53"/>
  <c r="AE510" i="53" s="1"/>
  <c r="AE306" i="53"/>
  <c r="AE522" i="53" s="1"/>
  <c r="AE307" i="53"/>
  <c r="AE523" i="53" s="1"/>
  <c r="AE318" i="53"/>
  <c r="AE534" i="53" s="1"/>
  <c r="AE321" i="53"/>
  <c r="AE537" i="53" s="1"/>
  <c r="AE310" i="53"/>
  <c r="AE526" i="53" s="1"/>
  <c r="AE308" i="53"/>
  <c r="AE524" i="53" s="1"/>
  <c r="AE320" i="53"/>
  <c r="AE536" i="53" s="1"/>
  <c r="AE317" i="53"/>
  <c r="AE533" i="53" s="1"/>
  <c r="AE296" i="53"/>
  <c r="AE512" i="53" s="1"/>
  <c r="AL88" i="83"/>
  <c r="AL76" i="80"/>
  <c r="AL88" i="80" s="1"/>
  <c r="AL114" i="83"/>
  <c r="AL124" i="80"/>
  <c r="AL136" i="80" s="1"/>
  <c r="AL89" i="83"/>
  <c r="AL77" i="80"/>
  <c r="AL89" i="80" s="1"/>
  <c r="AL108" i="83"/>
  <c r="AL118" i="80"/>
  <c r="AL130" i="80" s="1"/>
  <c r="AL83" i="83"/>
  <c r="AL71" i="80"/>
  <c r="AL83" i="80" s="1"/>
  <c r="AL98" i="83"/>
  <c r="AL97" i="80"/>
  <c r="AL90" i="83"/>
  <c r="AL78" i="80"/>
  <c r="AL90" i="80" s="1"/>
  <c r="AP295" i="53"/>
  <c r="AP511" i="53" s="1"/>
  <c r="AP296" i="53"/>
  <c r="AP512" i="53" s="1"/>
  <c r="AP297" i="53"/>
  <c r="AP513" i="53" s="1"/>
  <c r="AP298" i="53"/>
  <c r="AP514" i="53" s="1"/>
  <c r="AP299" i="53"/>
  <c r="AP515" i="53" s="1"/>
  <c r="AP300" i="53"/>
  <c r="AP516" i="53" s="1"/>
  <c r="AP301" i="53"/>
  <c r="AP517" i="53" s="1"/>
  <c r="AP320" i="53"/>
  <c r="AP536" i="53" s="1"/>
  <c r="AP321" i="53"/>
  <c r="AP537" i="53" s="1"/>
  <c r="AP310" i="53"/>
  <c r="AP526" i="53" s="1"/>
  <c r="AP309" i="53"/>
  <c r="AP525" i="53" s="1"/>
  <c r="AP305" i="53"/>
  <c r="AP521" i="53" s="1"/>
  <c r="AP293" i="53"/>
  <c r="AP509" i="53" s="1"/>
  <c r="AP316" i="53"/>
  <c r="AP532" i="53" s="1"/>
  <c r="AP323" i="53"/>
  <c r="AP539" i="53" s="1"/>
  <c r="AP307" i="53"/>
  <c r="AP523" i="53" s="1"/>
  <c r="AP304" i="53"/>
  <c r="AP520" i="53" s="1"/>
  <c r="AP317" i="53"/>
  <c r="AP533" i="53" s="1"/>
  <c r="AP319" i="53"/>
  <c r="AP535" i="53" s="1"/>
  <c r="AP311" i="53"/>
  <c r="AP527" i="53" s="1"/>
  <c r="AP308" i="53"/>
  <c r="AP524" i="53" s="1"/>
  <c r="AP294" i="53"/>
  <c r="AP510" i="53" s="1"/>
  <c r="AP312" i="53"/>
  <c r="AP528" i="53" s="1"/>
  <c r="AP322" i="53"/>
  <c r="AP538" i="53" s="1"/>
  <c r="AP318" i="53"/>
  <c r="AP534" i="53" s="1"/>
  <c r="AP306" i="53"/>
  <c r="AP522" i="53" s="1"/>
  <c r="AP315" i="53"/>
  <c r="AP531" i="53" s="1"/>
  <c r="AO112" i="83"/>
  <c r="AO122" i="80"/>
  <c r="AO134" i="80" s="1"/>
  <c r="AO108" i="83"/>
  <c r="AO118" i="80"/>
  <c r="AO130" i="80" s="1"/>
  <c r="AO101" i="83"/>
  <c r="AO100" i="80"/>
  <c r="AO97" i="83"/>
  <c r="AO96" i="80"/>
  <c r="AO88" i="83"/>
  <c r="AO76" i="80"/>
  <c r="AO88" i="80" s="1"/>
  <c r="AO84" i="83"/>
  <c r="AO72" i="80"/>
  <c r="AO84" i="80" s="1"/>
  <c r="AO81" i="83"/>
  <c r="AO82" i="83"/>
  <c r="AO70" i="80"/>
  <c r="AO82" i="80" s="1"/>
  <c r="W105" i="83"/>
  <c r="W106" i="83"/>
  <c r="W116" i="80"/>
  <c r="W128" i="80" s="1"/>
  <c r="W110" i="83"/>
  <c r="W120" i="80"/>
  <c r="W132" i="80" s="1"/>
  <c r="W83" i="83"/>
  <c r="W71" i="80"/>
  <c r="W83" i="80" s="1"/>
  <c r="W114" i="83"/>
  <c r="W124" i="80"/>
  <c r="W136" i="80" s="1"/>
  <c r="W102" i="83"/>
  <c r="W101" i="80"/>
  <c r="W87" i="83"/>
  <c r="W75" i="80"/>
  <c r="W87" i="80" s="1"/>
  <c r="W109" i="83"/>
  <c r="W119" i="80"/>
  <c r="W131" i="80" s="1"/>
  <c r="AD100" i="83"/>
  <c r="AD99" i="80"/>
  <c r="AD88" i="83"/>
  <c r="AD76" i="80"/>
  <c r="AD88" i="80" s="1"/>
  <c r="AD84" i="83"/>
  <c r="AD72" i="80"/>
  <c r="AD84" i="80" s="1"/>
  <c r="AD108" i="83"/>
  <c r="AD118" i="80"/>
  <c r="AD130" i="80" s="1"/>
  <c r="AD110" i="83"/>
  <c r="AD120" i="80"/>
  <c r="AD132" i="80" s="1"/>
  <c r="AD99" i="83"/>
  <c r="AD98" i="80"/>
  <c r="AD93" i="83"/>
  <c r="AD94" i="83"/>
  <c r="AD93" i="80"/>
  <c r="AD105" i="80" s="1"/>
  <c r="AG113" i="83"/>
  <c r="AG123" i="80"/>
  <c r="AG135" i="80" s="1"/>
  <c r="AG108" i="83"/>
  <c r="AG118" i="80"/>
  <c r="AG130" i="80" s="1"/>
  <c r="AG102" i="83"/>
  <c r="AG101" i="80"/>
  <c r="AG97" i="83"/>
  <c r="AG96" i="80"/>
  <c r="AG88" i="83"/>
  <c r="AG76" i="80"/>
  <c r="AG88" i="80" s="1"/>
  <c r="AG84" i="83"/>
  <c r="AG72" i="80"/>
  <c r="AG84" i="80" s="1"/>
  <c r="AG81" i="83"/>
  <c r="AG82" i="83"/>
  <c r="AG70" i="80"/>
  <c r="AG82" i="80" s="1"/>
  <c r="AL87" i="83"/>
  <c r="AL75" i="80"/>
  <c r="AL87" i="80" s="1"/>
  <c r="AL93" i="83"/>
  <c r="AL94" i="83"/>
  <c r="AL93" i="80"/>
  <c r="AL105" i="80" s="1"/>
  <c r="AL84" i="83"/>
  <c r="AL72" i="80"/>
  <c r="AL84" i="80" s="1"/>
  <c r="AL111" i="83"/>
  <c r="AL121" i="80"/>
  <c r="AL133" i="80" s="1"/>
  <c r="AL113" i="83"/>
  <c r="AL123" i="80"/>
  <c r="AL135" i="80" s="1"/>
  <c r="AL97" i="83"/>
  <c r="AL96" i="80"/>
  <c r="AL81" i="83"/>
  <c r="AL82" i="83"/>
  <c r="AL70" i="80"/>
  <c r="AL82" i="80" s="1"/>
  <c r="W113" i="83"/>
  <c r="W123" i="80"/>
  <c r="W135" i="80" s="1"/>
  <c r="W97" i="83"/>
  <c r="W96" i="80"/>
  <c r="W99" i="83"/>
  <c r="W98" i="80"/>
  <c r="AD86" i="83"/>
  <c r="AD74" i="80"/>
  <c r="AD86" i="80" s="1"/>
  <c r="AD102" i="83"/>
  <c r="AD101" i="80"/>
  <c r="AG109" i="83"/>
  <c r="AG119" i="80"/>
  <c r="AG131" i="80" s="1"/>
  <c r="AG98" i="83"/>
  <c r="AG97" i="80"/>
  <c r="AG85" i="83"/>
  <c r="AG73" i="80"/>
  <c r="AG85" i="80" s="1"/>
  <c r="AC293" i="53"/>
  <c r="AC509" i="53" s="1"/>
  <c r="AC304" i="53"/>
  <c r="AC520" i="53" s="1"/>
  <c r="AC315" i="53"/>
  <c r="AC531" i="53" s="1"/>
  <c r="AC311" i="53"/>
  <c r="AC527" i="53" s="1"/>
  <c r="AC298" i="53"/>
  <c r="AC514" i="53" s="1"/>
  <c r="AC320" i="53"/>
  <c r="AC536" i="53" s="1"/>
  <c r="AC309" i="53"/>
  <c r="AC525" i="53" s="1"/>
  <c r="AC319" i="53"/>
  <c r="AC535" i="53" s="1"/>
  <c r="AC301" i="53"/>
  <c r="AC517" i="53" s="1"/>
  <c r="AC317" i="53"/>
  <c r="AC533" i="53" s="1"/>
  <c r="AC312" i="53"/>
  <c r="AC528" i="53" s="1"/>
  <c r="AC300" i="53"/>
  <c r="AC516" i="53" s="1"/>
  <c r="AC316" i="53"/>
  <c r="AC532" i="53" s="1"/>
  <c r="AC318" i="53"/>
  <c r="AC534" i="53" s="1"/>
  <c r="AC322" i="53"/>
  <c r="AC538" i="53" s="1"/>
  <c r="AC297" i="53"/>
  <c r="AC513" i="53" s="1"/>
  <c r="AC306" i="53"/>
  <c r="AC522" i="53" s="1"/>
  <c r="AC294" i="53"/>
  <c r="AC510" i="53" s="1"/>
  <c r="AC323" i="53"/>
  <c r="AC539" i="53" s="1"/>
  <c r="AC307" i="53"/>
  <c r="AC523" i="53" s="1"/>
  <c r="AC321" i="53"/>
  <c r="AC537" i="53" s="1"/>
  <c r="AC299" i="53"/>
  <c r="AC515" i="53" s="1"/>
  <c r="AC310" i="53"/>
  <c r="AC526" i="53" s="1"/>
  <c r="AC308" i="53"/>
  <c r="AC524" i="53" s="1"/>
  <c r="AC305" i="53"/>
  <c r="AC521" i="53" s="1"/>
  <c r="AC295" i="53"/>
  <c r="AC511" i="53" s="1"/>
  <c r="AC296" i="53"/>
  <c r="AC512" i="53" s="1"/>
  <c r="AJ293" i="53"/>
  <c r="AJ509" i="53" s="1"/>
  <c r="AJ304" i="53"/>
  <c r="AJ520" i="53" s="1"/>
  <c r="AJ315" i="53"/>
  <c r="AJ531" i="53" s="1"/>
  <c r="AJ323" i="53"/>
  <c r="AJ539" i="53" s="1"/>
  <c r="AJ312" i="53"/>
  <c r="AJ528" i="53" s="1"/>
  <c r="AJ322" i="53"/>
  <c r="AJ538" i="53" s="1"/>
  <c r="AJ319" i="53"/>
  <c r="AJ535" i="53" s="1"/>
  <c r="AJ305" i="53"/>
  <c r="AJ521" i="53" s="1"/>
  <c r="AJ317" i="53"/>
  <c r="AJ533" i="53" s="1"/>
  <c r="AJ294" i="53"/>
  <c r="AJ510" i="53" s="1"/>
  <c r="AJ295" i="53"/>
  <c r="AJ511" i="53" s="1"/>
  <c r="AJ311" i="53"/>
  <c r="AJ527" i="53" s="1"/>
  <c r="AJ307" i="53"/>
  <c r="AJ523" i="53" s="1"/>
  <c r="AJ320" i="53"/>
  <c r="AJ536" i="53" s="1"/>
  <c r="AJ300" i="53"/>
  <c r="AJ516" i="53" s="1"/>
  <c r="AJ299" i="53"/>
  <c r="AJ515" i="53" s="1"/>
  <c r="AJ296" i="53"/>
  <c r="AJ512" i="53" s="1"/>
  <c r="AJ318" i="53"/>
  <c r="AJ534" i="53" s="1"/>
  <c r="AJ306" i="53"/>
  <c r="AJ522" i="53" s="1"/>
  <c r="AJ298" i="53"/>
  <c r="AJ514" i="53" s="1"/>
  <c r="AJ316" i="53"/>
  <c r="AJ532" i="53" s="1"/>
  <c r="AJ309" i="53"/>
  <c r="AJ525" i="53" s="1"/>
  <c r="AJ297" i="53"/>
  <c r="AJ513" i="53" s="1"/>
  <c r="AJ308" i="53"/>
  <c r="AJ524" i="53" s="1"/>
  <c r="AJ321" i="53"/>
  <c r="AJ537" i="53" s="1"/>
  <c r="AJ310" i="53"/>
  <c r="AJ526" i="53" s="1"/>
  <c r="AJ301" i="53"/>
  <c r="AJ517" i="53" s="1"/>
  <c r="AL102" i="83"/>
  <c r="AL101" i="80"/>
  <c r="AL101" i="83"/>
  <c r="AL100" i="80"/>
  <c r="AL100" i="83"/>
  <c r="AL99" i="80"/>
  <c r="AL110" i="83"/>
  <c r="AL120" i="80"/>
  <c r="AL132" i="80" s="1"/>
  <c r="AL109" i="83"/>
  <c r="AL119" i="80"/>
  <c r="AL131" i="80" s="1"/>
  <c r="AL96" i="83"/>
  <c r="AL95" i="80"/>
  <c r="V98" i="83"/>
  <c r="V97" i="80"/>
  <c r="AO111" i="83"/>
  <c r="AO121" i="80"/>
  <c r="AO133" i="80" s="1"/>
  <c r="AO107" i="83"/>
  <c r="AO117" i="80"/>
  <c r="AO129" i="80" s="1"/>
  <c r="AO100" i="83"/>
  <c r="AO99" i="80"/>
  <c r="AO96" i="83"/>
  <c r="AO95" i="80"/>
  <c r="AO87" i="83"/>
  <c r="AO75" i="80"/>
  <c r="AO87" i="80" s="1"/>
  <c r="AO83" i="83"/>
  <c r="AO71" i="80"/>
  <c r="AO83" i="80" s="1"/>
  <c r="P315" i="53"/>
  <c r="P531" i="53" s="1"/>
  <c r="P304" i="53"/>
  <c r="P520" i="53" s="1"/>
  <c r="P316" i="53"/>
  <c r="P532" i="53" s="1"/>
  <c r="P317" i="53"/>
  <c r="P533" i="53" s="1"/>
  <c r="P318" i="53"/>
  <c r="P534" i="53" s="1"/>
  <c r="P319" i="53"/>
  <c r="P535" i="53" s="1"/>
  <c r="P320" i="53"/>
  <c r="P536" i="53" s="1"/>
  <c r="P321" i="53"/>
  <c r="P537" i="53" s="1"/>
  <c r="P322" i="53"/>
  <c r="P538" i="53" s="1"/>
  <c r="P323" i="53"/>
  <c r="P539" i="53" s="1"/>
  <c r="P312" i="53"/>
  <c r="P528" i="53" s="1"/>
  <c r="P305" i="53"/>
  <c r="P521" i="53" s="1"/>
  <c r="P306" i="53"/>
  <c r="P522" i="53" s="1"/>
  <c r="P307" i="53"/>
  <c r="P523" i="53" s="1"/>
  <c r="P308" i="53"/>
  <c r="P524" i="53" s="1"/>
  <c r="P309" i="53"/>
  <c r="P525" i="53" s="1"/>
  <c r="P310" i="53"/>
  <c r="P526" i="53" s="1"/>
  <c r="P311" i="53"/>
  <c r="P527" i="53" s="1"/>
  <c r="P293" i="53"/>
  <c r="P509" i="53" s="1"/>
  <c r="P296" i="53"/>
  <c r="P512" i="53" s="1"/>
  <c r="P299" i="53"/>
  <c r="P515" i="53" s="1"/>
  <c r="P301" i="53"/>
  <c r="P517" i="53" s="1"/>
  <c r="P295" i="53"/>
  <c r="P511" i="53" s="1"/>
  <c r="P298" i="53"/>
  <c r="P514" i="53" s="1"/>
  <c r="P297" i="53"/>
  <c r="P513" i="53" s="1"/>
  <c r="P300" i="53"/>
  <c r="P516" i="53" s="1"/>
  <c r="P294" i="53"/>
  <c r="P510" i="53" s="1"/>
  <c r="W96" i="83"/>
  <c r="W95" i="80"/>
  <c r="W88" i="83"/>
  <c r="W76" i="80"/>
  <c r="W88" i="80" s="1"/>
  <c r="W98" i="83"/>
  <c r="W97" i="80"/>
  <c r="W86" i="83"/>
  <c r="W74" i="80"/>
  <c r="W86" i="80" s="1"/>
  <c r="W112" i="83"/>
  <c r="W122" i="80"/>
  <c r="W134" i="80" s="1"/>
  <c r="W89" i="83"/>
  <c r="W77" i="80"/>
  <c r="W89" i="80" s="1"/>
  <c r="W107" i="83"/>
  <c r="W117" i="80"/>
  <c r="W129" i="80" s="1"/>
  <c r="AD111" i="83"/>
  <c r="AD121" i="80"/>
  <c r="AD133" i="80" s="1"/>
  <c r="AD112" i="83"/>
  <c r="AD122" i="80"/>
  <c r="AD134" i="80" s="1"/>
  <c r="AD107" i="83"/>
  <c r="AD117" i="80"/>
  <c r="AD129" i="80" s="1"/>
  <c r="AD89" i="83"/>
  <c r="AD77" i="80"/>
  <c r="AD89" i="80" s="1"/>
  <c r="AD85" i="83"/>
  <c r="AD73" i="80"/>
  <c r="AD85" i="80" s="1"/>
  <c r="AD114" i="83"/>
  <c r="AD124" i="80"/>
  <c r="AD136" i="80" s="1"/>
  <c r="AD81" i="83"/>
  <c r="AD82" i="83"/>
  <c r="AD70" i="80"/>
  <c r="AD82" i="80" s="1"/>
  <c r="AG111" i="83"/>
  <c r="AG121" i="80"/>
  <c r="AG133" i="80" s="1"/>
  <c r="AG107" i="83"/>
  <c r="AG117" i="80"/>
  <c r="AG129" i="80" s="1"/>
  <c r="AG90" i="83"/>
  <c r="AG78" i="80"/>
  <c r="AG90" i="80" s="1"/>
  <c r="AG96" i="83"/>
  <c r="AG95" i="80"/>
  <c r="AG87" i="83"/>
  <c r="AG75" i="80"/>
  <c r="AG87" i="80" s="1"/>
  <c r="AG83" i="83"/>
  <c r="AG71" i="80"/>
  <c r="AG83" i="80" s="1"/>
  <c r="AK293" i="53"/>
  <c r="AK509" i="53" s="1"/>
  <c r="AK315" i="53"/>
  <c r="AK531" i="53" s="1"/>
  <c r="AK304" i="53"/>
  <c r="AK520" i="53" s="1"/>
  <c r="AK294" i="53"/>
  <c r="AK510" i="53" s="1"/>
  <c r="AK295" i="53"/>
  <c r="AK511" i="53" s="1"/>
  <c r="AK296" i="53"/>
  <c r="AK512" i="53" s="1"/>
  <c r="AK297" i="53"/>
  <c r="AK513" i="53" s="1"/>
  <c r="AK298" i="53"/>
  <c r="AK514" i="53" s="1"/>
  <c r="AK299" i="53"/>
  <c r="AK515" i="53" s="1"/>
  <c r="AK300" i="53"/>
  <c r="AK516" i="53" s="1"/>
  <c r="AK301" i="53"/>
  <c r="AK517" i="53" s="1"/>
  <c r="AK305" i="53"/>
  <c r="AK521" i="53" s="1"/>
  <c r="AK306" i="53"/>
  <c r="AK522" i="53" s="1"/>
  <c r="AK307" i="53"/>
  <c r="AK523" i="53" s="1"/>
  <c r="AK308" i="53"/>
  <c r="AK524" i="53" s="1"/>
  <c r="AK309" i="53"/>
  <c r="AK525" i="53" s="1"/>
  <c r="AK310" i="53"/>
  <c r="AK526" i="53" s="1"/>
  <c r="AK311" i="53"/>
  <c r="AK527" i="53" s="1"/>
  <c r="AK312" i="53"/>
  <c r="AK528" i="53" s="1"/>
  <c r="AK316" i="53"/>
  <c r="AK532" i="53" s="1"/>
  <c r="AK317" i="53"/>
  <c r="AK533" i="53" s="1"/>
  <c r="AK318" i="53"/>
  <c r="AK534" i="53" s="1"/>
  <c r="AK319" i="53"/>
  <c r="AK535" i="53" s="1"/>
  <c r="AK320" i="53"/>
  <c r="AK536" i="53" s="1"/>
  <c r="AK321" i="53"/>
  <c r="AK537" i="53" s="1"/>
  <c r="AK322" i="53"/>
  <c r="AK538" i="53" s="1"/>
  <c r="AK323" i="53"/>
  <c r="AK539" i="53" s="1"/>
  <c r="Q315" i="53"/>
  <c r="Q531" i="53" s="1"/>
  <c r="Q316" i="53"/>
  <c r="Q532" i="53" s="1"/>
  <c r="Q317" i="53"/>
  <c r="Q533" i="53" s="1"/>
  <c r="Q318" i="53"/>
  <c r="Q534" i="53" s="1"/>
  <c r="Q319" i="53"/>
  <c r="Q535" i="53" s="1"/>
  <c r="Q321" i="53"/>
  <c r="Q537" i="53" s="1"/>
  <c r="Q323" i="53"/>
  <c r="Q539" i="53" s="1"/>
  <c r="Q320" i="53"/>
  <c r="Q536" i="53" s="1"/>
  <c r="Q322" i="53"/>
  <c r="Q538" i="53" s="1"/>
  <c r="Q306" i="53"/>
  <c r="Q522" i="53" s="1"/>
  <c r="Q308" i="53"/>
  <c r="Q524" i="53" s="1"/>
  <c r="Q310" i="53"/>
  <c r="Q526" i="53" s="1"/>
  <c r="Q312" i="53"/>
  <c r="Q528" i="53" s="1"/>
  <c r="Q311" i="53"/>
  <c r="Q527" i="53" s="1"/>
  <c r="Q305" i="53"/>
  <c r="Q521" i="53" s="1"/>
  <c r="Q307" i="53"/>
  <c r="Q523" i="53" s="1"/>
  <c r="Q304" i="53"/>
  <c r="Q520" i="53" s="1"/>
  <c r="Q309" i="53"/>
  <c r="Q525" i="53" s="1"/>
  <c r="Q297" i="53"/>
  <c r="Q513" i="53" s="1"/>
  <c r="Q300" i="53"/>
  <c r="Q516" i="53" s="1"/>
  <c r="Q299" i="53"/>
  <c r="Q515" i="53" s="1"/>
  <c r="Q293" i="53"/>
  <c r="Q509" i="53" s="1"/>
  <c r="Q296" i="53"/>
  <c r="Q512" i="53" s="1"/>
  <c r="Q301" i="53"/>
  <c r="Q517" i="53" s="1"/>
  <c r="Q295" i="53"/>
  <c r="Q511" i="53" s="1"/>
  <c r="Q298" i="53"/>
  <c r="Q514" i="53" s="1"/>
  <c r="Q294" i="53"/>
  <c r="Q510" i="53" s="1"/>
  <c r="AN293" i="53"/>
  <c r="AN509" i="53" s="1"/>
  <c r="AN304" i="53"/>
  <c r="AN520" i="53" s="1"/>
  <c r="AN315" i="53"/>
  <c r="AN531" i="53" s="1"/>
  <c r="AN316" i="53"/>
  <c r="AN532" i="53" s="1"/>
  <c r="AN309" i="53"/>
  <c r="AN525" i="53" s="1"/>
  <c r="AN320" i="53"/>
  <c r="AN536" i="53" s="1"/>
  <c r="AN300" i="53"/>
  <c r="AN516" i="53" s="1"/>
  <c r="AN319" i="53"/>
  <c r="AN535" i="53" s="1"/>
  <c r="AN323" i="53"/>
  <c r="AN539" i="53" s="1"/>
  <c r="AN321" i="53"/>
  <c r="AN537" i="53" s="1"/>
  <c r="AN310" i="53"/>
  <c r="AN526" i="53" s="1"/>
  <c r="AN307" i="53"/>
  <c r="AN523" i="53" s="1"/>
  <c r="AN312" i="53"/>
  <c r="AN528" i="53" s="1"/>
  <c r="AN295" i="53"/>
  <c r="AN511" i="53" s="1"/>
  <c r="AN322" i="53"/>
  <c r="AN538" i="53" s="1"/>
  <c r="AN297" i="53"/>
  <c r="AN513" i="53" s="1"/>
  <c r="AN298" i="53"/>
  <c r="AN514" i="53" s="1"/>
  <c r="AN306" i="53"/>
  <c r="AN522" i="53" s="1"/>
  <c r="AN294" i="53"/>
  <c r="AN510" i="53" s="1"/>
  <c r="AN305" i="53"/>
  <c r="AN521" i="53" s="1"/>
  <c r="AN301" i="53"/>
  <c r="AN517" i="53" s="1"/>
  <c r="AN308" i="53"/>
  <c r="AN524" i="53" s="1"/>
  <c r="AN299" i="53"/>
  <c r="AN515" i="53" s="1"/>
  <c r="AN318" i="53"/>
  <c r="AN534" i="53" s="1"/>
  <c r="AN311" i="53"/>
  <c r="AN527" i="53" s="1"/>
  <c r="AN317" i="53"/>
  <c r="AN533" i="53" s="1"/>
  <c r="AN296" i="53"/>
  <c r="AN512" i="53" s="1"/>
  <c r="R315" i="53"/>
  <c r="R531" i="53" s="1"/>
  <c r="R316" i="53"/>
  <c r="R532" i="53" s="1"/>
  <c r="R317" i="53"/>
  <c r="R533" i="53" s="1"/>
  <c r="R318" i="53"/>
  <c r="R534" i="53" s="1"/>
  <c r="R319" i="53"/>
  <c r="R535" i="53" s="1"/>
  <c r="R320" i="53"/>
  <c r="R536" i="53" s="1"/>
  <c r="R321" i="53"/>
  <c r="R537" i="53" s="1"/>
  <c r="R322" i="53"/>
  <c r="R538" i="53" s="1"/>
  <c r="R323" i="53"/>
  <c r="R539" i="53" s="1"/>
  <c r="R294" i="53"/>
  <c r="R510" i="53" s="1"/>
  <c r="R295" i="53"/>
  <c r="R511" i="53" s="1"/>
  <c r="R296" i="53"/>
  <c r="R512" i="53" s="1"/>
  <c r="R297" i="53"/>
  <c r="R513" i="53" s="1"/>
  <c r="R298" i="53"/>
  <c r="R514" i="53" s="1"/>
  <c r="R299" i="53"/>
  <c r="R515" i="53" s="1"/>
  <c r="R300" i="53"/>
  <c r="R516" i="53" s="1"/>
  <c r="R301" i="53"/>
  <c r="R517" i="53" s="1"/>
  <c r="R306" i="53"/>
  <c r="R522" i="53" s="1"/>
  <c r="R308" i="53"/>
  <c r="R524" i="53" s="1"/>
  <c r="R310" i="53"/>
  <c r="R526" i="53" s="1"/>
  <c r="R312" i="53"/>
  <c r="R528" i="53" s="1"/>
  <c r="R305" i="53"/>
  <c r="R521" i="53" s="1"/>
  <c r="R307" i="53"/>
  <c r="R523" i="53" s="1"/>
  <c r="R309" i="53"/>
  <c r="R525" i="53" s="1"/>
  <c r="R311" i="53"/>
  <c r="R527" i="53" s="1"/>
  <c r="R293" i="53"/>
  <c r="R509" i="53" s="1"/>
  <c r="R304" i="53"/>
  <c r="R520" i="53" s="1"/>
  <c r="AO114" i="83"/>
  <c r="AO124" i="80"/>
  <c r="AO136" i="80" s="1"/>
  <c r="AO110" i="83"/>
  <c r="AO120" i="80"/>
  <c r="AO132" i="80" s="1"/>
  <c r="AO90" i="83"/>
  <c r="AO78" i="80"/>
  <c r="AO90" i="80" s="1"/>
  <c r="AO99" i="83"/>
  <c r="AO98" i="80"/>
  <c r="AO95" i="83"/>
  <c r="AO94" i="80"/>
  <c r="AO86" i="83"/>
  <c r="AO74" i="80"/>
  <c r="AO86" i="80" s="1"/>
  <c r="AO105" i="83"/>
  <c r="AO106" i="83"/>
  <c r="AO116" i="80"/>
  <c r="AO128" i="80" s="1"/>
  <c r="AH93" i="83"/>
  <c r="AH94" i="83"/>
  <c r="AH93" i="80"/>
  <c r="AH105" i="80" s="1"/>
  <c r="AI293" i="53"/>
  <c r="AI509" i="53" s="1"/>
  <c r="AI315" i="53"/>
  <c r="AI531" i="53" s="1"/>
  <c r="AI304" i="53"/>
  <c r="AI520" i="53" s="1"/>
  <c r="AI309" i="53"/>
  <c r="AI525" i="53" s="1"/>
  <c r="AI298" i="53"/>
  <c r="AI514" i="53" s="1"/>
  <c r="AI320" i="53"/>
  <c r="AI536" i="53" s="1"/>
  <c r="AI323" i="53"/>
  <c r="AI539" i="53" s="1"/>
  <c r="AI319" i="53"/>
  <c r="AI535" i="53" s="1"/>
  <c r="AI311" i="53"/>
  <c r="AI527" i="53" s="1"/>
  <c r="AI316" i="53"/>
  <c r="AI532" i="53" s="1"/>
  <c r="AI317" i="53"/>
  <c r="AI533" i="53" s="1"/>
  <c r="AI294" i="53"/>
  <c r="AI510" i="53" s="1"/>
  <c r="AI306" i="53"/>
  <c r="AI522" i="53" s="1"/>
  <c r="AI299" i="53"/>
  <c r="AI515" i="53" s="1"/>
  <c r="AI307" i="53"/>
  <c r="AI523" i="53" s="1"/>
  <c r="AI308" i="53"/>
  <c r="AI524" i="53" s="1"/>
  <c r="AI300" i="53"/>
  <c r="AI516" i="53" s="1"/>
  <c r="AI322" i="53"/>
  <c r="AI538" i="53" s="1"/>
  <c r="AI301" i="53"/>
  <c r="AI517" i="53" s="1"/>
  <c r="AI318" i="53"/>
  <c r="AI534" i="53" s="1"/>
  <c r="AI310" i="53"/>
  <c r="AI526" i="53" s="1"/>
  <c r="AI321" i="53"/>
  <c r="AI537" i="53" s="1"/>
  <c r="AI297" i="53"/>
  <c r="AI513" i="53" s="1"/>
  <c r="AI295" i="53"/>
  <c r="AI511" i="53" s="1"/>
  <c r="AI305" i="53"/>
  <c r="AI521" i="53" s="1"/>
  <c r="AI312" i="53"/>
  <c r="AI528" i="53" s="1"/>
  <c r="AI296" i="53"/>
  <c r="AI512" i="53" s="1"/>
  <c r="W100" i="83"/>
  <c r="W99" i="80"/>
  <c r="W90" i="83"/>
  <c r="W78" i="80"/>
  <c r="W90" i="80" s="1"/>
  <c r="W101" i="83"/>
  <c r="W100" i="80"/>
  <c r="W85" i="83"/>
  <c r="W73" i="80"/>
  <c r="W85" i="80" s="1"/>
  <c r="W93" i="83"/>
  <c r="W94" i="83"/>
  <c r="W93" i="80"/>
  <c r="W105" i="80" s="1"/>
  <c r="W95" i="83"/>
  <c r="W94" i="80"/>
  <c r="W81" i="83"/>
  <c r="W82" i="83"/>
  <c r="W70" i="80"/>
  <c r="W82" i="80" s="1"/>
  <c r="AD90" i="83"/>
  <c r="AD78" i="80"/>
  <c r="AD90" i="80" s="1"/>
  <c r="AD97" i="83"/>
  <c r="AD96" i="80"/>
  <c r="AD96" i="83"/>
  <c r="AD95" i="80"/>
  <c r="AD95" i="83"/>
  <c r="AD94" i="80"/>
  <c r="AD101" i="83"/>
  <c r="AD100" i="80"/>
  <c r="AD87" i="83"/>
  <c r="AD75" i="80"/>
  <c r="AD87" i="80" s="1"/>
  <c r="AG114" i="83"/>
  <c r="AG124" i="80"/>
  <c r="AG136" i="80" s="1"/>
  <c r="AG110" i="83"/>
  <c r="AG120" i="80"/>
  <c r="AG132" i="80" s="1"/>
  <c r="AG100" i="83"/>
  <c r="AG99" i="80"/>
  <c r="AG99" i="83"/>
  <c r="AG98" i="80"/>
  <c r="AG95" i="83"/>
  <c r="AG94" i="80"/>
  <c r="AG86" i="83"/>
  <c r="AG74" i="80"/>
  <c r="AG86" i="80" s="1"/>
  <c r="AG105" i="83"/>
  <c r="AG106" i="83"/>
  <c r="AG116" i="80"/>
  <c r="AG128" i="80" s="1"/>
  <c r="AL85" i="83"/>
  <c r="AL73" i="80"/>
  <c r="AL85" i="80" s="1"/>
  <c r="AL99" i="83"/>
  <c r="AL98" i="80"/>
  <c r="AL86" i="83"/>
  <c r="AL74" i="80"/>
  <c r="AL86" i="80" s="1"/>
  <c r="AL112" i="83"/>
  <c r="AL122" i="80"/>
  <c r="AL134" i="80" s="1"/>
  <c r="AL105" i="83"/>
  <c r="AL106" i="83"/>
  <c r="AL116" i="80"/>
  <c r="AL128" i="80" s="1"/>
  <c r="AL107" i="83"/>
  <c r="AL117" i="80"/>
  <c r="AL129" i="80" s="1"/>
  <c r="AL95" i="83"/>
  <c r="AL94" i="80"/>
  <c r="T258" i="83" l="1"/>
  <c r="T263" i="83" s="1"/>
  <c r="T268" i="83" s="1"/>
  <c r="T259" i="83"/>
  <c r="T264" i="83" s="1"/>
  <c r="T269" i="83" s="1"/>
  <c r="T384" i="53"/>
  <c r="T391" i="53"/>
  <c r="T388" i="53"/>
  <c r="T436" i="53" s="1"/>
  <c r="T386" i="53"/>
  <c r="T387" i="53"/>
  <c r="T385" i="53"/>
  <c r="T390" i="53"/>
  <c r="T383" i="53"/>
  <c r="AL210" i="83"/>
  <c r="AL82" i="71" s="1"/>
  <c r="AL187" i="71" s="1"/>
  <c r="AL157" i="83"/>
  <c r="AL27" i="71" s="1"/>
  <c r="AL132" i="71" s="1"/>
  <c r="AL156" i="83"/>
  <c r="AL26" i="71" s="1"/>
  <c r="AL131" i="71" s="1"/>
  <c r="W183" i="83"/>
  <c r="W54" i="71" s="1"/>
  <c r="W159" i="71" s="1"/>
  <c r="AH182" i="83"/>
  <c r="AO210" i="83"/>
  <c r="AO183" i="83"/>
  <c r="AO54" i="71" s="1"/>
  <c r="AO159" i="71" s="1"/>
  <c r="AO161" i="83"/>
  <c r="AO31" i="71" s="1"/>
  <c r="AO136" i="71" s="1"/>
  <c r="AO219" i="83"/>
  <c r="AO91" i="71" s="1"/>
  <c r="AO196" i="71" s="1"/>
  <c r="AG158" i="83"/>
  <c r="AG28" i="71" s="1"/>
  <c r="AG133" i="71" s="1"/>
  <c r="AG161" i="83"/>
  <c r="AG31" i="71" s="1"/>
  <c r="AG136" i="71" s="1"/>
  <c r="AG216" i="83"/>
  <c r="AG88" i="71" s="1"/>
  <c r="AG193" i="71" s="1"/>
  <c r="AO158" i="83"/>
  <c r="AO28" i="71" s="1"/>
  <c r="AO133" i="71" s="1"/>
  <c r="AO188" i="83"/>
  <c r="AO59" i="71" s="1"/>
  <c r="AO164" i="71" s="1"/>
  <c r="AO216" i="83"/>
  <c r="AO88" i="71" s="1"/>
  <c r="AO193" i="71" s="1"/>
  <c r="AL184" i="83"/>
  <c r="AL55" i="71" s="1"/>
  <c r="AL160" i="71" s="1"/>
  <c r="AL215" i="83"/>
  <c r="AL87" i="71" s="1"/>
  <c r="AL192" i="71" s="1"/>
  <c r="AL189" i="83"/>
  <c r="AL60" i="71" s="1"/>
  <c r="AL165" i="71" s="1"/>
  <c r="AG186" i="83"/>
  <c r="AG57" i="71" s="1"/>
  <c r="AG162" i="71" s="1"/>
  <c r="AD190" i="83"/>
  <c r="W187" i="83"/>
  <c r="W58" i="71" s="1"/>
  <c r="W163" i="71" s="1"/>
  <c r="W218" i="83"/>
  <c r="W90" i="71" s="1"/>
  <c r="W195" i="71" s="1"/>
  <c r="AL158" i="83"/>
  <c r="AL28" i="71" s="1"/>
  <c r="AL133" i="71" s="1"/>
  <c r="AD187" i="83"/>
  <c r="AD213" i="83"/>
  <c r="AD85" i="71" s="1"/>
  <c r="AD190" i="71" s="1"/>
  <c r="AD159" i="83"/>
  <c r="AD29" i="71" s="1"/>
  <c r="AD134" i="71" s="1"/>
  <c r="W214" i="83"/>
  <c r="W86" i="71" s="1"/>
  <c r="W191" i="71" s="1"/>
  <c r="W190" i="83"/>
  <c r="W61" i="71" s="1"/>
  <c r="W166" i="71" s="1"/>
  <c r="W154" i="83"/>
  <c r="W24" i="71" s="1"/>
  <c r="W129" i="71" s="1"/>
  <c r="W211" i="83"/>
  <c r="AO152" i="83"/>
  <c r="AO159" i="83"/>
  <c r="AO29" i="71" s="1"/>
  <c r="AO134" i="71" s="1"/>
  <c r="AO189" i="83"/>
  <c r="AO60" i="71" s="1"/>
  <c r="AO165" i="71" s="1"/>
  <c r="AO217" i="83"/>
  <c r="AO89" i="71" s="1"/>
  <c r="AO194" i="71" s="1"/>
  <c r="AG182" i="83"/>
  <c r="AD218" i="83"/>
  <c r="AD186" i="83"/>
  <c r="AD57" i="71" s="1"/>
  <c r="AD162" i="71" s="1"/>
  <c r="W155" i="83"/>
  <c r="W25" i="71" s="1"/>
  <c r="W130" i="71" s="1"/>
  <c r="W216" i="83"/>
  <c r="W88" i="71" s="1"/>
  <c r="W193" i="71" s="1"/>
  <c r="AG157" i="83"/>
  <c r="AG27" i="71" s="1"/>
  <c r="AG132" i="71" s="1"/>
  <c r="AG187" i="83"/>
  <c r="AG58" i="71" s="1"/>
  <c r="AG163" i="71" s="1"/>
  <c r="AG215" i="83"/>
  <c r="AG87" i="71" s="1"/>
  <c r="AG192" i="71" s="1"/>
  <c r="AD158" i="83"/>
  <c r="AD183" i="83"/>
  <c r="AD185" i="83"/>
  <c r="W153" i="83"/>
  <c r="W156" i="83"/>
  <c r="W26" i="71" s="1"/>
  <c r="W131" i="71" s="1"/>
  <c r="W161" i="83"/>
  <c r="W31" i="71" s="1"/>
  <c r="W136" i="71" s="1"/>
  <c r="AH181" i="83"/>
  <c r="AH52" i="71" s="1"/>
  <c r="AH157" i="71" s="1"/>
  <c r="AD219" i="83"/>
  <c r="AD91" i="71" s="1"/>
  <c r="AD196" i="71" s="1"/>
  <c r="AD160" i="83"/>
  <c r="AD217" i="83"/>
  <c r="W212" i="83"/>
  <c r="W84" i="71" s="1"/>
  <c r="W189" i="71" s="1"/>
  <c r="W217" i="83"/>
  <c r="W89" i="71" s="1"/>
  <c r="W194" i="71" s="1"/>
  <c r="W186" i="83"/>
  <c r="W57" i="71" s="1"/>
  <c r="W162" i="71" s="1"/>
  <c r="W184" i="83"/>
  <c r="W55" i="71" s="1"/>
  <c r="W160" i="71" s="1"/>
  <c r="AL185" i="83"/>
  <c r="AL56" i="71" s="1"/>
  <c r="AL161" i="71" s="1"/>
  <c r="AL216" i="83"/>
  <c r="AL88" i="71" s="1"/>
  <c r="AL193" i="71" s="1"/>
  <c r="AL182" i="83"/>
  <c r="AG155" i="83"/>
  <c r="AG25" i="71" s="1"/>
  <c r="AG130" i="71" s="1"/>
  <c r="AG185" i="83"/>
  <c r="AG56" i="71" s="1"/>
  <c r="AG161" i="71" s="1"/>
  <c r="AG213" i="83"/>
  <c r="AG85" i="71" s="1"/>
  <c r="AG190" i="71" s="1"/>
  <c r="AD182" i="83"/>
  <c r="W210" i="83"/>
  <c r="AL161" i="83"/>
  <c r="AL31" i="71" s="1"/>
  <c r="AL136" i="71" s="1"/>
  <c r="AL154" i="83"/>
  <c r="AL24" i="71" s="1"/>
  <c r="AL129" i="71" s="1"/>
  <c r="AL160" i="83"/>
  <c r="AL30" i="71" s="1"/>
  <c r="AL135" i="71" s="1"/>
  <c r="AL159" i="83"/>
  <c r="AL29" i="71" s="1"/>
  <c r="AL134" i="71" s="1"/>
  <c r="AF153" i="83"/>
  <c r="AG181" i="83"/>
  <c r="AG189" i="83"/>
  <c r="AG60" i="71" s="1"/>
  <c r="AG165" i="71" s="1"/>
  <c r="AD211" i="83"/>
  <c r="AO156" i="83"/>
  <c r="AO26" i="71" s="1"/>
  <c r="AO131" i="71" s="1"/>
  <c r="AO186" i="83"/>
  <c r="AO57" i="71" s="1"/>
  <c r="AO162" i="71" s="1"/>
  <c r="AO214" i="83"/>
  <c r="AO86" i="71" s="1"/>
  <c r="AO191" i="71" s="1"/>
  <c r="AL183" i="83"/>
  <c r="AL54" i="71" s="1"/>
  <c r="AL159" i="71" s="1"/>
  <c r="AL212" i="83"/>
  <c r="AL84" i="71" s="1"/>
  <c r="AL189" i="71" s="1"/>
  <c r="AL217" i="83"/>
  <c r="AL89" i="71" s="1"/>
  <c r="AL194" i="71" s="1"/>
  <c r="AL187" i="83"/>
  <c r="AL58" i="71" s="1"/>
  <c r="AL163" i="71" s="1"/>
  <c r="AG211" i="83"/>
  <c r="W152" i="83"/>
  <c r="W182" i="83"/>
  <c r="AO157" i="83"/>
  <c r="AO27" i="71" s="1"/>
  <c r="AO132" i="71" s="1"/>
  <c r="AO187" i="83"/>
  <c r="AO58" i="71" s="1"/>
  <c r="AO163" i="71" s="1"/>
  <c r="AO215" i="83"/>
  <c r="AO87" i="71" s="1"/>
  <c r="AO192" i="71" s="1"/>
  <c r="AG154" i="83"/>
  <c r="AG24" i="71" s="1"/>
  <c r="AG129" i="71" s="1"/>
  <c r="AG184" i="83"/>
  <c r="AG55" i="71" s="1"/>
  <c r="AG160" i="71" s="1"/>
  <c r="AG212" i="83"/>
  <c r="AG84" i="71" s="1"/>
  <c r="AG189" i="71" s="1"/>
  <c r="AD153" i="83"/>
  <c r="AO154" i="83"/>
  <c r="AO24" i="71" s="1"/>
  <c r="AO129" i="71" s="1"/>
  <c r="AO184" i="83"/>
  <c r="AO55" i="71" s="1"/>
  <c r="AO160" i="71" s="1"/>
  <c r="AO212" i="83"/>
  <c r="AO84" i="71" s="1"/>
  <c r="AO189" i="71" s="1"/>
  <c r="V186" i="83"/>
  <c r="V57" i="71" s="1"/>
  <c r="V162" i="71" s="1"/>
  <c r="AL214" i="83"/>
  <c r="AL86" i="71" s="1"/>
  <c r="AL191" i="71" s="1"/>
  <c r="AL188" i="83"/>
  <c r="AL59" i="71" s="1"/>
  <c r="AL164" i="71" s="1"/>
  <c r="AL190" i="83"/>
  <c r="AL61" i="71" s="1"/>
  <c r="AL166" i="71" s="1"/>
  <c r="AG156" i="83"/>
  <c r="AG26" i="71" s="1"/>
  <c r="AG131" i="71" s="1"/>
  <c r="AG214" i="83"/>
  <c r="AG86" i="71" s="1"/>
  <c r="AG191" i="71" s="1"/>
  <c r="AD157" i="83"/>
  <c r="W185" i="83"/>
  <c r="W56" i="71" s="1"/>
  <c r="W161" i="71" s="1"/>
  <c r="AL153" i="83"/>
  <c r="AL181" i="83"/>
  <c r="AG153" i="83"/>
  <c r="AD181" i="83"/>
  <c r="AD215" i="83"/>
  <c r="AD155" i="83"/>
  <c r="AD188" i="83"/>
  <c r="W158" i="83"/>
  <c r="W28" i="71" s="1"/>
  <c r="W133" i="71" s="1"/>
  <c r="W219" i="83"/>
  <c r="W91" i="71" s="1"/>
  <c r="W196" i="71" s="1"/>
  <c r="W215" i="83"/>
  <c r="W87" i="71" s="1"/>
  <c r="W192" i="71" s="1"/>
  <c r="AO155" i="83"/>
  <c r="AO25" i="71" s="1"/>
  <c r="AO130" i="71" s="1"/>
  <c r="AO185" i="83"/>
  <c r="AO56" i="71" s="1"/>
  <c r="AO161" i="71" s="1"/>
  <c r="AO213" i="83"/>
  <c r="AO85" i="71" s="1"/>
  <c r="AO190" i="71" s="1"/>
  <c r="AF152" i="83"/>
  <c r="AD210" i="83"/>
  <c r="AD82" i="71" s="1"/>
  <c r="AD187" i="71" s="1"/>
  <c r="AD154" i="83"/>
  <c r="AD214" i="83"/>
  <c r="W213" i="83"/>
  <c r="W85" i="71" s="1"/>
  <c r="W190" i="71" s="1"/>
  <c r="AO182" i="83"/>
  <c r="AL211" i="83"/>
  <c r="AG210" i="83"/>
  <c r="AG82" i="71" s="1"/>
  <c r="AG187" i="71" s="1"/>
  <c r="AG183" i="83"/>
  <c r="AG54" i="71" s="1"/>
  <c r="AG159" i="71" s="1"/>
  <c r="AG188" i="83"/>
  <c r="AG59" i="71" s="1"/>
  <c r="AG164" i="71" s="1"/>
  <c r="AG219" i="83"/>
  <c r="AG91" i="71" s="1"/>
  <c r="AG196" i="71" s="1"/>
  <c r="AD189" i="83"/>
  <c r="AD60" i="71" s="1"/>
  <c r="AD165" i="71" s="1"/>
  <c r="AD184" i="83"/>
  <c r="AD55" i="71" s="1"/>
  <c r="AD160" i="71" s="1"/>
  <c r="AD161" i="83"/>
  <c r="AD31" i="71" s="1"/>
  <c r="AD136" i="71" s="1"/>
  <c r="W181" i="83"/>
  <c r="W189" i="83"/>
  <c r="W60" i="71" s="1"/>
  <c r="W165" i="71" s="1"/>
  <c r="W188" i="83"/>
  <c r="W59" i="71" s="1"/>
  <c r="W164" i="71" s="1"/>
  <c r="AO211" i="83"/>
  <c r="AD152" i="83"/>
  <c r="AD156" i="83"/>
  <c r="AD212" i="83"/>
  <c r="AD216" i="83"/>
  <c r="W160" i="83"/>
  <c r="W30" i="71" s="1"/>
  <c r="W135" i="71" s="1"/>
  <c r="W157" i="83"/>
  <c r="W27" i="71" s="1"/>
  <c r="W132" i="71" s="1"/>
  <c r="W159" i="83"/>
  <c r="W29" i="71" s="1"/>
  <c r="W134" i="71" s="1"/>
  <c r="AL152" i="83"/>
  <c r="AL218" i="83"/>
  <c r="AL90" i="71" s="1"/>
  <c r="AL195" i="71" s="1"/>
  <c r="AL155" i="83"/>
  <c r="AL25" i="71" s="1"/>
  <c r="AL130" i="71" s="1"/>
  <c r="AG152" i="83"/>
  <c r="AG159" i="83"/>
  <c r="AG29" i="71" s="1"/>
  <c r="AG134" i="71" s="1"/>
  <c r="AG190" i="83"/>
  <c r="AG61" i="71" s="1"/>
  <c r="AG166" i="71" s="1"/>
  <c r="AG218" i="83"/>
  <c r="AG90" i="71" s="1"/>
  <c r="AG195" i="71" s="1"/>
  <c r="AO153" i="83"/>
  <c r="AL186" i="83"/>
  <c r="AL57" i="71" s="1"/>
  <c r="AL162" i="71" s="1"/>
  <c r="AL213" i="83"/>
  <c r="AL85" i="71" s="1"/>
  <c r="AL190" i="71" s="1"/>
  <c r="AL219" i="83"/>
  <c r="AL91" i="71" s="1"/>
  <c r="AL196" i="71" s="1"/>
  <c r="AG160" i="83"/>
  <c r="AG30" i="71" s="1"/>
  <c r="AG135" i="71" s="1"/>
  <c r="AG217" i="83"/>
  <c r="AG89" i="71" s="1"/>
  <c r="AG194" i="71" s="1"/>
  <c r="AO181" i="83"/>
  <c r="AO160" i="83"/>
  <c r="AO30" i="71" s="1"/>
  <c r="AO135" i="71" s="1"/>
  <c r="AO190" i="83"/>
  <c r="AO61" i="71" s="1"/>
  <c r="AO166" i="71" s="1"/>
  <c r="AO218" i="83"/>
  <c r="AO90" i="71" s="1"/>
  <c r="AO195" i="71" s="1"/>
  <c r="N321" i="53"/>
  <c r="N338" i="53"/>
  <c r="N349" i="53" s="1"/>
  <c r="N345" i="53"/>
  <c r="N356" i="53" s="1"/>
  <c r="N340" i="53"/>
  <c r="N351" i="53" s="1"/>
  <c r="N343" i="53"/>
  <c r="N354" i="53" s="1"/>
  <c r="N344" i="53"/>
  <c r="N355" i="53" s="1"/>
  <c r="N339" i="53"/>
  <c r="N350" i="53" s="1"/>
  <c r="N346" i="53"/>
  <c r="N357" i="53" s="1"/>
  <c r="N342" i="53"/>
  <c r="N353" i="53" s="1"/>
  <c r="N341" i="53"/>
  <c r="N352" i="53" s="1"/>
  <c r="T311" i="53"/>
  <c r="T346" i="53"/>
  <c r="T339" i="53"/>
  <c r="T343" i="53"/>
  <c r="T341" i="53"/>
  <c r="T344" i="53"/>
  <c r="T340" i="53"/>
  <c r="T342" i="53"/>
  <c r="T345" i="53"/>
  <c r="T338" i="53"/>
  <c r="O338" i="53"/>
  <c r="O349" i="53" s="1"/>
  <c r="O339" i="53"/>
  <c r="O350" i="53" s="1"/>
  <c r="O345" i="53"/>
  <c r="O356" i="53" s="1"/>
  <c r="O342" i="53"/>
  <c r="O353" i="53" s="1"/>
  <c r="O346" i="53"/>
  <c r="O357" i="53" s="1"/>
  <c r="O344" i="53"/>
  <c r="O355" i="53" s="1"/>
  <c r="O341" i="53"/>
  <c r="O352" i="53" s="1"/>
  <c r="O340" i="53"/>
  <c r="O351" i="53" s="1"/>
  <c r="O343" i="53"/>
  <c r="O354" i="53" s="1"/>
  <c r="AH75" i="80"/>
  <c r="AH87" i="80" s="1"/>
  <c r="AH89" i="83"/>
  <c r="AH96" i="80"/>
  <c r="AH108" i="80" s="1"/>
  <c r="AH101" i="80"/>
  <c r="AH99" i="80"/>
  <c r="AH111" i="80" s="1"/>
  <c r="V101" i="83"/>
  <c r="V71" i="80"/>
  <c r="V83" i="80" s="1"/>
  <c r="V96" i="83"/>
  <c r="V93" i="80"/>
  <c r="V105" i="80" s="1"/>
  <c r="V81" i="83"/>
  <c r="V110" i="83"/>
  <c r="V76" i="80"/>
  <c r="V88" i="80" s="1"/>
  <c r="AF98" i="83"/>
  <c r="AH76" i="80"/>
  <c r="AH88" i="80" s="1"/>
  <c r="V89" i="83"/>
  <c r="V75" i="80"/>
  <c r="V87" i="80" s="1"/>
  <c r="V99" i="80"/>
  <c r="V111" i="80" s="1"/>
  <c r="V97" i="83"/>
  <c r="V106" i="83"/>
  <c r="AH90" i="83"/>
  <c r="AH99" i="83"/>
  <c r="AH101" i="83"/>
  <c r="AH108" i="83"/>
  <c r="AH98" i="83"/>
  <c r="V99" i="83"/>
  <c r="V112" i="83"/>
  <c r="V95" i="83"/>
  <c r="V102" i="83"/>
  <c r="V123" i="80"/>
  <c r="V135" i="80" s="1"/>
  <c r="AH113" i="83"/>
  <c r="AH96" i="83"/>
  <c r="AH120" i="80"/>
  <c r="AH132" i="80" s="1"/>
  <c r="AH83" i="83"/>
  <c r="V119" i="80"/>
  <c r="V131" i="80" s="1"/>
  <c r="AH82" i="83"/>
  <c r="AH119" i="80"/>
  <c r="AH131" i="80" s="1"/>
  <c r="AH72" i="80"/>
  <c r="AH84" i="80" s="1"/>
  <c r="AH112" i="83"/>
  <c r="AH124" i="80"/>
  <c r="AH136" i="80" s="1"/>
  <c r="V124" i="80"/>
  <c r="V136" i="80" s="1"/>
  <c r="V73" i="80"/>
  <c r="V85" i="80" s="1"/>
  <c r="V118" i="80"/>
  <c r="V130" i="80" s="1"/>
  <c r="V90" i="83"/>
  <c r="V107" i="83"/>
  <c r="V121" i="80"/>
  <c r="V133" i="80" s="1"/>
  <c r="V84" i="83"/>
  <c r="S253" i="83"/>
  <c r="S263" i="83" s="1"/>
  <c r="S268" i="83" s="1"/>
  <c r="S254" i="83"/>
  <c r="S264" i="83" s="1"/>
  <c r="S269" i="83" s="1"/>
  <c r="AG111" i="80"/>
  <c r="AG148" i="80" s="1"/>
  <c r="AG174" i="80" s="1"/>
  <c r="W111" i="80"/>
  <c r="W148" i="80" s="1"/>
  <c r="W174" i="80" s="1"/>
  <c r="AO107" i="80"/>
  <c r="AO144" i="80" s="1"/>
  <c r="AO170" i="80" s="1"/>
  <c r="AD113" i="80"/>
  <c r="AD150" i="80" s="1"/>
  <c r="W110" i="80"/>
  <c r="W147" i="80" s="1"/>
  <c r="W173" i="80" s="1"/>
  <c r="AO113" i="80"/>
  <c r="AO150" i="80" s="1"/>
  <c r="W106" i="80"/>
  <c r="W143" i="80" s="1"/>
  <c r="W169" i="80" s="1"/>
  <c r="AO106" i="80"/>
  <c r="AO143" i="80" s="1"/>
  <c r="AO169" i="80" s="1"/>
  <c r="AL108" i="80"/>
  <c r="AL145" i="80" s="1"/>
  <c r="AL171" i="80" s="1"/>
  <c r="AG108" i="80"/>
  <c r="AG145" i="80" s="1"/>
  <c r="AG171" i="80" s="1"/>
  <c r="AD109" i="80"/>
  <c r="AD146" i="80" s="1"/>
  <c r="AD172" i="80" s="1"/>
  <c r="AL106" i="80"/>
  <c r="AL143" i="80" s="1"/>
  <c r="AL169" i="80" s="1"/>
  <c r="AG106" i="80"/>
  <c r="AG143" i="80" s="1"/>
  <c r="AG169" i="80" s="1"/>
  <c r="AD107" i="80"/>
  <c r="AD144" i="80" s="1"/>
  <c r="AD170" i="80" s="1"/>
  <c r="W112" i="80"/>
  <c r="W149" i="80" s="1"/>
  <c r="W175" i="80" s="1"/>
  <c r="AG107" i="80"/>
  <c r="AG144" i="80" s="1"/>
  <c r="AG170" i="80" s="1"/>
  <c r="AL107" i="80"/>
  <c r="AL144" i="80" s="1"/>
  <c r="AL170" i="80" s="1"/>
  <c r="W113" i="80"/>
  <c r="W150" i="80" s="1"/>
  <c r="AL109" i="80"/>
  <c r="AL146" i="80" s="1"/>
  <c r="AL172" i="80" s="1"/>
  <c r="AD106" i="80"/>
  <c r="AD143" i="80" s="1"/>
  <c r="AD169" i="80" s="1"/>
  <c r="AD108" i="80"/>
  <c r="AD145" i="80" s="1"/>
  <c r="AD171" i="80" s="1"/>
  <c r="AO111" i="80"/>
  <c r="AO148" i="80" s="1"/>
  <c r="AO174" i="80" s="1"/>
  <c r="AL111" i="80"/>
  <c r="AL148" i="80" s="1"/>
  <c r="AL174" i="80" s="1"/>
  <c r="AL113" i="80"/>
  <c r="AL150" i="80" s="1"/>
  <c r="W108" i="80"/>
  <c r="W145" i="80" s="1"/>
  <c r="W171" i="80" s="1"/>
  <c r="AD111" i="80"/>
  <c r="AD148" i="80" s="1"/>
  <c r="AD174" i="80" s="1"/>
  <c r="AO108" i="80"/>
  <c r="AO145" i="80" s="1"/>
  <c r="AO171" i="80" s="1"/>
  <c r="AG112" i="80"/>
  <c r="AG149" i="80" s="1"/>
  <c r="AG175" i="80" s="1"/>
  <c r="AO109" i="80"/>
  <c r="AO146" i="80" s="1"/>
  <c r="AO172" i="80" s="1"/>
  <c r="AD112" i="80"/>
  <c r="AD149" i="80" s="1"/>
  <c r="AD175" i="80" s="1"/>
  <c r="V109" i="80"/>
  <c r="AL112" i="80"/>
  <c r="AL149" i="80" s="1"/>
  <c r="AL175" i="80" s="1"/>
  <c r="AG109" i="80"/>
  <c r="AG146" i="80" s="1"/>
  <c r="AG172" i="80" s="1"/>
  <c r="AD110" i="80"/>
  <c r="AD147" i="80" s="1"/>
  <c r="AD173" i="80" s="1"/>
  <c r="AO112" i="80"/>
  <c r="AO149" i="80" s="1"/>
  <c r="AO175" i="80" s="1"/>
  <c r="AG110" i="80"/>
  <c r="AG147" i="80" s="1"/>
  <c r="AG173" i="80" s="1"/>
  <c r="AL110" i="80"/>
  <c r="AL147" i="80" s="1"/>
  <c r="AL173" i="80" s="1"/>
  <c r="AO110" i="80"/>
  <c r="AO147" i="80" s="1"/>
  <c r="AO173" i="80" s="1"/>
  <c r="W109" i="80"/>
  <c r="W146" i="80" s="1"/>
  <c r="W172" i="80" s="1"/>
  <c r="W107" i="80"/>
  <c r="W144" i="80" s="1"/>
  <c r="W170" i="80" s="1"/>
  <c r="AG113" i="80"/>
  <c r="AG150" i="80" s="1"/>
  <c r="T307" i="53"/>
  <c r="AH95" i="83"/>
  <c r="V86" i="83"/>
  <c r="U305" i="53"/>
  <c r="U521" i="53" s="1"/>
  <c r="V74" i="80"/>
  <c r="V86" i="80" s="1"/>
  <c r="U311" i="53"/>
  <c r="U527" i="53" s="1"/>
  <c r="U304" i="53"/>
  <c r="U520" i="53" s="1"/>
  <c r="U322" i="53"/>
  <c r="U538" i="53" s="1"/>
  <c r="U321" i="53"/>
  <c r="U537" i="53" s="1"/>
  <c r="U299" i="53"/>
  <c r="U515" i="53" s="1"/>
  <c r="U301" i="53"/>
  <c r="U517" i="53" s="1"/>
  <c r="U318" i="53"/>
  <c r="U534" i="53" s="1"/>
  <c r="U323" i="53"/>
  <c r="U539" i="53" s="1"/>
  <c r="AH111" i="83"/>
  <c r="AH85" i="83"/>
  <c r="U310" i="53"/>
  <c r="U526" i="53" s="1"/>
  <c r="U298" i="53"/>
  <c r="U514" i="53" s="1"/>
  <c r="U309" i="53"/>
  <c r="U525" i="53" s="1"/>
  <c r="AH86" i="83"/>
  <c r="U74" i="80"/>
  <c r="U86" i="80" s="1"/>
  <c r="M120" i="53"/>
  <c r="M122" i="53" s="1"/>
  <c r="L120" i="53"/>
  <c r="L122" i="53" s="1"/>
  <c r="U300" i="53"/>
  <c r="U516" i="53" s="1"/>
  <c r="U294" i="53"/>
  <c r="U510" i="53" s="1"/>
  <c r="K120" i="53"/>
  <c r="K122" i="53" s="1"/>
  <c r="S120" i="53"/>
  <c r="S122" i="53" s="1"/>
  <c r="U296" i="53"/>
  <c r="U512" i="53" s="1"/>
  <c r="U315" i="53"/>
  <c r="U531" i="53" s="1"/>
  <c r="U320" i="53"/>
  <c r="U536" i="53" s="1"/>
  <c r="U295" i="53"/>
  <c r="U511" i="53" s="1"/>
  <c r="U312" i="53"/>
  <c r="U528" i="53" s="1"/>
  <c r="U319" i="53"/>
  <c r="U535" i="53" s="1"/>
  <c r="U316" i="53"/>
  <c r="U532" i="53" s="1"/>
  <c r="U307" i="53"/>
  <c r="U523" i="53" s="1"/>
  <c r="U293" i="53"/>
  <c r="U509" i="53" s="1"/>
  <c r="U308" i="53"/>
  <c r="U524" i="53" s="1"/>
  <c r="U306" i="53"/>
  <c r="U522" i="53" s="1"/>
  <c r="U317" i="53"/>
  <c r="U533" i="53" s="1"/>
  <c r="U86" i="83"/>
  <c r="AH74" i="80"/>
  <c r="AH86" i="80" s="1"/>
  <c r="AH117" i="80"/>
  <c r="AH129" i="80" s="1"/>
  <c r="AH70" i="80"/>
  <c r="AH82" i="80" s="1"/>
  <c r="AH107" i="83"/>
  <c r="AH106" i="83"/>
  <c r="AH105" i="83"/>
  <c r="AH116" i="80"/>
  <c r="AH128" i="80" s="1"/>
  <c r="N309" i="53"/>
  <c r="N306" i="53"/>
  <c r="N298" i="53"/>
  <c r="N320" i="53"/>
  <c r="N295" i="53"/>
  <c r="N317" i="53"/>
  <c r="AH121" i="80"/>
  <c r="AH133" i="80" s="1"/>
  <c r="AH73" i="80"/>
  <c r="AH85" i="80" s="1"/>
  <c r="AH94" i="80"/>
  <c r="N293" i="53"/>
  <c r="N294" i="53"/>
  <c r="N305" i="53"/>
  <c r="N316" i="53"/>
  <c r="N299" i="53"/>
  <c r="N310" i="53"/>
  <c r="T316" i="53"/>
  <c r="T318" i="53"/>
  <c r="T301" i="53"/>
  <c r="T293" i="53"/>
  <c r="AF112" i="83"/>
  <c r="AF111" i="83"/>
  <c r="AF87" i="83"/>
  <c r="AF124" i="80"/>
  <c r="AF136" i="80" s="1"/>
  <c r="AF101" i="83"/>
  <c r="AF96" i="83"/>
  <c r="AF110" i="83"/>
  <c r="AF107" i="83"/>
  <c r="AF98" i="80"/>
  <c r="AF78" i="80"/>
  <c r="AF90" i="80" s="1"/>
  <c r="AF113" i="83"/>
  <c r="AF109" i="83"/>
  <c r="AF85" i="83"/>
  <c r="AF106" i="83"/>
  <c r="AF86" i="83"/>
  <c r="AF100" i="83"/>
  <c r="AF94" i="80"/>
  <c r="O315" i="53"/>
  <c r="T323" i="53"/>
  <c r="T315" i="53"/>
  <c r="T297" i="53"/>
  <c r="T317" i="53"/>
  <c r="T295" i="53"/>
  <c r="T310" i="53"/>
  <c r="T306" i="53"/>
  <c r="N301" i="53"/>
  <c r="N297" i="53"/>
  <c r="N311" i="53"/>
  <c r="N308" i="53"/>
  <c r="N323" i="53"/>
  <c r="N319" i="53"/>
  <c r="N304" i="53"/>
  <c r="T321" i="53"/>
  <c r="T322" i="53"/>
  <c r="T299" i="53"/>
  <c r="T296" i="53"/>
  <c r="T319" i="53"/>
  <c r="T309" i="53"/>
  <c r="T294" i="53"/>
  <c r="N300" i="53"/>
  <c r="N296" i="53"/>
  <c r="N312" i="53"/>
  <c r="N307" i="53"/>
  <c r="N322" i="53"/>
  <c r="N318" i="53"/>
  <c r="N315" i="53"/>
  <c r="T300" i="53"/>
  <c r="T305" i="53"/>
  <c r="T298" i="53"/>
  <c r="T320" i="53"/>
  <c r="T312" i="53"/>
  <c r="T308" i="53"/>
  <c r="T304" i="53"/>
  <c r="O300" i="53"/>
  <c r="O321" i="53"/>
  <c r="O297" i="53"/>
  <c r="O317" i="53"/>
  <c r="O309" i="53"/>
  <c r="O304" i="53"/>
  <c r="O305" i="53"/>
  <c r="O296" i="53"/>
  <c r="O295" i="53"/>
  <c r="O308" i="53"/>
  <c r="O311" i="53"/>
  <c r="O320" i="53"/>
  <c r="O316" i="53"/>
  <c r="O294" i="53"/>
  <c r="O301" i="53"/>
  <c r="O293" i="53"/>
  <c r="O307" i="53"/>
  <c r="O323" i="53"/>
  <c r="O319" i="53"/>
  <c r="O312" i="53"/>
  <c r="O298" i="53"/>
  <c r="O299" i="53"/>
  <c r="O310" i="53"/>
  <c r="O306" i="53"/>
  <c r="O322" i="53"/>
  <c r="O318" i="53"/>
  <c r="AL142" i="80"/>
  <c r="AL168" i="80" s="1"/>
  <c r="AO142" i="80"/>
  <c r="AO168" i="80" s="1"/>
  <c r="W142" i="80"/>
  <c r="W168" i="80" s="1"/>
  <c r="AD142" i="80"/>
  <c r="AD168" i="80" s="1"/>
  <c r="AG142" i="80"/>
  <c r="AG168" i="80" s="1"/>
  <c r="S21" i="31"/>
  <c r="S23" i="31" s="1"/>
  <c r="H214" i="80" s="1" a="1"/>
  <c r="AI102" i="83"/>
  <c r="AI101" i="80"/>
  <c r="AI88" i="83"/>
  <c r="AI76" i="80"/>
  <c r="AI88" i="80" s="1"/>
  <c r="R99" i="80"/>
  <c r="R100" i="83"/>
  <c r="R113" i="83"/>
  <c r="R123" i="80"/>
  <c r="R135" i="80" s="1"/>
  <c r="R109" i="83"/>
  <c r="R119" i="80"/>
  <c r="R131" i="80" s="1"/>
  <c r="AN109" i="83"/>
  <c r="AN119" i="80"/>
  <c r="AN131" i="80" s="1"/>
  <c r="AN97" i="83"/>
  <c r="AN96" i="80"/>
  <c r="Q85" i="83"/>
  <c r="Q73" i="80"/>
  <c r="Q85" i="80" s="1"/>
  <c r="Q98" i="83"/>
  <c r="Q97" i="80"/>
  <c r="AK113" i="83"/>
  <c r="AK123" i="80"/>
  <c r="AK135" i="80" s="1"/>
  <c r="AK101" i="83"/>
  <c r="AK100" i="80"/>
  <c r="AK85" i="83"/>
  <c r="AK73" i="80"/>
  <c r="AK85" i="80" s="1"/>
  <c r="P72" i="80"/>
  <c r="P84" i="80" s="1"/>
  <c r="P84" i="83"/>
  <c r="P82" i="83"/>
  <c r="P70" i="80"/>
  <c r="P82" i="80" s="1"/>
  <c r="P81" i="83"/>
  <c r="P111" i="83"/>
  <c r="P121" i="80"/>
  <c r="P133" i="80" s="1"/>
  <c r="AJ86" i="83"/>
  <c r="AJ74" i="80"/>
  <c r="AJ86" i="80" s="1"/>
  <c r="AJ89" i="83"/>
  <c r="AJ77" i="80"/>
  <c r="AJ89" i="80" s="1"/>
  <c r="AJ110" i="83"/>
  <c r="AJ120" i="80"/>
  <c r="AJ132" i="80" s="1"/>
  <c r="AJ105" i="83"/>
  <c r="AJ106" i="83"/>
  <c r="AJ116" i="80"/>
  <c r="AJ128" i="80" s="1"/>
  <c r="AC95" i="83"/>
  <c r="AC94" i="80"/>
  <c r="AC96" i="83"/>
  <c r="AC95" i="80"/>
  <c r="AC90" i="83"/>
  <c r="AC78" i="80"/>
  <c r="AC90" i="80" s="1"/>
  <c r="AC81" i="83"/>
  <c r="AC82" i="83"/>
  <c r="AC70" i="80"/>
  <c r="AC82" i="80" s="1"/>
  <c r="AI84" i="83"/>
  <c r="AI72" i="80"/>
  <c r="AI84" i="80" s="1"/>
  <c r="AI98" i="83"/>
  <c r="AI97" i="80"/>
  <c r="AI110" i="83"/>
  <c r="AI120" i="80"/>
  <c r="AI132" i="80" s="1"/>
  <c r="R81" i="83"/>
  <c r="R70" i="80"/>
  <c r="R82" i="80" s="1"/>
  <c r="R82" i="83"/>
  <c r="R95" i="80"/>
  <c r="R96" i="83"/>
  <c r="R87" i="83"/>
  <c r="R75" i="80"/>
  <c r="R87" i="80" s="1"/>
  <c r="R111" i="83"/>
  <c r="R121" i="80"/>
  <c r="R133" i="80" s="1"/>
  <c r="AN108" i="83"/>
  <c r="AN118" i="80"/>
  <c r="AN130" i="80" s="1"/>
  <c r="AN96" i="83"/>
  <c r="AN95" i="80"/>
  <c r="AN112" i="83"/>
  <c r="AN122" i="80"/>
  <c r="AN134" i="80" s="1"/>
  <c r="AN93" i="83"/>
  <c r="AN94" i="83"/>
  <c r="AN93" i="80"/>
  <c r="AN105" i="80" s="1"/>
  <c r="Q76" i="80"/>
  <c r="Q88" i="80" s="1"/>
  <c r="Q88" i="83"/>
  <c r="Q101" i="80"/>
  <c r="Q102" i="83"/>
  <c r="Q110" i="83"/>
  <c r="Q120" i="80"/>
  <c r="Q132" i="80" s="1"/>
  <c r="Q105" i="83"/>
  <c r="Q106" i="83"/>
  <c r="Q116" i="80"/>
  <c r="Q128" i="80" s="1"/>
  <c r="AK107" i="83"/>
  <c r="AK117" i="80"/>
  <c r="AK129" i="80" s="1"/>
  <c r="AK95" i="83"/>
  <c r="AK94" i="80"/>
  <c r="AK87" i="83"/>
  <c r="AK75" i="80"/>
  <c r="AK87" i="80" s="1"/>
  <c r="AK83" i="83"/>
  <c r="AK71" i="80"/>
  <c r="AK83" i="80" s="1"/>
  <c r="P74" i="80"/>
  <c r="P86" i="80" s="1"/>
  <c r="P86" i="83"/>
  <c r="P100" i="83"/>
  <c r="P99" i="80"/>
  <c r="P113" i="83"/>
  <c r="P123" i="80"/>
  <c r="P135" i="80" s="1"/>
  <c r="P105" i="83"/>
  <c r="P106" i="83"/>
  <c r="P116" i="80"/>
  <c r="P128" i="80" s="1"/>
  <c r="AJ112" i="83"/>
  <c r="AJ122" i="80"/>
  <c r="AJ134" i="80" s="1"/>
  <c r="AJ97" i="83"/>
  <c r="AJ96" i="80"/>
  <c r="AJ102" i="83"/>
  <c r="AJ101" i="80"/>
  <c r="AC85" i="83"/>
  <c r="AC73" i="80"/>
  <c r="AC85" i="80" s="1"/>
  <c r="AC114" i="83"/>
  <c r="AC124" i="80"/>
  <c r="AC136" i="80" s="1"/>
  <c r="AC102" i="83"/>
  <c r="AC101" i="80"/>
  <c r="AC105" i="83"/>
  <c r="AC106" i="83"/>
  <c r="AC116" i="80"/>
  <c r="AC128" i="80" s="1"/>
  <c r="AP102" i="83"/>
  <c r="AP101" i="80"/>
  <c r="AP99" i="83"/>
  <c r="AP98" i="80"/>
  <c r="AP86" i="83"/>
  <c r="AP74" i="80"/>
  <c r="AP86" i="80" s="1"/>
  <c r="AI85" i="83"/>
  <c r="AI73" i="80"/>
  <c r="AI85" i="80" s="1"/>
  <c r="AI86" i="83"/>
  <c r="AI74" i="80"/>
  <c r="AI86" i="80" s="1"/>
  <c r="AI90" i="83"/>
  <c r="AI78" i="80"/>
  <c r="AI90" i="80" s="1"/>
  <c r="AI97" i="83"/>
  <c r="AI96" i="80"/>
  <c r="AI108" i="83"/>
  <c r="AI118" i="80"/>
  <c r="AI130" i="80" s="1"/>
  <c r="AI114" i="83"/>
  <c r="AI124" i="80"/>
  <c r="AI136" i="80" s="1"/>
  <c r="AI93" i="83"/>
  <c r="AI93" i="80"/>
  <c r="AI105" i="80" s="1"/>
  <c r="AI94" i="83"/>
  <c r="R100" i="80"/>
  <c r="R101" i="83"/>
  <c r="R102" i="83"/>
  <c r="R101" i="80"/>
  <c r="R90" i="83"/>
  <c r="R78" i="80"/>
  <c r="R90" i="80" s="1"/>
  <c r="R74" i="80"/>
  <c r="R86" i="80" s="1"/>
  <c r="R86" i="83"/>
  <c r="R114" i="83"/>
  <c r="R124" i="80"/>
  <c r="R136" i="80" s="1"/>
  <c r="R110" i="83"/>
  <c r="R120" i="80"/>
  <c r="R132" i="80" s="1"/>
  <c r="R105" i="83"/>
  <c r="R106" i="83"/>
  <c r="R116" i="80"/>
  <c r="R128" i="80" s="1"/>
  <c r="AN101" i="83"/>
  <c r="AN100" i="80"/>
  <c r="AN90" i="83"/>
  <c r="AN78" i="80"/>
  <c r="AN90" i="80" s="1"/>
  <c r="AN87" i="83"/>
  <c r="AN75" i="80"/>
  <c r="AN87" i="80" s="1"/>
  <c r="AN102" i="83"/>
  <c r="AN101" i="80"/>
  <c r="AN114" i="83"/>
  <c r="AN124" i="80"/>
  <c r="AN136" i="80" s="1"/>
  <c r="AN99" i="83"/>
  <c r="AN98" i="80"/>
  <c r="AN81" i="83"/>
  <c r="AN82" i="83"/>
  <c r="AN70" i="80"/>
  <c r="AN82" i="80" s="1"/>
  <c r="Q90" i="83"/>
  <c r="Q78" i="80"/>
  <c r="Q90" i="80" s="1"/>
  <c r="Q89" i="83"/>
  <c r="Q77" i="80"/>
  <c r="Q89" i="80" s="1"/>
  <c r="Q96" i="80"/>
  <c r="Q97" i="83"/>
  <c r="Q100" i="83"/>
  <c r="Q99" i="80"/>
  <c r="Q111" i="83"/>
  <c r="Q121" i="80"/>
  <c r="Q133" i="80" s="1"/>
  <c r="Q109" i="83"/>
  <c r="Q119" i="80"/>
  <c r="Q131" i="80" s="1"/>
  <c r="AK114" i="83"/>
  <c r="AK124" i="80"/>
  <c r="AK136" i="80" s="1"/>
  <c r="AK110" i="83"/>
  <c r="AK120" i="80"/>
  <c r="AK132" i="80" s="1"/>
  <c r="AK102" i="83"/>
  <c r="AK101" i="80"/>
  <c r="AK98" i="83"/>
  <c r="AK97" i="80"/>
  <c r="AK90" i="83"/>
  <c r="AK78" i="80"/>
  <c r="AK90" i="80" s="1"/>
  <c r="AK86" i="83"/>
  <c r="AK74" i="80"/>
  <c r="AK86" i="80" s="1"/>
  <c r="AK93" i="83"/>
  <c r="AK94" i="83"/>
  <c r="AK93" i="80"/>
  <c r="AK105" i="80" s="1"/>
  <c r="P87" i="83"/>
  <c r="P75" i="80"/>
  <c r="P87" i="80" s="1"/>
  <c r="P85" i="83"/>
  <c r="P73" i="80"/>
  <c r="P85" i="80" s="1"/>
  <c r="P99" i="83"/>
  <c r="P98" i="80"/>
  <c r="P95" i="83"/>
  <c r="P94" i="80"/>
  <c r="P112" i="83"/>
  <c r="P122" i="80"/>
  <c r="P134" i="80" s="1"/>
  <c r="P108" i="83"/>
  <c r="P118" i="80"/>
  <c r="P130" i="80" s="1"/>
  <c r="AJ98" i="83"/>
  <c r="AJ97" i="80"/>
  <c r="AJ87" i="83"/>
  <c r="AJ75" i="80"/>
  <c r="AJ87" i="80" s="1"/>
  <c r="AJ88" i="83"/>
  <c r="AJ76" i="80"/>
  <c r="AJ88" i="80" s="1"/>
  <c r="AJ101" i="83"/>
  <c r="AJ100" i="80"/>
  <c r="AJ95" i="83"/>
  <c r="AJ94" i="80"/>
  <c r="AJ114" i="83"/>
  <c r="AJ124" i="80"/>
  <c r="AJ136" i="80" s="1"/>
  <c r="AC84" i="83"/>
  <c r="AC72" i="80"/>
  <c r="AC84" i="80" s="1"/>
  <c r="AC88" i="83"/>
  <c r="AC76" i="80"/>
  <c r="AC88" i="80" s="1"/>
  <c r="AC83" i="83"/>
  <c r="AC71" i="80"/>
  <c r="AC83" i="80" s="1"/>
  <c r="AC109" i="83"/>
  <c r="AC119" i="80"/>
  <c r="AC131" i="80" s="1"/>
  <c r="AC108" i="83"/>
  <c r="AC118" i="80"/>
  <c r="AC130" i="80" s="1"/>
  <c r="AC111" i="83"/>
  <c r="AC121" i="80"/>
  <c r="AC133" i="80" s="1"/>
  <c r="AC93" i="83"/>
  <c r="AC93" i="80"/>
  <c r="AC105" i="80" s="1"/>
  <c r="AC94" i="83"/>
  <c r="AP96" i="83"/>
  <c r="AP95" i="80"/>
  <c r="AP83" i="83"/>
  <c r="AP71" i="80"/>
  <c r="AP83" i="80" s="1"/>
  <c r="AP108" i="83"/>
  <c r="AP118" i="80"/>
  <c r="AP130" i="80" s="1"/>
  <c r="AP107" i="83"/>
  <c r="AP117" i="80"/>
  <c r="AP129" i="80" s="1"/>
  <c r="AP100" i="83"/>
  <c r="AP99" i="80"/>
  <c r="AP89" i="83"/>
  <c r="AP77" i="80"/>
  <c r="AP89" i="80" s="1"/>
  <c r="AP85" i="83"/>
  <c r="AP73" i="80"/>
  <c r="AP85" i="80" s="1"/>
  <c r="AE111" i="83"/>
  <c r="AE121" i="80"/>
  <c r="AE133" i="80" s="1"/>
  <c r="AE109" i="83"/>
  <c r="AE119" i="80"/>
  <c r="AE131" i="80" s="1"/>
  <c r="AE87" i="83"/>
  <c r="AE75" i="80"/>
  <c r="AE87" i="80" s="1"/>
  <c r="AE107" i="83"/>
  <c r="AE117" i="80"/>
  <c r="AE129" i="80" s="1"/>
  <c r="AE113" i="83"/>
  <c r="AE123" i="80"/>
  <c r="AE135" i="80" s="1"/>
  <c r="AE89" i="83"/>
  <c r="AE77" i="80"/>
  <c r="AE89" i="80" s="1"/>
  <c r="AE81" i="83"/>
  <c r="AE82" i="83"/>
  <c r="AE70" i="80"/>
  <c r="AE82" i="80" s="1"/>
  <c r="AM85" i="83"/>
  <c r="AM73" i="80"/>
  <c r="AM85" i="80" s="1"/>
  <c r="AM100" i="83"/>
  <c r="AM99" i="80"/>
  <c r="AM83" i="83"/>
  <c r="AM71" i="80"/>
  <c r="AM83" i="80" s="1"/>
  <c r="AM98" i="83"/>
  <c r="AM97" i="80"/>
  <c r="AM107" i="83"/>
  <c r="AM117" i="80"/>
  <c r="AM129" i="80" s="1"/>
  <c r="AM108" i="83"/>
  <c r="AM118" i="80"/>
  <c r="AM130" i="80" s="1"/>
  <c r="AM93" i="83"/>
  <c r="AM94" i="83"/>
  <c r="AM93" i="80"/>
  <c r="AM105" i="80" s="1"/>
  <c r="AI112" i="83"/>
  <c r="AI122" i="80"/>
  <c r="AI134" i="80" s="1"/>
  <c r="AI105" i="83"/>
  <c r="AI116" i="80"/>
  <c r="AI128" i="80" s="1"/>
  <c r="AI106" i="83"/>
  <c r="R98" i="80"/>
  <c r="R99" i="83"/>
  <c r="R73" i="80"/>
  <c r="R85" i="80" s="1"/>
  <c r="R85" i="83"/>
  <c r="AN86" i="83"/>
  <c r="AN74" i="80"/>
  <c r="AN86" i="80" s="1"/>
  <c r="AN107" i="83"/>
  <c r="AN117" i="80"/>
  <c r="AN129" i="80" s="1"/>
  <c r="Q74" i="80"/>
  <c r="Q86" i="80" s="1"/>
  <c r="Q86" i="83"/>
  <c r="Q114" i="83"/>
  <c r="Q124" i="80"/>
  <c r="Q136" i="80" s="1"/>
  <c r="AK97" i="83"/>
  <c r="AK96" i="80"/>
  <c r="P102" i="83"/>
  <c r="P101" i="80"/>
  <c r="AI107" i="83"/>
  <c r="AI117" i="80"/>
  <c r="AI129" i="80" s="1"/>
  <c r="AP109" i="83"/>
  <c r="AP119" i="80"/>
  <c r="AP131" i="80" s="1"/>
  <c r="AP98" i="83"/>
  <c r="AP97" i="80"/>
  <c r="AP93" i="83"/>
  <c r="AP94" i="83"/>
  <c r="AP93" i="80"/>
  <c r="AP105" i="80" s="1"/>
  <c r="AP81" i="83"/>
  <c r="AP82" i="83"/>
  <c r="AP70" i="80"/>
  <c r="AP82" i="80" s="1"/>
  <c r="AP112" i="83"/>
  <c r="AP122" i="80"/>
  <c r="AP134" i="80" s="1"/>
  <c r="AP88" i="83"/>
  <c r="AP76" i="80"/>
  <c r="AP88" i="80" s="1"/>
  <c r="AP84" i="83"/>
  <c r="AP72" i="80"/>
  <c r="AP84" i="80" s="1"/>
  <c r="AE98" i="83"/>
  <c r="AE97" i="80"/>
  <c r="AE97" i="83"/>
  <c r="AE96" i="80"/>
  <c r="AE110" i="83"/>
  <c r="AE120" i="80"/>
  <c r="AE132" i="80" s="1"/>
  <c r="AE90" i="83"/>
  <c r="AE78" i="80"/>
  <c r="AE90" i="80" s="1"/>
  <c r="AE84" i="83"/>
  <c r="AE72" i="80"/>
  <c r="AE84" i="80" s="1"/>
  <c r="AE102" i="83"/>
  <c r="AE101" i="80"/>
  <c r="AM114" i="83"/>
  <c r="AM124" i="80"/>
  <c r="AM136" i="80" s="1"/>
  <c r="AM112" i="83"/>
  <c r="AM122" i="80"/>
  <c r="AM134" i="80" s="1"/>
  <c r="AM102" i="83"/>
  <c r="AM101" i="80"/>
  <c r="AM84" i="83"/>
  <c r="AM72" i="80"/>
  <c r="AM84" i="80" s="1"/>
  <c r="AM101" i="83"/>
  <c r="AM100" i="80"/>
  <c r="AM89" i="83"/>
  <c r="AM77" i="80"/>
  <c r="AM89" i="80" s="1"/>
  <c r="AM81" i="83"/>
  <c r="AM82" i="83"/>
  <c r="AM70" i="80"/>
  <c r="AM82" i="80" s="1"/>
  <c r="AI95" i="83"/>
  <c r="AI94" i="80"/>
  <c r="AI100" i="83"/>
  <c r="AI99" i="80"/>
  <c r="AI89" i="83"/>
  <c r="AI77" i="80"/>
  <c r="AI89" i="80" s="1"/>
  <c r="AI96" i="83"/>
  <c r="AI95" i="80"/>
  <c r="AI101" i="83"/>
  <c r="AI100" i="80"/>
  <c r="AI87" i="83"/>
  <c r="AI75" i="80"/>
  <c r="AI87" i="80" s="1"/>
  <c r="AI81" i="83"/>
  <c r="AI82" i="83"/>
  <c r="AI70" i="80"/>
  <c r="AI82" i="80" s="1"/>
  <c r="R94" i="83"/>
  <c r="R93" i="83"/>
  <c r="R93" i="80"/>
  <c r="R105" i="80" s="1"/>
  <c r="R96" i="80"/>
  <c r="R97" i="83"/>
  <c r="R97" i="80"/>
  <c r="R98" i="83"/>
  <c r="R76" i="80"/>
  <c r="R88" i="80" s="1"/>
  <c r="R88" i="83"/>
  <c r="R84" i="83"/>
  <c r="R72" i="80"/>
  <c r="R84" i="80" s="1"/>
  <c r="R112" i="83"/>
  <c r="R122" i="80"/>
  <c r="R134" i="80" s="1"/>
  <c r="R108" i="83"/>
  <c r="R118" i="80"/>
  <c r="R130" i="80" s="1"/>
  <c r="AN85" i="83"/>
  <c r="AN73" i="80"/>
  <c r="AN85" i="80" s="1"/>
  <c r="AN88" i="83"/>
  <c r="AN76" i="80"/>
  <c r="AN88" i="80" s="1"/>
  <c r="AN83" i="83"/>
  <c r="AN71" i="80"/>
  <c r="AN83" i="80" s="1"/>
  <c r="AN113" i="83"/>
  <c r="AN123" i="80"/>
  <c r="AN135" i="80" s="1"/>
  <c r="AN100" i="83"/>
  <c r="AN99" i="80"/>
  <c r="AN89" i="83"/>
  <c r="AN77" i="80"/>
  <c r="AN89" i="80" s="1"/>
  <c r="AN105" i="83"/>
  <c r="AN106" i="83"/>
  <c r="AN116" i="80"/>
  <c r="AN128" i="80" s="1"/>
  <c r="Q75" i="80"/>
  <c r="Q87" i="80" s="1"/>
  <c r="Q87" i="83"/>
  <c r="Q81" i="83"/>
  <c r="Q70" i="80"/>
  <c r="Q82" i="80" s="1"/>
  <c r="Q82" i="83"/>
  <c r="Q98" i="80"/>
  <c r="Q99" i="83"/>
  <c r="Q100" i="80"/>
  <c r="Q101" i="83"/>
  <c r="Q95" i="80"/>
  <c r="Q96" i="83"/>
  <c r="Q112" i="83"/>
  <c r="Q122" i="80"/>
  <c r="Q134" i="80" s="1"/>
  <c r="Q107" i="83"/>
  <c r="Q117" i="80"/>
  <c r="Q129" i="80" s="1"/>
  <c r="AK112" i="83"/>
  <c r="AK122" i="80"/>
  <c r="AK134" i="80" s="1"/>
  <c r="AK108" i="83"/>
  <c r="AK118" i="80"/>
  <c r="AK130" i="80" s="1"/>
  <c r="AK100" i="83"/>
  <c r="AK99" i="80"/>
  <c r="AK96" i="83"/>
  <c r="AK95" i="80"/>
  <c r="AK88" i="83"/>
  <c r="AK76" i="80"/>
  <c r="AK88" i="80" s="1"/>
  <c r="AK84" i="83"/>
  <c r="AK72" i="80"/>
  <c r="AK84" i="80" s="1"/>
  <c r="AK81" i="83"/>
  <c r="AK82" i="83"/>
  <c r="AK70" i="80"/>
  <c r="AK82" i="80" s="1"/>
  <c r="P77" i="80"/>
  <c r="P89" i="80" s="1"/>
  <c r="P89" i="83"/>
  <c r="P90" i="83"/>
  <c r="P78" i="80"/>
  <c r="P90" i="80" s="1"/>
  <c r="P101" i="83"/>
  <c r="P100" i="80"/>
  <c r="P97" i="83"/>
  <c r="P96" i="80"/>
  <c r="P114" i="83"/>
  <c r="P124" i="80"/>
  <c r="P136" i="80" s="1"/>
  <c r="P110" i="83"/>
  <c r="P120" i="80"/>
  <c r="P132" i="80" s="1"/>
  <c r="P93" i="83"/>
  <c r="P94" i="83"/>
  <c r="P93" i="80"/>
  <c r="P105" i="80" s="1"/>
  <c r="AJ100" i="83"/>
  <c r="AJ99" i="80"/>
  <c r="AJ99" i="83"/>
  <c r="AJ98" i="80"/>
  <c r="AJ109" i="83"/>
  <c r="AJ119" i="80"/>
  <c r="AJ131" i="80" s="1"/>
  <c r="AJ111" i="83"/>
  <c r="AJ121" i="80"/>
  <c r="AJ133" i="80" s="1"/>
  <c r="AJ83" i="83"/>
  <c r="AJ71" i="80"/>
  <c r="AJ83" i="80" s="1"/>
  <c r="AJ113" i="83"/>
  <c r="AJ123" i="80"/>
  <c r="AJ135" i="80" s="1"/>
  <c r="AJ93" i="83"/>
  <c r="AJ94" i="83"/>
  <c r="AJ93" i="80"/>
  <c r="AJ105" i="80" s="1"/>
  <c r="AC98" i="83"/>
  <c r="AC97" i="80"/>
  <c r="AC97" i="83"/>
  <c r="AC96" i="80"/>
  <c r="AC86" i="83"/>
  <c r="AC74" i="80"/>
  <c r="AC86" i="80" s="1"/>
  <c r="AC89" i="83"/>
  <c r="AC77" i="80"/>
  <c r="AC89" i="80" s="1"/>
  <c r="AC110" i="83"/>
  <c r="AC120" i="80"/>
  <c r="AC132" i="80" s="1"/>
  <c r="AC101" i="83"/>
  <c r="AC100" i="80"/>
  <c r="AP113" i="83"/>
  <c r="AP123" i="80"/>
  <c r="AP135" i="80" s="1"/>
  <c r="AP101" i="83"/>
  <c r="AP100" i="80"/>
  <c r="AP97" i="83"/>
  <c r="AP96" i="80"/>
  <c r="AP95" i="83"/>
  <c r="AP94" i="80"/>
  <c r="AP111" i="83"/>
  <c r="AP121" i="80"/>
  <c r="AP133" i="80" s="1"/>
  <c r="AP87" i="83"/>
  <c r="AP75" i="80"/>
  <c r="AP87" i="80" s="1"/>
  <c r="AE85" i="83"/>
  <c r="AE73" i="80"/>
  <c r="AE85" i="80" s="1"/>
  <c r="AE100" i="83"/>
  <c r="AE99" i="80"/>
  <c r="AE96" i="83"/>
  <c r="AE95" i="80"/>
  <c r="AE88" i="83"/>
  <c r="AE76" i="80"/>
  <c r="AE88" i="80" s="1"/>
  <c r="AE86" i="83"/>
  <c r="AE74" i="80"/>
  <c r="AE86" i="80" s="1"/>
  <c r="AE95" i="83"/>
  <c r="AE94" i="80"/>
  <c r="AE105" i="83"/>
  <c r="AE106" i="83"/>
  <c r="AE116" i="80"/>
  <c r="AE128" i="80" s="1"/>
  <c r="AM99" i="83"/>
  <c r="AM98" i="80"/>
  <c r="AM97" i="83"/>
  <c r="AM96" i="80"/>
  <c r="AM88" i="83"/>
  <c r="AM76" i="80"/>
  <c r="AM88" i="80" s="1"/>
  <c r="AM96" i="83"/>
  <c r="AM95" i="80"/>
  <c r="AM111" i="83"/>
  <c r="AM121" i="80"/>
  <c r="AM133" i="80" s="1"/>
  <c r="AM95" i="83"/>
  <c r="AM94" i="80"/>
  <c r="AI113" i="83"/>
  <c r="AI123" i="80"/>
  <c r="AI135" i="80" s="1"/>
  <c r="AI111" i="83"/>
  <c r="AI121" i="80"/>
  <c r="AI133" i="80" s="1"/>
  <c r="R89" i="83"/>
  <c r="R77" i="80"/>
  <c r="R89" i="80" s="1"/>
  <c r="AN95" i="83"/>
  <c r="AN94" i="80"/>
  <c r="AN110" i="83"/>
  <c r="AN120" i="80"/>
  <c r="AN132" i="80" s="1"/>
  <c r="Q71" i="80"/>
  <c r="Q83" i="80" s="1"/>
  <c r="Q83" i="83"/>
  <c r="Q95" i="83"/>
  <c r="Q94" i="80"/>
  <c r="Q108" i="83"/>
  <c r="Q118" i="80"/>
  <c r="Q130" i="80" s="1"/>
  <c r="AK109" i="83"/>
  <c r="AK119" i="80"/>
  <c r="AK131" i="80" s="1"/>
  <c r="AK89" i="83"/>
  <c r="AK77" i="80"/>
  <c r="AK89" i="80" s="1"/>
  <c r="AK105" i="83"/>
  <c r="AK106" i="83"/>
  <c r="AK116" i="80"/>
  <c r="AK128" i="80" s="1"/>
  <c r="P71" i="80"/>
  <c r="P83" i="80" s="1"/>
  <c r="P83" i="83"/>
  <c r="P98" i="83"/>
  <c r="P97" i="80"/>
  <c r="P107" i="83"/>
  <c r="P117" i="80"/>
  <c r="P129" i="80" s="1"/>
  <c r="AJ90" i="83"/>
  <c r="AJ78" i="80"/>
  <c r="AJ90" i="80" s="1"/>
  <c r="AJ96" i="83"/>
  <c r="AJ95" i="80"/>
  <c r="AJ84" i="83"/>
  <c r="AJ72" i="80"/>
  <c r="AJ84" i="80" s="1"/>
  <c r="AC112" i="83"/>
  <c r="AC122" i="80"/>
  <c r="AC134" i="80" s="1"/>
  <c r="AC107" i="83"/>
  <c r="AC117" i="80"/>
  <c r="AC129" i="80" s="1"/>
  <c r="AC87" i="83"/>
  <c r="AC75" i="80"/>
  <c r="AC87" i="80" s="1"/>
  <c r="AI109" i="83"/>
  <c r="AI119" i="80"/>
  <c r="AI131" i="80" s="1"/>
  <c r="AI71" i="80"/>
  <c r="AI83" i="80" s="1"/>
  <c r="AI83" i="83"/>
  <c r="AI99" i="83"/>
  <c r="AI98" i="80"/>
  <c r="R94" i="80"/>
  <c r="R95" i="83"/>
  <c r="R83" i="83"/>
  <c r="R71" i="80"/>
  <c r="R83" i="80" s="1"/>
  <c r="R107" i="83"/>
  <c r="R117" i="80"/>
  <c r="R129" i="80" s="1"/>
  <c r="AN98" i="83"/>
  <c r="AN97" i="80"/>
  <c r="AN84" i="83"/>
  <c r="AN72" i="80"/>
  <c r="AN84" i="80" s="1"/>
  <c r="AN111" i="83"/>
  <c r="AN121" i="80"/>
  <c r="AN133" i="80" s="1"/>
  <c r="Q84" i="83"/>
  <c r="Q72" i="80"/>
  <c r="Q84" i="80" s="1"/>
  <c r="Q93" i="83"/>
  <c r="Q94" i="83"/>
  <c r="Q93" i="80"/>
  <c r="Q105" i="80" s="1"/>
  <c r="Q113" i="83"/>
  <c r="Q123" i="80"/>
  <c r="Q135" i="80" s="1"/>
  <c r="AK111" i="83"/>
  <c r="AK121" i="80"/>
  <c r="AK133" i="80" s="1"/>
  <c r="AK99" i="83"/>
  <c r="AK98" i="80"/>
  <c r="P88" i="83"/>
  <c r="P76" i="80"/>
  <c r="P88" i="80" s="1"/>
  <c r="P96" i="83"/>
  <c r="P95" i="80"/>
  <c r="P109" i="83"/>
  <c r="P119" i="80"/>
  <c r="P131" i="80" s="1"/>
  <c r="AJ107" i="83"/>
  <c r="AJ117" i="80"/>
  <c r="AJ129" i="80" s="1"/>
  <c r="AJ85" i="83"/>
  <c r="AJ73" i="80"/>
  <c r="AJ85" i="80" s="1"/>
  <c r="AJ108" i="83"/>
  <c r="AJ118" i="80"/>
  <c r="AJ130" i="80" s="1"/>
  <c r="AJ81" i="83"/>
  <c r="AJ82" i="83"/>
  <c r="AJ70" i="80"/>
  <c r="AJ82" i="80" s="1"/>
  <c r="AC100" i="83"/>
  <c r="AC99" i="80"/>
  <c r="AC123" i="80"/>
  <c r="AC135" i="80" s="1"/>
  <c r="AC113" i="83"/>
  <c r="AC99" i="83"/>
  <c r="AC98" i="80"/>
  <c r="AP105" i="83"/>
  <c r="AP106" i="83"/>
  <c r="AP116" i="80"/>
  <c r="AP128" i="80" s="1"/>
  <c r="AP110" i="83"/>
  <c r="AP120" i="80"/>
  <c r="AP132" i="80" s="1"/>
  <c r="AP114" i="83"/>
  <c r="AP124" i="80"/>
  <c r="AP136" i="80" s="1"/>
  <c r="AP90" i="83"/>
  <c r="AP78" i="80"/>
  <c r="AP90" i="80" s="1"/>
  <c r="AE108" i="83"/>
  <c r="AE118" i="80"/>
  <c r="AE130" i="80" s="1"/>
  <c r="AE112" i="83"/>
  <c r="AE122" i="80"/>
  <c r="AE134" i="80" s="1"/>
  <c r="AE83" i="83"/>
  <c r="AE71" i="80"/>
  <c r="AE83" i="80" s="1"/>
  <c r="AE101" i="83"/>
  <c r="AE100" i="80"/>
  <c r="AE114" i="83"/>
  <c r="AE124" i="80"/>
  <c r="AE136" i="80" s="1"/>
  <c r="AE99" i="83"/>
  <c r="AE98" i="80"/>
  <c r="AE93" i="83"/>
  <c r="AE94" i="83"/>
  <c r="AE93" i="80"/>
  <c r="AE105" i="80" s="1"/>
  <c r="AM113" i="83"/>
  <c r="AM123" i="80"/>
  <c r="AM135" i="80" s="1"/>
  <c r="AM86" i="83"/>
  <c r="AM74" i="80"/>
  <c r="AM86" i="80" s="1"/>
  <c r="AM90" i="83"/>
  <c r="AM78" i="80"/>
  <c r="AM90" i="80" s="1"/>
  <c r="AM109" i="83"/>
  <c r="AM119" i="80"/>
  <c r="AM131" i="80" s="1"/>
  <c r="AM110" i="83"/>
  <c r="AM120" i="80"/>
  <c r="AM132" i="80" s="1"/>
  <c r="AM87" i="83"/>
  <c r="AM75" i="80"/>
  <c r="AM87" i="80" s="1"/>
  <c r="AM105" i="83"/>
  <c r="AM106" i="83"/>
  <c r="AM116" i="80"/>
  <c r="AM128" i="80" s="1"/>
  <c r="AL22" i="71" l="1"/>
  <c r="AL127" i="71" s="1"/>
  <c r="W22" i="71"/>
  <c r="W127" i="71" s="1"/>
  <c r="AO22" i="71"/>
  <c r="AO127" i="71" s="1"/>
  <c r="T270" i="83"/>
  <c r="K339" i="53"/>
  <c r="K344" i="53"/>
  <c r="AD28" i="71"/>
  <c r="AD133" i="71" s="1"/>
  <c r="AD23" i="71"/>
  <c r="AD128" i="71" s="1"/>
  <c r="AD59" i="71"/>
  <c r="AD164" i="71" s="1"/>
  <c r="AD86" i="71"/>
  <c r="AD191" i="71" s="1"/>
  <c r="AD88" i="71"/>
  <c r="AD193" i="71" s="1"/>
  <c r="AD30" i="71"/>
  <c r="AD135" i="71" s="1"/>
  <c r="AH53" i="71"/>
  <c r="AH158" i="71" s="1"/>
  <c r="AD27" i="71"/>
  <c r="AD132" i="71" s="1"/>
  <c r="AF23" i="71"/>
  <c r="AF128" i="71" s="1"/>
  <c r="AL23" i="71"/>
  <c r="AL128" i="71" s="1"/>
  <c r="AO83" i="71"/>
  <c r="AO188" i="71" s="1"/>
  <c r="AG23" i="71"/>
  <c r="AG128" i="71" s="1"/>
  <c r="AD56" i="71"/>
  <c r="AD161" i="71" s="1"/>
  <c r="AG53" i="71"/>
  <c r="AG158" i="71" s="1"/>
  <c r="AD53" i="71"/>
  <c r="AD158" i="71" s="1"/>
  <c r="AL53" i="71"/>
  <c r="AL158" i="71" s="1"/>
  <c r="AD26" i="71"/>
  <c r="AD131" i="71" s="1"/>
  <c r="AO53" i="71"/>
  <c r="AO158" i="71" s="1"/>
  <c r="AD87" i="71"/>
  <c r="AD192" i="71" s="1"/>
  <c r="AF22" i="71"/>
  <c r="AF127" i="71" s="1"/>
  <c r="AO52" i="71"/>
  <c r="AO157" i="71" s="1"/>
  <c r="AG22" i="71"/>
  <c r="AG127" i="71" s="1"/>
  <c r="AD22" i="71"/>
  <c r="AD127" i="71" s="1"/>
  <c r="W52" i="71"/>
  <c r="W157" i="71" s="1"/>
  <c r="AD52" i="71"/>
  <c r="AD157" i="71" s="1"/>
  <c r="AL52" i="71"/>
  <c r="AL157" i="71" s="1"/>
  <c r="AG52" i="71"/>
  <c r="AG157" i="71" s="1"/>
  <c r="W82" i="71"/>
  <c r="W187" i="71" s="1"/>
  <c r="AO82" i="71"/>
  <c r="AO187" i="71" s="1"/>
  <c r="T353" i="53"/>
  <c r="T354" i="53"/>
  <c r="T351" i="53"/>
  <c r="T350" i="53"/>
  <c r="T349" i="53"/>
  <c r="T355" i="53"/>
  <c r="T357" i="53"/>
  <c r="T356" i="53"/>
  <c r="T352" i="53"/>
  <c r="S342" i="53"/>
  <c r="S353" i="53" s="1"/>
  <c r="S339" i="53"/>
  <c r="S338" i="53"/>
  <c r="S341" i="53"/>
  <c r="S352" i="53" s="1"/>
  <c r="S345" i="53"/>
  <c r="S356" i="53" s="1"/>
  <c r="S344" i="53"/>
  <c r="S346" i="53"/>
  <c r="S340" i="53"/>
  <c r="S351" i="53" s="1"/>
  <c r="S343" i="53"/>
  <c r="S354" i="53" s="1"/>
  <c r="S383" i="53"/>
  <c r="S386" i="53"/>
  <c r="S391" i="53"/>
  <c r="S384" i="53"/>
  <c r="S387" i="53"/>
  <c r="S385" i="53"/>
  <c r="S389" i="53"/>
  <c r="S388" i="53"/>
  <c r="S425" i="53" s="1"/>
  <c r="S390" i="53"/>
  <c r="AD24" i="71"/>
  <c r="AD129" i="71" s="1"/>
  <c r="AD61" i="71"/>
  <c r="AD166" i="71" s="1"/>
  <c r="W53" i="71"/>
  <c r="W158" i="71" s="1"/>
  <c r="W23" i="71"/>
  <c r="W128" i="71" s="1"/>
  <c r="AO23" i="71"/>
  <c r="AO128" i="71" s="1"/>
  <c r="AD83" i="71"/>
  <c r="AD188" i="71" s="1"/>
  <c r="AD25" i="71"/>
  <c r="AD130" i="71" s="1"/>
  <c r="AD58" i="71"/>
  <c r="AD163" i="71" s="1"/>
  <c r="AD89" i="71"/>
  <c r="AD194" i="71" s="1"/>
  <c r="W83" i="71"/>
  <c r="W188" i="71" s="1"/>
  <c r="AD84" i="71"/>
  <c r="AD189" i="71" s="1"/>
  <c r="AL83" i="71"/>
  <c r="AL188" i="71" s="1"/>
  <c r="AD90" i="71"/>
  <c r="AD195" i="71" s="1"/>
  <c r="AD54" i="71"/>
  <c r="AD159" i="71" s="1"/>
  <c r="AG83" i="71"/>
  <c r="AG188" i="71" s="1"/>
  <c r="AE181" i="83"/>
  <c r="AE219" i="83"/>
  <c r="AE213" i="83"/>
  <c r="AC188" i="83"/>
  <c r="AM210" i="83"/>
  <c r="AM215" i="83"/>
  <c r="AM87" i="71" s="1"/>
  <c r="AM192" i="71" s="1"/>
  <c r="AM161" i="83"/>
  <c r="AM31" i="71" s="1"/>
  <c r="AM136" i="71" s="1"/>
  <c r="AM218" i="83"/>
  <c r="AC218" i="83"/>
  <c r="AC90" i="71" s="1"/>
  <c r="AC195" i="71" s="1"/>
  <c r="AJ213" i="83"/>
  <c r="AJ212" i="83"/>
  <c r="P214" i="83"/>
  <c r="P86" i="71" s="1"/>
  <c r="P191" i="71" s="1"/>
  <c r="P159" i="83"/>
  <c r="P29" i="71" s="1"/>
  <c r="P134" i="71" s="1"/>
  <c r="AK187" i="83"/>
  <c r="AK58" i="71" s="1"/>
  <c r="AK163" i="71" s="1"/>
  <c r="Q218" i="83"/>
  <c r="R183" i="83"/>
  <c r="R54" i="71" s="1"/>
  <c r="R159" i="71" s="1"/>
  <c r="AI154" i="83"/>
  <c r="AI24" i="71" s="1"/>
  <c r="AI129" i="71" s="1"/>
  <c r="AC158" i="83"/>
  <c r="AC28" i="71" s="1"/>
  <c r="AC133" i="71" s="1"/>
  <c r="AC217" i="83"/>
  <c r="AJ184" i="83"/>
  <c r="AJ55" i="71" s="1"/>
  <c r="AJ160" i="71" s="1"/>
  <c r="P212" i="83"/>
  <c r="AK211" i="83"/>
  <c r="AK83" i="71" s="1"/>
  <c r="AK188" i="71" s="1"/>
  <c r="AM183" i="83"/>
  <c r="AM184" i="83"/>
  <c r="AM55" i="71" s="1"/>
  <c r="AM160" i="71" s="1"/>
  <c r="AM185" i="83"/>
  <c r="AM56" i="71" s="1"/>
  <c r="AM161" i="71" s="1"/>
  <c r="AE211" i="83"/>
  <c r="AC189" i="83"/>
  <c r="AC160" i="83"/>
  <c r="AC30" i="71" s="1"/>
  <c r="AC135" i="71" s="1"/>
  <c r="AC185" i="83"/>
  <c r="AJ182" i="83"/>
  <c r="AJ53" i="71" s="1"/>
  <c r="AJ158" i="71" s="1"/>
  <c r="AK153" i="83"/>
  <c r="Q189" i="83"/>
  <c r="Q60" i="71" s="1"/>
  <c r="Q165" i="71" s="1"/>
  <c r="Q153" i="83"/>
  <c r="Q23" i="71" s="1"/>
  <c r="Q128" i="71" s="1"/>
  <c r="R186" i="83"/>
  <c r="R57" i="71" s="1"/>
  <c r="R162" i="71" s="1"/>
  <c r="AM152" i="83"/>
  <c r="AM189" i="83"/>
  <c r="AM190" i="83"/>
  <c r="AM219" i="83"/>
  <c r="AE155" i="83"/>
  <c r="AE25" i="71" s="1"/>
  <c r="AE130" i="71" s="1"/>
  <c r="AE215" i="83"/>
  <c r="AE87" i="71" s="1"/>
  <c r="AE192" i="71" s="1"/>
  <c r="AE186" i="83"/>
  <c r="AE57" i="71" s="1"/>
  <c r="AE162" i="71" s="1"/>
  <c r="AP155" i="83"/>
  <c r="AP25" i="71" s="1"/>
  <c r="AP130" i="71" s="1"/>
  <c r="AP217" i="83"/>
  <c r="AP89" i="71" s="1"/>
  <c r="AP194" i="71" s="1"/>
  <c r="AP186" i="83"/>
  <c r="AP57" i="71" s="1"/>
  <c r="AP162" i="71" s="1"/>
  <c r="P190" i="83"/>
  <c r="P61" i="71" s="1"/>
  <c r="P166" i="71" s="1"/>
  <c r="Q219" i="83"/>
  <c r="Q91" i="71" s="1"/>
  <c r="Q196" i="71" s="1"/>
  <c r="AN212" i="83"/>
  <c r="AN84" i="71" s="1"/>
  <c r="AN189" i="71" s="1"/>
  <c r="AI211" i="83"/>
  <c r="AI217" i="83"/>
  <c r="AM181" i="83"/>
  <c r="AM212" i="83"/>
  <c r="AM154" i="83"/>
  <c r="AM156" i="83"/>
  <c r="AP160" i="83"/>
  <c r="AP30" i="71" s="1"/>
  <c r="AP135" i="71" s="1"/>
  <c r="AP212" i="83"/>
  <c r="AP84" i="71" s="1"/>
  <c r="AP189" i="71" s="1"/>
  <c r="AP154" i="83"/>
  <c r="AP24" i="71" s="1"/>
  <c r="AP129" i="71" s="1"/>
  <c r="AC181" i="83"/>
  <c r="AC213" i="83"/>
  <c r="AC154" i="83"/>
  <c r="AC155" i="83"/>
  <c r="AJ183" i="83"/>
  <c r="AJ54" i="71" s="1"/>
  <c r="AJ159" i="71" s="1"/>
  <c r="AJ159" i="83"/>
  <c r="AJ186" i="83"/>
  <c r="AK181" i="83"/>
  <c r="AK52" i="71" s="1"/>
  <c r="AK157" i="71" s="1"/>
  <c r="AK161" i="83"/>
  <c r="AK31" i="71" s="1"/>
  <c r="AK136" i="71" s="1"/>
  <c r="AK190" i="83"/>
  <c r="AK61" i="71" s="1"/>
  <c r="AK166" i="71" s="1"/>
  <c r="AK219" i="83"/>
  <c r="AK91" i="71" s="1"/>
  <c r="AK196" i="71" s="1"/>
  <c r="Q216" i="83"/>
  <c r="Q88" i="71" s="1"/>
  <c r="Q193" i="71" s="1"/>
  <c r="Q161" i="83"/>
  <c r="Q31" i="71" s="1"/>
  <c r="Q136" i="71" s="1"/>
  <c r="R215" i="83"/>
  <c r="R87" i="71" s="1"/>
  <c r="R192" i="71" s="1"/>
  <c r="R190" i="83"/>
  <c r="R61" i="71" s="1"/>
  <c r="R166" i="71" s="1"/>
  <c r="AI181" i="83"/>
  <c r="AI213" i="83"/>
  <c r="AI161" i="83"/>
  <c r="AI31" i="71" s="1"/>
  <c r="AI136" i="71" s="1"/>
  <c r="AI156" i="83"/>
  <c r="AC190" i="83"/>
  <c r="AC156" i="83"/>
  <c r="AJ185" i="83"/>
  <c r="P157" i="83"/>
  <c r="P27" i="71" s="1"/>
  <c r="P132" i="71" s="1"/>
  <c r="Q210" i="83"/>
  <c r="Q82" i="71" s="1"/>
  <c r="Q187" i="71" s="1"/>
  <c r="AN182" i="83"/>
  <c r="AN53" i="71" s="1"/>
  <c r="AN158" i="71" s="1"/>
  <c r="R184" i="83"/>
  <c r="R55" i="71" s="1"/>
  <c r="R160" i="71" s="1"/>
  <c r="R152" i="83"/>
  <c r="AC152" i="83"/>
  <c r="AC184" i="83"/>
  <c r="AJ211" i="83"/>
  <c r="P216" i="83"/>
  <c r="P88" i="71" s="1"/>
  <c r="P193" i="71" s="1"/>
  <c r="P155" i="83"/>
  <c r="P25" i="71" s="1"/>
  <c r="P130" i="71" s="1"/>
  <c r="AK189" i="83"/>
  <c r="AK60" i="71" s="1"/>
  <c r="AK165" i="71" s="1"/>
  <c r="Q186" i="83"/>
  <c r="Q57" i="71" s="1"/>
  <c r="Q162" i="71" s="1"/>
  <c r="AN185" i="83"/>
  <c r="AN56" i="71" s="1"/>
  <c r="AN161" i="71" s="1"/>
  <c r="R214" i="83"/>
  <c r="AF156" i="83"/>
  <c r="AF26" i="71" s="1"/>
  <c r="AF131" i="71" s="1"/>
  <c r="AF189" i="83"/>
  <c r="AF217" i="83"/>
  <c r="AH216" i="83"/>
  <c r="AH88" i="71" s="1"/>
  <c r="AH193" i="71" s="1"/>
  <c r="AH183" i="83"/>
  <c r="AH154" i="83"/>
  <c r="V187" i="83"/>
  <c r="AH187" i="83"/>
  <c r="AF186" i="83"/>
  <c r="AE189" i="83"/>
  <c r="AE60" i="71" s="1"/>
  <c r="AE165" i="71" s="1"/>
  <c r="AP219" i="83"/>
  <c r="AP91" i="71" s="1"/>
  <c r="AP196" i="71" s="1"/>
  <c r="AP211" i="83"/>
  <c r="AJ153" i="83"/>
  <c r="AJ23" i="71" s="1"/>
  <c r="AJ128" i="71" s="1"/>
  <c r="Q155" i="83"/>
  <c r="Q25" i="71" s="1"/>
  <c r="Q130" i="71" s="1"/>
  <c r="AN155" i="83"/>
  <c r="R212" i="83"/>
  <c r="AK210" i="83"/>
  <c r="AK214" i="83"/>
  <c r="AK86" i="71" s="1"/>
  <c r="AK191" i="71" s="1"/>
  <c r="Q183" i="83"/>
  <c r="Q54" i="71" s="1"/>
  <c r="Q159" i="71" s="1"/>
  <c r="AN215" i="83"/>
  <c r="AN87" i="71" s="1"/>
  <c r="AN192" i="71" s="1"/>
  <c r="R160" i="83"/>
  <c r="R30" i="71" s="1"/>
  <c r="R135" i="71" s="1"/>
  <c r="AI216" i="83"/>
  <c r="AE210" i="83"/>
  <c r="AE157" i="83"/>
  <c r="AE184" i="83"/>
  <c r="AE55" i="71" s="1"/>
  <c r="AE160" i="71" s="1"/>
  <c r="AE156" i="83"/>
  <c r="AP158" i="83"/>
  <c r="AP28" i="71" s="1"/>
  <c r="AP133" i="71" s="1"/>
  <c r="AP183" i="83"/>
  <c r="AP54" i="71" s="1"/>
  <c r="AP159" i="71" s="1"/>
  <c r="AP189" i="83"/>
  <c r="AP60" i="71" s="1"/>
  <c r="AP165" i="71" s="1"/>
  <c r="AJ181" i="83"/>
  <c r="AJ154" i="83"/>
  <c r="AJ24" i="71" s="1"/>
  <c r="AJ129" i="71" s="1"/>
  <c r="AJ214" i="83"/>
  <c r="AJ86" i="71" s="1"/>
  <c r="AJ191" i="71" s="1"/>
  <c r="AJ188" i="83"/>
  <c r="P215" i="83"/>
  <c r="P185" i="83"/>
  <c r="P56" i="71" s="1"/>
  <c r="P161" i="71" s="1"/>
  <c r="P161" i="83"/>
  <c r="P31" i="71" s="1"/>
  <c r="P136" i="71" s="1"/>
  <c r="AK152" i="83"/>
  <c r="AK159" i="83"/>
  <c r="AK29" i="71" s="1"/>
  <c r="AK134" i="71" s="1"/>
  <c r="AK188" i="83"/>
  <c r="AK59" i="71" s="1"/>
  <c r="AK164" i="71" s="1"/>
  <c r="AK217" i="83"/>
  <c r="AK89" i="71" s="1"/>
  <c r="AK194" i="71" s="1"/>
  <c r="Q217" i="83"/>
  <c r="AN160" i="83"/>
  <c r="AN218" i="83"/>
  <c r="AN90" i="71" s="1"/>
  <c r="AN195" i="71" s="1"/>
  <c r="AN159" i="83"/>
  <c r="R213" i="83"/>
  <c r="R155" i="83"/>
  <c r="R25" i="71" s="1"/>
  <c r="R130" i="71" s="1"/>
  <c r="R181" i="83"/>
  <c r="AI158" i="83"/>
  <c r="AI28" i="71" s="1"/>
  <c r="AI133" i="71" s="1"/>
  <c r="AI184" i="83"/>
  <c r="AI55" i="71" s="1"/>
  <c r="AI160" i="71" s="1"/>
  <c r="AI188" i="83"/>
  <c r="AP182" i="83"/>
  <c r="AP53" i="71" s="1"/>
  <c r="AP158" i="71" s="1"/>
  <c r="Q157" i="83"/>
  <c r="Q27" i="71" s="1"/>
  <c r="Q132" i="71" s="1"/>
  <c r="R187" i="83"/>
  <c r="R58" i="71" s="1"/>
  <c r="R163" i="71" s="1"/>
  <c r="AE160" i="83"/>
  <c r="AE212" i="83"/>
  <c r="AE214" i="83"/>
  <c r="AE86" i="71" s="1"/>
  <c r="AE191" i="71" s="1"/>
  <c r="P213" i="83"/>
  <c r="P85" i="71" s="1"/>
  <c r="P190" i="71" s="1"/>
  <c r="P183" i="83"/>
  <c r="P54" i="71" s="1"/>
  <c r="P159" i="71" s="1"/>
  <c r="P156" i="83"/>
  <c r="P26" i="71" s="1"/>
  <c r="P131" i="71" s="1"/>
  <c r="AN187" i="83"/>
  <c r="AN190" i="83"/>
  <c r="AN161" i="83"/>
  <c r="R211" i="83"/>
  <c r="R189" i="83"/>
  <c r="R60" i="71" s="1"/>
  <c r="R165" i="71" s="1"/>
  <c r="AP157" i="83"/>
  <c r="AP27" i="71" s="1"/>
  <c r="AP132" i="71" s="1"/>
  <c r="AP190" i="83"/>
  <c r="AP61" i="71" s="1"/>
  <c r="AP166" i="71" s="1"/>
  <c r="AC211" i="83"/>
  <c r="P218" i="83"/>
  <c r="AK158" i="83"/>
  <c r="AK28" i="71" s="1"/>
  <c r="AK133" i="71" s="1"/>
  <c r="AK212" i="83"/>
  <c r="AK84" i="71" s="1"/>
  <c r="AK189" i="71" s="1"/>
  <c r="Q159" i="83"/>
  <c r="Q29" i="71" s="1"/>
  <c r="Q134" i="71" s="1"/>
  <c r="AN181" i="83"/>
  <c r="AN184" i="83"/>
  <c r="R216" i="83"/>
  <c r="AI215" i="83"/>
  <c r="AI155" i="83"/>
  <c r="AI25" i="71" s="1"/>
  <c r="AI130" i="71" s="1"/>
  <c r="AJ210" i="83"/>
  <c r="AJ160" i="83"/>
  <c r="P152" i="83"/>
  <c r="AI190" i="83"/>
  <c r="AF188" i="83"/>
  <c r="AF214" i="83"/>
  <c r="AF212" i="83"/>
  <c r="AF84" i="71" s="1"/>
  <c r="AF189" i="71" s="1"/>
  <c r="AH210" i="83"/>
  <c r="V212" i="83"/>
  <c r="V190" i="83"/>
  <c r="AH186" i="83"/>
  <c r="AH161" i="83"/>
  <c r="V184" i="83"/>
  <c r="AE187" i="83"/>
  <c r="AE217" i="83"/>
  <c r="AM158" i="83"/>
  <c r="AM28" i="71" s="1"/>
  <c r="AM133" i="71" s="1"/>
  <c r="AM214" i="83"/>
  <c r="AM86" i="71" s="1"/>
  <c r="AM191" i="71" s="1"/>
  <c r="AM157" i="83"/>
  <c r="AE182" i="83"/>
  <c r="AP210" i="83"/>
  <c r="AJ152" i="83"/>
  <c r="AJ156" i="83"/>
  <c r="P184" i="83"/>
  <c r="P55" i="71" s="1"/>
  <c r="P160" i="71" s="1"/>
  <c r="AK216" i="83"/>
  <c r="AK88" i="71" s="1"/>
  <c r="AK193" i="71" s="1"/>
  <c r="Q182" i="83"/>
  <c r="Q53" i="71" s="1"/>
  <c r="Q158" i="71" s="1"/>
  <c r="AC212" i="83"/>
  <c r="AC84" i="71" s="1"/>
  <c r="AC189" i="71" s="1"/>
  <c r="AJ155" i="83"/>
  <c r="AJ25" i="71" s="1"/>
  <c r="AJ130" i="71" s="1"/>
  <c r="AJ161" i="83"/>
  <c r="P186" i="83"/>
  <c r="P57" i="71" s="1"/>
  <c r="P162" i="71" s="1"/>
  <c r="Q154" i="83"/>
  <c r="Q24" i="71" s="1"/>
  <c r="Q129" i="71" s="1"/>
  <c r="AM216" i="83"/>
  <c r="AM159" i="83"/>
  <c r="AM187" i="83"/>
  <c r="AC215" i="83"/>
  <c r="AC157" i="83"/>
  <c r="AC186" i="83"/>
  <c r="P182" i="83"/>
  <c r="P160" i="83"/>
  <c r="P30" i="71" s="1"/>
  <c r="P135" i="71" s="1"/>
  <c r="Q184" i="83"/>
  <c r="Q55" i="71" s="1"/>
  <c r="Q160" i="71" s="1"/>
  <c r="Q187" i="83"/>
  <c r="Q58" i="71" s="1"/>
  <c r="Q163" i="71" s="1"/>
  <c r="Q152" i="83"/>
  <c r="AN211" i="83"/>
  <c r="R159" i="83"/>
  <c r="R29" i="71" s="1"/>
  <c r="R134" i="71" s="1"/>
  <c r="R185" i="83"/>
  <c r="R56" i="71" s="1"/>
  <c r="R161" i="71" s="1"/>
  <c r="R182" i="83"/>
  <c r="AI153" i="83"/>
  <c r="AI23" i="71" s="1"/>
  <c r="AI128" i="71" s="1"/>
  <c r="AM160" i="83"/>
  <c r="AM30" i="71" s="1"/>
  <c r="AM135" i="71" s="1"/>
  <c r="AM155" i="83"/>
  <c r="AM217" i="83"/>
  <c r="AE190" i="83"/>
  <c r="AE61" i="71" s="1"/>
  <c r="AE166" i="71" s="1"/>
  <c r="AE161" i="83"/>
  <c r="AE185" i="83"/>
  <c r="AP159" i="83"/>
  <c r="AP29" i="71" s="1"/>
  <c r="AP134" i="71" s="1"/>
  <c r="AP153" i="83"/>
  <c r="AP181" i="83"/>
  <c r="AP214" i="83"/>
  <c r="AP86" i="71" s="1"/>
  <c r="AP191" i="71" s="1"/>
  <c r="AI212" i="83"/>
  <c r="AK185" i="83"/>
  <c r="AK56" i="71" s="1"/>
  <c r="AK161" i="71" s="1"/>
  <c r="AN157" i="83"/>
  <c r="AN27" i="71" s="1"/>
  <c r="AN132" i="71" s="1"/>
  <c r="AI210" i="83"/>
  <c r="AM213" i="83"/>
  <c r="AM85" i="71" s="1"/>
  <c r="AM190" i="71" s="1"/>
  <c r="AM186" i="83"/>
  <c r="AM188" i="83"/>
  <c r="AM59" i="71" s="1"/>
  <c r="AM164" i="71" s="1"/>
  <c r="AE153" i="83"/>
  <c r="AP156" i="83"/>
  <c r="AP26" i="71" s="1"/>
  <c r="AP131" i="71" s="1"/>
  <c r="AP188" i="83"/>
  <c r="AP59" i="71" s="1"/>
  <c r="AP164" i="71" s="1"/>
  <c r="AP213" i="83"/>
  <c r="AP85" i="71" s="1"/>
  <c r="AP190" i="71" s="1"/>
  <c r="AP184" i="83"/>
  <c r="AP55" i="71" s="1"/>
  <c r="AP160" i="71" s="1"/>
  <c r="AC182" i="83"/>
  <c r="AC216" i="83"/>
  <c r="AC214" i="83"/>
  <c r="AC86" i="71" s="1"/>
  <c r="AC191" i="71" s="1"/>
  <c r="AC159" i="83"/>
  <c r="AC29" i="71" s="1"/>
  <c r="AC134" i="71" s="1"/>
  <c r="AJ219" i="83"/>
  <c r="AJ189" i="83"/>
  <c r="AJ158" i="83"/>
  <c r="AJ28" i="71" s="1"/>
  <c r="AJ133" i="71" s="1"/>
  <c r="AK157" i="83"/>
  <c r="AK27" i="71" s="1"/>
  <c r="AK132" i="71" s="1"/>
  <c r="AK186" i="83"/>
  <c r="AK57" i="71" s="1"/>
  <c r="AK162" i="71" s="1"/>
  <c r="AK215" i="83"/>
  <c r="AK87" i="71" s="1"/>
  <c r="AK192" i="71" s="1"/>
  <c r="Q214" i="83"/>
  <c r="Q188" i="83"/>
  <c r="Q59" i="71" s="1"/>
  <c r="Q164" i="71" s="1"/>
  <c r="Q160" i="83"/>
  <c r="Q30" i="71" s="1"/>
  <c r="Q135" i="71" s="1"/>
  <c r="AN153" i="83"/>
  <c r="R210" i="83"/>
  <c r="R219" i="83"/>
  <c r="R161" i="83"/>
  <c r="R31" i="71" s="1"/>
  <c r="R136" i="71" s="1"/>
  <c r="AI182" i="83"/>
  <c r="AI219" i="83"/>
  <c r="AI91" i="71" s="1"/>
  <c r="AI196" i="71" s="1"/>
  <c r="AI185" i="83"/>
  <c r="AI157" i="83"/>
  <c r="AC210" i="83"/>
  <c r="AC219" i="83"/>
  <c r="AC91" i="71" s="1"/>
  <c r="AC196" i="71" s="1"/>
  <c r="AJ190" i="83"/>
  <c r="AJ217" i="83"/>
  <c r="P211" i="83"/>
  <c r="Q215" i="83"/>
  <c r="Q87" i="71" s="1"/>
  <c r="Q192" i="71" s="1"/>
  <c r="R153" i="83"/>
  <c r="AC161" i="83"/>
  <c r="AC183" i="83"/>
  <c r="AC54" i="71" s="1"/>
  <c r="AC159" i="71" s="1"/>
  <c r="AK156" i="83"/>
  <c r="AK26" i="71" s="1"/>
  <c r="AK131" i="71" s="1"/>
  <c r="AK218" i="83"/>
  <c r="AK90" i="71" s="1"/>
  <c r="AK195" i="71" s="1"/>
  <c r="Q156" i="83"/>
  <c r="Q26" i="71" s="1"/>
  <c r="Q131" i="71" s="1"/>
  <c r="AN214" i="83"/>
  <c r="AN86" i="71" s="1"/>
  <c r="AN191" i="71" s="1"/>
  <c r="R218" i="83"/>
  <c r="AF157" i="83"/>
  <c r="AF218" i="83"/>
  <c r="AF215" i="83"/>
  <c r="AF158" i="83"/>
  <c r="AH211" i="83"/>
  <c r="AH83" i="71" s="1"/>
  <c r="AH188" i="71" s="1"/>
  <c r="V161" i="83"/>
  <c r="AH153" i="83"/>
  <c r="AH184" i="83"/>
  <c r="V183" i="83"/>
  <c r="AH213" i="83"/>
  <c r="V211" i="83"/>
  <c r="V160" i="83"/>
  <c r="V215" i="83"/>
  <c r="AM211" i="83"/>
  <c r="AM83" i="71" s="1"/>
  <c r="AM188" i="71" s="1"/>
  <c r="AE154" i="83"/>
  <c r="AE24" i="71" s="1"/>
  <c r="AE129" i="71" s="1"/>
  <c r="AP161" i="83"/>
  <c r="AP31" i="71" s="1"/>
  <c r="AP136" i="71" s="1"/>
  <c r="AP215" i="83"/>
  <c r="AP87" i="71" s="1"/>
  <c r="AP192" i="71" s="1"/>
  <c r="AC187" i="83"/>
  <c r="Q181" i="83"/>
  <c r="AN216" i="83"/>
  <c r="AN88" i="71" s="1"/>
  <c r="AN193" i="71" s="1"/>
  <c r="AN186" i="83"/>
  <c r="R154" i="83"/>
  <c r="R24" i="71" s="1"/>
  <c r="R129" i="71" s="1"/>
  <c r="AI187" i="83"/>
  <c r="AI214" i="83"/>
  <c r="P154" i="83"/>
  <c r="P24" i="71" s="1"/>
  <c r="P129" i="71" s="1"/>
  <c r="AK160" i="83"/>
  <c r="AK30" i="71" s="1"/>
  <c r="AK135" i="71" s="1"/>
  <c r="Q213" i="83"/>
  <c r="AN183" i="83"/>
  <c r="AI218" i="83"/>
  <c r="AE183" i="83"/>
  <c r="AE159" i="83"/>
  <c r="AE188" i="83"/>
  <c r="AP216" i="83"/>
  <c r="AP88" i="71" s="1"/>
  <c r="AP193" i="71" s="1"/>
  <c r="AP185" i="83"/>
  <c r="AP56" i="71" s="1"/>
  <c r="AP161" i="71" s="1"/>
  <c r="AP218" i="83"/>
  <c r="AP90" i="71" s="1"/>
  <c r="AP195" i="71" s="1"/>
  <c r="AJ218" i="83"/>
  <c r="AJ216" i="83"/>
  <c r="AJ187" i="83"/>
  <c r="P181" i="83"/>
  <c r="P219" i="83"/>
  <c r="P189" i="83"/>
  <c r="P60" i="71" s="1"/>
  <c r="P165" i="71" s="1"/>
  <c r="AK155" i="83"/>
  <c r="AK25" i="71" s="1"/>
  <c r="AK130" i="71" s="1"/>
  <c r="AK184" i="83"/>
  <c r="AK55" i="71" s="1"/>
  <c r="AK160" i="71" s="1"/>
  <c r="AK213" i="83"/>
  <c r="AK85" i="71" s="1"/>
  <c r="AK190" i="71" s="1"/>
  <c r="Q212" i="83"/>
  <c r="Q158" i="83"/>
  <c r="Q28" i="71" s="1"/>
  <c r="Q133" i="71" s="1"/>
  <c r="AN210" i="83"/>
  <c r="AN188" i="83"/>
  <c r="AN59" i="71" s="1"/>
  <c r="AN164" i="71" s="1"/>
  <c r="AN154" i="83"/>
  <c r="AN156" i="83"/>
  <c r="R217" i="83"/>
  <c r="AI152" i="83"/>
  <c r="AI189" i="83"/>
  <c r="AI160" i="83"/>
  <c r="AI183" i="83"/>
  <c r="AM153" i="83"/>
  <c r="AP152" i="83"/>
  <c r="R156" i="83"/>
  <c r="R26" i="71" s="1"/>
  <c r="R131" i="71" s="1"/>
  <c r="AM182" i="83"/>
  <c r="AE152" i="83"/>
  <c r="AE218" i="83"/>
  <c r="AE90" i="71" s="1"/>
  <c r="AE195" i="71" s="1"/>
  <c r="AE158" i="83"/>
  <c r="AE216" i="83"/>
  <c r="P217" i="83"/>
  <c r="P187" i="83"/>
  <c r="P58" i="71" s="1"/>
  <c r="P163" i="71" s="1"/>
  <c r="P158" i="83"/>
  <c r="P28" i="71" s="1"/>
  <c r="P133" i="71" s="1"/>
  <c r="AK182" i="83"/>
  <c r="Q185" i="83"/>
  <c r="Q56" i="71" s="1"/>
  <c r="Q161" i="71" s="1"/>
  <c r="AN152" i="83"/>
  <c r="AN219" i="83"/>
  <c r="AN158" i="83"/>
  <c r="AN189" i="83"/>
  <c r="R157" i="83"/>
  <c r="R27" i="71" s="1"/>
  <c r="R132" i="71" s="1"/>
  <c r="AP187" i="83"/>
  <c r="AP58" i="71" s="1"/>
  <c r="AP163" i="71" s="1"/>
  <c r="P210" i="83"/>
  <c r="P188" i="83"/>
  <c r="P59" i="71" s="1"/>
  <c r="P164" i="71" s="1"/>
  <c r="AK154" i="83"/>
  <c r="AK24" i="71" s="1"/>
  <c r="AK129" i="71" s="1"/>
  <c r="AK183" i="83"/>
  <c r="AK54" i="71" s="1"/>
  <c r="AK159" i="71" s="1"/>
  <c r="Q211" i="83"/>
  <c r="Q190" i="83"/>
  <c r="Q61" i="71" s="1"/>
  <c r="Q166" i="71" s="1"/>
  <c r="AN217" i="83"/>
  <c r="AN213" i="83"/>
  <c r="R158" i="83"/>
  <c r="R28" i="71" s="1"/>
  <c r="R133" i="71" s="1"/>
  <c r="AI186" i="83"/>
  <c r="AC153" i="83"/>
  <c r="AJ215" i="83"/>
  <c r="AJ157" i="83"/>
  <c r="P153" i="83"/>
  <c r="P23" i="71" s="1"/>
  <c r="P128" i="71" s="1"/>
  <c r="R188" i="83"/>
  <c r="R59" i="71" s="1"/>
  <c r="R164" i="71" s="1"/>
  <c r="AI159" i="83"/>
  <c r="AI29" i="71" s="1"/>
  <c r="AI134" i="71" s="1"/>
  <c r="AF211" i="83"/>
  <c r="AF184" i="83"/>
  <c r="AF55" i="71" s="1"/>
  <c r="AF160" i="71" s="1"/>
  <c r="AF216" i="83"/>
  <c r="AH212" i="83"/>
  <c r="U157" i="83"/>
  <c r="AH157" i="83"/>
  <c r="AH27" i="71" s="1"/>
  <c r="AH132" i="71" s="1"/>
  <c r="AH156" i="83"/>
  <c r="AH26" i="71" s="1"/>
  <c r="AH131" i="71" s="1"/>
  <c r="V157" i="83"/>
  <c r="V27" i="71" s="1"/>
  <c r="V132" i="71" s="1"/>
  <c r="V155" i="83"/>
  <c r="AH217" i="83"/>
  <c r="AH89" i="71" s="1"/>
  <c r="AH194" i="71" s="1"/>
  <c r="AH218" i="83"/>
  <c r="AH90" i="71" s="1"/>
  <c r="AH195" i="71" s="1"/>
  <c r="V217" i="83"/>
  <c r="AH189" i="83"/>
  <c r="V185" i="83"/>
  <c r="V152" i="83"/>
  <c r="V189" i="83"/>
  <c r="AH160" i="83"/>
  <c r="AH30" i="71" s="1"/>
  <c r="AH135" i="71" s="1"/>
  <c r="M321" i="53"/>
  <c r="M339" i="53"/>
  <c r="H408" i="53" s="1"/>
  <c r="T432" i="53" s="1"/>
  <c r="M340" i="53"/>
  <c r="H409" i="53" s="1"/>
  <c r="T433" i="53" s="1"/>
  <c r="M343" i="53"/>
  <c r="H412" i="53" s="1"/>
  <c r="M344" i="53"/>
  <c r="H413" i="53" s="1"/>
  <c r="T437" i="53" s="1"/>
  <c r="M341" i="53"/>
  <c r="H410" i="53" s="1"/>
  <c r="T434" i="53" s="1"/>
  <c r="M342" i="53"/>
  <c r="H411" i="53" s="1"/>
  <c r="T435" i="53" s="1"/>
  <c r="M338" i="53"/>
  <c r="H407" i="53" s="1"/>
  <c r="T431" i="53" s="1"/>
  <c r="M346" i="53"/>
  <c r="H415" i="53" s="1"/>
  <c r="T439" i="53" s="1"/>
  <c r="M345" i="53"/>
  <c r="H414" i="53" s="1"/>
  <c r="T438" i="53" s="1"/>
  <c r="AH100" i="83"/>
  <c r="K346" i="53"/>
  <c r="K340" i="53"/>
  <c r="K338" i="53"/>
  <c r="K343" i="53"/>
  <c r="K341" i="53"/>
  <c r="K342" i="53"/>
  <c r="K345" i="53"/>
  <c r="AH84" i="83"/>
  <c r="L318" i="53"/>
  <c r="L341" i="53"/>
  <c r="L352" i="53" s="1"/>
  <c r="L342" i="53"/>
  <c r="L353" i="53" s="1"/>
  <c r="L346" i="53"/>
  <c r="L357" i="53" s="1"/>
  <c r="L344" i="53"/>
  <c r="L355" i="53" s="1"/>
  <c r="L340" i="53"/>
  <c r="L351" i="53" s="1"/>
  <c r="L339" i="53"/>
  <c r="L350" i="53" s="1"/>
  <c r="L343" i="53"/>
  <c r="L354" i="53" s="1"/>
  <c r="L338" i="53"/>
  <c r="L349" i="53" s="1"/>
  <c r="L345" i="53"/>
  <c r="L356" i="53" s="1"/>
  <c r="AH87" i="83"/>
  <c r="AH97" i="83"/>
  <c r="V120" i="80"/>
  <c r="V132" i="80" s="1"/>
  <c r="V146" i="80" s="1"/>
  <c r="V172" i="80" s="1"/>
  <c r="V83" i="83"/>
  <c r="V113" i="83"/>
  <c r="V105" i="83"/>
  <c r="V116" i="80"/>
  <c r="V128" i="80" s="1"/>
  <c r="AH118" i="80"/>
  <c r="AH130" i="80" s="1"/>
  <c r="AH114" i="83"/>
  <c r="V117" i="80"/>
  <c r="V129" i="80" s="1"/>
  <c r="V96" i="80"/>
  <c r="V108" i="80" s="1"/>
  <c r="V145" i="80" s="1"/>
  <c r="V108" i="83"/>
  <c r="V82" i="83"/>
  <c r="V72" i="80"/>
  <c r="V84" i="80" s="1"/>
  <c r="AH98" i="80"/>
  <c r="AH110" i="80" s="1"/>
  <c r="AH147" i="80" s="1"/>
  <c r="V78" i="80"/>
  <c r="V90" i="80" s="1"/>
  <c r="AH81" i="83"/>
  <c r="V94" i="80"/>
  <c r="V106" i="80" s="1"/>
  <c r="AF97" i="80"/>
  <c r="AF109" i="80" s="1"/>
  <c r="AH95" i="80"/>
  <c r="AH107" i="80" s="1"/>
  <c r="AH100" i="80"/>
  <c r="AH112" i="80" s="1"/>
  <c r="V77" i="80"/>
  <c r="V89" i="80" s="1"/>
  <c r="V111" i="83"/>
  <c r="V93" i="83"/>
  <c r="V100" i="80"/>
  <c r="V112" i="80" s="1"/>
  <c r="V98" i="80"/>
  <c r="V110" i="80" s="1"/>
  <c r="V147" i="80" s="1"/>
  <c r="V173" i="80" s="1"/>
  <c r="V100" i="83"/>
  <c r="AH71" i="80"/>
  <c r="AH83" i="80" s="1"/>
  <c r="H81" i="87" a="1"/>
  <c r="H81" i="87" s="1"/>
  <c r="H88" i="87" s="1"/>
  <c r="V85" i="83"/>
  <c r="V94" i="83"/>
  <c r="AD208" i="80"/>
  <c r="AL208" i="80"/>
  <c r="AG208" i="80"/>
  <c r="W208" i="80"/>
  <c r="AO208" i="80"/>
  <c r="AH78" i="80"/>
  <c r="AH90" i="80" s="1"/>
  <c r="AH109" i="83"/>
  <c r="U100" i="83"/>
  <c r="U109" i="83"/>
  <c r="U113" i="83"/>
  <c r="V122" i="80"/>
  <c r="V134" i="80" s="1"/>
  <c r="V148" i="80" s="1"/>
  <c r="V174" i="80" s="1"/>
  <c r="V95" i="80"/>
  <c r="V107" i="80" s="1"/>
  <c r="V114" i="83"/>
  <c r="AH122" i="80"/>
  <c r="AH134" i="80" s="1"/>
  <c r="AH148" i="80" s="1"/>
  <c r="AH174" i="80" s="1"/>
  <c r="V109" i="83"/>
  <c r="AH110" i="83"/>
  <c r="AH123" i="80"/>
  <c r="AH135" i="80" s="1"/>
  <c r="V101" i="80"/>
  <c r="V113" i="80" s="1"/>
  <c r="AH97" i="80"/>
  <c r="AH109" i="80" s="1"/>
  <c r="AH146" i="80" s="1"/>
  <c r="AH172" i="80" s="1"/>
  <c r="V87" i="83"/>
  <c r="AH88" i="83"/>
  <c r="V88" i="83"/>
  <c r="V70" i="80"/>
  <c r="V82" i="80" s="1"/>
  <c r="AH102" i="83"/>
  <c r="AH77" i="80"/>
  <c r="AH89" i="80" s="1"/>
  <c r="U89" i="83"/>
  <c r="U87" i="83"/>
  <c r="U71" i="80"/>
  <c r="U83" i="80" s="1"/>
  <c r="U99" i="83"/>
  <c r="U76" i="80"/>
  <c r="U88" i="80" s="1"/>
  <c r="U95" i="83"/>
  <c r="S270" i="83"/>
  <c r="AH145" i="80"/>
  <c r="AH171" i="80" s="1"/>
  <c r="AK110" i="80"/>
  <c r="AK147" i="80" s="1"/>
  <c r="AK173" i="80" s="1"/>
  <c r="Q106" i="80"/>
  <c r="Q143" i="80" s="1"/>
  <c r="Q169" i="80" s="1"/>
  <c r="AE111" i="80"/>
  <c r="AE148" i="80" s="1"/>
  <c r="AE174" i="80" s="1"/>
  <c r="AP106" i="80"/>
  <c r="AP143" i="80" s="1"/>
  <c r="AP169" i="80" s="1"/>
  <c r="AC112" i="80"/>
  <c r="AC149" i="80" s="1"/>
  <c r="AC175" i="80" s="1"/>
  <c r="Q107" i="80"/>
  <c r="Q144" i="80" s="1"/>
  <c r="Q170" i="80" s="1"/>
  <c r="AI111" i="80"/>
  <c r="AI148" i="80" s="1"/>
  <c r="AI174" i="80" s="1"/>
  <c r="AJ106" i="80"/>
  <c r="AJ143" i="80" s="1"/>
  <c r="AJ169" i="80" s="1"/>
  <c r="AJ109" i="80"/>
  <c r="AJ146" i="80" s="1"/>
  <c r="AJ172" i="80" s="1"/>
  <c r="AK109" i="80"/>
  <c r="AK146" i="80" s="1"/>
  <c r="AK172" i="80" s="1"/>
  <c r="AJ107" i="80"/>
  <c r="AJ144" i="80" s="1"/>
  <c r="AJ170" i="80" s="1"/>
  <c r="AN106" i="80"/>
  <c r="AN143" i="80" s="1"/>
  <c r="AN169" i="80" s="1"/>
  <c r="AE107" i="80"/>
  <c r="AE144" i="80" s="1"/>
  <c r="AE170" i="80" s="1"/>
  <c r="AP108" i="80"/>
  <c r="AP145" i="80" s="1"/>
  <c r="AP171" i="80" s="1"/>
  <c r="AC109" i="80"/>
  <c r="AC146" i="80" s="1"/>
  <c r="AC172" i="80" s="1"/>
  <c r="Q112" i="80"/>
  <c r="Q149" i="80" s="1"/>
  <c r="Q175" i="80" s="1"/>
  <c r="AI112" i="80"/>
  <c r="AI149" i="80" s="1"/>
  <c r="AI175" i="80" s="1"/>
  <c r="AI106" i="80"/>
  <c r="AI143" i="80" s="1"/>
  <c r="AI169" i="80" s="1"/>
  <c r="AP111" i="80"/>
  <c r="AP148" i="80" s="1"/>
  <c r="AP174" i="80" s="1"/>
  <c r="AP107" i="80"/>
  <c r="AP144" i="80" s="1"/>
  <c r="AP170" i="80" s="1"/>
  <c r="AJ112" i="80"/>
  <c r="AJ149" i="80" s="1"/>
  <c r="AJ175" i="80" s="1"/>
  <c r="AK113" i="80"/>
  <c r="AK150" i="80" s="1"/>
  <c r="AI108" i="80"/>
  <c r="AI145" i="80" s="1"/>
  <c r="AI171" i="80" s="1"/>
  <c r="AC113" i="80"/>
  <c r="AC150" i="80" s="1"/>
  <c r="AJ108" i="80"/>
  <c r="AJ145" i="80" s="1"/>
  <c r="AJ171" i="80" s="1"/>
  <c r="Q113" i="80"/>
  <c r="Q150" i="80" s="1"/>
  <c r="AN107" i="80"/>
  <c r="AN144" i="80" s="1"/>
  <c r="AN170" i="80" s="1"/>
  <c r="AI109" i="80"/>
  <c r="AI146" i="80" s="1"/>
  <c r="AI172" i="80" s="1"/>
  <c r="R111" i="80"/>
  <c r="R148" i="80" s="1"/>
  <c r="R174" i="80" s="1"/>
  <c r="AI113" i="80"/>
  <c r="AI150" i="80" s="1"/>
  <c r="W176" i="80"/>
  <c r="W177" i="80" s="1"/>
  <c r="AH106" i="80"/>
  <c r="AE110" i="80"/>
  <c r="AE147" i="80" s="1"/>
  <c r="AE173" i="80" s="1"/>
  <c r="AE112" i="80"/>
  <c r="AE149" i="80" s="1"/>
  <c r="AE175" i="80" s="1"/>
  <c r="AI110" i="80"/>
  <c r="AI147" i="80" s="1"/>
  <c r="AI173" i="80" s="1"/>
  <c r="P109" i="80"/>
  <c r="P146" i="80" s="1"/>
  <c r="P172" i="80" s="1"/>
  <c r="AM106" i="80"/>
  <c r="AM143" i="80" s="1"/>
  <c r="AM169" i="80" s="1"/>
  <c r="AM107" i="80"/>
  <c r="AM144" i="80" s="1"/>
  <c r="AM170" i="80" s="1"/>
  <c r="AM108" i="80"/>
  <c r="AM145" i="80" s="1"/>
  <c r="AM171" i="80" s="1"/>
  <c r="AJ111" i="80"/>
  <c r="AJ148" i="80" s="1"/>
  <c r="AJ174" i="80" s="1"/>
  <c r="P112" i="80"/>
  <c r="P149" i="80" s="1"/>
  <c r="P175" i="80" s="1"/>
  <c r="AK111" i="80"/>
  <c r="AK148" i="80" s="1"/>
  <c r="AK174" i="80" s="1"/>
  <c r="R108" i="80"/>
  <c r="R145" i="80" s="1"/>
  <c r="R171" i="80" s="1"/>
  <c r="P107" i="80"/>
  <c r="P144" i="80" s="1"/>
  <c r="P170" i="80" s="1"/>
  <c r="AC110" i="80"/>
  <c r="AC147" i="80" s="1"/>
  <c r="AC173" i="80" s="1"/>
  <c r="AC111" i="80"/>
  <c r="AC148" i="80" s="1"/>
  <c r="AC174" i="80" s="1"/>
  <c r="AN109" i="80"/>
  <c r="AN146" i="80" s="1"/>
  <c r="AN172" i="80" s="1"/>
  <c r="R106" i="80"/>
  <c r="R143" i="80" s="1"/>
  <c r="R169" i="80" s="1"/>
  <c r="AM110" i="80"/>
  <c r="AM147" i="80" s="1"/>
  <c r="AM173" i="80" s="1"/>
  <c r="AJ110" i="80"/>
  <c r="AJ147" i="80" s="1"/>
  <c r="AJ173" i="80" s="1"/>
  <c r="P108" i="80"/>
  <c r="P145" i="80" s="1"/>
  <c r="P171" i="80" s="1"/>
  <c r="AK107" i="80"/>
  <c r="AK144" i="80" s="1"/>
  <c r="AK170" i="80" s="1"/>
  <c r="AN111" i="80"/>
  <c r="AN148" i="80" s="1"/>
  <c r="AN174" i="80" s="1"/>
  <c r="R109" i="80"/>
  <c r="R146" i="80" s="1"/>
  <c r="R172" i="80" s="1"/>
  <c r="AM112" i="80"/>
  <c r="AM149" i="80" s="1"/>
  <c r="AM175" i="80" s="1"/>
  <c r="AM113" i="80"/>
  <c r="AM150" i="80" s="1"/>
  <c r="AE109" i="80"/>
  <c r="AE146" i="80" s="1"/>
  <c r="AE172" i="80" s="1"/>
  <c r="AK108" i="80"/>
  <c r="AK145" i="80" s="1"/>
  <c r="AK171" i="80" s="1"/>
  <c r="P106" i="80"/>
  <c r="P143" i="80" s="1"/>
  <c r="P169" i="80" s="1"/>
  <c r="Q108" i="80"/>
  <c r="Q145" i="80" s="1"/>
  <c r="Q171" i="80" s="1"/>
  <c r="AN110" i="80"/>
  <c r="AN147" i="80" s="1"/>
  <c r="AN173" i="80" s="1"/>
  <c r="AN113" i="80"/>
  <c r="AN150" i="80" s="1"/>
  <c r="R112" i="80"/>
  <c r="R149" i="80" s="1"/>
  <c r="R175" i="80" s="1"/>
  <c r="AP113" i="80"/>
  <c r="AP150" i="80" s="1"/>
  <c r="AC107" i="80"/>
  <c r="AC144" i="80" s="1"/>
  <c r="AC170" i="80" s="1"/>
  <c r="AF106" i="80"/>
  <c r="AF110" i="80"/>
  <c r="AE106" i="80"/>
  <c r="AE143" i="80" s="1"/>
  <c r="AE169" i="80" s="1"/>
  <c r="AP112" i="80"/>
  <c r="AP149" i="80" s="1"/>
  <c r="AP175" i="80" s="1"/>
  <c r="AC108" i="80"/>
  <c r="AC145" i="80" s="1"/>
  <c r="AC171" i="80" s="1"/>
  <c r="Q110" i="80"/>
  <c r="Q147" i="80" s="1"/>
  <c r="Q173" i="80" s="1"/>
  <c r="AI107" i="80"/>
  <c r="AI144" i="80" s="1"/>
  <c r="AI170" i="80" s="1"/>
  <c r="R110" i="80"/>
  <c r="R147" i="80" s="1"/>
  <c r="R173" i="80" s="1"/>
  <c r="Q111" i="80"/>
  <c r="Q148" i="80" s="1"/>
  <c r="Q174" i="80" s="1"/>
  <c r="R113" i="80"/>
  <c r="R150" i="80" s="1"/>
  <c r="AJ113" i="80"/>
  <c r="AJ150" i="80" s="1"/>
  <c r="P111" i="80"/>
  <c r="P148" i="80" s="1"/>
  <c r="P174" i="80" s="1"/>
  <c r="AK106" i="80"/>
  <c r="AK143" i="80" s="1"/>
  <c r="AK169" i="80" s="1"/>
  <c r="AK112" i="80"/>
  <c r="AK149" i="80" s="1"/>
  <c r="AK175" i="80" s="1"/>
  <c r="Q109" i="80"/>
  <c r="Q146" i="80" s="1"/>
  <c r="Q172" i="80" s="1"/>
  <c r="AN108" i="80"/>
  <c r="AN145" i="80" s="1"/>
  <c r="AN171" i="80" s="1"/>
  <c r="AH113" i="80"/>
  <c r="AE113" i="80"/>
  <c r="AE150" i="80" s="1"/>
  <c r="AE108" i="80"/>
  <c r="AE145" i="80" s="1"/>
  <c r="AE171" i="80" s="1"/>
  <c r="AP109" i="80"/>
  <c r="AP146" i="80" s="1"/>
  <c r="AP172" i="80" s="1"/>
  <c r="P113" i="80"/>
  <c r="P150" i="80" s="1"/>
  <c r="AM109" i="80"/>
  <c r="AM146" i="80" s="1"/>
  <c r="AM172" i="80" s="1"/>
  <c r="AM111" i="80"/>
  <c r="AM148" i="80" s="1"/>
  <c r="AM174" i="80" s="1"/>
  <c r="P110" i="80"/>
  <c r="P147" i="80" s="1"/>
  <c r="P173" i="80" s="1"/>
  <c r="AN112" i="80"/>
  <c r="AN149" i="80" s="1"/>
  <c r="AN175" i="80" s="1"/>
  <c r="AP110" i="80"/>
  <c r="AP147" i="80" s="1"/>
  <c r="AP173" i="80" s="1"/>
  <c r="R107" i="80"/>
  <c r="R144" i="80" s="1"/>
  <c r="R170" i="80" s="1"/>
  <c r="AC106" i="80"/>
  <c r="AC143" i="80" s="1"/>
  <c r="AC169" i="80" s="1"/>
  <c r="U77" i="80"/>
  <c r="U89" i="80" s="1"/>
  <c r="L316" i="53"/>
  <c r="M296" i="53"/>
  <c r="U100" i="80"/>
  <c r="U101" i="83"/>
  <c r="U93" i="83"/>
  <c r="U93" i="80"/>
  <c r="U105" i="80" s="1"/>
  <c r="M294" i="53"/>
  <c r="M304" i="53"/>
  <c r="M308" i="53"/>
  <c r="M319" i="53"/>
  <c r="M297" i="53"/>
  <c r="U94" i="83"/>
  <c r="M307" i="53"/>
  <c r="M301" i="53"/>
  <c r="M293" i="53"/>
  <c r="M323" i="53"/>
  <c r="M316" i="53"/>
  <c r="M309" i="53"/>
  <c r="M312" i="53"/>
  <c r="M300" i="53"/>
  <c r="M320" i="53"/>
  <c r="M305" i="53"/>
  <c r="M298" i="53"/>
  <c r="U99" i="80"/>
  <c r="M317" i="53"/>
  <c r="L297" i="53"/>
  <c r="L295" i="53"/>
  <c r="U122" i="80"/>
  <c r="U134" i="80" s="1"/>
  <c r="M315" i="53"/>
  <c r="M311" i="53"/>
  <c r="L301" i="53"/>
  <c r="L298" i="53"/>
  <c r="L311" i="53"/>
  <c r="L308" i="53"/>
  <c r="L293" i="53"/>
  <c r="L306" i="53"/>
  <c r="L304" i="53"/>
  <c r="L300" i="53"/>
  <c r="L312" i="53"/>
  <c r="L309" i="53"/>
  <c r="U112" i="83"/>
  <c r="L321" i="53"/>
  <c r="L322" i="53"/>
  <c r="L307" i="53"/>
  <c r="U78" i="80"/>
  <c r="U90" i="80" s="1"/>
  <c r="U90" i="83"/>
  <c r="L319" i="53"/>
  <c r="L320" i="53"/>
  <c r="L310" i="53"/>
  <c r="L299" i="53"/>
  <c r="L296" i="53"/>
  <c r="L315" i="53"/>
  <c r="L323" i="53"/>
  <c r="L305" i="53"/>
  <c r="L294" i="53"/>
  <c r="L317" i="53"/>
  <c r="U114" i="83"/>
  <c r="U124" i="80"/>
  <c r="U136" i="80" s="1"/>
  <c r="U108" i="83"/>
  <c r="U118" i="80"/>
  <c r="U130" i="80" s="1"/>
  <c r="U96" i="80"/>
  <c r="U97" i="83"/>
  <c r="U72" i="80"/>
  <c r="U84" i="80" s="1"/>
  <c r="U84" i="83"/>
  <c r="S316" i="53"/>
  <c r="S318" i="53"/>
  <c r="S322" i="53"/>
  <c r="S310" i="53"/>
  <c r="S294" i="53"/>
  <c r="S311" i="53"/>
  <c r="S315" i="53"/>
  <c r="S300" i="53"/>
  <c r="S319" i="53"/>
  <c r="S323" i="53"/>
  <c r="S298" i="53"/>
  <c r="S312" i="53"/>
  <c r="S299" i="53"/>
  <c r="S304" i="53"/>
  <c r="S301" i="53"/>
  <c r="S320" i="53"/>
  <c r="S309" i="53"/>
  <c r="S307" i="53"/>
  <c r="S293" i="53"/>
  <c r="S308" i="53"/>
  <c r="S305" i="53"/>
  <c r="S317" i="53"/>
  <c r="S321" i="53"/>
  <c r="S297" i="53"/>
  <c r="S295" i="53"/>
  <c r="S306" i="53"/>
  <c r="S296" i="53"/>
  <c r="M322" i="53"/>
  <c r="M306" i="53"/>
  <c r="M295" i="53"/>
  <c r="M310" i="53"/>
  <c r="M299" i="53"/>
  <c r="M318" i="53"/>
  <c r="U96" i="83"/>
  <c r="U95" i="80"/>
  <c r="U107" i="83"/>
  <c r="U117" i="80"/>
  <c r="U129" i="80" s="1"/>
  <c r="U111" i="83"/>
  <c r="U121" i="80"/>
  <c r="U133" i="80" s="1"/>
  <c r="U97" i="80"/>
  <c r="U98" i="83"/>
  <c r="U110" i="83"/>
  <c r="U120" i="80"/>
  <c r="U132" i="80" s="1"/>
  <c r="U116" i="80"/>
  <c r="U128" i="80" s="1"/>
  <c r="U105" i="83"/>
  <c r="U106" i="83"/>
  <c r="K316" i="53"/>
  <c r="K320" i="53"/>
  <c r="K305" i="53"/>
  <c r="K309" i="53"/>
  <c r="K295" i="53"/>
  <c r="K294" i="53"/>
  <c r="K315" i="53"/>
  <c r="K317" i="53"/>
  <c r="K321" i="53"/>
  <c r="K306" i="53"/>
  <c r="K310" i="53"/>
  <c r="K297" i="53"/>
  <c r="K296" i="53"/>
  <c r="K304" i="53"/>
  <c r="K318" i="53"/>
  <c r="K322" i="53"/>
  <c r="K307" i="53"/>
  <c r="K311" i="53"/>
  <c r="K299" i="53"/>
  <c r="K298" i="53"/>
  <c r="K312" i="53"/>
  <c r="K319" i="53"/>
  <c r="K323" i="53"/>
  <c r="K308" i="53"/>
  <c r="K293" i="53"/>
  <c r="K301" i="53"/>
  <c r="K300" i="53"/>
  <c r="U70" i="80"/>
  <c r="U82" i="80" s="1"/>
  <c r="U81" i="83"/>
  <c r="U82" i="83"/>
  <c r="U102" i="83"/>
  <c r="U101" i="80"/>
  <c r="U85" i="83"/>
  <c r="U73" i="80"/>
  <c r="U85" i="80" s="1"/>
  <c r="U74" i="81"/>
  <c r="U76" i="81" s="1"/>
  <c r="U108" i="81" s="1"/>
  <c r="AH142" i="80"/>
  <c r="AH168" i="80" s="1"/>
  <c r="AF89" i="83"/>
  <c r="AF108" i="83"/>
  <c r="AF114" i="83"/>
  <c r="AF90" i="83"/>
  <c r="AF96" i="80"/>
  <c r="AF123" i="80"/>
  <c r="AF135" i="80" s="1"/>
  <c r="AF73" i="80"/>
  <c r="AF85" i="80" s="1"/>
  <c r="AF76" i="80"/>
  <c r="AF88" i="80" s="1"/>
  <c r="AF118" i="80"/>
  <c r="AF130" i="80" s="1"/>
  <c r="AF77" i="80"/>
  <c r="AF89" i="80" s="1"/>
  <c r="AF97" i="83"/>
  <c r="AF88" i="83"/>
  <c r="AF120" i="80"/>
  <c r="AF132" i="80" s="1"/>
  <c r="AF74" i="80"/>
  <c r="AF86" i="80" s="1"/>
  <c r="AF71" i="80"/>
  <c r="AF83" i="80" s="1"/>
  <c r="AF75" i="80"/>
  <c r="AF87" i="80" s="1"/>
  <c r="AF100" i="80"/>
  <c r="AF119" i="80"/>
  <c r="AF131" i="80" s="1"/>
  <c r="AF121" i="80"/>
  <c r="AF133" i="80" s="1"/>
  <c r="AF99" i="83"/>
  <c r="AF99" i="80"/>
  <c r="AF93" i="83"/>
  <c r="AF94" i="83"/>
  <c r="AF95" i="83"/>
  <c r="AF93" i="80"/>
  <c r="AF105" i="80" s="1"/>
  <c r="AF83" i="83"/>
  <c r="AF122" i="80"/>
  <c r="AF134" i="80" s="1"/>
  <c r="AF116" i="80"/>
  <c r="AF128" i="80" s="1"/>
  <c r="AF105" i="83"/>
  <c r="AF84" i="83"/>
  <c r="AF117" i="80"/>
  <c r="AF129" i="80" s="1"/>
  <c r="AF72" i="80"/>
  <c r="AF84" i="80" s="1"/>
  <c r="AF102" i="83"/>
  <c r="AF101" i="80"/>
  <c r="AF95" i="80"/>
  <c r="H214" i="80"/>
  <c r="H226" i="80" s="1"/>
  <c r="H219" i="80"/>
  <c r="H231" i="80" s="1"/>
  <c r="H222" i="80"/>
  <c r="H217" i="80"/>
  <c r="H229" i="80" s="1"/>
  <c r="H216" i="80"/>
  <c r="H228" i="80" s="1"/>
  <c r="H215" i="80"/>
  <c r="H227" i="80" s="1"/>
  <c r="H218" i="80"/>
  <c r="H230" i="80" s="1"/>
  <c r="H221" i="80"/>
  <c r="H233" i="80" s="1"/>
  <c r="H220" i="80"/>
  <c r="H232" i="80" s="1"/>
  <c r="AG176" i="80"/>
  <c r="AG177" i="80" s="1"/>
  <c r="AO176" i="80"/>
  <c r="AO177" i="80" s="1"/>
  <c r="AC39" i="74"/>
  <c r="AC84" i="74" s="1"/>
  <c r="AN39" i="74"/>
  <c r="AN84" i="74" s="1"/>
  <c r="AK39" i="74"/>
  <c r="AK84" i="74" s="1"/>
  <c r="AL32" i="74"/>
  <c r="AL77" i="74" s="1"/>
  <c r="AN32" i="74"/>
  <c r="AN77" i="74" s="1"/>
  <c r="AP39" i="74"/>
  <c r="AP84" i="74" s="1"/>
  <c r="AG39" i="74"/>
  <c r="AG84" i="74" s="1"/>
  <c r="AO32" i="74"/>
  <c r="AO77" i="74" s="1"/>
  <c r="AE32" i="74"/>
  <c r="AE77" i="74" s="1"/>
  <c r="AF32" i="74"/>
  <c r="AF77" i="74" s="1"/>
  <c r="AI39" i="74"/>
  <c r="AI84" i="74" s="1"/>
  <c r="AM39" i="74"/>
  <c r="AM84" i="74" s="1"/>
  <c r="AF39" i="74"/>
  <c r="AF84" i="74" s="1"/>
  <c r="AH39" i="74"/>
  <c r="AH84" i="74" s="1"/>
  <c r="AI32" i="74"/>
  <c r="AI77" i="74" s="1"/>
  <c r="AP32" i="74"/>
  <c r="AP77" i="74" s="1"/>
  <c r="AK32" i="74"/>
  <c r="AK77" i="74" s="1"/>
  <c r="AD32" i="74"/>
  <c r="AD77" i="74" s="1"/>
  <c r="AG32" i="74"/>
  <c r="AG77" i="74" s="1"/>
  <c r="AC32" i="74"/>
  <c r="AC77" i="74" s="1"/>
  <c r="AM32" i="74"/>
  <c r="AM77" i="74" s="1"/>
  <c r="AE39" i="74"/>
  <c r="AE84" i="74" s="1"/>
  <c r="AJ39" i="74"/>
  <c r="AJ84" i="74" s="1"/>
  <c r="AD39" i="74"/>
  <c r="AD84" i="74" s="1"/>
  <c r="AO39" i="74"/>
  <c r="AO84" i="74" s="1"/>
  <c r="AL39" i="74"/>
  <c r="AL84" i="74" s="1"/>
  <c r="AH32" i="74"/>
  <c r="AH77" i="74" s="1"/>
  <c r="AJ32" i="74"/>
  <c r="AJ77" i="74" s="1"/>
  <c r="AI45" i="74"/>
  <c r="AI90" i="74" s="1"/>
  <c r="AH45" i="74"/>
  <c r="AH90" i="74" s="1"/>
  <c r="AD45" i="74"/>
  <c r="AD90" i="74" s="1"/>
  <c r="AD43" i="74"/>
  <c r="AD88" i="74" s="1"/>
  <c r="AG43" i="74"/>
  <c r="AG88" i="74" s="1"/>
  <c r="AL43" i="74"/>
  <c r="AL88" i="74" s="1"/>
  <c r="AP43" i="74"/>
  <c r="AP88" i="74" s="1"/>
  <c r="AM45" i="74"/>
  <c r="AM90" i="74" s="1"/>
  <c r="AJ45" i="74"/>
  <c r="AJ90" i="74" s="1"/>
  <c r="AO45" i="74"/>
  <c r="AO90" i="74" s="1"/>
  <c r="AE43" i="74"/>
  <c r="AE88" i="74" s="1"/>
  <c r="AI43" i="74"/>
  <c r="AI88" i="74" s="1"/>
  <c r="AF43" i="74"/>
  <c r="AF88" i="74" s="1"/>
  <c r="AK43" i="74"/>
  <c r="AK88" i="74" s="1"/>
  <c r="AG45" i="74"/>
  <c r="AG90" i="74" s="1"/>
  <c r="AP45" i="74"/>
  <c r="AP90" i="74" s="1"/>
  <c r="AE45" i="74"/>
  <c r="AE90" i="74" s="1"/>
  <c r="AK45" i="74"/>
  <c r="AK90" i="74" s="1"/>
  <c r="AF45" i="74"/>
  <c r="AF90" i="74" s="1"/>
  <c r="AC43" i="74"/>
  <c r="AC88" i="74" s="1"/>
  <c r="AM43" i="74"/>
  <c r="AM88" i="74" s="1"/>
  <c r="AH43" i="74"/>
  <c r="AH88" i="74" s="1"/>
  <c r="AO43" i="74"/>
  <c r="AO88" i="74" s="1"/>
  <c r="AN43" i="74"/>
  <c r="AN88" i="74" s="1"/>
  <c r="AN45" i="74"/>
  <c r="AN90" i="74" s="1"/>
  <c r="AL45" i="74"/>
  <c r="AL90" i="74" s="1"/>
  <c r="AC45" i="74"/>
  <c r="AC90" i="74" s="1"/>
  <c r="AJ43" i="74"/>
  <c r="AJ88" i="74" s="1"/>
  <c r="H302" i="31" a="1"/>
  <c r="H302" i="31" s="1"/>
  <c r="AM142" i="80"/>
  <c r="AM168" i="80" s="1"/>
  <c r="AE142" i="80"/>
  <c r="AE168" i="80" s="1"/>
  <c r="AN142" i="80"/>
  <c r="AN168" i="80" s="1"/>
  <c r="AP142" i="80"/>
  <c r="AP168" i="80" s="1"/>
  <c r="P142" i="80"/>
  <c r="P168" i="80" s="1"/>
  <c r="AJ142" i="80"/>
  <c r="AJ168" i="80" s="1"/>
  <c r="Q142" i="80"/>
  <c r="Q168" i="80" s="1"/>
  <c r="R142" i="80"/>
  <c r="R168" i="80" s="1"/>
  <c r="AC142" i="80"/>
  <c r="AC168" i="80" s="1"/>
  <c r="AK142" i="80"/>
  <c r="AK168" i="80" s="1"/>
  <c r="AI142" i="80"/>
  <c r="AI168" i="80" s="1"/>
  <c r="Z304" i="53"/>
  <c r="Z520" i="53" s="1"/>
  <c r="Z315" i="53"/>
  <c r="Z531" i="53" s="1"/>
  <c r="Z293" i="53"/>
  <c r="Z509" i="53" s="1"/>
  <c r="Z301" i="53"/>
  <c r="Z517" i="53" s="1"/>
  <c r="Z308" i="53"/>
  <c r="Z524" i="53" s="1"/>
  <c r="Z321" i="53"/>
  <c r="Z537" i="53" s="1"/>
  <c r="Z299" i="53"/>
  <c r="Z515" i="53" s="1"/>
  <c r="Z316" i="53"/>
  <c r="Z532" i="53" s="1"/>
  <c r="Z305" i="53"/>
  <c r="Z521" i="53" s="1"/>
  <c r="Z300" i="53"/>
  <c r="Z516" i="53" s="1"/>
  <c r="Z298" i="53"/>
  <c r="Z514" i="53" s="1"/>
  <c r="Z310" i="53"/>
  <c r="Z526" i="53" s="1"/>
  <c r="Z323" i="53"/>
  <c r="Z539" i="53" s="1"/>
  <c r="Z318" i="53"/>
  <c r="Z534" i="53" s="1"/>
  <c r="Z312" i="53"/>
  <c r="Z528" i="53" s="1"/>
  <c r="Z317" i="53"/>
  <c r="Z533" i="53" s="1"/>
  <c r="Z296" i="53"/>
  <c r="Z512" i="53" s="1"/>
  <c r="Z307" i="53"/>
  <c r="Z523" i="53" s="1"/>
  <c r="Z294" i="53"/>
  <c r="Z510" i="53" s="1"/>
  <c r="Z309" i="53"/>
  <c r="Z525" i="53" s="1"/>
  <c r="Z306" i="53"/>
  <c r="Z522" i="53" s="1"/>
  <c r="Z319" i="53"/>
  <c r="Z535" i="53" s="1"/>
  <c r="Z322" i="53"/>
  <c r="Z538" i="53" s="1"/>
  <c r="Z297" i="53"/>
  <c r="Z513" i="53" s="1"/>
  <c r="Z320" i="53"/>
  <c r="Z536" i="53" s="1"/>
  <c r="Z311" i="53"/>
  <c r="Z527" i="53" s="1"/>
  <c r="Z295" i="53"/>
  <c r="Z511" i="53" s="1"/>
  <c r="AL176" i="80"/>
  <c r="AL177" i="80" s="1"/>
  <c r="X315" i="53"/>
  <c r="X531" i="53" s="1"/>
  <c r="X304" i="53"/>
  <c r="X520" i="53" s="1"/>
  <c r="X323" i="53"/>
  <c r="X539" i="53" s="1"/>
  <c r="X293" i="53"/>
  <c r="X509" i="53" s="1"/>
  <c r="X312" i="53"/>
  <c r="X528" i="53" s="1"/>
  <c r="X301" i="53"/>
  <c r="X517" i="53" s="1"/>
  <c r="X316" i="53"/>
  <c r="X532" i="53" s="1"/>
  <c r="X296" i="53"/>
  <c r="X512" i="53" s="1"/>
  <c r="X295" i="53"/>
  <c r="X511" i="53" s="1"/>
  <c r="X299" i="53"/>
  <c r="X515" i="53" s="1"/>
  <c r="X318" i="53"/>
  <c r="X534" i="53" s="1"/>
  <c r="X306" i="53"/>
  <c r="X522" i="53" s="1"/>
  <c r="X309" i="53"/>
  <c r="X525" i="53" s="1"/>
  <c r="X297" i="53"/>
  <c r="X513" i="53" s="1"/>
  <c r="X319" i="53"/>
  <c r="X535" i="53" s="1"/>
  <c r="X307" i="53"/>
  <c r="X523" i="53" s="1"/>
  <c r="X305" i="53"/>
  <c r="X521" i="53" s="1"/>
  <c r="X311" i="53"/>
  <c r="X527" i="53" s="1"/>
  <c r="X317" i="53"/>
  <c r="X533" i="53" s="1"/>
  <c r="X321" i="53"/>
  <c r="X537" i="53" s="1"/>
  <c r="X320" i="53"/>
  <c r="X536" i="53" s="1"/>
  <c r="X310" i="53"/>
  <c r="X526" i="53" s="1"/>
  <c r="X308" i="53"/>
  <c r="X524" i="53" s="1"/>
  <c r="X322" i="53"/>
  <c r="X538" i="53" s="1"/>
  <c r="X294" i="53"/>
  <c r="X510" i="53" s="1"/>
  <c r="X300" i="53"/>
  <c r="X516" i="53" s="1"/>
  <c r="X298" i="53"/>
  <c r="X514" i="53" s="1"/>
  <c r="AA315" i="53"/>
  <c r="AA531" i="53" s="1"/>
  <c r="AA304" i="53"/>
  <c r="AA520" i="53" s="1"/>
  <c r="AA293" i="53"/>
  <c r="AA509" i="53" s="1"/>
  <c r="AA321" i="53"/>
  <c r="AA537" i="53" s="1"/>
  <c r="AA312" i="53"/>
  <c r="AA528" i="53" s="1"/>
  <c r="AA306" i="53"/>
  <c r="AA522" i="53" s="1"/>
  <c r="AA296" i="53"/>
  <c r="AA512" i="53" s="1"/>
  <c r="AA323" i="53"/>
  <c r="AA539" i="53" s="1"/>
  <c r="AA300" i="53"/>
  <c r="AA516" i="53" s="1"/>
  <c r="AA319" i="53"/>
  <c r="AA535" i="53" s="1"/>
  <c r="AA305" i="53"/>
  <c r="AA521" i="53" s="1"/>
  <c r="AA301" i="53"/>
  <c r="AA517" i="53" s="1"/>
  <c r="AA310" i="53"/>
  <c r="AA526" i="53" s="1"/>
  <c r="AA322" i="53"/>
  <c r="AA538" i="53" s="1"/>
  <c r="AA297" i="53"/>
  <c r="AA513" i="53" s="1"/>
  <c r="AA311" i="53"/>
  <c r="AA527" i="53" s="1"/>
  <c r="AA307" i="53"/>
  <c r="AA523" i="53" s="1"/>
  <c r="AA309" i="53"/>
  <c r="AA525" i="53" s="1"/>
  <c r="AA318" i="53"/>
  <c r="AA534" i="53" s="1"/>
  <c r="AA295" i="53"/>
  <c r="AA511" i="53" s="1"/>
  <c r="AA308" i="53"/>
  <c r="AA524" i="53" s="1"/>
  <c r="AA316" i="53"/>
  <c r="AA532" i="53" s="1"/>
  <c r="AA317" i="53"/>
  <c r="AA533" i="53" s="1"/>
  <c r="AA298" i="53"/>
  <c r="AA514" i="53" s="1"/>
  <c r="AA299" i="53"/>
  <c r="AA515" i="53" s="1"/>
  <c r="AA320" i="53"/>
  <c r="AA536" i="53" s="1"/>
  <c r="AA294" i="53"/>
  <c r="AA510" i="53" s="1"/>
  <c r="AB304" i="53"/>
  <c r="AB520" i="53" s="1"/>
  <c r="AB315" i="53"/>
  <c r="AB531" i="53" s="1"/>
  <c r="AB293" i="53"/>
  <c r="AB509" i="53" s="1"/>
  <c r="AB310" i="53"/>
  <c r="AB526" i="53" s="1"/>
  <c r="AB317" i="53"/>
  <c r="AB533" i="53" s="1"/>
  <c r="AB307" i="53"/>
  <c r="AB523" i="53" s="1"/>
  <c r="AB296" i="53"/>
  <c r="AB512" i="53" s="1"/>
  <c r="AB298" i="53"/>
  <c r="AB514" i="53" s="1"/>
  <c r="AB305" i="53"/>
  <c r="AB521" i="53" s="1"/>
  <c r="AB312" i="53"/>
  <c r="AB528" i="53" s="1"/>
  <c r="AB295" i="53"/>
  <c r="AB511" i="53" s="1"/>
  <c r="AB322" i="53"/>
  <c r="AB538" i="53" s="1"/>
  <c r="AB323" i="53"/>
  <c r="AB539" i="53" s="1"/>
  <c r="AB299" i="53"/>
  <c r="AB515" i="53" s="1"/>
  <c r="AB301" i="53"/>
  <c r="AB517" i="53" s="1"/>
  <c r="AB306" i="53"/>
  <c r="AB522" i="53" s="1"/>
  <c r="AB319" i="53"/>
  <c r="AB535" i="53" s="1"/>
  <c r="AB308" i="53"/>
  <c r="AB524" i="53" s="1"/>
  <c r="AB318" i="53"/>
  <c r="AB534" i="53" s="1"/>
  <c r="AB311" i="53"/>
  <c r="AB527" i="53" s="1"/>
  <c r="AB321" i="53"/>
  <c r="AB537" i="53" s="1"/>
  <c r="AB300" i="53"/>
  <c r="AB516" i="53" s="1"/>
  <c r="AB309" i="53"/>
  <c r="AB525" i="53" s="1"/>
  <c r="AB294" i="53"/>
  <c r="AB510" i="53" s="1"/>
  <c r="AB316" i="53"/>
  <c r="AB532" i="53" s="1"/>
  <c r="AB297" i="53"/>
  <c r="AB513" i="53" s="1"/>
  <c r="AB320" i="53"/>
  <c r="AB536" i="53" s="1"/>
  <c r="AD176" i="80"/>
  <c r="AD177" i="80" s="1"/>
  <c r="Y315" i="53"/>
  <c r="Y531" i="53" s="1"/>
  <c r="Y304" i="53"/>
  <c r="Y520" i="53" s="1"/>
  <c r="Y293" i="53"/>
  <c r="Y509" i="53" s="1"/>
  <c r="Y297" i="53"/>
  <c r="Y513" i="53" s="1"/>
  <c r="Y295" i="53"/>
  <c r="Y511" i="53" s="1"/>
  <c r="Y312" i="53"/>
  <c r="Y528" i="53" s="1"/>
  <c r="Y318" i="53"/>
  <c r="Y534" i="53" s="1"/>
  <c r="Y301" i="53"/>
  <c r="Y517" i="53" s="1"/>
  <c r="Y307" i="53"/>
  <c r="Y523" i="53" s="1"/>
  <c r="Y300" i="53"/>
  <c r="Y516" i="53" s="1"/>
  <c r="Y298" i="53"/>
  <c r="Y514" i="53" s="1"/>
  <c r="Y323" i="53"/>
  <c r="Y539" i="53" s="1"/>
  <c r="Y319" i="53"/>
  <c r="Y535" i="53" s="1"/>
  <c r="Y320" i="53"/>
  <c r="Y536" i="53" s="1"/>
  <c r="Y321" i="53"/>
  <c r="Y537" i="53" s="1"/>
  <c r="Y309" i="53"/>
  <c r="Y525" i="53" s="1"/>
  <c r="Y316" i="53"/>
  <c r="Y532" i="53" s="1"/>
  <c r="Y299" i="53"/>
  <c r="Y515" i="53" s="1"/>
  <c r="Y296" i="53"/>
  <c r="Y512" i="53" s="1"/>
  <c r="Y310" i="53"/>
  <c r="Y526" i="53" s="1"/>
  <c r="Y294" i="53"/>
  <c r="Y510" i="53" s="1"/>
  <c r="Y308" i="53"/>
  <c r="Y524" i="53" s="1"/>
  <c r="Y311" i="53"/>
  <c r="Y527" i="53" s="1"/>
  <c r="Y305" i="53"/>
  <c r="Y521" i="53" s="1"/>
  <c r="Y317" i="53"/>
  <c r="Y533" i="53" s="1"/>
  <c r="Y306" i="53"/>
  <c r="Y522" i="53" s="1"/>
  <c r="Y322" i="53"/>
  <c r="Y538" i="53" s="1"/>
  <c r="J42" i="55" l="1"/>
  <c r="A4" i="31"/>
  <c r="J38" i="55"/>
  <c r="A4" i="87"/>
  <c r="AC61" i="71"/>
  <c r="AC166" i="71" s="1"/>
  <c r="AM90" i="71"/>
  <c r="AM195" i="71" s="1"/>
  <c r="P90" i="71"/>
  <c r="P195" i="71" s="1"/>
  <c r="H396" i="53"/>
  <c r="S420" i="53" s="1"/>
  <c r="H397" i="53"/>
  <c r="S421" i="53" s="1"/>
  <c r="H400" i="53"/>
  <c r="S424" i="53" s="1"/>
  <c r="H398" i="53"/>
  <c r="S422" i="53" s="1"/>
  <c r="H403" i="53"/>
  <c r="S427" i="53" s="1"/>
  <c r="AC59" i="71"/>
  <c r="AC164" i="71" s="1"/>
  <c r="R86" i="71"/>
  <c r="R191" i="71" s="1"/>
  <c r="H399" i="53"/>
  <c r="S423" i="53" s="1"/>
  <c r="H404" i="53"/>
  <c r="S428" i="53" s="1"/>
  <c r="H401" i="53"/>
  <c r="H402" i="53"/>
  <c r="S426" i="53" s="1"/>
  <c r="AJ85" i="71"/>
  <c r="AJ190" i="71" s="1"/>
  <c r="AE91" i="71"/>
  <c r="AE196" i="71" s="1"/>
  <c r="AC85" i="71"/>
  <c r="AC190" i="71" s="1"/>
  <c r="AE26" i="71"/>
  <c r="AE131" i="71" s="1"/>
  <c r="AE58" i="71"/>
  <c r="AE163" i="71" s="1"/>
  <c r="AJ83" i="71"/>
  <c r="AJ188" i="71" s="1"/>
  <c r="AN58" i="71"/>
  <c r="AN163" i="71" s="1"/>
  <c r="AJ29" i="71"/>
  <c r="AJ134" i="71" s="1"/>
  <c r="AM24" i="71"/>
  <c r="AM129" i="71" s="1"/>
  <c r="AM91" i="71"/>
  <c r="AM196" i="71" s="1"/>
  <c r="AE83" i="71"/>
  <c r="AE188" i="71" s="1"/>
  <c r="AC25" i="71"/>
  <c r="AC130" i="71" s="1"/>
  <c r="AI83" i="71"/>
  <c r="AI188" i="71" s="1"/>
  <c r="AM60" i="71"/>
  <c r="AM165" i="71" s="1"/>
  <c r="P82" i="71"/>
  <c r="P187" i="71" s="1"/>
  <c r="AN22" i="71"/>
  <c r="AN127" i="71" s="1"/>
  <c r="AP22" i="71"/>
  <c r="AP127" i="71" s="1"/>
  <c r="AN82" i="71"/>
  <c r="AN187" i="71" s="1"/>
  <c r="P52" i="71"/>
  <c r="P157" i="71" s="1"/>
  <c r="Q52" i="71"/>
  <c r="Q157" i="71" s="1"/>
  <c r="AC82" i="71"/>
  <c r="AC187" i="71" s="1"/>
  <c r="AI82" i="71"/>
  <c r="AI187" i="71" s="1"/>
  <c r="AP82" i="71"/>
  <c r="AP187" i="71" s="1"/>
  <c r="AN52" i="71"/>
  <c r="AN157" i="71" s="1"/>
  <c r="AJ52" i="71"/>
  <c r="AJ157" i="71" s="1"/>
  <c r="AC22" i="71"/>
  <c r="AC127" i="71" s="1"/>
  <c r="AI52" i="71"/>
  <c r="AI157" i="71" s="1"/>
  <c r="AM52" i="71"/>
  <c r="AM157" i="71" s="1"/>
  <c r="AE22" i="71"/>
  <c r="AE127" i="71" s="1"/>
  <c r="AI22" i="71"/>
  <c r="AI127" i="71" s="1"/>
  <c r="R82" i="71"/>
  <c r="R187" i="71" s="1"/>
  <c r="AP52" i="71"/>
  <c r="AP157" i="71" s="1"/>
  <c r="Q22" i="71"/>
  <c r="Q127" i="71" s="1"/>
  <c r="AJ22" i="71"/>
  <c r="AJ127" i="71" s="1"/>
  <c r="P22" i="71"/>
  <c r="P127" i="71" s="1"/>
  <c r="AJ82" i="71"/>
  <c r="AJ187" i="71" s="1"/>
  <c r="R52" i="71"/>
  <c r="R157" i="71" s="1"/>
  <c r="AK22" i="71"/>
  <c r="AK127" i="71" s="1"/>
  <c r="AE82" i="71"/>
  <c r="AE187" i="71" s="1"/>
  <c r="AK82" i="71"/>
  <c r="AK187" i="71" s="1"/>
  <c r="R22" i="71"/>
  <c r="R127" i="71" s="1"/>
  <c r="AC52" i="71"/>
  <c r="AC157" i="71" s="1"/>
  <c r="AM22" i="71"/>
  <c r="AM127" i="71" s="1"/>
  <c r="AM82" i="71"/>
  <c r="AM187" i="71" s="1"/>
  <c r="AE52" i="71"/>
  <c r="AE157" i="71" s="1"/>
  <c r="AJ88" i="71"/>
  <c r="AJ193" i="71" s="1"/>
  <c r="Q85" i="71"/>
  <c r="Q190" i="71" s="1"/>
  <c r="AK23" i="71"/>
  <c r="AK128" i="71" s="1"/>
  <c r="S357" i="53"/>
  <c r="S349" i="53"/>
  <c r="S355" i="53"/>
  <c r="S350" i="53"/>
  <c r="AF59" i="71"/>
  <c r="AF164" i="71" s="1"/>
  <c r="Q90" i="71"/>
  <c r="Q195" i="71" s="1"/>
  <c r="AM23" i="71"/>
  <c r="AM128" i="71" s="1"/>
  <c r="AM58" i="71"/>
  <c r="AM163" i="71" s="1"/>
  <c r="AJ58" i="71"/>
  <c r="AJ163" i="71" s="1"/>
  <c r="AC31" i="71"/>
  <c r="AC136" i="71" s="1"/>
  <c r="AJ59" i="71"/>
  <c r="AJ164" i="71" s="1"/>
  <c r="AI26" i="71"/>
  <c r="AI131" i="71" s="1"/>
  <c r="AJ91" i="71"/>
  <c r="AJ196" i="71" s="1"/>
  <c r="AF83" i="71"/>
  <c r="AF188" i="71" s="1"/>
  <c r="Q83" i="71"/>
  <c r="Q188" i="71" s="1"/>
  <c r="AM53" i="71"/>
  <c r="AM158" i="71" s="1"/>
  <c r="AI58" i="71"/>
  <c r="AI163" i="71" s="1"/>
  <c r="V83" i="71"/>
  <c r="V188" i="71" s="1"/>
  <c r="AI56" i="71"/>
  <c r="AI161" i="71" s="1"/>
  <c r="AM57" i="71"/>
  <c r="AM162" i="71" s="1"/>
  <c r="AC87" i="71"/>
  <c r="AC192" i="71" s="1"/>
  <c r="AP83" i="71"/>
  <c r="AP188" i="71" s="1"/>
  <c r="AN89" i="71"/>
  <c r="AN194" i="71" s="1"/>
  <c r="AE88" i="71"/>
  <c r="AE193" i="71" s="1"/>
  <c r="AI54" i="71"/>
  <c r="AI159" i="71" s="1"/>
  <c r="Q84" i="71"/>
  <c r="Q189" i="71" s="1"/>
  <c r="AE29" i="71"/>
  <c r="AE134" i="71" s="1"/>
  <c r="AC88" i="71"/>
  <c r="AC193" i="71" s="1"/>
  <c r="AM29" i="71"/>
  <c r="AM134" i="71" s="1"/>
  <c r="AJ31" i="71"/>
  <c r="AJ136" i="71" s="1"/>
  <c r="AM27" i="71"/>
  <c r="AM132" i="71" s="1"/>
  <c r="AJ30" i="71"/>
  <c r="AJ135" i="71" s="1"/>
  <c r="AE30" i="71"/>
  <c r="AE135" i="71" s="1"/>
  <c r="P83" i="71"/>
  <c r="P188" i="71" s="1"/>
  <c r="AM25" i="71"/>
  <c r="AM130" i="71" s="1"/>
  <c r="AE27" i="71"/>
  <c r="AE132" i="71" s="1"/>
  <c r="AE23" i="71"/>
  <c r="AE128" i="71" s="1"/>
  <c r="R84" i="71"/>
  <c r="R189" i="71" s="1"/>
  <c r="AN28" i="71"/>
  <c r="AN133" i="71" s="1"/>
  <c r="AI59" i="71"/>
  <c r="AI164" i="71" s="1"/>
  <c r="AN30" i="71"/>
  <c r="AN135" i="71" s="1"/>
  <c r="AE56" i="71"/>
  <c r="AE161" i="71" s="1"/>
  <c r="AI60" i="71"/>
  <c r="AI165" i="71" s="1"/>
  <c r="AC57" i="71"/>
  <c r="AC162" i="71" s="1"/>
  <c r="AJ26" i="71"/>
  <c r="AJ131" i="71" s="1"/>
  <c r="AN24" i="71"/>
  <c r="AN129" i="71" s="1"/>
  <c r="AF86" i="71"/>
  <c r="AF191" i="71" s="1"/>
  <c r="AK53" i="71"/>
  <c r="AK158" i="71" s="1"/>
  <c r="AN57" i="71"/>
  <c r="AN162" i="71" s="1"/>
  <c r="AF27" i="71"/>
  <c r="AF132" i="71" s="1"/>
  <c r="R23" i="71"/>
  <c r="R128" i="71" s="1"/>
  <c r="AJ61" i="71"/>
  <c r="AJ166" i="71" s="1"/>
  <c r="AN23" i="71"/>
  <c r="AN128" i="71" s="1"/>
  <c r="AJ60" i="71"/>
  <c r="AJ165" i="71" s="1"/>
  <c r="AP23" i="71"/>
  <c r="AP128" i="71" s="1"/>
  <c r="AI61" i="71"/>
  <c r="AI166" i="71" s="1"/>
  <c r="R88" i="71"/>
  <c r="R193" i="71" s="1"/>
  <c r="AN31" i="71"/>
  <c r="AN136" i="71" s="1"/>
  <c r="P87" i="71"/>
  <c r="P192" i="71" s="1"/>
  <c r="AI88" i="71"/>
  <c r="AI193" i="71" s="1"/>
  <c r="AN29" i="71"/>
  <c r="AN134" i="71" s="1"/>
  <c r="AC23" i="71"/>
  <c r="AC128" i="71" s="1"/>
  <c r="R91" i="71"/>
  <c r="R196" i="71" s="1"/>
  <c r="AJ27" i="71"/>
  <c r="AJ132" i="71" s="1"/>
  <c r="AI53" i="71"/>
  <c r="AI158" i="71" s="1"/>
  <c r="AN83" i="71"/>
  <c r="AN188" i="71" s="1"/>
  <c r="AI90" i="71"/>
  <c r="AI195" i="71" s="1"/>
  <c r="R89" i="71"/>
  <c r="R194" i="71" s="1"/>
  <c r="AJ56" i="71"/>
  <c r="AJ161" i="71" s="1"/>
  <c r="AC60" i="71"/>
  <c r="AC165" i="71" s="1"/>
  <c r="AN60" i="71"/>
  <c r="AN165" i="71" s="1"/>
  <c r="AI84" i="71"/>
  <c r="AI189" i="71" s="1"/>
  <c r="R53" i="71"/>
  <c r="R158" i="71" s="1"/>
  <c r="AC89" i="71"/>
  <c r="AC194" i="71" s="1"/>
  <c r="AJ89" i="71"/>
  <c r="AJ194" i="71" s="1"/>
  <c r="AN55" i="71"/>
  <c r="AN160" i="71" s="1"/>
  <c r="AC53" i="71"/>
  <c r="AC158" i="71" s="1"/>
  <c r="AC58" i="71"/>
  <c r="AC163" i="71" s="1"/>
  <c r="AC55" i="71"/>
  <c r="AC160" i="71" s="1"/>
  <c r="Q86" i="71"/>
  <c r="Q191" i="71" s="1"/>
  <c r="AE54" i="71"/>
  <c r="AE159" i="71" s="1"/>
  <c r="P89" i="71"/>
  <c r="P194" i="71" s="1"/>
  <c r="AM84" i="71"/>
  <c r="AM189" i="71" s="1"/>
  <c r="AC27" i="71"/>
  <c r="AC132" i="71" s="1"/>
  <c r="AI86" i="71"/>
  <c r="AI191" i="71" s="1"/>
  <c r="AM61" i="71"/>
  <c r="AM166" i="71" s="1"/>
  <c r="AE85" i="71"/>
  <c r="AE190" i="71" s="1"/>
  <c r="P84" i="71"/>
  <c r="P189" i="71" s="1"/>
  <c r="AI87" i="71"/>
  <c r="AI192" i="71" s="1"/>
  <c r="AC83" i="71"/>
  <c r="AC188" i="71" s="1"/>
  <c r="AM89" i="71"/>
  <c r="AM194" i="71" s="1"/>
  <c r="AI30" i="71"/>
  <c r="AI135" i="71" s="1"/>
  <c r="V22" i="71"/>
  <c r="V127" i="71" s="1"/>
  <c r="AH60" i="71"/>
  <c r="AH165" i="71" s="1"/>
  <c r="V25" i="71"/>
  <c r="V130" i="71" s="1"/>
  <c r="U27" i="71"/>
  <c r="U132" i="71" s="1"/>
  <c r="AF88" i="71"/>
  <c r="AF193" i="71" s="1"/>
  <c r="V87" i="71"/>
  <c r="V192" i="71" s="1"/>
  <c r="V54" i="71"/>
  <c r="V159" i="71" s="1"/>
  <c r="AH23" i="71"/>
  <c r="AH128" i="71" s="1"/>
  <c r="AF87" i="71"/>
  <c r="AF192" i="71" s="1"/>
  <c r="AH31" i="71"/>
  <c r="AH136" i="71" s="1"/>
  <c r="V61" i="71"/>
  <c r="V166" i="71" s="1"/>
  <c r="AH82" i="71"/>
  <c r="AH187" i="71" s="1"/>
  <c r="AH58" i="71"/>
  <c r="AH163" i="71" s="1"/>
  <c r="AH24" i="71"/>
  <c r="AH129" i="71" s="1"/>
  <c r="AI27" i="71"/>
  <c r="AI132" i="71" s="1"/>
  <c r="AM26" i="71"/>
  <c r="AM131" i="71" s="1"/>
  <c r="R85" i="71"/>
  <c r="R190" i="71" s="1"/>
  <c r="AE89" i="71"/>
  <c r="AE194" i="71" s="1"/>
  <c r="AE53" i="71"/>
  <c r="AE158" i="71" s="1"/>
  <c r="AN26" i="71"/>
  <c r="AN131" i="71" s="1"/>
  <c r="AJ87" i="71"/>
  <c r="AJ192" i="71" s="1"/>
  <c r="AN91" i="71"/>
  <c r="AN196" i="71" s="1"/>
  <c r="AI57" i="71"/>
  <c r="AI162" i="71" s="1"/>
  <c r="AN85" i="71"/>
  <c r="AN190" i="71" s="1"/>
  <c r="AE84" i="71"/>
  <c r="AE189" i="71" s="1"/>
  <c r="AE31" i="71"/>
  <c r="AE136" i="71" s="1"/>
  <c r="AE59" i="71"/>
  <c r="AE164" i="71" s="1"/>
  <c r="AM54" i="71"/>
  <c r="AM159" i="71" s="1"/>
  <c r="AF57" i="71"/>
  <c r="AF162" i="71" s="1"/>
  <c r="V60" i="71"/>
  <c r="V165" i="71" s="1"/>
  <c r="V56" i="71"/>
  <c r="V161" i="71" s="1"/>
  <c r="V89" i="71"/>
  <c r="V194" i="71" s="1"/>
  <c r="AH84" i="71"/>
  <c r="AH189" i="71" s="1"/>
  <c r="V30" i="71"/>
  <c r="V135" i="71" s="1"/>
  <c r="AH85" i="71"/>
  <c r="AH190" i="71" s="1"/>
  <c r="AH55" i="71"/>
  <c r="AH160" i="71" s="1"/>
  <c r="V31" i="71"/>
  <c r="V136" i="71" s="1"/>
  <c r="AF28" i="71"/>
  <c r="AF133" i="71" s="1"/>
  <c r="V55" i="71"/>
  <c r="V160" i="71" s="1"/>
  <c r="AH57" i="71"/>
  <c r="AH162" i="71" s="1"/>
  <c r="V84" i="71"/>
  <c r="V189" i="71" s="1"/>
  <c r="V58" i="71"/>
  <c r="V163" i="71" s="1"/>
  <c r="AH54" i="71"/>
  <c r="AH159" i="71" s="1"/>
  <c r="AF89" i="71"/>
  <c r="AF194" i="71" s="1"/>
  <c r="AC26" i="71"/>
  <c r="AC131" i="71" s="1"/>
  <c r="AJ57" i="71"/>
  <c r="AJ162" i="71" s="1"/>
  <c r="AC24" i="71"/>
  <c r="AC129" i="71" s="1"/>
  <c r="AE28" i="71"/>
  <c r="AE133" i="71" s="1"/>
  <c r="AM88" i="71"/>
  <c r="AM193" i="71" s="1"/>
  <c r="AN54" i="71"/>
  <c r="AN159" i="71" s="1"/>
  <c r="AC56" i="71"/>
  <c r="AC161" i="71" s="1"/>
  <c r="AJ84" i="71"/>
  <c r="AJ189" i="71" s="1"/>
  <c r="R90" i="71"/>
  <c r="R195" i="71" s="1"/>
  <c r="AI85" i="71"/>
  <c r="AI190" i="71" s="1"/>
  <c r="R83" i="71"/>
  <c r="R188" i="71" s="1"/>
  <c r="AI89" i="71"/>
  <c r="AI194" i="71" s="1"/>
  <c r="P53" i="71"/>
  <c r="P158" i="71" s="1"/>
  <c r="AN25" i="71"/>
  <c r="AN130" i="71" s="1"/>
  <c r="AN61" i="71"/>
  <c r="AN166" i="71" s="1"/>
  <c r="Q89" i="71"/>
  <c r="Q194" i="71" s="1"/>
  <c r="P91" i="71"/>
  <c r="P196" i="71" s="1"/>
  <c r="AJ90" i="71"/>
  <c r="AJ195" i="71" s="1"/>
  <c r="AF90" i="71"/>
  <c r="AF195" i="71" s="1"/>
  <c r="AF60" i="71"/>
  <c r="AF165" i="71" s="1"/>
  <c r="AH144" i="80"/>
  <c r="AH170" i="80" s="1"/>
  <c r="AF155" i="83"/>
  <c r="AF154" i="83"/>
  <c r="AF181" i="83"/>
  <c r="AF187" i="83"/>
  <c r="AF159" i="83"/>
  <c r="AF29" i="71" s="1"/>
  <c r="AF134" i="71" s="1"/>
  <c r="AF160" i="83"/>
  <c r="U156" i="83"/>
  <c r="U26" i="71" s="1"/>
  <c r="U131" i="71" s="1"/>
  <c r="U152" i="83"/>
  <c r="U213" i="83"/>
  <c r="U85" i="71" s="1"/>
  <c r="U190" i="71" s="1"/>
  <c r="U181" i="83"/>
  <c r="U187" i="83"/>
  <c r="U58" i="71" s="1"/>
  <c r="U163" i="71" s="1"/>
  <c r="AH159" i="83"/>
  <c r="V219" i="83"/>
  <c r="U214" i="83"/>
  <c r="V213" i="83"/>
  <c r="V154" i="83"/>
  <c r="AH155" i="83"/>
  <c r="AF190" i="83"/>
  <c r="AF185" i="83"/>
  <c r="AF56" i="71" s="1"/>
  <c r="AF161" i="71" s="1"/>
  <c r="AF161" i="83"/>
  <c r="U211" i="83"/>
  <c r="U215" i="83"/>
  <c r="U87" i="71" s="1"/>
  <c r="U192" i="71" s="1"/>
  <c r="U216" i="83"/>
  <c r="U88" i="71" s="1"/>
  <c r="U193" i="71" s="1"/>
  <c r="U184" i="83"/>
  <c r="U55" i="71" s="1"/>
  <c r="U160" i="71" s="1"/>
  <c r="U185" i="83"/>
  <c r="U56" i="71" s="1"/>
  <c r="U161" i="71" s="1"/>
  <c r="U182" i="83"/>
  <c r="U53" i="71" s="1"/>
  <c r="U158" i="71" s="1"/>
  <c r="AH190" i="83"/>
  <c r="V158" i="83"/>
  <c r="AH215" i="83"/>
  <c r="U188" i="83"/>
  <c r="V182" i="83"/>
  <c r="V53" i="71" s="1"/>
  <c r="V158" i="71" s="1"/>
  <c r="V188" i="83"/>
  <c r="AH188" i="83"/>
  <c r="AF183" i="83"/>
  <c r="AF219" i="83"/>
  <c r="AF91" i="71" s="1"/>
  <c r="AF196" i="71" s="1"/>
  <c r="U190" i="83"/>
  <c r="U61" i="71" s="1"/>
  <c r="U166" i="71" s="1"/>
  <c r="U210" i="83"/>
  <c r="U186" i="83"/>
  <c r="U57" i="71" s="1"/>
  <c r="U162" i="71" s="1"/>
  <c r="U219" i="83"/>
  <c r="U91" i="71" s="1"/>
  <c r="U196" i="71" s="1"/>
  <c r="U161" i="83"/>
  <c r="U31" i="71" s="1"/>
  <c r="U136" i="71" s="1"/>
  <c r="U189" i="83"/>
  <c r="U60" i="71" s="1"/>
  <c r="U165" i="71" s="1"/>
  <c r="U183" i="83"/>
  <c r="U158" i="83"/>
  <c r="V214" i="83"/>
  <c r="AH214" i="83"/>
  <c r="V156" i="83"/>
  <c r="V181" i="83"/>
  <c r="V210" i="83"/>
  <c r="AH185" i="83"/>
  <c r="AF210" i="83"/>
  <c r="AF182" i="83"/>
  <c r="AF213" i="83"/>
  <c r="AF85" i="71" s="1"/>
  <c r="AF190" i="71" s="1"/>
  <c r="U153" i="83"/>
  <c r="U212" i="83"/>
  <c r="U84" i="71" s="1"/>
  <c r="U189" i="71" s="1"/>
  <c r="U155" i="83"/>
  <c r="U25" i="71" s="1"/>
  <c r="U130" i="71" s="1"/>
  <c r="U217" i="83"/>
  <c r="U89" i="71" s="1"/>
  <c r="U194" i="71" s="1"/>
  <c r="U160" i="83"/>
  <c r="V159" i="83"/>
  <c r="U218" i="83"/>
  <c r="V216" i="83"/>
  <c r="AH152" i="83"/>
  <c r="V153" i="83"/>
  <c r="AH219" i="83"/>
  <c r="V218" i="83"/>
  <c r="AH158" i="83"/>
  <c r="AH28" i="71" s="1"/>
  <c r="AH133" i="71" s="1"/>
  <c r="V149" i="80"/>
  <c r="V175" i="80" s="1"/>
  <c r="V142" i="80"/>
  <c r="V168" i="80" s="1"/>
  <c r="K356" i="53"/>
  <c r="M349" i="53"/>
  <c r="T442" i="53" s="1"/>
  <c r="T475" i="53" s="1"/>
  <c r="K355" i="53"/>
  <c r="M351" i="53"/>
  <c r="T444" i="53" s="1"/>
  <c r="T477" i="53" s="1"/>
  <c r="V143" i="80"/>
  <c r="V169" i="80" s="1"/>
  <c r="K352" i="53"/>
  <c r="K351" i="53"/>
  <c r="M356" i="53"/>
  <c r="T449" i="53" s="1"/>
  <c r="T482" i="53" s="1"/>
  <c r="M352" i="53"/>
  <c r="T445" i="53" s="1"/>
  <c r="T478" i="53" s="1"/>
  <c r="M350" i="53"/>
  <c r="T443" i="53" s="1"/>
  <c r="T476" i="53" s="1"/>
  <c r="K349" i="53"/>
  <c r="M354" i="53"/>
  <c r="T447" i="53" s="1"/>
  <c r="T480" i="53" s="1"/>
  <c r="K353" i="53"/>
  <c r="M353" i="53"/>
  <c r="T446" i="53" s="1"/>
  <c r="T479" i="53" s="1"/>
  <c r="V144" i="80"/>
  <c r="V170" i="80" s="1"/>
  <c r="K350" i="53"/>
  <c r="K354" i="53"/>
  <c r="S447" i="53" s="1"/>
  <c r="S480" i="53" s="1"/>
  <c r="K357" i="53"/>
  <c r="M357" i="53"/>
  <c r="T450" i="53" s="1"/>
  <c r="T483" i="53" s="1"/>
  <c r="M355" i="53"/>
  <c r="T448" i="53" s="1"/>
  <c r="T481" i="53" s="1"/>
  <c r="U88" i="83"/>
  <c r="AH143" i="80"/>
  <c r="AH169" i="80" s="1"/>
  <c r="V150" i="80"/>
  <c r="V208" i="80" s="1"/>
  <c r="T74" i="81"/>
  <c r="T76" i="81" s="1"/>
  <c r="T108" i="81" s="1"/>
  <c r="U83" i="83"/>
  <c r="U119" i="80"/>
  <c r="U131" i="80" s="1"/>
  <c r="U75" i="80"/>
  <c r="U87" i="80" s="1"/>
  <c r="AH149" i="80"/>
  <c r="AH175" i="80" s="1"/>
  <c r="AN208" i="80"/>
  <c r="P208" i="80"/>
  <c r="AJ208" i="80"/>
  <c r="AI208" i="80"/>
  <c r="Q208" i="80"/>
  <c r="AK208" i="80"/>
  <c r="AM208" i="80"/>
  <c r="R208" i="80"/>
  <c r="AP208" i="80"/>
  <c r="AE208" i="80"/>
  <c r="AH150" i="80"/>
  <c r="AH176" i="80" s="1"/>
  <c r="AC208" i="80"/>
  <c r="U123" i="80"/>
  <c r="U135" i="80" s="1"/>
  <c r="U94" i="80"/>
  <c r="U106" i="80" s="1"/>
  <c r="U143" i="80" s="1"/>
  <c r="U169" i="80" s="1"/>
  <c r="U98" i="80"/>
  <c r="U110" i="80" s="1"/>
  <c r="AF108" i="80"/>
  <c r="AF145" i="80" s="1"/>
  <c r="U112" i="80"/>
  <c r="AF111" i="80"/>
  <c r="AF148" i="80" s="1"/>
  <c r="AF174" i="80" s="1"/>
  <c r="U111" i="80"/>
  <c r="U148" i="80" s="1"/>
  <c r="U174" i="80" s="1"/>
  <c r="U113" i="80"/>
  <c r="U150" i="80" s="1"/>
  <c r="U107" i="80"/>
  <c r="U144" i="80" s="1"/>
  <c r="U170" i="80" s="1"/>
  <c r="U108" i="80"/>
  <c r="AF113" i="80"/>
  <c r="AF150" i="80" s="1"/>
  <c r="U109" i="80"/>
  <c r="U146" i="80" s="1"/>
  <c r="AK176" i="80"/>
  <c r="AK177" i="80" s="1"/>
  <c r="AF107" i="80"/>
  <c r="AF144" i="80" s="1"/>
  <c r="AF170" i="80" s="1"/>
  <c r="AF112" i="80"/>
  <c r="AF149" i="80" s="1"/>
  <c r="AF175" i="80" s="1"/>
  <c r="AH173" i="80"/>
  <c r="V171" i="80"/>
  <c r="U142" i="80"/>
  <c r="U168" i="80" s="1"/>
  <c r="AF142" i="80"/>
  <c r="AF146" i="80"/>
  <c r="AF172" i="80" s="1"/>
  <c r="AF147" i="80"/>
  <c r="AF173" i="80" s="1"/>
  <c r="AF143" i="80"/>
  <c r="AF169" i="80" s="1"/>
  <c r="J259" i="80"/>
  <c r="AG259" i="80"/>
  <c r="AH259" i="80"/>
  <c r="AM259" i="80"/>
  <c r="Z259" i="80"/>
  <c r="Q259" i="80"/>
  <c r="W259" i="80"/>
  <c r="P259" i="80"/>
  <c r="J246" i="80"/>
  <c r="S246" i="80"/>
  <c r="L246" i="80"/>
  <c r="Z246" i="80"/>
  <c r="N246" i="80"/>
  <c r="AG246" i="80"/>
  <c r="AC246" i="80"/>
  <c r="AJ246" i="80"/>
  <c r="U246" i="80"/>
  <c r="AN259" i="80"/>
  <c r="AD259" i="80"/>
  <c r="AO259" i="80"/>
  <c r="AK259" i="80"/>
  <c r="M259" i="80"/>
  <c r="U259" i="80"/>
  <c r="N259" i="80"/>
  <c r="Y259" i="80"/>
  <c r="V246" i="80"/>
  <c r="K246" i="80"/>
  <c r="Q246" i="80"/>
  <c r="AB246" i="80"/>
  <c r="T246" i="80"/>
  <c r="AI246" i="80"/>
  <c r="AK246" i="80"/>
  <c r="AN246" i="80"/>
  <c r="H31" i="73"/>
  <c r="AE259" i="80"/>
  <c r="AP259" i="80"/>
  <c r="AF259" i="80"/>
  <c r="AL259" i="80"/>
  <c r="AA259" i="80"/>
  <c r="K259" i="80"/>
  <c r="V259" i="80"/>
  <c r="X259" i="80"/>
  <c r="R246" i="80"/>
  <c r="AH246" i="80"/>
  <c r="AF246" i="80"/>
  <c r="AP246" i="80"/>
  <c r="AD246" i="80"/>
  <c r="AO246" i="80"/>
  <c r="W246" i="80"/>
  <c r="P246" i="80"/>
  <c r="AJ259" i="80"/>
  <c r="AI259" i="80"/>
  <c r="AC259" i="80"/>
  <c r="AB259" i="80"/>
  <c r="S259" i="80"/>
  <c r="T259" i="80"/>
  <c r="R259" i="80"/>
  <c r="M246" i="80"/>
  <c r="AM246" i="80"/>
  <c r="X246" i="80"/>
  <c r="O246" i="80"/>
  <c r="AA246" i="80"/>
  <c r="AL246" i="80"/>
  <c r="Y246" i="80"/>
  <c r="AE246" i="80"/>
  <c r="AD255" i="80"/>
  <c r="AN255" i="80"/>
  <c r="AH255" i="80"/>
  <c r="Z255" i="80"/>
  <c r="S242" i="80"/>
  <c r="O242" i="80"/>
  <c r="AF242" i="80"/>
  <c r="X242" i="80"/>
  <c r="Z242" i="80"/>
  <c r="AK242" i="80"/>
  <c r="AA242" i="80"/>
  <c r="AG242" i="80"/>
  <c r="J242" i="80"/>
  <c r="AN242" i="80"/>
  <c r="AE242" i="80"/>
  <c r="U242" i="80"/>
  <c r="M242" i="80"/>
  <c r="AO255" i="80"/>
  <c r="AM255" i="80"/>
  <c r="AJ255" i="80"/>
  <c r="AP242" i="80"/>
  <c r="AO242" i="80"/>
  <c r="AL242" i="80"/>
  <c r="L242" i="80"/>
  <c r="Q242" i="80"/>
  <c r="AM242" i="80"/>
  <c r="N242" i="80"/>
  <c r="T242" i="80"/>
  <c r="AD242" i="80"/>
  <c r="AB242" i="80"/>
  <c r="R242" i="80"/>
  <c r="P242" i="80"/>
  <c r="AB255" i="80"/>
  <c r="AP255" i="80"/>
  <c r="AF255" i="80"/>
  <c r="AI255" i="80"/>
  <c r="AJ242" i="80"/>
  <c r="H27" i="73"/>
  <c r="AK255" i="80"/>
  <c r="AE255" i="80"/>
  <c r="AC255" i="80"/>
  <c r="J255" i="80"/>
  <c r="AI242" i="80"/>
  <c r="AC242" i="80"/>
  <c r="W242" i="80"/>
  <c r="Y242" i="80"/>
  <c r="AG255" i="80"/>
  <c r="AL255" i="80"/>
  <c r="K242" i="80"/>
  <c r="AH242" i="80"/>
  <c r="V242" i="80"/>
  <c r="S255" i="80"/>
  <c r="P255" i="80"/>
  <c r="R255" i="80"/>
  <c r="AA255" i="80"/>
  <c r="X255" i="80"/>
  <c r="Q255" i="80"/>
  <c r="U255" i="80"/>
  <c r="N255" i="80"/>
  <c r="T255" i="80"/>
  <c r="M255" i="80"/>
  <c r="V255" i="80"/>
  <c r="Y255" i="80"/>
  <c r="K255" i="80"/>
  <c r="W255" i="80"/>
  <c r="AK258" i="80"/>
  <c r="AJ258" i="80"/>
  <c r="AD258" i="80"/>
  <c r="AH258" i="80"/>
  <c r="V258" i="80"/>
  <c r="AA258" i="80"/>
  <c r="M258" i="80"/>
  <c r="J245" i="80"/>
  <c r="AP245" i="80"/>
  <c r="AD245" i="80"/>
  <c r="AL245" i="80"/>
  <c r="AO245" i="80"/>
  <c r="O245" i="80"/>
  <c r="T245" i="80"/>
  <c r="AN245" i="80"/>
  <c r="U245" i="80"/>
  <c r="J258" i="80"/>
  <c r="AL258" i="80"/>
  <c r="Z258" i="80"/>
  <c r="AP258" i="80"/>
  <c r="AB258" i="80"/>
  <c r="T258" i="80"/>
  <c r="X258" i="80"/>
  <c r="K258" i="80"/>
  <c r="R245" i="80"/>
  <c r="AI245" i="80"/>
  <c r="AG245" i="80"/>
  <c r="L245" i="80"/>
  <c r="AH245" i="80"/>
  <c r="Q245" i="80"/>
  <c r="AK245" i="80"/>
  <c r="AE245" i="80"/>
  <c r="H30" i="73"/>
  <c r="AM258" i="80"/>
  <c r="AG258" i="80"/>
  <c r="U258" i="80"/>
  <c r="P258" i="80"/>
  <c r="M245" i="80"/>
  <c r="K245" i="80"/>
  <c r="AO258" i="80"/>
  <c r="AN258" i="80"/>
  <c r="AE258" i="80"/>
  <c r="AF258" i="80"/>
  <c r="W258" i="80"/>
  <c r="Q258" i="80"/>
  <c r="S258" i="80"/>
  <c r="N258" i="80"/>
  <c r="V245" i="80"/>
  <c r="AC245" i="80"/>
  <c r="S245" i="80"/>
  <c r="W245" i="80"/>
  <c r="AF245" i="80"/>
  <c r="X245" i="80"/>
  <c r="AA245" i="80"/>
  <c r="P245" i="80"/>
  <c r="AC258" i="80"/>
  <c r="AI258" i="80"/>
  <c r="R258" i="80"/>
  <c r="Y258" i="80"/>
  <c r="N245" i="80"/>
  <c r="Z245" i="80"/>
  <c r="Y245" i="80"/>
  <c r="AM245" i="80"/>
  <c r="AB245" i="80"/>
  <c r="AJ245" i="80"/>
  <c r="H23" i="73"/>
  <c r="H24" i="73"/>
  <c r="R239" i="80"/>
  <c r="J239" i="80"/>
  <c r="J252" i="80"/>
  <c r="M239" i="80"/>
  <c r="AO252" i="80"/>
  <c r="AJ252" i="80"/>
  <c r="AO239" i="80"/>
  <c r="K239" i="80"/>
  <c r="Q239" i="80"/>
  <c r="T239" i="80"/>
  <c r="AD239" i="80"/>
  <c r="W239" i="80"/>
  <c r="P239" i="80"/>
  <c r="AG252" i="80"/>
  <c r="AL252" i="80"/>
  <c r="AP252" i="80"/>
  <c r="AF252" i="80"/>
  <c r="AM252" i="80"/>
  <c r="AB252" i="80"/>
  <c r="AI239" i="80"/>
  <c r="O239" i="80"/>
  <c r="AL239" i="80"/>
  <c r="AF239" i="80"/>
  <c r="AE239" i="80"/>
  <c r="AJ239" i="80"/>
  <c r="V239" i="80"/>
  <c r="AD252" i="80"/>
  <c r="AN252" i="80"/>
  <c r="AE252" i="80"/>
  <c r="AH252" i="80"/>
  <c r="L239" i="80"/>
  <c r="X239" i="80"/>
  <c r="U239" i="80"/>
  <c r="AK252" i="80"/>
  <c r="AC252" i="80"/>
  <c r="Z252" i="80"/>
  <c r="S239" i="80"/>
  <c r="AH239" i="80"/>
  <c r="AC239" i="80"/>
  <c r="Y239" i="80"/>
  <c r="AM239" i="80"/>
  <c r="N239" i="80"/>
  <c r="AK239" i="80"/>
  <c r="AA239" i="80"/>
  <c r="AB239" i="80"/>
  <c r="AN239" i="80"/>
  <c r="AI252" i="80"/>
  <c r="AP239" i="80"/>
  <c r="Z239" i="80"/>
  <c r="AG239" i="80"/>
  <c r="S252" i="80"/>
  <c r="Y252" i="80"/>
  <c r="W252" i="80"/>
  <c r="U252" i="80"/>
  <c r="X252" i="80"/>
  <c r="V252" i="80"/>
  <c r="K252" i="80"/>
  <c r="P252" i="80"/>
  <c r="M252" i="80"/>
  <c r="N252" i="80"/>
  <c r="AA252" i="80"/>
  <c r="T252" i="80"/>
  <c r="R252" i="80"/>
  <c r="Q252" i="80"/>
  <c r="AB243" i="80"/>
  <c r="AG256" i="80"/>
  <c r="AN256" i="80"/>
  <c r="Y256" i="80"/>
  <c r="N256" i="80"/>
  <c r="V256" i="80"/>
  <c r="AA256" i="80"/>
  <c r="AE256" i="80"/>
  <c r="AO256" i="80"/>
  <c r="AJ243" i="80"/>
  <c r="M243" i="80"/>
  <c r="W243" i="80"/>
  <c r="K243" i="80"/>
  <c r="Y243" i="80"/>
  <c r="AD243" i="80"/>
  <c r="Q243" i="80"/>
  <c r="AE243" i="80"/>
  <c r="J256" i="80"/>
  <c r="Q256" i="80"/>
  <c r="AM256" i="80"/>
  <c r="U243" i="80"/>
  <c r="P256" i="80"/>
  <c r="K256" i="80"/>
  <c r="R256" i="80"/>
  <c r="AB256" i="80"/>
  <c r="W256" i="80"/>
  <c r="AF256" i="80"/>
  <c r="J243" i="80"/>
  <c r="L243" i="80"/>
  <c r="AP243" i="80"/>
  <c r="AC243" i="80"/>
  <c r="S243" i="80"/>
  <c r="O243" i="80"/>
  <c r="AF243" i="80"/>
  <c r="AN243" i="80"/>
  <c r="S256" i="80"/>
  <c r="AK256" i="80"/>
  <c r="AC256" i="80"/>
  <c r="AP256" i="80"/>
  <c r="AJ256" i="80"/>
  <c r="U256" i="80"/>
  <c r="AL256" i="80"/>
  <c r="T256" i="80"/>
  <c r="X256" i="80"/>
  <c r="P243" i="80"/>
  <c r="R243" i="80"/>
  <c r="Z243" i="80"/>
  <c r="AI243" i="80"/>
  <c r="N243" i="80"/>
  <c r="AM243" i="80"/>
  <c r="AH243" i="80"/>
  <c r="X243" i="80"/>
  <c r="AH256" i="80"/>
  <c r="AD256" i="80"/>
  <c r="M256" i="80"/>
  <c r="Z256" i="80"/>
  <c r="AI256" i="80"/>
  <c r="AK243" i="80"/>
  <c r="V243" i="80"/>
  <c r="T243" i="80"/>
  <c r="H28" i="73"/>
  <c r="AA243" i="80"/>
  <c r="AG243" i="80"/>
  <c r="AL243" i="80"/>
  <c r="AO243" i="80"/>
  <c r="AK254" i="80"/>
  <c r="AN254" i="80"/>
  <c r="AE254" i="80"/>
  <c r="AC254" i="80"/>
  <c r="S241" i="80"/>
  <c r="AO241" i="80"/>
  <c r="AH241" i="80"/>
  <c r="N241" i="80"/>
  <c r="W241" i="80"/>
  <c r="AD254" i="80"/>
  <c r="AH254" i="80"/>
  <c r="AJ254" i="80"/>
  <c r="Z254" i="80"/>
  <c r="K241" i="80"/>
  <c r="AC241" i="80"/>
  <c r="J241" i="80"/>
  <c r="Z241" i="80"/>
  <c r="J254" i="80"/>
  <c r="AG254" i="80"/>
  <c r="AL254" i="80"/>
  <c r="AI241" i="80"/>
  <c r="O241" i="80"/>
  <c r="AF241" i="80"/>
  <c r="AM241" i="80"/>
  <c r="AA241" i="80"/>
  <c r="AG241" i="80"/>
  <c r="M241" i="80"/>
  <c r="P241" i="80"/>
  <c r="H26" i="73"/>
  <c r="Q241" i="80"/>
  <c r="V241" i="80"/>
  <c r="T241" i="80"/>
  <c r="AB241" i="80"/>
  <c r="AN241" i="80"/>
  <c r="AE241" i="80"/>
  <c r="AP254" i="80"/>
  <c r="AI254" i="80"/>
  <c r="AB254" i="80"/>
  <c r="AP241" i="80"/>
  <c r="R241" i="80"/>
  <c r="AD241" i="80"/>
  <c r="AJ241" i="80"/>
  <c r="U241" i="80"/>
  <c r="AO254" i="80"/>
  <c r="AF254" i="80"/>
  <c r="AM254" i="80"/>
  <c r="AL241" i="80"/>
  <c r="L241" i="80"/>
  <c r="X241" i="80"/>
  <c r="AK241" i="80"/>
  <c r="Y241" i="80"/>
  <c r="U254" i="80"/>
  <c r="M254" i="80"/>
  <c r="K254" i="80"/>
  <c r="S254" i="80"/>
  <c r="W254" i="80"/>
  <c r="Y254" i="80"/>
  <c r="AA254" i="80"/>
  <c r="T254" i="80"/>
  <c r="N254" i="80"/>
  <c r="X254" i="80"/>
  <c r="R254" i="80"/>
  <c r="P254" i="80"/>
  <c r="V254" i="80"/>
  <c r="Q254" i="80"/>
  <c r="H25" i="73"/>
  <c r="J253" i="80"/>
  <c r="J240" i="80"/>
  <c r="R240" i="80"/>
  <c r="AG253" i="80"/>
  <c r="AF253" i="80"/>
  <c r="AM253" i="80"/>
  <c r="AB253" i="80"/>
  <c r="AI240" i="80"/>
  <c r="L240" i="80"/>
  <c r="Z240" i="80"/>
  <c r="Y240" i="80"/>
  <c r="AB240" i="80"/>
  <c r="AJ240" i="80"/>
  <c r="V240" i="80"/>
  <c r="AK253" i="80"/>
  <c r="AL253" i="80"/>
  <c r="AP253" i="80"/>
  <c r="AC253" i="80"/>
  <c r="AI253" i="80"/>
  <c r="AP240" i="80"/>
  <c r="K240" i="80"/>
  <c r="X240" i="80"/>
  <c r="AA240" i="80"/>
  <c r="AN240" i="80"/>
  <c r="S240" i="80"/>
  <c r="AO240" i="80"/>
  <c r="AH240" i="80"/>
  <c r="AL240" i="80"/>
  <c r="T240" i="80"/>
  <c r="AK240" i="80"/>
  <c r="AD253" i="80"/>
  <c r="AJ253" i="80"/>
  <c r="AM240" i="80"/>
  <c r="N240" i="80"/>
  <c r="AG240" i="80"/>
  <c r="U240" i="80"/>
  <c r="M240" i="80"/>
  <c r="AO253" i="80"/>
  <c r="AH253" i="80"/>
  <c r="O240" i="80"/>
  <c r="Q240" i="80"/>
  <c r="AN253" i="80"/>
  <c r="AE253" i="80"/>
  <c r="Z253" i="80"/>
  <c r="AF240" i="80"/>
  <c r="AC240" i="80"/>
  <c r="AD240" i="80"/>
  <c r="W240" i="80"/>
  <c r="P240" i="80"/>
  <c r="AE240" i="80"/>
  <c r="U253" i="80"/>
  <c r="AA253" i="80"/>
  <c r="N253" i="80"/>
  <c r="T253" i="80"/>
  <c r="Q253" i="80"/>
  <c r="R253" i="80"/>
  <c r="X253" i="80"/>
  <c r="K253" i="80"/>
  <c r="P253" i="80"/>
  <c r="Y253" i="80"/>
  <c r="M253" i="80"/>
  <c r="S253" i="80"/>
  <c r="W253" i="80"/>
  <c r="V253" i="80"/>
  <c r="AK257" i="80"/>
  <c r="AL257" i="80"/>
  <c r="AP257" i="80"/>
  <c r="AC257" i="80"/>
  <c r="AI257" i="80"/>
  <c r="AP244" i="80"/>
  <c r="AL244" i="80"/>
  <c r="Q244" i="80"/>
  <c r="AC244" i="80"/>
  <c r="AM244" i="80"/>
  <c r="X244" i="80"/>
  <c r="AN244" i="80"/>
  <c r="J244" i="80"/>
  <c r="M244" i="80"/>
  <c r="J257" i="80"/>
  <c r="AN257" i="80"/>
  <c r="AE257" i="80"/>
  <c r="S244" i="80"/>
  <c r="AH244" i="80"/>
  <c r="AF244" i="80"/>
  <c r="N244" i="80"/>
  <c r="AK244" i="80"/>
  <c r="AD244" i="80"/>
  <c r="AG244" i="80"/>
  <c r="W244" i="80"/>
  <c r="Y244" i="80"/>
  <c r="P244" i="80"/>
  <c r="R244" i="80"/>
  <c r="U244" i="80"/>
  <c r="AF257" i="80"/>
  <c r="AM257" i="80"/>
  <c r="AJ257" i="80"/>
  <c r="Z244" i="80"/>
  <c r="AB244" i="80"/>
  <c r="AJ244" i="80"/>
  <c r="AO257" i="80"/>
  <c r="AH257" i="80"/>
  <c r="AI244" i="80"/>
  <c r="AO244" i="80"/>
  <c r="O244" i="80"/>
  <c r="AA244" i="80"/>
  <c r="H29" i="73"/>
  <c r="AG257" i="80"/>
  <c r="AD257" i="80"/>
  <c r="Z257" i="80"/>
  <c r="K244" i="80"/>
  <c r="L244" i="80"/>
  <c r="AE244" i="80"/>
  <c r="AB257" i="80"/>
  <c r="T244" i="80"/>
  <c r="V244" i="80"/>
  <c r="R257" i="80"/>
  <c r="N257" i="80"/>
  <c r="Q257" i="80"/>
  <c r="S257" i="80"/>
  <c r="M257" i="80"/>
  <c r="Y257" i="80"/>
  <c r="AA257" i="80"/>
  <c r="W257" i="80"/>
  <c r="V257" i="80"/>
  <c r="P257" i="80"/>
  <c r="K257" i="80"/>
  <c r="U257" i="80"/>
  <c r="X257" i="80"/>
  <c r="T257" i="80"/>
  <c r="AD33" i="74"/>
  <c r="AD78" i="74" s="1"/>
  <c r="AI33" i="74"/>
  <c r="AI78" i="74" s="1"/>
  <c r="AE33" i="74"/>
  <c r="AE78" i="74" s="1"/>
  <c r="AK33" i="74"/>
  <c r="AK78" i="74" s="1"/>
  <c r="AF33" i="74"/>
  <c r="AF78" i="74" s="1"/>
  <c r="AM33" i="74"/>
  <c r="AM78" i="74" s="1"/>
  <c r="AO33" i="74"/>
  <c r="AO78" i="74" s="1"/>
  <c r="AC33" i="74"/>
  <c r="AC78" i="74" s="1"/>
  <c r="AL33" i="74"/>
  <c r="AL78" i="74" s="1"/>
  <c r="AG33" i="74"/>
  <c r="AG78" i="74" s="1"/>
  <c r="AN33" i="74"/>
  <c r="AN78" i="74" s="1"/>
  <c r="AJ33" i="74"/>
  <c r="AJ78" i="74" s="1"/>
  <c r="AH33" i="74"/>
  <c r="AH78" i="74" s="1"/>
  <c r="AP33" i="74"/>
  <c r="AP78" i="74" s="1"/>
  <c r="AF42" i="74"/>
  <c r="AF87" i="74" s="1"/>
  <c r="AE42" i="74"/>
  <c r="AE87" i="74" s="1"/>
  <c r="AP41" i="74"/>
  <c r="AP86" i="74" s="1"/>
  <c r="AJ41" i="74"/>
  <c r="AJ86" i="74" s="1"/>
  <c r="AE41" i="74"/>
  <c r="AE86" i="74" s="1"/>
  <c r="AC41" i="74"/>
  <c r="AC86" i="74" s="1"/>
  <c r="AM41" i="74"/>
  <c r="AM86" i="74" s="1"/>
  <c r="AF41" i="74"/>
  <c r="AF86" i="74" s="1"/>
  <c r="AF40" i="74"/>
  <c r="AF85" i="74" s="1"/>
  <c r="AD40" i="74"/>
  <c r="AD85" i="74" s="1"/>
  <c r="AH40" i="74"/>
  <c r="AH85" i="74" s="1"/>
  <c r="AF44" i="74"/>
  <c r="AF89" i="74" s="1"/>
  <c r="AL44" i="74"/>
  <c r="AL89" i="74" s="1"/>
  <c r="AP44" i="74"/>
  <c r="AP89" i="74" s="1"/>
  <c r="AG42" i="74"/>
  <c r="AG87" i="74" s="1"/>
  <c r="AN42" i="74"/>
  <c r="AN87" i="74" s="1"/>
  <c r="AD42" i="74"/>
  <c r="AD87" i="74" s="1"/>
  <c r="AI42" i="74"/>
  <c r="AI87" i="74" s="1"/>
  <c r="AC40" i="74"/>
  <c r="AC85" i="74" s="1"/>
  <c r="AI40" i="74"/>
  <c r="AI85" i="74" s="1"/>
  <c r="AO40" i="74"/>
  <c r="AO85" i="74" s="1"/>
  <c r="AD44" i="74"/>
  <c r="AD89" i="74" s="1"/>
  <c r="AE44" i="74"/>
  <c r="AE89" i="74" s="1"/>
  <c r="AM42" i="74"/>
  <c r="AM87" i="74" s="1"/>
  <c r="AO42" i="74"/>
  <c r="AO87" i="74" s="1"/>
  <c r="AL41" i="74"/>
  <c r="AL86" i="74" s="1"/>
  <c r="AO41" i="74"/>
  <c r="AO86" i="74" s="1"/>
  <c r="AD41" i="74"/>
  <c r="AD86" i="74" s="1"/>
  <c r="AE40" i="74"/>
  <c r="AE85" i="74" s="1"/>
  <c r="AP40" i="74"/>
  <c r="AP85" i="74" s="1"/>
  <c r="AN40" i="74"/>
  <c r="AN85" i="74" s="1"/>
  <c r="AG40" i="74"/>
  <c r="AG85" i="74" s="1"/>
  <c r="AJ40" i="74"/>
  <c r="AJ85" i="74" s="1"/>
  <c r="AM40" i="74"/>
  <c r="AM85" i="74" s="1"/>
  <c r="AN44" i="74"/>
  <c r="AN89" i="74" s="1"/>
  <c r="AI44" i="74"/>
  <c r="AI89" i="74" s="1"/>
  <c r="AJ44" i="74"/>
  <c r="AJ89" i="74" s="1"/>
  <c r="AO44" i="74"/>
  <c r="AO89" i="74" s="1"/>
  <c r="AJ42" i="74"/>
  <c r="AJ87" i="74" s="1"/>
  <c r="AC42" i="74"/>
  <c r="AC87" i="74" s="1"/>
  <c r="AP42" i="74"/>
  <c r="AP87" i="74" s="1"/>
  <c r="AL42" i="74"/>
  <c r="AL87" i="74" s="1"/>
  <c r="AH42" i="74"/>
  <c r="AH87" i="74" s="1"/>
  <c r="AK42" i="74"/>
  <c r="AK87" i="74" s="1"/>
  <c r="AI41" i="74"/>
  <c r="AI86" i="74" s="1"/>
  <c r="AK41" i="74"/>
  <c r="AK86" i="74" s="1"/>
  <c r="AH41" i="74"/>
  <c r="AH86" i="74" s="1"/>
  <c r="AG41" i="74"/>
  <c r="AG86" i="74" s="1"/>
  <c r="AN41" i="74"/>
  <c r="AN86" i="74" s="1"/>
  <c r="AK40" i="74"/>
  <c r="AK85" i="74" s="1"/>
  <c r="AL40" i="74"/>
  <c r="AL85" i="74" s="1"/>
  <c r="AC44" i="74"/>
  <c r="AC89" i="74" s="1"/>
  <c r="AH44" i="74"/>
  <c r="AH89" i="74" s="1"/>
  <c r="AK44" i="74"/>
  <c r="AK89" i="74" s="1"/>
  <c r="AG44" i="74"/>
  <c r="AG89" i="74" s="1"/>
  <c r="AM44" i="74"/>
  <c r="AM89" i="74" s="1"/>
  <c r="P176" i="80"/>
  <c r="P177" i="80" s="1"/>
  <c r="AP176" i="80"/>
  <c r="AP177" i="80" s="1"/>
  <c r="AJ176" i="80"/>
  <c r="AJ177" i="80" s="1"/>
  <c r="AM176" i="80"/>
  <c r="AM177" i="80" s="1"/>
  <c r="Y113" i="83"/>
  <c r="Y123" i="80"/>
  <c r="Y135" i="80" s="1"/>
  <c r="Y101" i="83"/>
  <c r="Y100" i="80"/>
  <c r="Y112" i="83"/>
  <c r="Y217" i="83" s="1"/>
  <c r="Y122" i="80"/>
  <c r="Y134" i="80" s="1"/>
  <c r="Y109" i="83"/>
  <c r="Y214" i="83" s="1"/>
  <c r="Y119" i="80"/>
  <c r="Y131" i="80" s="1"/>
  <c r="Y82" i="83"/>
  <c r="Y153" i="83" s="1"/>
  <c r="Y70" i="80"/>
  <c r="Y82" i="80" s="1"/>
  <c r="Y81" i="83"/>
  <c r="Y152" i="83" s="1"/>
  <c r="AE176" i="80"/>
  <c r="AE177" i="80" s="1"/>
  <c r="AB111" i="83"/>
  <c r="AB216" i="83" s="1"/>
  <c r="AB121" i="80"/>
  <c r="AB133" i="80" s="1"/>
  <c r="AB99" i="83"/>
  <c r="AB187" i="83" s="1"/>
  <c r="AB98" i="80"/>
  <c r="AB109" i="83"/>
  <c r="AB214" i="83" s="1"/>
  <c r="AB119" i="80"/>
  <c r="AB131" i="80" s="1"/>
  <c r="AB90" i="83"/>
  <c r="AB78" i="80"/>
  <c r="AB90" i="80" s="1"/>
  <c r="AB84" i="83"/>
  <c r="AB155" i="83" s="1"/>
  <c r="AB72" i="80"/>
  <c r="AB84" i="80" s="1"/>
  <c r="AB85" i="83"/>
  <c r="AB156" i="83" s="1"/>
  <c r="AB73" i="80"/>
  <c r="AB85" i="80" s="1"/>
  <c r="AB81" i="83"/>
  <c r="AB152" i="83" s="1"/>
  <c r="AB82" i="83"/>
  <c r="AB153" i="83" s="1"/>
  <c r="AB70" i="80"/>
  <c r="AB82" i="80" s="1"/>
  <c r="AA111" i="83"/>
  <c r="AA216" i="83" s="1"/>
  <c r="AA121" i="80"/>
  <c r="AA133" i="80" s="1"/>
  <c r="AA107" i="83"/>
  <c r="AA212" i="83" s="1"/>
  <c r="AA117" i="80"/>
  <c r="AA129" i="80" s="1"/>
  <c r="AA99" i="83"/>
  <c r="AA187" i="83" s="1"/>
  <c r="AA98" i="80"/>
  <c r="AA113" i="83"/>
  <c r="AA123" i="80"/>
  <c r="AA135" i="80" s="1"/>
  <c r="AA110" i="83"/>
  <c r="AA215" i="83" s="1"/>
  <c r="AA120" i="80"/>
  <c r="AA132" i="80" s="1"/>
  <c r="AA96" i="83"/>
  <c r="AA184" i="83" s="1"/>
  <c r="AA95" i="80"/>
  <c r="AA93" i="83"/>
  <c r="AA181" i="83" s="1"/>
  <c r="AA94" i="83"/>
  <c r="AA182" i="83" s="1"/>
  <c r="AA93" i="80"/>
  <c r="AA105" i="80" s="1"/>
  <c r="R176" i="80"/>
  <c r="R177" i="80" s="1"/>
  <c r="Q176" i="80"/>
  <c r="Q177" i="80" s="1"/>
  <c r="X87" i="83"/>
  <c r="X158" i="83" s="1"/>
  <c r="X75" i="80"/>
  <c r="X87" i="80" s="1"/>
  <c r="X98" i="83"/>
  <c r="X186" i="83" s="1"/>
  <c r="X97" i="80"/>
  <c r="X108" i="83"/>
  <c r="X213" i="83" s="1"/>
  <c r="X118" i="80"/>
  <c r="X130" i="80" s="1"/>
  <c r="X110" i="83"/>
  <c r="X215" i="83" s="1"/>
  <c r="X120" i="80"/>
  <c r="X132" i="80" s="1"/>
  <c r="X109" i="83"/>
  <c r="X214" i="83" s="1"/>
  <c r="X119" i="80"/>
  <c r="X131" i="80" s="1"/>
  <c r="X107" i="83"/>
  <c r="X212" i="83" s="1"/>
  <c r="X117" i="80"/>
  <c r="X129" i="80" s="1"/>
  <c r="X114" i="83"/>
  <c r="X124" i="80"/>
  <c r="X136" i="80" s="1"/>
  <c r="Z84" i="83"/>
  <c r="Z155" i="83" s="1"/>
  <c r="Z72" i="80"/>
  <c r="Z84" i="80" s="1"/>
  <c r="Z113" i="83"/>
  <c r="Z123" i="80"/>
  <c r="Z135" i="80" s="1"/>
  <c r="Z83" i="83"/>
  <c r="Z154" i="83" s="1"/>
  <c r="Z71" i="80"/>
  <c r="Z83" i="80" s="1"/>
  <c r="Z102" i="83"/>
  <c r="Z101" i="80"/>
  <c r="Z87" i="83"/>
  <c r="Z158" i="83" s="1"/>
  <c r="Z75" i="80"/>
  <c r="Z87" i="80" s="1"/>
  <c r="Z88" i="83"/>
  <c r="Z159" i="83" s="1"/>
  <c r="Z76" i="80"/>
  <c r="Z88" i="80" s="1"/>
  <c r="Z81" i="83"/>
  <c r="Z152" i="83" s="1"/>
  <c r="Z82" i="83"/>
  <c r="Z153" i="83" s="1"/>
  <c r="Z70" i="80"/>
  <c r="Z82" i="80" s="1"/>
  <c r="AI176" i="80"/>
  <c r="AI177" i="80" s="1"/>
  <c r="Y85" i="83"/>
  <c r="Y156" i="83" s="1"/>
  <c r="Y73" i="80"/>
  <c r="Y85" i="80" s="1"/>
  <c r="Y87" i="83"/>
  <c r="Y158" i="83" s="1"/>
  <c r="Y75" i="80"/>
  <c r="Y87" i="80" s="1"/>
  <c r="Y96" i="83"/>
  <c r="Y184" i="83" s="1"/>
  <c r="Y95" i="80"/>
  <c r="Y98" i="83"/>
  <c r="Y186" i="83" s="1"/>
  <c r="Y97" i="80"/>
  <c r="Y88" i="83"/>
  <c r="Y159" i="83" s="1"/>
  <c r="Y76" i="80"/>
  <c r="Y88" i="80" s="1"/>
  <c r="Y111" i="83"/>
  <c r="Y216" i="83" s="1"/>
  <c r="Y121" i="80"/>
  <c r="Y133" i="80" s="1"/>
  <c r="Y89" i="83"/>
  <c r="Y77" i="80"/>
  <c r="Y89" i="80" s="1"/>
  <c r="Y102" i="83"/>
  <c r="Y101" i="80"/>
  <c r="Y93" i="83"/>
  <c r="Y181" i="83" s="1"/>
  <c r="Y94" i="83"/>
  <c r="Y182" i="83" s="1"/>
  <c r="Y93" i="80"/>
  <c r="Y105" i="80" s="1"/>
  <c r="AB86" i="83"/>
  <c r="AB157" i="83" s="1"/>
  <c r="AB74" i="80"/>
  <c r="AB86" i="80" s="1"/>
  <c r="AB89" i="83"/>
  <c r="AB77" i="80"/>
  <c r="AB89" i="80" s="1"/>
  <c r="AB98" i="83"/>
  <c r="AB186" i="83" s="1"/>
  <c r="AB97" i="80"/>
  <c r="AB88" i="83"/>
  <c r="AB159" i="83" s="1"/>
  <c r="AB76" i="80"/>
  <c r="AB88" i="80" s="1"/>
  <c r="AB102" i="83"/>
  <c r="AB101" i="80"/>
  <c r="AB97" i="83"/>
  <c r="AB185" i="83" s="1"/>
  <c r="AB96" i="80"/>
  <c r="AB105" i="83"/>
  <c r="AB210" i="83" s="1"/>
  <c r="AB106" i="83"/>
  <c r="AB211" i="83" s="1"/>
  <c r="AB116" i="80"/>
  <c r="AB128" i="80" s="1"/>
  <c r="AA88" i="83"/>
  <c r="AA159" i="83" s="1"/>
  <c r="AA76" i="80"/>
  <c r="AA88" i="80" s="1"/>
  <c r="AA98" i="83"/>
  <c r="AA186" i="83" s="1"/>
  <c r="AA97" i="80"/>
  <c r="AA97" i="83"/>
  <c r="AA185" i="83" s="1"/>
  <c r="AA96" i="80"/>
  <c r="AA100" i="83"/>
  <c r="AA188" i="83" s="1"/>
  <c r="AA99" i="80"/>
  <c r="AA89" i="83"/>
  <c r="AA77" i="80"/>
  <c r="AA89" i="80" s="1"/>
  <c r="AA102" i="83"/>
  <c r="AA101" i="80"/>
  <c r="AA105" i="83"/>
  <c r="AA210" i="83" s="1"/>
  <c r="AA106" i="83"/>
  <c r="AA211" i="83" s="1"/>
  <c r="AA116" i="80"/>
  <c r="AA128" i="80" s="1"/>
  <c r="AN176" i="80"/>
  <c r="X89" i="83"/>
  <c r="X77" i="80"/>
  <c r="X89" i="80" s="1"/>
  <c r="X100" i="83"/>
  <c r="X188" i="83" s="1"/>
  <c r="X99" i="80"/>
  <c r="X101" i="83"/>
  <c r="X100" i="80"/>
  <c r="X86" i="83"/>
  <c r="X157" i="83" s="1"/>
  <c r="X74" i="80"/>
  <c r="X86" i="80" s="1"/>
  <c r="X88" i="83"/>
  <c r="X159" i="83" s="1"/>
  <c r="X76" i="80"/>
  <c r="X88" i="80" s="1"/>
  <c r="X90" i="83"/>
  <c r="X78" i="80"/>
  <c r="X90" i="80" s="1"/>
  <c r="X93" i="83"/>
  <c r="X181" i="83" s="1"/>
  <c r="X94" i="83"/>
  <c r="X182" i="83" s="1"/>
  <c r="X93" i="80"/>
  <c r="X105" i="80" s="1"/>
  <c r="AC176" i="80"/>
  <c r="AC177" i="80" s="1"/>
  <c r="Z101" i="83"/>
  <c r="Z100" i="80"/>
  <c r="Z110" i="83"/>
  <c r="Z215" i="83" s="1"/>
  <c r="Z120" i="80"/>
  <c r="Z132" i="80" s="1"/>
  <c r="Z97" i="83"/>
  <c r="Z185" i="83" s="1"/>
  <c r="Z96" i="80"/>
  <c r="Z109" i="83"/>
  <c r="Z214" i="83" s="1"/>
  <c r="Z119" i="80"/>
  <c r="Z131" i="80" s="1"/>
  <c r="Z89" i="83"/>
  <c r="Z77" i="80"/>
  <c r="Z89" i="80" s="1"/>
  <c r="Z112" i="83"/>
  <c r="Z217" i="83" s="1"/>
  <c r="Z122" i="80"/>
  <c r="Z134" i="80" s="1"/>
  <c r="Z105" i="83"/>
  <c r="Z210" i="83" s="1"/>
  <c r="Z106" i="83"/>
  <c r="Z211" i="83" s="1"/>
  <c r="Z116" i="80"/>
  <c r="Z128" i="80" s="1"/>
  <c r="Y108" i="83"/>
  <c r="Y213" i="83" s="1"/>
  <c r="Y118" i="80"/>
  <c r="Y130" i="80" s="1"/>
  <c r="Y83" i="83"/>
  <c r="Y154" i="83" s="1"/>
  <c r="Y71" i="80"/>
  <c r="Y83" i="80" s="1"/>
  <c r="Y107" i="83"/>
  <c r="Y212" i="83" s="1"/>
  <c r="Y117" i="80"/>
  <c r="Y129" i="80" s="1"/>
  <c r="Y110" i="83"/>
  <c r="Y215" i="83" s="1"/>
  <c r="Y120" i="80"/>
  <c r="Y132" i="80" s="1"/>
  <c r="Y97" i="83"/>
  <c r="Y185" i="83" s="1"/>
  <c r="Y96" i="80"/>
  <c r="Y84" i="83"/>
  <c r="Y155" i="83" s="1"/>
  <c r="Y72" i="80"/>
  <c r="Y84" i="80" s="1"/>
  <c r="Y105" i="83"/>
  <c r="Y210" i="83" s="1"/>
  <c r="Y106" i="83"/>
  <c r="Y211" i="83" s="1"/>
  <c r="Y116" i="80"/>
  <c r="Y128" i="80" s="1"/>
  <c r="AB107" i="83"/>
  <c r="AB212" i="83" s="1"/>
  <c r="AB117" i="80"/>
  <c r="AB129" i="80" s="1"/>
  <c r="AB112" i="83"/>
  <c r="AB217" i="83" s="1"/>
  <c r="AB122" i="80"/>
  <c r="AB134" i="80" s="1"/>
  <c r="AB110" i="83"/>
  <c r="AB215" i="83" s="1"/>
  <c r="AB120" i="80"/>
  <c r="AB132" i="80" s="1"/>
  <c r="AB114" i="83"/>
  <c r="AB124" i="80"/>
  <c r="AB136" i="80" s="1"/>
  <c r="AB95" i="83"/>
  <c r="AB183" i="83" s="1"/>
  <c r="AB94" i="80"/>
  <c r="AB108" i="83"/>
  <c r="AB213" i="83" s="1"/>
  <c r="AB118" i="80"/>
  <c r="AB130" i="80" s="1"/>
  <c r="AB93" i="83"/>
  <c r="AB181" i="83" s="1"/>
  <c r="AB94" i="83"/>
  <c r="AB182" i="83" s="1"/>
  <c r="AB93" i="80"/>
  <c r="AB105" i="80" s="1"/>
  <c r="AA87" i="83"/>
  <c r="AA158" i="83" s="1"/>
  <c r="AA75" i="80"/>
  <c r="AA87" i="80" s="1"/>
  <c r="AA84" i="83"/>
  <c r="AA155" i="83" s="1"/>
  <c r="AA72" i="80"/>
  <c r="AA84" i="80" s="1"/>
  <c r="AA101" i="83"/>
  <c r="AA100" i="80"/>
  <c r="AA90" i="83"/>
  <c r="AA78" i="80"/>
  <c r="AA90" i="80" s="1"/>
  <c r="AA114" i="83"/>
  <c r="AA124" i="80"/>
  <c r="AA136" i="80" s="1"/>
  <c r="AA112" i="83"/>
  <c r="AA217" i="83" s="1"/>
  <c r="AA122" i="80"/>
  <c r="AA134" i="80" s="1"/>
  <c r="X83" i="83"/>
  <c r="X154" i="83" s="1"/>
  <c r="X71" i="80"/>
  <c r="X83" i="80" s="1"/>
  <c r="X111" i="83"/>
  <c r="X216" i="83" s="1"/>
  <c r="X121" i="80"/>
  <c r="X133" i="80" s="1"/>
  <c r="X95" i="83"/>
  <c r="X183" i="83" s="1"/>
  <c r="X94" i="80"/>
  <c r="X99" i="83"/>
  <c r="X187" i="83" s="1"/>
  <c r="X98" i="80"/>
  <c r="X84" i="83"/>
  <c r="X155" i="83" s="1"/>
  <c r="X72" i="80"/>
  <c r="X84" i="80" s="1"/>
  <c r="X102" i="83"/>
  <c r="X101" i="80"/>
  <c r="X105" i="83"/>
  <c r="X210" i="83" s="1"/>
  <c r="X106" i="83"/>
  <c r="X211" i="83" s="1"/>
  <c r="X116" i="80"/>
  <c r="X128" i="80" s="1"/>
  <c r="Z111" i="83"/>
  <c r="Z216" i="83" s="1"/>
  <c r="Z121" i="80"/>
  <c r="Z133" i="80" s="1"/>
  <c r="Z96" i="83"/>
  <c r="Z184" i="83" s="1"/>
  <c r="Z95" i="80"/>
  <c r="Z85" i="83"/>
  <c r="Z156" i="83" s="1"/>
  <c r="Z73" i="80"/>
  <c r="Z85" i="80" s="1"/>
  <c r="Z114" i="83"/>
  <c r="Z124" i="80"/>
  <c r="Z136" i="80" s="1"/>
  <c r="Z95" i="83"/>
  <c r="Z183" i="83" s="1"/>
  <c r="Z94" i="80"/>
  <c r="Z98" i="83"/>
  <c r="Z186" i="83" s="1"/>
  <c r="Z97" i="80"/>
  <c r="Z93" i="83"/>
  <c r="Z181" i="83" s="1"/>
  <c r="Z94" i="83"/>
  <c r="Z182" i="83" s="1"/>
  <c r="Z93" i="80"/>
  <c r="Z105" i="80" s="1"/>
  <c r="Y95" i="83"/>
  <c r="Y183" i="83" s="1"/>
  <c r="Y94" i="80"/>
  <c r="Y100" i="83"/>
  <c r="Y188" i="83" s="1"/>
  <c r="Y99" i="80"/>
  <c r="Y99" i="83"/>
  <c r="Y187" i="83" s="1"/>
  <c r="Y98" i="80"/>
  <c r="Y114" i="83"/>
  <c r="Y124" i="80"/>
  <c r="Y136" i="80" s="1"/>
  <c r="Y90" i="83"/>
  <c r="Y78" i="80"/>
  <c r="Y90" i="80" s="1"/>
  <c r="Y86" i="83"/>
  <c r="Y157" i="83" s="1"/>
  <c r="Y74" i="80"/>
  <c r="Y86" i="80" s="1"/>
  <c r="AB83" i="83"/>
  <c r="AB154" i="83" s="1"/>
  <c r="AB71" i="80"/>
  <c r="AB83" i="80" s="1"/>
  <c r="AB101" i="83"/>
  <c r="AB100" i="80"/>
  <c r="AB96" i="83"/>
  <c r="AB184" i="83" s="1"/>
  <c r="AB95" i="80"/>
  <c r="AB113" i="83"/>
  <c r="AB123" i="80"/>
  <c r="AB135" i="80" s="1"/>
  <c r="AB87" i="83"/>
  <c r="AB158" i="83" s="1"/>
  <c r="AB75" i="80"/>
  <c r="AB87" i="80" s="1"/>
  <c r="AB100" i="83"/>
  <c r="AB188" i="83" s="1"/>
  <c r="AB99" i="80"/>
  <c r="AA83" i="83"/>
  <c r="AA154" i="83" s="1"/>
  <c r="AA71" i="80"/>
  <c r="AA83" i="80" s="1"/>
  <c r="AA108" i="83"/>
  <c r="AA213" i="83" s="1"/>
  <c r="AA118" i="80"/>
  <c r="AA130" i="80" s="1"/>
  <c r="AA109" i="83"/>
  <c r="AA214" i="83" s="1"/>
  <c r="AA119" i="80"/>
  <c r="AA131" i="80" s="1"/>
  <c r="AA86" i="83"/>
  <c r="AA157" i="83" s="1"/>
  <c r="AA74" i="80"/>
  <c r="AA86" i="80" s="1"/>
  <c r="AA95" i="83"/>
  <c r="AA183" i="83" s="1"/>
  <c r="AA94" i="80"/>
  <c r="AA85" i="83"/>
  <c r="AA156" i="83" s="1"/>
  <c r="AA73" i="80"/>
  <c r="AA85" i="80" s="1"/>
  <c r="AA81" i="83"/>
  <c r="AA152" i="83" s="1"/>
  <c r="AA70" i="80"/>
  <c r="AA82" i="80" s="1"/>
  <c r="AA82" i="83"/>
  <c r="AA153" i="83" s="1"/>
  <c r="X113" i="83"/>
  <c r="X123" i="80"/>
  <c r="X135" i="80" s="1"/>
  <c r="X112" i="83"/>
  <c r="X217" i="83" s="1"/>
  <c r="X122" i="80"/>
  <c r="X134" i="80" s="1"/>
  <c r="X97" i="83"/>
  <c r="X185" i="83" s="1"/>
  <c r="X96" i="80"/>
  <c r="X96" i="83"/>
  <c r="X184" i="83" s="1"/>
  <c r="X95" i="80"/>
  <c r="X85" i="83"/>
  <c r="X156" i="83" s="1"/>
  <c r="X73" i="80"/>
  <c r="X85" i="80" s="1"/>
  <c r="X81" i="83"/>
  <c r="X152" i="83" s="1"/>
  <c r="X82" i="83"/>
  <c r="X153" i="83" s="1"/>
  <c r="X70" i="80"/>
  <c r="X82" i="80" s="1"/>
  <c r="Z86" i="83"/>
  <c r="Z157" i="83" s="1"/>
  <c r="Z74" i="80"/>
  <c r="Z86" i="80" s="1"/>
  <c r="Z99" i="83"/>
  <c r="Z187" i="83" s="1"/>
  <c r="Z98" i="80"/>
  <c r="Z108" i="83"/>
  <c r="Z213" i="83" s="1"/>
  <c r="Z118" i="80"/>
  <c r="Z130" i="80" s="1"/>
  <c r="Z100" i="83"/>
  <c r="Z188" i="83" s="1"/>
  <c r="Z99" i="80"/>
  <c r="Z107" i="83"/>
  <c r="Z212" i="83" s="1"/>
  <c r="Z117" i="80"/>
  <c r="Z129" i="80" s="1"/>
  <c r="Z90" i="83"/>
  <c r="Z78" i="80"/>
  <c r="Z90" i="80" s="1"/>
  <c r="AN271" i="80" l="1"/>
  <c r="AN273" i="80"/>
  <c r="AD272" i="80"/>
  <c r="AG276" i="80"/>
  <c r="AG269" i="80"/>
  <c r="AL270" i="80"/>
  <c r="S446" i="53"/>
  <c r="K457" i="53" s="1"/>
  <c r="K492" i="53" s="1"/>
  <c r="K513" i="53" s="1"/>
  <c r="K74" i="80" s="1"/>
  <c r="K86" i="80" s="1"/>
  <c r="S444" i="53"/>
  <c r="S477" i="53" s="1"/>
  <c r="S490" i="53" s="1"/>
  <c r="S443" i="53"/>
  <c r="S476" i="53" s="1"/>
  <c r="S448" i="53"/>
  <c r="S481" i="53" s="1"/>
  <c r="S442" i="53"/>
  <c r="S475" i="53" s="1"/>
  <c r="S445" i="53"/>
  <c r="L456" i="53" s="1"/>
  <c r="L491" i="53" s="1"/>
  <c r="S450" i="53"/>
  <c r="S483" i="53" s="1"/>
  <c r="S449" i="53"/>
  <c r="S482" i="53" s="1"/>
  <c r="S495" i="53" s="1"/>
  <c r="AO276" i="80"/>
  <c r="T494" i="53"/>
  <c r="M468" i="53"/>
  <c r="M492" i="53" s="1"/>
  <c r="O466" i="53"/>
  <c r="O490" i="53" s="1"/>
  <c r="O468" i="53"/>
  <c r="O492" i="53" s="1"/>
  <c r="T492" i="53"/>
  <c r="N471" i="53"/>
  <c r="N495" i="53" s="1"/>
  <c r="T495" i="53"/>
  <c r="M471" i="53"/>
  <c r="M495" i="53" s="1"/>
  <c r="O471" i="53"/>
  <c r="O495" i="53" s="1"/>
  <c r="M470" i="53"/>
  <c r="M494" i="53" s="1"/>
  <c r="O470" i="53"/>
  <c r="O494" i="53" s="1"/>
  <c r="J458" i="53"/>
  <c r="J493" i="53" s="1"/>
  <c r="K458" i="53"/>
  <c r="K493" i="53" s="1"/>
  <c r="L458" i="53"/>
  <c r="L493" i="53" s="1"/>
  <c r="S493" i="53"/>
  <c r="T489" i="53"/>
  <c r="O465" i="53"/>
  <c r="O489" i="53" s="1"/>
  <c r="N465" i="53"/>
  <c r="N489" i="53" s="1"/>
  <c r="M465" i="53"/>
  <c r="M489" i="53" s="1"/>
  <c r="M466" i="53"/>
  <c r="M490" i="53" s="1"/>
  <c r="N466" i="53"/>
  <c r="N490" i="53" s="1"/>
  <c r="T493" i="53"/>
  <c r="N469" i="53"/>
  <c r="N493" i="53" s="1"/>
  <c r="O469" i="53"/>
  <c r="O493" i="53" s="1"/>
  <c r="M469" i="53"/>
  <c r="M493" i="53" s="1"/>
  <c r="O472" i="53"/>
  <c r="O496" i="53" s="1"/>
  <c r="M472" i="53"/>
  <c r="M496" i="53" s="1"/>
  <c r="N472" i="53"/>
  <c r="N496" i="53" s="1"/>
  <c r="T496" i="53"/>
  <c r="N467" i="53"/>
  <c r="N491" i="53" s="1"/>
  <c r="T491" i="53"/>
  <c r="O467" i="53"/>
  <c r="O491" i="53" s="1"/>
  <c r="M467" i="53"/>
  <c r="M491" i="53" s="1"/>
  <c r="O464" i="53"/>
  <c r="O488" i="53" s="1"/>
  <c r="M464" i="53"/>
  <c r="M488" i="53" s="1"/>
  <c r="T488" i="53"/>
  <c r="N464" i="53"/>
  <c r="N488" i="53" s="1"/>
  <c r="AF25" i="71"/>
  <c r="AF130" i="71" s="1"/>
  <c r="AD270" i="80"/>
  <c r="AF54" i="71"/>
  <c r="AF159" i="71" s="1"/>
  <c r="U23" i="71"/>
  <c r="U128" i="71" s="1"/>
  <c r="AF58" i="71"/>
  <c r="AF163" i="71" s="1"/>
  <c r="AF61" i="71"/>
  <c r="AF166" i="71" s="1"/>
  <c r="AF53" i="71"/>
  <c r="AF158" i="71" s="1"/>
  <c r="V82" i="71"/>
  <c r="V187" i="71" s="1"/>
  <c r="V26" i="71"/>
  <c r="V131" i="71" s="1"/>
  <c r="V86" i="71"/>
  <c r="V191" i="71" s="1"/>
  <c r="U54" i="71"/>
  <c r="U159" i="71" s="1"/>
  <c r="V59" i="71"/>
  <c r="V164" i="71" s="1"/>
  <c r="U59" i="71"/>
  <c r="U164" i="71" s="1"/>
  <c r="V28" i="71"/>
  <c r="V133" i="71" s="1"/>
  <c r="AF31" i="71"/>
  <c r="AF136" i="71" s="1"/>
  <c r="V24" i="71"/>
  <c r="V129" i="71" s="1"/>
  <c r="U86" i="71"/>
  <c r="U191" i="71" s="1"/>
  <c r="AH29" i="71"/>
  <c r="AH134" i="71" s="1"/>
  <c r="U52" i="71"/>
  <c r="U157" i="71" s="1"/>
  <c r="U22" i="71"/>
  <c r="U127" i="71" s="1"/>
  <c r="AF30" i="71"/>
  <c r="AF135" i="71" s="1"/>
  <c r="U83" i="71"/>
  <c r="U188" i="71" s="1"/>
  <c r="AH56" i="71"/>
  <c r="AH161" i="71" s="1"/>
  <c r="V52" i="71"/>
  <c r="V157" i="71" s="1"/>
  <c r="AH86" i="71"/>
  <c r="AH191" i="71" s="1"/>
  <c r="U28" i="71"/>
  <c r="U133" i="71" s="1"/>
  <c r="U82" i="71"/>
  <c r="U187" i="71" s="1"/>
  <c r="AH59" i="71"/>
  <c r="AH164" i="71" s="1"/>
  <c r="AH87" i="71"/>
  <c r="AH192" i="71" s="1"/>
  <c r="AH61" i="71"/>
  <c r="AH166" i="71" s="1"/>
  <c r="AH25" i="71"/>
  <c r="AH130" i="71" s="1"/>
  <c r="V85" i="71"/>
  <c r="V190" i="71" s="1"/>
  <c r="AF24" i="71"/>
  <c r="AF129" i="71" s="1"/>
  <c r="V91" i="71"/>
  <c r="V196" i="71" s="1"/>
  <c r="AF52" i="71"/>
  <c r="AF157" i="71" s="1"/>
  <c r="Y161" i="83"/>
  <c r="Y31" i="71" s="1"/>
  <c r="Y136" i="71" s="1"/>
  <c r="X218" i="83"/>
  <c r="Z219" i="83"/>
  <c r="X161" i="83"/>
  <c r="X31" i="71" s="1"/>
  <c r="X136" i="71" s="1"/>
  <c r="AA190" i="83"/>
  <c r="Y160" i="83"/>
  <c r="Y30" i="71" s="1"/>
  <c r="Y135" i="71" s="1"/>
  <c r="AB161" i="83"/>
  <c r="AB31" i="71" s="1"/>
  <c r="AB136" i="71" s="1"/>
  <c r="Y189" i="83"/>
  <c r="V90" i="71"/>
  <c r="V195" i="71" s="1"/>
  <c r="V23" i="71"/>
  <c r="V128" i="71" s="1"/>
  <c r="V88" i="71"/>
  <c r="V193" i="71" s="1"/>
  <c r="V29" i="71"/>
  <c r="V134" i="71" s="1"/>
  <c r="AF82" i="71"/>
  <c r="AF187" i="71" s="1"/>
  <c r="Z161" i="83"/>
  <c r="Z31" i="71" s="1"/>
  <c r="Z136" i="71" s="1"/>
  <c r="Y219" i="83"/>
  <c r="AA219" i="83"/>
  <c r="AA91" i="71" s="1"/>
  <c r="AA196" i="71" s="1"/>
  <c r="AA189" i="83"/>
  <c r="AB190" i="83"/>
  <c r="AB61" i="71" s="1"/>
  <c r="AB166" i="71" s="1"/>
  <c r="AA218" i="83"/>
  <c r="AB218" i="83"/>
  <c r="AB90" i="71" s="1"/>
  <c r="AB195" i="71" s="1"/>
  <c r="AB189" i="83"/>
  <c r="AB60" i="71" s="1"/>
  <c r="AB165" i="71" s="1"/>
  <c r="AB219" i="83"/>
  <c r="AB91" i="71" s="1"/>
  <c r="AB196" i="71" s="1"/>
  <c r="Z160" i="83"/>
  <c r="Z30" i="71" s="1"/>
  <c r="Z135" i="71" s="1"/>
  <c r="Z189" i="83"/>
  <c r="X189" i="83"/>
  <c r="X60" i="71" s="1"/>
  <c r="X165" i="71" s="1"/>
  <c r="X160" i="83"/>
  <c r="X30" i="71" s="1"/>
  <c r="X135" i="71" s="1"/>
  <c r="AA160" i="83"/>
  <c r="AA30" i="71" s="1"/>
  <c r="AA135" i="71" s="1"/>
  <c r="Y190" i="83"/>
  <c r="Y61" i="71" s="1"/>
  <c r="Y166" i="71" s="1"/>
  <c r="Z190" i="83"/>
  <c r="Z218" i="83"/>
  <c r="X219" i="83"/>
  <c r="Y218" i="83"/>
  <c r="Y90" i="71" s="1"/>
  <c r="Y195" i="71" s="1"/>
  <c r="U154" i="83"/>
  <c r="AH91" i="71"/>
  <c r="AH196" i="71" s="1"/>
  <c r="AH22" i="71"/>
  <c r="AH127" i="71" s="1"/>
  <c r="U90" i="71"/>
  <c r="U195" i="71" s="1"/>
  <c r="U30" i="71"/>
  <c r="U135" i="71" s="1"/>
  <c r="X190" i="83"/>
  <c r="X61" i="71" s="1"/>
  <c r="X166" i="71" s="1"/>
  <c r="AA161" i="83"/>
  <c r="AA31" i="71" s="1"/>
  <c r="AA136" i="71" s="1"/>
  <c r="AB160" i="83"/>
  <c r="AB30" i="71" s="1"/>
  <c r="AB135" i="71" s="1"/>
  <c r="U159" i="83"/>
  <c r="U145" i="80"/>
  <c r="U171" i="80" s="1"/>
  <c r="U272" i="80" s="1"/>
  <c r="V176" i="80"/>
  <c r="V177" i="80" s="1"/>
  <c r="U149" i="80"/>
  <c r="U175" i="80" s="1"/>
  <c r="U276" i="80" s="1"/>
  <c r="U147" i="80"/>
  <c r="U173" i="80" s="1"/>
  <c r="U274" i="80" s="1"/>
  <c r="AH208" i="80"/>
  <c r="U208" i="80"/>
  <c r="AF176" i="80"/>
  <c r="AF208" i="80"/>
  <c r="AD276" i="80"/>
  <c r="AC270" i="80"/>
  <c r="AH177" i="80"/>
  <c r="AC269" i="80"/>
  <c r="AN272" i="80"/>
  <c r="AB111" i="80"/>
  <c r="AB148" i="80" s="1"/>
  <c r="AB174" i="80" s="1"/>
  <c r="AB275" i="80" s="1"/>
  <c r="AB107" i="80"/>
  <c r="AB144" i="80" s="1"/>
  <c r="AB170" i="80" s="1"/>
  <c r="AB271" i="80" s="1"/>
  <c r="Z106" i="80"/>
  <c r="Z143" i="80" s="1"/>
  <c r="Z169" i="80" s="1"/>
  <c r="Z270" i="80" s="1"/>
  <c r="Z111" i="80"/>
  <c r="Z148" i="80" s="1"/>
  <c r="Z174" i="80" s="1"/>
  <c r="Z275" i="80" s="1"/>
  <c r="Z110" i="80"/>
  <c r="Z147" i="80" s="1"/>
  <c r="Z173" i="80" s="1"/>
  <c r="Z274" i="80" s="1"/>
  <c r="X108" i="80"/>
  <c r="X145" i="80" s="1"/>
  <c r="X171" i="80" s="1"/>
  <c r="X272" i="80" s="1"/>
  <c r="Y110" i="80"/>
  <c r="Y147" i="80" s="1"/>
  <c r="Y173" i="80" s="1"/>
  <c r="Y274" i="80" s="1"/>
  <c r="Y106" i="80"/>
  <c r="Y143" i="80" s="1"/>
  <c r="Y169" i="80" s="1"/>
  <c r="Y270" i="80" s="1"/>
  <c r="X111" i="80"/>
  <c r="X148" i="80" s="1"/>
  <c r="X174" i="80" s="1"/>
  <c r="AB108" i="80"/>
  <c r="AB145" i="80" s="1"/>
  <c r="AB171" i="80" s="1"/>
  <c r="AB272" i="80" s="1"/>
  <c r="Z113" i="80"/>
  <c r="Z150" i="80" s="1"/>
  <c r="AA110" i="80"/>
  <c r="AA147" i="80" s="1"/>
  <c r="AA173" i="80" s="1"/>
  <c r="AA274" i="80" s="1"/>
  <c r="AF168" i="80"/>
  <c r="AF269" i="80" s="1"/>
  <c r="X113" i="80"/>
  <c r="X150" i="80" s="1"/>
  <c r="X110" i="80"/>
  <c r="X147" i="80" s="1"/>
  <c r="X173" i="80" s="1"/>
  <c r="Y108" i="80"/>
  <c r="Y145" i="80" s="1"/>
  <c r="Y171" i="80" s="1"/>
  <c r="Y272" i="80" s="1"/>
  <c r="Z108" i="80"/>
  <c r="Z145" i="80" s="1"/>
  <c r="Z171" i="80" s="1"/>
  <c r="Z272" i="80" s="1"/>
  <c r="Z112" i="80"/>
  <c r="Z149" i="80" s="1"/>
  <c r="Z175" i="80" s="1"/>
  <c r="Z276" i="80" s="1"/>
  <c r="AA113" i="80"/>
  <c r="AA150" i="80" s="1"/>
  <c r="AA111" i="80"/>
  <c r="AA148" i="80" s="1"/>
  <c r="AA174" i="80" s="1"/>
  <c r="AA275" i="80" s="1"/>
  <c r="AA109" i="80"/>
  <c r="AA146" i="80" s="1"/>
  <c r="AA172" i="80" s="1"/>
  <c r="AA273" i="80" s="1"/>
  <c r="Y107" i="80"/>
  <c r="Y144" i="80" s="1"/>
  <c r="Y170" i="80" s="1"/>
  <c r="Y271" i="80" s="1"/>
  <c r="AB110" i="80"/>
  <c r="AB147" i="80" s="1"/>
  <c r="AB173" i="80" s="1"/>
  <c r="AB274" i="80" s="1"/>
  <c r="AB112" i="80"/>
  <c r="AB149" i="80" s="1"/>
  <c r="AB175" i="80" s="1"/>
  <c r="AB276" i="80" s="1"/>
  <c r="Z107" i="80"/>
  <c r="Z144" i="80" s="1"/>
  <c r="Z170" i="80" s="1"/>
  <c r="Z271" i="80" s="1"/>
  <c r="X107" i="80"/>
  <c r="X144" i="80" s="1"/>
  <c r="X170" i="80" s="1"/>
  <c r="Y111" i="80"/>
  <c r="Y148" i="80" s="1"/>
  <c r="Y174" i="80" s="1"/>
  <c r="Y275" i="80" s="1"/>
  <c r="AB106" i="80"/>
  <c r="AB143" i="80" s="1"/>
  <c r="AB169" i="80" s="1"/>
  <c r="AB270" i="80" s="1"/>
  <c r="X112" i="80"/>
  <c r="X149" i="80" s="1"/>
  <c r="X175" i="80" s="1"/>
  <c r="AB113" i="80"/>
  <c r="AB150" i="80" s="1"/>
  <c r="AB109" i="80"/>
  <c r="AB146" i="80" s="1"/>
  <c r="AB172" i="80" s="1"/>
  <c r="AB273" i="80" s="1"/>
  <c r="AA107" i="80"/>
  <c r="AA144" i="80" s="1"/>
  <c r="AA170" i="80" s="1"/>
  <c r="AA271" i="80" s="1"/>
  <c r="Z109" i="80"/>
  <c r="Z146" i="80" s="1"/>
  <c r="Z172" i="80" s="1"/>
  <c r="Z273" i="80" s="1"/>
  <c r="AA106" i="80"/>
  <c r="AA143" i="80" s="1"/>
  <c r="AA169" i="80" s="1"/>
  <c r="AA270" i="80" s="1"/>
  <c r="X106" i="80"/>
  <c r="X143" i="80" s="1"/>
  <c r="X169" i="80" s="1"/>
  <c r="AA112" i="80"/>
  <c r="AA149" i="80" s="1"/>
  <c r="AA175" i="80" s="1"/>
  <c r="AA276" i="80" s="1"/>
  <c r="AA108" i="80"/>
  <c r="AA145" i="80" s="1"/>
  <c r="AA171" i="80" s="1"/>
  <c r="AA272" i="80" s="1"/>
  <c r="Y113" i="80"/>
  <c r="Y150" i="80" s="1"/>
  <c r="Y109" i="80"/>
  <c r="Y146" i="80" s="1"/>
  <c r="Y172" i="80" s="1"/>
  <c r="Y273" i="80" s="1"/>
  <c r="X109" i="80"/>
  <c r="X146" i="80" s="1"/>
  <c r="X172" i="80" s="1"/>
  <c r="Y112" i="80"/>
  <c r="Y149" i="80" s="1"/>
  <c r="Y175" i="80" s="1"/>
  <c r="Y276" i="80" s="1"/>
  <c r="AF171" i="80"/>
  <c r="AF272" i="80" s="1"/>
  <c r="U172" i="80"/>
  <c r="U273" i="80" s="1"/>
  <c r="U176" i="80"/>
  <c r="AF270" i="80"/>
  <c r="AO273" i="80"/>
  <c r="AF276" i="80"/>
  <c r="AP269" i="80"/>
  <c r="AH269" i="80"/>
  <c r="AO272" i="80"/>
  <c r="AE271" i="80"/>
  <c r="P272" i="80"/>
  <c r="AJ272" i="80"/>
  <c r="AN276" i="80"/>
  <c r="AI269" i="80"/>
  <c r="AC272" i="80"/>
  <c r="Q272" i="80"/>
  <c r="Q276" i="80"/>
  <c r="AN269" i="80"/>
  <c r="AI272" i="80"/>
  <c r="AM275" i="80"/>
  <c r="Q275" i="80"/>
  <c r="AK276" i="80"/>
  <c r="Q273" i="80"/>
  <c r="AE269" i="80"/>
  <c r="AK269" i="80"/>
  <c r="AL269" i="80"/>
  <c r="AJ275" i="80"/>
  <c r="AI275" i="80"/>
  <c r="AC271" i="80"/>
  <c r="AE272" i="80"/>
  <c r="AP276" i="80"/>
  <c r="P275" i="80"/>
  <c r="AK275" i="80"/>
  <c r="AF275" i="80"/>
  <c r="AM269" i="80"/>
  <c r="AJ269" i="80"/>
  <c r="V275" i="80"/>
  <c r="Q271" i="80"/>
  <c r="AC274" i="80"/>
  <c r="AK273" i="80"/>
  <c r="AJ276" i="80"/>
  <c r="P276" i="80"/>
  <c r="AE273" i="80"/>
  <c r="P269" i="80"/>
  <c r="AC275" i="80"/>
  <c r="AP274" i="80"/>
  <c r="AE270" i="80"/>
  <c r="AK270" i="80"/>
  <c r="AD271" i="80"/>
  <c r="AJ270" i="80"/>
  <c r="AM270" i="80"/>
  <c r="AN275" i="80"/>
  <c r="R272" i="80"/>
  <c r="AH272" i="80"/>
  <c r="AM272" i="80"/>
  <c r="AM276" i="80"/>
  <c r="AG270" i="80"/>
  <c r="AJ271" i="80"/>
  <c r="AG271" i="80"/>
  <c r="AM273" i="80"/>
  <c r="R273" i="80"/>
  <c r="AC273" i="80"/>
  <c r="AF273" i="80"/>
  <c r="W274" i="80"/>
  <c r="P270" i="80"/>
  <c r="Q270" i="80"/>
  <c r="R271" i="80"/>
  <c r="U269" i="80"/>
  <c r="Q269" i="80"/>
  <c r="R269" i="80"/>
  <c r="AE275" i="80"/>
  <c r="AP275" i="80"/>
  <c r="R274" i="80"/>
  <c r="AN270" i="80"/>
  <c r="AI270" i="80"/>
  <c r="AP271" i="80"/>
  <c r="AP273" i="80"/>
  <c r="AJ273" i="80"/>
  <c r="AM274" i="80"/>
  <c r="W271" i="80"/>
  <c r="R275" i="80"/>
  <c r="AE274" i="80"/>
  <c r="AG274" i="80"/>
  <c r="AF274" i="80"/>
  <c r="AN274" i="80"/>
  <c r="Q274" i="80"/>
  <c r="U270" i="80"/>
  <c r="AP270" i="80"/>
  <c r="P271" i="80"/>
  <c r="AM271" i="80"/>
  <c r="AI273" i="80"/>
  <c r="AL275" i="80"/>
  <c r="AJ274" i="80"/>
  <c r="P274" i="80"/>
  <c r="AL274" i="80"/>
  <c r="R270" i="80"/>
  <c r="AP272" i="80"/>
  <c r="AK272" i="80"/>
  <c r="AL276" i="80"/>
  <c r="R276" i="80"/>
  <c r="AE276" i="80"/>
  <c r="AI276" i="80"/>
  <c r="AC276" i="80"/>
  <c r="AK274" i="80"/>
  <c r="P273" i="80"/>
  <c r="AI274" i="80"/>
  <c r="AI271" i="80"/>
  <c r="AK271" i="80"/>
  <c r="W270" i="80"/>
  <c r="L164" i="73"/>
  <c r="L224" i="73" s="1"/>
  <c r="U134" i="73"/>
  <c r="R134" i="73"/>
  <c r="Q134" i="73"/>
  <c r="O164" i="73"/>
  <c r="O224" i="73" s="1"/>
  <c r="W134" i="73"/>
  <c r="S164" i="73"/>
  <c r="S224" i="73" s="1"/>
  <c r="N134" i="73"/>
  <c r="T164" i="73"/>
  <c r="T224" i="73" s="1"/>
  <c r="J164" i="73"/>
  <c r="J224" i="73" s="1"/>
  <c r="M164" i="73"/>
  <c r="M224" i="73" s="1"/>
  <c r="K134" i="73"/>
  <c r="P134" i="73"/>
  <c r="Y134" i="73"/>
  <c r="Z134" i="73"/>
  <c r="AB134" i="73"/>
  <c r="AA134" i="73"/>
  <c r="X134" i="73"/>
  <c r="V164" i="73"/>
  <c r="V224" i="73" s="1"/>
  <c r="J134" i="73"/>
  <c r="M134" i="73"/>
  <c r="K164" i="73"/>
  <c r="K224" i="73" s="1"/>
  <c r="P164" i="73"/>
  <c r="P224" i="73" s="1"/>
  <c r="Y164" i="73"/>
  <c r="Y224" i="73" s="1"/>
  <c r="Z164" i="73"/>
  <c r="Z224" i="73" s="1"/>
  <c r="AB164" i="73"/>
  <c r="AB224" i="73" s="1"/>
  <c r="AA164" i="73"/>
  <c r="AA224" i="73" s="1"/>
  <c r="X164" i="73"/>
  <c r="X224" i="73" s="1"/>
  <c r="V134" i="73"/>
  <c r="U164" i="73"/>
  <c r="U224" i="73" s="1"/>
  <c r="T134" i="73"/>
  <c r="N164" i="73"/>
  <c r="N224" i="73" s="1"/>
  <c r="L134" i="73"/>
  <c r="R164" i="73"/>
  <c r="R224" i="73" s="1"/>
  <c r="W164" i="73"/>
  <c r="W224" i="73" s="1"/>
  <c r="Q164" i="73"/>
  <c r="Q224" i="73" s="1"/>
  <c r="O134" i="73"/>
  <c r="S134" i="73"/>
  <c r="Y137" i="73"/>
  <c r="T137" i="73"/>
  <c r="V137" i="73"/>
  <c r="Z137" i="73"/>
  <c r="M137" i="73"/>
  <c r="M167" i="73"/>
  <c r="M227" i="73" s="1"/>
  <c r="Y167" i="73"/>
  <c r="Y227" i="73" s="1"/>
  <c r="S167" i="73"/>
  <c r="S227" i="73" s="1"/>
  <c r="J137" i="73"/>
  <c r="R137" i="73"/>
  <c r="X167" i="73"/>
  <c r="X227" i="73" s="1"/>
  <c r="L167" i="73"/>
  <c r="L227" i="73" s="1"/>
  <c r="P167" i="73"/>
  <c r="P227" i="73" s="1"/>
  <c r="J167" i="73"/>
  <c r="J227" i="73" s="1"/>
  <c r="K167" i="73"/>
  <c r="K227" i="73" s="1"/>
  <c r="AB137" i="73"/>
  <c r="N137" i="73"/>
  <c r="W137" i="73"/>
  <c r="W167" i="73"/>
  <c r="W227" i="73" s="1"/>
  <c r="AA137" i="73"/>
  <c r="S137" i="73"/>
  <c r="Q137" i="73"/>
  <c r="V167" i="73"/>
  <c r="V227" i="73" s="1"/>
  <c r="Z167" i="73"/>
  <c r="Z227" i="73" s="1"/>
  <c r="R167" i="73"/>
  <c r="R227" i="73" s="1"/>
  <c r="K137" i="73"/>
  <c r="N167" i="73"/>
  <c r="N227" i="73" s="1"/>
  <c r="L137" i="73"/>
  <c r="O167" i="73"/>
  <c r="O227" i="73" s="1"/>
  <c r="O137" i="73"/>
  <c r="Q167" i="73"/>
  <c r="Q227" i="73" s="1"/>
  <c r="X137" i="73"/>
  <c r="U137" i="73"/>
  <c r="AA167" i="73"/>
  <c r="AA227" i="73" s="1"/>
  <c r="T167" i="73"/>
  <c r="T227" i="73" s="1"/>
  <c r="AB167" i="73"/>
  <c r="AB227" i="73" s="1"/>
  <c r="P137" i="73"/>
  <c r="U167" i="73"/>
  <c r="U227" i="73" s="1"/>
  <c r="W269" i="80"/>
  <c r="W275" i="80"/>
  <c r="AG275" i="80"/>
  <c r="W272" i="80"/>
  <c r="K140" i="73"/>
  <c r="S140" i="73"/>
  <c r="N140" i="73"/>
  <c r="L170" i="73"/>
  <c r="L230" i="73" s="1"/>
  <c r="O170" i="73"/>
  <c r="O230" i="73" s="1"/>
  <c r="V140" i="73"/>
  <c r="N170" i="73"/>
  <c r="N230" i="73" s="1"/>
  <c r="V170" i="73"/>
  <c r="V230" i="73" s="1"/>
  <c r="AB170" i="73"/>
  <c r="AB230" i="73" s="1"/>
  <c r="T140" i="73"/>
  <c r="R140" i="73"/>
  <c r="L140" i="73"/>
  <c r="R170" i="73"/>
  <c r="R230" i="73" s="1"/>
  <c r="J170" i="73"/>
  <c r="J230" i="73" s="1"/>
  <c r="K170" i="73"/>
  <c r="K230" i="73" s="1"/>
  <c r="AA170" i="73"/>
  <c r="AA230" i="73" s="1"/>
  <c r="P170" i="73"/>
  <c r="P230" i="73" s="1"/>
  <c r="M170" i="73"/>
  <c r="M230" i="73" s="1"/>
  <c r="M140" i="73"/>
  <c r="Y170" i="73"/>
  <c r="Y230" i="73" s="1"/>
  <c r="W140" i="73"/>
  <c r="X170" i="73"/>
  <c r="X230" i="73" s="1"/>
  <c r="J140" i="73"/>
  <c r="Y140" i="73"/>
  <c r="T170" i="73"/>
  <c r="T230" i="73" s="1"/>
  <c r="O140" i="73"/>
  <c r="P140" i="73"/>
  <c r="Q140" i="73"/>
  <c r="AB140" i="73"/>
  <c r="W170" i="73"/>
  <c r="W230" i="73" s="1"/>
  <c r="S170" i="73"/>
  <c r="S230" i="73" s="1"/>
  <c r="U170" i="73"/>
  <c r="U230" i="73" s="1"/>
  <c r="AA140" i="73"/>
  <c r="X140" i="73"/>
  <c r="Z140" i="73"/>
  <c r="U140" i="73"/>
  <c r="Q170" i="73"/>
  <c r="Q230" i="73" s="1"/>
  <c r="Z170" i="73"/>
  <c r="Z230" i="73" s="1"/>
  <c r="V276" i="80"/>
  <c r="V165" i="73"/>
  <c r="V225" i="73" s="1"/>
  <c r="K135" i="73"/>
  <c r="O135" i="73"/>
  <c r="P165" i="73"/>
  <c r="P225" i="73" s="1"/>
  <c r="X135" i="73"/>
  <c r="AB135" i="73"/>
  <c r="Z165" i="73"/>
  <c r="Z225" i="73" s="1"/>
  <c r="AA135" i="73"/>
  <c r="T135" i="73"/>
  <c r="R165" i="73"/>
  <c r="R225" i="73" s="1"/>
  <c r="J135" i="73"/>
  <c r="U135" i="73"/>
  <c r="M135" i="73"/>
  <c r="L135" i="73"/>
  <c r="N135" i="73"/>
  <c r="S165" i="73"/>
  <c r="S225" i="73" s="1"/>
  <c r="Q135" i="73"/>
  <c r="W165" i="73"/>
  <c r="W225" i="73" s="1"/>
  <c r="Y135" i="73"/>
  <c r="U165" i="73"/>
  <c r="U225" i="73" s="1"/>
  <c r="M165" i="73"/>
  <c r="M225" i="73" s="1"/>
  <c r="L165" i="73"/>
  <c r="L225" i="73" s="1"/>
  <c r="N165" i="73"/>
  <c r="N225" i="73" s="1"/>
  <c r="S135" i="73"/>
  <c r="Q165" i="73"/>
  <c r="Q225" i="73" s="1"/>
  <c r="W135" i="73"/>
  <c r="Y165" i="73"/>
  <c r="Y225" i="73" s="1"/>
  <c r="V135" i="73"/>
  <c r="T165" i="73"/>
  <c r="T225" i="73" s="1"/>
  <c r="P135" i="73"/>
  <c r="AB165" i="73"/>
  <c r="AB225" i="73" s="1"/>
  <c r="O165" i="73"/>
  <c r="O225" i="73" s="1"/>
  <c r="AA165" i="73"/>
  <c r="AA225" i="73" s="1"/>
  <c r="J165" i="73"/>
  <c r="J225" i="73" s="1"/>
  <c r="K165" i="73"/>
  <c r="K225" i="73" s="1"/>
  <c r="X165" i="73"/>
  <c r="X225" i="73" s="1"/>
  <c r="Z135" i="73"/>
  <c r="R135" i="73"/>
  <c r="U275" i="80"/>
  <c r="AO275" i="80"/>
  <c r="Z166" i="73"/>
  <c r="Z226" i="73" s="1"/>
  <c r="Y166" i="73"/>
  <c r="Y226" i="73" s="1"/>
  <c r="V166" i="73"/>
  <c r="V226" i="73" s="1"/>
  <c r="L136" i="73"/>
  <c r="K136" i="73"/>
  <c r="U166" i="73"/>
  <c r="U226" i="73" s="1"/>
  <c r="T166" i="73"/>
  <c r="T226" i="73" s="1"/>
  <c r="R136" i="73"/>
  <c r="S136" i="73"/>
  <c r="W166" i="73"/>
  <c r="W226" i="73" s="1"/>
  <c r="P166" i="73"/>
  <c r="P226" i="73" s="1"/>
  <c r="Q136" i="73"/>
  <c r="X136" i="73"/>
  <c r="J136" i="73"/>
  <c r="O166" i="73"/>
  <c r="O226" i="73" s="1"/>
  <c r="N166" i="73"/>
  <c r="N226" i="73" s="1"/>
  <c r="AA136" i="73"/>
  <c r="M136" i="73"/>
  <c r="AB136" i="73"/>
  <c r="P136" i="73"/>
  <c r="Q166" i="73"/>
  <c r="Q226" i="73" s="1"/>
  <c r="X166" i="73"/>
  <c r="X226" i="73" s="1"/>
  <c r="J166" i="73"/>
  <c r="J226" i="73" s="1"/>
  <c r="O136" i="73"/>
  <c r="N136" i="73"/>
  <c r="AA166" i="73"/>
  <c r="AA226" i="73" s="1"/>
  <c r="M166" i="73"/>
  <c r="M226" i="73" s="1"/>
  <c r="AB166" i="73"/>
  <c r="AB226" i="73" s="1"/>
  <c r="Z136" i="73"/>
  <c r="K166" i="73"/>
  <c r="K226" i="73" s="1"/>
  <c r="U136" i="73"/>
  <c r="S166" i="73"/>
  <c r="S226" i="73" s="1"/>
  <c r="L166" i="73"/>
  <c r="L226" i="73" s="1"/>
  <c r="R166" i="73"/>
  <c r="R226" i="73" s="1"/>
  <c r="W136" i="73"/>
  <c r="Y136" i="73"/>
  <c r="V136" i="73"/>
  <c r="T136" i="73"/>
  <c r="V274" i="80"/>
  <c r="AO274" i="80"/>
  <c r="AD274" i="80"/>
  <c r="AH274" i="80"/>
  <c r="AH270" i="80"/>
  <c r="AL271" i="80"/>
  <c r="U271" i="80"/>
  <c r="V271" i="80"/>
  <c r="AF271" i="80"/>
  <c r="AH271" i="80"/>
  <c r="AL273" i="80"/>
  <c r="W273" i="80"/>
  <c r="AD269" i="80"/>
  <c r="AO269" i="80"/>
  <c r="AD275" i="80"/>
  <c r="AG272" i="80"/>
  <c r="W276" i="80"/>
  <c r="N168" i="73"/>
  <c r="N228" i="73" s="1"/>
  <c r="L168" i="73"/>
  <c r="L228" i="73" s="1"/>
  <c r="AB138" i="73"/>
  <c r="AA168" i="73"/>
  <c r="AA228" i="73" s="1"/>
  <c r="Q168" i="73"/>
  <c r="Q228" i="73" s="1"/>
  <c r="V168" i="73"/>
  <c r="V228" i="73" s="1"/>
  <c r="U138" i="73"/>
  <c r="S168" i="73"/>
  <c r="S228" i="73" s="1"/>
  <c r="T168" i="73"/>
  <c r="T228" i="73" s="1"/>
  <c r="O138" i="73"/>
  <c r="X168" i="73"/>
  <c r="X228" i="73" s="1"/>
  <c r="P138" i="73"/>
  <c r="Y168" i="73"/>
  <c r="Y228" i="73" s="1"/>
  <c r="K138" i="73"/>
  <c r="Z138" i="73"/>
  <c r="R138" i="73"/>
  <c r="M138" i="73"/>
  <c r="W138" i="73"/>
  <c r="J168" i="73"/>
  <c r="J228" i="73" s="1"/>
  <c r="T138" i="73"/>
  <c r="O168" i="73"/>
  <c r="O228" i="73" s="1"/>
  <c r="X138" i="73"/>
  <c r="P168" i="73"/>
  <c r="P228" i="73" s="1"/>
  <c r="Y138" i="73"/>
  <c r="K168" i="73"/>
  <c r="K228" i="73" s="1"/>
  <c r="Z168" i="73"/>
  <c r="Z228" i="73" s="1"/>
  <c r="R168" i="73"/>
  <c r="R228" i="73" s="1"/>
  <c r="M168" i="73"/>
  <c r="M228" i="73" s="1"/>
  <c r="W168" i="73"/>
  <c r="W228" i="73" s="1"/>
  <c r="J138" i="73"/>
  <c r="Q138" i="73"/>
  <c r="V138" i="73"/>
  <c r="AB168" i="73"/>
  <c r="AB228" i="73" s="1"/>
  <c r="N138" i="73"/>
  <c r="AA138" i="73"/>
  <c r="S138" i="73"/>
  <c r="L138" i="73"/>
  <c r="U168" i="73"/>
  <c r="U228" i="73" s="1"/>
  <c r="AO270" i="80"/>
  <c r="V270" i="80"/>
  <c r="AO271" i="80"/>
  <c r="AG273" i="80"/>
  <c r="V273" i="80"/>
  <c r="AH273" i="80"/>
  <c r="AD273" i="80"/>
  <c r="V269" i="80"/>
  <c r="AB139" i="73"/>
  <c r="T139" i="73"/>
  <c r="K169" i="73"/>
  <c r="K229" i="73" s="1"/>
  <c r="P139" i="73"/>
  <c r="U169" i="73"/>
  <c r="U229" i="73" s="1"/>
  <c r="V169" i="73"/>
  <c r="V229" i="73" s="1"/>
  <c r="J139" i="73"/>
  <c r="U139" i="73"/>
  <c r="V139" i="73"/>
  <c r="R169" i="73"/>
  <c r="R229" i="73" s="1"/>
  <c r="K139" i="73"/>
  <c r="Y139" i="73"/>
  <c r="AA139" i="73"/>
  <c r="J169" i="73"/>
  <c r="J229" i="73" s="1"/>
  <c r="X169" i="73"/>
  <c r="X229" i="73" s="1"/>
  <c r="L169" i="73"/>
  <c r="L229" i="73" s="1"/>
  <c r="Q139" i="73"/>
  <c r="X139" i="73"/>
  <c r="L139" i="73"/>
  <c r="W139" i="73"/>
  <c r="AA169" i="73"/>
  <c r="AA229" i="73" s="1"/>
  <c r="O139" i="73"/>
  <c r="S169" i="73"/>
  <c r="S229" i="73" s="1"/>
  <c r="Y169" i="73"/>
  <c r="Y229" i="73" s="1"/>
  <c r="M169" i="73"/>
  <c r="M229" i="73" s="1"/>
  <c r="N169" i="73"/>
  <c r="N229" i="73" s="1"/>
  <c r="R139" i="73"/>
  <c r="M139" i="73"/>
  <c r="T169" i="73"/>
  <c r="T229" i="73" s="1"/>
  <c r="S139" i="73"/>
  <c r="AB169" i="73"/>
  <c r="AB229" i="73" s="1"/>
  <c r="N139" i="73"/>
  <c r="O169" i="73"/>
  <c r="O229" i="73" s="1"/>
  <c r="Z169" i="73"/>
  <c r="Z229" i="73" s="1"/>
  <c r="P169" i="73"/>
  <c r="P229" i="73" s="1"/>
  <c r="W169" i="73"/>
  <c r="W229" i="73" s="1"/>
  <c r="Z139" i="73"/>
  <c r="Q169" i="73"/>
  <c r="Q229" i="73" s="1"/>
  <c r="AH275" i="80"/>
  <c r="V272" i="80"/>
  <c r="AL272" i="80"/>
  <c r="AH276" i="80"/>
  <c r="Z142" i="80"/>
  <c r="Z168" i="80" s="1"/>
  <c r="AB142" i="80"/>
  <c r="AB168" i="80" s="1"/>
  <c r="AA142" i="80"/>
  <c r="AA168" i="80" s="1"/>
  <c r="X142" i="80"/>
  <c r="X168" i="80" s="1"/>
  <c r="Y142" i="80"/>
  <c r="Y168" i="80" s="1"/>
  <c r="AN177" i="80"/>
  <c r="AA90" i="71" l="1"/>
  <c r="AA195" i="71" s="1"/>
  <c r="J457" i="53"/>
  <c r="J492" i="53" s="1"/>
  <c r="J513" i="53" s="1"/>
  <c r="J74" i="80" s="1"/>
  <c r="J86" i="80" s="1"/>
  <c r="L457" i="53"/>
  <c r="L492" i="53" s="1"/>
  <c r="S479" i="53"/>
  <c r="S492" i="53" s="1"/>
  <c r="L460" i="53"/>
  <c r="L495" i="53" s="1"/>
  <c r="J456" i="53"/>
  <c r="J491" i="53" s="1"/>
  <c r="J512" i="53" s="1"/>
  <c r="J85" i="83" s="1"/>
  <c r="J455" i="53"/>
  <c r="J490" i="53" s="1"/>
  <c r="J511" i="53" s="1"/>
  <c r="J72" i="80" s="1"/>
  <c r="J84" i="80" s="1"/>
  <c r="K455" i="53"/>
  <c r="K490" i="53" s="1"/>
  <c r="K511" i="53" s="1"/>
  <c r="K72" i="80" s="1"/>
  <c r="K84" i="80" s="1"/>
  <c r="AA60" i="71"/>
  <c r="AA165" i="71" s="1"/>
  <c r="J460" i="53"/>
  <c r="J495" i="53" s="1"/>
  <c r="J538" i="53" s="1"/>
  <c r="J123" i="80" s="1"/>
  <c r="J135" i="80" s="1"/>
  <c r="K460" i="53"/>
  <c r="K495" i="53" s="1"/>
  <c r="K527" i="53" s="1"/>
  <c r="K456" i="53"/>
  <c r="K491" i="53" s="1"/>
  <c r="K512" i="53" s="1"/>
  <c r="K85" i="83" s="1"/>
  <c r="L455" i="53"/>
  <c r="L490" i="53" s="1"/>
  <c r="S478" i="53"/>
  <c r="S491" i="53" s="1"/>
  <c r="X91" i="71"/>
  <c r="X196" i="71" s="1"/>
  <c r="T490" i="53"/>
  <c r="N470" i="53"/>
  <c r="N494" i="53" s="1"/>
  <c r="N526" i="53" s="1"/>
  <c r="N100" i="83" s="1"/>
  <c r="N468" i="53"/>
  <c r="N492" i="53" s="1"/>
  <c r="N524" i="53" s="1"/>
  <c r="N97" i="80" s="1"/>
  <c r="N109" i="80" s="1"/>
  <c r="J454" i="53"/>
  <c r="J489" i="53" s="1"/>
  <c r="J521" i="53" s="1"/>
  <c r="J94" i="80" s="1"/>
  <c r="J106" i="80" s="1"/>
  <c r="K454" i="53"/>
  <c r="K489" i="53" s="1"/>
  <c r="K510" i="53" s="1"/>
  <c r="K71" i="80" s="1"/>
  <c r="K83" i="80" s="1"/>
  <c r="L454" i="53"/>
  <c r="L489" i="53" s="1"/>
  <c r="S489" i="53"/>
  <c r="K459" i="53"/>
  <c r="K494" i="53" s="1"/>
  <c r="K526" i="53" s="1"/>
  <c r="J459" i="53"/>
  <c r="J494" i="53" s="1"/>
  <c r="J526" i="53" s="1"/>
  <c r="J100" i="83" s="1"/>
  <c r="S494" i="53"/>
  <c r="L459" i="53"/>
  <c r="L494" i="53" s="1"/>
  <c r="K461" i="53"/>
  <c r="K496" i="53" s="1"/>
  <c r="K517" i="53" s="1"/>
  <c r="K78" i="80" s="1"/>
  <c r="K90" i="80" s="1"/>
  <c r="L461" i="53"/>
  <c r="L496" i="53" s="1"/>
  <c r="S496" i="53"/>
  <c r="J461" i="53"/>
  <c r="J496" i="53" s="1"/>
  <c r="J528" i="53" s="1"/>
  <c r="J101" i="80" s="1"/>
  <c r="K453" i="53"/>
  <c r="K488" i="53" s="1"/>
  <c r="K520" i="53" s="1"/>
  <c r="J453" i="53"/>
  <c r="J488" i="53" s="1"/>
  <c r="J509" i="53" s="1"/>
  <c r="L453" i="53"/>
  <c r="L488" i="53" s="1"/>
  <c r="S488" i="53"/>
  <c r="AA61" i="71"/>
  <c r="AA166" i="71" s="1"/>
  <c r="Y60" i="71"/>
  <c r="Y165" i="71" s="1"/>
  <c r="X90" i="71"/>
  <c r="X195" i="71" s="1"/>
  <c r="Z61" i="71"/>
  <c r="Z166" i="71" s="1"/>
  <c r="Y91" i="71"/>
  <c r="Y196" i="71" s="1"/>
  <c r="K524" i="53"/>
  <c r="K97" i="80" s="1"/>
  <c r="K109" i="80" s="1"/>
  <c r="K535" i="53"/>
  <c r="K120" i="80" s="1"/>
  <c r="K132" i="80" s="1"/>
  <c r="L514" i="53"/>
  <c r="L87" i="83" s="1"/>
  <c r="Z91" i="71"/>
  <c r="Z196" i="71" s="1"/>
  <c r="Z60" i="71"/>
  <c r="Z165" i="71" s="1"/>
  <c r="Z90" i="71"/>
  <c r="Z195" i="71" s="1"/>
  <c r="U29" i="71"/>
  <c r="U134" i="71" s="1"/>
  <c r="U24" i="71"/>
  <c r="U129" i="71" s="1"/>
  <c r="N520" i="53"/>
  <c r="N93" i="80" s="1"/>
  <c r="N105" i="80" s="1"/>
  <c r="N509" i="53"/>
  <c r="N531" i="53"/>
  <c r="N116" i="80" s="1"/>
  <c r="N128" i="80" s="1"/>
  <c r="O532" i="53"/>
  <c r="O107" i="83" s="1"/>
  <c r="O521" i="53"/>
  <c r="O95" i="83" s="1"/>
  <c r="O510" i="53"/>
  <c r="O71" i="80" s="1"/>
  <c r="O83" i="80" s="1"/>
  <c r="O539" i="53"/>
  <c r="O528" i="53"/>
  <c r="O101" i="80" s="1"/>
  <c r="O113" i="80" s="1"/>
  <c r="O517" i="53"/>
  <c r="O90" i="83" s="1"/>
  <c r="O516" i="53"/>
  <c r="O527" i="53"/>
  <c r="O538" i="53"/>
  <c r="O534" i="53"/>
  <c r="O523" i="53"/>
  <c r="O97" i="83" s="1"/>
  <c r="O512" i="53"/>
  <c r="O85" i="83" s="1"/>
  <c r="O524" i="53"/>
  <c r="O98" i="83" s="1"/>
  <c r="O535" i="53"/>
  <c r="O110" i="83" s="1"/>
  <c r="O513" i="53"/>
  <c r="O86" i="83" s="1"/>
  <c r="O511" i="53"/>
  <c r="O84" i="83" s="1"/>
  <c r="O522" i="53"/>
  <c r="O95" i="80" s="1"/>
  <c r="O533" i="53"/>
  <c r="O108" i="83" s="1"/>
  <c r="O509" i="53"/>
  <c r="O70" i="80" s="1"/>
  <c r="O82" i="80" s="1"/>
  <c r="O520" i="53"/>
  <c r="O93" i="83" s="1"/>
  <c r="O531" i="53"/>
  <c r="N539" i="53"/>
  <c r="N124" i="80" s="1"/>
  <c r="N136" i="80" s="1"/>
  <c r="N528" i="53"/>
  <c r="N517" i="53"/>
  <c r="N78" i="80" s="1"/>
  <c r="N90" i="80" s="1"/>
  <c r="N538" i="53"/>
  <c r="N113" i="83" s="1"/>
  <c r="N527" i="53"/>
  <c r="N100" i="80" s="1"/>
  <c r="N516" i="53"/>
  <c r="N89" i="83" s="1"/>
  <c r="K536" i="53"/>
  <c r="K121" i="80" s="1"/>
  <c r="K133" i="80" s="1"/>
  <c r="K514" i="53"/>
  <c r="K525" i="53"/>
  <c r="K99" i="83" s="1"/>
  <c r="J536" i="53"/>
  <c r="J514" i="53"/>
  <c r="J525" i="53"/>
  <c r="O515" i="53"/>
  <c r="O88" i="83" s="1"/>
  <c r="O526" i="53"/>
  <c r="O100" i="83" s="1"/>
  <c r="O537" i="53"/>
  <c r="O122" i="80" s="1"/>
  <c r="O134" i="80" s="1"/>
  <c r="N523" i="53"/>
  <c r="N96" i="80" s="1"/>
  <c r="N108" i="80" s="1"/>
  <c r="N534" i="53"/>
  <c r="N512" i="53"/>
  <c r="N525" i="53"/>
  <c r="N536" i="53"/>
  <c r="N514" i="53"/>
  <c r="N522" i="53"/>
  <c r="N96" i="83" s="1"/>
  <c r="N511" i="53"/>
  <c r="N84" i="83" s="1"/>
  <c r="N533" i="53"/>
  <c r="S514" i="53"/>
  <c r="S87" i="83" s="1"/>
  <c r="S536" i="53"/>
  <c r="S121" i="80" s="1"/>
  <c r="S133" i="80" s="1"/>
  <c r="S525" i="53"/>
  <c r="S98" i="80" s="1"/>
  <c r="N521" i="53"/>
  <c r="N94" i="80" s="1"/>
  <c r="N510" i="53"/>
  <c r="N83" i="83" s="1"/>
  <c r="N532" i="53"/>
  <c r="N107" i="83" s="1"/>
  <c r="O536" i="53"/>
  <c r="O514" i="53"/>
  <c r="O87" i="83" s="1"/>
  <c r="O525" i="53"/>
  <c r="O99" i="83" s="1"/>
  <c r="AA208" i="80"/>
  <c r="Z208" i="80"/>
  <c r="Y208" i="80"/>
  <c r="AB208" i="80"/>
  <c r="X208" i="80"/>
  <c r="U177" i="80"/>
  <c r="AF177" i="80"/>
  <c r="K86" i="83"/>
  <c r="M269" i="73"/>
  <c r="M32" i="74" s="1"/>
  <c r="M77" i="74" s="1"/>
  <c r="M199" i="73"/>
  <c r="W269" i="73"/>
  <c r="W32" i="74" s="1"/>
  <c r="W77" i="74" s="1"/>
  <c r="W199" i="73"/>
  <c r="Y269" i="73"/>
  <c r="Y32" i="74" s="1"/>
  <c r="Y77" i="74" s="1"/>
  <c r="Y199" i="73"/>
  <c r="S268" i="73"/>
  <c r="S31" i="74" s="1"/>
  <c r="S76" i="74" s="1"/>
  <c r="S198" i="73"/>
  <c r="T198" i="73"/>
  <c r="T268" i="73"/>
  <c r="T31" i="74" s="1"/>
  <c r="T76" i="74" s="1"/>
  <c r="P268" i="73"/>
  <c r="P31" i="74" s="1"/>
  <c r="P76" i="74" s="1"/>
  <c r="P106" i="74" s="1"/>
  <c r="P138" i="74" s="1"/>
  <c r="P198" i="73"/>
  <c r="U196" i="73"/>
  <c r="U266" i="73"/>
  <c r="U29" i="74" s="1"/>
  <c r="U74" i="74" s="1"/>
  <c r="AB196" i="73"/>
  <c r="AB266" i="73"/>
  <c r="AB29" i="74" s="1"/>
  <c r="AB74" i="74" s="1"/>
  <c r="Y265" i="73"/>
  <c r="Y28" i="74" s="1"/>
  <c r="Y73" i="74" s="1"/>
  <c r="Y195" i="73"/>
  <c r="J265" i="73"/>
  <c r="J28" i="74" s="1"/>
  <c r="J73" i="74" s="1"/>
  <c r="J195" i="73"/>
  <c r="O265" i="73"/>
  <c r="O28" i="74" s="1"/>
  <c r="O73" i="74" s="1"/>
  <c r="O195" i="73"/>
  <c r="X200" i="73"/>
  <c r="X270" i="73"/>
  <c r="X33" i="74" s="1"/>
  <c r="X78" i="74" s="1"/>
  <c r="O200" i="73"/>
  <c r="O270" i="73"/>
  <c r="O33" i="74" s="1"/>
  <c r="O78" i="74" s="1"/>
  <c r="R199" i="73"/>
  <c r="R269" i="73"/>
  <c r="R32" i="74" s="1"/>
  <c r="R77" i="74" s="1"/>
  <c r="R107" i="74" s="1"/>
  <c r="R139" i="74" s="1"/>
  <c r="J269" i="73"/>
  <c r="J32" i="74" s="1"/>
  <c r="J77" i="74" s="1"/>
  <c r="J199" i="73"/>
  <c r="AA198" i="73"/>
  <c r="AA268" i="73"/>
  <c r="AA31" i="74" s="1"/>
  <c r="AA76" i="74" s="1"/>
  <c r="U198" i="73"/>
  <c r="U268" i="73"/>
  <c r="U31" i="74" s="1"/>
  <c r="U76" i="74" s="1"/>
  <c r="M196" i="73"/>
  <c r="M266" i="73"/>
  <c r="M29" i="74" s="1"/>
  <c r="M74" i="74" s="1"/>
  <c r="W195" i="73"/>
  <c r="W265" i="73"/>
  <c r="W28" i="74" s="1"/>
  <c r="W73" i="74" s="1"/>
  <c r="K195" i="73"/>
  <c r="K265" i="73"/>
  <c r="K28" i="74" s="1"/>
  <c r="K73" i="74" s="1"/>
  <c r="AA270" i="73"/>
  <c r="AA33" i="74" s="1"/>
  <c r="AA78" i="74" s="1"/>
  <c r="AA200" i="73"/>
  <c r="W200" i="73"/>
  <c r="W270" i="73"/>
  <c r="W33" i="74" s="1"/>
  <c r="W78" i="74" s="1"/>
  <c r="K270" i="73"/>
  <c r="K33" i="74" s="1"/>
  <c r="K78" i="74" s="1"/>
  <c r="K200" i="73"/>
  <c r="P267" i="73"/>
  <c r="P30" i="74" s="1"/>
  <c r="P75" i="74" s="1"/>
  <c r="P105" i="74" s="1"/>
  <c r="P137" i="74" s="1"/>
  <c r="P197" i="73"/>
  <c r="U197" i="73"/>
  <c r="U267" i="73"/>
  <c r="U30" i="74" s="1"/>
  <c r="U75" i="74" s="1"/>
  <c r="S267" i="73"/>
  <c r="S30" i="74" s="1"/>
  <c r="S75" i="74" s="1"/>
  <c r="S197" i="73"/>
  <c r="N197" i="73"/>
  <c r="N267" i="73"/>
  <c r="N30" i="74" s="1"/>
  <c r="N75" i="74" s="1"/>
  <c r="J267" i="73"/>
  <c r="J30" i="74" s="1"/>
  <c r="J75" i="74" s="1"/>
  <c r="J197" i="73"/>
  <c r="M267" i="73"/>
  <c r="M30" i="74" s="1"/>
  <c r="M75" i="74" s="1"/>
  <c r="M197" i="73"/>
  <c r="Y267" i="73"/>
  <c r="Y30" i="74" s="1"/>
  <c r="Y75" i="74" s="1"/>
  <c r="Y197" i="73"/>
  <c r="T194" i="73"/>
  <c r="T264" i="73"/>
  <c r="T27" i="74" s="1"/>
  <c r="T72" i="74" s="1"/>
  <c r="Z194" i="73"/>
  <c r="Z264" i="73"/>
  <c r="Z27" i="74" s="1"/>
  <c r="Z72" i="74" s="1"/>
  <c r="R264" i="73"/>
  <c r="R27" i="74" s="1"/>
  <c r="R72" i="74" s="1"/>
  <c r="R102" i="74" s="1"/>
  <c r="R134" i="74" s="1"/>
  <c r="R194" i="73"/>
  <c r="S199" i="73"/>
  <c r="S269" i="73"/>
  <c r="S32" i="74" s="1"/>
  <c r="S77" i="74" s="1"/>
  <c r="O199" i="73"/>
  <c r="O269" i="73"/>
  <c r="O32" i="74" s="1"/>
  <c r="O77" i="74" s="1"/>
  <c r="X269" i="73"/>
  <c r="X32" i="74" s="1"/>
  <c r="X77" i="74" s="1"/>
  <c r="X199" i="73"/>
  <c r="T199" i="73"/>
  <c r="T269" i="73"/>
  <c r="T32" i="74" s="1"/>
  <c r="T77" i="74" s="1"/>
  <c r="N198" i="73"/>
  <c r="N268" i="73"/>
  <c r="N31" i="74" s="1"/>
  <c r="N76" i="74" s="1"/>
  <c r="J198" i="73"/>
  <c r="J268" i="73"/>
  <c r="J31" i="74" s="1"/>
  <c r="J76" i="74" s="1"/>
  <c r="X268" i="73"/>
  <c r="X31" i="74" s="1"/>
  <c r="X76" i="74" s="1"/>
  <c r="X198" i="73"/>
  <c r="W268" i="73"/>
  <c r="W31" i="74" s="1"/>
  <c r="W76" i="74" s="1"/>
  <c r="W198" i="73"/>
  <c r="K268" i="73"/>
  <c r="K31" i="74" s="1"/>
  <c r="K76" i="74" s="1"/>
  <c r="K198" i="73"/>
  <c r="O268" i="73"/>
  <c r="O31" i="74" s="1"/>
  <c r="O76" i="74" s="1"/>
  <c r="O198" i="73"/>
  <c r="V196" i="73"/>
  <c r="V266" i="73"/>
  <c r="V29" i="74" s="1"/>
  <c r="V74" i="74" s="1"/>
  <c r="Z266" i="73"/>
  <c r="Z29" i="74" s="1"/>
  <c r="Z74" i="74" s="1"/>
  <c r="Z196" i="73"/>
  <c r="N266" i="73"/>
  <c r="N29" i="74" s="1"/>
  <c r="N74" i="74" s="1"/>
  <c r="N196" i="73"/>
  <c r="AA196" i="73"/>
  <c r="AA266" i="73"/>
  <c r="AA29" i="74" s="1"/>
  <c r="AA74" i="74" s="1"/>
  <c r="X266" i="73"/>
  <c r="X29" i="74" s="1"/>
  <c r="X74" i="74" s="1"/>
  <c r="X196" i="73"/>
  <c r="S266" i="73"/>
  <c r="S29" i="74" s="1"/>
  <c r="S74" i="74" s="1"/>
  <c r="S196" i="73"/>
  <c r="K266" i="73"/>
  <c r="K29" i="74" s="1"/>
  <c r="K74" i="74" s="1"/>
  <c r="K196" i="73"/>
  <c r="Z195" i="73"/>
  <c r="Z265" i="73"/>
  <c r="Z28" i="74" s="1"/>
  <c r="Z73" i="74" s="1"/>
  <c r="Q195" i="73"/>
  <c r="Q265" i="73"/>
  <c r="Q28" i="74" s="1"/>
  <c r="Q73" i="74" s="1"/>
  <c r="Q103" i="74" s="1"/>
  <c r="Q135" i="74" s="1"/>
  <c r="M265" i="73"/>
  <c r="M28" i="74" s="1"/>
  <c r="M73" i="74" s="1"/>
  <c r="M195" i="73"/>
  <c r="T195" i="73"/>
  <c r="T265" i="73"/>
  <c r="T28" i="74" s="1"/>
  <c r="T73" i="74" s="1"/>
  <c r="X265" i="73"/>
  <c r="X28" i="74" s="1"/>
  <c r="X73" i="74" s="1"/>
  <c r="X195" i="73"/>
  <c r="U270" i="73"/>
  <c r="U33" i="74" s="1"/>
  <c r="U78" i="74" s="1"/>
  <c r="U200" i="73"/>
  <c r="Q200" i="73"/>
  <c r="Q270" i="73"/>
  <c r="Q33" i="74" s="1"/>
  <c r="Q78" i="74" s="1"/>
  <c r="Q108" i="74" s="1"/>
  <c r="Q140" i="74" s="1"/>
  <c r="Y200" i="73"/>
  <c r="Y270" i="73"/>
  <c r="Y33" i="74" s="1"/>
  <c r="Y78" i="74" s="1"/>
  <c r="L270" i="73"/>
  <c r="L33" i="74" s="1"/>
  <c r="L78" i="74" s="1"/>
  <c r="L200" i="73"/>
  <c r="X197" i="73"/>
  <c r="X267" i="73"/>
  <c r="X30" i="74" s="1"/>
  <c r="X75" i="74" s="1"/>
  <c r="L267" i="73"/>
  <c r="L30" i="74" s="1"/>
  <c r="L75" i="74" s="1"/>
  <c r="L197" i="73"/>
  <c r="AA267" i="73"/>
  <c r="AA30" i="74" s="1"/>
  <c r="AA75" i="74" s="1"/>
  <c r="AA197" i="73"/>
  <c r="AB197" i="73"/>
  <c r="AB267" i="73"/>
  <c r="AB30" i="74" s="1"/>
  <c r="AB75" i="74" s="1"/>
  <c r="Z197" i="73"/>
  <c r="Z267" i="73"/>
  <c r="Z30" i="74" s="1"/>
  <c r="Z75" i="74" s="1"/>
  <c r="S264" i="73"/>
  <c r="S27" i="74" s="1"/>
  <c r="S72" i="74" s="1"/>
  <c r="S194" i="73"/>
  <c r="X264" i="73"/>
  <c r="X27" i="74" s="1"/>
  <c r="X72" i="74" s="1"/>
  <c r="X194" i="73"/>
  <c r="Y194" i="73"/>
  <c r="Y264" i="73"/>
  <c r="Y27" i="74" s="1"/>
  <c r="Y72" i="74" s="1"/>
  <c r="W194" i="73"/>
  <c r="W264" i="73"/>
  <c r="W27" i="74" s="1"/>
  <c r="W72" i="74" s="1"/>
  <c r="U264" i="73"/>
  <c r="U27" i="74" s="1"/>
  <c r="U72" i="74" s="1"/>
  <c r="U194" i="73"/>
  <c r="N199" i="73"/>
  <c r="N269" i="73"/>
  <c r="N32" i="74" s="1"/>
  <c r="N77" i="74" s="1"/>
  <c r="U199" i="73"/>
  <c r="U269" i="73"/>
  <c r="U32" i="74" s="1"/>
  <c r="U77" i="74" s="1"/>
  <c r="P199" i="73"/>
  <c r="P269" i="73"/>
  <c r="P32" i="74" s="1"/>
  <c r="P77" i="74" s="1"/>
  <c r="P107" i="74" s="1"/>
  <c r="P139" i="74" s="1"/>
  <c r="V268" i="73"/>
  <c r="V31" i="74" s="1"/>
  <c r="V76" i="74" s="1"/>
  <c r="V198" i="73"/>
  <c r="Y198" i="73"/>
  <c r="Y268" i="73"/>
  <c r="Y31" i="74" s="1"/>
  <c r="Y76" i="74" s="1"/>
  <c r="R198" i="73"/>
  <c r="R268" i="73"/>
  <c r="R31" i="74" s="1"/>
  <c r="R76" i="74" s="1"/>
  <c r="R106" i="74" s="1"/>
  <c r="R138" i="74" s="1"/>
  <c r="W266" i="73"/>
  <c r="W29" i="74" s="1"/>
  <c r="W74" i="74" s="1"/>
  <c r="W196" i="73"/>
  <c r="N265" i="73"/>
  <c r="N28" i="74" s="1"/>
  <c r="N73" i="74" s="1"/>
  <c r="N195" i="73"/>
  <c r="L269" i="73"/>
  <c r="L32" i="74" s="1"/>
  <c r="L77" i="74" s="1"/>
  <c r="L199" i="73"/>
  <c r="K269" i="73"/>
  <c r="K32" i="74" s="1"/>
  <c r="K77" i="74" s="1"/>
  <c r="K199" i="73"/>
  <c r="Q198" i="73"/>
  <c r="Q268" i="73"/>
  <c r="Q31" i="74" s="1"/>
  <c r="Q76" i="74" s="1"/>
  <c r="Q106" i="74" s="1"/>
  <c r="Q138" i="74" s="1"/>
  <c r="Z268" i="73"/>
  <c r="Z31" i="74" s="1"/>
  <c r="Z76" i="74" s="1"/>
  <c r="Z198" i="73"/>
  <c r="AB198" i="73"/>
  <c r="AB268" i="73"/>
  <c r="AB31" i="74" s="1"/>
  <c r="AB76" i="74" s="1"/>
  <c r="T266" i="73"/>
  <c r="T29" i="74" s="1"/>
  <c r="T74" i="74" s="1"/>
  <c r="T196" i="73"/>
  <c r="J266" i="73"/>
  <c r="J29" i="74" s="1"/>
  <c r="J74" i="74" s="1"/>
  <c r="J196" i="73"/>
  <c r="R195" i="73"/>
  <c r="R265" i="73"/>
  <c r="R28" i="74" s="1"/>
  <c r="R73" i="74" s="1"/>
  <c r="R103" i="74" s="1"/>
  <c r="R135" i="74" s="1"/>
  <c r="P195" i="73"/>
  <c r="P265" i="73"/>
  <c r="P28" i="74" s="1"/>
  <c r="P73" i="74" s="1"/>
  <c r="P103" i="74" s="1"/>
  <c r="P135" i="74" s="1"/>
  <c r="L195" i="73"/>
  <c r="L265" i="73"/>
  <c r="L28" i="74" s="1"/>
  <c r="L73" i="74" s="1"/>
  <c r="AB265" i="73"/>
  <c r="AB28" i="74" s="1"/>
  <c r="AB73" i="74" s="1"/>
  <c r="AB195" i="73"/>
  <c r="AB200" i="73"/>
  <c r="AB270" i="73"/>
  <c r="AB33" i="74" s="1"/>
  <c r="AB78" i="74" s="1"/>
  <c r="Z199" i="73"/>
  <c r="Z269" i="73"/>
  <c r="Z32" i="74" s="1"/>
  <c r="Z77" i="74" s="1"/>
  <c r="Q269" i="73"/>
  <c r="Q32" i="74" s="1"/>
  <c r="Q77" i="74" s="1"/>
  <c r="Q107" i="74" s="1"/>
  <c r="Q139" i="74" s="1"/>
  <c r="Q199" i="73"/>
  <c r="AA269" i="73"/>
  <c r="AA32" i="74" s="1"/>
  <c r="AA77" i="74" s="1"/>
  <c r="AA199" i="73"/>
  <c r="V199" i="73"/>
  <c r="V269" i="73"/>
  <c r="V32" i="74" s="1"/>
  <c r="V77" i="74" s="1"/>
  <c r="AB199" i="73"/>
  <c r="AB269" i="73"/>
  <c r="AB32" i="74" s="1"/>
  <c r="AB77" i="74" s="1"/>
  <c r="L268" i="73"/>
  <c r="L31" i="74" s="1"/>
  <c r="L76" i="74" s="1"/>
  <c r="L198" i="73"/>
  <c r="M198" i="73"/>
  <c r="M268" i="73"/>
  <c r="M31" i="74" s="1"/>
  <c r="M76" i="74" s="1"/>
  <c r="Y266" i="73"/>
  <c r="Y29" i="74" s="1"/>
  <c r="Y74" i="74" s="1"/>
  <c r="Y196" i="73"/>
  <c r="O196" i="73"/>
  <c r="O266" i="73"/>
  <c r="O29" i="74" s="1"/>
  <c r="O74" i="74" s="1"/>
  <c r="P196" i="73"/>
  <c r="P266" i="73"/>
  <c r="P29" i="74" s="1"/>
  <c r="P74" i="74" s="1"/>
  <c r="P104" i="74" s="1"/>
  <c r="P136" i="74" s="1"/>
  <c r="Q196" i="73"/>
  <c r="Q266" i="73"/>
  <c r="Q29" i="74" s="1"/>
  <c r="Q74" i="74" s="1"/>
  <c r="Q104" i="74" s="1"/>
  <c r="Q136" i="74" s="1"/>
  <c r="R266" i="73"/>
  <c r="R29" i="74" s="1"/>
  <c r="R74" i="74" s="1"/>
  <c r="R104" i="74" s="1"/>
  <c r="R136" i="74" s="1"/>
  <c r="R196" i="73"/>
  <c r="L196" i="73"/>
  <c r="L266" i="73"/>
  <c r="L29" i="74" s="1"/>
  <c r="L74" i="74" s="1"/>
  <c r="V265" i="73"/>
  <c r="V28" i="74" s="1"/>
  <c r="V73" i="74" s="1"/>
  <c r="V195" i="73"/>
  <c r="S265" i="73"/>
  <c r="S28" i="74" s="1"/>
  <c r="S73" i="74" s="1"/>
  <c r="S195" i="73"/>
  <c r="U195" i="73"/>
  <c r="U265" i="73"/>
  <c r="U28" i="74" s="1"/>
  <c r="U73" i="74" s="1"/>
  <c r="AA195" i="73"/>
  <c r="AA265" i="73"/>
  <c r="AA28" i="74" s="1"/>
  <c r="AA73" i="74" s="1"/>
  <c r="Z200" i="73"/>
  <c r="Z270" i="73"/>
  <c r="Z33" i="74" s="1"/>
  <c r="Z78" i="74" s="1"/>
  <c r="P200" i="73"/>
  <c r="P270" i="73"/>
  <c r="P33" i="74" s="1"/>
  <c r="P78" i="74" s="1"/>
  <c r="P108" i="74" s="1"/>
  <c r="P140" i="74" s="1"/>
  <c r="J270" i="73"/>
  <c r="J33" i="74" s="1"/>
  <c r="J78" i="74" s="1"/>
  <c r="J200" i="73"/>
  <c r="M200" i="73"/>
  <c r="M270" i="73"/>
  <c r="M33" i="74" s="1"/>
  <c r="M78" i="74" s="1"/>
  <c r="R270" i="73"/>
  <c r="R33" i="74" s="1"/>
  <c r="R78" i="74" s="1"/>
  <c r="R108" i="74" s="1"/>
  <c r="R140" i="74" s="1"/>
  <c r="R200" i="73"/>
  <c r="N200" i="73"/>
  <c r="N270" i="73"/>
  <c r="N33" i="74" s="1"/>
  <c r="N78" i="74" s="1"/>
  <c r="V197" i="73"/>
  <c r="V267" i="73"/>
  <c r="V30" i="74" s="1"/>
  <c r="V75" i="74" s="1"/>
  <c r="O264" i="73"/>
  <c r="O27" i="74" s="1"/>
  <c r="O72" i="74" s="1"/>
  <c r="O194" i="73"/>
  <c r="L264" i="73"/>
  <c r="L27" i="74" s="1"/>
  <c r="L72" i="74" s="1"/>
  <c r="L194" i="73"/>
  <c r="V264" i="73"/>
  <c r="V27" i="74" s="1"/>
  <c r="V72" i="74" s="1"/>
  <c r="V194" i="73"/>
  <c r="M264" i="73"/>
  <c r="M27" i="74" s="1"/>
  <c r="M72" i="74" s="1"/>
  <c r="M194" i="73"/>
  <c r="AA194" i="73"/>
  <c r="AA264" i="73"/>
  <c r="AA27" i="74" s="1"/>
  <c r="AA72" i="74" s="1"/>
  <c r="P194" i="73"/>
  <c r="P264" i="73"/>
  <c r="P27" i="74" s="1"/>
  <c r="P72" i="74" s="1"/>
  <c r="P102" i="74" s="1"/>
  <c r="P134" i="74" s="1"/>
  <c r="T270" i="73"/>
  <c r="T33" i="74" s="1"/>
  <c r="T78" i="74" s="1"/>
  <c r="T200" i="73"/>
  <c r="V270" i="73"/>
  <c r="V33" i="74" s="1"/>
  <c r="V78" i="74" s="1"/>
  <c r="V200" i="73"/>
  <c r="S200" i="73"/>
  <c r="S270" i="73"/>
  <c r="S33" i="74" s="1"/>
  <c r="S78" i="74" s="1"/>
  <c r="O267" i="73"/>
  <c r="O30" i="74" s="1"/>
  <c r="O75" i="74" s="1"/>
  <c r="O197" i="73"/>
  <c r="K267" i="73"/>
  <c r="K30" i="74" s="1"/>
  <c r="K75" i="74" s="1"/>
  <c r="K197" i="73"/>
  <c r="Q267" i="73"/>
  <c r="Q30" i="74" s="1"/>
  <c r="Q75" i="74" s="1"/>
  <c r="Q105" i="74" s="1"/>
  <c r="Q137" i="74" s="1"/>
  <c r="Q197" i="73"/>
  <c r="W267" i="73"/>
  <c r="W30" i="74" s="1"/>
  <c r="W75" i="74" s="1"/>
  <c r="W197" i="73"/>
  <c r="R267" i="73"/>
  <c r="R30" i="74" s="1"/>
  <c r="R75" i="74" s="1"/>
  <c r="R105" i="74" s="1"/>
  <c r="R137" i="74" s="1"/>
  <c r="R197" i="73"/>
  <c r="T197" i="73"/>
  <c r="T267" i="73"/>
  <c r="T30" i="74" s="1"/>
  <c r="T75" i="74" s="1"/>
  <c r="J194" i="73"/>
  <c r="J264" i="73"/>
  <c r="J27" i="74" s="1"/>
  <c r="J72" i="74" s="1"/>
  <c r="AB264" i="73"/>
  <c r="AB27" i="74" s="1"/>
  <c r="AB72" i="74" s="1"/>
  <c r="AB194" i="73"/>
  <c r="K194" i="73"/>
  <c r="K264" i="73"/>
  <c r="K27" i="74" s="1"/>
  <c r="K72" i="74" s="1"/>
  <c r="N264" i="73"/>
  <c r="N27" i="74" s="1"/>
  <c r="N72" i="74" s="1"/>
  <c r="N194" i="73"/>
  <c r="Q264" i="73"/>
  <c r="Q27" i="74" s="1"/>
  <c r="Q72" i="74" s="1"/>
  <c r="Q102" i="74" s="1"/>
  <c r="Q134" i="74" s="1"/>
  <c r="Q194" i="73"/>
  <c r="X273" i="80"/>
  <c r="X176" i="80"/>
  <c r="X177" i="80" s="1"/>
  <c r="AA176" i="80"/>
  <c r="AA177" i="80" s="1"/>
  <c r="Z176" i="80"/>
  <c r="Z177" i="80" s="1"/>
  <c r="X275" i="80"/>
  <c r="X276" i="80"/>
  <c r="X271" i="80"/>
  <c r="X270" i="80"/>
  <c r="X274" i="80"/>
  <c r="X89" i="71"/>
  <c r="X194" i="71" s="1"/>
  <c r="AB26" i="71"/>
  <c r="AB131" i="71" s="1"/>
  <c r="X57" i="71"/>
  <c r="X162" i="71" s="1"/>
  <c r="AB57" i="71"/>
  <c r="AB162" i="71" s="1"/>
  <c r="Y22" i="71"/>
  <c r="Y127" i="71" s="1"/>
  <c r="AB86" i="71"/>
  <c r="AB191" i="71" s="1"/>
  <c r="X59" i="71"/>
  <c r="X164" i="71" s="1"/>
  <c r="X53" i="71"/>
  <c r="X158" i="71" s="1"/>
  <c r="AB85" i="71"/>
  <c r="AB190" i="71" s="1"/>
  <c r="X54" i="71"/>
  <c r="X159" i="71" s="1"/>
  <c r="Z26" i="71"/>
  <c r="Z131" i="71" s="1"/>
  <c r="AA86" i="71"/>
  <c r="AA191" i="71" s="1"/>
  <c r="Z22" i="71"/>
  <c r="Z127" i="71" s="1"/>
  <c r="AA58" i="71"/>
  <c r="AA163" i="71" s="1"/>
  <c r="X28" i="71"/>
  <c r="X133" i="71" s="1"/>
  <c r="Y29" i="71"/>
  <c r="Y134" i="71" s="1"/>
  <c r="Y24" i="71"/>
  <c r="Y129" i="71" s="1"/>
  <c r="AA25" i="71"/>
  <c r="AA130" i="71" s="1"/>
  <c r="AB25" i="71"/>
  <c r="AB130" i="71" s="1"/>
  <c r="Z82" i="71"/>
  <c r="Z187" i="71" s="1"/>
  <c r="Z54" i="71"/>
  <c r="Z159" i="71" s="1"/>
  <c r="Y86" i="71"/>
  <c r="Y191" i="71" s="1"/>
  <c r="AA52" i="71"/>
  <c r="AA157" i="71" s="1"/>
  <c r="X86" i="71"/>
  <c r="X191" i="71" s="1"/>
  <c r="AB83" i="71"/>
  <c r="AB188" i="71" s="1"/>
  <c r="Y25" i="71"/>
  <c r="Y130" i="71" s="1"/>
  <c r="AA89" i="71"/>
  <c r="AA194" i="71" s="1"/>
  <c r="AB55" i="71"/>
  <c r="AB160" i="71" s="1"/>
  <c r="AA54" i="71"/>
  <c r="AA159" i="71" s="1"/>
  <c r="X269" i="80"/>
  <c r="Z59" i="71"/>
  <c r="Z164" i="71" s="1"/>
  <c r="Z84" i="71"/>
  <c r="Z189" i="71" s="1"/>
  <c r="Z28" i="71"/>
  <c r="Z133" i="71" s="1"/>
  <c r="Z89" i="71"/>
  <c r="Z194" i="71" s="1"/>
  <c r="AB87" i="71"/>
  <c r="AB192" i="71" s="1"/>
  <c r="AA28" i="71"/>
  <c r="AA133" i="71" s="1"/>
  <c r="X58" i="71"/>
  <c r="X163" i="71" s="1"/>
  <c r="Y54" i="71"/>
  <c r="Y159" i="71" s="1"/>
  <c r="Y269" i="80"/>
  <c r="AB88" i="71"/>
  <c r="AB193" i="71" s="1"/>
  <c r="Z29" i="71"/>
  <c r="Z134" i="71" s="1"/>
  <c r="Y28" i="71"/>
  <c r="Y133" i="71" s="1"/>
  <c r="Y52" i="71"/>
  <c r="Y157" i="71" s="1"/>
  <c r="Z56" i="71"/>
  <c r="Z161" i="71" s="1"/>
  <c r="X25" i="71"/>
  <c r="X130" i="71" s="1"/>
  <c r="Z88" i="71"/>
  <c r="Z193" i="71" s="1"/>
  <c r="Y59" i="71"/>
  <c r="Y164" i="71" s="1"/>
  <c r="Y82" i="71"/>
  <c r="Y187" i="71" s="1"/>
  <c r="AB54" i="71"/>
  <c r="AB159" i="71" s="1"/>
  <c r="X83" i="71"/>
  <c r="X188" i="71" s="1"/>
  <c r="AA85" i="71"/>
  <c r="AA190" i="71" s="1"/>
  <c r="AA84" i="71"/>
  <c r="AA189" i="71" s="1"/>
  <c r="AA53" i="71"/>
  <c r="AA158" i="71" s="1"/>
  <c r="Z25" i="71"/>
  <c r="Z130" i="71" s="1"/>
  <c r="AA27" i="71"/>
  <c r="AA132" i="71" s="1"/>
  <c r="Z85" i="71"/>
  <c r="Z190" i="71" s="1"/>
  <c r="Y88" i="71"/>
  <c r="Y193" i="71" s="1"/>
  <c r="AA29" i="71"/>
  <c r="AA134" i="71" s="1"/>
  <c r="Z57" i="71"/>
  <c r="Z162" i="71" s="1"/>
  <c r="AB176" i="80"/>
  <c r="AB177" i="80" s="1"/>
  <c r="AA88" i="71"/>
  <c r="AA193" i="71" s="1"/>
  <c r="X85" i="71"/>
  <c r="X190" i="71" s="1"/>
  <c r="AB29" i="71"/>
  <c r="AB134" i="71" s="1"/>
  <c r="Y87" i="71"/>
  <c r="Y192" i="71" s="1"/>
  <c r="AB28" i="71"/>
  <c r="AB133" i="71" s="1"/>
  <c r="X26" i="71"/>
  <c r="X131" i="71" s="1"/>
  <c r="AA24" i="71"/>
  <c r="AA129" i="71" s="1"/>
  <c r="AA269" i="80"/>
  <c r="X56" i="71"/>
  <c r="X161" i="71" s="1"/>
  <c r="X29" i="71"/>
  <c r="X134" i="71" s="1"/>
  <c r="Z86" i="71"/>
  <c r="Z191" i="71" s="1"/>
  <c r="Z27" i="71"/>
  <c r="Z132" i="71" s="1"/>
  <c r="Y26" i="71"/>
  <c r="Y131" i="71" s="1"/>
  <c r="Y57" i="71"/>
  <c r="Y162" i="71" s="1"/>
  <c r="AA82" i="71"/>
  <c r="AA187" i="71" s="1"/>
  <c r="Z87" i="71"/>
  <c r="Z192" i="71" s="1"/>
  <c r="Z83" i="71"/>
  <c r="Z188" i="71" s="1"/>
  <c r="Y56" i="71"/>
  <c r="Y161" i="71" s="1"/>
  <c r="AB52" i="71"/>
  <c r="AB157" i="71" s="1"/>
  <c r="X22" i="71"/>
  <c r="X127" i="71" s="1"/>
  <c r="Y23" i="71"/>
  <c r="Y128" i="71" s="1"/>
  <c r="AB58" i="71"/>
  <c r="AB163" i="71" s="1"/>
  <c r="AB23" i="71"/>
  <c r="AB128" i="71" s="1"/>
  <c r="X84" i="71"/>
  <c r="X189" i="71" s="1"/>
  <c r="Y55" i="71"/>
  <c r="Y160" i="71" s="1"/>
  <c r="AB89" i="71"/>
  <c r="AB194" i="71" s="1"/>
  <c r="AB53" i="71"/>
  <c r="AB158" i="71" s="1"/>
  <c r="X82" i="71"/>
  <c r="X187" i="71" s="1"/>
  <c r="Z52" i="71"/>
  <c r="Z157" i="71" s="1"/>
  <c r="AA22" i="71"/>
  <c r="AA127" i="71" s="1"/>
  <c r="Z58" i="71"/>
  <c r="Z163" i="71" s="1"/>
  <c r="Z24" i="71"/>
  <c r="Z129" i="71" s="1"/>
  <c r="AB56" i="71"/>
  <c r="AB161" i="71" s="1"/>
  <c r="X27" i="71"/>
  <c r="X132" i="71" s="1"/>
  <c r="Y83" i="71"/>
  <c r="Y188" i="71" s="1"/>
  <c r="Z23" i="71"/>
  <c r="Z128" i="71" s="1"/>
  <c r="AA59" i="71"/>
  <c r="AA164" i="71" s="1"/>
  <c r="X24" i="71"/>
  <c r="X129" i="71" s="1"/>
  <c r="Y27" i="71"/>
  <c r="Y132" i="71" s="1"/>
  <c r="AB84" i="71"/>
  <c r="AB189" i="71" s="1"/>
  <c r="Y58" i="71"/>
  <c r="Y163" i="71" s="1"/>
  <c r="AA26" i="71"/>
  <c r="AA131" i="71" s="1"/>
  <c r="X55" i="71"/>
  <c r="X160" i="71" s="1"/>
  <c r="Y89" i="71"/>
  <c r="Y194" i="71" s="1"/>
  <c r="AB269" i="80"/>
  <c r="AA55" i="71"/>
  <c r="AA160" i="71" s="1"/>
  <c r="X87" i="71"/>
  <c r="X192" i="71" s="1"/>
  <c r="Y53" i="71"/>
  <c r="Y158" i="71" s="1"/>
  <c r="AB27" i="71"/>
  <c r="AB132" i="71" s="1"/>
  <c r="AA56" i="71"/>
  <c r="AA161" i="71" s="1"/>
  <c r="X52" i="71"/>
  <c r="X157" i="71" s="1"/>
  <c r="Y85" i="71"/>
  <c r="Y190" i="71" s="1"/>
  <c r="AB59" i="71"/>
  <c r="AB164" i="71" s="1"/>
  <c r="AA23" i="71"/>
  <c r="AA128" i="71" s="1"/>
  <c r="AB82" i="71"/>
  <c r="AB187" i="71" s="1"/>
  <c r="Y84" i="71"/>
  <c r="Y189" i="71" s="1"/>
  <c r="X88" i="71"/>
  <c r="X193" i="71" s="1"/>
  <c r="Z55" i="71"/>
  <c r="Z160" i="71" s="1"/>
  <c r="Z53" i="71"/>
  <c r="Z158" i="71" s="1"/>
  <c r="AB22" i="71"/>
  <c r="AB127" i="71" s="1"/>
  <c r="AA87" i="71"/>
  <c r="AA192" i="71" s="1"/>
  <c r="Z269" i="80"/>
  <c r="AA57" i="71"/>
  <c r="AA162" i="71" s="1"/>
  <c r="AA83" i="71"/>
  <c r="AA188" i="71" s="1"/>
  <c r="Y176" i="80"/>
  <c r="Y177" i="80" s="1"/>
  <c r="AB24" i="71"/>
  <c r="AB129" i="71" s="1"/>
  <c r="X23" i="71"/>
  <c r="X128" i="71" s="1"/>
  <c r="J524" i="53" l="1"/>
  <c r="J98" i="83" s="1"/>
  <c r="J186" i="83" s="1"/>
  <c r="J535" i="53"/>
  <c r="J110" i="83" s="1"/>
  <c r="J215" i="83" s="1"/>
  <c r="J523" i="53"/>
  <c r="J97" i="83" s="1"/>
  <c r="J185" i="83" s="1"/>
  <c r="J534" i="53"/>
  <c r="J109" i="83" s="1"/>
  <c r="J214" i="83" s="1"/>
  <c r="K533" i="53"/>
  <c r="K118" i="80" s="1"/>
  <c r="K130" i="80" s="1"/>
  <c r="J522" i="53"/>
  <c r="J96" i="83" s="1"/>
  <c r="J184" i="83" s="1"/>
  <c r="K532" i="53"/>
  <c r="K107" i="83" s="1"/>
  <c r="K212" i="83" s="1"/>
  <c r="J533" i="53"/>
  <c r="J108" i="83" s="1"/>
  <c r="J213" i="83" s="1"/>
  <c r="K522" i="53"/>
  <c r="K95" i="80" s="1"/>
  <c r="K107" i="80" s="1"/>
  <c r="K523" i="53"/>
  <c r="K97" i="83" s="1"/>
  <c r="K185" i="83" s="1"/>
  <c r="N513" i="53"/>
  <c r="N74" i="80" s="1"/>
  <c r="N86" i="80" s="1"/>
  <c r="J516" i="53"/>
  <c r="J89" i="83" s="1"/>
  <c r="J160" i="83" s="1"/>
  <c r="K538" i="53"/>
  <c r="K113" i="83" s="1"/>
  <c r="K218" i="83" s="1"/>
  <c r="J527" i="53"/>
  <c r="J100" i="80" s="1"/>
  <c r="J112" i="80" s="1"/>
  <c r="K516" i="53"/>
  <c r="K77" i="80" s="1"/>
  <c r="K89" i="80" s="1"/>
  <c r="K521" i="53"/>
  <c r="K95" i="83" s="1"/>
  <c r="K183" i="83" s="1"/>
  <c r="J537" i="53"/>
  <c r="J122" i="80" s="1"/>
  <c r="J134" i="80" s="1"/>
  <c r="K534" i="53"/>
  <c r="K109" i="83" s="1"/>
  <c r="K214" i="83" s="1"/>
  <c r="J515" i="53"/>
  <c r="J88" i="83" s="1"/>
  <c r="J159" i="83" s="1"/>
  <c r="N535" i="53"/>
  <c r="N120" i="80" s="1"/>
  <c r="N132" i="80" s="1"/>
  <c r="N515" i="53"/>
  <c r="N76" i="80" s="1"/>
  <c r="N88" i="80" s="1"/>
  <c r="N537" i="53"/>
  <c r="N112" i="83" s="1"/>
  <c r="N217" i="83" s="1"/>
  <c r="O75" i="80"/>
  <c r="O87" i="80" s="1"/>
  <c r="K537" i="53"/>
  <c r="K112" i="83" s="1"/>
  <c r="K217" i="83" s="1"/>
  <c r="K528" i="53"/>
  <c r="K101" i="80" s="1"/>
  <c r="K113" i="80" s="1"/>
  <c r="J531" i="53"/>
  <c r="J106" i="83" s="1"/>
  <c r="J510" i="53"/>
  <c r="J83" i="83" s="1"/>
  <c r="K539" i="53"/>
  <c r="K114" i="83" s="1"/>
  <c r="J532" i="53"/>
  <c r="J107" i="83" s="1"/>
  <c r="J212" i="83" s="1"/>
  <c r="K515" i="53"/>
  <c r="K76" i="80" s="1"/>
  <c r="K88" i="80" s="1"/>
  <c r="K531" i="53"/>
  <c r="K106" i="83" s="1"/>
  <c r="K509" i="53"/>
  <c r="K70" i="80" s="1"/>
  <c r="K82" i="80" s="1"/>
  <c r="J520" i="53"/>
  <c r="J94" i="83" s="1"/>
  <c r="J102" i="83"/>
  <c r="J190" i="83" s="1"/>
  <c r="J539" i="53"/>
  <c r="J124" i="80" s="1"/>
  <c r="J136" i="80" s="1"/>
  <c r="J517" i="53"/>
  <c r="J90" i="83" s="1"/>
  <c r="O83" i="83"/>
  <c r="O154" i="83" s="1"/>
  <c r="O112" i="83"/>
  <c r="N72" i="80"/>
  <c r="N84" i="80" s="1"/>
  <c r="O73" i="80"/>
  <c r="O85" i="80" s="1"/>
  <c r="S99" i="83"/>
  <c r="K111" i="83"/>
  <c r="N77" i="80"/>
  <c r="N89" i="80" s="1"/>
  <c r="O118" i="80"/>
  <c r="O130" i="80" s="1"/>
  <c r="N94" i="83"/>
  <c r="N93" i="83"/>
  <c r="O120" i="80"/>
  <c r="O132" i="80" s="1"/>
  <c r="O81" i="83"/>
  <c r="O78" i="80"/>
  <c r="O90" i="80" s="1"/>
  <c r="K98" i="83"/>
  <c r="K186" i="83" s="1"/>
  <c r="K110" i="83"/>
  <c r="K215" i="83" s="1"/>
  <c r="S75" i="80"/>
  <c r="S87" i="80" s="1"/>
  <c r="J86" i="83"/>
  <c r="J73" i="80"/>
  <c r="J85" i="80" s="1"/>
  <c r="L536" i="53"/>
  <c r="L111" i="83" s="1"/>
  <c r="K146" i="80"/>
  <c r="K172" i="80" s="1"/>
  <c r="K273" i="80" s="1"/>
  <c r="S111" i="83"/>
  <c r="J113" i="83"/>
  <c r="O76" i="80"/>
  <c r="O88" i="80" s="1"/>
  <c r="O82" i="83"/>
  <c r="L525" i="53"/>
  <c r="L98" i="80" s="1"/>
  <c r="L110" i="80" s="1"/>
  <c r="N71" i="80"/>
  <c r="N83" i="80" s="1"/>
  <c r="K90" i="83"/>
  <c r="N97" i="83"/>
  <c r="N185" i="83" s="1"/>
  <c r="J95" i="83"/>
  <c r="O96" i="80"/>
  <c r="O108" i="80" s="1"/>
  <c r="O74" i="80"/>
  <c r="O86" i="80" s="1"/>
  <c r="O93" i="80"/>
  <c r="O105" i="80" s="1"/>
  <c r="O94" i="83"/>
  <c r="N98" i="83"/>
  <c r="N186" i="83" s="1"/>
  <c r="N90" i="83"/>
  <c r="N99" i="80"/>
  <c r="N111" i="80" s="1"/>
  <c r="O96" i="83"/>
  <c r="K98" i="80"/>
  <c r="K110" i="80" s="1"/>
  <c r="J188" i="83"/>
  <c r="N155" i="83"/>
  <c r="N160" i="83"/>
  <c r="O213" i="83"/>
  <c r="O215" i="83"/>
  <c r="O161" i="83"/>
  <c r="N188" i="83"/>
  <c r="N154" i="83"/>
  <c r="J156" i="83"/>
  <c r="N184" i="83"/>
  <c r="O188" i="83"/>
  <c r="K187" i="83"/>
  <c r="O186" i="83"/>
  <c r="O212" i="83"/>
  <c r="O183" i="83"/>
  <c r="O155" i="83"/>
  <c r="O187" i="83"/>
  <c r="S158" i="83"/>
  <c r="O159" i="83"/>
  <c r="N218" i="83"/>
  <c r="O156" i="83"/>
  <c r="K157" i="83"/>
  <c r="N212" i="83"/>
  <c r="K156" i="83"/>
  <c r="L158" i="83"/>
  <c r="O158" i="83"/>
  <c r="O181" i="83"/>
  <c r="O157" i="83"/>
  <c r="O185" i="83"/>
  <c r="O97" i="80"/>
  <c r="O109" i="80" s="1"/>
  <c r="O98" i="80"/>
  <c r="O110" i="80" s="1"/>
  <c r="N106" i="83"/>
  <c r="O102" i="83"/>
  <c r="N95" i="80"/>
  <c r="N107" i="80" s="1"/>
  <c r="N114" i="83"/>
  <c r="J84" i="83"/>
  <c r="N105" i="83"/>
  <c r="O99" i="80"/>
  <c r="O111" i="80" s="1"/>
  <c r="L520" i="53"/>
  <c r="L509" i="53"/>
  <c r="L531" i="53"/>
  <c r="S523" i="53"/>
  <c r="S512" i="53"/>
  <c r="S534" i="53"/>
  <c r="M523" i="53"/>
  <c r="M534" i="53"/>
  <c r="M512" i="53"/>
  <c r="M509" i="53"/>
  <c r="M81" i="83" s="1"/>
  <c r="M520" i="53"/>
  <c r="M94" i="83" s="1"/>
  <c r="M531" i="53"/>
  <c r="L517" i="53"/>
  <c r="L90" i="83" s="1"/>
  <c r="L528" i="53"/>
  <c r="L539" i="53"/>
  <c r="L114" i="83" s="1"/>
  <c r="S538" i="53"/>
  <c r="S516" i="53"/>
  <c r="S527" i="53"/>
  <c r="L535" i="53"/>
  <c r="L120" i="80" s="1"/>
  <c r="L132" i="80" s="1"/>
  <c r="L513" i="53"/>
  <c r="L74" i="80" s="1"/>
  <c r="L86" i="80" s="1"/>
  <c r="L524" i="53"/>
  <c r="L526" i="53"/>
  <c r="L537" i="53"/>
  <c r="L515" i="53"/>
  <c r="N85" i="83"/>
  <c r="N73" i="80"/>
  <c r="N85" i="80" s="1"/>
  <c r="L521" i="53"/>
  <c r="L532" i="53"/>
  <c r="L510" i="53"/>
  <c r="T521" i="53"/>
  <c r="T95" i="83" s="1"/>
  <c r="T532" i="53"/>
  <c r="T117" i="80" s="1"/>
  <c r="T129" i="80" s="1"/>
  <c r="T510" i="53"/>
  <c r="M533" i="53"/>
  <c r="M511" i="53"/>
  <c r="M522" i="53"/>
  <c r="T516" i="53"/>
  <c r="T89" i="83" s="1"/>
  <c r="T527" i="53"/>
  <c r="T538" i="53"/>
  <c r="T123" i="80" s="1"/>
  <c r="T135" i="80" s="1"/>
  <c r="T535" i="53"/>
  <c r="T513" i="53"/>
  <c r="T524" i="53"/>
  <c r="T525" i="53"/>
  <c r="T536" i="53"/>
  <c r="T111" i="83" s="1"/>
  <c r="T514" i="53"/>
  <c r="T75" i="80" s="1"/>
  <c r="T87" i="80" s="1"/>
  <c r="S511" i="53"/>
  <c r="S72" i="80" s="1"/>
  <c r="S84" i="80" s="1"/>
  <c r="S522" i="53"/>
  <c r="S533" i="53"/>
  <c r="S108" i="83" s="1"/>
  <c r="M515" i="53"/>
  <c r="M526" i="53"/>
  <c r="M537" i="53"/>
  <c r="T517" i="53"/>
  <c r="T90" i="83" s="1"/>
  <c r="T528" i="53"/>
  <c r="T539" i="53"/>
  <c r="T114" i="83" s="1"/>
  <c r="N75" i="80"/>
  <c r="N87" i="80" s="1"/>
  <c r="N87" i="83"/>
  <c r="N109" i="83"/>
  <c r="N119" i="80"/>
  <c r="N131" i="80" s="1"/>
  <c r="J99" i="83"/>
  <c r="J98" i="80"/>
  <c r="J110" i="80" s="1"/>
  <c r="K87" i="83"/>
  <c r="K75" i="80"/>
  <c r="K87" i="80" s="1"/>
  <c r="O105" i="83"/>
  <c r="O116" i="80"/>
  <c r="O128" i="80" s="1"/>
  <c r="O106" i="83"/>
  <c r="O114" i="83"/>
  <c r="O124" i="80"/>
  <c r="O136" i="80" s="1"/>
  <c r="S521" i="53"/>
  <c r="S510" i="53"/>
  <c r="S71" i="80" s="1"/>
  <c r="S83" i="80" s="1"/>
  <c r="S532" i="53"/>
  <c r="S117" i="80" s="1"/>
  <c r="S129" i="80" s="1"/>
  <c r="M532" i="53"/>
  <c r="M107" i="83" s="1"/>
  <c r="M521" i="53"/>
  <c r="M95" i="83" s="1"/>
  <c r="M510" i="53"/>
  <c r="T533" i="53"/>
  <c r="T511" i="53"/>
  <c r="T522" i="53"/>
  <c r="M527" i="53"/>
  <c r="M538" i="53"/>
  <c r="M113" i="83" s="1"/>
  <c r="M516" i="53"/>
  <c r="M89" i="83" s="1"/>
  <c r="M513" i="53"/>
  <c r="M524" i="53"/>
  <c r="M98" i="83" s="1"/>
  <c r="M535" i="53"/>
  <c r="M120" i="80" s="1"/>
  <c r="M132" i="80" s="1"/>
  <c r="M525" i="53"/>
  <c r="M536" i="53"/>
  <c r="M514" i="53"/>
  <c r="L522" i="53"/>
  <c r="L533" i="53"/>
  <c r="L511" i="53"/>
  <c r="T537" i="53"/>
  <c r="T526" i="53"/>
  <c r="T515" i="53"/>
  <c r="M539" i="53"/>
  <c r="M124" i="80" s="1"/>
  <c r="M136" i="80" s="1"/>
  <c r="M517" i="53"/>
  <c r="M90" i="83" s="1"/>
  <c r="M528" i="53"/>
  <c r="N118" i="80"/>
  <c r="N130" i="80" s="1"/>
  <c r="N108" i="83"/>
  <c r="N111" i="83"/>
  <c r="N121" i="80"/>
  <c r="N133" i="80" s="1"/>
  <c r="J87" i="83"/>
  <c r="J75" i="80"/>
  <c r="J87" i="80" s="1"/>
  <c r="N70" i="80"/>
  <c r="N82" i="80" s="1"/>
  <c r="N142" i="80" s="1"/>
  <c r="N168" i="80" s="1"/>
  <c r="N269" i="80" s="1"/>
  <c r="N81" i="83"/>
  <c r="N82" i="83"/>
  <c r="S531" i="53"/>
  <c r="S520" i="53"/>
  <c r="S509" i="53"/>
  <c r="L512" i="53"/>
  <c r="L73" i="80" s="1"/>
  <c r="L85" i="80" s="1"/>
  <c r="L534" i="53"/>
  <c r="L119" i="80" s="1"/>
  <c r="L131" i="80" s="1"/>
  <c r="L523" i="53"/>
  <c r="L97" i="83" s="1"/>
  <c r="T523" i="53"/>
  <c r="T534" i="53"/>
  <c r="T109" i="83" s="1"/>
  <c r="T512" i="53"/>
  <c r="T73" i="80" s="1"/>
  <c r="T85" i="80" s="1"/>
  <c r="T520" i="53"/>
  <c r="T509" i="53"/>
  <c r="T531" i="53"/>
  <c r="S539" i="53"/>
  <c r="S124" i="80" s="1"/>
  <c r="S136" i="80" s="1"/>
  <c r="S517" i="53"/>
  <c r="S528" i="53"/>
  <c r="S102" i="83" s="1"/>
  <c r="L527" i="53"/>
  <c r="L516" i="53"/>
  <c r="L538" i="53"/>
  <c r="S535" i="53"/>
  <c r="S110" i="83" s="1"/>
  <c r="S524" i="53"/>
  <c r="S513" i="53"/>
  <c r="S86" i="83" s="1"/>
  <c r="S526" i="53"/>
  <c r="S515" i="53"/>
  <c r="S537" i="53"/>
  <c r="O111" i="83"/>
  <c r="O121" i="80"/>
  <c r="O133" i="80" s="1"/>
  <c r="N98" i="80"/>
  <c r="N110" i="80" s="1"/>
  <c r="N99" i="83"/>
  <c r="J121" i="80"/>
  <c r="J133" i="80" s="1"/>
  <c r="J111" i="83"/>
  <c r="O109" i="83"/>
  <c r="O119" i="80"/>
  <c r="O131" i="80" s="1"/>
  <c r="N123" i="80"/>
  <c r="N135" i="80" s="1"/>
  <c r="N106" i="80"/>
  <c r="N112" i="80"/>
  <c r="S110" i="80"/>
  <c r="J113" i="80"/>
  <c r="O107" i="80"/>
  <c r="L75" i="80"/>
  <c r="L87" i="80" s="1"/>
  <c r="O94" i="80"/>
  <c r="K100" i="80"/>
  <c r="K101" i="83"/>
  <c r="O72" i="80"/>
  <c r="O84" i="80" s="1"/>
  <c r="O117" i="80"/>
  <c r="O129" i="80" s="1"/>
  <c r="K83" i="83"/>
  <c r="N102" i="83"/>
  <c r="N101" i="80"/>
  <c r="K73" i="80"/>
  <c r="K85" i="80" s="1"/>
  <c r="N101" i="83"/>
  <c r="K84" i="83"/>
  <c r="J99" i="80"/>
  <c r="K99" i="80"/>
  <c r="K100" i="83"/>
  <c r="N117" i="80"/>
  <c r="N129" i="80" s="1"/>
  <c r="N95" i="83"/>
  <c r="O113" i="83"/>
  <c r="O123" i="80"/>
  <c r="O135" i="80" s="1"/>
  <c r="O77" i="80"/>
  <c r="O89" i="80" s="1"/>
  <c r="O89" i="83"/>
  <c r="O101" i="83"/>
  <c r="O100" i="80"/>
  <c r="K93" i="83"/>
  <c r="K94" i="83"/>
  <c r="K93" i="80"/>
  <c r="K105" i="80" s="1"/>
  <c r="J70" i="80"/>
  <c r="J82" i="80" s="1"/>
  <c r="J81" i="83"/>
  <c r="J82" i="83"/>
  <c r="AG104" i="74"/>
  <c r="AG136" i="74" s="1"/>
  <c r="L104" i="74"/>
  <c r="L136" i="74" s="1"/>
  <c r="AJ104" i="74"/>
  <c r="AJ136" i="74" s="1"/>
  <c r="AP104" i="74"/>
  <c r="AP136" i="74" s="1"/>
  <c r="AD104" i="74"/>
  <c r="AD136" i="74" s="1"/>
  <c r="AE104" i="74"/>
  <c r="AE136" i="74" s="1"/>
  <c r="AC104" i="74"/>
  <c r="AC136" i="74" s="1"/>
  <c r="X104" i="74"/>
  <c r="X136" i="74" s="1"/>
  <c r="AL104" i="74"/>
  <c r="AL136" i="74" s="1"/>
  <c r="V104" i="74"/>
  <c r="V136" i="74" s="1"/>
  <c r="AM104" i="74"/>
  <c r="AM136" i="74" s="1"/>
  <c r="Z104" i="74"/>
  <c r="Z136" i="74" s="1"/>
  <c r="AA104" i="74"/>
  <c r="AA136" i="74" s="1"/>
  <c r="AI104" i="74"/>
  <c r="AI136" i="74" s="1"/>
  <c r="W104" i="74"/>
  <c r="W136" i="74" s="1"/>
  <c r="Y104" i="74"/>
  <c r="Y136" i="74" s="1"/>
  <c r="AF104" i="74"/>
  <c r="AF136" i="74" s="1"/>
  <c r="AK104" i="74"/>
  <c r="AK136" i="74" s="1"/>
  <c r="AO104" i="74"/>
  <c r="AO136" i="74" s="1"/>
  <c r="U104" i="74"/>
  <c r="U136" i="74" s="1"/>
  <c r="AH104" i="74"/>
  <c r="AH136" i="74" s="1"/>
  <c r="O104" i="74"/>
  <c r="O136" i="74" s="1"/>
  <c r="AB104" i="74"/>
  <c r="AB136" i="74" s="1"/>
  <c r="AN104" i="74"/>
  <c r="AN136" i="74" s="1"/>
  <c r="M104" i="74"/>
  <c r="M136" i="74" s="1"/>
  <c r="S104" i="74"/>
  <c r="S136" i="74" s="1"/>
  <c r="T104" i="74"/>
  <c r="T136" i="74" s="1"/>
  <c r="K104" i="74"/>
  <c r="K136" i="74" s="1"/>
  <c r="N104" i="74"/>
  <c r="N136" i="74" s="1"/>
  <c r="J104" i="74"/>
  <c r="J136" i="74" s="1"/>
  <c r="M103" i="74"/>
  <c r="M135" i="74" s="1"/>
  <c r="T103" i="74"/>
  <c r="T135" i="74" s="1"/>
  <c r="N103" i="74"/>
  <c r="N135" i="74" s="1"/>
  <c r="S103" i="74"/>
  <c r="S135" i="74" s="1"/>
  <c r="J103" i="74"/>
  <c r="J135" i="74" s="1"/>
  <c r="K103" i="74"/>
  <c r="K135" i="74" s="1"/>
  <c r="AH107" i="74"/>
  <c r="AH139" i="74" s="1"/>
  <c r="V107" i="74"/>
  <c r="V139" i="74" s="1"/>
  <c r="AM107" i="74"/>
  <c r="AM139" i="74" s="1"/>
  <c r="W107" i="74"/>
  <c r="W139" i="74" s="1"/>
  <c r="O107" i="74"/>
  <c r="O139" i="74" s="1"/>
  <c r="Z107" i="74"/>
  <c r="Z139" i="74" s="1"/>
  <c r="Y107" i="74"/>
  <c r="Y139" i="74" s="1"/>
  <c r="L107" i="74"/>
  <c r="L139" i="74" s="1"/>
  <c r="AG107" i="74"/>
  <c r="AG139" i="74" s="1"/>
  <c r="AF107" i="74"/>
  <c r="AF139" i="74" s="1"/>
  <c r="AA107" i="74"/>
  <c r="AA139" i="74" s="1"/>
  <c r="AK107" i="74"/>
  <c r="AK139" i="74" s="1"/>
  <c r="AD107" i="74"/>
  <c r="AD139" i="74" s="1"/>
  <c r="AC107" i="74"/>
  <c r="AC139" i="74" s="1"/>
  <c r="AO107" i="74"/>
  <c r="AO139" i="74" s="1"/>
  <c r="AI107" i="74"/>
  <c r="AI139" i="74" s="1"/>
  <c r="AN107" i="74"/>
  <c r="AN139" i="74" s="1"/>
  <c r="AE107" i="74"/>
  <c r="AE139" i="74" s="1"/>
  <c r="AJ107" i="74"/>
  <c r="AJ139" i="74" s="1"/>
  <c r="X107" i="74"/>
  <c r="X139" i="74" s="1"/>
  <c r="AP107" i="74"/>
  <c r="AP139" i="74" s="1"/>
  <c r="U107" i="74"/>
  <c r="U139" i="74" s="1"/>
  <c r="AB107" i="74"/>
  <c r="AB139" i="74" s="1"/>
  <c r="AL107" i="74"/>
  <c r="AL139" i="74" s="1"/>
  <c r="T102" i="74"/>
  <c r="T134" i="74" s="1"/>
  <c r="N102" i="74"/>
  <c r="N134" i="74" s="1"/>
  <c r="M102" i="74"/>
  <c r="M134" i="74" s="1"/>
  <c r="S102" i="74"/>
  <c r="S134" i="74" s="1"/>
  <c r="J102" i="74"/>
  <c r="J134" i="74" s="1"/>
  <c r="K102" i="74"/>
  <c r="K134" i="74" s="1"/>
  <c r="AA103" i="74"/>
  <c r="AA135" i="74" s="1"/>
  <c r="AE103" i="74"/>
  <c r="AE135" i="74" s="1"/>
  <c r="W103" i="74"/>
  <c r="W135" i="74" s="1"/>
  <c r="AB103" i="74"/>
  <c r="AB135" i="74" s="1"/>
  <c r="AH103" i="74"/>
  <c r="AH135" i="74" s="1"/>
  <c r="AP103" i="74"/>
  <c r="AP135" i="74" s="1"/>
  <c r="AN103" i="74"/>
  <c r="AN135" i="74" s="1"/>
  <c r="AK103" i="74"/>
  <c r="AK135" i="74" s="1"/>
  <c r="AM103" i="74"/>
  <c r="AM135" i="74" s="1"/>
  <c r="O103" i="74"/>
  <c r="O135" i="74" s="1"/>
  <c r="AJ103" i="74"/>
  <c r="AJ135" i="74" s="1"/>
  <c r="Z103" i="74"/>
  <c r="Z135" i="74" s="1"/>
  <c r="U103" i="74"/>
  <c r="U135" i="74" s="1"/>
  <c r="L103" i="74"/>
  <c r="L135" i="74" s="1"/>
  <c r="AI103" i="74"/>
  <c r="AI135" i="74" s="1"/>
  <c r="AD103" i="74"/>
  <c r="AD135" i="74" s="1"/>
  <c r="Y103" i="74"/>
  <c r="Y135" i="74" s="1"/>
  <c r="AF103" i="74"/>
  <c r="AF135" i="74" s="1"/>
  <c r="AO103" i="74"/>
  <c r="AO135" i="74" s="1"/>
  <c r="AC103" i="74"/>
  <c r="AC135" i="74" s="1"/>
  <c r="V103" i="74"/>
  <c r="V135" i="74" s="1"/>
  <c r="AG103" i="74"/>
  <c r="AG135" i="74" s="1"/>
  <c r="X103" i="74"/>
  <c r="X135" i="74" s="1"/>
  <c r="AL103" i="74"/>
  <c r="AL135" i="74" s="1"/>
  <c r="J106" i="74"/>
  <c r="J138" i="74" s="1"/>
  <c r="K106" i="74"/>
  <c r="K138" i="74" s="1"/>
  <c r="N106" i="74"/>
  <c r="N138" i="74" s="1"/>
  <c r="S106" i="74"/>
  <c r="S138" i="74" s="1"/>
  <c r="T106" i="74"/>
  <c r="T138" i="74" s="1"/>
  <c r="M106" i="74"/>
  <c r="M138" i="74" s="1"/>
  <c r="M105" i="74"/>
  <c r="M137" i="74" s="1"/>
  <c r="S105" i="74"/>
  <c r="S137" i="74" s="1"/>
  <c r="N105" i="74"/>
  <c r="N137" i="74" s="1"/>
  <c r="J105" i="74"/>
  <c r="J137" i="74" s="1"/>
  <c r="T105" i="74"/>
  <c r="T137" i="74" s="1"/>
  <c r="K105" i="74"/>
  <c r="K137" i="74" s="1"/>
  <c r="O102" i="74"/>
  <c r="O134" i="74" s="1"/>
  <c r="AC102" i="74"/>
  <c r="AC134" i="74" s="1"/>
  <c r="AJ102" i="74"/>
  <c r="AJ134" i="74" s="1"/>
  <c r="AO102" i="74"/>
  <c r="AO134" i="74" s="1"/>
  <c r="AH102" i="74"/>
  <c r="AH134" i="74" s="1"/>
  <c r="AE102" i="74"/>
  <c r="AE134" i="74" s="1"/>
  <c r="AG102" i="74"/>
  <c r="AG134" i="74" s="1"/>
  <c r="AL102" i="74"/>
  <c r="AL134" i="74" s="1"/>
  <c r="Z102" i="74"/>
  <c r="Z134" i="74" s="1"/>
  <c r="AF102" i="74"/>
  <c r="AF134" i="74" s="1"/>
  <c r="X102" i="74"/>
  <c r="X134" i="74" s="1"/>
  <c r="AI102" i="74"/>
  <c r="AI134" i="74" s="1"/>
  <c r="AA102" i="74"/>
  <c r="AA134" i="74" s="1"/>
  <c r="U102" i="74"/>
  <c r="U134" i="74" s="1"/>
  <c r="AM102" i="74"/>
  <c r="AM134" i="74" s="1"/>
  <c r="AN102" i="74"/>
  <c r="AN134" i="74" s="1"/>
  <c r="AK102" i="74"/>
  <c r="AK134" i="74" s="1"/>
  <c r="AD102" i="74"/>
  <c r="AD134" i="74" s="1"/>
  <c r="AB102" i="74"/>
  <c r="AB134" i="74" s="1"/>
  <c r="W102" i="74"/>
  <c r="W134" i="74" s="1"/>
  <c r="V102" i="74"/>
  <c r="V134" i="74" s="1"/>
  <c r="Y102" i="74"/>
  <c r="Y134" i="74" s="1"/>
  <c r="L102" i="74"/>
  <c r="L134" i="74" s="1"/>
  <c r="AP102" i="74"/>
  <c r="AP134" i="74" s="1"/>
  <c r="T108" i="74"/>
  <c r="T140" i="74" s="1"/>
  <c r="N108" i="74"/>
  <c r="N140" i="74" s="1"/>
  <c r="S108" i="74"/>
  <c r="S140" i="74" s="1"/>
  <c r="J108" i="74"/>
  <c r="J140" i="74" s="1"/>
  <c r="M108" i="74"/>
  <c r="M140" i="74" s="1"/>
  <c r="K108" i="74"/>
  <c r="K140" i="74" s="1"/>
  <c r="V106" i="74"/>
  <c r="V138" i="74" s="1"/>
  <c r="AL106" i="74"/>
  <c r="AL138" i="74" s="1"/>
  <c r="AG106" i="74"/>
  <c r="AG138" i="74" s="1"/>
  <c r="AD106" i="74"/>
  <c r="AD138" i="74" s="1"/>
  <c r="W106" i="74"/>
  <c r="W138" i="74" s="1"/>
  <c r="AO106" i="74"/>
  <c r="AO138" i="74" s="1"/>
  <c r="AP106" i="74"/>
  <c r="AP138" i="74" s="1"/>
  <c r="AN106" i="74"/>
  <c r="AN138" i="74" s="1"/>
  <c r="U106" i="74"/>
  <c r="U138" i="74" s="1"/>
  <c r="Y106" i="74"/>
  <c r="Y138" i="74" s="1"/>
  <c r="AI106" i="74"/>
  <c r="AI138" i="74" s="1"/>
  <c r="AH106" i="74"/>
  <c r="AH138" i="74" s="1"/>
  <c r="AM106" i="74"/>
  <c r="AM138" i="74" s="1"/>
  <c r="L106" i="74"/>
  <c r="L138" i="74" s="1"/>
  <c r="O106" i="74"/>
  <c r="O138" i="74" s="1"/>
  <c r="Z106" i="74"/>
  <c r="Z138" i="74" s="1"/>
  <c r="AK106" i="74"/>
  <c r="AK138" i="74" s="1"/>
  <c r="AA106" i="74"/>
  <c r="AA138" i="74" s="1"/>
  <c r="X106" i="74"/>
  <c r="X138" i="74" s="1"/>
  <c r="AF106" i="74"/>
  <c r="AF138" i="74" s="1"/>
  <c r="AJ106" i="74"/>
  <c r="AJ138" i="74" s="1"/>
  <c r="AB106" i="74"/>
  <c r="AB138" i="74" s="1"/>
  <c r="AC106" i="74"/>
  <c r="AC138" i="74" s="1"/>
  <c r="AE106" i="74"/>
  <c r="AE138" i="74" s="1"/>
  <c r="AF105" i="74"/>
  <c r="AF137" i="74" s="1"/>
  <c r="AA105" i="74"/>
  <c r="AA137" i="74" s="1"/>
  <c r="V105" i="74"/>
  <c r="V137" i="74" s="1"/>
  <c r="X105" i="74"/>
  <c r="X137" i="74" s="1"/>
  <c r="O105" i="74"/>
  <c r="O137" i="74" s="1"/>
  <c r="U105" i="74"/>
  <c r="U137" i="74" s="1"/>
  <c r="AH105" i="74"/>
  <c r="AH137" i="74" s="1"/>
  <c r="L105" i="74"/>
  <c r="L137" i="74" s="1"/>
  <c r="AL105" i="74"/>
  <c r="AL137" i="74" s="1"/>
  <c r="AK105" i="74"/>
  <c r="AK137" i="74" s="1"/>
  <c r="AB105" i="74"/>
  <c r="AB137" i="74" s="1"/>
  <c r="Z105" i="74"/>
  <c r="Z137" i="74" s="1"/>
  <c r="W105" i="74"/>
  <c r="W137" i="74" s="1"/>
  <c r="AI105" i="74"/>
  <c r="AI137" i="74" s="1"/>
  <c r="AN105" i="74"/>
  <c r="AN137" i="74" s="1"/>
  <c r="AE105" i="74"/>
  <c r="AE137" i="74" s="1"/>
  <c r="AP105" i="74"/>
  <c r="AP137" i="74" s="1"/>
  <c r="AO105" i="74"/>
  <c r="AO137" i="74" s="1"/>
  <c r="AC105" i="74"/>
  <c r="AC137" i="74" s="1"/>
  <c r="AM105" i="74"/>
  <c r="AM137" i="74" s="1"/>
  <c r="AD105" i="74"/>
  <c r="AD137" i="74" s="1"/>
  <c r="AJ105" i="74"/>
  <c r="AJ137" i="74" s="1"/>
  <c r="AG105" i="74"/>
  <c r="AG137" i="74" s="1"/>
  <c r="Y105" i="74"/>
  <c r="Y137" i="74" s="1"/>
  <c r="U108" i="74"/>
  <c r="U140" i="74" s="1"/>
  <c r="AH108" i="74"/>
  <c r="AH140" i="74" s="1"/>
  <c r="AM108" i="74"/>
  <c r="AM140" i="74" s="1"/>
  <c r="AB108" i="74"/>
  <c r="AB140" i="74" s="1"/>
  <c r="AE108" i="74"/>
  <c r="AE140" i="74" s="1"/>
  <c r="W108" i="74"/>
  <c r="W140" i="74" s="1"/>
  <c r="AA108" i="74"/>
  <c r="AA140" i="74" s="1"/>
  <c r="AN108" i="74"/>
  <c r="AN140" i="74" s="1"/>
  <c r="AG108" i="74"/>
  <c r="AG140" i="74" s="1"/>
  <c r="X108" i="74"/>
  <c r="X140" i="74" s="1"/>
  <c r="AJ108" i="74"/>
  <c r="AJ140" i="74" s="1"/>
  <c r="AF108" i="74"/>
  <c r="AF140" i="74" s="1"/>
  <c r="O108" i="74"/>
  <c r="O140" i="74" s="1"/>
  <c r="AI108" i="74"/>
  <c r="AI140" i="74" s="1"/>
  <c r="AL108" i="74"/>
  <c r="AL140" i="74" s="1"/>
  <c r="AO108" i="74"/>
  <c r="AO140" i="74" s="1"/>
  <c r="AK108" i="74"/>
  <c r="AK140" i="74" s="1"/>
  <c r="Y108" i="74"/>
  <c r="Y140" i="74" s="1"/>
  <c r="Z108" i="74"/>
  <c r="Z140" i="74" s="1"/>
  <c r="V108" i="74"/>
  <c r="V140" i="74" s="1"/>
  <c r="AC108" i="74"/>
  <c r="AC140" i="74" s="1"/>
  <c r="AD108" i="74"/>
  <c r="AD140" i="74" s="1"/>
  <c r="AP108" i="74"/>
  <c r="AP140" i="74" s="1"/>
  <c r="L108" i="74"/>
  <c r="L140" i="74" s="1"/>
  <c r="N107" i="74"/>
  <c r="N139" i="74" s="1"/>
  <c r="S107" i="74"/>
  <c r="S139" i="74" s="1"/>
  <c r="J107" i="74"/>
  <c r="J139" i="74" s="1"/>
  <c r="T107" i="74"/>
  <c r="T139" i="74" s="1"/>
  <c r="M107" i="74"/>
  <c r="M139" i="74" s="1"/>
  <c r="K107" i="74"/>
  <c r="K139" i="74" s="1"/>
  <c r="AE46" i="74"/>
  <c r="AE91" i="74" s="1"/>
  <c r="AM46" i="74"/>
  <c r="AM91" i="74" s="1"/>
  <c r="AO46" i="74"/>
  <c r="AO91" i="74" s="1"/>
  <c r="AC46" i="74"/>
  <c r="AC91" i="74" s="1"/>
  <c r="AD46" i="74"/>
  <c r="AD91" i="74" s="1"/>
  <c r="AG46" i="74"/>
  <c r="AG91" i="74" s="1"/>
  <c r="AH46" i="74"/>
  <c r="AH91" i="74" s="1"/>
  <c r="AI46" i="74"/>
  <c r="AI91" i="74" s="1"/>
  <c r="AN46" i="74"/>
  <c r="AN91" i="74" s="1"/>
  <c r="AL46" i="74"/>
  <c r="AL91" i="74" s="1"/>
  <c r="AF46" i="74"/>
  <c r="AF91" i="74" s="1"/>
  <c r="AJ46" i="74"/>
  <c r="AJ91" i="74" s="1"/>
  <c r="AK46" i="74"/>
  <c r="AK91" i="74" s="1"/>
  <c r="AP46" i="74"/>
  <c r="AP91" i="74" s="1"/>
  <c r="J120" i="80" l="1"/>
  <c r="J132" i="80" s="1"/>
  <c r="J97" i="80"/>
  <c r="J109" i="80" s="1"/>
  <c r="J95" i="80"/>
  <c r="J107" i="80" s="1"/>
  <c r="J96" i="80"/>
  <c r="J108" i="80" s="1"/>
  <c r="K96" i="83"/>
  <c r="K184" i="83" s="1"/>
  <c r="K144" i="80"/>
  <c r="K170" i="80" s="1"/>
  <c r="K271" i="80" s="1"/>
  <c r="K117" i="80"/>
  <c r="K129" i="80" s="1"/>
  <c r="J119" i="80"/>
  <c r="J131" i="80" s="1"/>
  <c r="K108" i="83"/>
  <c r="K213" i="83" s="1"/>
  <c r="J118" i="80"/>
  <c r="J130" i="80" s="1"/>
  <c r="K96" i="80"/>
  <c r="K108" i="80" s="1"/>
  <c r="S107" i="83"/>
  <c r="S212" i="83" s="1"/>
  <c r="K89" i="83"/>
  <c r="K160" i="83" s="1"/>
  <c r="N86" i="83"/>
  <c r="N157" i="83" s="1"/>
  <c r="K123" i="80"/>
  <c r="K135" i="80" s="1"/>
  <c r="K94" i="80"/>
  <c r="K106" i="80" s="1"/>
  <c r="J77" i="80"/>
  <c r="J89" i="80" s="1"/>
  <c r="J149" i="80" s="1"/>
  <c r="J175" i="80" s="1"/>
  <c r="J276" i="80" s="1"/>
  <c r="K119" i="80"/>
  <c r="K131" i="80" s="1"/>
  <c r="J101" i="83"/>
  <c r="J189" i="83" s="1"/>
  <c r="J93" i="80"/>
  <c r="J105" i="80" s="1"/>
  <c r="N146" i="80"/>
  <c r="N172" i="80" s="1"/>
  <c r="N273" i="80" s="1"/>
  <c r="J112" i="83"/>
  <c r="J217" i="83" s="1"/>
  <c r="N110" i="83"/>
  <c r="N215" i="83" s="1"/>
  <c r="J117" i="80"/>
  <c r="J129" i="80" s="1"/>
  <c r="K102" i="83"/>
  <c r="K190" i="83" s="1"/>
  <c r="J105" i="83"/>
  <c r="J210" i="83" s="1"/>
  <c r="J76" i="80"/>
  <c r="J88" i="80" s="1"/>
  <c r="J116" i="80"/>
  <c r="J128" i="80" s="1"/>
  <c r="M77" i="80"/>
  <c r="M89" i="80" s="1"/>
  <c r="J154" i="83"/>
  <c r="K116" i="80"/>
  <c r="K128" i="80" s="1"/>
  <c r="K142" i="80" s="1"/>
  <c r="K168" i="80" s="1"/>
  <c r="J114" i="83"/>
  <c r="J71" i="80"/>
  <c r="J83" i="80" s="1"/>
  <c r="K105" i="83"/>
  <c r="K210" i="83" s="1"/>
  <c r="K124" i="80"/>
  <c r="K136" i="80" s="1"/>
  <c r="K150" i="80" s="1"/>
  <c r="K208" i="80" s="1"/>
  <c r="K122" i="80"/>
  <c r="K134" i="80" s="1"/>
  <c r="K82" i="83"/>
  <c r="K153" i="83" s="1"/>
  <c r="K219" i="83"/>
  <c r="N88" i="83"/>
  <c r="O153" i="83"/>
  <c r="N122" i="80"/>
  <c r="N134" i="80" s="1"/>
  <c r="N148" i="80" s="1"/>
  <c r="N174" i="80" s="1"/>
  <c r="N275" i="80" s="1"/>
  <c r="K81" i="83"/>
  <c r="T121" i="80"/>
  <c r="T133" i="80" s="1"/>
  <c r="K88" i="83"/>
  <c r="K159" i="83" s="1"/>
  <c r="O217" i="83"/>
  <c r="O152" i="83"/>
  <c r="J93" i="83"/>
  <c r="J181" i="83" s="1"/>
  <c r="M93" i="80"/>
  <c r="M105" i="80" s="1"/>
  <c r="T119" i="80"/>
  <c r="T131" i="80" s="1"/>
  <c r="M117" i="80"/>
  <c r="M129" i="80" s="1"/>
  <c r="J161" i="83"/>
  <c r="J78" i="80"/>
  <c r="J90" i="80" s="1"/>
  <c r="J150" i="80" s="1"/>
  <c r="J208" i="80" s="1"/>
  <c r="S187" i="83"/>
  <c r="T124" i="80"/>
  <c r="T136" i="80" s="1"/>
  <c r="N181" i="83"/>
  <c r="O150" i="80"/>
  <c r="O208" i="80" s="1"/>
  <c r="N182" i="83"/>
  <c r="O147" i="80"/>
  <c r="O173" i="80" s="1"/>
  <c r="O274" i="80" s="1"/>
  <c r="T107" i="83"/>
  <c r="M93" i="83"/>
  <c r="M181" i="83" s="1"/>
  <c r="T78" i="80"/>
  <c r="T90" i="80" s="1"/>
  <c r="K216" i="83"/>
  <c r="S83" i="83"/>
  <c r="K161" i="83"/>
  <c r="L124" i="80"/>
  <c r="L136" i="80" s="1"/>
  <c r="T77" i="80"/>
  <c r="T89" i="80" s="1"/>
  <c r="K147" i="80"/>
  <c r="K173" i="80" s="1"/>
  <c r="K274" i="80" s="1"/>
  <c r="O142" i="80"/>
  <c r="O168" i="80" s="1"/>
  <c r="O269" i="80" s="1"/>
  <c r="T85" i="83"/>
  <c r="S147" i="80"/>
  <c r="S173" i="80" s="1"/>
  <c r="S274" i="80" s="1"/>
  <c r="L109" i="83"/>
  <c r="L214" i="83" s="1"/>
  <c r="L85" i="83"/>
  <c r="L110" i="83"/>
  <c r="S118" i="80"/>
  <c r="S130" i="80" s="1"/>
  <c r="J157" i="83"/>
  <c r="S216" i="83"/>
  <c r="L216" i="83"/>
  <c r="L121" i="80"/>
  <c r="L133" i="80" s="1"/>
  <c r="L147" i="80" s="1"/>
  <c r="L173" i="80" s="1"/>
  <c r="L274" i="80" s="1"/>
  <c r="L99" i="83"/>
  <c r="N144" i="80"/>
  <c r="N170" i="80" s="1"/>
  <c r="N271" i="80" s="1"/>
  <c r="O148" i="80"/>
  <c r="O174" i="80" s="1"/>
  <c r="O275" i="80" s="1"/>
  <c r="J183" i="83"/>
  <c r="J218" i="83"/>
  <c r="N161" i="83"/>
  <c r="O184" i="83"/>
  <c r="O146" i="80"/>
  <c r="O172" i="80" s="1"/>
  <c r="O273" i="80" s="1"/>
  <c r="O182" i="83"/>
  <c r="L96" i="80"/>
  <c r="L108" i="80" s="1"/>
  <c r="L145" i="80" s="1"/>
  <c r="L171" i="80" s="1"/>
  <c r="L272" i="80" s="1"/>
  <c r="T87" i="83"/>
  <c r="T158" i="83" s="1"/>
  <c r="S84" i="83"/>
  <c r="O145" i="80"/>
  <c r="O171" i="80" s="1"/>
  <c r="O272" i="80" s="1"/>
  <c r="M94" i="80"/>
  <c r="M106" i="80" s="1"/>
  <c r="L78" i="80"/>
  <c r="L90" i="80" s="1"/>
  <c r="S74" i="80"/>
  <c r="S86" i="80" s="1"/>
  <c r="M97" i="80"/>
  <c r="M109" i="80" s="1"/>
  <c r="M78" i="80"/>
  <c r="M90" i="80" s="1"/>
  <c r="M114" i="83"/>
  <c r="M219" i="83" s="1"/>
  <c r="S120" i="80"/>
  <c r="S132" i="80" s="1"/>
  <c r="L185" i="83"/>
  <c r="O160" i="83"/>
  <c r="K155" i="83"/>
  <c r="O216" i="83"/>
  <c r="S215" i="83"/>
  <c r="S190" i="83"/>
  <c r="N152" i="83"/>
  <c r="M218" i="83"/>
  <c r="O210" i="83"/>
  <c r="J187" i="83"/>
  <c r="T183" i="83"/>
  <c r="M152" i="83"/>
  <c r="N210" i="83"/>
  <c r="N183" i="83"/>
  <c r="N187" i="83"/>
  <c r="N216" i="83"/>
  <c r="M161" i="83"/>
  <c r="M186" i="83"/>
  <c r="O219" i="83"/>
  <c r="T219" i="83"/>
  <c r="N156" i="83"/>
  <c r="L161" i="83"/>
  <c r="J155" i="83"/>
  <c r="O190" i="83"/>
  <c r="N189" i="83"/>
  <c r="N190" i="83"/>
  <c r="O214" i="83"/>
  <c r="S157" i="83"/>
  <c r="N213" i="83"/>
  <c r="M183" i="83"/>
  <c r="O211" i="83"/>
  <c r="K158" i="83"/>
  <c r="N214" i="83"/>
  <c r="T160" i="83"/>
  <c r="N219" i="83"/>
  <c r="N211" i="83"/>
  <c r="O189" i="83"/>
  <c r="O218" i="83"/>
  <c r="K188" i="83"/>
  <c r="K189" i="83"/>
  <c r="J216" i="83"/>
  <c r="T214" i="83"/>
  <c r="N153" i="83"/>
  <c r="J158" i="83"/>
  <c r="M160" i="83"/>
  <c r="M212" i="83"/>
  <c r="N158" i="83"/>
  <c r="T161" i="83"/>
  <c r="S213" i="83"/>
  <c r="T216" i="83"/>
  <c r="L219" i="83"/>
  <c r="M182" i="83"/>
  <c r="K154" i="83"/>
  <c r="J211" i="83"/>
  <c r="J152" i="83"/>
  <c r="K181" i="83"/>
  <c r="K182" i="83"/>
  <c r="J182" i="83"/>
  <c r="J153" i="83"/>
  <c r="K211" i="83"/>
  <c r="M70" i="80"/>
  <c r="M82" i="80" s="1"/>
  <c r="M82" i="83"/>
  <c r="T113" i="83"/>
  <c r="N145" i="80"/>
  <c r="N171" i="80" s="1"/>
  <c r="N272" i="80" s="1"/>
  <c r="M110" i="83"/>
  <c r="M123" i="80"/>
  <c r="M135" i="80" s="1"/>
  <c r="N147" i="80"/>
  <c r="N173" i="80" s="1"/>
  <c r="N274" i="80" s="1"/>
  <c r="T94" i="80"/>
  <c r="T106" i="80" s="1"/>
  <c r="S101" i="80"/>
  <c r="S113" i="80" s="1"/>
  <c r="S88" i="83"/>
  <c r="S76" i="80"/>
  <c r="S88" i="80" s="1"/>
  <c r="T82" i="83"/>
  <c r="T70" i="80"/>
  <c r="T82" i="80" s="1"/>
  <c r="T81" i="83"/>
  <c r="T97" i="83"/>
  <c r="T96" i="80"/>
  <c r="T108" i="80" s="1"/>
  <c r="T88" i="83"/>
  <c r="T76" i="80"/>
  <c r="T88" i="80" s="1"/>
  <c r="L108" i="83"/>
  <c r="L118" i="80"/>
  <c r="L130" i="80" s="1"/>
  <c r="M99" i="83"/>
  <c r="M98" i="80"/>
  <c r="M110" i="80" s="1"/>
  <c r="J147" i="80"/>
  <c r="J173" i="80" s="1"/>
  <c r="J274" i="80" s="1"/>
  <c r="T110" i="83"/>
  <c r="T120" i="80"/>
  <c r="T132" i="80" s="1"/>
  <c r="L88" i="83"/>
  <c r="L76" i="80"/>
  <c r="L88" i="80" s="1"/>
  <c r="M105" i="83"/>
  <c r="M106" i="83"/>
  <c r="M116" i="80"/>
  <c r="M128" i="80" s="1"/>
  <c r="M119" i="80"/>
  <c r="M131" i="80" s="1"/>
  <c r="M109" i="83"/>
  <c r="S100" i="83"/>
  <c r="S99" i="80"/>
  <c r="S111" i="80" s="1"/>
  <c r="T93" i="80"/>
  <c r="T105" i="80" s="1"/>
  <c r="T93" i="83"/>
  <c r="T94" i="83"/>
  <c r="M101" i="80"/>
  <c r="M113" i="80" s="1"/>
  <c r="M102" i="83"/>
  <c r="T99" i="80"/>
  <c r="T111" i="80" s="1"/>
  <c r="T100" i="83"/>
  <c r="L96" i="83"/>
  <c r="L95" i="80"/>
  <c r="L107" i="80" s="1"/>
  <c r="M112" i="83"/>
  <c r="M122" i="80"/>
  <c r="M134" i="80" s="1"/>
  <c r="S96" i="83"/>
  <c r="S95" i="80"/>
  <c r="S107" i="80" s="1"/>
  <c r="T98" i="80"/>
  <c r="T110" i="80" s="1"/>
  <c r="T99" i="83"/>
  <c r="L112" i="83"/>
  <c r="L122" i="80"/>
  <c r="L134" i="80" s="1"/>
  <c r="M96" i="80"/>
  <c r="M108" i="80" s="1"/>
  <c r="M97" i="83"/>
  <c r="T112" i="83"/>
  <c r="T122" i="80"/>
  <c r="T134" i="80" s="1"/>
  <c r="M87" i="83"/>
  <c r="M75" i="80"/>
  <c r="M87" i="80" s="1"/>
  <c r="M101" i="83"/>
  <c r="M100" i="80"/>
  <c r="M112" i="80" s="1"/>
  <c r="M83" i="83"/>
  <c r="M71" i="80"/>
  <c r="M83" i="80" s="1"/>
  <c r="M100" i="83"/>
  <c r="M99" i="80"/>
  <c r="M111" i="80" s="1"/>
  <c r="T97" i="80"/>
  <c r="T109" i="80" s="1"/>
  <c r="T98" i="83"/>
  <c r="T100" i="80"/>
  <c r="T112" i="80" s="1"/>
  <c r="T101" i="83"/>
  <c r="L99" i="80"/>
  <c r="L111" i="80" s="1"/>
  <c r="L100" i="83"/>
  <c r="L102" i="83"/>
  <c r="L101" i="80"/>
  <c r="L113" i="80" s="1"/>
  <c r="S122" i="80"/>
  <c r="S134" i="80" s="1"/>
  <c r="S112" i="83"/>
  <c r="S98" i="83"/>
  <c r="S97" i="80"/>
  <c r="S109" i="80" s="1"/>
  <c r="T106" i="83"/>
  <c r="T116" i="80"/>
  <c r="T128" i="80" s="1"/>
  <c r="T105" i="83"/>
  <c r="L84" i="83"/>
  <c r="L72" i="80"/>
  <c r="L84" i="80" s="1"/>
  <c r="M121" i="80"/>
  <c r="M133" i="80" s="1"/>
  <c r="M111" i="83"/>
  <c r="M86" i="83"/>
  <c r="M74" i="80"/>
  <c r="M86" i="80" s="1"/>
  <c r="S95" i="83"/>
  <c r="S94" i="80"/>
  <c r="S106" i="80" s="1"/>
  <c r="S143" i="80" s="1"/>
  <c r="S169" i="80" s="1"/>
  <c r="S270" i="80" s="1"/>
  <c r="T102" i="83"/>
  <c r="T101" i="80"/>
  <c r="T113" i="80" s="1"/>
  <c r="M76" i="80"/>
  <c r="M88" i="80" s="1"/>
  <c r="M88" i="83"/>
  <c r="T86" i="83"/>
  <c r="T74" i="80"/>
  <c r="T86" i="80" s="1"/>
  <c r="T83" i="83"/>
  <c r="T71" i="80"/>
  <c r="T83" i="80" s="1"/>
  <c r="M73" i="80"/>
  <c r="M85" i="80" s="1"/>
  <c r="M85" i="83"/>
  <c r="N149" i="80"/>
  <c r="N175" i="80" s="1"/>
  <c r="N276" i="80" s="1"/>
  <c r="N143" i="80"/>
  <c r="N169" i="80" s="1"/>
  <c r="N270" i="80" s="1"/>
  <c r="O144" i="80"/>
  <c r="O170" i="80" s="1"/>
  <c r="O271" i="80" s="1"/>
  <c r="O112" i="80"/>
  <c r="O149" i="80" s="1"/>
  <c r="N113" i="80"/>
  <c r="N150" i="80" s="1"/>
  <c r="O106" i="80"/>
  <c r="O143" i="80" s="1"/>
  <c r="J111" i="80"/>
  <c r="K112" i="80"/>
  <c r="K111" i="80"/>
  <c r="L86" i="83"/>
  <c r="S114" i="83"/>
  <c r="L107" i="83"/>
  <c r="L117" i="80"/>
  <c r="L129" i="80" s="1"/>
  <c r="L71" i="80"/>
  <c r="L83" i="80" s="1"/>
  <c r="L83" i="83"/>
  <c r="L95" i="83"/>
  <c r="L94" i="80"/>
  <c r="T108" i="83"/>
  <c r="T118" i="80"/>
  <c r="T130" i="80" s="1"/>
  <c r="L98" i="83"/>
  <c r="L97" i="80"/>
  <c r="M118" i="80"/>
  <c r="M130" i="80" s="1"/>
  <c r="M108" i="83"/>
  <c r="T84" i="83"/>
  <c r="T72" i="80"/>
  <c r="T84" i="80" s="1"/>
  <c r="M72" i="80"/>
  <c r="M84" i="80" s="1"/>
  <c r="M84" i="83"/>
  <c r="S78" i="80"/>
  <c r="S90" i="80" s="1"/>
  <c r="S90" i="83"/>
  <c r="M95" i="80"/>
  <c r="M96" i="83"/>
  <c r="T96" i="83"/>
  <c r="T95" i="80"/>
  <c r="S123" i="80"/>
  <c r="S135" i="80" s="1"/>
  <c r="S113" i="83"/>
  <c r="S77" i="80"/>
  <c r="S89" i="80" s="1"/>
  <c r="S89" i="83"/>
  <c r="L113" i="83"/>
  <c r="L123" i="80"/>
  <c r="L135" i="80" s="1"/>
  <c r="S101" i="83"/>
  <c r="S100" i="80"/>
  <c r="L101" i="83"/>
  <c r="L100" i="80"/>
  <c r="L89" i="83"/>
  <c r="L77" i="80"/>
  <c r="L89" i="80" s="1"/>
  <c r="L105" i="83"/>
  <c r="L106" i="83"/>
  <c r="L116" i="80"/>
  <c r="L128" i="80" s="1"/>
  <c r="S82" i="83"/>
  <c r="S70" i="80"/>
  <c r="S82" i="80" s="1"/>
  <c r="S81" i="83"/>
  <c r="L81" i="83"/>
  <c r="L70" i="80"/>
  <c r="L82" i="80" s="1"/>
  <c r="L82" i="83"/>
  <c r="S106" i="83"/>
  <c r="S116" i="80"/>
  <c r="S128" i="80" s="1"/>
  <c r="S105" i="83"/>
  <c r="L93" i="83"/>
  <c r="L94" i="83"/>
  <c r="L93" i="80"/>
  <c r="L105" i="80" s="1"/>
  <c r="S93" i="83"/>
  <c r="S94" i="83"/>
  <c r="S93" i="80"/>
  <c r="S105" i="80" s="1"/>
  <c r="S96" i="80"/>
  <c r="S97" i="83"/>
  <c r="S85" i="83"/>
  <c r="S73" i="80"/>
  <c r="S85" i="80" s="1"/>
  <c r="H543" i="53" a="1"/>
  <c r="H543" i="53" s="1"/>
  <c r="S119" i="80"/>
  <c r="S131" i="80" s="1"/>
  <c r="S109" i="83"/>
  <c r="AH47" i="74"/>
  <c r="AH92" i="74" s="1"/>
  <c r="AJ47" i="74"/>
  <c r="AJ92" i="74" s="1"/>
  <c r="AO47" i="74"/>
  <c r="AO92" i="74" s="1"/>
  <c r="AN47" i="74"/>
  <c r="AN92" i="74" s="1"/>
  <c r="AD47" i="74"/>
  <c r="AD92" i="74" s="1"/>
  <c r="AL47" i="74"/>
  <c r="AL92" i="74" s="1"/>
  <c r="AC47" i="74"/>
  <c r="AC92" i="74" s="1"/>
  <c r="AM47" i="74"/>
  <c r="AM92" i="74" s="1"/>
  <c r="AI47" i="74"/>
  <c r="AI92" i="74" s="1"/>
  <c r="AP47" i="74"/>
  <c r="AP92" i="74" s="1"/>
  <c r="AK47" i="74"/>
  <c r="AK92" i="74" s="1"/>
  <c r="AF47" i="74"/>
  <c r="AF92" i="74" s="1"/>
  <c r="AE47" i="74"/>
  <c r="AE92" i="74" s="1"/>
  <c r="AG47" i="74"/>
  <c r="AG92" i="74" s="1"/>
  <c r="AK25" i="41"/>
  <c r="AK149" i="41" s="1"/>
  <c r="AP25" i="41"/>
  <c r="AP149" i="41" s="1"/>
  <c r="AM25" i="41"/>
  <c r="AM149" i="41" s="1"/>
  <c r="AD25" i="41"/>
  <c r="AD149" i="41" s="1"/>
  <c r="J146" i="80" l="1"/>
  <c r="J172" i="80" s="1"/>
  <c r="J273" i="80" s="1"/>
  <c r="J145" i="80"/>
  <c r="J171" i="80" s="1"/>
  <c r="J272" i="80" s="1"/>
  <c r="K143" i="80"/>
  <c r="K169" i="80" s="1"/>
  <c r="K270" i="80" s="1"/>
  <c r="J144" i="80"/>
  <c r="J170" i="80" s="1"/>
  <c r="J271" i="80" s="1"/>
  <c r="J45" i="55"/>
  <c r="A4" i="53"/>
  <c r="J142" i="80"/>
  <c r="J168" i="80" s="1"/>
  <c r="J269" i="80" s="1"/>
  <c r="K145" i="80"/>
  <c r="K171" i="80" s="1"/>
  <c r="K272" i="80" s="1"/>
  <c r="K149" i="80"/>
  <c r="K175" i="80" s="1"/>
  <c r="K276" i="80" s="1"/>
  <c r="J143" i="80"/>
  <c r="J169" i="80" s="1"/>
  <c r="J270" i="80" s="1"/>
  <c r="J148" i="80"/>
  <c r="J174" i="80" s="1"/>
  <c r="J275" i="80" s="1"/>
  <c r="T147" i="80"/>
  <c r="T173" i="80" s="1"/>
  <c r="T274" i="80" s="1"/>
  <c r="K148" i="80"/>
  <c r="K174" i="80" s="1"/>
  <c r="K275" i="80" s="1"/>
  <c r="J219" i="83"/>
  <c r="N159" i="83"/>
  <c r="K152" i="83"/>
  <c r="T145" i="80"/>
  <c r="T171" i="80" s="1"/>
  <c r="T272" i="80" s="1"/>
  <c r="T156" i="83"/>
  <c r="O176" i="80"/>
  <c r="T212" i="83"/>
  <c r="T149" i="80"/>
  <c r="T175" i="80" s="1"/>
  <c r="T276" i="80" s="1"/>
  <c r="T150" i="80"/>
  <c r="T208" i="80" s="1"/>
  <c r="S154" i="83"/>
  <c r="M150" i="80"/>
  <c r="M176" i="80" s="1"/>
  <c r="M142" i="80"/>
  <c r="M168" i="80" s="1"/>
  <c r="M269" i="80" s="1"/>
  <c r="K176" i="80"/>
  <c r="L156" i="83"/>
  <c r="S155" i="83"/>
  <c r="L215" i="83"/>
  <c r="L187" i="83"/>
  <c r="S144" i="80"/>
  <c r="S170" i="80" s="1"/>
  <c r="S271" i="80" s="1"/>
  <c r="J176" i="80"/>
  <c r="L148" i="80"/>
  <c r="L174" i="80" s="1"/>
  <c r="L275" i="80" s="1"/>
  <c r="M149" i="80"/>
  <c r="M175" i="80" s="1"/>
  <c r="M276" i="80" s="1"/>
  <c r="S146" i="80"/>
  <c r="S172" i="80" s="1"/>
  <c r="S273" i="80" s="1"/>
  <c r="M143" i="80"/>
  <c r="M169" i="80" s="1"/>
  <c r="M270" i="80" s="1"/>
  <c r="M146" i="80"/>
  <c r="M172" i="80" s="1"/>
  <c r="M273" i="80" s="1"/>
  <c r="L150" i="80"/>
  <c r="L176" i="80" s="1"/>
  <c r="S214" i="83"/>
  <c r="S156" i="83"/>
  <c r="L189" i="83"/>
  <c r="L218" i="83"/>
  <c r="T213" i="83"/>
  <c r="L157" i="83"/>
  <c r="T154" i="83"/>
  <c r="S217" i="83"/>
  <c r="L190" i="83"/>
  <c r="M188" i="83"/>
  <c r="M189" i="83"/>
  <c r="T217" i="83"/>
  <c r="L217" i="83"/>
  <c r="S184" i="83"/>
  <c r="L184" i="83"/>
  <c r="L159" i="83"/>
  <c r="T152" i="83"/>
  <c r="S159" i="83"/>
  <c r="M153" i="83"/>
  <c r="S185" i="83"/>
  <c r="S160" i="83"/>
  <c r="S161" i="83"/>
  <c r="M156" i="83"/>
  <c r="T211" i="83"/>
  <c r="L188" i="83"/>
  <c r="T186" i="83"/>
  <c r="M185" i="83"/>
  <c r="T187" i="83"/>
  <c r="T188" i="83"/>
  <c r="T182" i="83"/>
  <c r="S188" i="83"/>
  <c r="M211" i="83"/>
  <c r="M187" i="83"/>
  <c r="T159" i="83"/>
  <c r="M215" i="83"/>
  <c r="L160" i="83"/>
  <c r="S189" i="83"/>
  <c r="T184" i="83"/>
  <c r="T155" i="83"/>
  <c r="L186" i="83"/>
  <c r="T157" i="83"/>
  <c r="T190" i="83"/>
  <c r="M157" i="83"/>
  <c r="L155" i="83"/>
  <c r="M154" i="83"/>
  <c r="M158" i="83"/>
  <c r="M217" i="83"/>
  <c r="T181" i="83"/>
  <c r="M214" i="83"/>
  <c r="M210" i="83"/>
  <c r="T215" i="83"/>
  <c r="T153" i="83"/>
  <c r="T143" i="80"/>
  <c r="T169" i="80" s="1"/>
  <c r="T270" i="80" s="1"/>
  <c r="S218" i="83"/>
  <c r="M184" i="83"/>
  <c r="M155" i="83"/>
  <c r="M213" i="83"/>
  <c r="S219" i="83"/>
  <c r="M159" i="83"/>
  <c r="M216" i="83"/>
  <c r="T210" i="83"/>
  <c r="S186" i="83"/>
  <c r="T189" i="83"/>
  <c r="M190" i="83"/>
  <c r="L213" i="83"/>
  <c r="T185" i="83"/>
  <c r="T218" i="83"/>
  <c r="L154" i="83"/>
  <c r="S183" i="83"/>
  <c r="L183" i="83"/>
  <c r="L212" i="83"/>
  <c r="S182" i="83"/>
  <c r="L182" i="83"/>
  <c r="L152" i="83"/>
  <c r="S181" i="83"/>
  <c r="L181" i="83"/>
  <c r="S211" i="83"/>
  <c r="S152" i="83"/>
  <c r="L211" i="83"/>
  <c r="L153" i="83"/>
  <c r="L210" i="83"/>
  <c r="S210" i="83"/>
  <c r="S153" i="83"/>
  <c r="T146" i="80"/>
  <c r="T172" i="80" s="1"/>
  <c r="T273" i="80" s="1"/>
  <c r="M145" i="80"/>
  <c r="M171" i="80" s="1"/>
  <c r="M272" i="80" s="1"/>
  <c r="T148" i="80"/>
  <c r="T174" i="80" s="1"/>
  <c r="T275" i="80" s="1"/>
  <c r="M148" i="80"/>
  <c r="M174" i="80" s="1"/>
  <c r="M275" i="80" s="1"/>
  <c r="L144" i="80"/>
  <c r="L170" i="80" s="1"/>
  <c r="L271" i="80" s="1"/>
  <c r="S148" i="80"/>
  <c r="S174" i="80" s="1"/>
  <c r="S275" i="80" s="1"/>
  <c r="M147" i="80"/>
  <c r="M173" i="80" s="1"/>
  <c r="M274" i="80" s="1"/>
  <c r="T142" i="80"/>
  <c r="T168" i="80" s="1"/>
  <c r="T269" i="80" s="1"/>
  <c r="N208" i="80"/>
  <c r="S150" i="80"/>
  <c r="T107" i="80"/>
  <c r="T144" i="80" s="1"/>
  <c r="L109" i="80"/>
  <c r="L146" i="80" s="1"/>
  <c r="L106" i="80"/>
  <c r="L143" i="80" s="1"/>
  <c r="O169" i="80"/>
  <c r="O270" i="80" s="1"/>
  <c r="L112" i="80"/>
  <c r="L149" i="80" s="1"/>
  <c r="S108" i="80"/>
  <c r="S145" i="80" s="1"/>
  <c r="S112" i="80"/>
  <c r="S149" i="80" s="1"/>
  <c r="O175" i="80"/>
  <c r="O276" i="80" s="1"/>
  <c r="M107" i="80"/>
  <c r="M144" i="80" s="1"/>
  <c r="N176" i="80"/>
  <c r="N177" i="80" s="1"/>
  <c r="L142" i="80"/>
  <c r="L168" i="80" s="1"/>
  <c r="K269" i="80"/>
  <c r="S142" i="80"/>
  <c r="AH34" i="74"/>
  <c r="AH79" i="74" s="1"/>
  <c r="AN25" i="41"/>
  <c r="AN149" i="41" s="1"/>
  <c r="AC25" i="41"/>
  <c r="AC149" i="41" s="1"/>
  <c r="AL25" i="41"/>
  <c r="AL149" i="41" s="1"/>
  <c r="AJ25" i="41"/>
  <c r="AJ149" i="41" s="1"/>
  <c r="AH25" i="41"/>
  <c r="AH149" i="41" s="1"/>
  <c r="AF25" i="41"/>
  <c r="AF149" i="41" s="1"/>
  <c r="AE25" i="41"/>
  <c r="AE149" i="41" s="1"/>
  <c r="AE34" i="74"/>
  <c r="AE79" i="74" s="1"/>
  <c r="AD34" i="74"/>
  <c r="AD79" i="74" s="1"/>
  <c r="AO25" i="41"/>
  <c r="AO149" i="41" s="1"/>
  <c r="AL34" i="74"/>
  <c r="AL79" i="74" s="1"/>
  <c r="AC34" i="74"/>
  <c r="AC79" i="74" s="1"/>
  <c r="AI25" i="41"/>
  <c r="AI149" i="41" s="1"/>
  <c r="AG25" i="41"/>
  <c r="AG149" i="41" s="1"/>
  <c r="AI34" i="74"/>
  <c r="AI79" i="74" s="1"/>
  <c r="AM34" i="74"/>
  <c r="AM79" i="74" s="1"/>
  <c r="AD25" i="65"/>
  <c r="AD83" i="65" s="1"/>
  <c r="AD94" i="65" s="1"/>
  <c r="AD50" i="41"/>
  <c r="AM25" i="65"/>
  <c r="AM83" i="65" s="1"/>
  <c r="AM94" i="65" s="1"/>
  <c r="AM50" i="41"/>
  <c r="AN34" i="74"/>
  <c r="AN79" i="74" s="1"/>
  <c r="AP25" i="65"/>
  <c r="AP83" i="65" s="1"/>
  <c r="AP94" i="65" s="1"/>
  <c r="AP50" i="105" s="1"/>
  <c r="AP50" i="41"/>
  <c r="AG34" i="74"/>
  <c r="AG79" i="74" s="1"/>
  <c r="AK25" i="65"/>
  <c r="AK83" i="65" s="1"/>
  <c r="AK94" i="65" s="1"/>
  <c r="AK50" i="41"/>
  <c r="AP34" i="74"/>
  <c r="AP79" i="74" s="1"/>
  <c r="H274" i="80" l="1"/>
  <c r="T176" i="80"/>
  <c r="L208" i="80"/>
  <c r="M208" i="80"/>
  <c r="H157" i="80"/>
  <c r="H155" i="80"/>
  <c r="H159" i="80"/>
  <c r="H160" i="80"/>
  <c r="H158" i="80"/>
  <c r="H275" i="80"/>
  <c r="H162" i="80"/>
  <c r="S208" i="80"/>
  <c r="S176" i="80"/>
  <c r="K177" i="80"/>
  <c r="H156" i="80"/>
  <c r="H161" i="80"/>
  <c r="J177" i="80"/>
  <c r="O177" i="80"/>
  <c r="H154" i="80"/>
  <c r="AP87" i="105"/>
  <c r="M170" i="80"/>
  <c r="M271" i="80" s="1"/>
  <c r="S171" i="80"/>
  <c r="S272" i="80" s="1"/>
  <c r="H272" i="80" s="1"/>
  <c r="S175" i="80"/>
  <c r="S276" i="80" s="1"/>
  <c r="T170" i="80"/>
  <c r="T271" i="80" s="1"/>
  <c r="L172" i="80"/>
  <c r="L273" i="80" s="1"/>
  <c r="H273" i="80" s="1"/>
  <c r="L175" i="80"/>
  <c r="L276" i="80" s="1"/>
  <c r="L169" i="80"/>
  <c r="L270" i="80" s="1"/>
  <c r="H270" i="80" s="1"/>
  <c r="S168" i="80"/>
  <c r="S269" i="80" s="1"/>
  <c r="L269" i="80"/>
  <c r="AE50" i="41"/>
  <c r="AH25" i="65"/>
  <c r="AH83" i="65" s="1"/>
  <c r="AH94" i="65" s="1"/>
  <c r="AH50" i="105" s="1"/>
  <c r="AI25" i="65"/>
  <c r="AI83" i="65" s="1"/>
  <c r="AI94" i="65" s="1"/>
  <c r="AI112" i="65" s="1"/>
  <c r="AI68" i="105" s="1"/>
  <c r="AN25" i="65"/>
  <c r="AN83" i="65" s="1"/>
  <c r="AN94" i="65" s="1"/>
  <c r="AN50" i="105" s="1"/>
  <c r="AE25" i="65"/>
  <c r="AE83" i="65" s="1"/>
  <c r="AE94" i="65" s="1"/>
  <c r="AE112" i="65" s="1"/>
  <c r="AE68" i="105" s="1"/>
  <c r="AI50" i="41"/>
  <c r="AH50" i="41"/>
  <c r="AN50" i="41"/>
  <c r="AJ34" i="74"/>
  <c r="AJ79" i="74" s="1"/>
  <c r="AG50" i="41"/>
  <c r="AC25" i="65"/>
  <c r="AC83" i="65" s="1"/>
  <c r="AC94" i="65" s="1"/>
  <c r="AC103" i="65" s="1"/>
  <c r="AC59" i="105" s="1"/>
  <c r="AC50" i="41"/>
  <c r="AJ25" i="65"/>
  <c r="AJ83" i="65" s="1"/>
  <c r="AJ94" i="65" s="1"/>
  <c r="AJ50" i="105" s="1"/>
  <c r="AL25" i="65"/>
  <c r="AL83" i="65" s="1"/>
  <c r="AL94" i="65" s="1"/>
  <c r="AL50" i="105" s="1"/>
  <c r="AG25" i="65"/>
  <c r="AG83" i="65" s="1"/>
  <c r="AG94" i="65" s="1"/>
  <c r="AG112" i="65" s="1"/>
  <c r="AG68" i="105" s="1"/>
  <c r="AJ50" i="41"/>
  <c r="AL50" i="41"/>
  <c r="AO50" i="41"/>
  <c r="AK34" i="74"/>
  <c r="AK79" i="74" s="1"/>
  <c r="AF50" i="41"/>
  <c r="AF34" i="74"/>
  <c r="AF79" i="74" s="1"/>
  <c r="AO25" i="65"/>
  <c r="AO83" i="65" s="1"/>
  <c r="AO94" i="65" s="1"/>
  <c r="AO112" i="65" s="1"/>
  <c r="AO68" i="105" s="1"/>
  <c r="AO34" i="74"/>
  <c r="AO79" i="74" s="1"/>
  <c r="AF25" i="65"/>
  <c r="AF83" i="65" s="1"/>
  <c r="AF94" i="65" s="1"/>
  <c r="AF50" i="105" s="1"/>
  <c r="AK112" i="65"/>
  <c r="AK68" i="105" s="1"/>
  <c r="AK50" i="105"/>
  <c r="AD50" i="105"/>
  <c r="AD112" i="65"/>
  <c r="AD68" i="105" s="1"/>
  <c r="AM112" i="65"/>
  <c r="AM68" i="105" s="1"/>
  <c r="AM50" i="105"/>
  <c r="AI50" i="105" l="1"/>
  <c r="AI87" i="105" s="1"/>
  <c r="M177" i="80"/>
  <c r="H210" i="80"/>
  <c r="H234" i="80" s="1"/>
  <c r="AC260" i="80" s="1"/>
  <c r="H271" i="80"/>
  <c r="L177" i="80"/>
  <c r="H276" i="80"/>
  <c r="H269" i="80"/>
  <c r="T177" i="80"/>
  <c r="S177" i="80"/>
  <c r="AO107" i="105"/>
  <c r="AE107" i="105"/>
  <c r="AM107" i="105"/>
  <c r="AD107" i="105"/>
  <c r="AK107" i="105"/>
  <c r="AG107" i="105"/>
  <c r="AC97" i="105"/>
  <c r="AI107" i="105"/>
  <c r="AH87" i="105"/>
  <c r="AF87" i="105"/>
  <c r="AN87" i="105"/>
  <c r="AJ87" i="105"/>
  <c r="AD87" i="105"/>
  <c r="AM87" i="105"/>
  <c r="AK87" i="105"/>
  <c r="AL87" i="105"/>
  <c r="AE103" i="65"/>
  <c r="AE59" i="105" s="1"/>
  <c r="AE50" i="105"/>
  <c r="AC112" i="65"/>
  <c r="AC68" i="105" s="1"/>
  <c r="AC50" i="105"/>
  <c r="AO50" i="105"/>
  <c r="AG103" i="65"/>
  <c r="AG59" i="105" s="1"/>
  <c r="AG50" i="105"/>
  <c r="W260" i="80" l="1"/>
  <c r="V260" i="80"/>
  <c r="U260" i="80"/>
  <c r="Q260" i="80"/>
  <c r="AE247" i="80"/>
  <c r="AD260" i="80"/>
  <c r="Z260" i="80"/>
  <c r="AH260" i="80"/>
  <c r="P260" i="80"/>
  <c r="AE260" i="80"/>
  <c r="H32" i="73"/>
  <c r="AB141" i="73" s="1"/>
  <c r="AB201" i="73" s="1"/>
  <c r="M260" i="80"/>
  <c r="T247" i="80"/>
  <c r="AN247" i="80"/>
  <c r="AB260" i="80"/>
  <c r="AP247" i="80"/>
  <c r="T260" i="80"/>
  <c r="AG247" i="80"/>
  <c r="J260" i="80"/>
  <c r="O247" i="80"/>
  <c r="O277" i="80" s="1"/>
  <c r="R247" i="80"/>
  <c r="AB247" i="80"/>
  <c r="S260" i="80"/>
  <c r="AL247" i="80"/>
  <c r="AA247" i="80"/>
  <c r="J247" i="80"/>
  <c r="AC247" i="80"/>
  <c r="AC277" i="80" s="1"/>
  <c r="AH247" i="80"/>
  <c r="N247" i="80"/>
  <c r="K247" i="80"/>
  <c r="Y260" i="80"/>
  <c r="X260" i="80"/>
  <c r="K260" i="80"/>
  <c r="AI260" i="80"/>
  <c r="V247" i="80"/>
  <c r="N260" i="80"/>
  <c r="AF247" i="80"/>
  <c r="AP260" i="80"/>
  <c r="AO260" i="80"/>
  <c r="AI247" i="80"/>
  <c r="AJ247" i="80"/>
  <c r="L247" i="80"/>
  <c r="L277" i="80" s="1"/>
  <c r="M247" i="80"/>
  <c r="U247" i="80"/>
  <c r="X247" i="80"/>
  <c r="Q247" i="80"/>
  <c r="W247" i="80"/>
  <c r="AJ260" i="80"/>
  <c r="AK260" i="80"/>
  <c r="AD247" i="80"/>
  <c r="AK247" i="80"/>
  <c r="S247" i="80"/>
  <c r="AO247" i="80"/>
  <c r="Z247" i="80"/>
  <c r="AM260" i="80"/>
  <c r="AF260" i="80"/>
  <c r="AA260" i="80"/>
  <c r="AG260" i="80"/>
  <c r="AM247" i="80"/>
  <c r="R260" i="80"/>
  <c r="P247" i="80"/>
  <c r="Y247" i="80"/>
  <c r="AL260" i="80"/>
  <c r="AN260" i="80"/>
  <c r="AC107" i="105"/>
  <c r="AG97" i="105"/>
  <c r="AE97" i="105"/>
  <c r="AE87" i="105"/>
  <c r="AG87" i="105"/>
  <c r="AO87" i="105"/>
  <c r="AC87" i="105"/>
  <c r="W277" i="80" l="1"/>
  <c r="U277" i="80"/>
  <c r="V277" i="80"/>
  <c r="AD277" i="80"/>
  <c r="AH277" i="80"/>
  <c r="Z277" i="80"/>
  <c r="AF277" i="80"/>
  <c r="AL277" i="80"/>
  <c r="AM277" i="80"/>
  <c r="M277" i="80"/>
  <c r="R277" i="80"/>
  <c r="Y277" i="80"/>
  <c r="AA277" i="80"/>
  <c r="T277" i="80"/>
  <c r="Q277" i="80"/>
  <c r="P277" i="80"/>
  <c r="AP277" i="80"/>
  <c r="AE277" i="80"/>
  <c r="V141" i="73"/>
  <c r="V201" i="73" s="1"/>
  <c r="K171" i="73"/>
  <c r="K231" i="73" s="1"/>
  <c r="N277" i="80"/>
  <c r="N171" i="73"/>
  <c r="N231" i="73" s="1"/>
  <c r="AA141" i="73"/>
  <c r="AA271" i="73" s="1"/>
  <c r="AA34" i="74" s="1"/>
  <c r="AA79" i="74" s="1"/>
  <c r="U171" i="73"/>
  <c r="U231" i="73" s="1"/>
  <c r="J171" i="73"/>
  <c r="J231" i="73" s="1"/>
  <c r="W171" i="73"/>
  <c r="W231" i="73" s="1"/>
  <c r="M141" i="73"/>
  <c r="M201" i="73" s="1"/>
  <c r="O171" i="73"/>
  <c r="O231" i="73" s="1"/>
  <c r="X171" i="73"/>
  <c r="X231" i="73" s="1"/>
  <c r="V171" i="73"/>
  <c r="V231" i="73" s="1"/>
  <c r="Z171" i="73"/>
  <c r="Z231" i="73" s="1"/>
  <c r="X141" i="73"/>
  <c r="X271" i="73" s="1"/>
  <c r="X34" i="74" s="1"/>
  <c r="X79" i="74" s="1"/>
  <c r="L141" i="73"/>
  <c r="L201" i="73" s="1"/>
  <c r="Q141" i="73"/>
  <c r="Q271" i="73" s="1"/>
  <c r="Q34" i="74" s="1"/>
  <c r="Q79" i="74" s="1"/>
  <c r="Q109" i="74" s="1"/>
  <c r="Q141" i="74" s="1"/>
  <c r="R171" i="73"/>
  <c r="R231" i="73" s="1"/>
  <c r="P171" i="73"/>
  <c r="P231" i="73" s="1"/>
  <c r="W141" i="73"/>
  <c r="W271" i="73" s="1"/>
  <c r="W34" i="74" s="1"/>
  <c r="W79" i="74" s="1"/>
  <c r="J141" i="73"/>
  <c r="J271" i="73" s="1"/>
  <c r="J34" i="74" s="1"/>
  <c r="J79" i="74" s="1"/>
  <c r="AA171" i="73"/>
  <c r="AA231" i="73" s="1"/>
  <c r="K141" i="73"/>
  <c r="K201" i="73" s="1"/>
  <c r="Y171" i="73"/>
  <c r="Y231" i="73" s="1"/>
  <c r="L171" i="73"/>
  <c r="L231" i="73" s="1"/>
  <c r="O141" i="73"/>
  <c r="O271" i="73" s="1"/>
  <c r="O34" i="74" s="1"/>
  <c r="O79" i="74" s="1"/>
  <c r="AB171" i="73"/>
  <c r="AB231" i="73" s="1"/>
  <c r="Y141" i="73"/>
  <c r="Y271" i="73" s="1"/>
  <c r="Y34" i="74" s="1"/>
  <c r="Y79" i="74" s="1"/>
  <c r="AB271" i="73"/>
  <c r="AB34" i="74" s="1"/>
  <c r="AB79" i="74" s="1"/>
  <c r="S171" i="73"/>
  <c r="S231" i="73" s="1"/>
  <c r="M171" i="73"/>
  <c r="M231" i="73" s="1"/>
  <c r="T171" i="73"/>
  <c r="T231" i="73" s="1"/>
  <c r="R141" i="73"/>
  <c r="R201" i="73" s="1"/>
  <c r="P141" i="73"/>
  <c r="P201" i="73" s="1"/>
  <c r="T141" i="73"/>
  <c r="T271" i="73" s="1"/>
  <c r="T34" i="74" s="1"/>
  <c r="T79" i="74" s="1"/>
  <c r="N141" i="73"/>
  <c r="N271" i="73" s="1"/>
  <c r="N34" i="74" s="1"/>
  <c r="N79" i="74" s="1"/>
  <c r="S141" i="73"/>
  <c r="S271" i="73" s="1"/>
  <c r="S34" i="74" s="1"/>
  <c r="S79" i="74" s="1"/>
  <c r="U141" i="73"/>
  <c r="U271" i="73" s="1"/>
  <c r="U34" i="74" s="1"/>
  <c r="U79" i="74" s="1"/>
  <c r="Z141" i="73"/>
  <c r="Z201" i="73" s="1"/>
  <c r="Q171" i="73"/>
  <c r="Q231" i="73" s="1"/>
  <c r="AI277" i="80"/>
  <c r="AB277" i="80"/>
  <c r="AN277" i="80"/>
  <c r="AG277" i="80"/>
  <c r="J277" i="80"/>
  <c r="S277" i="80"/>
  <c r="AO277" i="80"/>
  <c r="X277" i="80"/>
  <c r="K277" i="80"/>
  <c r="AK277" i="80"/>
  <c r="AJ277" i="80"/>
  <c r="M271" i="73" l="1"/>
  <c r="M34" i="74" s="1"/>
  <c r="M79" i="74" s="1"/>
  <c r="Q201" i="73"/>
  <c r="O201" i="73"/>
  <c r="AA201" i="73"/>
  <c r="V271" i="73"/>
  <c r="V34" i="74" s="1"/>
  <c r="V79" i="74" s="1"/>
  <c r="L271" i="73"/>
  <c r="L34" i="74" s="1"/>
  <c r="L79" i="74" s="1"/>
  <c r="N201" i="73"/>
  <c r="W201" i="73"/>
  <c r="Y201" i="73"/>
  <c r="J201" i="73"/>
  <c r="K271" i="73"/>
  <c r="K34" i="74" s="1"/>
  <c r="K79" i="74" s="1"/>
  <c r="S201" i="73"/>
  <c r="R271" i="73"/>
  <c r="R34" i="74" s="1"/>
  <c r="R79" i="74" s="1"/>
  <c r="R109" i="74" s="1"/>
  <c r="R141" i="74" s="1"/>
  <c r="Z271" i="73"/>
  <c r="Z34" i="74" s="1"/>
  <c r="Z79" i="74" s="1"/>
  <c r="X201" i="73"/>
  <c r="U201" i="73"/>
  <c r="T201" i="73"/>
  <c r="P271" i="73"/>
  <c r="P34" i="74" s="1"/>
  <c r="P79" i="74" s="1"/>
  <c r="P109" i="74" s="1"/>
  <c r="P141" i="74" s="1"/>
  <c r="H277" i="80"/>
  <c r="H281" i="80" s="1" a="1"/>
  <c r="H281" i="80" s="1"/>
  <c r="AI48" i="74"/>
  <c r="AI93" i="74" s="1"/>
  <c r="AI24" i="41"/>
  <c r="AN48" i="74"/>
  <c r="AN93" i="74" s="1"/>
  <c r="AN24" i="41"/>
  <c r="AF48" i="74"/>
  <c r="AF93" i="74" s="1"/>
  <c r="AF24" i="41"/>
  <c r="AM48" i="74"/>
  <c r="AM93" i="74" s="1"/>
  <c r="AM24" i="41"/>
  <c r="AL48" i="74"/>
  <c r="AL93" i="74" s="1"/>
  <c r="AL24" i="41"/>
  <c r="AO24" i="41"/>
  <c r="AO48" i="74"/>
  <c r="AO93" i="74" s="1"/>
  <c r="AG24" i="41"/>
  <c r="AG48" i="74"/>
  <c r="AG93" i="74" s="1"/>
  <c r="AP24" i="41"/>
  <c r="AP48" i="74"/>
  <c r="AP93" i="74" s="1"/>
  <c r="AD48" i="74"/>
  <c r="AD93" i="74" s="1"/>
  <c r="AD24" i="41"/>
  <c r="AC48" i="74"/>
  <c r="AC93" i="74" s="1"/>
  <c r="AC24" i="41"/>
  <c r="AK24" i="41"/>
  <c r="AK48" i="74"/>
  <c r="AK93" i="74" s="1"/>
  <c r="AE24" i="41"/>
  <c r="AE48" i="74"/>
  <c r="AE93" i="74" s="1"/>
  <c r="AJ24" i="41"/>
  <c r="AJ48" i="74"/>
  <c r="AJ93" i="74" s="1"/>
  <c r="AH24" i="41"/>
  <c r="AH48" i="74"/>
  <c r="AH93" i="74" s="1"/>
  <c r="J46" i="55" l="1"/>
  <c r="A4" i="80"/>
  <c r="V109" i="74"/>
  <c r="V141" i="74" s="1"/>
  <c r="S109" i="74"/>
  <c r="S141" i="74" s="1"/>
  <c r="AN109" i="74"/>
  <c r="AN141" i="74" s="1"/>
  <c r="J109" i="74"/>
  <c r="J141" i="74" s="1"/>
  <c r="T109" i="74"/>
  <c r="T141" i="74" s="1"/>
  <c r="AP109" i="74"/>
  <c r="AP141" i="74" s="1"/>
  <c r="K109" i="74"/>
  <c r="K141" i="74" s="1"/>
  <c r="M109" i="74"/>
  <c r="M141" i="74" s="1"/>
  <c r="N109" i="74"/>
  <c r="N141" i="74" s="1"/>
  <c r="AL109" i="74"/>
  <c r="AL141" i="74" s="1"/>
  <c r="AO109" i="74"/>
  <c r="AO141" i="74" s="1"/>
  <c r="O109" i="74"/>
  <c r="O141" i="74" s="1"/>
  <c r="AI109" i="74"/>
  <c r="AI141" i="74" s="1"/>
  <c r="Z109" i="74"/>
  <c r="Z141" i="74" s="1"/>
  <c r="AH109" i="74"/>
  <c r="AH141" i="74" s="1"/>
  <c r="L109" i="74"/>
  <c r="L141" i="74" s="1"/>
  <c r="AM109" i="74"/>
  <c r="AM141" i="74" s="1"/>
  <c r="AK109" i="74"/>
  <c r="AK141" i="74" s="1"/>
  <c r="AF109" i="74"/>
  <c r="AF141" i="74" s="1"/>
  <c r="AJ109" i="74"/>
  <c r="AJ141" i="74" s="1"/>
  <c r="Y109" i="74"/>
  <c r="Y141" i="74" s="1"/>
  <c r="X109" i="74"/>
  <c r="X141" i="74" s="1"/>
  <c r="AA109" i="74"/>
  <c r="AA141" i="74" s="1"/>
  <c r="U109" i="74"/>
  <c r="U141" i="74" s="1"/>
  <c r="AG109" i="74"/>
  <c r="AG141" i="74" s="1"/>
  <c r="AD109" i="74"/>
  <c r="AD141" i="74" s="1"/>
  <c r="AE109" i="74"/>
  <c r="AE141" i="74" s="1"/>
  <c r="AB109" i="74"/>
  <c r="AB141" i="74" s="1"/>
  <c r="AC109" i="74"/>
  <c r="AC141" i="74" s="1"/>
  <c r="W109" i="74"/>
  <c r="W141" i="74" s="1"/>
  <c r="K64" i="81" a="1"/>
  <c r="S64" i="81" s="1"/>
  <c r="S67" i="81" s="1"/>
  <c r="S73" i="81" s="1"/>
  <c r="S76" i="81" s="1"/>
  <c r="S108" i="81" s="1"/>
  <c r="AM148" i="41"/>
  <c r="AM24" i="65"/>
  <c r="AM82" i="65" s="1"/>
  <c r="AM93" i="65" s="1"/>
  <c r="AM49" i="41"/>
  <c r="AD148" i="41"/>
  <c r="AD24" i="65"/>
  <c r="AD82" i="65" s="1"/>
  <c r="AD93" i="65" s="1"/>
  <c r="AD49" i="41"/>
  <c r="AP148" i="41"/>
  <c r="AP49" i="41"/>
  <c r="AP24" i="65"/>
  <c r="AP82" i="65" s="1"/>
  <c r="AP93" i="65" s="1"/>
  <c r="AP49" i="105" s="1"/>
  <c r="AG148" i="41"/>
  <c r="AG24" i="65"/>
  <c r="AG82" i="65" s="1"/>
  <c r="AG93" i="65" s="1"/>
  <c r="AG49" i="41"/>
  <c r="AO148" i="41"/>
  <c r="AO24" i="65"/>
  <c r="AO82" i="65" s="1"/>
  <c r="AO93" i="65" s="1"/>
  <c r="AO49" i="41"/>
  <c r="AN148" i="41"/>
  <c r="AN24" i="65"/>
  <c r="AN82" i="65" s="1"/>
  <c r="AN93" i="65" s="1"/>
  <c r="AN49" i="105" s="1"/>
  <c r="AN49" i="41"/>
  <c r="AI148" i="41"/>
  <c r="AI24" i="65"/>
  <c r="AI82" i="65" s="1"/>
  <c r="AI93" i="65" s="1"/>
  <c r="AI49" i="41"/>
  <c r="AE148" i="41"/>
  <c r="AE24" i="65"/>
  <c r="AE82" i="65" s="1"/>
  <c r="AE93" i="65" s="1"/>
  <c r="AE49" i="41"/>
  <c r="AH148" i="41"/>
  <c r="AH24" i="65"/>
  <c r="AH82" i="65" s="1"/>
  <c r="AH93" i="65" s="1"/>
  <c r="AH49" i="105" s="1"/>
  <c r="AH49" i="41"/>
  <c r="AJ148" i="41"/>
  <c r="AJ24" i="65"/>
  <c r="AJ82" i="65" s="1"/>
  <c r="AJ93" i="65" s="1"/>
  <c r="AJ49" i="105" s="1"/>
  <c r="AJ49" i="41"/>
  <c r="AK148" i="41"/>
  <c r="AK49" i="41"/>
  <c r="AK24" i="65"/>
  <c r="AK82" i="65" s="1"/>
  <c r="AK93" i="65" s="1"/>
  <c r="AL148" i="41"/>
  <c r="AL49" i="41"/>
  <c r="AL24" i="65"/>
  <c r="AL82" i="65" s="1"/>
  <c r="AL93" i="65" s="1"/>
  <c r="AL49" i="105" s="1"/>
  <c r="AC148" i="41"/>
  <c r="AC49" i="41"/>
  <c r="AC24" i="65"/>
  <c r="AC82" i="65" s="1"/>
  <c r="AC93" i="65" s="1"/>
  <c r="AF148" i="41"/>
  <c r="AF24" i="65"/>
  <c r="AF82" i="65" s="1"/>
  <c r="AF93" i="65" s="1"/>
  <c r="AF49" i="105" s="1"/>
  <c r="AF49" i="41"/>
  <c r="M64" i="81" l="1"/>
  <c r="M67" i="81" s="1"/>
  <c r="M73" i="81" s="1"/>
  <c r="M76" i="81" s="1"/>
  <c r="M108" i="81" s="1"/>
  <c r="O64" i="81"/>
  <c r="O67" i="81" s="1"/>
  <c r="O73" i="81" s="1"/>
  <c r="O76" i="81" s="1"/>
  <c r="O108" i="81" s="1"/>
  <c r="N64" i="81"/>
  <c r="N67" i="81" s="1"/>
  <c r="N73" i="81" s="1"/>
  <c r="N76" i="81" s="1"/>
  <c r="N108" i="81" s="1"/>
  <c r="K64" i="81"/>
  <c r="K67" i="81" s="1"/>
  <c r="K76" i="81" s="1"/>
  <c r="K108" i="81" s="1"/>
  <c r="Q64" i="81"/>
  <c r="Q67" i="81" s="1"/>
  <c r="Q73" i="81" s="1"/>
  <c r="Q76" i="81" s="1"/>
  <c r="Q108" i="81" s="1"/>
  <c r="L64" i="81"/>
  <c r="L67" i="81" s="1"/>
  <c r="L73" i="81" s="1"/>
  <c r="L76" i="81" s="1"/>
  <c r="L108" i="81" s="1"/>
  <c r="P64" i="81"/>
  <c r="P67" i="81" s="1"/>
  <c r="P100" i="81" s="1"/>
  <c r="P115" i="81" s="1"/>
  <c r="R64" i="81"/>
  <c r="R67" i="81" s="1"/>
  <c r="R73" i="81" s="1"/>
  <c r="R76" i="81" s="1"/>
  <c r="R108" i="81" s="1"/>
  <c r="AH86" i="105"/>
  <c r="AF86" i="105"/>
  <c r="AN86" i="105"/>
  <c r="AL86" i="105"/>
  <c r="AJ86" i="105"/>
  <c r="AP86" i="105"/>
  <c r="AC49" i="105"/>
  <c r="AC102" i="65"/>
  <c r="AC111" i="65"/>
  <c r="AK111" i="65"/>
  <c r="AK67" i="105" s="1"/>
  <c r="AK49" i="105"/>
  <c r="AD111" i="65"/>
  <c r="AD67" i="105" s="1"/>
  <c r="AD49" i="105"/>
  <c r="AE111" i="65"/>
  <c r="AE67" i="105" s="1"/>
  <c r="AE49" i="105"/>
  <c r="AE102" i="65"/>
  <c r="AI111" i="65"/>
  <c r="AI67" i="105" s="1"/>
  <c r="AI49" i="105"/>
  <c r="AO49" i="105"/>
  <c r="AO111" i="65"/>
  <c r="AO67" i="105" s="1"/>
  <c r="AG49" i="105"/>
  <c r="AG102" i="65"/>
  <c r="AG58" i="105" s="1"/>
  <c r="AG111" i="65"/>
  <c r="AG67" i="105" s="1"/>
  <c r="AM49" i="105"/>
  <c r="AM111" i="65"/>
  <c r="AM67" i="105" s="1"/>
  <c r="J65" i="81" l="1"/>
  <c r="J67" i="81" s="1"/>
  <c r="J100" i="81" s="1"/>
  <c r="J115" i="81" s="1"/>
  <c r="P73" i="81"/>
  <c r="P76" i="81" s="1"/>
  <c r="S78" i="81" s="1"/>
  <c r="S97" i="81" s="1"/>
  <c r="S100" i="81" s="1"/>
  <c r="S115" i="81" s="1"/>
  <c r="AI106" i="105"/>
  <c r="AO106" i="105"/>
  <c r="AD106" i="105"/>
  <c r="AM106" i="105"/>
  <c r="AG106" i="105"/>
  <c r="AG96" i="105"/>
  <c r="AE106" i="105"/>
  <c r="AK106" i="105"/>
  <c r="AE86" i="105"/>
  <c r="AC86" i="105"/>
  <c r="AI86" i="105"/>
  <c r="AO86" i="105"/>
  <c r="AK86" i="105"/>
  <c r="AG86" i="105"/>
  <c r="AM86" i="105"/>
  <c r="AD86" i="105"/>
  <c r="AE58" i="105"/>
  <c r="AC67" i="105"/>
  <c r="AC58" i="105"/>
  <c r="U78" i="81" l="1"/>
  <c r="U97" i="81" s="1"/>
  <c r="R78" i="81"/>
  <c r="R97" i="81" s="1"/>
  <c r="R100" i="81" s="1"/>
  <c r="R115" i="81" s="1"/>
  <c r="N78" i="81"/>
  <c r="N97" i="81" s="1"/>
  <c r="N100" i="81" s="1"/>
  <c r="N115" i="81" s="1"/>
  <c r="P78" i="81"/>
  <c r="P97" i="81" s="1"/>
  <c r="H123" i="81"/>
  <c r="H21" i="76" s="1"/>
  <c r="H35" i="76" s="1"/>
  <c r="AD43" i="76" s="1"/>
  <c r="AD56" i="74" s="1"/>
  <c r="AD157" i="74" s="1"/>
  <c r="L78" i="81"/>
  <c r="L97" i="81" s="1"/>
  <c r="L100" i="81" s="1"/>
  <c r="L115" i="81" s="1"/>
  <c r="P108" i="81"/>
  <c r="Q78" i="81"/>
  <c r="Q97" i="81" s="1"/>
  <c r="Q100" i="81" s="1"/>
  <c r="Q115" i="81" s="1"/>
  <c r="K78" i="81"/>
  <c r="K97" i="81" s="1"/>
  <c r="K100" i="81" s="1"/>
  <c r="K115" i="81" s="1"/>
  <c r="O78" i="81"/>
  <c r="O97" i="81" s="1"/>
  <c r="O100" i="81" s="1"/>
  <c r="O115" i="81" s="1"/>
  <c r="T78" i="81"/>
  <c r="T97" i="81" s="1"/>
  <c r="M78" i="81"/>
  <c r="M97" i="81" s="1"/>
  <c r="M100" i="81" s="1"/>
  <c r="M115" i="81" s="1"/>
  <c r="AC96" i="105"/>
  <c r="AC106" i="105"/>
  <c r="AE96" i="105"/>
  <c r="Z157" i="74"/>
  <c r="Y156" i="74"/>
  <c r="AB156" i="74"/>
  <c r="Z156" i="74"/>
  <c r="AA157" i="74"/>
  <c r="AB157" i="74"/>
  <c r="AA156" i="74"/>
  <c r="Y157" i="74"/>
  <c r="X157" i="74"/>
  <c r="X156" i="74"/>
  <c r="AF42" i="76" l="1"/>
  <c r="AF55" i="74" s="1"/>
  <c r="AF156" i="74" s="1"/>
  <c r="S43" i="76"/>
  <c r="S56" i="74" s="1"/>
  <c r="S157" i="74" s="1"/>
  <c r="J42" i="76"/>
  <c r="J55" i="74" s="1"/>
  <c r="J156" i="74" s="1"/>
  <c r="AD42" i="76"/>
  <c r="AD55" i="74" s="1"/>
  <c r="AD156" i="74" s="1"/>
  <c r="Q43" i="76"/>
  <c r="Q56" i="74" s="1"/>
  <c r="Q157" i="74" s="1"/>
  <c r="AL43" i="76"/>
  <c r="AL56" i="74" s="1"/>
  <c r="AL157" i="74" s="1"/>
  <c r="L42" i="76"/>
  <c r="L55" i="74" s="1"/>
  <c r="L156" i="74" s="1"/>
  <c r="S42" i="76"/>
  <c r="S55" i="74" s="1"/>
  <c r="S156" i="74" s="1"/>
  <c r="N43" i="76"/>
  <c r="N56" i="74" s="1"/>
  <c r="N157" i="74" s="1"/>
  <c r="Z43" i="76"/>
  <c r="M42" i="76"/>
  <c r="M55" i="74" s="1"/>
  <c r="M156" i="74" s="1"/>
  <c r="U43" i="76"/>
  <c r="U56" i="74" s="1"/>
  <c r="U157" i="74" s="1"/>
  <c r="AA44" i="76"/>
  <c r="AA46" i="71" s="1"/>
  <c r="AA151" i="71" s="1"/>
  <c r="T43" i="76"/>
  <c r="T56" i="74" s="1"/>
  <c r="T157" i="74" s="1"/>
  <c r="AO43" i="76"/>
  <c r="AO56" i="74" s="1"/>
  <c r="AO157" i="74" s="1"/>
  <c r="AN43" i="76"/>
  <c r="AN56" i="74" s="1"/>
  <c r="AN157" i="74" s="1"/>
  <c r="Y42" i="76"/>
  <c r="X42" i="76"/>
  <c r="Z44" i="76"/>
  <c r="Z46" i="71" s="1"/>
  <c r="Z151" i="71" s="1"/>
  <c r="AE42" i="76"/>
  <c r="AE55" i="74" s="1"/>
  <c r="AE156" i="74" s="1"/>
  <c r="AH42" i="76"/>
  <c r="AH55" i="74" s="1"/>
  <c r="AH156" i="74" s="1"/>
  <c r="AK42" i="76"/>
  <c r="AK55" i="74" s="1"/>
  <c r="AK156" i="74" s="1"/>
  <c r="AJ42" i="76"/>
  <c r="AJ55" i="74" s="1"/>
  <c r="AJ156" i="74" s="1"/>
  <c r="J43" i="76"/>
  <c r="J56" i="74" s="1"/>
  <c r="J157" i="74" s="1"/>
  <c r="V43" i="76"/>
  <c r="V56" i="74" s="1"/>
  <c r="V157" i="74" s="1"/>
  <c r="Y43" i="76"/>
  <c r="AB43" i="76"/>
  <c r="AA43" i="76"/>
  <c r="AH43" i="76"/>
  <c r="AH56" i="74" s="1"/>
  <c r="AH157" i="74" s="1"/>
  <c r="AO42" i="76"/>
  <c r="AO55" i="74" s="1"/>
  <c r="AO156" i="74" s="1"/>
  <c r="AF43" i="76"/>
  <c r="AF56" i="74" s="1"/>
  <c r="AF157" i="74" s="1"/>
  <c r="V42" i="76"/>
  <c r="V55" i="74" s="1"/>
  <c r="V156" i="74" s="1"/>
  <c r="M43" i="76"/>
  <c r="M56" i="74" s="1"/>
  <c r="M157" i="74" s="1"/>
  <c r="O43" i="76"/>
  <c r="O56" i="74" s="1"/>
  <c r="O157" i="74" s="1"/>
  <c r="W43" i="76"/>
  <c r="W56" i="74" s="1"/>
  <c r="W157" i="74" s="1"/>
  <c r="AB44" i="76"/>
  <c r="AB106" i="71" s="1"/>
  <c r="AB211" i="71" s="1"/>
  <c r="X44" i="76"/>
  <c r="X46" i="71" s="1"/>
  <c r="X151" i="71" s="1"/>
  <c r="O42" i="76"/>
  <c r="O55" i="74" s="1"/>
  <c r="O156" i="74" s="1"/>
  <c r="R42" i="76"/>
  <c r="R55" i="74" s="1"/>
  <c r="R156" i="74" s="1"/>
  <c r="U42" i="76"/>
  <c r="U55" i="74" s="1"/>
  <c r="U156" i="74" s="1"/>
  <c r="T42" i="76"/>
  <c r="T55" i="74" s="1"/>
  <c r="T156" i="74" s="1"/>
  <c r="AA42" i="76"/>
  <c r="AM42" i="76"/>
  <c r="AM55" i="74" s="1"/>
  <c r="AM156" i="74" s="1"/>
  <c r="AP42" i="76"/>
  <c r="AP55" i="74" s="1"/>
  <c r="AP156" i="74" s="1"/>
  <c r="L43" i="76"/>
  <c r="L56" i="74" s="1"/>
  <c r="L157" i="74" s="1"/>
  <c r="K43" i="76"/>
  <c r="K56" i="74" s="1"/>
  <c r="K157" i="74" s="1"/>
  <c r="AK43" i="76"/>
  <c r="AK56" i="74" s="1"/>
  <c r="AK157" i="74" s="1"/>
  <c r="R43" i="76"/>
  <c r="R56" i="74" s="1"/>
  <c r="R157" i="74" s="1"/>
  <c r="AG42" i="76"/>
  <c r="AG55" i="74" s="1"/>
  <c r="AG156" i="74" s="1"/>
  <c r="X43" i="76"/>
  <c r="AM43" i="76"/>
  <c r="AM56" i="74" s="1"/>
  <c r="AM157" i="74" s="1"/>
  <c r="Q42" i="76"/>
  <c r="Q55" i="74" s="1"/>
  <c r="Q156" i="74" s="1"/>
  <c r="P42" i="76"/>
  <c r="P55" i="74" s="1"/>
  <c r="P156" i="74" s="1"/>
  <c r="H65" i="73" a="1"/>
  <c r="H74" i="73" s="1"/>
  <c r="Y44" i="76"/>
  <c r="Y46" i="71" s="1"/>
  <c r="Y151" i="71" s="1"/>
  <c r="AG43" i="76"/>
  <c r="AG56" i="74" s="1"/>
  <c r="AG157" i="74" s="1"/>
  <c r="AJ43" i="76"/>
  <c r="AJ56" i="74" s="1"/>
  <c r="AJ157" i="74" s="1"/>
  <c r="AI43" i="76"/>
  <c r="AI56" i="74" s="1"/>
  <c r="AI157" i="74" s="1"/>
  <c r="AP43" i="76"/>
  <c r="AP56" i="74" s="1"/>
  <c r="AP157" i="74" s="1"/>
  <c r="K42" i="76"/>
  <c r="K55" i="74" s="1"/>
  <c r="K156" i="74" s="1"/>
  <c r="W42" i="76"/>
  <c r="W55" i="74" s="1"/>
  <c r="W156" i="74" s="1"/>
  <c r="Z42" i="76"/>
  <c r="AC42" i="76"/>
  <c r="AC55" i="74" s="1"/>
  <c r="AC156" i="74" s="1"/>
  <c r="AB42" i="76"/>
  <c r="AL42" i="76"/>
  <c r="AL55" i="74" s="1"/>
  <c r="AL156" i="74" s="1"/>
  <c r="AC43" i="76"/>
  <c r="AC56" i="74" s="1"/>
  <c r="AC157" i="74" s="1"/>
  <c r="AI42" i="76"/>
  <c r="AI55" i="74" s="1"/>
  <c r="AI156" i="74" s="1"/>
  <c r="P43" i="76"/>
  <c r="P56" i="74" s="1"/>
  <c r="P157" i="74" s="1"/>
  <c r="N42" i="76"/>
  <c r="N55" i="74" s="1"/>
  <c r="N156" i="74" s="1"/>
  <c r="AE43" i="76"/>
  <c r="AE56" i="74" s="1"/>
  <c r="AE157" i="74" s="1"/>
  <c r="AN42" i="76"/>
  <c r="AN55" i="74" s="1"/>
  <c r="AN156" i="74" s="1"/>
  <c r="H30" i="83" a="1"/>
  <c r="H31" i="83" s="1"/>
  <c r="H63" i="72" a="1"/>
  <c r="H67" i="72" s="1"/>
  <c r="H127" i="81" a="1"/>
  <c r="H127" i="81" s="1"/>
  <c r="H131" i="81" s="1"/>
  <c r="J48" i="55" l="1"/>
  <c r="A4" i="81"/>
  <c r="H65" i="73"/>
  <c r="Q176" i="73" s="1"/>
  <c r="Q236" i="73" s="1"/>
  <c r="H72" i="73"/>
  <c r="Z183" i="73" s="1"/>
  <c r="Z243" i="73" s="1"/>
  <c r="H68" i="73"/>
  <c r="S179" i="73" s="1"/>
  <c r="S239" i="73" s="1"/>
  <c r="H71" i="73"/>
  <c r="T182" i="73" s="1"/>
  <c r="T242" i="73" s="1"/>
  <c r="H67" i="73"/>
  <c r="AA148" i="73" s="1"/>
  <c r="H39" i="83"/>
  <c r="AI144" i="83" s="1"/>
  <c r="AB46" i="71"/>
  <c r="AB151" i="71" s="1"/>
  <c r="H71" i="72"/>
  <c r="AC180" i="72" s="1"/>
  <c r="AC215" i="72" s="1"/>
  <c r="AC245" i="72" s="1"/>
  <c r="H69" i="73"/>
  <c r="Z150" i="73" s="1"/>
  <c r="H66" i="73"/>
  <c r="L177" i="73" s="1"/>
  <c r="L237" i="73" s="1"/>
  <c r="H70" i="73"/>
  <c r="H73" i="73"/>
  <c r="U154" i="73" s="1"/>
  <c r="H64" i="72"/>
  <c r="AK173" i="72" s="1"/>
  <c r="AK208" i="72" s="1"/>
  <c r="AK238" i="72" s="1"/>
  <c r="H68" i="72"/>
  <c r="H63" i="72"/>
  <c r="AL172" i="72" s="1"/>
  <c r="H32" i="83"/>
  <c r="AP137" i="83" s="1"/>
  <c r="H65" i="72"/>
  <c r="AL174" i="72" s="1"/>
  <c r="AL209" i="72" s="1"/>
  <c r="AL239" i="72" s="1"/>
  <c r="H69" i="72"/>
  <c r="AF178" i="72" s="1"/>
  <c r="AF213" i="72" s="1"/>
  <c r="AF243" i="72" s="1"/>
  <c r="H48" i="76" a="1"/>
  <c r="H48" i="76" s="1"/>
  <c r="H66" i="72"/>
  <c r="AL175" i="72" s="1"/>
  <c r="H72" i="72"/>
  <c r="AK181" i="72" s="1"/>
  <c r="AK216" i="72" s="1"/>
  <c r="AK246" i="72" s="1"/>
  <c r="H37" i="83"/>
  <c r="P229" i="83" s="1"/>
  <c r="H30" i="83"/>
  <c r="AB76" i="71"/>
  <c r="AB181" i="71" s="1"/>
  <c r="H34" i="83"/>
  <c r="J139" i="83" s="1"/>
  <c r="H33" i="83"/>
  <c r="AK138" i="83" s="1"/>
  <c r="H36" i="83"/>
  <c r="H35" i="83"/>
  <c r="H70" i="72"/>
  <c r="AM179" i="72" s="1"/>
  <c r="AM214" i="72" s="1"/>
  <c r="AM244" i="72" s="1"/>
  <c r="H38" i="83"/>
  <c r="R201" i="83" s="1"/>
  <c r="AM136" i="83"/>
  <c r="AI136" i="83"/>
  <c r="AP136" i="83"/>
  <c r="AL136" i="83"/>
  <c r="AJ136" i="83"/>
  <c r="AE136" i="83"/>
  <c r="AA136" i="83"/>
  <c r="W136" i="83"/>
  <c r="S136" i="83"/>
  <c r="O136" i="83"/>
  <c r="K136" i="83"/>
  <c r="AO136" i="83"/>
  <c r="AH136" i="83"/>
  <c r="AD136" i="83"/>
  <c r="Z136" i="83"/>
  <c r="V136" i="83"/>
  <c r="R136" i="83"/>
  <c r="N136" i="83"/>
  <c r="J136" i="83"/>
  <c r="AN136" i="83"/>
  <c r="AG136" i="83"/>
  <c r="AC136" i="83"/>
  <c r="Y136" i="83"/>
  <c r="U136" i="83"/>
  <c r="Q136" i="83"/>
  <c r="M136" i="83"/>
  <c r="X136" i="83"/>
  <c r="AM165" i="83"/>
  <c r="AI165" i="83"/>
  <c r="AE165" i="83"/>
  <c r="AA165" i="83"/>
  <c r="W165" i="83"/>
  <c r="S165" i="83"/>
  <c r="O165" i="83"/>
  <c r="K165" i="83"/>
  <c r="AK136" i="83"/>
  <c r="T136" i="83"/>
  <c r="AP165" i="83"/>
  <c r="AL165" i="83"/>
  <c r="AH165" i="83"/>
  <c r="AD165" i="83"/>
  <c r="Z165" i="83"/>
  <c r="V165" i="83"/>
  <c r="R165" i="83"/>
  <c r="N165" i="83"/>
  <c r="J165" i="83"/>
  <c r="AF136" i="83"/>
  <c r="P136" i="83"/>
  <c r="AO165" i="83"/>
  <c r="AK165" i="83"/>
  <c r="AG165" i="83"/>
  <c r="AC165" i="83"/>
  <c r="Y165" i="83"/>
  <c r="U165" i="83"/>
  <c r="Q165" i="83"/>
  <c r="M165" i="83"/>
  <c r="AJ165" i="83"/>
  <c r="T165" i="83"/>
  <c r="AM194" i="83"/>
  <c r="AI194" i="83"/>
  <c r="AE194" i="83"/>
  <c r="AA194" i="83"/>
  <c r="W194" i="83"/>
  <c r="S194" i="83"/>
  <c r="O194" i="83"/>
  <c r="K194" i="83"/>
  <c r="AB136" i="83"/>
  <c r="AF165" i="83"/>
  <c r="P165" i="83"/>
  <c r="AP194" i="83"/>
  <c r="AL194" i="83"/>
  <c r="AH194" i="83"/>
  <c r="AD194" i="83"/>
  <c r="Z194" i="83"/>
  <c r="V194" i="83"/>
  <c r="R194" i="83"/>
  <c r="N194" i="83"/>
  <c r="J194" i="83"/>
  <c r="AN223" i="83"/>
  <c r="L136" i="83"/>
  <c r="AB165" i="83"/>
  <c r="L165" i="83"/>
  <c r="AO194" i="83"/>
  <c r="AK194" i="83"/>
  <c r="AG194" i="83"/>
  <c r="AC194" i="83"/>
  <c r="Y194" i="83"/>
  <c r="U194" i="83"/>
  <c r="Q194" i="83"/>
  <c r="M194" i="83"/>
  <c r="AM223" i="83"/>
  <c r="AI223" i="83"/>
  <c r="AJ194" i="83"/>
  <c r="T194" i="83"/>
  <c r="AO223" i="83"/>
  <c r="AH223" i="83"/>
  <c r="AD223" i="83"/>
  <c r="Z223" i="83"/>
  <c r="V223" i="83"/>
  <c r="R223" i="83"/>
  <c r="N223" i="83"/>
  <c r="J223" i="83"/>
  <c r="AN194" i="83"/>
  <c r="AE223" i="83"/>
  <c r="S223" i="83"/>
  <c r="AN165" i="83"/>
  <c r="AF194" i="83"/>
  <c r="P194" i="83"/>
  <c r="AL223" i="83"/>
  <c r="AG223" i="83"/>
  <c r="AC223" i="83"/>
  <c r="Y223" i="83"/>
  <c r="U223" i="83"/>
  <c r="Q223" i="83"/>
  <c r="M223" i="83"/>
  <c r="X194" i="83"/>
  <c r="AP223" i="83"/>
  <c r="AA223" i="83"/>
  <c r="K223" i="83"/>
  <c r="X165" i="83"/>
  <c r="AB194" i="83"/>
  <c r="L194" i="83"/>
  <c r="AK223" i="83"/>
  <c r="AF223" i="83"/>
  <c r="AB223" i="83"/>
  <c r="X223" i="83"/>
  <c r="T223" i="83"/>
  <c r="P223" i="83"/>
  <c r="L223" i="83"/>
  <c r="AJ223" i="83"/>
  <c r="W223" i="83"/>
  <c r="O223" i="83"/>
  <c r="N185" i="73"/>
  <c r="N245" i="73" s="1"/>
  <c r="N155" i="73"/>
  <c r="J185" i="73"/>
  <c r="J245" i="73" s="1"/>
  <c r="X155" i="73"/>
  <c r="V185" i="73"/>
  <c r="V245" i="73" s="1"/>
  <c r="O185" i="73"/>
  <c r="O245" i="73" s="1"/>
  <c r="J155" i="73"/>
  <c r="T155" i="73"/>
  <c r="Q155" i="73"/>
  <c r="V155" i="73"/>
  <c r="M155" i="73"/>
  <c r="R185" i="73"/>
  <c r="R245" i="73" s="1"/>
  <c r="Y155" i="73"/>
  <c r="Z185" i="73"/>
  <c r="Z245" i="73" s="1"/>
  <c r="Q185" i="73"/>
  <c r="Q245" i="73" s="1"/>
  <c r="W185" i="73"/>
  <c r="W245" i="73" s="1"/>
  <c r="P185" i="73"/>
  <c r="P245" i="73" s="1"/>
  <c r="K185" i="73"/>
  <c r="K245" i="73" s="1"/>
  <c r="K155" i="73"/>
  <c r="O155" i="73"/>
  <c r="L155" i="73"/>
  <c r="Y185" i="73"/>
  <c r="Y245" i="73" s="1"/>
  <c r="X185" i="73"/>
  <c r="X245" i="73" s="1"/>
  <c r="W155" i="73"/>
  <c r="U155" i="73"/>
  <c r="S185" i="73"/>
  <c r="S245" i="73" s="1"/>
  <c r="Z155" i="73"/>
  <c r="R155" i="73"/>
  <c r="AB155" i="73"/>
  <c r="T185" i="73"/>
  <c r="T245" i="73" s="1"/>
  <c r="M185" i="73"/>
  <c r="M245" i="73" s="1"/>
  <c r="AA155" i="73"/>
  <c r="U185" i="73"/>
  <c r="U245" i="73" s="1"/>
  <c r="S155" i="73"/>
  <c r="AB185" i="73"/>
  <c r="AB245" i="73" s="1"/>
  <c r="AA185" i="73"/>
  <c r="AA245" i="73" s="1"/>
  <c r="P155" i="73"/>
  <c r="L185" i="73"/>
  <c r="L245" i="73" s="1"/>
  <c r="AO176" i="72"/>
  <c r="AO211" i="72" s="1"/>
  <c r="AO241" i="72" s="1"/>
  <c r="AJ176" i="72"/>
  <c r="AJ211" i="72" s="1"/>
  <c r="AJ241" i="72" s="1"/>
  <c r="AD176" i="72"/>
  <c r="AD211" i="72" s="1"/>
  <c r="AD241" i="72" s="1"/>
  <c r="AI176" i="72"/>
  <c r="AI211" i="72" s="1"/>
  <c r="AI241" i="72" s="1"/>
  <c r="AM176" i="72"/>
  <c r="AM211" i="72" s="1"/>
  <c r="AM241" i="72" s="1"/>
  <c r="AF176" i="72"/>
  <c r="AF211" i="72" s="1"/>
  <c r="AF241" i="72" s="1"/>
  <c r="AL176" i="72"/>
  <c r="AL211" i="72" s="1"/>
  <c r="AL241" i="72" s="1"/>
  <c r="AN176" i="72"/>
  <c r="AN211" i="72" s="1"/>
  <c r="AN241" i="72" s="1"/>
  <c r="AH176" i="72"/>
  <c r="AH211" i="72" s="1"/>
  <c r="AH241" i="72" s="1"/>
  <c r="AG176" i="72"/>
  <c r="AG211" i="72" s="1"/>
  <c r="AG241" i="72" s="1"/>
  <c r="AK176" i="72"/>
  <c r="AK211" i="72" s="1"/>
  <c r="AK241" i="72" s="1"/>
  <c r="AC176" i="72"/>
  <c r="AC211" i="72" s="1"/>
  <c r="AC241" i="72" s="1"/>
  <c r="AE176" i="72"/>
  <c r="AE211" i="72" s="1"/>
  <c r="AE241" i="72" s="1"/>
  <c r="AP176" i="72"/>
  <c r="AP211" i="72" s="1"/>
  <c r="AP241" i="72" s="1"/>
  <c r="AE177" i="72" l="1"/>
  <c r="AE212" i="72" s="1"/>
  <c r="AE242" i="72" s="1"/>
  <c r="AN177" i="72"/>
  <c r="AN212" i="72" s="1"/>
  <c r="AN242" i="72" s="1"/>
  <c r="K146" i="73"/>
  <c r="K206" i="73" s="1"/>
  <c r="V148" i="73"/>
  <c r="V208" i="73" s="1"/>
  <c r="T176" i="73"/>
  <c r="T236" i="73" s="1"/>
  <c r="T178" i="73"/>
  <c r="T238" i="73" s="1"/>
  <c r="P148" i="73"/>
  <c r="P278" i="73" s="1"/>
  <c r="P41" i="74" s="1"/>
  <c r="P86" i="74" s="1"/>
  <c r="P116" i="74" s="1"/>
  <c r="P148" i="74" s="1"/>
  <c r="T146" i="73"/>
  <c r="T276" i="73" s="1"/>
  <c r="T39" i="74" s="1"/>
  <c r="T84" i="74" s="1"/>
  <c r="Z148" i="73"/>
  <c r="Z208" i="73" s="1"/>
  <c r="U183" i="73"/>
  <c r="U243" i="73" s="1"/>
  <c r="AG180" i="72"/>
  <c r="AG215" i="72" s="1"/>
  <c r="AG245" i="72" s="1"/>
  <c r="Y153" i="73"/>
  <c r="Y213" i="73" s="1"/>
  <c r="Y146" i="73"/>
  <c r="Y276" i="73" s="1"/>
  <c r="Y39" i="74" s="1"/>
  <c r="Y84" i="74" s="1"/>
  <c r="Q146" i="73"/>
  <c r="Q276" i="73" s="1"/>
  <c r="Q39" i="74" s="1"/>
  <c r="Q84" i="74" s="1"/>
  <c r="Q114" i="74" s="1"/>
  <c r="Q146" i="74" s="1"/>
  <c r="U148" i="73"/>
  <c r="U208" i="73" s="1"/>
  <c r="W183" i="73"/>
  <c r="W243" i="73" s="1"/>
  <c r="Q153" i="73"/>
  <c r="Q213" i="73" s="1"/>
  <c r="O183" i="73"/>
  <c r="O243" i="73" s="1"/>
  <c r="R183" i="73"/>
  <c r="R243" i="73" s="1"/>
  <c r="S153" i="73"/>
  <c r="S283" i="73" s="1"/>
  <c r="S46" i="74" s="1"/>
  <c r="S91" i="74" s="1"/>
  <c r="S183" i="73"/>
  <c r="S243" i="73" s="1"/>
  <c r="P153" i="73"/>
  <c r="P283" i="73" s="1"/>
  <c r="P46" i="74" s="1"/>
  <c r="P91" i="74" s="1"/>
  <c r="P121" i="74" s="1"/>
  <c r="P153" i="74" s="1"/>
  <c r="T183" i="73"/>
  <c r="T243" i="73" s="1"/>
  <c r="J153" i="73"/>
  <c r="J283" i="73" s="1"/>
  <c r="J46" i="74" s="1"/>
  <c r="J91" i="74" s="1"/>
  <c r="Y183" i="73"/>
  <c r="Y243" i="73" s="1"/>
  <c r="AB183" i="73"/>
  <c r="AB243" i="73" s="1"/>
  <c r="O153" i="73"/>
  <c r="O213" i="73" s="1"/>
  <c r="Q183" i="73"/>
  <c r="Q243" i="73" s="1"/>
  <c r="V183" i="73"/>
  <c r="V243" i="73" s="1"/>
  <c r="AB153" i="73"/>
  <c r="AB283" i="73" s="1"/>
  <c r="AB46" i="74" s="1"/>
  <c r="AB91" i="74" s="1"/>
  <c r="K153" i="73"/>
  <c r="K213" i="73" s="1"/>
  <c r="AA183" i="73"/>
  <c r="AA243" i="73" s="1"/>
  <c r="P183" i="73"/>
  <c r="P243" i="73" s="1"/>
  <c r="T139" i="83"/>
  <c r="T141" i="72" s="1"/>
  <c r="T211" i="72" s="1"/>
  <c r="T241" i="72" s="1"/>
  <c r="J226" i="83"/>
  <c r="K226" i="83"/>
  <c r="J50" i="55"/>
  <c r="A4" i="76"/>
  <c r="L183" i="73"/>
  <c r="L243" i="73" s="1"/>
  <c r="AE181" i="72"/>
  <c r="AE216" i="72" s="1"/>
  <c r="AE246" i="72" s="1"/>
  <c r="W146" i="73"/>
  <c r="W276" i="73" s="1"/>
  <c r="W39" i="74" s="1"/>
  <c r="W84" i="74" s="1"/>
  <c r="M146" i="73"/>
  <c r="M206" i="73" s="1"/>
  <c r="T148" i="73"/>
  <c r="T278" i="73" s="1"/>
  <c r="T41" i="74" s="1"/>
  <c r="T86" i="74" s="1"/>
  <c r="J178" i="73"/>
  <c r="J238" i="73" s="1"/>
  <c r="L176" i="73"/>
  <c r="L236" i="73" s="1"/>
  <c r="Y176" i="73"/>
  <c r="Y236" i="73" s="1"/>
  <c r="R148" i="73"/>
  <c r="R278" i="73" s="1"/>
  <c r="R41" i="74" s="1"/>
  <c r="R86" i="74" s="1"/>
  <c r="R116" i="74" s="1"/>
  <c r="R148" i="74" s="1"/>
  <c r="R178" i="73"/>
  <c r="R238" i="73" s="1"/>
  <c r="Z178" i="73"/>
  <c r="Z238" i="73" s="1"/>
  <c r="U153" i="73"/>
  <c r="U283" i="73" s="1"/>
  <c r="U46" i="74" s="1"/>
  <c r="U91" i="74" s="1"/>
  <c r="V153" i="73"/>
  <c r="V213" i="73" s="1"/>
  <c r="J183" i="73"/>
  <c r="J243" i="73" s="1"/>
  <c r="M153" i="73"/>
  <c r="M213" i="73" s="1"/>
  <c r="N153" i="73"/>
  <c r="N213" i="73" s="1"/>
  <c r="X183" i="73"/>
  <c r="X243" i="73" s="1"/>
  <c r="AA153" i="73"/>
  <c r="AA283" i="73" s="1"/>
  <c r="AA46" i="74" s="1"/>
  <c r="AA91" i="74" s="1"/>
  <c r="P176" i="73"/>
  <c r="P236" i="73" s="1"/>
  <c r="N146" i="73"/>
  <c r="N276" i="73" s="1"/>
  <c r="N39" i="74" s="1"/>
  <c r="N84" i="74" s="1"/>
  <c r="P146" i="73"/>
  <c r="P276" i="73" s="1"/>
  <c r="P39" i="74" s="1"/>
  <c r="P84" i="74" s="1"/>
  <c r="P114" i="74" s="1"/>
  <c r="P146" i="74" s="1"/>
  <c r="X146" i="73"/>
  <c r="X276" i="73" s="1"/>
  <c r="X39" i="74" s="1"/>
  <c r="X84" i="74" s="1"/>
  <c r="N176" i="73"/>
  <c r="N236" i="73" s="1"/>
  <c r="Z176" i="73"/>
  <c r="Z236" i="73" s="1"/>
  <c r="R176" i="73"/>
  <c r="R236" i="73" s="1"/>
  <c r="AA146" i="73"/>
  <c r="AA206" i="73" s="1"/>
  <c r="J146" i="73"/>
  <c r="J276" i="73" s="1"/>
  <c r="J39" i="74" s="1"/>
  <c r="V176" i="73"/>
  <c r="V236" i="73" s="1"/>
  <c r="M178" i="73"/>
  <c r="M238" i="73" s="1"/>
  <c r="K148" i="73"/>
  <c r="K278" i="73" s="1"/>
  <c r="K41" i="74" s="1"/>
  <c r="K86" i="74" s="1"/>
  <c r="L148" i="73"/>
  <c r="L278" i="73" s="1"/>
  <c r="L41" i="74" s="1"/>
  <c r="L86" i="74" s="1"/>
  <c r="O178" i="73"/>
  <c r="O238" i="73" s="1"/>
  <c r="N178" i="73"/>
  <c r="N238" i="73" s="1"/>
  <c r="AA178" i="73"/>
  <c r="AA238" i="73" s="1"/>
  <c r="U178" i="73"/>
  <c r="U238" i="73" s="1"/>
  <c r="Y148" i="73"/>
  <c r="Y278" i="73" s="1"/>
  <c r="Y41" i="74" s="1"/>
  <c r="Y86" i="74" s="1"/>
  <c r="AB178" i="73"/>
  <c r="AB238" i="73" s="1"/>
  <c r="L146" i="73"/>
  <c r="L206" i="73" s="1"/>
  <c r="V146" i="73"/>
  <c r="V276" i="73" s="1"/>
  <c r="V39" i="74" s="1"/>
  <c r="V84" i="74" s="1"/>
  <c r="Z146" i="73"/>
  <c r="Z206" i="73" s="1"/>
  <c r="O146" i="73"/>
  <c r="O206" i="73" s="1"/>
  <c r="X176" i="73"/>
  <c r="X236" i="73" s="1"/>
  <c r="AA176" i="73"/>
  <c r="AA236" i="73" s="1"/>
  <c r="O176" i="73"/>
  <c r="O236" i="73" s="1"/>
  <c r="S176" i="73"/>
  <c r="S236" i="73" s="1"/>
  <c r="S146" i="73"/>
  <c r="S206" i="73" s="1"/>
  <c r="J176" i="73"/>
  <c r="J236" i="73" s="1"/>
  <c r="J148" i="73"/>
  <c r="J278" i="73" s="1"/>
  <c r="J41" i="74" s="1"/>
  <c r="J86" i="74" s="1"/>
  <c r="Q148" i="73"/>
  <c r="Q278" i="73" s="1"/>
  <c r="Q41" i="74" s="1"/>
  <c r="Q86" i="74" s="1"/>
  <c r="Q116" i="74" s="1"/>
  <c r="Q148" i="74" s="1"/>
  <c r="X178" i="73"/>
  <c r="X238" i="73" s="1"/>
  <c r="AB148" i="73"/>
  <c r="AB278" i="73" s="1"/>
  <c r="AB41" i="74" s="1"/>
  <c r="AB86" i="74" s="1"/>
  <c r="M148" i="73"/>
  <c r="M208" i="73" s="1"/>
  <c r="S178" i="73"/>
  <c r="S238" i="73" s="1"/>
  <c r="W178" i="73"/>
  <c r="W238" i="73" s="1"/>
  <c r="N148" i="73"/>
  <c r="N278" i="73" s="1"/>
  <c r="N41" i="74" s="1"/>
  <c r="N86" i="74" s="1"/>
  <c r="P178" i="73"/>
  <c r="P238" i="73" s="1"/>
  <c r="W176" i="73"/>
  <c r="W236" i="73" s="1"/>
  <c r="K176" i="73"/>
  <c r="K236" i="73" s="1"/>
  <c r="R146" i="73"/>
  <c r="R276" i="73" s="1"/>
  <c r="R39" i="74" s="1"/>
  <c r="R84" i="74" s="1"/>
  <c r="R114" i="74" s="1"/>
  <c r="R146" i="74" s="1"/>
  <c r="U176" i="73"/>
  <c r="U236" i="73" s="1"/>
  <c r="U146" i="73"/>
  <c r="U206" i="73" s="1"/>
  <c r="M176" i="73"/>
  <c r="M236" i="73" s="1"/>
  <c r="AB176" i="73"/>
  <c r="AB236" i="73" s="1"/>
  <c r="AB146" i="73"/>
  <c r="AB206" i="73" s="1"/>
  <c r="Q178" i="73"/>
  <c r="Q238" i="73" s="1"/>
  <c r="W148" i="73"/>
  <c r="W278" i="73" s="1"/>
  <c r="W41" i="74" s="1"/>
  <c r="W86" i="74" s="1"/>
  <c r="S148" i="73"/>
  <c r="S208" i="73" s="1"/>
  <c r="O148" i="73"/>
  <c r="O208" i="73" s="1"/>
  <c r="X148" i="73"/>
  <c r="X278" i="73" s="1"/>
  <c r="X41" i="74" s="1"/>
  <c r="X86" i="74" s="1"/>
  <c r="V178" i="73"/>
  <c r="V238" i="73" s="1"/>
  <c r="Y178" i="73"/>
  <c r="Y238" i="73" s="1"/>
  <c r="L178" i="73"/>
  <c r="L238" i="73" s="1"/>
  <c r="K178" i="73"/>
  <c r="K238" i="73" s="1"/>
  <c r="Q179" i="73"/>
  <c r="Q239" i="73" s="1"/>
  <c r="J179" i="73"/>
  <c r="J239" i="73" s="1"/>
  <c r="M183" i="73"/>
  <c r="M243" i="73" s="1"/>
  <c r="K183" i="73"/>
  <c r="K243" i="73" s="1"/>
  <c r="W153" i="73"/>
  <c r="W213" i="73" s="1"/>
  <c r="L153" i="73"/>
  <c r="L283" i="73" s="1"/>
  <c r="L46" i="74" s="1"/>
  <c r="L91" i="74" s="1"/>
  <c r="R153" i="73"/>
  <c r="R213" i="73" s="1"/>
  <c r="T153" i="73"/>
  <c r="T213" i="73" s="1"/>
  <c r="Z153" i="73"/>
  <c r="Z213" i="73" s="1"/>
  <c r="X153" i="73"/>
  <c r="X213" i="73" s="1"/>
  <c r="N183" i="73"/>
  <c r="N243" i="73" s="1"/>
  <c r="T149" i="73"/>
  <c r="T209" i="73" s="1"/>
  <c r="R179" i="73"/>
  <c r="R239" i="73" s="1"/>
  <c r="Z149" i="73"/>
  <c r="Z279" i="73" s="1"/>
  <c r="Z42" i="74" s="1"/>
  <c r="Z87" i="74" s="1"/>
  <c r="S149" i="73"/>
  <c r="S279" i="73" s="1"/>
  <c r="S42" i="74" s="1"/>
  <c r="S87" i="74" s="1"/>
  <c r="V149" i="73"/>
  <c r="V279" i="73" s="1"/>
  <c r="V42" i="74" s="1"/>
  <c r="V87" i="74" s="1"/>
  <c r="R149" i="73"/>
  <c r="R279" i="73" s="1"/>
  <c r="R42" i="74" s="1"/>
  <c r="R87" i="74" s="1"/>
  <c r="R117" i="74" s="1"/>
  <c r="R149" i="74" s="1"/>
  <c r="Z179" i="73"/>
  <c r="Z239" i="73" s="1"/>
  <c r="X149" i="73"/>
  <c r="X209" i="73" s="1"/>
  <c r="Q149" i="73"/>
  <c r="Q209" i="73" s="1"/>
  <c r="AB179" i="73"/>
  <c r="AB239" i="73" s="1"/>
  <c r="W149" i="73"/>
  <c r="W279" i="73" s="1"/>
  <c r="W42" i="74" s="1"/>
  <c r="W87" i="74" s="1"/>
  <c r="P179" i="73"/>
  <c r="P239" i="73" s="1"/>
  <c r="V179" i="73"/>
  <c r="V239" i="73" s="1"/>
  <c r="T179" i="73"/>
  <c r="T239" i="73" s="1"/>
  <c r="M179" i="73"/>
  <c r="M239" i="73" s="1"/>
  <c r="M149" i="73"/>
  <c r="M279" i="73" s="1"/>
  <c r="M42" i="74" s="1"/>
  <c r="M87" i="74" s="1"/>
  <c r="O179" i="73"/>
  <c r="O239" i="73" s="1"/>
  <c r="O149" i="73"/>
  <c r="O209" i="73" s="1"/>
  <c r="N179" i="73"/>
  <c r="N239" i="73" s="1"/>
  <c r="L149" i="73"/>
  <c r="L279" i="73" s="1"/>
  <c r="L42" i="74" s="1"/>
  <c r="L87" i="74" s="1"/>
  <c r="Y179" i="73"/>
  <c r="Y239" i="73" s="1"/>
  <c r="X179" i="73"/>
  <c r="X239" i="73" s="1"/>
  <c r="Y149" i="73"/>
  <c r="Y279" i="73" s="1"/>
  <c r="Y42" i="74" s="1"/>
  <c r="Y87" i="74" s="1"/>
  <c r="AA179" i="73"/>
  <c r="AA239" i="73" s="1"/>
  <c r="AB149" i="73"/>
  <c r="AB209" i="73" s="1"/>
  <c r="N149" i="73"/>
  <c r="N279" i="73" s="1"/>
  <c r="N42" i="74" s="1"/>
  <c r="N87" i="74" s="1"/>
  <c r="L179" i="73"/>
  <c r="L239" i="73" s="1"/>
  <c r="U149" i="73"/>
  <c r="U209" i="73" s="1"/>
  <c r="P149" i="73"/>
  <c r="P209" i="73" s="1"/>
  <c r="U179" i="73"/>
  <c r="U239" i="73" s="1"/>
  <c r="J149" i="73"/>
  <c r="J209" i="73" s="1"/>
  <c r="W179" i="73"/>
  <c r="W239" i="73" s="1"/>
  <c r="K149" i="73"/>
  <c r="K209" i="73" s="1"/>
  <c r="K179" i="73"/>
  <c r="K239" i="73" s="1"/>
  <c r="AA149" i="73"/>
  <c r="AA209" i="73" s="1"/>
  <c r="J152" i="73"/>
  <c r="J282" i="73" s="1"/>
  <c r="J45" i="74" s="1"/>
  <c r="J90" i="74" s="1"/>
  <c r="R182" i="73"/>
  <c r="R242" i="73" s="1"/>
  <c r="O182" i="73"/>
  <c r="O242" i="73" s="1"/>
  <c r="L152" i="73"/>
  <c r="L282" i="73" s="1"/>
  <c r="L45" i="74" s="1"/>
  <c r="L90" i="74" s="1"/>
  <c r="J182" i="73"/>
  <c r="J242" i="73" s="1"/>
  <c r="W152" i="73"/>
  <c r="W212" i="73" s="1"/>
  <c r="Y152" i="73"/>
  <c r="Y212" i="73" s="1"/>
  <c r="L182" i="73"/>
  <c r="L242" i="73" s="1"/>
  <c r="M182" i="73"/>
  <c r="M242" i="73" s="1"/>
  <c r="K152" i="73"/>
  <c r="K282" i="73" s="1"/>
  <c r="K45" i="74" s="1"/>
  <c r="K90" i="74" s="1"/>
  <c r="S152" i="73"/>
  <c r="S212" i="73" s="1"/>
  <c r="M152" i="73"/>
  <c r="M282" i="73" s="1"/>
  <c r="M45" i="74" s="1"/>
  <c r="M90" i="74" s="1"/>
  <c r="T152" i="73"/>
  <c r="T212" i="73" s="1"/>
  <c r="R152" i="73"/>
  <c r="R282" i="73" s="1"/>
  <c r="R45" i="74" s="1"/>
  <c r="R90" i="74" s="1"/>
  <c r="R120" i="74" s="1"/>
  <c r="R152" i="74" s="1"/>
  <c r="Y182" i="73"/>
  <c r="Y242" i="73" s="1"/>
  <c r="P182" i="73"/>
  <c r="P242" i="73" s="1"/>
  <c r="U182" i="73"/>
  <c r="U242" i="73" s="1"/>
  <c r="N182" i="73"/>
  <c r="N242" i="73" s="1"/>
  <c r="N152" i="73"/>
  <c r="N212" i="73" s="1"/>
  <c r="Z152" i="73"/>
  <c r="Z212" i="73" s="1"/>
  <c r="P152" i="73"/>
  <c r="P282" i="73" s="1"/>
  <c r="P45" i="74" s="1"/>
  <c r="P90" i="74" s="1"/>
  <c r="P120" i="74" s="1"/>
  <c r="P152" i="74" s="1"/>
  <c r="X182" i="73"/>
  <c r="X242" i="73" s="1"/>
  <c r="K182" i="73"/>
  <c r="K242" i="73" s="1"/>
  <c r="Q182" i="73"/>
  <c r="Q242" i="73" s="1"/>
  <c r="Q152" i="73"/>
  <c r="Q212" i="73" s="1"/>
  <c r="V182" i="73"/>
  <c r="V242" i="73" s="1"/>
  <c r="W182" i="73"/>
  <c r="W242" i="73" s="1"/>
  <c r="S182" i="73"/>
  <c r="S242" i="73" s="1"/>
  <c r="V152" i="73"/>
  <c r="V212" i="73" s="1"/>
  <c r="U152" i="73"/>
  <c r="U282" i="73" s="1"/>
  <c r="U45" i="74" s="1"/>
  <c r="U90" i="74" s="1"/>
  <c r="X152" i="73"/>
  <c r="X282" i="73" s="1"/>
  <c r="X45" i="74" s="1"/>
  <c r="X90" i="74" s="1"/>
  <c r="AA152" i="73"/>
  <c r="AA212" i="73" s="1"/>
  <c r="O152" i="73"/>
  <c r="O212" i="73" s="1"/>
  <c r="AA182" i="73"/>
  <c r="AA242" i="73" s="1"/>
  <c r="AB152" i="73"/>
  <c r="AB212" i="73" s="1"/>
  <c r="AB182" i="73"/>
  <c r="AB242" i="73" s="1"/>
  <c r="Z182" i="73"/>
  <c r="Z242" i="73" s="1"/>
  <c r="AH180" i="72"/>
  <c r="AH215" i="72" s="1"/>
  <c r="AH245" i="72" s="1"/>
  <c r="S202" i="83"/>
  <c r="AF144" i="83"/>
  <c r="AO173" i="83"/>
  <c r="AO45" i="71" s="1"/>
  <c r="AO150" i="71" s="1"/>
  <c r="S231" i="83"/>
  <c r="AL207" i="72"/>
  <c r="AL237" i="72" s="1"/>
  <c r="Y147" i="73"/>
  <c r="Y277" i="73" s="1"/>
  <c r="Y40" i="74" s="1"/>
  <c r="Y85" i="74" s="1"/>
  <c r="V173" i="83"/>
  <c r="V45" i="71" s="1"/>
  <c r="V150" i="71" s="1"/>
  <c r="AH144" i="83"/>
  <c r="AA202" i="83"/>
  <c r="AK144" i="83"/>
  <c r="AM231" i="83"/>
  <c r="AB202" i="83"/>
  <c r="AB75" i="71" s="1"/>
  <c r="AB180" i="71" s="1"/>
  <c r="X173" i="83"/>
  <c r="X45" i="71" s="1"/>
  <c r="X150" i="71" s="1"/>
  <c r="S144" i="83"/>
  <c r="S146" i="72" s="1"/>
  <c r="S216" i="72" s="1"/>
  <c r="S246" i="72" s="1"/>
  <c r="Z231" i="83"/>
  <c r="Z105" i="71" s="1"/>
  <c r="Z210" i="71" s="1"/>
  <c r="AF231" i="83"/>
  <c r="AG202" i="83"/>
  <c r="AG75" i="71" s="1"/>
  <c r="AG180" i="71" s="1"/>
  <c r="U173" i="83"/>
  <c r="U45" i="71" s="1"/>
  <c r="U150" i="71" s="1"/>
  <c r="AH231" i="83"/>
  <c r="AH105" i="71" s="1"/>
  <c r="AH210" i="71" s="1"/>
  <c r="Q231" i="83"/>
  <c r="Q105" i="71" s="1"/>
  <c r="Q210" i="71" s="1"/>
  <c r="W202" i="83"/>
  <c r="W75" i="71" s="1"/>
  <c r="W180" i="71" s="1"/>
  <c r="AM202" i="83"/>
  <c r="AM75" i="71" s="1"/>
  <c r="AM180" i="71" s="1"/>
  <c r="AN202" i="83"/>
  <c r="S173" i="83"/>
  <c r="AJ173" i="83"/>
  <c r="AB144" i="83"/>
  <c r="AB146" i="72" s="1"/>
  <c r="AB216" i="72" s="1"/>
  <c r="AB246" i="72" s="1"/>
  <c r="AE144" i="83"/>
  <c r="AK231" i="83"/>
  <c r="AK105" i="71" s="1"/>
  <c r="AK210" i="71" s="1"/>
  <c r="AI202" i="83"/>
  <c r="T231" i="83"/>
  <c r="Z202" i="83"/>
  <c r="Z75" i="71" s="1"/>
  <c r="Z180" i="71" s="1"/>
  <c r="U202" i="83"/>
  <c r="U75" i="71" s="1"/>
  <c r="U180" i="71" s="1"/>
  <c r="AM173" i="83"/>
  <c r="AO144" i="83"/>
  <c r="V144" i="83"/>
  <c r="V146" i="72" s="1"/>
  <c r="V216" i="72" s="1"/>
  <c r="V246" i="72" s="1"/>
  <c r="P202" i="83"/>
  <c r="P75" i="71" s="1"/>
  <c r="P180" i="71" s="1"/>
  <c r="N231" i="83"/>
  <c r="Y231" i="83"/>
  <c r="W231" i="83"/>
  <c r="W105" i="71" s="1"/>
  <c r="W210" i="71" s="1"/>
  <c r="AD202" i="83"/>
  <c r="AD75" i="71" s="1"/>
  <c r="AD180" i="71" s="1"/>
  <c r="AJ231" i="83"/>
  <c r="M144" i="83"/>
  <c r="M146" i="72" s="1"/>
  <c r="M216" i="72" s="1"/>
  <c r="M246" i="72" s="1"/>
  <c r="J173" i="83"/>
  <c r="N173" i="83"/>
  <c r="AK202" i="83"/>
  <c r="AK75" i="71" s="1"/>
  <c r="AK180" i="71" s="1"/>
  <c r="W173" i="83"/>
  <c r="W45" i="71" s="1"/>
  <c r="W150" i="71" s="1"/>
  <c r="AN144" i="83"/>
  <c r="AN173" i="83"/>
  <c r="AN45" i="71" s="1"/>
  <c r="AN150" i="71" s="1"/>
  <c r="Y173" i="83"/>
  <c r="Y45" i="71" s="1"/>
  <c r="Y150" i="71" s="1"/>
  <c r="AJ144" i="83"/>
  <c r="AL144" i="83"/>
  <c r="Z181" i="73"/>
  <c r="Z241" i="73" s="1"/>
  <c r="S151" i="73"/>
  <c r="S281" i="73" s="1"/>
  <c r="S44" i="74" s="1"/>
  <c r="S89" i="74" s="1"/>
  <c r="AA144" i="83"/>
  <c r="AA146" i="72" s="1"/>
  <c r="AA216" i="72" s="1"/>
  <c r="AA246" i="72" s="1"/>
  <c r="K144" i="83"/>
  <c r="K146" i="72" s="1"/>
  <c r="K216" i="72" s="1"/>
  <c r="K246" i="72" s="1"/>
  <c r="AD144" i="83"/>
  <c r="N144" i="83"/>
  <c r="N146" i="72" s="1"/>
  <c r="N216" i="72" s="1"/>
  <c r="N246" i="72" s="1"/>
  <c r="T144" i="83"/>
  <c r="T146" i="72" s="1"/>
  <c r="T216" i="72" s="1"/>
  <c r="T246" i="72" s="1"/>
  <c r="AG173" i="83"/>
  <c r="AG45" i="71" s="1"/>
  <c r="AG150" i="71" s="1"/>
  <c r="Q173" i="83"/>
  <c r="Q45" i="71" s="1"/>
  <c r="Q150" i="71" s="1"/>
  <c r="Y144" i="83"/>
  <c r="Y146" i="72" s="1"/>
  <c r="Y216" i="72" s="1"/>
  <c r="Y246" i="72" s="1"/>
  <c r="AF173" i="83"/>
  <c r="AF45" i="71" s="1"/>
  <c r="AF150" i="71" s="1"/>
  <c r="P173" i="83"/>
  <c r="P45" i="71" s="1"/>
  <c r="P150" i="71" s="1"/>
  <c r="X144" i="83"/>
  <c r="X146" i="72" s="1"/>
  <c r="X216" i="72" s="1"/>
  <c r="X246" i="72" s="1"/>
  <c r="AE173" i="83"/>
  <c r="AE45" i="71" s="1"/>
  <c r="AE150" i="71" s="1"/>
  <c r="O173" i="83"/>
  <c r="R173" i="83"/>
  <c r="R45" i="71" s="1"/>
  <c r="R150" i="71" s="1"/>
  <c r="AC202" i="83"/>
  <c r="AC75" i="71" s="1"/>
  <c r="AC180" i="71" s="1"/>
  <c r="AC144" i="83"/>
  <c r="AJ202" i="83"/>
  <c r="AJ75" i="71" s="1"/>
  <c r="AJ180" i="71" s="1"/>
  <c r="AP173" i="83"/>
  <c r="AP45" i="71" s="1"/>
  <c r="AP150" i="71" s="1"/>
  <c r="AP202" i="83"/>
  <c r="AP75" i="71" s="1"/>
  <c r="AP180" i="71" s="1"/>
  <c r="O202" i="83"/>
  <c r="AE202" i="83"/>
  <c r="AE75" i="71" s="1"/>
  <c r="AE180" i="71" s="1"/>
  <c r="J202" i="83"/>
  <c r="AB231" i="83"/>
  <c r="AB105" i="71" s="1"/>
  <c r="AB210" i="71" s="1"/>
  <c r="L231" i="83"/>
  <c r="R202" i="83"/>
  <c r="R75" i="71" s="1"/>
  <c r="R180" i="71" s="1"/>
  <c r="AE231" i="83"/>
  <c r="AE105" i="71" s="1"/>
  <c r="AE210" i="71" s="1"/>
  <c r="O231" i="83"/>
  <c r="AO231" i="83"/>
  <c r="AO105" i="71" s="1"/>
  <c r="AO210" i="71" s="1"/>
  <c r="AP231" i="83"/>
  <c r="AP105" i="71" s="1"/>
  <c r="AP210" i="71" s="1"/>
  <c r="AD231" i="83"/>
  <c r="R231" i="83"/>
  <c r="U231" i="83"/>
  <c r="U105" i="71" s="1"/>
  <c r="U210" i="71" s="1"/>
  <c r="J231" i="83"/>
  <c r="AG231" i="83"/>
  <c r="AG105" i="71" s="1"/>
  <c r="AG210" i="71" s="1"/>
  <c r="AL173" i="83"/>
  <c r="AL45" i="71" s="1"/>
  <c r="AL150" i="71" s="1"/>
  <c r="V231" i="83"/>
  <c r="V105" i="71" s="1"/>
  <c r="V210" i="71" s="1"/>
  <c r="V202" i="83"/>
  <c r="V75" i="71" s="1"/>
  <c r="V180" i="71" s="1"/>
  <c r="M231" i="83"/>
  <c r="AM144" i="83"/>
  <c r="W144" i="83"/>
  <c r="W146" i="72" s="1"/>
  <c r="W216" i="72" s="1"/>
  <c r="W246" i="72" s="1"/>
  <c r="AP144" i="83"/>
  <c r="Z144" i="83"/>
  <c r="Z146" i="72" s="1"/>
  <c r="Z216" i="72" s="1"/>
  <c r="Z246" i="72" s="1"/>
  <c r="J144" i="83"/>
  <c r="J146" i="72" s="1"/>
  <c r="J216" i="72" s="1"/>
  <c r="J246" i="72" s="1"/>
  <c r="L144" i="83"/>
  <c r="L146" i="72" s="1"/>
  <c r="L216" i="72" s="1"/>
  <c r="L246" i="72" s="1"/>
  <c r="AC173" i="83"/>
  <c r="AC45" i="71" s="1"/>
  <c r="AC150" i="71" s="1"/>
  <c r="M173" i="83"/>
  <c r="Q144" i="83"/>
  <c r="Q146" i="72" s="1"/>
  <c r="Q216" i="72" s="1"/>
  <c r="Q246" i="72" s="1"/>
  <c r="AB173" i="83"/>
  <c r="AB45" i="71" s="1"/>
  <c r="AB150" i="71" s="1"/>
  <c r="L173" i="83"/>
  <c r="P144" i="83"/>
  <c r="P146" i="72" s="1"/>
  <c r="P216" i="72" s="1"/>
  <c r="P246" i="72" s="1"/>
  <c r="AA173" i="83"/>
  <c r="AA45" i="71" s="1"/>
  <c r="AA150" i="71" s="1"/>
  <c r="K173" i="83"/>
  <c r="AO202" i="83"/>
  <c r="AO75" i="71" s="1"/>
  <c r="AO180" i="71" s="1"/>
  <c r="Y202" i="83"/>
  <c r="Y75" i="71" s="1"/>
  <c r="Y180" i="71" s="1"/>
  <c r="AD173" i="83"/>
  <c r="AF202" i="83"/>
  <c r="AF75" i="71" s="1"/>
  <c r="AF180" i="71" s="1"/>
  <c r="Z173" i="83"/>
  <c r="Z45" i="71" s="1"/>
  <c r="Z150" i="71" s="1"/>
  <c r="AH202" i="83"/>
  <c r="K202" i="83"/>
  <c r="X202" i="83"/>
  <c r="X75" i="71" s="1"/>
  <c r="X180" i="71" s="1"/>
  <c r="AN231" i="83"/>
  <c r="X231" i="83"/>
  <c r="AL202" i="83"/>
  <c r="AL75" i="71" s="1"/>
  <c r="AL180" i="71" s="1"/>
  <c r="M202" i="83"/>
  <c r="AA231" i="83"/>
  <c r="AA105" i="71" s="1"/>
  <c r="AA210" i="71" s="1"/>
  <c r="K231" i="83"/>
  <c r="Y181" i="73"/>
  <c r="Y241" i="73" s="1"/>
  <c r="AC231" i="83"/>
  <c r="AC105" i="71" s="1"/>
  <c r="AC210" i="71" s="1"/>
  <c r="AL231" i="83"/>
  <c r="AL105" i="71" s="1"/>
  <c r="AL210" i="71" s="1"/>
  <c r="L202" i="83"/>
  <c r="AI231" i="83"/>
  <c r="AI105" i="71" s="1"/>
  <c r="AI210" i="71" s="1"/>
  <c r="P231" i="83"/>
  <c r="N202" i="83"/>
  <c r="T202" i="83"/>
  <c r="U144" i="83"/>
  <c r="U146" i="72" s="1"/>
  <c r="U216" i="72" s="1"/>
  <c r="U246" i="72" s="1"/>
  <c r="Q202" i="83"/>
  <c r="Q75" i="71" s="1"/>
  <c r="Q180" i="71" s="1"/>
  <c r="AH173" i="83"/>
  <c r="AH45" i="71" s="1"/>
  <c r="AH150" i="71" s="1"/>
  <c r="AI173" i="83"/>
  <c r="AI45" i="71" s="1"/>
  <c r="AI150" i="71" s="1"/>
  <c r="T173" i="83"/>
  <c r="AG144" i="83"/>
  <c r="AK173" i="83"/>
  <c r="AK45" i="71" s="1"/>
  <c r="AK150" i="71" s="1"/>
  <c r="R144" i="83"/>
  <c r="R146" i="72" s="1"/>
  <c r="R216" i="72" s="1"/>
  <c r="R246" i="72" s="1"/>
  <c r="O144" i="83"/>
  <c r="O146" i="72" s="1"/>
  <c r="O216" i="72" s="1"/>
  <c r="O246" i="72" s="1"/>
  <c r="AO180" i="72"/>
  <c r="AO215" i="72" s="1"/>
  <c r="AO245" i="72" s="1"/>
  <c r="AI180" i="72"/>
  <c r="AI215" i="72" s="1"/>
  <c r="AI245" i="72" s="1"/>
  <c r="AD180" i="72"/>
  <c r="AD215" i="72" s="1"/>
  <c r="AD245" i="72" s="1"/>
  <c r="AN180" i="72"/>
  <c r="AN215" i="72" s="1"/>
  <c r="AN245" i="72" s="1"/>
  <c r="AM180" i="72"/>
  <c r="AM215" i="72" s="1"/>
  <c r="AM245" i="72" s="1"/>
  <c r="V184" i="73"/>
  <c r="V244" i="73" s="1"/>
  <c r="V150" i="73"/>
  <c r="V280" i="73" s="1"/>
  <c r="V43" i="74" s="1"/>
  <c r="V88" i="74" s="1"/>
  <c r="T151" i="73"/>
  <c r="T211" i="73" s="1"/>
  <c r="U151" i="73"/>
  <c r="U281" i="73" s="1"/>
  <c r="U44" i="74" s="1"/>
  <c r="U89" i="74" s="1"/>
  <c r="AM172" i="72"/>
  <c r="AH172" i="72"/>
  <c r="M151" i="73"/>
  <c r="M211" i="73" s="1"/>
  <c r="R180" i="73"/>
  <c r="R240" i="73" s="1"/>
  <c r="AF174" i="72"/>
  <c r="AF209" i="72" s="1"/>
  <c r="AF239" i="72" s="1"/>
  <c r="AE179" i="72"/>
  <c r="AE214" i="72" s="1"/>
  <c r="AE244" i="72" s="1"/>
  <c r="Y150" i="73"/>
  <c r="Y210" i="73" s="1"/>
  <c r="AO174" i="72"/>
  <c r="AO209" i="72" s="1"/>
  <c r="AO239" i="72" s="1"/>
  <c r="AD173" i="72"/>
  <c r="AD208" i="72" s="1"/>
  <c r="AD238" i="72" s="1"/>
  <c r="AB180" i="73"/>
  <c r="AB240" i="73" s="1"/>
  <c r="AD174" i="72"/>
  <c r="AD209" i="72" s="1"/>
  <c r="AD239" i="72" s="1"/>
  <c r="AF173" i="72"/>
  <c r="AF208" i="72" s="1"/>
  <c r="AF238" i="72" s="1"/>
  <c r="S226" i="83"/>
  <c r="Y180" i="73"/>
  <c r="Y240" i="73" s="1"/>
  <c r="N150" i="73"/>
  <c r="N280" i="73" s="1"/>
  <c r="N43" i="74" s="1"/>
  <c r="N88" i="74" s="1"/>
  <c r="AI174" i="72"/>
  <c r="AI209" i="72" s="1"/>
  <c r="AI239" i="72" s="1"/>
  <c r="AL180" i="72"/>
  <c r="AL215" i="72" s="1"/>
  <c r="AL245" i="72" s="1"/>
  <c r="AJ180" i="72"/>
  <c r="AJ215" i="72" s="1"/>
  <c r="AJ245" i="72" s="1"/>
  <c r="AE180" i="72"/>
  <c r="AE215" i="72" s="1"/>
  <c r="AE245" i="72" s="1"/>
  <c r="AC197" i="83"/>
  <c r="W150" i="73"/>
  <c r="W210" i="73" s="1"/>
  <c r="J150" i="73"/>
  <c r="J210" i="73" s="1"/>
  <c r="AG181" i="72"/>
  <c r="AG216" i="72" s="1"/>
  <c r="AG246" i="72" s="1"/>
  <c r="AD179" i="72"/>
  <c r="AD214" i="72" s="1"/>
  <c r="AD244" i="72" s="1"/>
  <c r="U150" i="73"/>
  <c r="U210" i="73" s="1"/>
  <c r="T180" i="73"/>
  <c r="T240" i="73" s="1"/>
  <c r="AN181" i="72"/>
  <c r="AN216" i="72" s="1"/>
  <c r="AN246" i="72" s="1"/>
  <c r="AJ173" i="72"/>
  <c r="AJ208" i="72" s="1"/>
  <c r="AJ238" i="72" s="1"/>
  <c r="AK179" i="72"/>
  <c r="AK214" i="72" s="1"/>
  <c r="AK244" i="72" s="1"/>
  <c r="T150" i="73"/>
  <c r="T280" i="73" s="1"/>
  <c r="T43" i="74" s="1"/>
  <c r="T88" i="74" s="1"/>
  <c r="M150" i="73"/>
  <c r="M280" i="73" s="1"/>
  <c r="M43" i="74" s="1"/>
  <c r="M88" i="74" s="1"/>
  <c r="Z180" i="73"/>
  <c r="Z240" i="73" s="1"/>
  <c r="AA180" i="73"/>
  <c r="AA240" i="73" s="1"/>
  <c r="AM181" i="72"/>
  <c r="AM216" i="72" s="1"/>
  <c r="AM246" i="72" s="1"/>
  <c r="AE174" i="72"/>
  <c r="AE209" i="72" s="1"/>
  <c r="AE239" i="72" s="1"/>
  <c r="AF180" i="72"/>
  <c r="AF215" i="72" s="1"/>
  <c r="AF245" i="72" s="1"/>
  <c r="AK180" i="72"/>
  <c r="AK215" i="72" s="1"/>
  <c r="AK245" i="72" s="1"/>
  <c r="AP180" i="72"/>
  <c r="AP215" i="72" s="1"/>
  <c r="AP245" i="72" s="1"/>
  <c r="X184" i="73"/>
  <c r="X244" i="73" s="1"/>
  <c r="AB168" i="83"/>
  <c r="AB40" i="71" s="1"/>
  <c r="AB145" i="71" s="1"/>
  <c r="AO178" i="72"/>
  <c r="AO213" i="72" s="1"/>
  <c r="AO243" i="72" s="1"/>
  <c r="Z177" i="73"/>
  <c r="Z237" i="73" s="1"/>
  <c r="AL179" i="72"/>
  <c r="AL214" i="72" s="1"/>
  <c r="AL244" i="72" s="1"/>
  <c r="AJ179" i="72"/>
  <c r="AJ214" i="72" s="1"/>
  <c r="AJ244" i="72" s="1"/>
  <c r="AB147" i="73"/>
  <c r="AB277" i="73" s="1"/>
  <c r="AB40" i="74" s="1"/>
  <c r="AB85" i="74" s="1"/>
  <c r="N180" i="73"/>
  <c r="N240" i="73" s="1"/>
  <c r="U180" i="73"/>
  <c r="U240" i="73" s="1"/>
  <c r="P150" i="73"/>
  <c r="P280" i="73" s="1"/>
  <c r="P43" i="74" s="1"/>
  <c r="P88" i="74" s="1"/>
  <c r="P118" i="74" s="1"/>
  <c r="P150" i="74" s="1"/>
  <c r="K180" i="73"/>
  <c r="K240" i="73" s="1"/>
  <c r="V180" i="73"/>
  <c r="V240" i="73" s="1"/>
  <c r="AJ181" i="72"/>
  <c r="AJ216" i="72" s="1"/>
  <c r="AJ246" i="72" s="1"/>
  <c r="AM174" i="72"/>
  <c r="AM209" i="72" s="1"/>
  <c r="AM239" i="72" s="1"/>
  <c r="AC174" i="72"/>
  <c r="AC209" i="72" s="1"/>
  <c r="AC239" i="72" s="1"/>
  <c r="AH173" i="72"/>
  <c r="AH208" i="72" s="1"/>
  <c r="AH238" i="72" s="1"/>
  <c r="AC173" i="72"/>
  <c r="AC208" i="72" s="1"/>
  <c r="AC238" i="72" s="1"/>
  <c r="AO226" i="83"/>
  <c r="AO100" i="71" s="1"/>
  <c r="AO205" i="71" s="1"/>
  <c r="X177" i="73"/>
  <c r="X237" i="73" s="1"/>
  <c r="AL173" i="72"/>
  <c r="AL208" i="72" s="1"/>
  <c r="AL238" i="72" s="1"/>
  <c r="AO173" i="72"/>
  <c r="AO208" i="72" s="1"/>
  <c r="AO238" i="72" s="1"/>
  <c r="AH177" i="72"/>
  <c r="AH212" i="72" s="1"/>
  <c r="AH242" i="72" s="1"/>
  <c r="AM197" i="83"/>
  <c r="AM70" i="71" s="1"/>
  <c r="AM175" i="71" s="1"/>
  <c r="J229" i="83"/>
  <c r="Q147" i="73"/>
  <c r="Q207" i="73" s="1"/>
  <c r="X147" i="73"/>
  <c r="X277" i="73" s="1"/>
  <c r="X40" i="74" s="1"/>
  <c r="X85" i="74" s="1"/>
  <c r="N147" i="73"/>
  <c r="N277" i="73" s="1"/>
  <c r="N40" i="74" s="1"/>
  <c r="N85" i="74" s="1"/>
  <c r="AG178" i="72"/>
  <c r="AG213" i="72" s="1"/>
  <c r="AG243" i="72" s="1"/>
  <c r="AK177" i="72"/>
  <c r="AK212" i="72" s="1"/>
  <c r="AK242" i="72" s="1"/>
  <c r="K225" i="83"/>
  <c r="L147" i="73"/>
  <c r="L207" i="73" s="1"/>
  <c r="J177" i="73"/>
  <c r="J237" i="73" s="1"/>
  <c r="T177" i="73"/>
  <c r="T237" i="73" s="1"/>
  <c r="AP178" i="72"/>
  <c r="AP213" i="72" s="1"/>
  <c r="AP243" i="72" s="1"/>
  <c r="AN178" i="72"/>
  <c r="AN213" i="72" s="1"/>
  <c r="AN243" i="72" s="1"/>
  <c r="K147" i="73"/>
  <c r="K207" i="73" s="1"/>
  <c r="Q177" i="73"/>
  <c r="Q237" i="73" s="1"/>
  <c r="AA177" i="73"/>
  <c r="AA237" i="73" s="1"/>
  <c r="Y177" i="73"/>
  <c r="Y237" i="73" s="1"/>
  <c r="T147" i="73"/>
  <c r="T277" i="73" s="1"/>
  <c r="T40" i="74" s="1"/>
  <c r="T85" i="74" s="1"/>
  <c r="AC178" i="72"/>
  <c r="AC213" i="72" s="1"/>
  <c r="AC243" i="72" s="1"/>
  <c r="AD178" i="72"/>
  <c r="AD213" i="72" s="1"/>
  <c r="AD243" i="72" s="1"/>
  <c r="AG177" i="72"/>
  <c r="AG212" i="72" s="1"/>
  <c r="AG242" i="72" s="1"/>
  <c r="AM177" i="72"/>
  <c r="AM212" i="72" s="1"/>
  <c r="AM242" i="72" s="1"/>
  <c r="U171" i="83"/>
  <c r="U43" i="71" s="1"/>
  <c r="U148" i="71" s="1"/>
  <c r="AH179" i="72"/>
  <c r="AH214" i="72" s="1"/>
  <c r="AH244" i="72" s="1"/>
  <c r="P177" i="73"/>
  <c r="P237" i="73" s="1"/>
  <c r="U147" i="73"/>
  <c r="U207" i="73" s="1"/>
  <c r="Z147" i="73"/>
  <c r="Z207" i="73" s="1"/>
  <c r="U177" i="73"/>
  <c r="U237" i="73" s="1"/>
  <c r="W147" i="73"/>
  <c r="W207" i="73" s="1"/>
  <c r="M177" i="73"/>
  <c r="M237" i="73" s="1"/>
  <c r="J147" i="73"/>
  <c r="J277" i="73" s="1"/>
  <c r="J40" i="74" s="1"/>
  <c r="J85" i="74" s="1"/>
  <c r="R177" i="73"/>
  <c r="R237" i="73" s="1"/>
  <c r="K177" i="73"/>
  <c r="K237" i="73" s="1"/>
  <c r="P180" i="73"/>
  <c r="P240" i="73" s="1"/>
  <c r="S150" i="73"/>
  <c r="S210" i="73" s="1"/>
  <c r="S180" i="73"/>
  <c r="S240" i="73" s="1"/>
  <c r="L150" i="73"/>
  <c r="L280" i="73" s="1"/>
  <c r="L43" i="74" s="1"/>
  <c r="L88" i="74" s="1"/>
  <c r="AB150" i="73"/>
  <c r="AB280" i="73" s="1"/>
  <c r="AB43" i="74" s="1"/>
  <c r="AB88" i="74" s="1"/>
  <c r="W180" i="73"/>
  <c r="W240" i="73" s="1"/>
  <c r="O150" i="73"/>
  <c r="O280" i="73" s="1"/>
  <c r="O43" i="74" s="1"/>
  <c r="O88" i="74" s="1"/>
  <c r="M180" i="73"/>
  <c r="M240" i="73" s="1"/>
  <c r="L180" i="73"/>
  <c r="L240" i="73" s="1"/>
  <c r="X150" i="73"/>
  <c r="X210" i="73" s="1"/>
  <c r="AD181" i="72"/>
  <c r="AD216" i="72" s="1"/>
  <c r="AD246" i="72" s="1"/>
  <c r="AH181" i="72"/>
  <c r="AH216" i="72" s="1"/>
  <c r="AH246" i="72" s="1"/>
  <c r="AN174" i="72"/>
  <c r="AN209" i="72" s="1"/>
  <c r="AN239" i="72" s="1"/>
  <c r="AJ174" i="72"/>
  <c r="AJ209" i="72" s="1"/>
  <c r="AJ239" i="72" s="1"/>
  <c r="AH174" i="72"/>
  <c r="AH209" i="72" s="1"/>
  <c r="AH239" i="72" s="1"/>
  <c r="AK174" i="72"/>
  <c r="AK209" i="72" s="1"/>
  <c r="AK239" i="72" s="1"/>
  <c r="AI178" i="72"/>
  <c r="AI213" i="72" s="1"/>
  <c r="AI243" i="72" s="1"/>
  <c r="AJ178" i="72"/>
  <c r="AJ213" i="72" s="1"/>
  <c r="AJ243" i="72" s="1"/>
  <c r="AE178" i="72"/>
  <c r="AE213" i="72" s="1"/>
  <c r="AE243" i="72" s="1"/>
  <c r="AN173" i="72"/>
  <c r="AN208" i="72" s="1"/>
  <c r="AN238" i="72" s="1"/>
  <c r="AI173" i="72"/>
  <c r="AI208" i="72" s="1"/>
  <c r="AI238" i="72" s="1"/>
  <c r="AP173" i="72"/>
  <c r="AP208" i="72" s="1"/>
  <c r="AP238" i="72" s="1"/>
  <c r="AM173" i="72"/>
  <c r="AM208" i="72" s="1"/>
  <c r="AM238" i="72" s="1"/>
  <c r="AJ177" i="72"/>
  <c r="AJ212" i="72" s="1"/>
  <c r="AJ242" i="72" s="1"/>
  <c r="AO177" i="72"/>
  <c r="AO212" i="72" s="1"/>
  <c r="AO242" i="72" s="1"/>
  <c r="AI177" i="72"/>
  <c r="AI212" i="72" s="1"/>
  <c r="AI242" i="72" s="1"/>
  <c r="AP177" i="72"/>
  <c r="AP212" i="72" s="1"/>
  <c r="AP242" i="72" s="1"/>
  <c r="AK37" i="71"/>
  <c r="AK142" i="71" s="1"/>
  <c r="Z37" i="71"/>
  <c r="Z142" i="71" s="1"/>
  <c r="Z67" i="71"/>
  <c r="Z172" i="71" s="1"/>
  <c r="AP37" i="71"/>
  <c r="AP142" i="71" s="1"/>
  <c r="AN226" i="83"/>
  <c r="V168" i="83"/>
  <c r="V40" i="71" s="1"/>
  <c r="V145" i="71" s="1"/>
  <c r="S139" i="83"/>
  <c r="S141" i="72" s="1"/>
  <c r="S211" i="72" s="1"/>
  <c r="S241" i="72" s="1"/>
  <c r="Q142" i="83"/>
  <c r="Q144" i="72" s="1"/>
  <c r="Q214" i="72" s="1"/>
  <c r="Q244" i="72" s="1"/>
  <c r="AB177" i="73"/>
  <c r="AB237" i="73" s="1"/>
  <c r="O177" i="73"/>
  <c r="O237" i="73" s="1"/>
  <c r="R147" i="73"/>
  <c r="R277" i="73" s="1"/>
  <c r="R40" i="74" s="1"/>
  <c r="R85" i="74" s="1"/>
  <c r="R115" i="74" s="1"/>
  <c r="R147" i="74" s="1"/>
  <c r="M147" i="73"/>
  <c r="M277" i="73" s="1"/>
  <c r="M40" i="74" s="1"/>
  <c r="M85" i="74" s="1"/>
  <c r="AM178" i="72"/>
  <c r="AM213" i="72" s="1"/>
  <c r="AM243" i="72" s="1"/>
  <c r="AF177" i="72"/>
  <c r="AF212" i="72" s="1"/>
  <c r="AF242" i="72" s="1"/>
  <c r="K138" i="72"/>
  <c r="K208" i="72" s="1"/>
  <c r="K238" i="72" s="1"/>
  <c r="M196" i="83"/>
  <c r="AF179" i="72"/>
  <c r="AF214" i="72" s="1"/>
  <c r="AF244" i="72" s="1"/>
  <c r="AO179" i="72"/>
  <c r="AO214" i="72" s="1"/>
  <c r="AO244" i="72" s="1"/>
  <c r="AN179" i="72"/>
  <c r="AN214" i="72" s="1"/>
  <c r="AN244" i="72" s="1"/>
  <c r="AI179" i="72"/>
  <c r="AI214" i="72" s="1"/>
  <c r="AI244" i="72" s="1"/>
  <c r="S147" i="73"/>
  <c r="S207" i="73" s="1"/>
  <c r="V147" i="73"/>
  <c r="V277" i="73" s="1"/>
  <c r="V40" i="74" s="1"/>
  <c r="V85" i="74" s="1"/>
  <c r="S177" i="73"/>
  <c r="S237" i="73" s="1"/>
  <c r="AA147" i="73"/>
  <c r="AA277" i="73" s="1"/>
  <c r="AA40" i="74" s="1"/>
  <c r="AA85" i="74" s="1"/>
  <c r="N177" i="73"/>
  <c r="N237" i="73" s="1"/>
  <c r="V177" i="73"/>
  <c r="V237" i="73" s="1"/>
  <c r="P147" i="73"/>
  <c r="P277" i="73" s="1"/>
  <c r="P40" i="74" s="1"/>
  <c r="P85" i="74" s="1"/>
  <c r="P115" i="74" s="1"/>
  <c r="P147" i="74" s="1"/>
  <c r="W177" i="73"/>
  <c r="W237" i="73" s="1"/>
  <c r="O147" i="73"/>
  <c r="O207" i="73" s="1"/>
  <c r="K150" i="73"/>
  <c r="K280" i="73" s="1"/>
  <c r="K43" i="74" s="1"/>
  <c r="K88" i="74" s="1"/>
  <c r="Q180" i="73"/>
  <c r="Q240" i="73" s="1"/>
  <c r="Q150" i="73"/>
  <c r="Q210" i="73" s="1"/>
  <c r="R150" i="73"/>
  <c r="R280" i="73" s="1"/>
  <c r="R43" i="74" s="1"/>
  <c r="R88" i="74" s="1"/>
  <c r="R118" i="74" s="1"/>
  <c r="R150" i="74" s="1"/>
  <c r="O180" i="73"/>
  <c r="O240" i="73" s="1"/>
  <c r="X180" i="73"/>
  <c r="X240" i="73" s="1"/>
  <c r="AA150" i="73"/>
  <c r="AA210" i="73" s="1"/>
  <c r="J180" i="73"/>
  <c r="J240" i="73" s="1"/>
  <c r="AF181" i="72"/>
  <c r="AF216" i="72" s="1"/>
  <c r="AF246" i="72" s="1"/>
  <c r="AO181" i="72"/>
  <c r="AO216" i="72" s="1"/>
  <c r="AO246" i="72" s="1"/>
  <c r="AC181" i="72"/>
  <c r="AC216" i="72" s="1"/>
  <c r="AC246" i="72" s="1"/>
  <c r="AG174" i="72"/>
  <c r="AG209" i="72" s="1"/>
  <c r="AG239" i="72" s="1"/>
  <c r="AP174" i="72"/>
  <c r="AP209" i="72" s="1"/>
  <c r="AP239" i="72" s="1"/>
  <c r="AH178" i="72"/>
  <c r="AH213" i="72" s="1"/>
  <c r="AH243" i="72" s="1"/>
  <c r="AK178" i="72"/>
  <c r="AK213" i="72" s="1"/>
  <c r="AK243" i="72" s="1"/>
  <c r="AL178" i="72"/>
  <c r="AL213" i="72" s="1"/>
  <c r="AL243" i="72" s="1"/>
  <c r="AG173" i="72"/>
  <c r="AG208" i="72" s="1"/>
  <c r="AG238" i="72" s="1"/>
  <c r="AE173" i="72"/>
  <c r="AE208" i="72" s="1"/>
  <c r="AE238" i="72" s="1"/>
  <c r="AD177" i="72"/>
  <c r="AD212" i="72" s="1"/>
  <c r="AD242" i="72" s="1"/>
  <c r="AC177" i="72"/>
  <c r="AC212" i="72" s="1"/>
  <c r="AC242" i="72" s="1"/>
  <c r="AL177" i="72"/>
  <c r="AL212" i="72" s="1"/>
  <c r="AL242" i="72" s="1"/>
  <c r="V197" i="83"/>
  <c r="V70" i="71" s="1"/>
  <c r="V175" i="71" s="1"/>
  <c r="AL168" i="83"/>
  <c r="AL40" i="71" s="1"/>
  <c r="AL145" i="71" s="1"/>
  <c r="L172" i="83"/>
  <c r="AB151" i="73"/>
  <c r="AB211" i="73" s="1"/>
  <c r="AF172" i="72"/>
  <c r="P67" i="71"/>
  <c r="P172" i="71" s="1"/>
  <c r="AH37" i="71"/>
  <c r="AH142" i="71" s="1"/>
  <c r="AF97" i="71"/>
  <c r="AF202" i="71" s="1"/>
  <c r="AI67" i="71"/>
  <c r="AI172" i="71" s="1"/>
  <c r="L138" i="72"/>
  <c r="L208" i="72" s="1"/>
  <c r="L238" i="72" s="1"/>
  <c r="AH97" i="71"/>
  <c r="AH202" i="71" s="1"/>
  <c r="X37" i="71"/>
  <c r="X142" i="71" s="1"/>
  <c r="S184" i="73"/>
  <c r="S244" i="73" s="1"/>
  <c r="M184" i="73"/>
  <c r="M244" i="73" s="1"/>
  <c r="AO227" i="83"/>
  <c r="AO101" i="71" s="1"/>
  <c r="AO206" i="71" s="1"/>
  <c r="K151" i="73"/>
  <c r="K211" i="73" s="1"/>
  <c r="V151" i="73"/>
  <c r="V281" i="73" s="1"/>
  <c r="V44" i="74" s="1"/>
  <c r="V89" i="74" s="1"/>
  <c r="AA151" i="73"/>
  <c r="AA281" i="73" s="1"/>
  <c r="AA44" i="74" s="1"/>
  <c r="AA89" i="74" s="1"/>
  <c r="W181" i="73"/>
  <c r="W241" i="73" s="1"/>
  <c r="R140" i="83"/>
  <c r="R142" i="72" s="1"/>
  <c r="R212" i="72" s="1"/>
  <c r="R242" i="72" s="1"/>
  <c r="AA198" i="83"/>
  <c r="AA71" i="71" s="1"/>
  <c r="AA176" i="71" s="1"/>
  <c r="T227" i="83"/>
  <c r="AJ175" i="72"/>
  <c r="AJ210" i="72" s="1"/>
  <c r="AJ240" i="72" s="1"/>
  <c r="AN175" i="72"/>
  <c r="AN210" i="72" s="1"/>
  <c r="AN240" i="72" s="1"/>
  <c r="P137" i="83"/>
  <c r="P139" i="72" s="1"/>
  <c r="P209" i="72" s="1"/>
  <c r="P239" i="72" s="1"/>
  <c r="AH166" i="83"/>
  <c r="AH38" i="71" s="1"/>
  <c r="AH143" i="71" s="1"/>
  <c r="Z195" i="83"/>
  <c r="Z68" i="71" s="1"/>
  <c r="Z173" i="71" s="1"/>
  <c r="T154" i="73"/>
  <c r="T284" i="73" s="1"/>
  <c r="T47" i="74" s="1"/>
  <c r="T92" i="74" s="1"/>
  <c r="R154" i="73"/>
  <c r="R214" i="73" s="1"/>
  <c r="X154" i="73"/>
  <c r="X284" i="73" s="1"/>
  <c r="X47" i="74" s="1"/>
  <c r="X92" i="74" s="1"/>
  <c r="S154" i="73"/>
  <c r="S284" i="73" s="1"/>
  <c r="S47" i="74" s="1"/>
  <c r="S92" i="74" s="1"/>
  <c r="N184" i="73"/>
  <c r="N244" i="73" s="1"/>
  <c r="P184" i="73"/>
  <c r="P244" i="73" s="1"/>
  <c r="Z184" i="73"/>
  <c r="Z244" i="73" s="1"/>
  <c r="M154" i="73"/>
  <c r="M284" i="73" s="1"/>
  <c r="M47" i="74" s="1"/>
  <c r="M92" i="74" s="1"/>
  <c r="R184" i="73"/>
  <c r="R244" i="73" s="1"/>
  <c r="L154" i="73"/>
  <c r="L214" i="73" s="1"/>
  <c r="P154" i="73"/>
  <c r="P214" i="73" s="1"/>
  <c r="Y184" i="73"/>
  <c r="Y244" i="73" s="1"/>
  <c r="Z154" i="73"/>
  <c r="Z214" i="73" s="1"/>
  <c r="J154" i="73"/>
  <c r="J284" i="73" s="1"/>
  <c r="J47" i="74" s="1"/>
  <c r="J92" i="74" s="1"/>
  <c r="N154" i="73"/>
  <c r="N214" i="73" s="1"/>
  <c r="J184" i="73"/>
  <c r="J244" i="73" s="1"/>
  <c r="AB184" i="73"/>
  <c r="AB244" i="73" s="1"/>
  <c r="L184" i="73"/>
  <c r="L244" i="73" s="1"/>
  <c r="Q154" i="73"/>
  <c r="Q214" i="73" s="1"/>
  <c r="W184" i="73"/>
  <c r="W244" i="73" s="1"/>
  <c r="AC175" i="72"/>
  <c r="AC210" i="72" s="1"/>
  <c r="AC240" i="72" s="1"/>
  <c r="W154" i="73"/>
  <c r="W214" i="73" s="1"/>
  <c r="Q184" i="73"/>
  <c r="Q244" i="73" s="1"/>
  <c r="U184" i="73"/>
  <c r="U244" i="73" s="1"/>
  <c r="AB154" i="73"/>
  <c r="AB284" i="73" s="1"/>
  <c r="AB47" i="74" s="1"/>
  <c r="AB92" i="74" s="1"/>
  <c r="AA154" i="73"/>
  <c r="AA284" i="73" s="1"/>
  <c r="AA47" i="74" s="1"/>
  <c r="AA92" i="74" s="1"/>
  <c r="AF198" i="83"/>
  <c r="AF71" i="71" s="1"/>
  <c r="AF176" i="71" s="1"/>
  <c r="AN170" i="83"/>
  <c r="AN42" i="71" s="1"/>
  <c r="AN147" i="71" s="1"/>
  <c r="T135" i="83"/>
  <c r="T137" i="72" s="1"/>
  <c r="AE135" i="83"/>
  <c r="Z164" i="83"/>
  <c r="AG172" i="72"/>
  <c r="AJ172" i="72"/>
  <c r="AK172" i="72"/>
  <c r="AO172" i="72"/>
  <c r="AN172" i="72"/>
  <c r="AC172" i="72"/>
  <c r="AI172" i="72"/>
  <c r="AE172" i="72"/>
  <c r="O181" i="73"/>
  <c r="O241" i="73" s="1"/>
  <c r="P181" i="73"/>
  <c r="P241" i="73" s="1"/>
  <c r="M181" i="73"/>
  <c r="M241" i="73" s="1"/>
  <c r="AP175" i="72"/>
  <c r="AP210" i="72" s="1"/>
  <c r="AP240" i="72" s="1"/>
  <c r="AP172" i="72"/>
  <c r="O184" i="73"/>
  <c r="O244" i="73" s="1"/>
  <c r="AA184" i="73"/>
  <c r="AA244" i="73" s="1"/>
  <c r="V154" i="73"/>
  <c r="V214" i="73" s="1"/>
  <c r="K184" i="73"/>
  <c r="K244" i="73" s="1"/>
  <c r="AC135" i="83"/>
  <c r="AH169" i="83"/>
  <c r="AH41" i="71" s="1"/>
  <c r="AH146" i="71" s="1"/>
  <c r="L224" i="83"/>
  <c r="V181" i="73"/>
  <c r="V241" i="73" s="1"/>
  <c r="T181" i="73"/>
  <c r="T241" i="73" s="1"/>
  <c r="O151" i="73"/>
  <c r="O281" i="73" s="1"/>
  <c r="O44" i="74" s="1"/>
  <c r="O89" i="74" s="1"/>
  <c r="P151" i="73"/>
  <c r="P281" i="73" s="1"/>
  <c r="P44" i="74" s="1"/>
  <c r="P89" i="74" s="1"/>
  <c r="P119" i="74" s="1"/>
  <c r="P151" i="74" s="1"/>
  <c r="Z151" i="73"/>
  <c r="Z211" i="73" s="1"/>
  <c r="L151" i="73"/>
  <c r="L281" i="73" s="1"/>
  <c r="L44" i="74" s="1"/>
  <c r="L89" i="74" s="1"/>
  <c r="N151" i="73"/>
  <c r="N211" i="73" s="1"/>
  <c r="J151" i="73"/>
  <c r="J281" i="73" s="1"/>
  <c r="J44" i="74" s="1"/>
  <c r="J89" i="74" s="1"/>
  <c r="U181" i="73"/>
  <c r="U241" i="73" s="1"/>
  <c r="S181" i="73"/>
  <c r="S241" i="73" s="1"/>
  <c r="K181" i="73"/>
  <c r="K241" i="73" s="1"/>
  <c r="R181" i="73"/>
  <c r="R241" i="73" s="1"/>
  <c r="L181" i="73"/>
  <c r="L241" i="73" s="1"/>
  <c r="Q181" i="73"/>
  <c r="Q241" i="73" s="1"/>
  <c r="J181" i="73"/>
  <c r="J241" i="73" s="1"/>
  <c r="AA181" i="73"/>
  <c r="AA241" i="73" s="1"/>
  <c r="Q151" i="73"/>
  <c r="Q211" i="73" s="1"/>
  <c r="AB181" i="73"/>
  <c r="AB241" i="73" s="1"/>
  <c r="R151" i="73"/>
  <c r="R211" i="73" s="1"/>
  <c r="N181" i="73"/>
  <c r="N241" i="73" s="1"/>
  <c r="X151" i="73"/>
  <c r="X281" i="73" s="1"/>
  <c r="X44" i="74" s="1"/>
  <c r="X89" i="74" s="1"/>
  <c r="X181" i="73"/>
  <c r="X241" i="73" s="1"/>
  <c r="W151" i="73"/>
  <c r="W281" i="73" s="1"/>
  <c r="W44" i="74" s="1"/>
  <c r="W89" i="74" s="1"/>
  <c r="Y151" i="73"/>
  <c r="Y211" i="73" s="1"/>
  <c r="AD172" i="72"/>
  <c r="Y154" i="73"/>
  <c r="Y214" i="73" s="1"/>
  <c r="O154" i="73"/>
  <c r="T184" i="73"/>
  <c r="T244" i="73" s="1"/>
  <c r="K154" i="73"/>
  <c r="Y193" i="83"/>
  <c r="P140" i="83"/>
  <c r="P142" i="72" s="1"/>
  <c r="P212" i="72" s="1"/>
  <c r="P242" i="72" s="1"/>
  <c r="L195" i="83"/>
  <c r="AB67" i="71"/>
  <c r="AB172" i="71" s="1"/>
  <c r="AP97" i="71"/>
  <c r="AP202" i="71" s="1"/>
  <c r="AO37" i="71"/>
  <c r="AO142" i="71" s="1"/>
  <c r="AI37" i="71"/>
  <c r="AI142" i="71" s="1"/>
  <c r="AL97" i="71"/>
  <c r="AL202" i="71" s="1"/>
  <c r="R138" i="72"/>
  <c r="R208" i="72" s="1"/>
  <c r="R238" i="72" s="1"/>
  <c r="S138" i="72"/>
  <c r="S208" i="72" s="1"/>
  <c r="S238" i="72" s="1"/>
  <c r="J138" i="72"/>
  <c r="J208" i="72" s="1"/>
  <c r="J238" i="72" s="1"/>
  <c r="X138" i="72"/>
  <c r="X208" i="72" s="1"/>
  <c r="X238" i="72" s="1"/>
  <c r="AG37" i="71"/>
  <c r="AG142" i="71" s="1"/>
  <c r="Y222" i="83"/>
  <c r="O222" i="83"/>
  <c r="AJ193" i="83"/>
  <c r="V135" i="83"/>
  <c r="V137" i="72" s="1"/>
  <c r="R222" i="83"/>
  <c r="AH193" i="83"/>
  <c r="AH66" i="71" s="1"/>
  <c r="AH171" i="71" s="1"/>
  <c r="O164" i="83"/>
  <c r="AN135" i="83"/>
  <c r="T222" i="83"/>
  <c r="X193" i="83"/>
  <c r="W193" i="83"/>
  <c r="P164" i="83"/>
  <c r="AD199" i="83"/>
  <c r="M222" i="83"/>
  <c r="M193" i="83"/>
  <c r="J164" i="83"/>
  <c r="AL222" i="83"/>
  <c r="AN222" i="83"/>
  <c r="AI222" i="83"/>
  <c r="V193" i="83"/>
  <c r="K193" i="83"/>
  <c r="Q164" i="83"/>
  <c r="N164" i="83"/>
  <c r="Q135" i="83"/>
  <c r="Q137" i="72" s="1"/>
  <c r="AM164" i="83"/>
  <c r="Y135" i="83"/>
  <c r="Y137" i="72" s="1"/>
  <c r="O135" i="83"/>
  <c r="O137" i="72" s="1"/>
  <c r="X135" i="83"/>
  <c r="X137" i="72" s="1"/>
  <c r="AA170" i="83"/>
  <c r="AA42" i="71" s="1"/>
  <c r="AA147" i="71" s="1"/>
  <c r="AJ222" i="83"/>
  <c r="AC222" i="83"/>
  <c r="L222" i="83"/>
  <c r="V222" i="83"/>
  <c r="AG193" i="83"/>
  <c r="S222" i="83"/>
  <c r="AK193" i="83"/>
  <c r="AL193" i="83"/>
  <c r="AA193" i="83"/>
  <c r="AN193" i="83"/>
  <c r="AD164" i="83"/>
  <c r="S164" i="83"/>
  <c r="X164" i="83"/>
  <c r="Z135" i="83"/>
  <c r="Z137" i="72" s="1"/>
  <c r="AI135" i="83"/>
  <c r="T228" i="83"/>
  <c r="T141" i="83"/>
  <c r="T143" i="72" s="1"/>
  <c r="T213" i="72" s="1"/>
  <c r="T243" i="72" s="1"/>
  <c r="AO164" i="83"/>
  <c r="AO222" i="83"/>
  <c r="T193" i="83"/>
  <c r="AH222" i="83"/>
  <c r="AB222" i="83"/>
  <c r="AE222" i="83"/>
  <c r="R193" i="83"/>
  <c r="AC164" i="83"/>
  <c r="AM193" i="83"/>
  <c r="M135" i="83"/>
  <c r="M137" i="72" s="1"/>
  <c r="AP164" i="83"/>
  <c r="AI164" i="83"/>
  <c r="AN164" i="83"/>
  <c r="AP135" i="83"/>
  <c r="S170" i="83"/>
  <c r="AK175" i="72"/>
  <c r="AK210" i="72" s="1"/>
  <c r="AK240" i="72" s="1"/>
  <c r="AD175" i="72"/>
  <c r="AD210" i="72" s="1"/>
  <c r="AD240" i="72" s="1"/>
  <c r="AH175" i="72"/>
  <c r="AH210" i="72" s="1"/>
  <c r="AH240" i="72" s="1"/>
  <c r="AO175" i="72"/>
  <c r="AO210" i="72" s="1"/>
  <c r="AO240" i="72" s="1"/>
  <c r="J227" i="83"/>
  <c r="AA227" i="83"/>
  <c r="J198" i="83"/>
  <c r="AF169" i="83"/>
  <c r="O169" i="83"/>
  <c r="M224" i="83"/>
  <c r="K166" i="83"/>
  <c r="L166" i="83"/>
  <c r="AA140" i="83"/>
  <c r="AA142" i="72" s="1"/>
  <c r="AA212" i="72" s="1"/>
  <c r="AA242" i="72" s="1"/>
  <c r="K140" i="83"/>
  <c r="K142" i="72" s="1"/>
  <c r="K212" i="72" s="1"/>
  <c r="K242" i="72" s="1"/>
  <c r="AD140" i="83"/>
  <c r="N140" i="83"/>
  <c r="N142" i="72" s="1"/>
  <c r="N212" i="72" s="1"/>
  <c r="N242" i="72" s="1"/>
  <c r="X140" i="83"/>
  <c r="X142" i="72" s="1"/>
  <c r="X212" i="72" s="1"/>
  <c r="X242" i="72" s="1"/>
  <c r="U140" i="83"/>
  <c r="U142" i="72" s="1"/>
  <c r="U212" i="72" s="1"/>
  <c r="U242" i="72" s="1"/>
  <c r="T140" i="83"/>
  <c r="T142" i="72" s="1"/>
  <c r="T212" i="72" s="1"/>
  <c r="T242" i="72" s="1"/>
  <c r="AI169" i="83"/>
  <c r="S169" i="83"/>
  <c r="AP169" i="83"/>
  <c r="AP41" i="71" s="1"/>
  <c r="AP146" i="71" s="1"/>
  <c r="Z169" i="83"/>
  <c r="Z41" i="71" s="1"/>
  <c r="Z146" i="71" s="1"/>
  <c r="J169" i="83"/>
  <c r="AG169" i="83"/>
  <c r="AG41" i="71" s="1"/>
  <c r="AG146" i="71" s="1"/>
  <c r="Q169" i="83"/>
  <c r="Q41" i="71" s="1"/>
  <c r="Q146" i="71" s="1"/>
  <c r="AM198" i="83"/>
  <c r="W198" i="83"/>
  <c r="W71" i="71" s="1"/>
  <c r="W176" i="71" s="1"/>
  <c r="Q140" i="83"/>
  <c r="Q142" i="72" s="1"/>
  <c r="Q212" i="72" s="1"/>
  <c r="Q242" i="72" s="1"/>
  <c r="AL198" i="83"/>
  <c r="AL71" i="71" s="1"/>
  <c r="AL176" i="71" s="1"/>
  <c r="V198" i="83"/>
  <c r="V71" i="71" s="1"/>
  <c r="V176" i="71" s="1"/>
  <c r="AN227" i="83"/>
  <c r="X227" i="83"/>
  <c r="X101" i="71" s="1"/>
  <c r="X206" i="71" s="1"/>
  <c r="AN169" i="83"/>
  <c r="AG198" i="83"/>
  <c r="AG71" i="71" s="1"/>
  <c r="AG176" i="71" s="1"/>
  <c r="Q198" i="83"/>
  <c r="Q71" i="71" s="1"/>
  <c r="Q176" i="71" s="1"/>
  <c r="AE227" i="83"/>
  <c r="AE101" i="71" s="1"/>
  <c r="AE206" i="71" s="1"/>
  <c r="O227" i="83"/>
  <c r="AK227" i="83"/>
  <c r="AK101" i="71" s="1"/>
  <c r="AK206" i="71" s="1"/>
  <c r="T198" i="83"/>
  <c r="AB198" i="83"/>
  <c r="AB71" i="71" s="1"/>
  <c r="AB176" i="71" s="1"/>
  <c r="Z227" i="83"/>
  <c r="T169" i="83"/>
  <c r="AG227" i="83"/>
  <c r="AG101" i="71" s="1"/>
  <c r="AG206" i="71" s="1"/>
  <c r="AD227" i="83"/>
  <c r="AD101" i="71" s="1"/>
  <c r="AD206" i="71" s="1"/>
  <c r="AM140" i="83"/>
  <c r="S140" i="83"/>
  <c r="S142" i="72" s="1"/>
  <c r="S212" i="72" s="1"/>
  <c r="S242" i="72" s="1"/>
  <c r="AH140" i="83"/>
  <c r="J140" i="83"/>
  <c r="J142" i="72" s="1"/>
  <c r="J212" i="72" s="1"/>
  <c r="J242" i="72" s="1"/>
  <c r="AK140" i="83"/>
  <c r="AB140" i="83"/>
  <c r="AB142" i="72" s="1"/>
  <c r="AB212" i="72" s="1"/>
  <c r="AB242" i="72" s="1"/>
  <c r="AE169" i="83"/>
  <c r="K169" i="83"/>
  <c r="AD169" i="83"/>
  <c r="Y140" i="83"/>
  <c r="Y142" i="72" s="1"/>
  <c r="Y212" i="72" s="1"/>
  <c r="Y242" i="72" s="1"/>
  <c r="Y169" i="83"/>
  <c r="Y41" i="71" s="1"/>
  <c r="Y146" i="71" s="1"/>
  <c r="P169" i="83"/>
  <c r="P41" i="71" s="1"/>
  <c r="P146" i="71" s="1"/>
  <c r="S198" i="83"/>
  <c r="L169" i="83"/>
  <c r="Z198" i="83"/>
  <c r="AJ227" i="83"/>
  <c r="AJ101" i="71" s="1"/>
  <c r="AJ206" i="71" s="1"/>
  <c r="P227" i="83"/>
  <c r="AK198" i="83"/>
  <c r="AK71" i="71" s="1"/>
  <c r="AK176" i="71" s="1"/>
  <c r="M198" i="83"/>
  <c r="W227" i="83"/>
  <c r="W101" i="71" s="1"/>
  <c r="W206" i="71" s="1"/>
  <c r="P198" i="83"/>
  <c r="P71" i="71" s="1"/>
  <c r="P176" i="71" s="1"/>
  <c r="AL227" i="83"/>
  <c r="AL101" i="71" s="1"/>
  <c r="AL206" i="71" s="1"/>
  <c r="AP227" i="83"/>
  <c r="AP101" i="71" s="1"/>
  <c r="AP206" i="71" s="1"/>
  <c r="V227" i="83"/>
  <c r="V101" i="71" s="1"/>
  <c r="V206" i="71" s="1"/>
  <c r="Y227" i="83"/>
  <c r="Y101" i="71" s="1"/>
  <c r="Y206" i="71" s="1"/>
  <c r="AI140" i="83"/>
  <c r="O140" i="83"/>
  <c r="O142" i="72" s="1"/>
  <c r="O212" i="72" s="1"/>
  <c r="O242" i="72" s="1"/>
  <c r="Z140" i="83"/>
  <c r="Z142" i="72" s="1"/>
  <c r="Z212" i="72" s="1"/>
  <c r="Z242" i="72" s="1"/>
  <c r="AN140" i="83"/>
  <c r="AC140" i="83"/>
  <c r="L140" i="83"/>
  <c r="L142" i="72" s="1"/>
  <c r="L212" i="72" s="1"/>
  <c r="L242" i="72" s="1"/>
  <c r="AA169" i="83"/>
  <c r="AA41" i="71" s="1"/>
  <c r="AA146" i="71" s="1"/>
  <c r="AG140" i="83"/>
  <c r="V169" i="83"/>
  <c r="V41" i="71" s="1"/>
  <c r="V146" i="71" s="1"/>
  <c r="AO169" i="83"/>
  <c r="AO41" i="71" s="1"/>
  <c r="AO146" i="71" s="1"/>
  <c r="U169" i="83"/>
  <c r="U41" i="71" s="1"/>
  <c r="U146" i="71" s="1"/>
  <c r="AI198" i="83"/>
  <c r="O198" i="83"/>
  <c r="AP198" i="83"/>
  <c r="AP71" i="71" s="1"/>
  <c r="AP176" i="71" s="1"/>
  <c r="R198" i="83"/>
  <c r="R71" i="71" s="1"/>
  <c r="R176" i="71" s="1"/>
  <c r="AF227" i="83"/>
  <c r="L227" i="83"/>
  <c r="AC198" i="83"/>
  <c r="AM227" i="83"/>
  <c r="S227" i="83"/>
  <c r="AC227" i="83"/>
  <c r="N227" i="83"/>
  <c r="AH227" i="83"/>
  <c r="AH101" i="71" s="1"/>
  <c r="AH206" i="71" s="1"/>
  <c r="AN198" i="83"/>
  <c r="Q227" i="83"/>
  <c r="AE140" i="83"/>
  <c r="AP140" i="83"/>
  <c r="V140" i="83"/>
  <c r="V142" i="72" s="1"/>
  <c r="V212" i="72" s="1"/>
  <c r="V242" i="72" s="1"/>
  <c r="AF140" i="83"/>
  <c r="M140" i="83"/>
  <c r="M142" i="72" s="1"/>
  <c r="M212" i="72" s="1"/>
  <c r="M242" i="72" s="1"/>
  <c r="AO140" i="83"/>
  <c r="W169" i="83"/>
  <c r="W41" i="71" s="1"/>
  <c r="W146" i="71" s="1"/>
  <c r="AL169" i="83"/>
  <c r="AL41" i="71" s="1"/>
  <c r="AL146" i="71" s="1"/>
  <c r="R169" i="83"/>
  <c r="R41" i="71" s="1"/>
  <c r="R146" i="71" s="1"/>
  <c r="AK169" i="83"/>
  <c r="AK41" i="71" s="1"/>
  <c r="AK146" i="71" s="1"/>
  <c r="M169" i="83"/>
  <c r="AE198" i="83"/>
  <c r="AE71" i="71" s="1"/>
  <c r="AE176" i="71" s="1"/>
  <c r="K198" i="83"/>
  <c r="AH198" i="83"/>
  <c r="AH71" i="71" s="1"/>
  <c r="AH176" i="71" s="1"/>
  <c r="N198" i="83"/>
  <c r="AB227" i="83"/>
  <c r="AB101" i="71" s="1"/>
  <c r="AB206" i="71" s="1"/>
  <c r="X169" i="83"/>
  <c r="X41" i="71" s="1"/>
  <c r="X146" i="71" s="1"/>
  <c r="Y198" i="83"/>
  <c r="Y71" i="71" s="1"/>
  <c r="Y176" i="71" s="1"/>
  <c r="AI227" i="83"/>
  <c r="K227" i="83"/>
  <c r="U227" i="83"/>
  <c r="U101" i="71" s="1"/>
  <c r="U206" i="71" s="1"/>
  <c r="AJ169" i="83"/>
  <c r="R227" i="83"/>
  <c r="X198" i="83"/>
  <c r="X71" i="71" s="1"/>
  <c r="X176" i="71" s="1"/>
  <c r="AJ198" i="83"/>
  <c r="AJ71" i="71" s="1"/>
  <c r="AJ176" i="71" s="1"/>
  <c r="AL137" i="83"/>
  <c r="V137" i="83"/>
  <c r="V139" i="72" s="1"/>
  <c r="V209" i="72" s="1"/>
  <c r="V239" i="72" s="1"/>
  <c r="AO137" i="83"/>
  <c r="Y137" i="83"/>
  <c r="Y139" i="72" s="1"/>
  <c r="Y209" i="72" s="1"/>
  <c r="Y239" i="72" s="1"/>
  <c r="AI137" i="83"/>
  <c r="AN137" i="83"/>
  <c r="AM137" i="83"/>
  <c r="L137" i="83"/>
  <c r="L139" i="72" s="1"/>
  <c r="L209" i="72" s="1"/>
  <c r="L239" i="72" s="1"/>
  <c r="AD166" i="83"/>
  <c r="AD38" i="71" s="1"/>
  <c r="AD143" i="71" s="1"/>
  <c r="N166" i="83"/>
  <c r="AK166" i="83"/>
  <c r="AK38" i="71" s="1"/>
  <c r="AK143" i="71" s="1"/>
  <c r="U166" i="83"/>
  <c r="U38" i="71" s="1"/>
  <c r="U143" i="71" s="1"/>
  <c r="AN166" i="83"/>
  <c r="X166" i="83"/>
  <c r="X38" i="71" s="1"/>
  <c r="X143" i="71" s="1"/>
  <c r="T137" i="83"/>
  <c r="T139" i="72" s="1"/>
  <c r="T209" i="72" s="1"/>
  <c r="T239" i="72" s="1"/>
  <c r="AL195" i="83"/>
  <c r="AL68" i="71" s="1"/>
  <c r="AL173" i="71" s="1"/>
  <c r="V195" i="83"/>
  <c r="V68" i="71" s="1"/>
  <c r="V173" i="71" s="1"/>
  <c r="AE166" i="83"/>
  <c r="AE38" i="71" s="1"/>
  <c r="AE143" i="71" s="1"/>
  <c r="AG195" i="83"/>
  <c r="AG68" i="71" s="1"/>
  <c r="AG173" i="71" s="1"/>
  <c r="Q195" i="83"/>
  <c r="AE224" i="83"/>
  <c r="O224" i="83"/>
  <c r="AN195" i="83"/>
  <c r="AN68" i="71" s="1"/>
  <c r="AN173" i="71" s="1"/>
  <c r="X195" i="83"/>
  <c r="AP224" i="83"/>
  <c r="AP98" i="71" s="1"/>
  <c r="AP203" i="71" s="1"/>
  <c r="Z224" i="83"/>
  <c r="J224" i="83"/>
  <c r="AN224" i="83"/>
  <c r="AO224" i="83"/>
  <c r="AO98" i="71" s="1"/>
  <c r="AO203" i="71" s="1"/>
  <c r="AK224" i="83"/>
  <c r="AK98" i="71" s="1"/>
  <c r="AK203" i="71" s="1"/>
  <c r="W195" i="83"/>
  <c r="W68" i="71" s="1"/>
  <c r="W173" i="71" s="1"/>
  <c r="AJ224" i="83"/>
  <c r="AM166" i="83"/>
  <c r="AM38" i="71" s="1"/>
  <c r="AM143" i="71" s="1"/>
  <c r="AH137" i="83"/>
  <c r="R137" i="83"/>
  <c r="R139" i="72" s="1"/>
  <c r="R209" i="72" s="1"/>
  <c r="R239" i="72" s="1"/>
  <c r="AK137" i="83"/>
  <c r="U137" i="83"/>
  <c r="U139" i="72" s="1"/>
  <c r="U209" i="72" s="1"/>
  <c r="U239" i="72" s="1"/>
  <c r="AA137" i="83"/>
  <c r="AA139" i="72" s="1"/>
  <c r="AA209" i="72" s="1"/>
  <c r="AA239" i="72" s="1"/>
  <c r="AF137" i="83"/>
  <c r="AE137" i="83"/>
  <c r="AP166" i="83"/>
  <c r="AP38" i="71" s="1"/>
  <c r="AP143" i="71" s="1"/>
  <c r="Z166" i="83"/>
  <c r="Z38" i="71" s="1"/>
  <c r="Z143" i="71" s="1"/>
  <c r="J166" i="83"/>
  <c r="AG166" i="83"/>
  <c r="AG38" i="71" s="1"/>
  <c r="AG143" i="71" s="1"/>
  <c r="Q166" i="83"/>
  <c r="Q38" i="71" s="1"/>
  <c r="Q143" i="71" s="1"/>
  <c r="AJ166" i="83"/>
  <c r="AJ38" i="71" s="1"/>
  <c r="AJ143" i="71" s="1"/>
  <c r="T166" i="83"/>
  <c r="AI166" i="83"/>
  <c r="AH195" i="83"/>
  <c r="AH68" i="71" s="1"/>
  <c r="AH173" i="71" s="1"/>
  <c r="R195" i="83"/>
  <c r="R68" i="71" s="1"/>
  <c r="R173" i="71" s="1"/>
  <c r="O166" i="83"/>
  <c r="AC195" i="83"/>
  <c r="AC68" i="71" s="1"/>
  <c r="AC173" i="71" s="1"/>
  <c r="M195" i="83"/>
  <c r="AA224" i="83"/>
  <c r="K224" i="83"/>
  <c r="AJ195" i="83"/>
  <c r="AJ68" i="71" s="1"/>
  <c r="AJ173" i="71" s="1"/>
  <c r="T195" i="83"/>
  <c r="AL224" i="83"/>
  <c r="AL98" i="71" s="1"/>
  <c r="AL203" i="71" s="1"/>
  <c r="V224" i="83"/>
  <c r="V98" i="71" s="1"/>
  <c r="V203" i="71" s="1"/>
  <c r="W166" i="83"/>
  <c r="AF224" i="83"/>
  <c r="Q224" i="83"/>
  <c r="AC224" i="83"/>
  <c r="AG224" i="83"/>
  <c r="AG98" i="71" s="1"/>
  <c r="AG203" i="71" s="1"/>
  <c r="AB224" i="83"/>
  <c r="AB98" i="71" s="1"/>
  <c r="AB203" i="71" s="1"/>
  <c r="AM195" i="83"/>
  <c r="AD137" i="83"/>
  <c r="AG137" i="83"/>
  <c r="S137" i="83"/>
  <c r="S139" i="72" s="1"/>
  <c r="S209" i="72" s="1"/>
  <c r="S239" i="72" s="1"/>
  <c r="W137" i="83"/>
  <c r="W139" i="72" s="1"/>
  <c r="W209" i="72" s="1"/>
  <c r="W239" i="72" s="1"/>
  <c r="V166" i="83"/>
  <c r="V38" i="71" s="1"/>
  <c r="V143" i="71" s="1"/>
  <c r="AC166" i="83"/>
  <c r="AF166" i="83"/>
  <c r="S166" i="83"/>
  <c r="N195" i="83"/>
  <c r="Y195" i="83"/>
  <c r="W224" i="83"/>
  <c r="W98" i="71" s="1"/>
  <c r="W203" i="71" s="1"/>
  <c r="AF195" i="83"/>
  <c r="AF68" i="71" s="1"/>
  <c r="AF173" i="71" s="1"/>
  <c r="AH224" i="83"/>
  <c r="AH98" i="71" s="1"/>
  <c r="AH203" i="71" s="1"/>
  <c r="AI195" i="83"/>
  <c r="AE195" i="83"/>
  <c r="AE68" i="71" s="1"/>
  <c r="AE173" i="71" s="1"/>
  <c r="AA195" i="83"/>
  <c r="Y224" i="83"/>
  <c r="Y98" i="71" s="1"/>
  <c r="Y203" i="71" s="1"/>
  <c r="Z137" i="83"/>
  <c r="Z139" i="72" s="1"/>
  <c r="Z209" i="72" s="1"/>
  <c r="Z239" i="72" s="1"/>
  <c r="AC137" i="83"/>
  <c r="K137" i="83"/>
  <c r="K139" i="72" s="1"/>
  <c r="K209" i="72" s="1"/>
  <c r="K239" i="72" s="1"/>
  <c r="O137" i="83"/>
  <c r="O139" i="72" s="1"/>
  <c r="O209" i="72" s="1"/>
  <c r="O239" i="72" s="1"/>
  <c r="R166" i="83"/>
  <c r="R38" i="71" s="1"/>
  <c r="R143" i="71" s="1"/>
  <c r="Y166" i="83"/>
  <c r="Y38" i="71" s="1"/>
  <c r="Y143" i="71" s="1"/>
  <c r="AB166" i="83"/>
  <c r="AB38" i="71" s="1"/>
  <c r="AB143" i="71" s="1"/>
  <c r="AP195" i="83"/>
  <c r="AP68" i="71" s="1"/>
  <c r="AP173" i="71" s="1"/>
  <c r="J195" i="83"/>
  <c r="U195" i="83"/>
  <c r="U68" i="71" s="1"/>
  <c r="U173" i="71" s="1"/>
  <c r="S224" i="83"/>
  <c r="AB195" i="83"/>
  <c r="AB68" i="71" s="1"/>
  <c r="AB173" i="71" s="1"/>
  <c r="AD224" i="83"/>
  <c r="S195" i="83"/>
  <c r="O195" i="83"/>
  <c r="K195" i="83"/>
  <c r="N137" i="83"/>
  <c r="N139" i="72" s="1"/>
  <c r="N209" i="72" s="1"/>
  <c r="N239" i="72" s="1"/>
  <c r="Q137" i="83"/>
  <c r="Q139" i="72" s="1"/>
  <c r="Q209" i="72" s="1"/>
  <c r="Q239" i="72" s="1"/>
  <c r="X137" i="83"/>
  <c r="X139" i="72" s="1"/>
  <c r="X209" i="72" s="1"/>
  <c r="X239" i="72" s="1"/>
  <c r="AL166" i="83"/>
  <c r="AL38" i="71" s="1"/>
  <c r="AL143" i="71" s="1"/>
  <c r="AJ137" i="83"/>
  <c r="M166" i="83"/>
  <c r="P166" i="83"/>
  <c r="P38" i="71" s="1"/>
  <c r="P143" i="71" s="1"/>
  <c r="AD195" i="83"/>
  <c r="AD68" i="71" s="1"/>
  <c r="AD173" i="71" s="1"/>
  <c r="AO195" i="83"/>
  <c r="AO68" i="71" s="1"/>
  <c r="AO173" i="71" s="1"/>
  <c r="AM224" i="83"/>
  <c r="AA166" i="83"/>
  <c r="AA38" i="71" s="1"/>
  <c r="AA143" i="71" s="1"/>
  <c r="P195" i="83"/>
  <c r="P68" i="71" s="1"/>
  <c r="P173" i="71" s="1"/>
  <c r="R224" i="83"/>
  <c r="X224" i="83"/>
  <c r="U224" i="83"/>
  <c r="U98" i="71" s="1"/>
  <c r="U203" i="71" s="1"/>
  <c r="T224" i="83"/>
  <c r="AE175" i="72"/>
  <c r="AE210" i="72" s="1"/>
  <c r="AE240" i="72" s="1"/>
  <c r="AF175" i="72"/>
  <c r="AF210" i="72" s="1"/>
  <c r="AF240" i="72" s="1"/>
  <c r="AL210" i="72"/>
  <c r="AL240" i="72" s="1"/>
  <c r="AM175" i="72"/>
  <c r="AM210" i="72" s="1"/>
  <c r="AM240" i="72" s="1"/>
  <c r="L198" i="83"/>
  <c r="U198" i="83"/>
  <c r="U71" i="71" s="1"/>
  <c r="U176" i="71" s="1"/>
  <c r="AD198" i="83"/>
  <c r="AC169" i="83"/>
  <c r="AM169" i="83"/>
  <c r="AM41" i="71" s="1"/>
  <c r="AM146" i="71" s="1"/>
  <c r="AL140" i="83"/>
  <c r="P224" i="83"/>
  <c r="AI224" i="83"/>
  <c r="AI98" i="71" s="1"/>
  <c r="AI203" i="71" s="1"/>
  <c r="AB137" i="83"/>
  <c r="AB139" i="72" s="1"/>
  <c r="AB209" i="72" s="1"/>
  <c r="AB239" i="72" s="1"/>
  <c r="M137" i="83"/>
  <c r="M139" i="72" s="1"/>
  <c r="M209" i="72" s="1"/>
  <c r="M239" i="72" s="1"/>
  <c r="AI175" i="72"/>
  <c r="AI210" i="72" s="1"/>
  <c r="AI240" i="72" s="1"/>
  <c r="AG175" i="72"/>
  <c r="AG210" i="72" s="1"/>
  <c r="AG240" i="72" s="1"/>
  <c r="M227" i="83"/>
  <c r="AO198" i="83"/>
  <c r="AO71" i="71" s="1"/>
  <c r="AO176" i="71" s="1"/>
  <c r="AB169" i="83"/>
  <c r="AB41" i="71" s="1"/>
  <c r="AB146" i="71" s="1"/>
  <c r="N169" i="83"/>
  <c r="AJ140" i="83"/>
  <c r="W140" i="83"/>
  <c r="W142" i="72" s="1"/>
  <c r="W212" i="72" s="1"/>
  <c r="W242" i="72" s="1"/>
  <c r="N224" i="83"/>
  <c r="AK195" i="83"/>
  <c r="AK68" i="71" s="1"/>
  <c r="AK173" i="71" s="1"/>
  <c r="AO166" i="83"/>
  <c r="AO38" i="71" s="1"/>
  <c r="AO143" i="71" s="1"/>
  <c r="J137" i="83"/>
  <c r="J139" i="72" s="1"/>
  <c r="J209" i="72" s="1"/>
  <c r="J239" i="72" s="1"/>
  <c r="AP141" i="83"/>
  <c r="AK141" i="83"/>
  <c r="K141" i="83"/>
  <c r="K143" i="72" s="1"/>
  <c r="K213" i="72" s="1"/>
  <c r="K243" i="72" s="1"/>
  <c r="X170" i="83"/>
  <c r="X42" i="71" s="1"/>
  <c r="X147" i="71" s="1"/>
  <c r="AC199" i="83"/>
  <c r="P199" i="83"/>
  <c r="P72" i="71" s="1"/>
  <c r="P177" i="71" s="1"/>
  <c r="K199" i="83"/>
  <c r="Q141" i="83"/>
  <c r="Q143" i="72" s="1"/>
  <c r="Q213" i="72" s="1"/>
  <c r="Q243" i="72" s="1"/>
  <c r="V170" i="83"/>
  <c r="V42" i="71" s="1"/>
  <c r="V147" i="71" s="1"/>
  <c r="AE170" i="83"/>
  <c r="AM228" i="83"/>
  <c r="AM102" i="71" s="1"/>
  <c r="AM207" i="71" s="1"/>
  <c r="Z228" i="83"/>
  <c r="Q228" i="83"/>
  <c r="AB135" i="83"/>
  <c r="AB137" i="72" s="1"/>
  <c r="L135" i="83"/>
  <c r="L137" i="72" s="1"/>
  <c r="AA135" i="83"/>
  <c r="AA137" i="72" s="1"/>
  <c r="K135" i="83"/>
  <c r="K137" i="72" s="1"/>
  <c r="AD135" i="83"/>
  <c r="N135" i="83"/>
  <c r="N137" i="72" s="1"/>
  <c r="AJ164" i="83"/>
  <c r="T164" i="83"/>
  <c r="U135" i="83"/>
  <c r="U137" i="72" s="1"/>
  <c r="AA164" i="83"/>
  <c r="L193" i="83"/>
  <c r="Q222" i="83"/>
  <c r="AG222" i="83"/>
  <c r="U193" i="83"/>
  <c r="X222" i="83"/>
  <c r="J222" i="83"/>
  <c r="Z222" i="83"/>
  <c r="AP222" i="83"/>
  <c r="J135" i="83"/>
  <c r="J137" i="72" s="1"/>
  <c r="J207" i="72" s="1"/>
  <c r="AB193" i="83"/>
  <c r="W222" i="83"/>
  <c r="AM222" i="83"/>
  <c r="Y164" i="83"/>
  <c r="Z193" i="83"/>
  <c r="AP193" i="83"/>
  <c r="O193" i="83"/>
  <c r="AE193" i="83"/>
  <c r="AG164" i="83"/>
  <c r="U164" i="83"/>
  <c r="R164" i="83"/>
  <c r="AH164" i="83"/>
  <c r="AG135" i="83"/>
  <c r="W164" i="83"/>
  <c r="AK135" i="83"/>
  <c r="AB164" i="83"/>
  <c r="AO135" i="83"/>
  <c r="AH135" i="83"/>
  <c r="S135" i="83"/>
  <c r="S137" i="72" s="1"/>
  <c r="AM135" i="83"/>
  <c r="AF135" i="83"/>
  <c r="P228" i="83"/>
  <c r="AJ199" i="83"/>
  <c r="Q170" i="83"/>
  <c r="Q42" i="71" s="1"/>
  <c r="Q147" i="71" s="1"/>
  <c r="V141" i="83"/>
  <c r="V143" i="72" s="1"/>
  <c r="V213" i="72" s="1"/>
  <c r="V243" i="72" s="1"/>
  <c r="J193" i="83"/>
  <c r="AO193" i="83"/>
  <c r="U222" i="83"/>
  <c r="AK222" i="83"/>
  <c r="AC193" i="83"/>
  <c r="AF222" i="83"/>
  <c r="N222" i="83"/>
  <c r="AD222" i="83"/>
  <c r="P193" i="83"/>
  <c r="P222" i="83"/>
  <c r="K222" i="83"/>
  <c r="AA222" i="83"/>
  <c r="Q193" i="83"/>
  <c r="N193" i="83"/>
  <c r="AD193" i="83"/>
  <c r="M164" i="83"/>
  <c r="S193" i="83"/>
  <c r="AI193" i="83"/>
  <c r="AF193" i="83"/>
  <c r="AK164" i="83"/>
  <c r="V164" i="83"/>
  <c r="AL164" i="83"/>
  <c r="K164" i="83"/>
  <c r="AE164" i="83"/>
  <c r="L164" i="83"/>
  <c r="AF164" i="83"/>
  <c r="R135" i="83"/>
  <c r="R137" i="72" s="1"/>
  <c r="AL135" i="83"/>
  <c r="W135" i="83"/>
  <c r="W137" i="72" s="1"/>
  <c r="P135" i="83"/>
  <c r="P137" i="72" s="1"/>
  <c r="AJ135" i="83"/>
  <c r="W199" i="83"/>
  <c r="W72" i="71" s="1"/>
  <c r="W177" i="71" s="1"/>
  <c r="O228" i="83"/>
  <c r="AM170" i="83"/>
  <c r="X228" i="83"/>
  <c r="X102" i="71" s="1"/>
  <c r="X207" i="71" s="1"/>
  <c r="AM199" i="83"/>
  <c r="Y228" i="83"/>
  <c r="AC228" i="83"/>
  <c r="AB228" i="83"/>
  <c r="AB102" i="71" s="1"/>
  <c r="AB207" i="71" s="1"/>
  <c r="J228" i="83"/>
  <c r="AH228" i="83"/>
  <c r="AH102" i="71" s="1"/>
  <c r="AH207" i="71" s="1"/>
  <c r="T199" i="83"/>
  <c r="AN199" i="83"/>
  <c r="AN72" i="71" s="1"/>
  <c r="AN177" i="71" s="1"/>
  <c r="W228" i="83"/>
  <c r="W102" i="71" s="1"/>
  <c r="W207" i="71" s="1"/>
  <c r="M199" i="83"/>
  <c r="AG199" i="83"/>
  <c r="AG72" i="71" s="1"/>
  <c r="AG177" i="71" s="1"/>
  <c r="N199" i="83"/>
  <c r="AH199" i="83"/>
  <c r="AH72" i="71" s="1"/>
  <c r="AH177" i="71" s="1"/>
  <c r="P141" i="83"/>
  <c r="P143" i="72" s="1"/>
  <c r="P213" i="72" s="1"/>
  <c r="P243" i="72" s="1"/>
  <c r="AG170" i="83"/>
  <c r="AG42" i="71" s="1"/>
  <c r="AG147" i="71" s="1"/>
  <c r="U170" i="83"/>
  <c r="U42" i="71" s="1"/>
  <c r="U147" i="71" s="1"/>
  <c r="AF141" i="83"/>
  <c r="AD170" i="83"/>
  <c r="AD42" i="71" s="1"/>
  <c r="AD147" i="71" s="1"/>
  <c r="S141" i="83"/>
  <c r="S143" i="72" s="1"/>
  <c r="S213" i="72" s="1"/>
  <c r="S243" i="72" s="1"/>
  <c r="AB141" i="83"/>
  <c r="AB143" i="72" s="1"/>
  <c r="AB213" i="72" s="1"/>
  <c r="AB243" i="72" s="1"/>
  <c r="W141" i="83"/>
  <c r="W143" i="72" s="1"/>
  <c r="W213" i="72" s="1"/>
  <c r="W243" i="72" s="1"/>
  <c r="U141" i="83"/>
  <c r="U143" i="72" s="1"/>
  <c r="U213" i="72" s="1"/>
  <c r="U243" i="72" s="1"/>
  <c r="AO141" i="83"/>
  <c r="AD141" i="83"/>
  <c r="M228" i="83"/>
  <c r="AF228" i="83"/>
  <c r="AF102" i="71" s="1"/>
  <c r="AF207" i="71" s="1"/>
  <c r="U228" i="83"/>
  <c r="U102" i="71" s="1"/>
  <c r="U207" i="71" s="1"/>
  <c r="AG228" i="83"/>
  <c r="AG102" i="71" s="1"/>
  <c r="AG207" i="71" s="1"/>
  <c r="AI199" i="83"/>
  <c r="AI72" i="71" s="1"/>
  <c r="AI177" i="71" s="1"/>
  <c r="AJ228" i="83"/>
  <c r="AJ102" i="71" s="1"/>
  <c r="AJ207" i="71" s="1"/>
  <c r="R228" i="83"/>
  <c r="AL228" i="83"/>
  <c r="AL102" i="71" s="1"/>
  <c r="AL207" i="71" s="1"/>
  <c r="X199" i="83"/>
  <c r="AP170" i="83"/>
  <c r="AP42" i="71" s="1"/>
  <c r="AP147" i="71" s="1"/>
  <c r="AA228" i="83"/>
  <c r="Q199" i="83"/>
  <c r="Q72" i="71" s="1"/>
  <c r="Q177" i="71" s="1"/>
  <c r="AO199" i="83"/>
  <c r="AO72" i="71" s="1"/>
  <c r="AO177" i="71" s="1"/>
  <c r="R199" i="83"/>
  <c r="R72" i="71" s="1"/>
  <c r="R177" i="71" s="1"/>
  <c r="AL199" i="83"/>
  <c r="AL72" i="71" s="1"/>
  <c r="AL177" i="71" s="1"/>
  <c r="P170" i="83"/>
  <c r="P42" i="71" s="1"/>
  <c r="P147" i="71" s="1"/>
  <c r="AL170" i="83"/>
  <c r="AL42" i="71" s="1"/>
  <c r="AL147" i="71" s="1"/>
  <c r="Y170" i="83"/>
  <c r="Y42" i="71" s="1"/>
  <c r="Y147" i="71" s="1"/>
  <c r="N170" i="83"/>
  <c r="AI170" i="83"/>
  <c r="AI42" i="71" s="1"/>
  <c r="AI147" i="71" s="1"/>
  <c r="AA141" i="83"/>
  <c r="AA143" i="72" s="1"/>
  <c r="AA213" i="72" s="1"/>
  <c r="AA243" i="72" s="1"/>
  <c r="AF170" i="83"/>
  <c r="AE141" i="83"/>
  <c r="Y141" i="83"/>
  <c r="Y143" i="72" s="1"/>
  <c r="Y213" i="72" s="1"/>
  <c r="Y243" i="72" s="1"/>
  <c r="N141" i="83"/>
  <c r="N143" i="72" s="1"/>
  <c r="N213" i="72" s="1"/>
  <c r="N243" i="72" s="1"/>
  <c r="AH141" i="83"/>
  <c r="AK228" i="83"/>
  <c r="AK102" i="71" s="1"/>
  <c r="AK207" i="71" s="1"/>
  <c r="AN228" i="83"/>
  <c r="S199" i="83"/>
  <c r="AO228" i="83"/>
  <c r="AO102" i="71" s="1"/>
  <c r="AO207" i="71" s="1"/>
  <c r="AK170" i="83"/>
  <c r="AK42" i="71" s="1"/>
  <c r="AK147" i="71" s="1"/>
  <c r="AE199" i="83"/>
  <c r="V228" i="83"/>
  <c r="V102" i="71" s="1"/>
  <c r="V207" i="71" s="1"/>
  <c r="AP228" i="83"/>
  <c r="AP102" i="71" s="1"/>
  <c r="AP207" i="71" s="1"/>
  <c r="AF199" i="83"/>
  <c r="AF72" i="71" s="1"/>
  <c r="AF177" i="71" s="1"/>
  <c r="K228" i="83"/>
  <c r="AE228" i="83"/>
  <c r="AE102" i="71" s="1"/>
  <c r="AE207" i="71" s="1"/>
  <c r="Y199" i="83"/>
  <c r="Y72" i="71" s="1"/>
  <c r="Y177" i="71" s="1"/>
  <c r="K170" i="83"/>
  <c r="V199" i="83"/>
  <c r="V72" i="71" s="1"/>
  <c r="V177" i="71" s="1"/>
  <c r="O170" i="83"/>
  <c r="T170" i="83"/>
  <c r="X141" i="83"/>
  <c r="X143" i="72" s="1"/>
  <c r="X213" i="72" s="1"/>
  <c r="X243" i="72" s="1"/>
  <c r="AH170" i="83"/>
  <c r="AH42" i="71" s="1"/>
  <c r="AH147" i="71" s="1"/>
  <c r="R170" i="83"/>
  <c r="R42" i="71" s="1"/>
  <c r="R147" i="71" s="1"/>
  <c r="AO170" i="83"/>
  <c r="AO42" i="71" s="1"/>
  <c r="AO147" i="71" s="1"/>
  <c r="L141" i="83"/>
  <c r="L143" i="72" s="1"/>
  <c r="L213" i="72" s="1"/>
  <c r="L243" i="72" s="1"/>
  <c r="AJ170" i="83"/>
  <c r="AM141" i="83"/>
  <c r="AG141" i="83"/>
  <c r="R141" i="83"/>
  <c r="R143" i="72" s="1"/>
  <c r="R213" i="72" s="1"/>
  <c r="R243" i="72" s="1"/>
  <c r="AL141" i="83"/>
  <c r="AB143" i="83"/>
  <c r="AB145" i="72" s="1"/>
  <c r="AB215" i="72" s="1"/>
  <c r="AB245" i="72" s="1"/>
  <c r="L143" i="83"/>
  <c r="L145" i="72" s="1"/>
  <c r="L215" i="72" s="1"/>
  <c r="L245" i="72" s="1"/>
  <c r="AA143" i="83"/>
  <c r="AA145" i="72" s="1"/>
  <c r="AA215" i="72" s="1"/>
  <c r="AA245" i="72" s="1"/>
  <c r="K143" i="83"/>
  <c r="K145" i="72" s="1"/>
  <c r="K215" i="72" s="1"/>
  <c r="K245" i="72" s="1"/>
  <c r="M143" i="83"/>
  <c r="M145" i="72" s="1"/>
  <c r="M215" i="72" s="1"/>
  <c r="M245" i="72" s="1"/>
  <c r="AD172" i="83"/>
  <c r="AD44" i="71" s="1"/>
  <c r="AD149" i="71" s="1"/>
  <c r="N172" i="83"/>
  <c r="Z143" i="83"/>
  <c r="Z145" i="72" s="1"/>
  <c r="Z215" i="72" s="1"/>
  <c r="Z245" i="72" s="1"/>
  <c r="AK172" i="83"/>
  <c r="AK44" i="71" s="1"/>
  <c r="AK149" i="71" s="1"/>
  <c r="U172" i="83"/>
  <c r="U44" i="71" s="1"/>
  <c r="U149" i="71" s="1"/>
  <c r="AG143" i="83"/>
  <c r="AJ172" i="83"/>
  <c r="AJ44" i="71" s="1"/>
  <c r="AJ149" i="71" s="1"/>
  <c r="T172" i="83"/>
  <c r="AI172" i="83"/>
  <c r="AI44" i="71" s="1"/>
  <c r="AI149" i="71" s="1"/>
  <c r="O172" i="83"/>
  <c r="AN201" i="83"/>
  <c r="X201" i="83"/>
  <c r="AM172" i="83"/>
  <c r="AA201" i="83"/>
  <c r="K201" i="83"/>
  <c r="AC230" i="83"/>
  <c r="M230" i="83"/>
  <c r="AL201" i="83"/>
  <c r="AL74" i="71" s="1"/>
  <c r="AL179" i="71" s="1"/>
  <c r="V201" i="83"/>
  <c r="V74" i="71" s="1"/>
  <c r="V179" i="71" s="1"/>
  <c r="AN230" i="83"/>
  <c r="X230" i="83"/>
  <c r="X104" i="71" s="1"/>
  <c r="X209" i="71" s="1"/>
  <c r="AC201" i="83"/>
  <c r="AC74" i="71" s="1"/>
  <c r="AC179" i="71" s="1"/>
  <c r="Z230" i="83"/>
  <c r="Z104" i="71" s="1"/>
  <c r="Z209" i="71" s="1"/>
  <c r="K230" i="83"/>
  <c r="AE230" i="83"/>
  <c r="AE104" i="71" s="1"/>
  <c r="AE209" i="71" s="1"/>
  <c r="AA230" i="83"/>
  <c r="AD230" i="83"/>
  <c r="AD104" i="71" s="1"/>
  <c r="AD209" i="71" s="1"/>
  <c r="S230" i="83"/>
  <c r="AN143" i="83"/>
  <c r="X143" i="83"/>
  <c r="X145" i="72" s="1"/>
  <c r="X215" i="72" s="1"/>
  <c r="X245" i="72" s="1"/>
  <c r="AM143" i="83"/>
  <c r="W143" i="83"/>
  <c r="W145" i="72" s="1"/>
  <c r="W215" i="72" s="1"/>
  <c r="W245" i="72" s="1"/>
  <c r="AK143" i="83"/>
  <c r="AP172" i="83"/>
  <c r="AP44" i="71" s="1"/>
  <c r="AP149" i="71" s="1"/>
  <c r="Z172" i="83"/>
  <c r="Z44" i="71" s="1"/>
  <c r="Z149" i="71" s="1"/>
  <c r="J172" i="83"/>
  <c r="R143" i="83"/>
  <c r="R145" i="72" s="1"/>
  <c r="R215" i="72" s="1"/>
  <c r="R245" i="72" s="1"/>
  <c r="AG172" i="83"/>
  <c r="AG44" i="71" s="1"/>
  <c r="AG149" i="71" s="1"/>
  <c r="P143" i="83"/>
  <c r="P145" i="72" s="1"/>
  <c r="P215" i="72" s="1"/>
  <c r="P245" i="72" s="1"/>
  <c r="O143" i="83"/>
  <c r="O145" i="72" s="1"/>
  <c r="O215" i="72" s="1"/>
  <c r="O245" i="72" s="1"/>
  <c r="AH172" i="83"/>
  <c r="AH44" i="71" s="1"/>
  <c r="AH149" i="71" s="1"/>
  <c r="AH143" i="83"/>
  <c r="Y172" i="83"/>
  <c r="Y44" i="71" s="1"/>
  <c r="Y149" i="71" s="1"/>
  <c r="Y143" i="83"/>
  <c r="Y145" i="72" s="1"/>
  <c r="Y215" i="72" s="1"/>
  <c r="Y245" i="72" s="1"/>
  <c r="AB172" i="83"/>
  <c r="AB44" i="71" s="1"/>
  <c r="AB149" i="71" s="1"/>
  <c r="AL143" i="83"/>
  <c r="V143" i="83"/>
  <c r="V145" i="72" s="1"/>
  <c r="V215" i="72" s="1"/>
  <c r="V245" i="72" s="1"/>
  <c r="AF201" i="83"/>
  <c r="AF74" i="71" s="1"/>
  <c r="AF179" i="71" s="1"/>
  <c r="L201" i="83"/>
  <c r="W201" i="83"/>
  <c r="W74" i="71" s="1"/>
  <c r="W179" i="71" s="1"/>
  <c r="AK230" i="83"/>
  <c r="AK104" i="71" s="1"/>
  <c r="AK209" i="71" s="1"/>
  <c r="Q230" i="83"/>
  <c r="AH201" i="83"/>
  <c r="AH74" i="71" s="1"/>
  <c r="AH179" i="71" s="1"/>
  <c r="N201" i="83"/>
  <c r="AB230" i="83"/>
  <c r="AB104" i="71" s="1"/>
  <c r="AB209" i="71" s="1"/>
  <c r="M201" i="83"/>
  <c r="J230" i="83"/>
  <c r="AM230" i="83"/>
  <c r="AM104" i="71" s="1"/>
  <c r="AM209" i="71" s="1"/>
  <c r="AK201" i="83"/>
  <c r="AK74" i="71" s="1"/>
  <c r="AK179" i="71" s="1"/>
  <c r="N230" i="83"/>
  <c r="AJ143" i="83"/>
  <c r="AI143" i="83"/>
  <c r="AC143" i="83"/>
  <c r="V172" i="83"/>
  <c r="V44" i="71" s="1"/>
  <c r="V149" i="71" s="1"/>
  <c r="J143" i="83"/>
  <c r="J145" i="72" s="1"/>
  <c r="J215" i="72" s="1"/>
  <c r="J245" i="72" s="1"/>
  <c r="Q172" i="83"/>
  <c r="Q44" i="71" s="1"/>
  <c r="Q149" i="71" s="1"/>
  <c r="Q143" i="83"/>
  <c r="Q145" i="72" s="1"/>
  <c r="Q215" i="72" s="1"/>
  <c r="Q245" i="72" s="1"/>
  <c r="X172" i="83"/>
  <c r="X44" i="71" s="1"/>
  <c r="X149" i="71" s="1"/>
  <c r="S172" i="83"/>
  <c r="AA172" i="83"/>
  <c r="AA44" i="71" s="1"/>
  <c r="AA149" i="71" s="1"/>
  <c r="AB201" i="83"/>
  <c r="AB74" i="71" s="1"/>
  <c r="AB179" i="71" s="1"/>
  <c r="AM201" i="83"/>
  <c r="AM74" i="71" s="1"/>
  <c r="AM179" i="71" s="1"/>
  <c r="S201" i="83"/>
  <c r="AG230" i="83"/>
  <c r="AG104" i="71" s="1"/>
  <c r="AG209" i="71" s="1"/>
  <c r="N143" i="83"/>
  <c r="N145" i="72" s="1"/>
  <c r="N215" i="72" s="1"/>
  <c r="N245" i="72" s="1"/>
  <c r="AD201" i="83"/>
  <c r="AD74" i="71" s="1"/>
  <c r="AD179" i="71" s="1"/>
  <c r="J201" i="83"/>
  <c r="T230" i="83"/>
  <c r="AP230" i="83"/>
  <c r="AP104" i="71" s="1"/>
  <c r="AP209" i="71" s="1"/>
  <c r="AI230" i="83"/>
  <c r="W230" i="83"/>
  <c r="W104" i="71" s="1"/>
  <c r="W209" i="71" s="1"/>
  <c r="U201" i="83"/>
  <c r="U74" i="71" s="1"/>
  <c r="U179" i="71" s="1"/>
  <c r="Q201" i="83"/>
  <c r="Q74" i="71" s="1"/>
  <c r="Q179" i="71" s="1"/>
  <c r="AF143" i="83"/>
  <c r="U143" i="83"/>
  <c r="U145" i="72" s="1"/>
  <c r="U215" i="72" s="1"/>
  <c r="U245" i="72" s="1"/>
  <c r="AO172" i="83"/>
  <c r="AO44" i="71" s="1"/>
  <c r="AO149" i="71" s="1"/>
  <c r="AN172" i="83"/>
  <c r="AN44" i="71" s="1"/>
  <c r="AN149" i="71" s="1"/>
  <c r="AD143" i="83"/>
  <c r="T201" i="83"/>
  <c r="O201" i="83"/>
  <c r="W172" i="83"/>
  <c r="W44" i="71" s="1"/>
  <c r="W149" i="71" s="1"/>
  <c r="AJ230" i="83"/>
  <c r="AH230" i="83"/>
  <c r="AH104" i="71" s="1"/>
  <c r="AH209" i="71" s="1"/>
  <c r="O230" i="83"/>
  <c r="T143" i="83"/>
  <c r="T145" i="72" s="1"/>
  <c r="T215" i="72" s="1"/>
  <c r="T245" i="72" s="1"/>
  <c r="AL172" i="83"/>
  <c r="AL44" i="71" s="1"/>
  <c r="AL149" i="71" s="1"/>
  <c r="AC172" i="83"/>
  <c r="AF172" i="83"/>
  <c r="AF44" i="71" s="1"/>
  <c r="AF149" i="71" s="1"/>
  <c r="AE172" i="83"/>
  <c r="AE44" i="71" s="1"/>
  <c r="AE149" i="71" s="1"/>
  <c r="P201" i="83"/>
  <c r="P74" i="71" s="1"/>
  <c r="P179" i="71" s="1"/>
  <c r="AO230" i="83"/>
  <c r="AO104" i="71" s="1"/>
  <c r="AO209" i="71" s="1"/>
  <c r="AP201" i="83"/>
  <c r="AP74" i="71" s="1"/>
  <c r="AP179" i="71" s="1"/>
  <c r="AF230" i="83"/>
  <c r="R230" i="83"/>
  <c r="AG201" i="83"/>
  <c r="AG74" i="71" s="1"/>
  <c r="AG179" i="71" s="1"/>
  <c r="R172" i="83"/>
  <c r="R44" i="71" s="1"/>
  <c r="R149" i="71" s="1"/>
  <c r="P172" i="83"/>
  <c r="P44" i="71" s="1"/>
  <c r="P149" i="71" s="1"/>
  <c r="Y230" i="83"/>
  <c r="P230" i="83"/>
  <c r="P104" i="71" s="1"/>
  <c r="P209" i="71" s="1"/>
  <c r="AL230" i="83"/>
  <c r="AL104" i="71" s="1"/>
  <c r="AL209" i="71" s="1"/>
  <c r="AE143" i="83"/>
  <c r="M172" i="83"/>
  <c r="K172" i="83"/>
  <c r="AI201" i="83"/>
  <c r="AI74" i="71" s="1"/>
  <c r="AI179" i="71" s="1"/>
  <c r="Z201" i="83"/>
  <c r="Z74" i="71" s="1"/>
  <c r="Z179" i="71" s="1"/>
  <c r="AO201" i="83"/>
  <c r="AO74" i="71" s="1"/>
  <c r="AO179" i="71" s="1"/>
  <c r="AC138" i="83"/>
  <c r="M138" i="83"/>
  <c r="M140" i="72" s="1"/>
  <c r="M210" i="72" s="1"/>
  <c r="M240" i="72" s="1"/>
  <c r="AB138" i="83"/>
  <c r="AB140" i="72" s="1"/>
  <c r="AB210" i="72" s="1"/>
  <c r="AB240" i="72" s="1"/>
  <c r="L138" i="83"/>
  <c r="L140" i="72" s="1"/>
  <c r="L210" i="72" s="1"/>
  <c r="L240" i="72" s="1"/>
  <c r="R138" i="83"/>
  <c r="R140" i="72" s="1"/>
  <c r="R210" i="72" s="1"/>
  <c r="R240" i="72" s="1"/>
  <c r="W138" i="83"/>
  <c r="W140" i="72" s="1"/>
  <c r="W210" i="72" s="1"/>
  <c r="W240" i="72" s="1"/>
  <c r="V138" i="83"/>
  <c r="V140" i="72" s="1"/>
  <c r="V210" i="72" s="1"/>
  <c r="V240" i="72" s="1"/>
  <c r="AK167" i="83"/>
  <c r="AK39" i="71" s="1"/>
  <c r="AK144" i="71" s="1"/>
  <c r="U167" i="83"/>
  <c r="AN167" i="83"/>
  <c r="X167" i="83"/>
  <c r="X39" i="71" s="1"/>
  <c r="X144" i="71" s="1"/>
  <c r="AA138" i="83"/>
  <c r="AA140" i="72" s="1"/>
  <c r="AA210" i="72" s="1"/>
  <c r="AA240" i="72" s="1"/>
  <c r="AA167" i="83"/>
  <c r="AA39" i="71" s="1"/>
  <c r="AA144" i="71" s="1"/>
  <c r="K167" i="83"/>
  <c r="AK196" i="83"/>
  <c r="AK69" i="71" s="1"/>
  <c r="AK174" i="71" s="1"/>
  <c r="U196" i="83"/>
  <c r="U69" i="71" s="1"/>
  <c r="U174" i="71" s="1"/>
  <c r="N167" i="83"/>
  <c r="AB196" i="83"/>
  <c r="AB69" i="71" s="1"/>
  <c r="AB174" i="71" s="1"/>
  <c r="L196" i="83"/>
  <c r="AD225" i="83"/>
  <c r="N225" i="83"/>
  <c r="J167" i="83"/>
  <c r="AA196" i="83"/>
  <c r="K196" i="83"/>
  <c r="AC225" i="83"/>
  <c r="M225" i="83"/>
  <c r="AE225" i="83"/>
  <c r="AF225" i="83"/>
  <c r="N196" i="83"/>
  <c r="L225" i="83"/>
  <c r="AP196" i="83"/>
  <c r="AP69" i="71" s="1"/>
  <c r="AP174" i="71" s="1"/>
  <c r="AA225" i="83"/>
  <c r="P225" i="83"/>
  <c r="AO138" i="83"/>
  <c r="Y138" i="83"/>
  <c r="Y140" i="72" s="1"/>
  <c r="Y210" i="72" s="1"/>
  <c r="Y240" i="72" s="1"/>
  <c r="AN138" i="83"/>
  <c r="X138" i="83"/>
  <c r="X140" i="72" s="1"/>
  <c r="X210" i="72" s="1"/>
  <c r="X240" i="72" s="1"/>
  <c r="AP138" i="83"/>
  <c r="J138" i="83"/>
  <c r="J140" i="72" s="1"/>
  <c r="J210" i="72" s="1"/>
  <c r="J240" i="72" s="1"/>
  <c r="O138" i="83"/>
  <c r="O140" i="72" s="1"/>
  <c r="O210" i="72" s="1"/>
  <c r="O240" i="72" s="1"/>
  <c r="N138" i="83"/>
  <c r="N140" i="72" s="1"/>
  <c r="N210" i="72" s="1"/>
  <c r="N240" i="72" s="1"/>
  <c r="AG167" i="83"/>
  <c r="AG39" i="71" s="1"/>
  <c r="AG144" i="71" s="1"/>
  <c r="Q167" i="83"/>
  <c r="Q39" i="71" s="1"/>
  <c r="Q144" i="71" s="1"/>
  <c r="AJ167" i="83"/>
  <c r="T167" i="83"/>
  <c r="AM167" i="83"/>
  <c r="W167" i="83"/>
  <c r="W39" i="71" s="1"/>
  <c r="W144" i="71" s="1"/>
  <c r="AH167" i="83"/>
  <c r="AH39" i="71" s="1"/>
  <c r="AH144" i="71" s="1"/>
  <c r="AG196" i="83"/>
  <c r="AG69" i="71" s="1"/>
  <c r="AG174" i="71" s="1"/>
  <c r="Q196" i="83"/>
  <c r="Q69" i="71" s="1"/>
  <c r="Q174" i="71" s="1"/>
  <c r="AN196" i="83"/>
  <c r="AN69" i="71" s="1"/>
  <c r="AN174" i="71" s="1"/>
  <c r="X196" i="83"/>
  <c r="AP225" i="83"/>
  <c r="Z225" i="83"/>
  <c r="J225" i="83"/>
  <c r="AM196" i="83"/>
  <c r="W196" i="83"/>
  <c r="AO225" i="83"/>
  <c r="AO99" i="71" s="1"/>
  <c r="AO204" i="71" s="1"/>
  <c r="Y225" i="83"/>
  <c r="AH196" i="83"/>
  <c r="AH69" i="71" s="1"/>
  <c r="AH174" i="71" s="1"/>
  <c r="W225" i="83"/>
  <c r="S138" i="83"/>
  <c r="S140" i="72" s="1"/>
  <c r="S210" i="72" s="1"/>
  <c r="S240" i="72" s="1"/>
  <c r="AJ225" i="83"/>
  <c r="AJ99" i="71" s="1"/>
  <c r="AJ204" i="71" s="1"/>
  <c r="AL196" i="83"/>
  <c r="AL69" i="71" s="1"/>
  <c r="AL174" i="71" s="1"/>
  <c r="Z196" i="83"/>
  <c r="S225" i="83"/>
  <c r="AG138" i="83"/>
  <c r="AF138" i="83"/>
  <c r="Z138" i="83"/>
  <c r="Z140" i="72" s="1"/>
  <c r="Z210" i="72" s="1"/>
  <c r="Z240" i="72" s="1"/>
  <c r="AD138" i="83"/>
  <c r="Y167" i="83"/>
  <c r="Y39" i="71" s="1"/>
  <c r="Y144" i="71" s="1"/>
  <c r="AB167" i="83"/>
  <c r="AB39" i="71" s="1"/>
  <c r="AB144" i="71" s="1"/>
  <c r="AE167" i="83"/>
  <c r="AE39" i="71" s="1"/>
  <c r="AE144" i="71" s="1"/>
  <c r="AO196" i="83"/>
  <c r="AO69" i="71" s="1"/>
  <c r="AO174" i="71" s="1"/>
  <c r="AD167" i="83"/>
  <c r="P196" i="83"/>
  <c r="P69" i="71" s="1"/>
  <c r="P174" i="71" s="1"/>
  <c r="R225" i="83"/>
  <c r="AE196" i="83"/>
  <c r="AE69" i="71" s="1"/>
  <c r="AE174" i="71" s="1"/>
  <c r="AG225" i="83"/>
  <c r="AG99" i="71" s="1"/>
  <c r="AG204" i="71" s="1"/>
  <c r="AM225" i="83"/>
  <c r="AD196" i="83"/>
  <c r="V167" i="83"/>
  <c r="V39" i="71" s="1"/>
  <c r="V144" i="71" s="1"/>
  <c r="AN225" i="83"/>
  <c r="U138" i="83"/>
  <c r="U140" i="72" s="1"/>
  <c r="U210" i="72" s="1"/>
  <c r="U240" i="72" s="1"/>
  <c r="T138" i="83"/>
  <c r="T140" i="72" s="1"/>
  <c r="T210" i="72" s="1"/>
  <c r="T240" i="72" s="1"/>
  <c r="AM138" i="83"/>
  <c r="K138" i="83"/>
  <c r="K140" i="72" s="1"/>
  <c r="K210" i="72" s="1"/>
  <c r="K240" i="72" s="1"/>
  <c r="M167" i="83"/>
  <c r="P167" i="83"/>
  <c r="P39" i="71" s="1"/>
  <c r="P144" i="71" s="1"/>
  <c r="S167" i="83"/>
  <c r="AC196" i="83"/>
  <c r="AJ196" i="83"/>
  <c r="AL225" i="83"/>
  <c r="AL99" i="71" s="1"/>
  <c r="AL204" i="71" s="1"/>
  <c r="AP167" i="83"/>
  <c r="AP39" i="71" s="1"/>
  <c r="AP144" i="71" s="1"/>
  <c r="S196" i="83"/>
  <c r="U225" i="83"/>
  <c r="U99" i="71" s="1"/>
  <c r="U204" i="71" s="1"/>
  <c r="O225" i="83"/>
  <c r="AB225" i="83"/>
  <c r="AB99" i="71" s="1"/>
  <c r="AB204" i="71" s="1"/>
  <c r="J196" i="83"/>
  <c r="Q138" i="83"/>
  <c r="Q140" i="72" s="1"/>
  <c r="Q210" i="72" s="1"/>
  <c r="Q240" i="72" s="1"/>
  <c r="AE138" i="83"/>
  <c r="AI138" i="83"/>
  <c r="O167" i="83"/>
  <c r="AF196" i="83"/>
  <c r="Z167" i="83"/>
  <c r="Z39" i="71" s="1"/>
  <c r="Z144" i="71" s="1"/>
  <c r="Q225" i="83"/>
  <c r="T225" i="83"/>
  <c r="AJ138" i="83"/>
  <c r="AL138" i="83"/>
  <c r="AF167" i="83"/>
  <c r="R167" i="83"/>
  <c r="R39" i="71" s="1"/>
  <c r="R144" i="71" s="1"/>
  <c r="T196" i="83"/>
  <c r="AI196" i="83"/>
  <c r="AI69" i="71" s="1"/>
  <c r="AI174" i="71" s="1"/>
  <c r="R196" i="83"/>
  <c r="R69" i="71" s="1"/>
  <c r="R174" i="71" s="1"/>
  <c r="X225" i="83"/>
  <c r="L167" i="83"/>
  <c r="O196" i="83"/>
  <c r="AI225" i="83"/>
  <c r="AI99" i="71" s="1"/>
  <c r="AI204" i="71" s="1"/>
  <c r="P138" i="83"/>
  <c r="AO167" i="83"/>
  <c r="AO39" i="71" s="1"/>
  <c r="AO144" i="71" s="1"/>
  <c r="Y196" i="83"/>
  <c r="AH225" i="83"/>
  <c r="AH99" i="71" s="1"/>
  <c r="AH204" i="71" s="1"/>
  <c r="V196" i="83"/>
  <c r="AC142" i="83"/>
  <c r="M142" i="83"/>
  <c r="M144" i="72" s="1"/>
  <c r="M214" i="72" s="1"/>
  <c r="M244" i="72" s="1"/>
  <c r="AB142" i="83"/>
  <c r="AB144" i="72" s="1"/>
  <c r="AB214" i="72" s="1"/>
  <c r="AB244" i="72" s="1"/>
  <c r="L142" i="83"/>
  <c r="N142" i="83"/>
  <c r="N144" i="72" s="1"/>
  <c r="N214" i="72" s="1"/>
  <c r="N244" i="72" s="1"/>
  <c r="AA171" i="83"/>
  <c r="AA43" i="71" s="1"/>
  <c r="AA148" i="71" s="1"/>
  <c r="K171" i="83"/>
  <c r="K142" i="83"/>
  <c r="K144" i="72" s="1"/>
  <c r="K214" i="72" s="1"/>
  <c r="K244" i="72" s="1"/>
  <c r="AD171" i="83"/>
  <c r="AP142" i="83"/>
  <c r="J142" i="83"/>
  <c r="J144" i="72" s="1"/>
  <c r="J214" i="72" s="1"/>
  <c r="J244" i="72" s="1"/>
  <c r="AC171" i="83"/>
  <c r="AC43" i="71" s="1"/>
  <c r="AC148" i="71" s="1"/>
  <c r="AJ171" i="83"/>
  <c r="AJ43" i="71" s="1"/>
  <c r="AJ148" i="71" s="1"/>
  <c r="AF171" i="83"/>
  <c r="AB171" i="83"/>
  <c r="AB43" i="71" s="1"/>
  <c r="AB148" i="71" s="1"/>
  <c r="AO200" i="83"/>
  <c r="Y200" i="83"/>
  <c r="N171" i="83"/>
  <c r="AB200" i="83"/>
  <c r="AB73" i="71" s="1"/>
  <c r="AB178" i="71" s="1"/>
  <c r="AG142" i="83"/>
  <c r="AN142" i="83"/>
  <c r="T142" i="83"/>
  <c r="T144" i="72" s="1"/>
  <c r="T214" i="72" s="1"/>
  <c r="T244" i="72" s="1"/>
  <c r="V142" i="83"/>
  <c r="V144" i="72" s="1"/>
  <c r="V214" i="72" s="1"/>
  <c r="V244" i="72" s="1"/>
  <c r="W171" i="83"/>
  <c r="W43" i="71" s="1"/>
  <c r="W148" i="71" s="1"/>
  <c r="AA142" i="83"/>
  <c r="AA144" i="72" s="1"/>
  <c r="AA214" i="72" s="1"/>
  <c r="AA244" i="72" s="1"/>
  <c r="AH171" i="83"/>
  <c r="AH43" i="71" s="1"/>
  <c r="AH148" i="71" s="1"/>
  <c r="AH142" i="83"/>
  <c r="AK171" i="83"/>
  <c r="AM142" i="83"/>
  <c r="Q171" i="83"/>
  <c r="Q43" i="71" s="1"/>
  <c r="Q148" i="71" s="1"/>
  <c r="J171" i="83"/>
  <c r="AC200" i="83"/>
  <c r="AN200" i="83"/>
  <c r="T200" i="83"/>
  <c r="AL229" i="83"/>
  <c r="AL103" i="71" s="1"/>
  <c r="AL208" i="71" s="1"/>
  <c r="V229" i="83"/>
  <c r="V103" i="71" s="1"/>
  <c r="V208" i="71" s="1"/>
  <c r="AM200" i="83"/>
  <c r="AM73" i="71" s="1"/>
  <c r="AM178" i="71" s="1"/>
  <c r="W200" i="83"/>
  <c r="W73" i="71" s="1"/>
  <c r="W178" i="71" s="1"/>
  <c r="AO229" i="83"/>
  <c r="AO103" i="71" s="1"/>
  <c r="AO208" i="71" s="1"/>
  <c r="Y229" i="83"/>
  <c r="Y103" i="71" s="1"/>
  <c r="Y208" i="71" s="1"/>
  <c r="O142" i="83"/>
  <c r="O144" i="72" s="1"/>
  <c r="O214" i="72" s="1"/>
  <c r="O244" i="72" s="1"/>
  <c r="AA229" i="83"/>
  <c r="AP200" i="83"/>
  <c r="AP73" i="71" s="1"/>
  <c r="AP178" i="71" s="1"/>
  <c r="AF229" i="83"/>
  <c r="AJ229" i="83"/>
  <c r="V200" i="83"/>
  <c r="V73" i="71" s="1"/>
  <c r="V178" i="71" s="1"/>
  <c r="O229" i="83"/>
  <c r="Y142" i="83"/>
  <c r="Y144" i="72" s="1"/>
  <c r="Y214" i="72" s="1"/>
  <c r="Y244" i="72" s="1"/>
  <c r="AJ142" i="83"/>
  <c r="P142" i="83"/>
  <c r="P144" i="72" s="1"/>
  <c r="P214" i="72" s="1"/>
  <c r="P244" i="72" s="1"/>
  <c r="AM171" i="83"/>
  <c r="AM43" i="71" s="1"/>
  <c r="AM148" i="71" s="1"/>
  <c r="S171" i="83"/>
  <c r="S142" i="83"/>
  <c r="S144" i="72" s="1"/>
  <c r="S214" i="72" s="1"/>
  <c r="S244" i="72" s="1"/>
  <c r="Z171" i="83"/>
  <c r="Z43" i="71" s="1"/>
  <c r="Z148" i="71" s="1"/>
  <c r="Z142" i="83"/>
  <c r="Z144" i="72" s="1"/>
  <c r="Z214" i="72" s="1"/>
  <c r="Z244" i="72" s="1"/>
  <c r="AG171" i="83"/>
  <c r="T171" i="83"/>
  <c r="L171" i="83"/>
  <c r="X171" i="83"/>
  <c r="X43" i="71" s="1"/>
  <c r="X148" i="71" s="1"/>
  <c r="U200" i="83"/>
  <c r="U73" i="71" s="1"/>
  <c r="U178" i="71" s="1"/>
  <c r="AJ200" i="83"/>
  <c r="AJ73" i="71" s="1"/>
  <c r="AJ178" i="71" s="1"/>
  <c r="P200" i="83"/>
  <c r="P73" i="71" s="1"/>
  <c r="P178" i="71" s="1"/>
  <c r="AH229" i="83"/>
  <c r="AH103" i="71" s="1"/>
  <c r="AH208" i="71" s="1"/>
  <c r="R229" i="83"/>
  <c r="AI200" i="83"/>
  <c r="S200" i="83"/>
  <c r="AK229" i="83"/>
  <c r="AK103" i="71" s="1"/>
  <c r="AK208" i="71" s="1"/>
  <c r="U229" i="83"/>
  <c r="U103" i="71" s="1"/>
  <c r="U208" i="71" s="1"/>
  <c r="AD200" i="83"/>
  <c r="AD73" i="71" s="1"/>
  <c r="AD178" i="71" s="1"/>
  <c r="S229" i="83"/>
  <c r="Z200" i="83"/>
  <c r="X229" i="83"/>
  <c r="L229" i="83"/>
  <c r="AM229" i="83"/>
  <c r="R200" i="83"/>
  <c r="R73" i="71" s="1"/>
  <c r="R178" i="71" s="1"/>
  <c r="AO142" i="83"/>
  <c r="AF142" i="83"/>
  <c r="AI171" i="83"/>
  <c r="AP171" i="83"/>
  <c r="AP43" i="71" s="1"/>
  <c r="AP148" i="71" s="1"/>
  <c r="R142" i="83"/>
  <c r="R144" i="72" s="1"/>
  <c r="R214" i="72" s="1"/>
  <c r="R244" i="72" s="1"/>
  <c r="M171" i="83"/>
  <c r="AK200" i="83"/>
  <c r="AK73" i="71" s="1"/>
  <c r="AK178" i="71" s="1"/>
  <c r="AF200" i="83"/>
  <c r="AF73" i="71" s="1"/>
  <c r="AF178" i="71" s="1"/>
  <c r="AD229" i="83"/>
  <c r="AE200" i="83"/>
  <c r="AG229" i="83"/>
  <c r="AG103" i="71" s="1"/>
  <c r="AG208" i="71" s="1"/>
  <c r="N200" i="83"/>
  <c r="J200" i="83"/>
  <c r="AN171" i="83"/>
  <c r="AN43" i="71" s="1"/>
  <c r="AN148" i="71" s="1"/>
  <c r="AB229" i="83"/>
  <c r="AB103" i="71" s="1"/>
  <c r="AB208" i="71" s="1"/>
  <c r="AK142" i="83"/>
  <c r="X142" i="83"/>
  <c r="X144" i="72" s="1"/>
  <c r="X214" i="72" s="1"/>
  <c r="X244" i="72" s="1"/>
  <c r="AE171" i="83"/>
  <c r="AE43" i="71" s="1"/>
  <c r="AE148" i="71" s="1"/>
  <c r="AL171" i="83"/>
  <c r="AL43" i="71" s="1"/>
  <c r="AL148" i="71" s="1"/>
  <c r="AO171" i="83"/>
  <c r="AO43" i="71" s="1"/>
  <c r="AO148" i="71" s="1"/>
  <c r="AE142" i="83"/>
  <c r="AG200" i="83"/>
  <c r="AG73" i="71" s="1"/>
  <c r="AG178" i="71" s="1"/>
  <c r="X200" i="83"/>
  <c r="Z229" i="83"/>
  <c r="AA200" i="83"/>
  <c r="AC229" i="83"/>
  <c r="AI229" i="83"/>
  <c r="AN229" i="83"/>
  <c r="AL200" i="83"/>
  <c r="AL73" i="71" s="1"/>
  <c r="AL178" i="71" s="1"/>
  <c r="AL142" i="83"/>
  <c r="V171" i="83"/>
  <c r="V43" i="71" s="1"/>
  <c r="V148" i="71" s="1"/>
  <c r="W142" i="83"/>
  <c r="L200" i="83"/>
  <c r="O200" i="83"/>
  <c r="U142" i="83"/>
  <c r="U144" i="72" s="1"/>
  <c r="U214" i="72" s="1"/>
  <c r="U244" i="72" s="1"/>
  <c r="O171" i="83"/>
  <c r="Y171" i="83"/>
  <c r="Y43" i="71" s="1"/>
  <c r="Y148" i="71" s="1"/>
  <c r="Q200" i="83"/>
  <c r="Q73" i="71" s="1"/>
  <c r="Q178" i="71" s="1"/>
  <c r="N229" i="83"/>
  <c r="Q229" i="83"/>
  <c r="Q103" i="71" s="1"/>
  <c r="Q208" i="71" s="1"/>
  <c r="K229" i="83"/>
  <c r="W229" i="83"/>
  <c r="W103" i="71" s="1"/>
  <c r="W208" i="71" s="1"/>
  <c r="T229" i="83"/>
  <c r="AP229" i="83"/>
  <c r="AP103" i="71" s="1"/>
  <c r="AP208" i="71" s="1"/>
  <c r="R171" i="83"/>
  <c r="R43" i="71" s="1"/>
  <c r="R148" i="71" s="1"/>
  <c r="V230" i="83"/>
  <c r="V104" i="71" s="1"/>
  <c r="V209" i="71" s="1"/>
  <c r="U230" i="83"/>
  <c r="U104" i="71" s="1"/>
  <c r="U209" i="71" s="1"/>
  <c r="AO143" i="83"/>
  <c r="AL167" i="83"/>
  <c r="AL39" i="71" s="1"/>
  <c r="AL144" i="71" s="1"/>
  <c r="AI167" i="83"/>
  <c r="AE229" i="83"/>
  <c r="M229" i="83"/>
  <c r="M200" i="83"/>
  <c r="AI142" i="83"/>
  <c r="Y201" i="83"/>
  <c r="AE201" i="83"/>
  <c r="AP143" i="83"/>
  <c r="AK225" i="83"/>
  <c r="AK99" i="71" s="1"/>
  <c r="AK204" i="71" s="1"/>
  <c r="AC167" i="83"/>
  <c r="AC39" i="71" s="1"/>
  <c r="AC144" i="71" s="1"/>
  <c r="AH200" i="83"/>
  <c r="AH73" i="71" s="1"/>
  <c r="AH178" i="71" s="1"/>
  <c r="K200" i="83"/>
  <c r="P171" i="83"/>
  <c r="P43" i="71" s="1"/>
  <c r="P148" i="71" s="1"/>
  <c r="AD142" i="83"/>
  <c r="L230" i="83"/>
  <c r="AJ201" i="83"/>
  <c r="S143" i="83"/>
  <c r="S145" i="72" s="1"/>
  <c r="S215" i="72" s="1"/>
  <c r="S245" i="72" s="1"/>
  <c r="V225" i="83"/>
  <c r="V99" i="71" s="1"/>
  <c r="V204" i="71" s="1"/>
  <c r="AH138" i="83"/>
  <c r="AF139" i="83"/>
  <c r="AI139" i="83"/>
  <c r="AC139" i="83"/>
  <c r="AE168" i="83"/>
  <c r="AG168" i="83"/>
  <c r="AG40" i="71" s="1"/>
  <c r="AG145" i="71" s="1"/>
  <c r="W197" i="83"/>
  <c r="W70" i="71" s="1"/>
  <c r="W175" i="71" s="1"/>
  <c r="AL197" i="83"/>
  <c r="U168" i="83"/>
  <c r="U40" i="71" s="1"/>
  <c r="U145" i="71" s="1"/>
  <c r="AE226" i="83"/>
  <c r="AI181" i="72"/>
  <c r="AI216" i="72" s="1"/>
  <c r="AI246" i="72" s="1"/>
  <c r="AP181" i="72"/>
  <c r="AP216" i="72" s="1"/>
  <c r="AP246" i="72" s="1"/>
  <c r="AL181" i="72"/>
  <c r="AL216" i="72" s="1"/>
  <c r="AL246" i="72" s="1"/>
  <c r="AD226" i="83"/>
  <c r="R139" i="83"/>
  <c r="R141" i="72" s="1"/>
  <c r="R211" i="72" s="1"/>
  <c r="R241" i="72" s="1"/>
  <c r="P197" i="83"/>
  <c r="P70" i="71" s="1"/>
  <c r="P175" i="71" s="1"/>
  <c r="O168" i="83"/>
  <c r="AD139" i="83"/>
  <c r="AJ139" i="83"/>
  <c r="AP226" i="83"/>
  <c r="AP100" i="71" s="1"/>
  <c r="AP205" i="71" s="1"/>
  <c r="X226" i="83"/>
  <c r="X100" i="71" s="1"/>
  <c r="X205" i="71" s="1"/>
  <c r="Y226" i="83"/>
  <c r="AF197" i="83"/>
  <c r="L168" i="83"/>
  <c r="AG139" i="83"/>
  <c r="AA199" i="83"/>
  <c r="L228" i="83"/>
  <c r="O199" i="83"/>
  <c r="N228" i="83"/>
  <c r="AD228" i="83"/>
  <c r="AD102" i="71" s="1"/>
  <c r="AD207" i="71" s="1"/>
  <c r="L199" i="83"/>
  <c r="AB199" i="83"/>
  <c r="AB72" i="71" s="1"/>
  <c r="AB177" i="71" s="1"/>
  <c r="W170" i="83"/>
  <c r="W42" i="71" s="1"/>
  <c r="W147" i="71" s="1"/>
  <c r="S228" i="83"/>
  <c r="AI228" i="83"/>
  <c r="AI102" i="71" s="1"/>
  <c r="AI207" i="71" s="1"/>
  <c r="U199" i="83"/>
  <c r="U72" i="71" s="1"/>
  <c r="U177" i="71" s="1"/>
  <c r="AK199" i="83"/>
  <c r="AK72" i="71" s="1"/>
  <c r="AK177" i="71" s="1"/>
  <c r="J199" i="83"/>
  <c r="Z199" i="83"/>
  <c r="Z72" i="71" s="1"/>
  <c r="Z177" i="71" s="1"/>
  <c r="AP199" i="83"/>
  <c r="AP72" i="71" s="1"/>
  <c r="AP177" i="71" s="1"/>
  <c r="L170" i="83"/>
  <c r="AB170" i="83"/>
  <c r="M170" i="83"/>
  <c r="AC170" i="83"/>
  <c r="J170" i="83"/>
  <c r="Z170" i="83"/>
  <c r="Z42" i="71" s="1"/>
  <c r="Z147" i="71" s="1"/>
  <c r="AN141" i="83"/>
  <c r="AI141" i="83"/>
  <c r="AJ141" i="83"/>
  <c r="O141" i="83"/>
  <c r="O143" i="72" s="1"/>
  <c r="O213" i="72" s="1"/>
  <c r="O243" i="72" s="1"/>
  <c r="M141" i="83"/>
  <c r="M143" i="72" s="1"/>
  <c r="M213" i="72" s="1"/>
  <c r="M243" i="72" s="1"/>
  <c r="AC141" i="83"/>
  <c r="J141" i="83"/>
  <c r="J143" i="72" s="1"/>
  <c r="J213" i="72" s="1"/>
  <c r="J243" i="72" s="1"/>
  <c r="Z141" i="83"/>
  <c r="Z143" i="72" s="1"/>
  <c r="Z213" i="72" s="1"/>
  <c r="Z243" i="72" s="1"/>
  <c r="AP179" i="72"/>
  <c r="AP214" i="72" s="1"/>
  <c r="AP244" i="72" s="1"/>
  <c r="AC179" i="72"/>
  <c r="AC214" i="72" s="1"/>
  <c r="AC244" i="72" s="1"/>
  <c r="AG179" i="72"/>
  <c r="AG214" i="72" s="1"/>
  <c r="AG244" i="72" s="1"/>
  <c r="R226" i="83"/>
  <c r="Y197" i="83"/>
  <c r="AK197" i="83"/>
  <c r="AK70" i="71" s="1"/>
  <c r="AK175" i="71" s="1"/>
  <c r="AA226" i="83"/>
  <c r="AA100" i="71" s="1"/>
  <c r="AA205" i="71" s="1"/>
  <c r="W226" i="83"/>
  <c r="W100" i="71" s="1"/>
  <c r="W205" i="71" s="1"/>
  <c r="AL226" i="83"/>
  <c r="AL100" i="71" s="1"/>
  <c r="AL205" i="71" s="1"/>
  <c r="L226" i="83"/>
  <c r="AB226" i="83"/>
  <c r="J197" i="83"/>
  <c r="Z197" i="83"/>
  <c r="Z70" i="71" s="1"/>
  <c r="Z175" i="71" s="1"/>
  <c r="AP197" i="83"/>
  <c r="AP70" i="71" s="1"/>
  <c r="AP175" i="71" s="1"/>
  <c r="M226" i="83"/>
  <c r="AC226" i="83"/>
  <c r="K197" i="83"/>
  <c r="AA197" i="83"/>
  <c r="AA70" i="71" s="1"/>
  <c r="AA175" i="71" s="1"/>
  <c r="M168" i="83"/>
  <c r="T197" i="83"/>
  <c r="AJ197" i="83"/>
  <c r="AJ70" i="71" s="1"/>
  <c r="AJ175" i="71" s="1"/>
  <c r="J168" i="83"/>
  <c r="Z168" i="83"/>
  <c r="AP168" i="83"/>
  <c r="AP40" i="71" s="1"/>
  <c r="AP145" i="71" s="1"/>
  <c r="S168" i="83"/>
  <c r="AI168" i="83"/>
  <c r="P168" i="83"/>
  <c r="P40" i="71" s="1"/>
  <c r="P145" i="71" s="1"/>
  <c r="AF168" i="83"/>
  <c r="AP139" i="83"/>
  <c r="AK139" i="83"/>
  <c r="AL139" i="83"/>
  <c r="AO139" i="83"/>
  <c r="W139" i="83"/>
  <c r="W141" i="72" s="1"/>
  <c r="W211" i="72" s="1"/>
  <c r="W241" i="72" s="1"/>
  <c r="AM139" i="83"/>
  <c r="X139" i="83"/>
  <c r="AN139" i="83"/>
  <c r="AM226" i="83"/>
  <c r="AM100" i="71" s="1"/>
  <c r="AM205" i="71" s="1"/>
  <c r="Z226" i="83"/>
  <c r="Z100" i="71" s="1"/>
  <c r="Z205" i="71" s="1"/>
  <c r="AO197" i="83"/>
  <c r="AO70" i="71" s="1"/>
  <c r="AO175" i="71" s="1"/>
  <c r="AK168" i="83"/>
  <c r="AK40" i="71" s="1"/>
  <c r="AK145" i="71" s="1"/>
  <c r="AI226" i="83"/>
  <c r="AI100" i="71" s="1"/>
  <c r="AI205" i="71" s="1"/>
  <c r="N226" i="83"/>
  <c r="Q197" i="83"/>
  <c r="Q70" i="71" s="1"/>
  <c r="Q175" i="71" s="1"/>
  <c r="P226" i="83"/>
  <c r="AF226" i="83"/>
  <c r="AF100" i="71" s="1"/>
  <c r="AF205" i="71" s="1"/>
  <c r="N197" i="83"/>
  <c r="AD197" i="83"/>
  <c r="AD70" i="71" s="1"/>
  <c r="AD175" i="71" s="1"/>
  <c r="Y168" i="83"/>
  <c r="Y40" i="71" s="1"/>
  <c r="Y145" i="71" s="1"/>
  <c r="Q226" i="83"/>
  <c r="AG226" i="83"/>
  <c r="O197" i="83"/>
  <c r="AE197" i="83"/>
  <c r="AC168" i="83"/>
  <c r="X197" i="83"/>
  <c r="AN197" i="83"/>
  <c r="N168" i="83"/>
  <c r="AD168" i="83"/>
  <c r="Z139" i="83"/>
  <c r="W168" i="83"/>
  <c r="W40" i="71" s="1"/>
  <c r="W145" i="71" s="1"/>
  <c r="AM168" i="83"/>
  <c r="T168" i="83"/>
  <c r="AJ168" i="83"/>
  <c r="M139" i="83"/>
  <c r="M141" i="72" s="1"/>
  <c r="M211" i="72" s="1"/>
  <c r="M241" i="72" s="1"/>
  <c r="N139" i="83"/>
  <c r="N141" i="72" s="1"/>
  <c r="N211" i="72" s="1"/>
  <c r="N241" i="72" s="1"/>
  <c r="Q139" i="83"/>
  <c r="Q141" i="72" s="1"/>
  <c r="Q211" i="72" s="1"/>
  <c r="Q241" i="72" s="1"/>
  <c r="K139" i="83"/>
  <c r="AA139" i="83"/>
  <c r="AA141" i="72" s="1"/>
  <c r="AA211" i="72" s="1"/>
  <c r="AA241" i="72" s="1"/>
  <c r="L139" i="83"/>
  <c r="L141" i="72" s="1"/>
  <c r="L211" i="72" s="1"/>
  <c r="L241" i="72" s="1"/>
  <c r="AB139" i="83"/>
  <c r="AB141" i="72" s="1"/>
  <c r="AB211" i="72" s="1"/>
  <c r="AB241" i="72" s="1"/>
  <c r="U197" i="83"/>
  <c r="AH226" i="83"/>
  <c r="AH100" i="71" s="1"/>
  <c r="AH205" i="71" s="1"/>
  <c r="O226" i="83"/>
  <c r="M197" i="83"/>
  <c r="V226" i="83"/>
  <c r="V100" i="71" s="1"/>
  <c r="V205" i="71" s="1"/>
  <c r="AG197" i="83"/>
  <c r="AG70" i="71" s="1"/>
  <c r="AG175" i="71" s="1"/>
  <c r="T226" i="83"/>
  <c r="AJ226" i="83"/>
  <c r="R197" i="83"/>
  <c r="R70" i="71" s="1"/>
  <c r="R175" i="71" s="1"/>
  <c r="AH197" i="83"/>
  <c r="AH70" i="71" s="1"/>
  <c r="AH175" i="71" s="1"/>
  <c r="AO168" i="83"/>
  <c r="U226" i="83"/>
  <c r="AK226" i="83"/>
  <c r="AK100" i="71" s="1"/>
  <c r="AK205" i="71" s="1"/>
  <c r="S197" i="83"/>
  <c r="AI197" i="83"/>
  <c r="L197" i="83"/>
  <c r="AB197" i="83"/>
  <c r="AB70" i="71" s="1"/>
  <c r="AB175" i="71" s="1"/>
  <c r="Q168" i="83"/>
  <c r="Q40" i="71" s="1"/>
  <c r="Q145" i="71" s="1"/>
  <c r="R168" i="83"/>
  <c r="R40" i="71" s="1"/>
  <c r="R145" i="71" s="1"/>
  <c r="AH168" i="83"/>
  <c r="K168" i="83"/>
  <c r="AA168" i="83"/>
  <c r="AH139" i="83"/>
  <c r="X168" i="83"/>
  <c r="AN168" i="83"/>
  <c r="U139" i="83"/>
  <c r="U141" i="72" s="1"/>
  <c r="U211" i="72" s="1"/>
  <c r="U241" i="72" s="1"/>
  <c r="V139" i="83"/>
  <c r="V141" i="72" s="1"/>
  <c r="V211" i="72" s="1"/>
  <c r="V241" i="72" s="1"/>
  <c r="Y139" i="83"/>
  <c r="O139" i="83"/>
  <c r="O141" i="72" s="1"/>
  <c r="O211" i="72" s="1"/>
  <c r="O241" i="72" s="1"/>
  <c r="AE139" i="83"/>
  <c r="P139" i="83"/>
  <c r="P141" i="72" s="1"/>
  <c r="P211" i="72" s="1"/>
  <c r="P241" i="72" s="1"/>
  <c r="U97" i="71"/>
  <c r="U202" i="71" s="1"/>
  <c r="Y37" i="71"/>
  <c r="Y142" i="71" s="1"/>
  <c r="P37" i="71"/>
  <c r="P142" i="71" s="1"/>
  <c r="AJ37" i="71"/>
  <c r="AJ142" i="71" s="1"/>
  <c r="Q138" i="72"/>
  <c r="Q208" i="72" s="1"/>
  <c r="Q238" i="72" s="1"/>
  <c r="AD97" i="71"/>
  <c r="AD202" i="71" s="1"/>
  <c r="AJ67" i="71"/>
  <c r="AJ172" i="71" s="1"/>
  <c r="T138" i="72"/>
  <c r="T208" i="72" s="1"/>
  <c r="T238" i="72" s="1"/>
  <c r="AD37" i="71"/>
  <c r="AD142" i="71" s="1"/>
  <c r="AD67" i="71"/>
  <c r="AD172" i="71" s="1"/>
  <c r="Q67" i="71"/>
  <c r="Q172" i="71" s="1"/>
  <c r="AB37" i="71"/>
  <c r="AB142" i="71" s="1"/>
  <c r="AB97" i="71"/>
  <c r="AB202" i="71" s="1"/>
  <c r="AE67" i="71"/>
  <c r="AE172" i="71" s="1"/>
  <c r="AG67" i="71"/>
  <c r="AG172" i="71" s="1"/>
  <c r="AA67" i="71"/>
  <c r="AA172" i="71" s="1"/>
  <c r="M138" i="72"/>
  <c r="M208" i="72" s="1"/>
  <c r="M238" i="72" s="1"/>
  <c r="N138" i="72"/>
  <c r="N208" i="72" s="1"/>
  <c r="N238" i="72" s="1"/>
  <c r="AJ97" i="71"/>
  <c r="AJ202" i="71" s="1"/>
  <c r="Z97" i="71"/>
  <c r="Z202" i="71" s="1"/>
  <c r="U37" i="71"/>
  <c r="U142" i="71" s="1"/>
  <c r="AP67" i="71"/>
  <c r="AP172" i="71" s="1"/>
  <c r="AN67" i="71"/>
  <c r="AN172" i="71" s="1"/>
  <c r="AA138" i="72"/>
  <c r="AA208" i="72" s="1"/>
  <c r="AA238" i="72" s="1"/>
  <c r="AL67" i="71"/>
  <c r="AL172" i="71" s="1"/>
  <c r="AM67" i="71"/>
  <c r="AM172" i="71" s="1"/>
  <c r="V97" i="71"/>
  <c r="V202" i="71" s="1"/>
  <c r="AL37" i="71"/>
  <c r="AL142" i="71" s="1"/>
  <c r="AM97" i="71"/>
  <c r="AM202" i="71" s="1"/>
  <c r="AO97" i="71"/>
  <c r="AO202" i="71" s="1"/>
  <c r="AF67" i="71"/>
  <c r="AF172" i="71" s="1"/>
  <c r="X97" i="71"/>
  <c r="X202" i="71" s="1"/>
  <c r="AN37" i="71"/>
  <c r="AN142" i="71" s="1"/>
  <c r="AE37" i="71"/>
  <c r="AE142" i="71" s="1"/>
  <c r="AA97" i="71"/>
  <c r="AA202" i="71" s="1"/>
  <c r="AC67" i="71"/>
  <c r="AC172" i="71" s="1"/>
  <c r="Q97" i="71"/>
  <c r="Q202" i="71" s="1"/>
  <c r="AG97" i="71"/>
  <c r="AG202" i="71" s="1"/>
  <c r="O138" i="72"/>
  <c r="O208" i="72" s="1"/>
  <c r="O238" i="72" s="1"/>
  <c r="V67" i="71"/>
  <c r="V172" i="71" s="1"/>
  <c r="AN97" i="71"/>
  <c r="AN202" i="71" s="1"/>
  <c r="V37" i="71"/>
  <c r="V142" i="71" s="1"/>
  <c r="Y67" i="71"/>
  <c r="Y172" i="71" s="1"/>
  <c r="AC97" i="71"/>
  <c r="AC202" i="71" s="1"/>
  <c r="Q37" i="71"/>
  <c r="Q142" i="71" s="1"/>
  <c r="Z138" i="72"/>
  <c r="Z208" i="72" s="1"/>
  <c r="Z238" i="72" s="1"/>
  <c r="AB138" i="72"/>
  <c r="AB208" i="72" s="1"/>
  <c r="AB238" i="72" s="1"/>
  <c r="W97" i="71"/>
  <c r="W202" i="71" s="1"/>
  <c r="AO67" i="71"/>
  <c r="AO172" i="71" s="1"/>
  <c r="AA37" i="71"/>
  <c r="AA142" i="71" s="1"/>
  <c r="Y138" i="72"/>
  <c r="Y208" i="72" s="1"/>
  <c r="Y238" i="72" s="1"/>
  <c r="AK97" i="71"/>
  <c r="AK202" i="71" s="1"/>
  <c r="W67" i="71"/>
  <c r="W172" i="71" s="1"/>
  <c r="AM37" i="71"/>
  <c r="AM142" i="71" s="1"/>
  <c r="U138" i="72"/>
  <c r="U208" i="72" s="1"/>
  <c r="U238" i="72" s="1"/>
  <c r="X67" i="71"/>
  <c r="X172" i="71" s="1"/>
  <c r="AE97" i="71"/>
  <c r="AE202" i="71" s="1"/>
  <c r="W37" i="71"/>
  <c r="W142" i="71" s="1"/>
  <c r="AK67" i="71"/>
  <c r="AK172" i="71" s="1"/>
  <c r="V138" i="72"/>
  <c r="V208" i="72" s="1"/>
  <c r="V238" i="72" s="1"/>
  <c r="AI97" i="71"/>
  <c r="AI202" i="71" s="1"/>
  <c r="U67" i="71"/>
  <c r="U172" i="71" s="1"/>
  <c r="Y97" i="71"/>
  <c r="Y202" i="71" s="1"/>
  <c r="P97" i="71"/>
  <c r="P202" i="71" s="1"/>
  <c r="R37" i="71"/>
  <c r="R142" i="71" s="1"/>
  <c r="R97" i="71"/>
  <c r="R202" i="71" s="1"/>
  <c r="AF37" i="71"/>
  <c r="AF142" i="71" s="1"/>
  <c r="AC37" i="71"/>
  <c r="AC142" i="71" s="1"/>
  <c r="W138" i="72"/>
  <c r="W208" i="72" s="1"/>
  <c r="W238" i="72" s="1"/>
  <c r="AH67" i="71"/>
  <c r="AH172" i="71" s="1"/>
  <c r="R67" i="71"/>
  <c r="R172" i="71" s="1"/>
  <c r="P138" i="72"/>
  <c r="P208" i="72" s="1"/>
  <c r="P238" i="72" s="1"/>
  <c r="S285" i="73"/>
  <c r="S48" i="74" s="1"/>
  <c r="S93" i="74" s="1"/>
  <c r="S215" i="73"/>
  <c r="V215" i="73"/>
  <c r="V285" i="73"/>
  <c r="V48" i="74" s="1"/>
  <c r="V93" i="74" s="1"/>
  <c r="N215" i="73"/>
  <c r="N285" i="73"/>
  <c r="N48" i="74" s="1"/>
  <c r="N93" i="74" s="1"/>
  <c r="U284" i="73"/>
  <c r="U47" i="74" s="1"/>
  <c r="U92" i="74" s="1"/>
  <c r="U214" i="73"/>
  <c r="P285" i="73"/>
  <c r="P48" i="74" s="1"/>
  <c r="P93" i="74" s="1"/>
  <c r="P123" i="74" s="1"/>
  <c r="P155" i="74" s="1"/>
  <c r="P215" i="73"/>
  <c r="AB215" i="73"/>
  <c r="AB285" i="73"/>
  <c r="AB48" i="74" s="1"/>
  <c r="AB93" i="74" s="1"/>
  <c r="U285" i="73"/>
  <c r="U48" i="74" s="1"/>
  <c r="U93" i="74" s="1"/>
  <c r="U215" i="73"/>
  <c r="L215" i="73"/>
  <c r="L285" i="73"/>
  <c r="L48" i="74" s="1"/>
  <c r="L93" i="74" s="1"/>
  <c r="Y215" i="73"/>
  <c r="Y285" i="73"/>
  <c r="Y48" i="74" s="1"/>
  <c r="Y93" i="74" s="1"/>
  <c r="Q215" i="73"/>
  <c r="Q285" i="73"/>
  <c r="Q48" i="74" s="1"/>
  <c r="Q93" i="74" s="1"/>
  <c r="Q123" i="74" s="1"/>
  <c r="Q155" i="74" s="1"/>
  <c r="AA285" i="73"/>
  <c r="AA48" i="74" s="1"/>
  <c r="AA93" i="74" s="1"/>
  <c r="AA215" i="73"/>
  <c r="R215" i="73"/>
  <c r="R285" i="73"/>
  <c r="R48" i="74" s="1"/>
  <c r="R93" i="74" s="1"/>
  <c r="R123" i="74" s="1"/>
  <c r="R155" i="74" s="1"/>
  <c r="W215" i="73"/>
  <c r="W285" i="73"/>
  <c r="W48" i="74" s="1"/>
  <c r="W93" i="74" s="1"/>
  <c r="O285" i="73"/>
  <c r="O48" i="74" s="1"/>
  <c r="O93" i="74" s="1"/>
  <c r="O215" i="73"/>
  <c r="T215" i="73"/>
  <c r="T285" i="73"/>
  <c r="T48" i="74" s="1"/>
  <c r="T93" i="74" s="1"/>
  <c r="X285" i="73"/>
  <c r="X48" i="74" s="1"/>
  <c r="X93" i="74" s="1"/>
  <c r="X215" i="73"/>
  <c r="J141" i="72"/>
  <c r="J211" i="72" s="1"/>
  <c r="J241" i="72" s="1"/>
  <c r="Z210" i="73"/>
  <c r="Z280" i="73"/>
  <c r="Z43" i="74" s="1"/>
  <c r="Z88" i="74" s="1"/>
  <c r="P103" i="71"/>
  <c r="P208" i="71" s="1"/>
  <c r="AA208" i="73"/>
  <c r="AA278" i="73"/>
  <c r="AA41" i="74" s="1"/>
  <c r="AA86" i="74" s="1"/>
  <c r="R74" i="71"/>
  <c r="R179" i="71" s="1"/>
  <c r="Z215" i="73"/>
  <c r="Z285" i="73"/>
  <c r="Z48" i="74" s="1"/>
  <c r="Z93" i="74" s="1"/>
  <c r="K215" i="73"/>
  <c r="K285" i="73"/>
  <c r="K48" i="74" s="1"/>
  <c r="K93" i="74" s="1"/>
  <c r="M285" i="73"/>
  <c r="M48" i="74" s="1"/>
  <c r="M93" i="74" s="1"/>
  <c r="M215" i="73"/>
  <c r="J285" i="73"/>
  <c r="J48" i="74" s="1"/>
  <c r="J93" i="74" s="1"/>
  <c r="J215" i="73"/>
  <c r="K276" i="73" l="1"/>
  <c r="K39" i="74" s="1"/>
  <c r="K84" i="74" s="1"/>
  <c r="Y206" i="73"/>
  <c r="P208" i="73"/>
  <c r="V278" i="73"/>
  <c r="V41" i="74" s="1"/>
  <c r="V86" i="74" s="1"/>
  <c r="N208" i="73"/>
  <c r="J213" i="73"/>
  <c r="Q283" i="73"/>
  <c r="Q46" i="74" s="1"/>
  <c r="Q91" i="74" s="1"/>
  <c r="Q121" i="74" s="1"/>
  <c r="Q153" i="74" s="1"/>
  <c r="Z278" i="73"/>
  <c r="Z41" i="74" s="1"/>
  <c r="Z86" i="74" s="1"/>
  <c r="U213" i="73"/>
  <c r="S213" i="73"/>
  <c r="T206" i="73"/>
  <c r="Y283" i="73"/>
  <c r="Y46" i="74" s="1"/>
  <c r="Y91" i="74" s="1"/>
  <c r="K283" i="73"/>
  <c r="K46" i="74" s="1"/>
  <c r="K91" i="74" s="1"/>
  <c r="U278" i="73"/>
  <c r="U41" i="74" s="1"/>
  <c r="U86" i="74" s="1"/>
  <c r="V283" i="73"/>
  <c r="V46" i="74" s="1"/>
  <c r="V91" i="74" s="1"/>
  <c r="W206" i="73"/>
  <c r="AB213" i="73"/>
  <c r="Q206" i="73"/>
  <c r="P213" i="73"/>
  <c r="Z276" i="73"/>
  <c r="Z39" i="74" s="1"/>
  <c r="Z84" i="74" s="1"/>
  <c r="N206" i="73"/>
  <c r="J208" i="73"/>
  <c r="M276" i="73"/>
  <c r="M39" i="74" s="1"/>
  <c r="M84" i="74" s="1"/>
  <c r="N283" i="73"/>
  <c r="N46" i="74" s="1"/>
  <c r="N91" i="74" s="1"/>
  <c r="AB276" i="73"/>
  <c r="AB39" i="74" s="1"/>
  <c r="AB84" i="74" s="1"/>
  <c r="O283" i="73"/>
  <c r="O46" i="74" s="1"/>
  <c r="O91" i="74" s="1"/>
  <c r="X208" i="73"/>
  <c r="U276" i="73"/>
  <c r="U39" i="74" s="1"/>
  <c r="U84" i="74" s="1"/>
  <c r="Q208" i="73"/>
  <c r="T208" i="73"/>
  <c r="P206" i="73"/>
  <c r="R208" i="73"/>
  <c r="O276" i="73"/>
  <c r="O39" i="74" s="1"/>
  <c r="O84" i="74" s="1"/>
  <c r="O278" i="73"/>
  <c r="O41" i="74" s="1"/>
  <c r="O86" i="74" s="1"/>
  <c r="Y208" i="73"/>
  <c r="M278" i="73"/>
  <c r="M41" i="74" s="1"/>
  <c r="M86" i="74" s="1"/>
  <c r="S292" i="83"/>
  <c r="AD292" i="83"/>
  <c r="AK292" i="83"/>
  <c r="T292" i="83"/>
  <c r="AO292" i="83"/>
  <c r="N292" i="83"/>
  <c r="O292" i="83"/>
  <c r="AA292" i="83"/>
  <c r="V292" i="83"/>
  <c r="AH292" i="83"/>
  <c r="Y292" i="83"/>
  <c r="AJ292" i="83"/>
  <c r="AC292" i="83"/>
  <c r="Q292" i="83"/>
  <c r="AF292" i="83"/>
  <c r="R292" i="83"/>
  <c r="AL292" i="83"/>
  <c r="AM292" i="83"/>
  <c r="W292" i="83"/>
  <c r="L292" i="83"/>
  <c r="U292" i="83"/>
  <c r="P292" i="83"/>
  <c r="AE292" i="83"/>
  <c r="M292" i="83"/>
  <c r="AG292" i="83"/>
  <c r="AN292" i="83"/>
  <c r="J292" i="83"/>
  <c r="AP292" i="83"/>
  <c r="AA276" i="73"/>
  <c r="AA39" i="74" s="1"/>
  <c r="AA84" i="74" s="1"/>
  <c r="K292" i="83"/>
  <c r="AB292" i="83"/>
  <c r="AI292" i="83"/>
  <c r="X292" i="83"/>
  <c r="Z292" i="83"/>
  <c r="AA213" i="73"/>
  <c r="L208" i="73"/>
  <c r="AB208" i="73"/>
  <c r="V206" i="73"/>
  <c r="R206" i="73"/>
  <c r="J206" i="73"/>
  <c r="M283" i="73"/>
  <c r="M46" i="74" s="1"/>
  <c r="M91" i="74" s="1"/>
  <c r="S278" i="73"/>
  <c r="S41" i="74" s="1"/>
  <c r="S86" i="74" s="1"/>
  <c r="X283" i="73"/>
  <c r="X46" i="74" s="1"/>
  <c r="X91" i="74" s="1"/>
  <c r="L213" i="73"/>
  <c r="S276" i="73"/>
  <c r="S39" i="74" s="1"/>
  <c r="S84" i="74" s="1"/>
  <c r="L276" i="73"/>
  <c r="L39" i="74" s="1"/>
  <c r="L84" i="74" s="1"/>
  <c r="K208" i="73"/>
  <c r="Z283" i="73"/>
  <c r="Z46" i="74" s="1"/>
  <c r="Z91" i="74" s="1"/>
  <c r="W208" i="73"/>
  <c r="X206" i="73"/>
  <c r="W283" i="73"/>
  <c r="W46" i="74" s="1"/>
  <c r="W91" i="74" s="1"/>
  <c r="R283" i="73"/>
  <c r="R46" i="74" s="1"/>
  <c r="R91" i="74" s="1"/>
  <c r="R121" i="74" s="1"/>
  <c r="R153" i="74" s="1"/>
  <c r="T279" i="73"/>
  <c r="T42" i="74" s="1"/>
  <c r="T87" i="74" s="1"/>
  <c r="P279" i="73"/>
  <c r="P42" i="74" s="1"/>
  <c r="P87" i="74" s="1"/>
  <c r="P117" i="74" s="1"/>
  <c r="P149" i="74" s="1"/>
  <c r="V209" i="73"/>
  <c r="Q279" i="73"/>
  <c r="Q42" i="74" s="1"/>
  <c r="Q87" i="74" s="1"/>
  <c r="Q117" i="74" s="1"/>
  <c r="Q149" i="74" s="1"/>
  <c r="T283" i="73"/>
  <c r="T46" i="74" s="1"/>
  <c r="T91" i="74" s="1"/>
  <c r="AB279" i="73"/>
  <c r="AB42" i="74" s="1"/>
  <c r="AB87" i="74" s="1"/>
  <c r="W209" i="73"/>
  <c r="Z209" i="73"/>
  <c r="Z256" i="73" s="1"/>
  <c r="Z24" i="41" s="1"/>
  <c r="S209" i="73"/>
  <c r="S282" i="73"/>
  <c r="S45" i="74" s="1"/>
  <c r="S90" i="74" s="1"/>
  <c r="R209" i="73"/>
  <c r="R212" i="73"/>
  <c r="N209" i="73"/>
  <c r="K279" i="73"/>
  <c r="K42" i="74" s="1"/>
  <c r="K87" i="74" s="1"/>
  <c r="O279" i="73"/>
  <c r="O42" i="74" s="1"/>
  <c r="O87" i="74" s="1"/>
  <c r="N282" i="73"/>
  <c r="N45" i="74" s="1"/>
  <c r="N90" i="74" s="1"/>
  <c r="X212" i="73"/>
  <c r="X279" i="73"/>
  <c r="X42" i="74" s="1"/>
  <c r="X87" i="74" s="1"/>
  <c r="L209" i="73"/>
  <c r="V210" i="73"/>
  <c r="Y209" i="73"/>
  <c r="Y207" i="73"/>
  <c r="AM105" i="71"/>
  <c r="AM210" i="71" s="1"/>
  <c r="J212" i="73"/>
  <c r="P212" i="73"/>
  <c r="T282" i="73"/>
  <c r="T45" i="74" s="1"/>
  <c r="T90" i="74" s="1"/>
  <c r="U279" i="73"/>
  <c r="U42" i="74" s="1"/>
  <c r="U87" i="74" s="1"/>
  <c r="M209" i="73"/>
  <c r="O282" i="73"/>
  <c r="O45" i="74" s="1"/>
  <c r="O90" i="74" s="1"/>
  <c r="Q282" i="73"/>
  <c r="Q45" i="74" s="1"/>
  <c r="Q90" i="74" s="1"/>
  <c r="Q120" i="74" s="1"/>
  <c r="Q152" i="74" s="1"/>
  <c r="AA279" i="73"/>
  <c r="AA42" i="74" s="1"/>
  <c r="AA87" i="74" s="1"/>
  <c r="J279" i="73"/>
  <c r="J42" i="74" s="1"/>
  <c r="J87" i="74" s="1"/>
  <c r="V282" i="73"/>
  <c r="V45" i="74" s="1"/>
  <c r="V90" i="74" s="1"/>
  <c r="J280" i="73"/>
  <c r="J43" i="74" s="1"/>
  <c r="J88" i="74" s="1"/>
  <c r="AB282" i="73"/>
  <c r="AB45" i="74" s="1"/>
  <c r="AB90" i="74" s="1"/>
  <c r="Y282" i="73"/>
  <c r="Y45" i="74" s="1"/>
  <c r="Y90" i="74" s="1"/>
  <c r="AB207" i="73"/>
  <c r="M212" i="73"/>
  <c r="AA280" i="73"/>
  <c r="AA43" i="74" s="1"/>
  <c r="AA88" i="74" s="1"/>
  <c r="N284" i="73"/>
  <c r="N47" i="74" s="1"/>
  <c r="N92" i="74" s="1"/>
  <c r="L212" i="73"/>
  <c r="AA282" i="73"/>
  <c r="AA45" i="74" s="1"/>
  <c r="AA90" i="74" s="1"/>
  <c r="Z282" i="73"/>
  <c r="Z45" i="74" s="1"/>
  <c r="Z90" i="74" s="1"/>
  <c r="W282" i="73"/>
  <c r="W45" i="74" s="1"/>
  <c r="W90" i="74" s="1"/>
  <c r="K212" i="73"/>
  <c r="U212" i="73"/>
  <c r="T281" i="73"/>
  <c r="T44" i="74" s="1"/>
  <c r="T89" i="74" s="1"/>
  <c r="AN75" i="71"/>
  <c r="AN180" i="71" s="1"/>
  <c r="X105" i="71"/>
  <c r="X210" i="71" s="1"/>
  <c r="AJ45" i="71"/>
  <c r="AJ150" i="71" s="1"/>
  <c r="X214" i="73"/>
  <c r="Y280" i="73"/>
  <c r="Y43" i="74" s="1"/>
  <c r="Y88" i="74" s="1"/>
  <c r="R105" i="71"/>
  <c r="R210" i="71" s="1"/>
  <c r="Q277" i="73"/>
  <c r="Q40" i="74" s="1"/>
  <c r="Q85" i="74" s="1"/>
  <c r="Q115" i="74" s="1"/>
  <c r="Q147" i="74" s="1"/>
  <c r="AH207" i="72"/>
  <c r="AH237" i="72" s="1"/>
  <c r="AH250" i="72" s="1"/>
  <c r="AH26" i="41" s="1"/>
  <c r="AH150" i="41" s="1"/>
  <c r="K207" i="72"/>
  <c r="K237" i="72" s="1"/>
  <c r="O207" i="72"/>
  <c r="O237" i="72" s="1"/>
  <c r="O250" i="72" s="1"/>
  <c r="O26" i="41" s="1"/>
  <c r="AD207" i="72"/>
  <c r="AD237" i="72" s="1"/>
  <c r="AD250" i="72" s="1"/>
  <c r="AD26" i="41" s="1"/>
  <c r="AD150" i="41" s="1"/>
  <c r="AG207" i="72"/>
  <c r="AG237" i="72" s="1"/>
  <c r="AG250" i="72" s="1"/>
  <c r="AG26" i="41" s="1"/>
  <c r="AG150" i="41" s="1"/>
  <c r="Z207" i="72"/>
  <c r="Z237" i="72" s="1"/>
  <c r="R207" i="72"/>
  <c r="R237" i="72" s="1"/>
  <c r="R250" i="72" s="1"/>
  <c r="R26" i="41" s="1"/>
  <c r="AA207" i="72"/>
  <c r="AA237" i="72" s="1"/>
  <c r="AA250" i="72" s="1"/>
  <c r="AA26" i="41" s="1"/>
  <c r="Y207" i="72"/>
  <c r="Y237" i="72" s="1"/>
  <c r="AE207" i="72"/>
  <c r="AE237" i="72" s="1"/>
  <c r="AE250" i="72" s="1"/>
  <c r="AE26" i="41" s="1"/>
  <c r="AE51" i="41" s="1"/>
  <c r="AO207" i="72"/>
  <c r="AO237" i="72" s="1"/>
  <c r="AO250" i="72" s="1"/>
  <c r="AO26" i="41" s="1"/>
  <c r="AO26" i="65" s="1"/>
  <c r="AO84" i="65" s="1"/>
  <c r="AO95" i="65" s="1"/>
  <c r="AM207" i="72"/>
  <c r="AM237" i="72" s="1"/>
  <c r="AM250" i="72" s="1"/>
  <c r="AM26" i="41" s="1"/>
  <c r="AM51" i="41" s="1"/>
  <c r="AP207" i="72"/>
  <c r="AP237" i="72" s="1"/>
  <c r="AP250" i="72" s="1"/>
  <c r="AP26" i="41" s="1"/>
  <c r="AP150" i="41" s="1"/>
  <c r="AN207" i="72"/>
  <c r="AN237" i="72" s="1"/>
  <c r="AN250" i="72" s="1"/>
  <c r="AN26" i="41" s="1"/>
  <c r="AN26" i="65" s="1"/>
  <c r="AN84" i="65" s="1"/>
  <c r="AN95" i="65" s="1"/>
  <c r="AN51" i="105" s="1"/>
  <c r="P207" i="72"/>
  <c r="P237" i="72" s="1"/>
  <c r="S207" i="72"/>
  <c r="S237" i="72" s="1"/>
  <c r="S250" i="72" s="1"/>
  <c r="S26" i="41" s="1"/>
  <c r="N207" i="72"/>
  <c r="N237" i="72" s="1"/>
  <c r="N250" i="72" s="1"/>
  <c r="N26" i="41" s="1"/>
  <c r="L207" i="72"/>
  <c r="L237" i="72" s="1"/>
  <c r="AI207" i="72"/>
  <c r="AI237" i="72" s="1"/>
  <c r="AI250" i="72" s="1"/>
  <c r="AI26" i="41" s="1"/>
  <c r="AI51" i="41" s="1"/>
  <c r="AK207" i="72"/>
  <c r="AK237" i="72" s="1"/>
  <c r="AK250" i="72" s="1"/>
  <c r="AK26" i="41" s="1"/>
  <c r="AK26" i="65" s="1"/>
  <c r="AK84" i="65" s="1"/>
  <c r="AK95" i="65" s="1"/>
  <c r="AF207" i="72"/>
  <c r="AF237" i="72" s="1"/>
  <c r="AF250" i="72" s="1"/>
  <c r="AF26" i="41" s="1"/>
  <c r="AF51" i="41" s="1"/>
  <c r="W207" i="72"/>
  <c r="W237" i="72" s="1"/>
  <c r="U207" i="72"/>
  <c r="U237" i="72" s="1"/>
  <c r="U250" i="72" s="1"/>
  <c r="U26" i="41" s="1"/>
  <c r="AB207" i="72"/>
  <c r="AB237" i="72" s="1"/>
  <c r="AB250" i="72" s="1"/>
  <c r="AB26" i="41" s="1"/>
  <c r="M207" i="72"/>
  <c r="M237" i="72" s="1"/>
  <c r="M250" i="72" s="1"/>
  <c r="M26" i="41" s="1"/>
  <c r="X207" i="72"/>
  <c r="X237" i="72" s="1"/>
  <c r="Q207" i="72"/>
  <c r="Q237" i="72" s="1"/>
  <c r="Q250" i="72" s="1"/>
  <c r="Q26" i="41" s="1"/>
  <c r="V207" i="72"/>
  <c r="V237" i="72" s="1"/>
  <c r="V250" i="72" s="1"/>
  <c r="V26" i="41" s="1"/>
  <c r="V26" i="65" s="1"/>
  <c r="V84" i="65" s="1"/>
  <c r="V95" i="65" s="1"/>
  <c r="AC207" i="72"/>
  <c r="AC237" i="72" s="1"/>
  <c r="AC250" i="72" s="1"/>
  <c r="AC26" i="41" s="1"/>
  <c r="AJ207" i="72"/>
  <c r="AJ237" i="72" s="1"/>
  <c r="AJ250" i="72" s="1"/>
  <c r="AJ26" i="41" s="1"/>
  <c r="AJ26" i="65" s="1"/>
  <c r="AJ84" i="65" s="1"/>
  <c r="AJ95" i="65" s="1"/>
  <c r="AJ51" i="105" s="1"/>
  <c r="T207" i="72"/>
  <c r="T237" i="72" s="1"/>
  <c r="T250" i="72" s="1"/>
  <c r="T26" i="41" s="1"/>
  <c r="P207" i="73"/>
  <c r="J207" i="73"/>
  <c r="K281" i="73"/>
  <c r="K44" i="74" s="1"/>
  <c r="K89" i="74" s="1"/>
  <c r="AI75" i="71"/>
  <c r="AI180" i="71" s="1"/>
  <c r="R207" i="73"/>
  <c r="AA75" i="71"/>
  <c r="AA180" i="71" s="1"/>
  <c r="X280" i="73"/>
  <c r="X43" i="74" s="1"/>
  <c r="X88" i="74" s="1"/>
  <c r="P210" i="73"/>
  <c r="AB281" i="73"/>
  <c r="AB44" i="74" s="1"/>
  <c r="AB89" i="74" s="1"/>
  <c r="Y105" i="71"/>
  <c r="Y210" i="71" s="1"/>
  <c r="P105" i="71"/>
  <c r="P210" i="71" s="1"/>
  <c r="AF105" i="71"/>
  <c r="AF210" i="71" s="1"/>
  <c r="AM45" i="71"/>
  <c r="AM150" i="71" s="1"/>
  <c r="AN105" i="71"/>
  <c r="AN210" i="71" s="1"/>
  <c r="AD105" i="71"/>
  <c r="AD210" i="71" s="1"/>
  <c r="AE98" i="71"/>
  <c r="AE203" i="71" s="1"/>
  <c r="AM101" i="71"/>
  <c r="AM206" i="71" s="1"/>
  <c r="AF98" i="71"/>
  <c r="AF203" i="71" s="1"/>
  <c r="AF38" i="71"/>
  <c r="AF143" i="71" s="1"/>
  <c r="Y36" i="71"/>
  <c r="Y141" i="71" s="1"/>
  <c r="Y217" i="71" s="1"/>
  <c r="Y20" i="41" s="1"/>
  <c r="AJ36" i="71"/>
  <c r="AJ141" i="71" s="1"/>
  <c r="AL36" i="71"/>
  <c r="AL141" i="71" s="1"/>
  <c r="AL217" i="71" s="1"/>
  <c r="AL20" i="41" s="1"/>
  <c r="AI66" i="71"/>
  <c r="AI171" i="71" s="1"/>
  <c r="N274" i="83"/>
  <c r="AO66" i="71"/>
  <c r="AO171" i="71" s="1"/>
  <c r="R36" i="71"/>
  <c r="R141" i="71" s="1"/>
  <c r="R217" i="71" s="1"/>
  <c r="R20" i="41" s="1"/>
  <c r="AM96" i="71"/>
  <c r="AM201" i="71" s="1"/>
  <c r="AP96" i="71"/>
  <c r="AP201" i="71" s="1"/>
  <c r="U66" i="71"/>
  <c r="U171" i="71" s="1"/>
  <c r="AA36" i="71"/>
  <c r="AA141" i="71" s="1"/>
  <c r="AP36" i="71"/>
  <c r="AP141" i="71" s="1"/>
  <c r="AP217" i="71" s="1"/>
  <c r="AP20" i="41" s="1"/>
  <c r="R66" i="71"/>
  <c r="R171" i="71" s="1"/>
  <c r="R218" i="71" s="1"/>
  <c r="R21" i="41" s="1"/>
  <c r="T274" i="83"/>
  <c r="S273" i="83"/>
  <c r="AL66" i="71"/>
  <c r="AL171" i="71" s="1"/>
  <c r="V96" i="71"/>
  <c r="V201" i="71" s="1"/>
  <c r="V219" i="71" s="1"/>
  <c r="V22" i="41" s="1"/>
  <c r="AM36" i="71"/>
  <c r="AM141" i="71" s="1"/>
  <c r="K274" i="83"/>
  <c r="AL96" i="71"/>
  <c r="AL201" i="71" s="1"/>
  <c r="AL219" i="71" s="1"/>
  <c r="AL22" i="41" s="1"/>
  <c r="T275" i="83"/>
  <c r="AH75" i="71"/>
  <c r="AH180" i="71" s="1"/>
  <c r="AH218" i="71" s="1"/>
  <c r="AH21" i="41" s="1"/>
  <c r="M273" i="83"/>
  <c r="N273" i="83"/>
  <c r="K275" i="83"/>
  <c r="U96" i="71"/>
  <c r="U201" i="71" s="1"/>
  <c r="AH36" i="71"/>
  <c r="AH141" i="71" s="1"/>
  <c r="L274" i="83"/>
  <c r="AH96" i="71"/>
  <c r="AH201" i="71" s="1"/>
  <c r="AH219" i="71" s="1"/>
  <c r="AH22" i="41" s="1"/>
  <c r="X36" i="71"/>
  <c r="X141" i="71" s="1"/>
  <c r="AG66" i="71"/>
  <c r="AG171" i="71" s="1"/>
  <c r="AG218" i="71" s="1"/>
  <c r="AG21" i="41" s="1"/>
  <c r="Q36" i="71"/>
  <c r="Q141" i="71" s="1"/>
  <c r="Q217" i="71" s="1"/>
  <c r="Q20" i="41" s="1"/>
  <c r="Q20" i="65" s="1"/>
  <c r="AN96" i="71"/>
  <c r="AN201" i="71" s="1"/>
  <c r="O274" i="83"/>
  <c r="AA66" i="71"/>
  <c r="AA171" i="71" s="1"/>
  <c r="L273" i="83"/>
  <c r="V36" i="71"/>
  <c r="V141" i="71" s="1"/>
  <c r="V217" i="71" s="1"/>
  <c r="V20" i="41" s="1"/>
  <c r="V45" i="41" s="1"/>
  <c r="S274" i="83"/>
  <c r="Q66" i="71"/>
  <c r="Q171" i="71" s="1"/>
  <c r="P66" i="71"/>
  <c r="P171" i="71" s="1"/>
  <c r="P218" i="71" s="1"/>
  <c r="P21" i="41" s="1"/>
  <c r="J274" i="83"/>
  <c r="W36" i="71"/>
  <c r="W141" i="71" s="1"/>
  <c r="U36" i="71"/>
  <c r="U141" i="71" s="1"/>
  <c r="AP66" i="71"/>
  <c r="AP171" i="71" s="1"/>
  <c r="AP218" i="71" s="1"/>
  <c r="AP21" i="41" s="1"/>
  <c r="AP21" i="65" s="1"/>
  <c r="AP79" i="65" s="1"/>
  <c r="AP90" i="65" s="1"/>
  <c r="AP46" i="105" s="1"/>
  <c r="W96" i="71"/>
  <c r="W201" i="71" s="1"/>
  <c r="AG96" i="71"/>
  <c r="AG201" i="71" s="1"/>
  <c r="AE96" i="71"/>
  <c r="AE201" i="71" s="1"/>
  <c r="AO96" i="71"/>
  <c r="AO201" i="71" s="1"/>
  <c r="AO219" i="71" s="1"/>
  <c r="AO22" i="41" s="1"/>
  <c r="AK66" i="71"/>
  <c r="AK171" i="71" s="1"/>
  <c r="AK218" i="71" s="1"/>
  <c r="AK21" i="41" s="1"/>
  <c r="L275" i="83"/>
  <c r="V66" i="71"/>
  <c r="V171" i="71" s="1"/>
  <c r="J273" i="83"/>
  <c r="P36" i="71"/>
  <c r="P141" i="71" s="1"/>
  <c r="P217" i="71" s="1"/>
  <c r="P20" i="41" s="1"/>
  <c r="Y66" i="71"/>
  <c r="Y171" i="71" s="1"/>
  <c r="K273" i="83"/>
  <c r="N275" i="83"/>
  <c r="AB36" i="71"/>
  <c r="AB141" i="71" s="1"/>
  <c r="AI36" i="71"/>
  <c r="AI141" i="71" s="1"/>
  <c r="M275" i="83"/>
  <c r="O275" i="83"/>
  <c r="AE36" i="71"/>
  <c r="AE141" i="71" s="1"/>
  <c r="AK36" i="71"/>
  <c r="AK141" i="71" s="1"/>
  <c r="AA96" i="71"/>
  <c r="AA201" i="71" s="1"/>
  <c r="AD96" i="71"/>
  <c r="AD201" i="71" s="1"/>
  <c r="AG36" i="71"/>
  <c r="AG141" i="71" s="1"/>
  <c r="AB66" i="71"/>
  <c r="AB171" i="71" s="1"/>
  <c r="AB218" i="71" s="1"/>
  <c r="AB21" i="41" s="1"/>
  <c r="T273" i="83"/>
  <c r="AB96" i="71"/>
  <c r="AB201" i="71" s="1"/>
  <c r="AO36" i="71"/>
  <c r="AO141" i="71" s="1"/>
  <c r="S275" i="83"/>
  <c r="AC96" i="71"/>
  <c r="AC201" i="71" s="1"/>
  <c r="W66" i="71"/>
  <c r="W171" i="71" s="1"/>
  <c r="O273" i="83"/>
  <c r="Z36" i="71"/>
  <c r="Z141" i="71" s="1"/>
  <c r="M274" i="83"/>
  <c r="J275" i="83"/>
  <c r="AD45" i="71"/>
  <c r="AD150" i="71" s="1"/>
  <c r="N207" i="73"/>
  <c r="Y281" i="73"/>
  <c r="Y44" i="74" s="1"/>
  <c r="Y89" i="74" s="1"/>
  <c r="AJ105" i="71"/>
  <c r="AJ210" i="71" s="1"/>
  <c r="L210" i="73"/>
  <c r="M210" i="73"/>
  <c r="AC70" i="71"/>
  <c r="AC175" i="71" s="1"/>
  <c r="AC36" i="71"/>
  <c r="AC141" i="71" s="1"/>
  <c r="W280" i="73"/>
  <c r="W43" i="74" s="1"/>
  <c r="W88" i="74" s="1"/>
  <c r="AN100" i="71"/>
  <c r="AN205" i="71" s="1"/>
  <c r="AJ96" i="71"/>
  <c r="AJ201" i="71" s="1"/>
  <c r="M281" i="73"/>
  <c r="M44" i="74" s="1"/>
  <c r="M89" i="74" s="1"/>
  <c r="AD98" i="71"/>
  <c r="AD203" i="71" s="1"/>
  <c r="S211" i="73"/>
  <c r="AN102" i="71"/>
  <c r="AN207" i="71" s="1"/>
  <c r="X66" i="71"/>
  <c r="X171" i="71" s="1"/>
  <c r="T207" i="73"/>
  <c r="Q101" i="71"/>
  <c r="Q206" i="71" s="1"/>
  <c r="W277" i="73"/>
  <c r="W40" i="74" s="1"/>
  <c r="W85" i="74" s="1"/>
  <c r="V207" i="73"/>
  <c r="V211" i="73"/>
  <c r="R281" i="73"/>
  <c r="R44" i="74" s="1"/>
  <c r="R89" i="74" s="1"/>
  <c r="R119" i="74" s="1"/>
  <c r="R151" i="74" s="1"/>
  <c r="Z96" i="71"/>
  <c r="Z201" i="71" s="1"/>
  <c r="W284" i="73"/>
  <c r="W47" i="74" s="1"/>
  <c r="W92" i="74" s="1"/>
  <c r="U280" i="73"/>
  <c r="U43" i="74" s="1"/>
  <c r="U88" i="74" s="1"/>
  <c r="T210" i="73"/>
  <c r="Z99" i="71"/>
  <c r="Z204" i="71" s="1"/>
  <c r="AC72" i="71"/>
  <c r="AC177" i="71" s="1"/>
  <c r="Z257" i="73"/>
  <c r="Z25" i="41" s="1"/>
  <c r="Z149" i="41" s="1"/>
  <c r="N210" i="73"/>
  <c r="U211" i="73"/>
  <c r="Y96" i="71"/>
  <c r="Y201" i="71" s="1"/>
  <c r="M214" i="73"/>
  <c r="AD36" i="71"/>
  <c r="AD141" i="71" s="1"/>
  <c r="L277" i="73"/>
  <c r="L40" i="74" s="1"/>
  <c r="L85" i="74" s="1"/>
  <c r="X207" i="73"/>
  <c r="AN38" i="71"/>
  <c r="AN143" i="71" s="1"/>
  <c r="AA98" i="71"/>
  <c r="AA203" i="71" s="1"/>
  <c r="AN41" i="71"/>
  <c r="AN146" i="71" s="1"/>
  <c r="Z281" i="73"/>
  <c r="Z44" i="74" s="1"/>
  <c r="Z89" i="74" s="1"/>
  <c r="AD72" i="71"/>
  <c r="AD177" i="71" s="1"/>
  <c r="R101" i="71"/>
  <c r="R206" i="71" s="1"/>
  <c r="AF42" i="71"/>
  <c r="AF147" i="71" s="1"/>
  <c r="P102" i="71"/>
  <c r="P207" i="71" s="1"/>
  <c r="AA69" i="71"/>
  <c r="AA174" i="71" s="1"/>
  <c r="AC69" i="71"/>
  <c r="AC174" i="71" s="1"/>
  <c r="Q280" i="73"/>
  <c r="Q43" i="74" s="1"/>
  <c r="Q88" i="74" s="1"/>
  <c r="Q118" i="74" s="1"/>
  <c r="Q150" i="74" s="1"/>
  <c r="P98" i="71"/>
  <c r="P203" i="71" s="1"/>
  <c r="Y102" i="71"/>
  <c r="Y207" i="71" s="1"/>
  <c r="AD39" i="71"/>
  <c r="AD144" i="71" s="1"/>
  <c r="AA103" i="71"/>
  <c r="AA208" i="71" s="1"/>
  <c r="Z277" i="73"/>
  <c r="Z40" i="74" s="1"/>
  <c r="Z85" i="74" s="1"/>
  <c r="Y284" i="73"/>
  <c r="Y47" i="74" s="1"/>
  <c r="Y92" i="74" s="1"/>
  <c r="R98" i="71"/>
  <c r="R203" i="71" s="1"/>
  <c r="AN99" i="71"/>
  <c r="AN204" i="71" s="1"/>
  <c r="S280" i="73"/>
  <c r="S43" i="74" s="1"/>
  <c r="S88" i="74" s="1"/>
  <c r="Q281" i="73"/>
  <c r="Q44" i="74" s="1"/>
  <c r="Q89" i="74" s="1"/>
  <c r="Q119" i="74" s="1"/>
  <c r="Q151" i="74" s="1"/>
  <c r="AM44" i="71"/>
  <c r="AM149" i="71" s="1"/>
  <c r="W257" i="73"/>
  <c r="W25" i="41" s="1"/>
  <c r="W149" i="41" s="1"/>
  <c r="V257" i="73"/>
  <c r="V25" i="41" s="1"/>
  <c r="V149" i="41" s="1"/>
  <c r="K257" i="73"/>
  <c r="K25" i="41" s="1"/>
  <c r="K149" i="41" s="1"/>
  <c r="AB257" i="73"/>
  <c r="AB25" i="41" s="1"/>
  <c r="AB50" i="41" s="1"/>
  <c r="T214" i="73"/>
  <c r="K210" i="73"/>
  <c r="N281" i="73"/>
  <c r="N44" i="74" s="1"/>
  <c r="N89" i="74" s="1"/>
  <c r="Z102" i="71"/>
  <c r="Z207" i="71" s="1"/>
  <c r="AE66" i="71"/>
  <c r="AE171" i="71" s="1"/>
  <c r="AJ42" i="71"/>
  <c r="AJ147" i="71" s="1"/>
  <c r="AA214" i="73"/>
  <c r="X96" i="71"/>
  <c r="X201" i="71" s="1"/>
  <c r="AE72" i="71"/>
  <c r="AE177" i="71" s="1"/>
  <c r="AM71" i="71"/>
  <c r="AM176" i="71" s="1"/>
  <c r="O211" i="73"/>
  <c r="AC101" i="71"/>
  <c r="AC206" i="71" s="1"/>
  <c r="AA74" i="71"/>
  <c r="AA179" i="71" s="1"/>
  <c r="K277" i="73"/>
  <c r="K40" i="74" s="1"/>
  <c r="K85" i="74" s="1"/>
  <c r="AF66" i="71"/>
  <c r="AF171" i="71" s="1"/>
  <c r="X69" i="71"/>
  <c r="X174" i="71" s="1"/>
  <c r="AD66" i="71"/>
  <c r="AD171" i="71" s="1"/>
  <c r="Z284" i="73"/>
  <c r="Z47" i="74" s="1"/>
  <c r="Z92" i="74" s="1"/>
  <c r="AF104" i="71"/>
  <c r="AF209" i="71" s="1"/>
  <c r="AC98" i="71"/>
  <c r="AC203" i="71" s="1"/>
  <c r="Y70" i="71"/>
  <c r="Y175" i="71" s="1"/>
  <c r="AF39" i="71"/>
  <c r="AF144" i="71" s="1"/>
  <c r="AI101" i="71"/>
  <c r="AI206" i="71" s="1"/>
  <c r="M257" i="73"/>
  <c r="M25" i="41" s="1"/>
  <c r="M50" i="41" s="1"/>
  <c r="AI104" i="71"/>
  <c r="AI209" i="71" s="1"/>
  <c r="AB210" i="73"/>
  <c r="AJ98" i="71"/>
  <c r="AJ203" i="71" s="1"/>
  <c r="X68" i="71"/>
  <c r="X173" i="71" s="1"/>
  <c r="X211" i="73"/>
  <c r="U277" i="73"/>
  <c r="U40" i="74" s="1"/>
  <c r="U85" i="74" s="1"/>
  <c r="R104" i="71"/>
  <c r="R209" i="71" s="1"/>
  <c r="AA211" i="73"/>
  <c r="T257" i="73"/>
  <c r="T25" i="41" s="1"/>
  <c r="T149" i="41" s="1"/>
  <c r="O257" i="73"/>
  <c r="O25" i="41" s="1"/>
  <c r="O25" i="65" s="1"/>
  <c r="O83" i="65" s="1"/>
  <c r="O94" i="65" s="1"/>
  <c r="J257" i="73"/>
  <c r="J25" i="41" s="1"/>
  <c r="J50" i="41" s="1"/>
  <c r="N257" i="73"/>
  <c r="N25" i="41" s="1"/>
  <c r="N149" i="41" s="1"/>
  <c r="U257" i="73"/>
  <c r="U25" i="41" s="1"/>
  <c r="U25" i="65" s="1"/>
  <c r="U83" i="65" s="1"/>
  <c r="U94" i="65" s="1"/>
  <c r="Y257" i="73"/>
  <c r="Y25" i="41" s="1"/>
  <c r="Y25" i="65" s="1"/>
  <c r="Y83" i="65" s="1"/>
  <c r="Y94" i="65" s="1"/>
  <c r="R284" i="73"/>
  <c r="R47" i="74" s="1"/>
  <c r="R92" i="74" s="1"/>
  <c r="R122" i="74" s="1"/>
  <c r="R154" i="74" s="1"/>
  <c r="L284" i="73"/>
  <c r="L47" i="74" s="1"/>
  <c r="L92" i="74" s="1"/>
  <c r="AN104" i="71"/>
  <c r="AN209" i="71" s="1"/>
  <c r="Q104" i="71"/>
  <c r="Q209" i="71" s="1"/>
  <c r="AF41" i="71"/>
  <c r="AF146" i="71" s="1"/>
  <c r="AC71" i="71"/>
  <c r="AC176" i="71" s="1"/>
  <c r="AE41" i="71"/>
  <c r="AE146" i="71" s="1"/>
  <c r="AC38" i="71"/>
  <c r="AC143" i="71" s="1"/>
  <c r="X257" i="73"/>
  <c r="X25" i="41" s="1"/>
  <c r="X149" i="41" s="1"/>
  <c r="AN103" i="71"/>
  <c r="AN208" i="71" s="1"/>
  <c r="AJ104" i="71"/>
  <c r="AJ209" i="71" s="1"/>
  <c r="Z98" i="71"/>
  <c r="Z203" i="71" s="1"/>
  <c r="L211" i="73"/>
  <c r="AM98" i="71"/>
  <c r="AM203" i="71" s="1"/>
  <c r="AL250" i="72"/>
  <c r="AL26" i="41" s="1"/>
  <c r="AL51" i="41" s="1"/>
  <c r="AM103" i="71"/>
  <c r="AM208" i="71" s="1"/>
  <c r="AE99" i="71"/>
  <c r="AE204" i="71" s="1"/>
  <c r="AM69" i="71"/>
  <c r="AM174" i="71" s="1"/>
  <c r="AJ39" i="71"/>
  <c r="AJ144" i="71" s="1"/>
  <c r="R102" i="71"/>
  <c r="R207" i="71" s="1"/>
  <c r="S257" i="73"/>
  <c r="S25" i="41" s="1"/>
  <c r="S50" i="41" s="1"/>
  <c r="Q98" i="71"/>
  <c r="Q203" i="71" s="1"/>
  <c r="AM68" i="71"/>
  <c r="AM173" i="71" s="1"/>
  <c r="AC42" i="71"/>
  <c r="AC147" i="71" s="1"/>
  <c r="S214" i="73"/>
  <c r="Y74" i="71"/>
  <c r="Y179" i="71" s="1"/>
  <c r="X98" i="71"/>
  <c r="X203" i="71" s="1"/>
  <c r="R210" i="73"/>
  <c r="AA207" i="73"/>
  <c r="AD40" i="71"/>
  <c r="AD145" i="71" s="1"/>
  <c r="AI70" i="71"/>
  <c r="AI175" i="71" s="1"/>
  <c r="Y99" i="71"/>
  <c r="Y204" i="71" s="1"/>
  <c r="M207" i="73"/>
  <c r="AC40" i="71"/>
  <c r="AC145" i="71" s="1"/>
  <c r="Q284" i="73"/>
  <c r="Q47" i="74" s="1"/>
  <c r="Q92" i="74" s="1"/>
  <c r="Q122" i="74" s="1"/>
  <c r="Q154" i="74" s="1"/>
  <c r="AC44" i="71"/>
  <c r="AC149" i="71" s="1"/>
  <c r="Z101" i="71"/>
  <c r="Z206" i="71" s="1"/>
  <c r="AN71" i="71"/>
  <c r="AN176" i="71" s="1"/>
  <c r="O210" i="73"/>
  <c r="AC100" i="71"/>
  <c r="AC205" i="71" s="1"/>
  <c r="AF101" i="71"/>
  <c r="AF206" i="71" s="1"/>
  <c r="S277" i="73"/>
  <c r="S40" i="74" s="1"/>
  <c r="S85" i="74" s="1"/>
  <c r="Z73" i="71"/>
  <c r="Z178" i="71" s="1"/>
  <c r="AJ72" i="71"/>
  <c r="AJ177" i="71" s="1"/>
  <c r="AE42" i="71"/>
  <c r="AE147" i="71" s="1"/>
  <c r="AD99" i="71"/>
  <c r="AD204" i="71" s="1"/>
  <c r="AI71" i="71"/>
  <c r="AI176" i="71" s="1"/>
  <c r="O277" i="73"/>
  <c r="O40" i="74" s="1"/>
  <c r="O85" i="74" s="1"/>
  <c r="AF36" i="71"/>
  <c r="AF141" i="71" s="1"/>
  <c r="R96" i="71"/>
  <c r="R201" i="71" s="1"/>
  <c r="W211" i="73"/>
  <c r="P100" i="71"/>
  <c r="P205" i="71" s="1"/>
  <c r="P284" i="73"/>
  <c r="P47" i="74" s="1"/>
  <c r="P92" i="74" s="1"/>
  <c r="P122" i="74" s="1"/>
  <c r="P154" i="74" s="1"/>
  <c r="AF69" i="71"/>
  <c r="AF174" i="71" s="1"/>
  <c r="AJ41" i="71"/>
  <c r="AJ146" i="71" s="1"/>
  <c r="AC66" i="71"/>
  <c r="AC171" i="71" s="1"/>
  <c r="AD41" i="71"/>
  <c r="AD146" i="71" s="1"/>
  <c r="AD71" i="71"/>
  <c r="AD176" i="71" s="1"/>
  <c r="AB214" i="73"/>
  <c r="AC103" i="71"/>
  <c r="AC208" i="71" s="1"/>
  <c r="Q100" i="71"/>
  <c r="Q205" i="71" s="1"/>
  <c r="AI40" i="71"/>
  <c r="AI145" i="71" s="1"/>
  <c r="Z103" i="71"/>
  <c r="Z208" i="71" s="1"/>
  <c r="X99" i="71"/>
  <c r="X204" i="71" s="1"/>
  <c r="AJ69" i="71"/>
  <c r="AJ174" i="71" s="1"/>
  <c r="AA99" i="71"/>
  <c r="AA204" i="71" s="1"/>
  <c r="Y104" i="71"/>
  <c r="Y209" i="71" s="1"/>
  <c r="AA104" i="71"/>
  <c r="AA209" i="71" s="1"/>
  <c r="AA102" i="71"/>
  <c r="AA207" i="71" s="1"/>
  <c r="AC102" i="71"/>
  <c r="AC207" i="71" s="1"/>
  <c r="AM42" i="71"/>
  <c r="AM147" i="71" s="1"/>
  <c r="P96" i="71"/>
  <c r="P201" i="71" s="1"/>
  <c r="AF96" i="71"/>
  <c r="AF201" i="71" s="1"/>
  <c r="AC41" i="71"/>
  <c r="AC146" i="71" s="1"/>
  <c r="AA68" i="71"/>
  <c r="AA173" i="71" s="1"/>
  <c r="P101" i="71"/>
  <c r="P206" i="71" s="1"/>
  <c r="AA101" i="71"/>
  <c r="AA206" i="71" s="1"/>
  <c r="O284" i="73"/>
  <c r="O47" i="74" s="1"/>
  <c r="O92" i="74" s="1"/>
  <c r="O214" i="73"/>
  <c r="AA40" i="71"/>
  <c r="AA145" i="71" s="1"/>
  <c r="AM40" i="71"/>
  <c r="AM145" i="71" s="1"/>
  <c r="AE100" i="71"/>
  <c r="AE205" i="71" s="1"/>
  <c r="AJ74" i="71"/>
  <c r="AJ179" i="71" s="1"/>
  <c r="AI39" i="71"/>
  <c r="AI144" i="71" s="1"/>
  <c r="AI103" i="71"/>
  <c r="AI208" i="71" s="1"/>
  <c r="X73" i="71"/>
  <c r="X178" i="71" s="1"/>
  <c r="AF43" i="71"/>
  <c r="AF148" i="71" s="1"/>
  <c r="Y69" i="71"/>
  <c r="Y174" i="71" s="1"/>
  <c r="AM99" i="71"/>
  <c r="AM204" i="71" s="1"/>
  <c r="AE103" i="71"/>
  <c r="AE208" i="71" s="1"/>
  <c r="AA257" i="73"/>
  <c r="AA25" i="41" s="1"/>
  <c r="AA25" i="65" s="1"/>
  <c r="AA83" i="65" s="1"/>
  <c r="AA94" i="65" s="1"/>
  <c r="R257" i="73"/>
  <c r="R25" i="41" s="1"/>
  <c r="R25" i="65" s="1"/>
  <c r="R83" i="65" s="1"/>
  <c r="R94" i="65" s="1"/>
  <c r="R50" i="105" s="1"/>
  <c r="Q257" i="73"/>
  <c r="Q25" i="41" s="1"/>
  <c r="Q149" i="41" s="1"/>
  <c r="L257" i="73"/>
  <c r="L25" i="41" s="1"/>
  <c r="L149" i="41" s="1"/>
  <c r="P257" i="73"/>
  <c r="P25" i="41" s="1"/>
  <c r="P149" i="41" s="1"/>
  <c r="AN40" i="71"/>
  <c r="AN145" i="71" s="1"/>
  <c r="Z66" i="71"/>
  <c r="Z171" i="71" s="1"/>
  <c r="Q96" i="71"/>
  <c r="Q201" i="71" s="1"/>
  <c r="AI68" i="71"/>
  <c r="AI173" i="71" s="1"/>
  <c r="R100" i="71"/>
  <c r="R205" i="71" s="1"/>
  <c r="AC104" i="71"/>
  <c r="AC209" i="71" s="1"/>
  <c r="AM39" i="71"/>
  <c r="AM144" i="71" s="1"/>
  <c r="AF40" i="71"/>
  <c r="AF145" i="71" s="1"/>
  <c r="Q99" i="71"/>
  <c r="Q204" i="71" s="1"/>
  <c r="X74" i="71"/>
  <c r="X179" i="71" s="1"/>
  <c r="AK96" i="71"/>
  <c r="AK201" i="71" s="1"/>
  <c r="AK219" i="71" s="1"/>
  <c r="AK22" i="41" s="1"/>
  <c r="Q68" i="71"/>
  <c r="Q173" i="71" s="1"/>
  <c r="AN101" i="71"/>
  <c r="AN206" i="71" s="1"/>
  <c r="AI96" i="71"/>
  <c r="AI201" i="71" s="1"/>
  <c r="K214" i="73"/>
  <c r="K284" i="73"/>
  <c r="K47" i="74" s="1"/>
  <c r="K92" i="74" s="1"/>
  <c r="AN70" i="71"/>
  <c r="AN175" i="71" s="1"/>
  <c r="AE40" i="71"/>
  <c r="AE145" i="71" s="1"/>
  <c r="AN73" i="71"/>
  <c r="AN178" i="71" s="1"/>
  <c r="AD43" i="71"/>
  <c r="AD148" i="71" s="1"/>
  <c r="P211" i="73"/>
  <c r="J211" i="73"/>
  <c r="AF70" i="71"/>
  <c r="AF175" i="71" s="1"/>
  <c r="J214" i="73"/>
  <c r="Y68" i="71"/>
  <c r="Y173" i="71" s="1"/>
  <c r="X72" i="71"/>
  <c r="X177" i="71" s="1"/>
  <c r="AM66" i="71"/>
  <c r="AM171" i="71" s="1"/>
  <c r="AE73" i="71"/>
  <c r="AE178" i="71" s="1"/>
  <c r="V284" i="73"/>
  <c r="V47" i="74" s="1"/>
  <c r="V92" i="74" s="1"/>
  <c r="W38" i="71"/>
  <c r="W143" i="71" s="1"/>
  <c r="AJ103" i="71"/>
  <c r="AJ208" i="71" s="1"/>
  <c r="AI73" i="71"/>
  <c r="AI178" i="71" s="1"/>
  <c r="AN39" i="71"/>
  <c r="AN144" i="71" s="1"/>
  <c r="AI38" i="71"/>
  <c r="AI143" i="71" s="1"/>
  <c r="AN98" i="71"/>
  <c r="AN203" i="71" s="1"/>
  <c r="AN66" i="71"/>
  <c r="AN171" i="71" s="1"/>
  <c r="AM72" i="71"/>
  <c r="AM177" i="71" s="1"/>
  <c r="AJ66" i="71"/>
  <c r="AJ171" i="71" s="1"/>
  <c r="AN36" i="71"/>
  <c r="AN141" i="71" s="1"/>
  <c r="Q102" i="71"/>
  <c r="Q207" i="71" s="1"/>
  <c r="Y73" i="71"/>
  <c r="Y178" i="71" s="1"/>
  <c r="AI41" i="71"/>
  <c r="AI146" i="71" s="1"/>
  <c r="Z71" i="71"/>
  <c r="Z176" i="71" s="1"/>
  <c r="AE70" i="71"/>
  <c r="AE175" i="71" s="1"/>
  <c r="AI43" i="71"/>
  <c r="AI148" i="71" s="1"/>
  <c r="AF99" i="71"/>
  <c r="AF204" i="71" s="1"/>
  <c r="AO40" i="71"/>
  <c r="AO145" i="71" s="1"/>
  <c r="Z69" i="71"/>
  <c r="Z174" i="71" s="1"/>
  <c r="U39" i="71"/>
  <c r="U144" i="71" s="1"/>
  <c r="AB100" i="71"/>
  <c r="AB205" i="71" s="1"/>
  <c r="W99" i="71"/>
  <c r="W204" i="71" s="1"/>
  <c r="R103" i="71"/>
  <c r="R208" i="71" s="1"/>
  <c r="R99" i="71"/>
  <c r="R204" i="71" s="1"/>
  <c r="AO73" i="71"/>
  <c r="AO178" i="71" s="1"/>
  <c r="AC73" i="71"/>
  <c r="AC178" i="71" s="1"/>
  <c r="X103" i="71"/>
  <c r="X208" i="71" s="1"/>
  <c r="AE74" i="71"/>
  <c r="AE179" i="71" s="1"/>
  <c r="AN74" i="71"/>
  <c r="AN179" i="71" s="1"/>
  <c r="AA72" i="71"/>
  <c r="AA177" i="71" s="1"/>
  <c r="AD103" i="71"/>
  <c r="AD208" i="71" s="1"/>
  <c r="V69" i="71"/>
  <c r="V174" i="71" s="1"/>
  <c r="W69" i="71"/>
  <c r="W174" i="71" s="1"/>
  <c r="AG43" i="71"/>
  <c r="AG148" i="71" s="1"/>
  <c r="Y100" i="71"/>
  <c r="Y205" i="71" s="1"/>
  <c r="P99" i="71"/>
  <c r="P204" i="71" s="1"/>
  <c r="AA73" i="71"/>
  <c r="AA178" i="71" s="1"/>
  <c r="AD100" i="71"/>
  <c r="AD205" i="71" s="1"/>
  <c r="AC99" i="71"/>
  <c r="AC204" i="71" s="1"/>
  <c r="AK43" i="71"/>
  <c r="AK148" i="71" s="1"/>
  <c r="AP99" i="71"/>
  <c r="AP204" i="71" s="1"/>
  <c r="W144" i="72"/>
  <c r="W214" i="72" s="1"/>
  <c r="W244" i="72" s="1"/>
  <c r="X70" i="71"/>
  <c r="X175" i="71" s="1"/>
  <c r="AL70" i="71"/>
  <c r="AL175" i="71" s="1"/>
  <c r="AD69" i="71"/>
  <c r="AD174" i="71" s="1"/>
  <c r="AF103" i="71"/>
  <c r="AF208" i="71" s="1"/>
  <c r="AG100" i="71"/>
  <c r="AG205" i="71" s="1"/>
  <c r="P140" i="72"/>
  <c r="P210" i="72" s="1"/>
  <c r="P240" i="72" s="1"/>
  <c r="L144" i="72"/>
  <c r="L214" i="72" s="1"/>
  <c r="L244" i="72" s="1"/>
  <c r="AB42" i="71"/>
  <c r="AB147" i="71" s="1"/>
  <c r="X40" i="71"/>
  <c r="X145" i="71" s="1"/>
  <c r="Y141" i="72"/>
  <c r="Y211" i="72" s="1"/>
  <c r="Y241" i="72" s="1"/>
  <c r="AJ40" i="71"/>
  <c r="AJ145" i="71" s="1"/>
  <c r="Z141" i="72"/>
  <c r="Z211" i="72" s="1"/>
  <c r="Z241" i="72" s="1"/>
  <c r="K141" i="72"/>
  <c r="K211" i="72" s="1"/>
  <c r="K241" i="72" s="1"/>
  <c r="U100" i="71"/>
  <c r="U205" i="71" s="1"/>
  <c r="AH40" i="71"/>
  <c r="AH145" i="71" s="1"/>
  <c r="U70" i="71"/>
  <c r="U175" i="71" s="1"/>
  <c r="AJ100" i="71"/>
  <c r="AJ205" i="71" s="1"/>
  <c r="Z40" i="71"/>
  <c r="Z145" i="71" s="1"/>
  <c r="X141" i="72"/>
  <c r="X211" i="72" s="1"/>
  <c r="X241" i="72" s="1"/>
  <c r="M123" i="74"/>
  <c r="M155" i="74" s="1"/>
  <c r="K123" i="74"/>
  <c r="K155" i="74" s="1"/>
  <c r="J123" i="74"/>
  <c r="J155" i="74" s="1"/>
  <c r="T123" i="74"/>
  <c r="T155" i="74" s="1"/>
  <c r="N123" i="74"/>
  <c r="N155" i="74" s="1"/>
  <c r="S123" i="74"/>
  <c r="S155" i="74" s="1"/>
  <c r="J237" i="72"/>
  <c r="J250" i="72" s="1"/>
  <c r="J26" i="41" s="1"/>
  <c r="J84" i="74"/>
  <c r="AI123" i="74"/>
  <c r="AI155" i="74" s="1"/>
  <c r="AA123" i="74"/>
  <c r="AA155" i="74" s="1"/>
  <c r="L123" i="74"/>
  <c r="L155" i="74" s="1"/>
  <c r="AG123" i="74"/>
  <c r="AG155" i="74" s="1"/>
  <c r="AP123" i="74"/>
  <c r="AP155" i="74" s="1"/>
  <c r="U123" i="74"/>
  <c r="U155" i="74" s="1"/>
  <c r="AD123" i="74"/>
  <c r="AD155" i="74" s="1"/>
  <c r="Z123" i="74"/>
  <c r="Z155" i="74" s="1"/>
  <c r="AF123" i="74"/>
  <c r="AF155" i="74" s="1"/>
  <c r="AL123" i="74"/>
  <c r="AL155" i="74" s="1"/>
  <c r="Y123" i="74"/>
  <c r="Y155" i="74" s="1"/>
  <c r="AJ123" i="74"/>
  <c r="AJ155" i="74" s="1"/>
  <c r="AO123" i="74"/>
  <c r="AO155" i="74" s="1"/>
  <c r="AC123" i="74"/>
  <c r="AC155" i="74" s="1"/>
  <c r="V123" i="74"/>
  <c r="V155" i="74" s="1"/>
  <c r="AH123" i="74"/>
  <c r="AH155" i="74" s="1"/>
  <c r="AB123" i="74"/>
  <c r="AB155" i="74" s="1"/>
  <c r="W123" i="74"/>
  <c r="W155" i="74" s="1"/>
  <c r="AN123" i="74"/>
  <c r="AN155" i="74" s="1"/>
  <c r="AM123" i="74"/>
  <c r="AM155" i="74" s="1"/>
  <c r="X123" i="74"/>
  <c r="X155" i="74" s="1"/>
  <c r="AK123" i="74"/>
  <c r="AK155" i="74" s="1"/>
  <c r="O123" i="74"/>
  <c r="O155" i="74" s="1"/>
  <c r="AE123" i="74"/>
  <c r="AE155" i="74" s="1"/>
  <c r="AN116" i="74" l="1"/>
  <c r="AN148" i="74" s="1"/>
  <c r="Q218" i="71"/>
  <c r="Q21" i="41" s="1"/>
  <c r="Q46" i="41" s="1"/>
  <c r="U116" i="74"/>
  <c r="U148" i="74" s="1"/>
  <c r="AL116" i="74"/>
  <c r="AL148" i="74" s="1"/>
  <c r="AG116" i="74"/>
  <c r="AG148" i="74" s="1"/>
  <c r="AP116" i="74"/>
  <c r="AP148" i="74" s="1"/>
  <c r="AC116" i="74"/>
  <c r="AC148" i="74" s="1"/>
  <c r="AK116" i="74"/>
  <c r="AK148" i="74" s="1"/>
  <c r="Q256" i="73"/>
  <c r="Q24" i="41" s="1"/>
  <c r="Q49" i="41" s="1"/>
  <c r="V116" i="74"/>
  <c r="V148" i="74" s="1"/>
  <c r="AD116" i="74"/>
  <c r="AD148" i="74" s="1"/>
  <c r="Y116" i="74"/>
  <c r="Y148" i="74" s="1"/>
  <c r="AJ116" i="74"/>
  <c r="AJ148" i="74" s="1"/>
  <c r="O116" i="74"/>
  <c r="O148" i="74" s="1"/>
  <c r="W116" i="74"/>
  <c r="W148" i="74" s="1"/>
  <c r="Z116" i="74"/>
  <c r="Z148" i="74" s="1"/>
  <c r="AM116" i="74"/>
  <c r="AM148" i="74" s="1"/>
  <c r="AF116" i="74"/>
  <c r="AF148" i="74" s="1"/>
  <c r="AO116" i="74"/>
  <c r="AO148" i="74" s="1"/>
  <c r="X116" i="74"/>
  <c r="X148" i="74" s="1"/>
  <c r="AE116" i="74"/>
  <c r="AE148" i="74" s="1"/>
  <c r="AH116" i="74"/>
  <c r="AH148" i="74" s="1"/>
  <c r="AI116" i="74"/>
  <c r="AI148" i="74" s="1"/>
  <c r="AA116" i="74"/>
  <c r="AA148" i="74" s="1"/>
  <c r="L116" i="74"/>
  <c r="L148" i="74" s="1"/>
  <c r="AB116" i="74"/>
  <c r="AB148" i="74" s="1"/>
  <c r="AG219" i="71"/>
  <c r="AG22" i="41" s="1"/>
  <c r="AG70" i="41" s="1"/>
  <c r="CU96" i="41" s="1"/>
  <c r="U217" i="71"/>
  <c r="U20" i="41" s="1"/>
  <c r="U45" i="41" s="1"/>
  <c r="AA217" i="71"/>
  <c r="AA20" i="41" s="1"/>
  <c r="AA45" i="41" s="1"/>
  <c r="T116" i="74"/>
  <c r="T148" i="74" s="1"/>
  <c r="J121" i="74"/>
  <c r="J153" i="74" s="1"/>
  <c r="L121" i="74"/>
  <c r="L153" i="74" s="1"/>
  <c r="AH114" i="74"/>
  <c r="AH146" i="74" s="1"/>
  <c r="R161" i="74"/>
  <c r="R23" i="41" s="1"/>
  <c r="R48" i="41" s="1"/>
  <c r="AO218" i="71"/>
  <c r="AO21" i="41" s="1"/>
  <c r="AO145" i="41" s="1"/>
  <c r="AI114" i="74"/>
  <c r="AI146" i="74" s="1"/>
  <c r="AK114" i="74"/>
  <c r="AK146" i="74" s="1"/>
  <c r="K116" i="74"/>
  <c r="K148" i="74" s="1"/>
  <c r="AE114" i="74"/>
  <c r="AE146" i="74" s="1"/>
  <c r="X114" i="74"/>
  <c r="X146" i="74" s="1"/>
  <c r="AM114" i="74"/>
  <c r="AM146" i="74" s="1"/>
  <c r="AB114" i="74"/>
  <c r="AB146" i="74" s="1"/>
  <c r="S116" i="74"/>
  <c r="S148" i="74" s="1"/>
  <c r="AN114" i="74"/>
  <c r="AN146" i="74" s="1"/>
  <c r="AG114" i="74"/>
  <c r="AG146" i="74" s="1"/>
  <c r="V114" i="74"/>
  <c r="V146" i="74" s="1"/>
  <c r="AF114" i="74"/>
  <c r="AF146" i="74" s="1"/>
  <c r="Y114" i="74"/>
  <c r="Y146" i="74" s="1"/>
  <c r="AP114" i="74"/>
  <c r="AP146" i="74" s="1"/>
  <c r="M116" i="74"/>
  <c r="M148" i="74" s="1"/>
  <c r="AJ114" i="74"/>
  <c r="AJ146" i="74" s="1"/>
  <c r="AA114" i="74"/>
  <c r="AA146" i="74" s="1"/>
  <c r="O114" i="74"/>
  <c r="O146" i="74" s="1"/>
  <c r="AC114" i="74"/>
  <c r="AC146" i="74" s="1"/>
  <c r="Z114" i="74"/>
  <c r="Z146" i="74" s="1"/>
  <c r="L114" i="74"/>
  <c r="L146" i="74" s="1"/>
  <c r="N116" i="74"/>
  <c r="N148" i="74" s="1"/>
  <c r="AE121" i="74"/>
  <c r="AE153" i="74" s="1"/>
  <c r="AL114" i="74"/>
  <c r="AL146" i="74" s="1"/>
  <c r="W114" i="74"/>
  <c r="W146" i="74" s="1"/>
  <c r="AD114" i="74"/>
  <c r="AD146" i="74" s="1"/>
  <c r="AO114" i="74"/>
  <c r="AO146" i="74" s="1"/>
  <c r="U114" i="74"/>
  <c r="U146" i="74" s="1"/>
  <c r="J116" i="74"/>
  <c r="J148" i="74" s="1"/>
  <c r="Z121" i="74"/>
  <c r="Z153" i="74" s="1"/>
  <c r="X121" i="74"/>
  <c r="X153" i="74" s="1"/>
  <c r="AN121" i="74"/>
  <c r="AN153" i="74" s="1"/>
  <c r="AF121" i="74"/>
  <c r="AF153" i="74" s="1"/>
  <c r="AO121" i="74"/>
  <c r="AO153" i="74" s="1"/>
  <c r="AG121" i="74"/>
  <c r="AG153" i="74" s="1"/>
  <c r="Y121" i="74"/>
  <c r="Y153" i="74" s="1"/>
  <c r="AJ121" i="74"/>
  <c r="AJ153" i="74" s="1"/>
  <c r="AP121" i="74"/>
  <c r="AP153" i="74" s="1"/>
  <c r="AM121" i="74"/>
  <c r="AM153" i="74" s="1"/>
  <c r="O121" i="74"/>
  <c r="O153" i="74" s="1"/>
  <c r="AA121" i="74"/>
  <c r="AA153" i="74" s="1"/>
  <c r="AC121" i="74"/>
  <c r="AC153" i="74" s="1"/>
  <c r="AL121" i="74"/>
  <c r="AL153" i="74" s="1"/>
  <c r="U121" i="74"/>
  <c r="U153" i="74" s="1"/>
  <c r="AI121" i="74"/>
  <c r="AI153" i="74" s="1"/>
  <c r="AB121" i="74"/>
  <c r="AB153" i="74" s="1"/>
  <c r="W121" i="74"/>
  <c r="W153" i="74" s="1"/>
  <c r="V121" i="74"/>
  <c r="V153" i="74" s="1"/>
  <c r="AD121" i="74"/>
  <c r="AD153" i="74" s="1"/>
  <c r="AH121" i="74"/>
  <c r="AH153" i="74" s="1"/>
  <c r="AK121" i="74"/>
  <c r="AK153" i="74" s="1"/>
  <c r="P161" i="74"/>
  <c r="P23" i="41" s="1"/>
  <c r="P147" i="41" s="1"/>
  <c r="S121" i="74"/>
  <c r="S153" i="74" s="1"/>
  <c r="M121" i="74"/>
  <c r="M153" i="74" s="1"/>
  <c r="K121" i="74"/>
  <c r="K153" i="74" s="1"/>
  <c r="T121" i="74"/>
  <c r="T153" i="74" s="1"/>
  <c r="N121" i="74"/>
  <c r="N153" i="74" s="1"/>
  <c r="W256" i="73"/>
  <c r="W24" i="41" s="1"/>
  <c r="W24" i="65" s="1"/>
  <c r="W82" i="65" s="1"/>
  <c r="W93" i="65" s="1"/>
  <c r="AK117" i="74"/>
  <c r="AK149" i="74" s="1"/>
  <c r="X117" i="74"/>
  <c r="X149" i="74" s="1"/>
  <c r="M120" i="74"/>
  <c r="M152" i="74" s="1"/>
  <c r="AM117" i="74"/>
  <c r="AM149" i="74" s="1"/>
  <c r="W117" i="74"/>
  <c r="W149" i="74" s="1"/>
  <c r="O117" i="74"/>
  <c r="O149" i="74" s="1"/>
  <c r="V117" i="74"/>
  <c r="V149" i="74" s="1"/>
  <c r="Y256" i="73"/>
  <c r="Y24" i="41" s="1"/>
  <c r="Y24" i="65" s="1"/>
  <c r="Y82" i="65" s="1"/>
  <c r="Y93" i="65" s="1"/>
  <c r="L117" i="74"/>
  <c r="L149" i="74" s="1"/>
  <c r="U256" i="73"/>
  <c r="U24" i="41" s="1"/>
  <c r="U24" i="65" s="1"/>
  <c r="U82" i="65" s="1"/>
  <c r="U93" i="65" s="1"/>
  <c r="U49" i="105" s="1"/>
  <c r="AF117" i="74"/>
  <c r="AF149" i="74" s="1"/>
  <c r="AH117" i="74"/>
  <c r="AH149" i="74" s="1"/>
  <c r="AP117" i="74"/>
  <c r="AP149" i="74" s="1"/>
  <c r="U117" i="74"/>
  <c r="U149" i="74" s="1"/>
  <c r="AI117" i="74"/>
  <c r="AI149" i="74" s="1"/>
  <c r="AA117" i="74"/>
  <c r="AA149" i="74" s="1"/>
  <c r="AG117" i="74"/>
  <c r="AG149" i="74" s="1"/>
  <c r="AJ117" i="74"/>
  <c r="AJ149" i="74" s="1"/>
  <c r="AD117" i="74"/>
  <c r="AD149" i="74" s="1"/>
  <c r="AL117" i="74"/>
  <c r="AL149" i="74" s="1"/>
  <c r="J117" i="74"/>
  <c r="J149" i="74" s="1"/>
  <c r="AC117" i="74"/>
  <c r="AC149" i="74" s="1"/>
  <c r="Y117" i="74"/>
  <c r="Y149" i="74" s="1"/>
  <c r="AN117" i="74"/>
  <c r="AN149" i="74" s="1"/>
  <c r="Z117" i="74"/>
  <c r="Z149" i="74" s="1"/>
  <c r="AE117" i="74"/>
  <c r="AE149" i="74" s="1"/>
  <c r="AB117" i="74"/>
  <c r="AB149" i="74" s="1"/>
  <c r="AO117" i="74"/>
  <c r="AO149" i="74" s="1"/>
  <c r="T120" i="74"/>
  <c r="T152" i="74" s="1"/>
  <c r="W120" i="74"/>
  <c r="W152" i="74" s="1"/>
  <c r="AN120" i="74"/>
  <c r="AN152" i="74" s="1"/>
  <c r="N117" i="74"/>
  <c r="N149" i="74" s="1"/>
  <c r="O120" i="74"/>
  <c r="O152" i="74" s="1"/>
  <c r="V120" i="74"/>
  <c r="V152" i="74" s="1"/>
  <c r="K117" i="74"/>
  <c r="K149" i="74" s="1"/>
  <c r="AK120" i="74"/>
  <c r="AK152" i="74" s="1"/>
  <c r="S117" i="74"/>
  <c r="S149" i="74" s="1"/>
  <c r="T117" i="74"/>
  <c r="T149" i="74" s="1"/>
  <c r="X120" i="74"/>
  <c r="X152" i="74" s="1"/>
  <c r="M117" i="74"/>
  <c r="M149" i="74" s="1"/>
  <c r="K120" i="74"/>
  <c r="K152" i="74" s="1"/>
  <c r="S120" i="74"/>
  <c r="S152" i="74" s="1"/>
  <c r="J120" i="74"/>
  <c r="J152" i="74" s="1"/>
  <c r="S118" i="74"/>
  <c r="S150" i="74" s="1"/>
  <c r="N120" i="74"/>
  <c r="N152" i="74" s="1"/>
  <c r="AE120" i="74"/>
  <c r="AE152" i="74" s="1"/>
  <c r="AC120" i="74"/>
  <c r="AC152" i="74" s="1"/>
  <c r="Z120" i="74"/>
  <c r="Z152" i="74" s="1"/>
  <c r="AH120" i="74"/>
  <c r="AH152" i="74" s="1"/>
  <c r="AO120" i="74"/>
  <c r="AO152" i="74" s="1"/>
  <c r="L120" i="74"/>
  <c r="L152" i="74" s="1"/>
  <c r="AF120" i="74"/>
  <c r="AF152" i="74" s="1"/>
  <c r="AH217" i="71"/>
  <c r="AH20" i="41" s="1"/>
  <c r="AH144" i="41" s="1"/>
  <c r="X217" i="71"/>
  <c r="X20" i="41" s="1"/>
  <c r="X45" i="41" s="1"/>
  <c r="AG217" i="71"/>
  <c r="AG20" i="41" s="1"/>
  <c r="AG68" i="41" s="1"/>
  <c r="AG96" i="41" s="1"/>
  <c r="AM120" i="74"/>
  <c r="AM152" i="74" s="1"/>
  <c r="U120" i="74"/>
  <c r="U152" i="74" s="1"/>
  <c r="AI120" i="74"/>
  <c r="AI152" i="74" s="1"/>
  <c r="AL120" i="74"/>
  <c r="AL152" i="74" s="1"/>
  <c r="Y120" i="74"/>
  <c r="Y152" i="74" s="1"/>
  <c r="AA120" i="74"/>
  <c r="AA152" i="74" s="1"/>
  <c r="M122" i="74"/>
  <c r="M154" i="74" s="1"/>
  <c r="AJ120" i="74"/>
  <c r="AJ152" i="74" s="1"/>
  <c r="AG120" i="74"/>
  <c r="AG152" i="74" s="1"/>
  <c r="AP120" i="74"/>
  <c r="AP152" i="74" s="1"/>
  <c r="AD120" i="74"/>
  <c r="AD152" i="74" s="1"/>
  <c r="AB120" i="74"/>
  <c r="AB152" i="74" s="1"/>
  <c r="AP219" i="71"/>
  <c r="AP22" i="41" s="1"/>
  <c r="AP22" i="65" s="1"/>
  <c r="AP80" i="65" s="1"/>
  <c r="AP91" i="65" s="1"/>
  <c r="AP47" i="105" s="1"/>
  <c r="R256" i="73"/>
  <c r="R24" i="41" s="1"/>
  <c r="R49" i="41" s="1"/>
  <c r="AA118" i="74"/>
  <c r="AA150" i="74" s="1"/>
  <c r="K50" i="41"/>
  <c r="X118" i="74"/>
  <c r="X150" i="74" s="1"/>
  <c r="N119" i="74"/>
  <c r="N151" i="74" s="1"/>
  <c r="AK217" i="71"/>
  <c r="AK20" i="41" s="1"/>
  <c r="AK68" i="41" s="1"/>
  <c r="AK96" i="41" s="1"/>
  <c r="AH118" i="74"/>
  <c r="AH150" i="74" s="1"/>
  <c r="O118" i="74"/>
  <c r="O150" i="74" s="1"/>
  <c r="V50" i="41"/>
  <c r="U218" i="71"/>
  <c r="U21" i="41" s="1"/>
  <c r="U69" i="41" s="1"/>
  <c r="BB96" i="41" s="1"/>
  <c r="W217" i="71"/>
  <c r="W20" i="41" s="1"/>
  <c r="W45" i="41" s="1"/>
  <c r="L118" i="74"/>
  <c r="L150" i="74" s="1"/>
  <c r="AL118" i="74"/>
  <c r="AL150" i="74" s="1"/>
  <c r="AB219" i="71"/>
  <c r="AB22" i="41" s="1"/>
  <c r="AB47" i="41" s="1"/>
  <c r="K256" i="73"/>
  <c r="K24" i="41" s="1"/>
  <c r="K49" i="41" s="1"/>
  <c r="M119" i="74"/>
  <c r="M151" i="74" s="1"/>
  <c r="AO118" i="74"/>
  <c r="AO150" i="74" s="1"/>
  <c r="L256" i="73"/>
  <c r="L24" i="41" s="1"/>
  <c r="L148" i="41" s="1"/>
  <c r="AC26" i="65"/>
  <c r="AC84" i="65" s="1"/>
  <c r="AC95" i="65" s="1"/>
  <c r="AC113" i="65" s="1"/>
  <c r="AC69" i="105" s="1"/>
  <c r="AC51" i="41"/>
  <c r="Y250" i="72"/>
  <c r="Y26" i="41" s="1"/>
  <c r="Y51" i="41" s="1"/>
  <c r="L250" i="72"/>
  <c r="L26" i="41" s="1"/>
  <c r="L150" i="41" s="1"/>
  <c r="W250" i="72"/>
  <c r="W26" i="41" s="1"/>
  <c r="W26" i="65" s="1"/>
  <c r="W84" i="65" s="1"/>
  <c r="W95" i="65" s="1"/>
  <c r="K250" i="72"/>
  <c r="K26" i="41" s="1"/>
  <c r="K26" i="65" s="1"/>
  <c r="K84" i="65" s="1"/>
  <c r="K95" i="65" s="1"/>
  <c r="P250" i="72"/>
  <c r="P26" i="41" s="1"/>
  <c r="P51" i="41" s="1"/>
  <c r="Z250" i="72"/>
  <c r="Z26" i="41" s="1"/>
  <c r="Z150" i="41" s="1"/>
  <c r="X250" i="72"/>
  <c r="X26" i="41" s="1"/>
  <c r="X51" i="41" s="1"/>
  <c r="W218" i="71"/>
  <c r="W21" i="41" s="1"/>
  <c r="W69" i="41" s="1"/>
  <c r="BD96" i="41" s="1"/>
  <c r="AO217" i="71"/>
  <c r="AO20" i="41" s="1"/>
  <c r="AO144" i="41" s="1"/>
  <c r="N256" i="73"/>
  <c r="N24" i="41" s="1"/>
  <c r="N24" i="65" s="1"/>
  <c r="N82" i="65" s="1"/>
  <c r="N93" i="65" s="1"/>
  <c r="AI118" i="74"/>
  <c r="AI150" i="74" s="1"/>
  <c r="AD118" i="74"/>
  <c r="AD150" i="74" s="1"/>
  <c r="AE118" i="74"/>
  <c r="AE150" i="74" s="1"/>
  <c r="Z118" i="74"/>
  <c r="Z150" i="74" s="1"/>
  <c r="AJ118" i="74"/>
  <c r="AJ150" i="74" s="1"/>
  <c r="AP118" i="74"/>
  <c r="AP150" i="74" s="1"/>
  <c r="AM118" i="74"/>
  <c r="AM150" i="74" s="1"/>
  <c r="P256" i="73"/>
  <c r="P24" i="41" s="1"/>
  <c r="P148" i="41" s="1"/>
  <c r="AB118" i="74"/>
  <c r="AB150" i="74" s="1"/>
  <c r="AG118" i="74"/>
  <c r="AG150" i="74" s="1"/>
  <c r="W118" i="74"/>
  <c r="W150" i="74" s="1"/>
  <c r="Y118" i="74"/>
  <c r="Y150" i="74" s="1"/>
  <c r="V118" i="74"/>
  <c r="V150" i="74" s="1"/>
  <c r="AC118" i="74"/>
  <c r="AC150" i="74" s="1"/>
  <c r="U118" i="74"/>
  <c r="U150" i="74" s="1"/>
  <c r="AF118" i="74"/>
  <c r="AF150" i="74" s="1"/>
  <c r="AN118" i="74"/>
  <c r="AN150" i="74" s="1"/>
  <c r="AK118" i="74"/>
  <c r="AK150" i="74" s="1"/>
  <c r="U119" i="74"/>
  <c r="U151" i="74" s="1"/>
  <c r="K25" i="65"/>
  <c r="K83" i="65" s="1"/>
  <c r="K94" i="65" s="1"/>
  <c r="K103" i="65" s="1"/>
  <c r="K59" i="105" s="1"/>
  <c r="AB217" i="71"/>
  <c r="AB20" i="41" s="1"/>
  <c r="AB20" i="65" s="1"/>
  <c r="AL218" i="71"/>
  <c r="AL21" i="41" s="1"/>
  <c r="AL69" i="41" s="1"/>
  <c r="BS96" i="41" s="1"/>
  <c r="Z217" i="71"/>
  <c r="Z20" i="41" s="1"/>
  <c r="Z20" i="65" s="1"/>
  <c r="V218" i="71"/>
  <c r="V21" i="41" s="1"/>
  <c r="V21" i="65" s="1"/>
  <c r="U219" i="71"/>
  <c r="U22" i="41" s="1"/>
  <c r="U70" i="41" s="1"/>
  <c r="CI96" i="41" s="1"/>
  <c r="W219" i="71"/>
  <c r="W22" i="41" s="1"/>
  <c r="W22" i="65" s="1"/>
  <c r="S256" i="73"/>
  <c r="S24" i="41" s="1"/>
  <c r="S148" i="41" s="1"/>
  <c r="N25" i="65"/>
  <c r="N83" i="65" s="1"/>
  <c r="N94" i="65" s="1"/>
  <c r="N103" i="65" s="1"/>
  <c r="N59" i="105" s="1"/>
  <c r="T50" i="41"/>
  <c r="V256" i="73"/>
  <c r="V24" i="41" s="1"/>
  <c r="V148" i="41" s="1"/>
  <c r="T256" i="73"/>
  <c r="T24" i="41" s="1"/>
  <c r="T148" i="41" s="1"/>
  <c r="J25" i="65"/>
  <c r="J83" i="65" s="1"/>
  <c r="J94" i="65" s="1"/>
  <c r="J50" i="105" s="1"/>
  <c r="AL119" i="74"/>
  <c r="AL151" i="74" s="1"/>
  <c r="M118" i="74"/>
  <c r="M150" i="74" s="1"/>
  <c r="AH119" i="74"/>
  <c r="AH151" i="74" s="1"/>
  <c r="Z50" i="41"/>
  <c r="Z25" i="65"/>
  <c r="Z83" i="65" s="1"/>
  <c r="Z94" i="65" s="1"/>
  <c r="Z112" i="65" s="1"/>
  <c r="Z68" i="105" s="1"/>
  <c r="Z115" i="74"/>
  <c r="Z147" i="74" s="1"/>
  <c r="U115" i="74"/>
  <c r="U147" i="74" s="1"/>
  <c r="T118" i="74"/>
  <c r="T150" i="74" s="1"/>
  <c r="AI119" i="74"/>
  <c r="AI151" i="74" s="1"/>
  <c r="AB25" i="65"/>
  <c r="AB83" i="65" s="1"/>
  <c r="AB94" i="65" s="1"/>
  <c r="AB103" i="65" s="1"/>
  <c r="AB59" i="105" s="1"/>
  <c r="AK119" i="74"/>
  <c r="AK151" i="74" s="1"/>
  <c r="Y149" i="41"/>
  <c r="AJ150" i="41"/>
  <c r="AG51" i="41"/>
  <c r="W119" i="74"/>
  <c r="W151" i="74" s="1"/>
  <c r="AP119" i="74"/>
  <c r="AP151" i="74" s="1"/>
  <c r="K119" i="74"/>
  <c r="K151" i="74" s="1"/>
  <c r="K118" i="74"/>
  <c r="K150" i="74" s="1"/>
  <c r="J149" i="41"/>
  <c r="AJ119" i="74"/>
  <c r="AJ151" i="74" s="1"/>
  <c r="AG119" i="74"/>
  <c r="AG151" i="74" s="1"/>
  <c r="AM119" i="74"/>
  <c r="AM151" i="74" s="1"/>
  <c r="AD119" i="74"/>
  <c r="AD151" i="74" s="1"/>
  <c r="AB119" i="74"/>
  <c r="AB151" i="74" s="1"/>
  <c r="Z119" i="74"/>
  <c r="Z151" i="74" s="1"/>
  <c r="M25" i="65"/>
  <c r="M83" i="65" s="1"/>
  <c r="M94" i="65" s="1"/>
  <c r="M112" i="65" s="1"/>
  <c r="M68" i="105" s="1"/>
  <c r="Y50" i="41"/>
  <c r="AB149" i="41"/>
  <c r="AE26" i="65"/>
  <c r="AE84" i="65" s="1"/>
  <c r="AE95" i="65" s="1"/>
  <c r="AE113" i="65" s="1"/>
  <c r="AE69" i="105" s="1"/>
  <c r="N118" i="74"/>
  <c r="N150" i="74" s="1"/>
  <c r="L119" i="74"/>
  <c r="L151" i="74" s="1"/>
  <c r="AE119" i="74"/>
  <c r="AE151" i="74" s="1"/>
  <c r="AC119" i="74"/>
  <c r="AC151" i="74" s="1"/>
  <c r="AN119" i="74"/>
  <c r="AN151" i="74" s="1"/>
  <c r="V119" i="74"/>
  <c r="V151" i="74" s="1"/>
  <c r="AO119" i="74"/>
  <c r="AO151" i="74" s="1"/>
  <c r="M149" i="41"/>
  <c r="AJ51" i="41"/>
  <c r="P50" i="41"/>
  <c r="AE150" i="41"/>
  <c r="AO150" i="41"/>
  <c r="J118" i="74"/>
  <c r="J150" i="74" s="1"/>
  <c r="Y119" i="74"/>
  <c r="Y151" i="74" s="1"/>
  <c r="AA119" i="74"/>
  <c r="AA151" i="74" s="1"/>
  <c r="X119" i="74"/>
  <c r="X151" i="74" s="1"/>
  <c r="AF119" i="74"/>
  <c r="AF151" i="74" s="1"/>
  <c r="O119" i="74"/>
  <c r="O151" i="74" s="1"/>
  <c r="M256" i="73"/>
  <c r="M24" i="41" s="1"/>
  <c r="M148" i="41" s="1"/>
  <c r="X256" i="73"/>
  <c r="X24" i="41" s="1"/>
  <c r="X148" i="41" s="1"/>
  <c r="AF217" i="71"/>
  <c r="AF20" i="41" s="1"/>
  <c r="AF45" i="41" s="1"/>
  <c r="AL115" i="74"/>
  <c r="AL147" i="74" s="1"/>
  <c r="AJ115" i="74"/>
  <c r="AJ147" i="74" s="1"/>
  <c r="V25" i="65"/>
  <c r="V83" i="65" s="1"/>
  <c r="V94" i="65" s="1"/>
  <c r="V50" i="105" s="1"/>
  <c r="AO115" i="74"/>
  <c r="AO147" i="74" s="1"/>
  <c r="O50" i="41"/>
  <c r="S25" i="65"/>
  <c r="S83" i="65" s="1"/>
  <c r="S94" i="65" s="1"/>
  <c r="S50" i="105" s="1"/>
  <c r="AE217" i="71"/>
  <c r="AE20" i="41" s="1"/>
  <c r="AE45" i="41" s="1"/>
  <c r="AD115" i="74"/>
  <c r="AD147" i="74" s="1"/>
  <c r="V115" i="74"/>
  <c r="V147" i="74" s="1"/>
  <c r="AL26" i="65"/>
  <c r="AL84" i="65" s="1"/>
  <c r="AL95" i="65" s="1"/>
  <c r="AL51" i="105" s="1"/>
  <c r="AL88" i="105" s="1"/>
  <c r="Q25" i="65"/>
  <c r="Q83" i="65" s="1"/>
  <c r="Q94" i="65" s="1"/>
  <c r="Q50" i="105" s="1"/>
  <c r="Q87" i="105" s="1"/>
  <c r="AM150" i="41"/>
  <c r="T115" i="74"/>
  <c r="T147" i="74" s="1"/>
  <c r="AG115" i="74"/>
  <c r="AG147" i="74" s="1"/>
  <c r="AA115" i="74"/>
  <c r="AA147" i="74" s="1"/>
  <c r="W115" i="74"/>
  <c r="W147" i="74" s="1"/>
  <c r="T25" i="65"/>
  <c r="T83" i="65" s="1"/>
  <c r="T94" i="65" s="1"/>
  <c r="T112" i="65" s="1"/>
  <c r="T68" i="105" s="1"/>
  <c r="AD51" i="41"/>
  <c r="AK150" i="41"/>
  <c r="N50" i="41"/>
  <c r="W50" i="41"/>
  <c r="AD26" i="65"/>
  <c r="AD84" i="65" s="1"/>
  <c r="AD95" i="65" s="1"/>
  <c r="AD113" i="65" s="1"/>
  <c r="AD69" i="105" s="1"/>
  <c r="AO51" i="41"/>
  <c r="Z122" i="74"/>
  <c r="Z154" i="74" s="1"/>
  <c r="Z219" i="71"/>
  <c r="Z22" i="41" s="1"/>
  <c r="Z146" i="41" s="1"/>
  <c r="O256" i="73"/>
  <c r="O24" i="41" s="1"/>
  <c r="O49" i="41" s="1"/>
  <c r="AC217" i="71"/>
  <c r="AC20" i="41" s="1"/>
  <c r="AC144" i="41" s="1"/>
  <c r="AN115" i="74"/>
  <c r="AN147" i="74" s="1"/>
  <c r="AI115" i="74"/>
  <c r="AI147" i="74" s="1"/>
  <c r="AE115" i="74"/>
  <c r="AE147" i="74" s="1"/>
  <c r="AK51" i="41"/>
  <c r="AM26" i="65"/>
  <c r="AM84" i="65" s="1"/>
  <c r="AM95" i="65" s="1"/>
  <c r="AM113" i="65" s="1"/>
  <c r="AM69" i="105" s="1"/>
  <c r="S149" i="41"/>
  <c r="W25" i="65"/>
  <c r="W83" i="65" s="1"/>
  <c r="W94" i="65" s="1"/>
  <c r="W50" i="105" s="1"/>
  <c r="L115" i="74"/>
  <c r="L147" i="74" s="1"/>
  <c r="O115" i="74"/>
  <c r="O147" i="74" s="1"/>
  <c r="AC115" i="74"/>
  <c r="AC147" i="74" s="1"/>
  <c r="AM115" i="74"/>
  <c r="AM147" i="74" s="1"/>
  <c r="Y115" i="74"/>
  <c r="Y147" i="74" s="1"/>
  <c r="X115" i="74"/>
  <c r="X147" i="74" s="1"/>
  <c r="AB115" i="74"/>
  <c r="AB147" i="74" s="1"/>
  <c r="AP115" i="74"/>
  <c r="AP147" i="74" s="1"/>
  <c r="AF115" i="74"/>
  <c r="AF147" i="74" s="1"/>
  <c r="AK115" i="74"/>
  <c r="AK147" i="74" s="1"/>
  <c r="AH115" i="74"/>
  <c r="AH147" i="74" s="1"/>
  <c r="AB256" i="73"/>
  <c r="AB24" i="41" s="1"/>
  <c r="AB148" i="41" s="1"/>
  <c r="Q161" i="74"/>
  <c r="Q23" i="41" s="1"/>
  <c r="Q23" i="65" s="1"/>
  <c r="Q81" i="65" s="1"/>
  <c r="Q92" i="65" s="1"/>
  <c r="Q48" i="105" s="1"/>
  <c r="AM218" i="71"/>
  <c r="AM21" i="41" s="1"/>
  <c r="AM69" i="41" s="1"/>
  <c r="BT96" i="41" s="1"/>
  <c r="AC150" i="41"/>
  <c r="AG26" i="65"/>
  <c r="AG84" i="65" s="1"/>
  <c r="AG95" i="65" s="1"/>
  <c r="AG104" i="65" s="1"/>
  <c r="AG60" i="105" s="1"/>
  <c r="T119" i="74"/>
  <c r="T151" i="74" s="1"/>
  <c r="S119" i="74"/>
  <c r="S151" i="74" s="1"/>
  <c r="AI219" i="71"/>
  <c r="AI22" i="41" s="1"/>
  <c r="AI70" i="41" s="1"/>
  <c r="CW96" i="41" s="1"/>
  <c r="M115" i="74"/>
  <c r="M147" i="74" s="1"/>
  <c r="R50" i="41"/>
  <c r="J119" i="74"/>
  <c r="J151" i="74" s="1"/>
  <c r="J115" i="74"/>
  <c r="J147" i="74" s="1"/>
  <c r="J122" i="74"/>
  <c r="J154" i="74" s="1"/>
  <c r="U50" i="41"/>
  <c r="K115" i="74"/>
  <c r="K147" i="74" s="1"/>
  <c r="K122" i="74"/>
  <c r="K154" i="74" s="1"/>
  <c r="N122" i="74"/>
  <c r="N154" i="74" s="1"/>
  <c r="U149" i="41"/>
  <c r="L25" i="65"/>
  <c r="L83" i="65" s="1"/>
  <c r="L94" i="65" s="1"/>
  <c r="L112" i="65" s="1"/>
  <c r="L68" i="105" s="1"/>
  <c r="R149" i="41"/>
  <c r="X50" i="41"/>
  <c r="AN51" i="41"/>
  <c r="AJ218" i="71"/>
  <c r="AJ21" i="41" s="1"/>
  <c r="AJ145" i="41" s="1"/>
  <c r="J256" i="73"/>
  <c r="J24" i="41" s="1"/>
  <c r="J24" i="65" s="1"/>
  <c r="J82" i="65" s="1"/>
  <c r="J93" i="65" s="1"/>
  <c r="AD217" i="71"/>
  <c r="AD20" i="41" s="1"/>
  <c r="AD144" i="41" s="1"/>
  <c r="AN217" i="71"/>
  <c r="AN20" i="41" s="1"/>
  <c r="AN144" i="41" s="1"/>
  <c r="AC218" i="71"/>
  <c r="AC21" i="41" s="1"/>
  <c r="AC46" i="41" s="1"/>
  <c r="AA256" i="73"/>
  <c r="AA24" i="41" s="1"/>
  <c r="AA24" i="65" s="1"/>
  <c r="AA82" i="65" s="1"/>
  <c r="AA93" i="65" s="1"/>
  <c r="Q219" i="71"/>
  <c r="Q22" i="41" s="1"/>
  <c r="Q47" i="41" s="1"/>
  <c r="AJ217" i="71"/>
  <c r="AJ20" i="41" s="1"/>
  <c r="AJ45" i="41" s="1"/>
  <c r="AF122" i="74"/>
  <c r="AF154" i="74" s="1"/>
  <c r="AJ219" i="71"/>
  <c r="AJ22" i="41" s="1"/>
  <c r="AJ22" i="65" s="1"/>
  <c r="AJ80" i="65" s="1"/>
  <c r="AJ91" i="65" s="1"/>
  <c r="AJ47" i="105" s="1"/>
  <c r="S115" i="74"/>
  <c r="S147" i="74" s="1"/>
  <c r="S122" i="74"/>
  <c r="S154" i="74" s="1"/>
  <c r="T122" i="74"/>
  <c r="T154" i="74" s="1"/>
  <c r="L50" i="41"/>
  <c r="X25" i="65"/>
  <c r="X83" i="65" s="1"/>
  <c r="X94" i="65" s="1"/>
  <c r="X112" i="65" s="1"/>
  <c r="X68" i="105" s="1"/>
  <c r="AN150" i="41"/>
  <c r="N115" i="74"/>
  <c r="N147" i="74" s="1"/>
  <c r="AD219" i="71"/>
  <c r="AD22" i="41" s="1"/>
  <c r="AD47" i="41" s="1"/>
  <c r="AH51" i="41"/>
  <c r="O149" i="41"/>
  <c r="AI26" i="65"/>
  <c r="AI84" i="65" s="1"/>
  <c r="AI95" i="65" s="1"/>
  <c r="AI113" i="65" s="1"/>
  <c r="AI69" i="105" s="1"/>
  <c r="AL150" i="41"/>
  <c r="X122" i="74"/>
  <c r="X154" i="74" s="1"/>
  <c r="O122" i="74"/>
  <c r="O154" i="74" s="1"/>
  <c r="AI150" i="41"/>
  <c r="AN122" i="74"/>
  <c r="AN154" i="74" s="1"/>
  <c r="AM122" i="74"/>
  <c r="AM154" i="74" s="1"/>
  <c r="AA50" i="41"/>
  <c r="Y219" i="71"/>
  <c r="Y22" i="41" s="1"/>
  <c r="Y22" i="65" s="1"/>
  <c r="Y80" i="65" s="1"/>
  <c r="Y91" i="65" s="1"/>
  <c r="X219" i="71"/>
  <c r="X22" i="41" s="1"/>
  <c r="X146" i="41" s="1"/>
  <c r="Z218" i="71"/>
  <c r="Z21" i="41" s="1"/>
  <c r="Z46" i="41" s="1"/>
  <c r="AN219" i="71"/>
  <c r="AN22" i="41" s="1"/>
  <c r="AN146" i="41" s="1"/>
  <c r="AE219" i="71"/>
  <c r="AE22" i="41" s="1"/>
  <c r="AE70" i="41" s="1"/>
  <c r="CS96" i="41" s="1"/>
  <c r="V122" i="74"/>
  <c r="V154" i="74" s="1"/>
  <c r="P219" i="71"/>
  <c r="P22" i="41" s="1"/>
  <c r="P146" i="41" s="1"/>
  <c r="AA219" i="71"/>
  <c r="AA22" i="41" s="1"/>
  <c r="AA22" i="65" s="1"/>
  <c r="AA80" i="65" s="1"/>
  <c r="AA91" i="65" s="1"/>
  <c r="AF218" i="71"/>
  <c r="AF21" i="41" s="1"/>
  <c r="AF21" i="65" s="1"/>
  <c r="AF79" i="65" s="1"/>
  <c r="AF90" i="65" s="1"/>
  <c r="AF46" i="105" s="1"/>
  <c r="Y218" i="71"/>
  <c r="Y21" i="41" s="1"/>
  <c r="Y46" i="41" s="1"/>
  <c r="AM219" i="71"/>
  <c r="AM22" i="41" s="1"/>
  <c r="AM70" i="41" s="1"/>
  <c r="DA96" i="41" s="1"/>
  <c r="AF150" i="41"/>
  <c r="AH26" i="65"/>
  <c r="AH84" i="65" s="1"/>
  <c r="AH95" i="65" s="1"/>
  <c r="AH51" i="105" s="1"/>
  <c r="AH88" i="105" s="1"/>
  <c r="AF26" i="65"/>
  <c r="AF84" i="65" s="1"/>
  <c r="AF95" i="65" s="1"/>
  <c r="AF51" i="105" s="1"/>
  <c r="AF88" i="105" s="1"/>
  <c r="Q50" i="41"/>
  <c r="AA149" i="41"/>
  <c r="AI122" i="74"/>
  <c r="AI154" i="74" s="1"/>
  <c r="AD122" i="74"/>
  <c r="AD154" i="74" s="1"/>
  <c r="AO122" i="74"/>
  <c r="AO154" i="74" s="1"/>
  <c r="U122" i="74"/>
  <c r="U154" i="74" s="1"/>
  <c r="AB122" i="74"/>
  <c r="AB154" i="74" s="1"/>
  <c r="AE122" i="74"/>
  <c r="AE154" i="74" s="1"/>
  <c r="P25" i="65"/>
  <c r="P83" i="65" s="1"/>
  <c r="P94" i="65" s="1"/>
  <c r="P103" i="65" s="1"/>
  <c r="P59" i="105" s="1"/>
  <c r="AD218" i="71"/>
  <c r="AD21" i="41" s="1"/>
  <c r="AD21" i="65" s="1"/>
  <c r="AD79" i="65" s="1"/>
  <c r="AD90" i="65" s="1"/>
  <c r="AN218" i="71"/>
  <c r="AN21" i="41" s="1"/>
  <c r="AN21" i="65" s="1"/>
  <c r="AN79" i="65" s="1"/>
  <c r="AN90" i="65" s="1"/>
  <c r="AN46" i="105" s="1"/>
  <c r="AP26" i="65"/>
  <c r="AP84" i="65" s="1"/>
  <c r="AP95" i="65" s="1"/>
  <c r="AP51" i="105" s="1"/>
  <c r="AP88" i="105" s="1"/>
  <c r="AP51" i="41"/>
  <c r="AH122" i="74"/>
  <c r="AH154" i="74" s="1"/>
  <c r="L122" i="74"/>
  <c r="L154" i="74" s="1"/>
  <c r="AC122" i="74"/>
  <c r="AC154" i="74" s="1"/>
  <c r="AJ122" i="74"/>
  <c r="AJ154" i="74" s="1"/>
  <c r="W122" i="74"/>
  <c r="W154" i="74" s="1"/>
  <c r="Y122" i="74"/>
  <c r="Y154" i="74" s="1"/>
  <c r="X218" i="71"/>
  <c r="X21" i="41" s="1"/>
  <c r="X21" i="65" s="1"/>
  <c r="X79" i="65" s="1"/>
  <c r="X90" i="65" s="1"/>
  <c r="X108" i="65" s="1"/>
  <c r="X64" i="105" s="1"/>
  <c r="AE218" i="71"/>
  <c r="AE21" i="41" s="1"/>
  <c r="AE69" i="41" s="1"/>
  <c r="BL96" i="41" s="1"/>
  <c r="AI218" i="71"/>
  <c r="AI21" i="41" s="1"/>
  <c r="AI69" i="41" s="1"/>
  <c r="BP96" i="41" s="1"/>
  <c r="AM217" i="71"/>
  <c r="AM20" i="41" s="1"/>
  <c r="AM20" i="65" s="1"/>
  <c r="AM78" i="65" s="1"/>
  <c r="AM89" i="65" s="1"/>
  <c r="AI217" i="71"/>
  <c r="AI20" i="41" s="1"/>
  <c r="AI20" i="65" s="1"/>
  <c r="AI78" i="65" s="1"/>
  <c r="AI89" i="65" s="1"/>
  <c r="AK122" i="74"/>
  <c r="AK154" i="74" s="1"/>
  <c r="AL122" i="74"/>
  <c r="AL154" i="74" s="1"/>
  <c r="AG122" i="74"/>
  <c r="AG154" i="74" s="1"/>
  <c r="AA122" i="74"/>
  <c r="AA154" i="74" s="1"/>
  <c r="AP122" i="74"/>
  <c r="AP154" i="74" s="1"/>
  <c r="AC219" i="71"/>
  <c r="AC22" i="41" s="1"/>
  <c r="AC22" i="65" s="1"/>
  <c r="AC80" i="65" s="1"/>
  <c r="AC91" i="65" s="1"/>
  <c r="AF219" i="71"/>
  <c r="AF22" i="41" s="1"/>
  <c r="AF146" i="41" s="1"/>
  <c r="R219" i="71"/>
  <c r="R22" i="41" s="1"/>
  <c r="R146" i="41" s="1"/>
  <c r="AA218" i="71"/>
  <c r="AA21" i="41" s="1"/>
  <c r="AA21" i="65" s="1"/>
  <c r="AA79" i="65" s="1"/>
  <c r="AA90" i="65" s="1"/>
  <c r="AP145" i="41"/>
  <c r="R87" i="105"/>
  <c r="AJ88" i="105"/>
  <c r="AN88" i="105"/>
  <c r="AP83" i="105"/>
  <c r="V150" i="41"/>
  <c r="V51" i="41"/>
  <c r="V68" i="41"/>
  <c r="V96" i="41" s="1"/>
  <c r="Q68" i="41"/>
  <c r="Q96" i="41" s="1"/>
  <c r="AP46" i="41"/>
  <c r="Q45" i="41"/>
  <c r="AP69" i="41"/>
  <c r="BW96" i="41" s="1"/>
  <c r="V20" i="65"/>
  <c r="AG21" i="65"/>
  <c r="AG79" i="65" s="1"/>
  <c r="AG90" i="65" s="1"/>
  <c r="AG69" i="41"/>
  <c r="BN96" i="41" s="1"/>
  <c r="AG145" i="41"/>
  <c r="AG46" i="41"/>
  <c r="P21" i="65"/>
  <c r="P46" i="41"/>
  <c r="P69" i="41"/>
  <c r="AW96" i="41" s="1"/>
  <c r="U26" i="65"/>
  <c r="U84" i="65" s="1"/>
  <c r="U95" i="65" s="1"/>
  <c r="U150" i="41"/>
  <c r="U51" i="41"/>
  <c r="P45" i="41"/>
  <c r="P68" i="41"/>
  <c r="P96" i="41" s="1"/>
  <c r="P20" i="65"/>
  <c r="AA112" i="65"/>
  <c r="AA68" i="105" s="1"/>
  <c r="AA103" i="65"/>
  <c r="AA59" i="105" s="1"/>
  <c r="AA50" i="105"/>
  <c r="T51" i="41"/>
  <c r="T26" i="65"/>
  <c r="T84" i="65" s="1"/>
  <c r="T95" i="65" s="1"/>
  <c r="T150" i="41"/>
  <c r="AK21" i="65"/>
  <c r="AK79" i="65" s="1"/>
  <c r="AK90" i="65" s="1"/>
  <c r="AK69" i="41"/>
  <c r="BR96" i="41" s="1"/>
  <c r="AK145" i="41"/>
  <c r="AK46" i="41"/>
  <c r="O150" i="41"/>
  <c r="O51" i="41"/>
  <c r="O26" i="65"/>
  <c r="O84" i="65" s="1"/>
  <c r="O95" i="65" s="1"/>
  <c r="AA51" i="41"/>
  <c r="AA150" i="41"/>
  <c r="AA26" i="65"/>
  <c r="AA84" i="65" s="1"/>
  <c r="AA95" i="65" s="1"/>
  <c r="N51" i="41"/>
  <c r="N150" i="41"/>
  <c r="N26" i="65"/>
  <c r="N84" i="65" s="1"/>
  <c r="N95" i="65" s="1"/>
  <c r="U103" i="65"/>
  <c r="U59" i="105" s="1"/>
  <c r="U50" i="105"/>
  <c r="U112" i="65"/>
  <c r="U68" i="105" s="1"/>
  <c r="R69" i="41"/>
  <c r="AY96" i="41" s="1"/>
  <c r="R21" i="65"/>
  <c r="R46" i="41"/>
  <c r="S114" i="74"/>
  <c r="S146" i="74" s="1"/>
  <c r="M114" i="74"/>
  <c r="M146" i="74" s="1"/>
  <c r="J114" i="74"/>
  <c r="K114" i="74"/>
  <c r="K146" i="74" s="1"/>
  <c r="N114" i="74"/>
  <c r="N146" i="74" s="1"/>
  <c r="T114" i="74"/>
  <c r="T146" i="74" s="1"/>
  <c r="AK146" i="41"/>
  <c r="AK22" i="65"/>
  <c r="AK80" i="65" s="1"/>
  <c r="AK91" i="65" s="1"/>
  <c r="AK70" i="41"/>
  <c r="CY96" i="41" s="1"/>
  <c r="AK47" i="41"/>
  <c r="AB150" i="41"/>
  <c r="AB26" i="65"/>
  <c r="AB84" i="65" s="1"/>
  <c r="AB95" i="65" s="1"/>
  <c r="AB51" i="41"/>
  <c r="Z148" i="41"/>
  <c r="Z49" i="41"/>
  <c r="Z24" i="65"/>
  <c r="Z82" i="65" s="1"/>
  <c r="Z93" i="65" s="1"/>
  <c r="J51" i="41"/>
  <c r="J26" i="65"/>
  <c r="J84" i="65" s="1"/>
  <c r="J95" i="65" s="1"/>
  <c r="J150" i="41"/>
  <c r="S150" i="41"/>
  <c r="S26" i="65"/>
  <c r="S84" i="65" s="1"/>
  <c r="S95" i="65" s="1"/>
  <c r="S51" i="41"/>
  <c r="O50" i="105"/>
  <c r="O112" i="65"/>
  <c r="O68" i="105" s="1"/>
  <c r="O103" i="65"/>
  <c r="O59" i="105" s="1"/>
  <c r="Y45" i="41"/>
  <c r="Y68" i="41"/>
  <c r="Y96" i="41" s="1"/>
  <c r="Y20" i="65"/>
  <c r="AK51" i="105"/>
  <c r="AK113" i="65"/>
  <c r="AK69" i="105" s="1"/>
  <c r="AH46" i="41"/>
  <c r="AH21" i="65"/>
  <c r="AH79" i="65" s="1"/>
  <c r="AH90" i="65" s="1"/>
  <c r="AH46" i="105" s="1"/>
  <c r="AH145" i="41"/>
  <c r="AH69" i="41"/>
  <c r="BO96" i="41" s="1"/>
  <c r="AL70" i="41"/>
  <c r="CZ96" i="41" s="1"/>
  <c r="AL47" i="41"/>
  <c r="AL22" i="65"/>
  <c r="AL80" i="65" s="1"/>
  <c r="AL91" i="65" s="1"/>
  <c r="AL47" i="105" s="1"/>
  <c r="AL146" i="41"/>
  <c r="M51" i="41"/>
  <c r="M26" i="65"/>
  <c r="M84" i="65" s="1"/>
  <c r="M95" i="65" s="1"/>
  <c r="M150" i="41"/>
  <c r="AL68" i="41"/>
  <c r="AL96" i="41" s="1"/>
  <c r="AL144" i="41"/>
  <c r="AL20" i="65"/>
  <c r="AL78" i="65" s="1"/>
  <c r="AL89" i="65" s="1"/>
  <c r="AL45" i="105" s="1"/>
  <c r="AL45" i="41"/>
  <c r="AO51" i="105"/>
  <c r="AO113" i="65"/>
  <c r="AO69" i="105" s="1"/>
  <c r="V70" i="41"/>
  <c r="CJ96" i="41" s="1"/>
  <c r="V22" i="65"/>
  <c r="V47" i="41"/>
  <c r="R45" i="41"/>
  <c r="R20" i="65"/>
  <c r="R68" i="41"/>
  <c r="R96" i="41" s="1"/>
  <c r="Y50" i="105"/>
  <c r="Y112" i="65"/>
  <c r="Y68" i="105" s="1"/>
  <c r="Y103" i="65"/>
  <c r="Y59" i="105" s="1"/>
  <c r="Q26" i="65"/>
  <c r="Q84" i="65" s="1"/>
  <c r="Q95" i="65" s="1"/>
  <c r="Q51" i="105" s="1"/>
  <c r="Q150" i="41"/>
  <c r="Q51" i="41"/>
  <c r="AO70" i="41"/>
  <c r="DC96" i="41" s="1"/>
  <c r="AO146" i="41"/>
  <c r="AO22" i="65"/>
  <c r="AO80" i="65" s="1"/>
  <c r="AO91" i="65" s="1"/>
  <c r="AO47" i="41"/>
  <c r="V113" i="65"/>
  <c r="V69" i="105" s="1"/>
  <c r="V51" i="105"/>
  <c r="AH22" i="65"/>
  <c r="AH80" i="65" s="1"/>
  <c r="AH91" i="65" s="1"/>
  <c r="AH47" i="105" s="1"/>
  <c r="AH47" i="41"/>
  <c r="AH70" i="41"/>
  <c r="CV96" i="41" s="1"/>
  <c r="AH146" i="41"/>
  <c r="R150" i="41"/>
  <c r="R51" i="41"/>
  <c r="R26" i="65"/>
  <c r="R84" i="65" s="1"/>
  <c r="R95" i="65" s="1"/>
  <c r="R51" i="105" s="1"/>
  <c r="AB46" i="41"/>
  <c r="AB21" i="65"/>
  <c r="AB69" i="41"/>
  <c r="BI96" i="41" s="1"/>
  <c r="AP20" i="65"/>
  <c r="AP78" i="65" s="1"/>
  <c r="AP89" i="65" s="1"/>
  <c r="AP45" i="105" s="1"/>
  <c r="AP144" i="41"/>
  <c r="AP45" i="41"/>
  <c r="AP68" i="41"/>
  <c r="AP96" i="41" s="1"/>
  <c r="Q21" i="65" l="1"/>
  <c r="Q69" i="41"/>
  <c r="AX96" i="41" s="1"/>
  <c r="R147" i="41"/>
  <c r="AG22" i="65"/>
  <c r="AG80" i="65" s="1"/>
  <c r="AG91" i="65" s="1"/>
  <c r="AG47" i="105" s="1"/>
  <c r="U20" i="65"/>
  <c r="P48" i="41"/>
  <c r="Q24" i="65"/>
  <c r="Q82" i="65" s="1"/>
  <c r="Q93" i="65" s="1"/>
  <c r="Q49" i="105" s="1"/>
  <c r="Q86" i="105" s="1"/>
  <c r="Q148" i="41"/>
  <c r="AA20" i="65"/>
  <c r="R23" i="65"/>
  <c r="R81" i="65" s="1"/>
  <c r="R92" i="65" s="1"/>
  <c r="R48" i="105" s="1"/>
  <c r="R85" i="105" s="1"/>
  <c r="AG47" i="41"/>
  <c r="AG146" i="41"/>
  <c r="U68" i="41"/>
  <c r="U96" i="41" s="1"/>
  <c r="AA68" i="41"/>
  <c r="AA96" i="41" s="1"/>
  <c r="AO46" i="41"/>
  <c r="AO69" i="41"/>
  <c r="BV96" i="41" s="1"/>
  <c r="AO21" i="65"/>
  <c r="AO79" i="65" s="1"/>
  <c r="AO90" i="65" s="1"/>
  <c r="AO46" i="105" s="1"/>
  <c r="P23" i="65"/>
  <c r="P81" i="65" s="1"/>
  <c r="P92" i="65" s="1"/>
  <c r="P110" i="65" s="1"/>
  <c r="P66" i="105" s="1"/>
  <c r="U111" i="65"/>
  <c r="U67" i="105" s="1"/>
  <c r="W49" i="41"/>
  <c r="W148" i="41"/>
  <c r="Y148" i="41"/>
  <c r="AG144" i="41"/>
  <c r="Y49" i="41"/>
  <c r="AH68" i="41"/>
  <c r="AH96" i="41" s="1"/>
  <c r="R148" i="41"/>
  <c r="U102" i="65"/>
  <c r="U58" i="105" s="1"/>
  <c r="U49" i="41"/>
  <c r="U148" i="41"/>
  <c r="AG45" i="41"/>
  <c r="X20" i="65"/>
  <c r="X68" i="41"/>
  <c r="X96" i="41" s="1"/>
  <c r="AK20" i="65"/>
  <c r="AK78" i="65" s="1"/>
  <c r="AK89" i="65" s="1"/>
  <c r="AK45" i="105" s="1"/>
  <c r="AH45" i="41"/>
  <c r="AO68" i="41"/>
  <c r="AO96" i="41" s="1"/>
  <c r="AH20" i="65"/>
  <c r="AH78" i="65" s="1"/>
  <c r="AH89" i="65" s="1"/>
  <c r="AH45" i="105" s="1"/>
  <c r="AH82" i="105" s="1"/>
  <c r="R24" i="65"/>
  <c r="R82" i="65" s="1"/>
  <c r="R93" i="65" s="1"/>
  <c r="R49" i="105" s="1"/>
  <c r="R86" i="105" s="1"/>
  <c r="AG20" i="65"/>
  <c r="AG78" i="65" s="1"/>
  <c r="AG89" i="65" s="1"/>
  <c r="AG45" i="105" s="1"/>
  <c r="W46" i="41"/>
  <c r="AP70" i="41"/>
  <c r="DD96" i="41" s="1"/>
  <c r="K51" i="41"/>
  <c r="AL46" i="41"/>
  <c r="AP146" i="41"/>
  <c r="W21" i="65"/>
  <c r="AP47" i="41"/>
  <c r="K150" i="41"/>
  <c r="AL145" i="41"/>
  <c r="L49" i="41"/>
  <c r="N148" i="41"/>
  <c r="X150" i="41"/>
  <c r="Z103" i="65"/>
  <c r="Z59" i="105" s="1"/>
  <c r="N112" i="65"/>
  <c r="N68" i="105" s="1"/>
  <c r="H254" i="72" a="1"/>
  <c r="H254" i="72" s="1"/>
  <c r="AC104" i="65"/>
  <c r="AC60" i="105" s="1"/>
  <c r="X49" i="41"/>
  <c r="W51" i="41"/>
  <c r="K24" i="65"/>
  <c r="K82" i="65" s="1"/>
  <c r="K93" i="65" s="1"/>
  <c r="K111" i="65" s="1"/>
  <c r="K67" i="105" s="1"/>
  <c r="W150" i="41"/>
  <c r="K148" i="41"/>
  <c r="AC51" i="105"/>
  <c r="AC88" i="105" s="1"/>
  <c r="Z50" i="105"/>
  <c r="Z87" i="105" s="1"/>
  <c r="W68" i="41"/>
  <c r="W96" i="41" s="1"/>
  <c r="X26" i="65"/>
  <c r="X84" i="65" s="1"/>
  <c r="X95" i="65" s="1"/>
  <c r="X51" i="105" s="1"/>
  <c r="AD46" i="41"/>
  <c r="Q147" i="41"/>
  <c r="W20" i="65"/>
  <c r="AB68" i="41"/>
  <c r="AB96" i="41" s="1"/>
  <c r="AJ161" i="74"/>
  <c r="AJ23" i="41" s="1"/>
  <c r="AJ48" i="41" s="1"/>
  <c r="X24" i="65"/>
  <c r="X82" i="65" s="1"/>
  <c r="X93" i="65" s="1"/>
  <c r="X102" i="65" s="1"/>
  <c r="X58" i="105" s="1"/>
  <c r="AB45" i="41"/>
  <c r="AB22" i="65"/>
  <c r="U21" i="65"/>
  <c r="U22" i="65"/>
  <c r="V161" i="74"/>
  <c r="V23" i="41" s="1"/>
  <c r="V23" i="65" s="1"/>
  <c r="V81" i="65" s="1"/>
  <c r="V92" i="65" s="1"/>
  <c r="L24" i="65"/>
  <c r="L82" i="65" s="1"/>
  <c r="L93" i="65" s="1"/>
  <c r="L111" i="65" s="1"/>
  <c r="L67" i="105" s="1"/>
  <c r="AK45" i="41"/>
  <c r="N49" i="41"/>
  <c r="AK144" i="41"/>
  <c r="AB70" i="41"/>
  <c r="CP96" i="41" s="1"/>
  <c r="U46" i="41"/>
  <c r="L26" i="65"/>
  <c r="L84" i="65" s="1"/>
  <c r="L95" i="65" s="1"/>
  <c r="L104" i="65" s="1"/>
  <c r="L60" i="105" s="1"/>
  <c r="Z51" i="41"/>
  <c r="K112" i="65"/>
  <c r="K68" i="105" s="1"/>
  <c r="AO20" i="65"/>
  <c r="AO78" i="65" s="1"/>
  <c r="AO89" i="65" s="1"/>
  <c r="AO45" i="105" s="1"/>
  <c r="AO45" i="41"/>
  <c r="Y150" i="41"/>
  <c r="AL161" i="74"/>
  <c r="AL23" i="41" s="1"/>
  <c r="AL23" i="65" s="1"/>
  <c r="AL81" i="65" s="1"/>
  <c r="AL92" i="65" s="1"/>
  <c r="AL48" i="105" s="1"/>
  <c r="S24" i="65"/>
  <c r="S82" i="65" s="1"/>
  <c r="S93" i="65" s="1"/>
  <c r="S102" i="65" s="1"/>
  <c r="S58" i="105" s="1"/>
  <c r="T103" i="65"/>
  <c r="T59" i="105" s="1"/>
  <c r="Y26" i="65"/>
  <c r="Y84" i="65" s="1"/>
  <c r="Y95" i="65" s="1"/>
  <c r="Y113" i="65" s="1"/>
  <c r="Y69" i="105" s="1"/>
  <c r="P26" i="65"/>
  <c r="P84" i="65" s="1"/>
  <c r="P95" i="65" s="1"/>
  <c r="P113" i="65" s="1"/>
  <c r="P69" i="105" s="1"/>
  <c r="P150" i="41"/>
  <c r="L51" i="41"/>
  <c r="Z26" i="65"/>
  <c r="Z84" i="65" s="1"/>
  <c r="Z95" i="65" s="1"/>
  <c r="Z104" i="65" s="1"/>
  <c r="Z60" i="105" s="1"/>
  <c r="AE51" i="105"/>
  <c r="AE88" i="105" s="1"/>
  <c r="AE104" i="65"/>
  <c r="AE60" i="105" s="1"/>
  <c r="J112" i="65"/>
  <c r="J68" i="105" s="1"/>
  <c r="M49" i="41"/>
  <c r="K50" i="105"/>
  <c r="K87" i="105" s="1"/>
  <c r="M24" i="65"/>
  <c r="M82" i="65" s="1"/>
  <c r="M93" i="65" s="1"/>
  <c r="M111" i="65" s="1"/>
  <c r="M67" i="105" s="1"/>
  <c r="P24" i="65"/>
  <c r="P82" i="65" s="1"/>
  <c r="P93" i="65" s="1"/>
  <c r="P49" i="105" s="1"/>
  <c r="N50" i="105"/>
  <c r="N87" i="105" s="1"/>
  <c r="J103" i="65"/>
  <c r="J59" i="105" s="1"/>
  <c r="P49" i="41"/>
  <c r="P50" i="105"/>
  <c r="P87" i="105" s="1"/>
  <c r="AM51" i="105"/>
  <c r="AM88" i="105" s="1"/>
  <c r="X161" i="74"/>
  <c r="X23" i="41" s="1"/>
  <c r="X48" i="41" s="1"/>
  <c r="S49" i="41"/>
  <c r="T49" i="41"/>
  <c r="AL21" i="65"/>
  <c r="AL79" i="65" s="1"/>
  <c r="AL90" i="65" s="1"/>
  <c r="AL46" i="105" s="1"/>
  <c r="AL83" i="105" s="1"/>
  <c r="V49" i="41"/>
  <c r="T24" i="65"/>
  <c r="T82" i="65" s="1"/>
  <c r="T93" i="65" s="1"/>
  <c r="T49" i="105" s="1"/>
  <c r="Z45" i="41"/>
  <c r="U47" i="41"/>
  <c r="Z68" i="41"/>
  <c r="Z96" i="41" s="1"/>
  <c r="V69" i="41"/>
  <c r="BC96" i="41" s="1"/>
  <c r="AI22" i="65"/>
  <c r="AI80" i="65" s="1"/>
  <c r="AI91" i="65" s="1"/>
  <c r="AI109" i="65" s="1"/>
  <c r="AI65" i="105" s="1"/>
  <c r="X70" i="41"/>
  <c r="CL96" i="41" s="1"/>
  <c r="V46" i="41"/>
  <c r="AM22" i="65"/>
  <c r="AM80" i="65" s="1"/>
  <c r="AM91" i="65" s="1"/>
  <c r="AM47" i="105" s="1"/>
  <c r="AM84" i="105" s="1"/>
  <c r="AM145" i="41"/>
  <c r="AM21" i="65"/>
  <c r="AM79" i="65" s="1"/>
  <c r="AM90" i="65" s="1"/>
  <c r="AM46" i="105" s="1"/>
  <c r="W70" i="41"/>
  <c r="CK96" i="41" s="1"/>
  <c r="W47" i="41"/>
  <c r="Z161" i="74"/>
  <c r="Z23" i="41" s="1"/>
  <c r="Z48" i="41" s="1"/>
  <c r="V112" i="65"/>
  <c r="V68" i="105" s="1"/>
  <c r="AF145" i="41"/>
  <c r="AB112" i="65"/>
  <c r="AB68" i="105" s="1"/>
  <c r="V24" i="65"/>
  <c r="V82" i="65" s="1"/>
  <c r="V93" i="65" s="1"/>
  <c r="V49" i="105" s="1"/>
  <c r="M50" i="105"/>
  <c r="M87" i="105" s="1"/>
  <c r="AB50" i="105"/>
  <c r="AB87" i="105" s="1"/>
  <c r="AD145" i="41"/>
  <c r="AF69" i="41"/>
  <c r="BM96" i="41" s="1"/>
  <c r="AI146" i="41"/>
  <c r="AC145" i="41"/>
  <c r="AE21" i="65"/>
  <c r="AE79" i="65" s="1"/>
  <c r="AE90" i="65" s="1"/>
  <c r="AE108" i="65" s="1"/>
  <c r="AE64" i="105" s="1"/>
  <c r="AM68" i="41"/>
  <c r="AM96" i="41" s="1"/>
  <c r="AC69" i="41"/>
  <c r="BJ96" i="41" s="1"/>
  <c r="S103" i="65"/>
  <c r="S59" i="105" s="1"/>
  <c r="AE146" i="41"/>
  <c r="Z70" i="41"/>
  <c r="CN96" i="41" s="1"/>
  <c r="AD51" i="105"/>
  <c r="AD88" i="105" s="1"/>
  <c r="AE46" i="41"/>
  <c r="AM45" i="41"/>
  <c r="X47" i="41"/>
  <c r="T161" i="74"/>
  <c r="T23" i="41" s="1"/>
  <c r="T48" i="41" s="1"/>
  <c r="S112" i="65"/>
  <c r="S68" i="105" s="1"/>
  <c r="AB49" i="41"/>
  <c r="AE22" i="65"/>
  <c r="AE80" i="65" s="1"/>
  <c r="AE91" i="65" s="1"/>
  <c r="AE109" i="65" s="1"/>
  <c r="AE65" i="105" s="1"/>
  <c r="Z22" i="65"/>
  <c r="Z80" i="65" s="1"/>
  <c r="Z91" i="65" s="1"/>
  <c r="Z109" i="65" s="1"/>
  <c r="Z65" i="105" s="1"/>
  <c r="AI161" i="74"/>
  <c r="AI23" i="41" s="1"/>
  <c r="AI48" i="41" s="1"/>
  <c r="U161" i="74"/>
  <c r="U23" i="41" s="1"/>
  <c r="U147" i="41" s="1"/>
  <c r="O24" i="65"/>
  <c r="O82" i="65" s="1"/>
  <c r="O93" i="65" s="1"/>
  <c r="O102" i="65" s="1"/>
  <c r="O58" i="105" s="1"/>
  <c r="AG51" i="105"/>
  <c r="AG88" i="105" s="1"/>
  <c r="AF70" i="41"/>
  <c r="CT96" i="41" s="1"/>
  <c r="AI45" i="41"/>
  <c r="AF68" i="41"/>
  <c r="AF96" i="41" s="1"/>
  <c r="AE144" i="41"/>
  <c r="J49" i="41"/>
  <c r="Y145" i="41"/>
  <c r="AA49" i="41"/>
  <c r="AJ47" i="41"/>
  <c r="AN145" i="41"/>
  <c r="AG161" i="74"/>
  <c r="AG23" i="41" s="1"/>
  <c r="AG147" i="41" s="1"/>
  <c r="AF161" i="74"/>
  <c r="AF23" i="41" s="1"/>
  <c r="AF48" i="41" s="1"/>
  <c r="AD69" i="41"/>
  <c r="BK96" i="41" s="1"/>
  <c r="AE145" i="41"/>
  <c r="AI47" i="41"/>
  <c r="AM144" i="41"/>
  <c r="M103" i="65"/>
  <c r="M59" i="105" s="1"/>
  <c r="AB24" i="65"/>
  <c r="AB82" i="65" s="1"/>
  <c r="AB93" i="65" s="1"/>
  <c r="AB49" i="105" s="1"/>
  <c r="AE47" i="41"/>
  <c r="Z47" i="41"/>
  <c r="AN161" i="74"/>
  <c r="AN23" i="41" s="1"/>
  <c r="AN147" i="41" s="1"/>
  <c r="AF46" i="41"/>
  <c r="X22" i="65"/>
  <c r="X80" i="65" s="1"/>
  <c r="X91" i="65" s="1"/>
  <c r="X100" i="65" s="1"/>
  <c r="X56" i="105" s="1"/>
  <c r="AC21" i="65"/>
  <c r="AC79" i="65" s="1"/>
  <c r="AC90" i="65" s="1"/>
  <c r="AC108" i="65" s="1"/>
  <c r="AC64" i="105" s="1"/>
  <c r="AC161" i="74"/>
  <c r="AC23" i="41" s="1"/>
  <c r="AC23" i="65" s="1"/>
  <c r="AC81" i="65" s="1"/>
  <c r="AC92" i="65" s="1"/>
  <c r="AH161" i="74"/>
  <c r="AH23" i="41" s="1"/>
  <c r="AH23" i="65" s="1"/>
  <c r="AH81" i="65" s="1"/>
  <c r="AH92" i="65" s="1"/>
  <c r="AH48" i="105" s="1"/>
  <c r="AB161" i="74"/>
  <c r="AB23" i="41" s="1"/>
  <c r="AB48" i="41" s="1"/>
  <c r="AM161" i="74"/>
  <c r="AM23" i="41" s="1"/>
  <c r="AM48" i="41" s="1"/>
  <c r="AA161" i="74"/>
  <c r="AA23" i="41" s="1"/>
  <c r="AA48" i="41" s="1"/>
  <c r="H291" i="73" a="1"/>
  <c r="H291" i="73" s="1"/>
  <c r="H295" i="73" s="1"/>
  <c r="AF144" i="41"/>
  <c r="AE68" i="41"/>
  <c r="AE96" i="41" s="1"/>
  <c r="O148" i="41"/>
  <c r="Y21" i="65"/>
  <c r="Y79" i="65" s="1"/>
  <c r="Y90" i="65" s="1"/>
  <c r="Y99" i="65" s="1"/>
  <c r="Y55" i="105" s="1"/>
  <c r="AA148" i="41"/>
  <c r="W112" i="65"/>
  <c r="W68" i="105" s="1"/>
  <c r="AJ70" i="41"/>
  <c r="CX96" i="41" s="1"/>
  <c r="AG113" i="65"/>
  <c r="AG69" i="105" s="1"/>
  <c r="AI144" i="41"/>
  <c r="J148" i="41"/>
  <c r="AN69" i="41"/>
  <c r="BU96" i="41" s="1"/>
  <c r="AF20" i="65"/>
  <c r="AF78" i="65" s="1"/>
  <c r="AF89" i="65" s="1"/>
  <c r="AF45" i="105" s="1"/>
  <c r="AF82" i="105" s="1"/>
  <c r="AE20" i="65"/>
  <c r="AE78" i="65" s="1"/>
  <c r="AE89" i="65" s="1"/>
  <c r="AE107" i="65" s="1"/>
  <c r="AE63" i="105" s="1"/>
  <c r="Y69" i="41"/>
  <c r="BF96" i="41" s="1"/>
  <c r="M161" i="74"/>
  <c r="M23" i="41" s="1"/>
  <c r="M147" i="41" s="1"/>
  <c r="Q48" i="41"/>
  <c r="Q52" i="41" s="1"/>
  <c r="AJ146" i="41"/>
  <c r="AF22" i="65"/>
  <c r="AF80" i="65" s="1"/>
  <c r="AF91" i="65" s="1"/>
  <c r="AF47" i="105" s="1"/>
  <c r="AF84" i="105" s="1"/>
  <c r="AI68" i="41"/>
  <c r="AI96" i="41" s="1"/>
  <c r="AN46" i="41"/>
  <c r="AF47" i="41"/>
  <c r="AP161" i="74"/>
  <c r="AP23" i="41" s="1"/>
  <c r="AP23" i="65" s="1"/>
  <c r="AP81" i="65" s="1"/>
  <c r="AP92" i="65" s="1"/>
  <c r="AP48" i="105" s="1"/>
  <c r="L161" i="74"/>
  <c r="L23" i="41" s="1"/>
  <c r="L23" i="65" s="1"/>
  <c r="L81" i="65" s="1"/>
  <c r="L92" i="65" s="1"/>
  <c r="AE161" i="74"/>
  <c r="AE23" i="41" s="1"/>
  <c r="AE48" i="41" s="1"/>
  <c r="AD161" i="74"/>
  <c r="AD23" i="41" s="1"/>
  <c r="AD147" i="41" s="1"/>
  <c r="Y161" i="74"/>
  <c r="Y23" i="41" s="1"/>
  <c r="Y23" i="65" s="1"/>
  <c r="Y81" i="65" s="1"/>
  <c r="Y92" i="65" s="1"/>
  <c r="W161" i="74"/>
  <c r="W23" i="41" s="1"/>
  <c r="W48" i="41" s="1"/>
  <c r="Y47" i="41"/>
  <c r="AD20" i="65"/>
  <c r="AD78" i="65" s="1"/>
  <c r="AD89" i="65" s="1"/>
  <c r="AD107" i="65" s="1"/>
  <c r="AD63" i="105" s="1"/>
  <c r="AD68" i="41"/>
  <c r="AD96" i="41" s="1"/>
  <c r="AC45" i="41"/>
  <c r="Q70" i="41"/>
  <c r="CE96" i="41" s="1"/>
  <c r="P22" i="65"/>
  <c r="P80" i="65" s="1"/>
  <c r="P91" i="65" s="1"/>
  <c r="P47" i="105" s="1"/>
  <c r="Z69" i="41"/>
  <c r="BG96" i="41" s="1"/>
  <c r="AC20" i="65"/>
  <c r="AC78" i="65" s="1"/>
  <c r="AC89" i="65" s="1"/>
  <c r="AC98" i="65" s="1"/>
  <c r="AC54" i="105" s="1"/>
  <c r="AC68" i="41"/>
  <c r="AC96" i="41" s="1"/>
  <c r="AO161" i="74"/>
  <c r="AO23" i="41" s="1"/>
  <c r="AO23" i="65" s="1"/>
  <c r="AO81" i="65" s="1"/>
  <c r="AO92" i="65" s="1"/>
  <c r="O161" i="74"/>
  <c r="O23" i="41" s="1"/>
  <c r="O48" i="41" s="1"/>
  <c r="H50" i="41"/>
  <c r="AD22" i="65"/>
  <c r="AD80" i="65" s="1"/>
  <c r="AD91" i="65" s="1"/>
  <c r="AD109" i="65" s="1"/>
  <c r="AD65" i="105" s="1"/>
  <c r="T50" i="105"/>
  <c r="T87" i="105" s="1"/>
  <c r="AM46" i="41"/>
  <c r="AA46" i="41"/>
  <c r="AK161" i="74"/>
  <c r="AK23" i="41" s="1"/>
  <c r="AK147" i="41" s="1"/>
  <c r="L103" i="65"/>
  <c r="L59" i="105" s="1"/>
  <c r="AA47" i="41"/>
  <c r="AN70" i="41"/>
  <c r="DB96" i="41" s="1"/>
  <c r="AI21" i="65"/>
  <c r="AI79" i="65" s="1"/>
  <c r="AI90" i="65" s="1"/>
  <c r="AI46" i="105" s="1"/>
  <c r="AN68" i="41"/>
  <c r="AN96" i="41" s="1"/>
  <c r="AJ69" i="41"/>
  <c r="BQ96" i="41" s="1"/>
  <c r="AC146" i="41"/>
  <c r="AJ20" i="65"/>
  <c r="AJ78" i="65" s="1"/>
  <c r="AJ89" i="65" s="1"/>
  <c r="AJ45" i="105" s="1"/>
  <c r="AJ82" i="105" s="1"/>
  <c r="X69" i="41"/>
  <c r="BE96" i="41" s="1"/>
  <c r="AN22" i="65"/>
  <c r="AN80" i="65" s="1"/>
  <c r="AN91" i="65" s="1"/>
  <c r="AN47" i="105" s="1"/>
  <c r="AN84" i="105" s="1"/>
  <c r="AI46" i="41"/>
  <c r="AN45" i="41"/>
  <c r="AJ46" i="41"/>
  <c r="AC70" i="41"/>
  <c r="CQ96" i="41" s="1"/>
  <c r="AJ68" i="41"/>
  <c r="AJ96" i="41" s="1"/>
  <c r="X46" i="105"/>
  <c r="X83" i="105" s="1"/>
  <c r="L50" i="105"/>
  <c r="L87" i="105" s="1"/>
  <c r="AD70" i="41"/>
  <c r="CR96" i="41" s="1"/>
  <c r="AA146" i="41"/>
  <c r="AN47" i="41"/>
  <c r="P112" i="65"/>
  <c r="P68" i="105" s="1"/>
  <c r="AI145" i="41"/>
  <c r="AN20" i="65"/>
  <c r="AN78" i="65" s="1"/>
  <c r="AN89" i="65" s="1"/>
  <c r="AN45" i="105" s="1"/>
  <c r="AN82" i="105" s="1"/>
  <c r="AJ21" i="65"/>
  <c r="AJ79" i="65" s="1"/>
  <c r="AJ90" i="65" s="1"/>
  <c r="AJ46" i="105" s="1"/>
  <c r="AJ83" i="105" s="1"/>
  <c r="AC47" i="41"/>
  <c r="K161" i="74"/>
  <c r="K23" i="41" s="1"/>
  <c r="K147" i="41" s="1"/>
  <c r="AJ144" i="41"/>
  <c r="X99" i="65"/>
  <c r="X55" i="105" s="1"/>
  <c r="AD146" i="41"/>
  <c r="AA70" i="41"/>
  <c r="CO96" i="41" s="1"/>
  <c r="AD45" i="41"/>
  <c r="Q22" i="65"/>
  <c r="Q80" i="65" s="1"/>
  <c r="Q91" i="65" s="1"/>
  <c r="Q47" i="105" s="1"/>
  <c r="Q84" i="105" s="1"/>
  <c r="P47" i="41"/>
  <c r="Z21" i="65"/>
  <c r="Z79" i="65" s="1"/>
  <c r="Z90" i="65" s="1"/>
  <c r="Z46" i="105" s="1"/>
  <c r="X103" i="65"/>
  <c r="X59" i="105" s="1"/>
  <c r="N161" i="74"/>
  <c r="N23" i="41" s="1"/>
  <c r="N23" i="65" s="1"/>
  <c r="N81" i="65" s="1"/>
  <c r="N92" i="65" s="1"/>
  <c r="S161" i="74"/>
  <c r="S23" i="41" s="1"/>
  <c r="S23" i="65" s="1"/>
  <c r="S81" i="65" s="1"/>
  <c r="S92" i="65" s="1"/>
  <c r="AI51" i="105"/>
  <c r="AI88" i="105" s="1"/>
  <c r="Y70" i="41"/>
  <c r="CM96" i="41" s="1"/>
  <c r="AM146" i="41"/>
  <c r="AM47" i="41"/>
  <c r="Q146" i="41"/>
  <c r="P70" i="41"/>
  <c r="CD96" i="41" s="1"/>
  <c r="Z145" i="41"/>
  <c r="X50" i="105"/>
  <c r="X87" i="105" s="1"/>
  <c r="Y146" i="41"/>
  <c r="X145" i="41"/>
  <c r="X46" i="41"/>
  <c r="R22" i="65"/>
  <c r="R80" i="65" s="1"/>
  <c r="R91" i="65" s="1"/>
  <c r="R47" i="105" s="1"/>
  <c r="R84" i="105" s="1"/>
  <c r="R47" i="41"/>
  <c r="R52" i="41" s="1"/>
  <c r="R70" i="41"/>
  <c r="CF96" i="41" s="1"/>
  <c r="AA69" i="41"/>
  <c r="BH96" i="41" s="1"/>
  <c r="AA145" i="41"/>
  <c r="T90" i="71"/>
  <c r="T195" i="71" s="1"/>
  <c r="T82" i="71"/>
  <c r="T187" i="71" s="1"/>
  <c r="K67" i="71"/>
  <c r="K172" i="71" s="1"/>
  <c r="L28" i="71"/>
  <c r="L133" i="71" s="1"/>
  <c r="J42" i="71"/>
  <c r="J147" i="71" s="1"/>
  <c r="K28" i="71"/>
  <c r="K133" i="71" s="1"/>
  <c r="L97" i="71"/>
  <c r="L202" i="71" s="1"/>
  <c r="T83" i="71"/>
  <c r="T188" i="71" s="1"/>
  <c r="T97" i="71"/>
  <c r="T202" i="71" s="1"/>
  <c r="T37" i="71"/>
  <c r="T142" i="71" s="1"/>
  <c r="T23" i="71"/>
  <c r="T128" i="71" s="1"/>
  <c r="T53" i="71"/>
  <c r="T158" i="71" s="1"/>
  <c r="T67" i="71"/>
  <c r="T172" i="71" s="1"/>
  <c r="T58" i="71"/>
  <c r="T163" i="71" s="1"/>
  <c r="T28" i="71"/>
  <c r="T133" i="71" s="1"/>
  <c r="T102" i="71"/>
  <c r="T207" i="71" s="1"/>
  <c r="T88" i="71"/>
  <c r="T193" i="71" s="1"/>
  <c r="T42" i="71"/>
  <c r="T147" i="71" s="1"/>
  <c r="T72" i="71"/>
  <c r="T177" i="71" s="1"/>
  <c r="S58" i="71"/>
  <c r="S163" i="71" s="1"/>
  <c r="S72" i="71"/>
  <c r="S177" i="71" s="1"/>
  <c r="S28" i="71"/>
  <c r="S133" i="71" s="1"/>
  <c r="S102" i="71"/>
  <c r="S207" i="71" s="1"/>
  <c r="S88" i="71"/>
  <c r="S193" i="71" s="1"/>
  <c r="S42" i="71"/>
  <c r="S147" i="71" s="1"/>
  <c r="S67" i="71"/>
  <c r="S172" i="71" s="1"/>
  <c r="S37" i="71"/>
  <c r="S142" i="71" s="1"/>
  <c r="S97" i="71"/>
  <c r="S202" i="71" s="1"/>
  <c r="Y107" i="105"/>
  <c r="T107" i="105"/>
  <c r="AM108" i="105"/>
  <c r="AI108" i="105"/>
  <c r="AA107" i="105"/>
  <c r="AG98" i="105"/>
  <c r="P97" i="105"/>
  <c r="U97" i="105"/>
  <c r="N97" i="105"/>
  <c r="M107" i="105"/>
  <c r="AE108" i="105"/>
  <c r="X103" i="105"/>
  <c r="AD108" i="105"/>
  <c r="L107" i="105"/>
  <c r="V108" i="105"/>
  <c r="AO108" i="105"/>
  <c r="O97" i="105"/>
  <c r="AC108" i="105"/>
  <c r="Y97" i="105"/>
  <c r="K97" i="105"/>
  <c r="AK108" i="105"/>
  <c r="O107" i="105"/>
  <c r="X107" i="105"/>
  <c r="U107" i="105"/>
  <c r="AA97" i="105"/>
  <c r="AB97" i="105"/>
  <c r="Z107" i="105"/>
  <c r="AP82" i="105"/>
  <c r="R88" i="105"/>
  <c r="AJ84" i="105"/>
  <c r="AL82" i="105"/>
  <c r="AL84" i="105"/>
  <c r="AH83" i="105"/>
  <c r="J87" i="105"/>
  <c r="AH84" i="105"/>
  <c r="AF83" i="105"/>
  <c r="AK88" i="105"/>
  <c r="O87" i="105"/>
  <c r="U87" i="105"/>
  <c r="Q88" i="105"/>
  <c r="AN83" i="105"/>
  <c r="W87" i="105"/>
  <c r="AA87" i="105"/>
  <c r="AO88" i="105"/>
  <c r="U86" i="105"/>
  <c r="S87" i="105"/>
  <c r="AP84" i="105"/>
  <c r="V88" i="105"/>
  <c r="Y87" i="105"/>
  <c r="Q85" i="105"/>
  <c r="V87" i="105"/>
  <c r="L37" i="71"/>
  <c r="L142" i="71" s="1"/>
  <c r="W49" i="105"/>
  <c r="W111" i="65"/>
  <c r="W67" i="105" s="1"/>
  <c r="AA47" i="105"/>
  <c r="AA100" i="65"/>
  <c r="AA56" i="105" s="1"/>
  <c r="AA109" i="65"/>
  <c r="AA65" i="105" s="1"/>
  <c r="Y49" i="105"/>
  <c r="Y102" i="65"/>
  <c r="Y58" i="105" s="1"/>
  <c r="Y111" i="65"/>
  <c r="Y67" i="105" s="1"/>
  <c r="J49" i="105"/>
  <c r="J102" i="65"/>
  <c r="J58" i="105" s="1"/>
  <c r="J111" i="65"/>
  <c r="J67" i="105" s="1"/>
  <c r="AC109" i="65"/>
  <c r="AC65" i="105" s="1"/>
  <c r="AC47" i="105"/>
  <c r="AC100" i="65"/>
  <c r="AC56" i="105" s="1"/>
  <c r="AK109" i="65"/>
  <c r="AK65" i="105" s="1"/>
  <c r="AK47" i="105"/>
  <c r="J146" i="74"/>
  <c r="J161" i="74" s="1"/>
  <c r="J23" i="41" s="1"/>
  <c r="AA104" i="65"/>
  <c r="AA60" i="105" s="1"/>
  <c r="AA51" i="105"/>
  <c r="AA113" i="65"/>
  <c r="AA69" i="105" s="1"/>
  <c r="AA99" i="65"/>
  <c r="AA55" i="105" s="1"/>
  <c r="AA46" i="105"/>
  <c r="AA108" i="65"/>
  <c r="AA64" i="105" s="1"/>
  <c r="U113" i="65"/>
  <c r="U69" i="105" s="1"/>
  <c r="U104" i="65"/>
  <c r="U60" i="105" s="1"/>
  <c r="U51" i="105"/>
  <c r="AO109" i="65"/>
  <c r="AO65" i="105" s="1"/>
  <c r="AO47" i="105"/>
  <c r="AD108" i="65"/>
  <c r="AD64" i="105" s="1"/>
  <c r="AD46" i="105"/>
  <c r="AI45" i="105"/>
  <c r="AI107" i="65"/>
  <c r="N49" i="105"/>
  <c r="N102" i="65"/>
  <c r="N58" i="105" s="1"/>
  <c r="N111" i="65"/>
  <c r="N67" i="105" s="1"/>
  <c r="Z49" i="105"/>
  <c r="Z102" i="65"/>
  <c r="Z58" i="105" s="1"/>
  <c r="Z111" i="65"/>
  <c r="Z67" i="105" s="1"/>
  <c r="K51" i="105"/>
  <c r="K113" i="65"/>
  <c r="K69" i="105" s="1"/>
  <c r="K104" i="65"/>
  <c r="K60" i="105" s="1"/>
  <c r="AB104" i="65"/>
  <c r="AB60" i="105" s="1"/>
  <c r="AB51" i="105"/>
  <c r="AB113" i="65"/>
  <c r="AB69" i="105" s="1"/>
  <c r="M113" i="65"/>
  <c r="M69" i="105" s="1"/>
  <c r="M51" i="105"/>
  <c r="M104" i="65"/>
  <c r="M60" i="105" s="1"/>
  <c r="S104" i="65"/>
  <c r="S60" i="105" s="1"/>
  <c r="S113" i="65"/>
  <c r="S69" i="105" s="1"/>
  <c r="S51" i="105"/>
  <c r="N51" i="105"/>
  <c r="N104" i="65"/>
  <c r="N60" i="105" s="1"/>
  <c r="N113" i="65"/>
  <c r="N69" i="105" s="1"/>
  <c r="Y109" i="65"/>
  <c r="Y65" i="105" s="1"/>
  <c r="Y47" i="105"/>
  <c r="Y100" i="65"/>
  <c r="Y56" i="105" s="1"/>
  <c r="AG46" i="105"/>
  <c r="AG99" i="65"/>
  <c r="AG55" i="105" s="1"/>
  <c r="AG108" i="65"/>
  <c r="AG64" i="105" s="1"/>
  <c r="AA111" i="65"/>
  <c r="AA67" i="105" s="1"/>
  <c r="AA49" i="105"/>
  <c r="AA102" i="65"/>
  <c r="AA58" i="105" s="1"/>
  <c r="AM107" i="65"/>
  <c r="AM45" i="105"/>
  <c r="J51" i="105"/>
  <c r="J104" i="65"/>
  <c r="J60" i="105" s="1"/>
  <c r="J113" i="65"/>
  <c r="J69" i="105" s="1"/>
  <c r="O113" i="65"/>
  <c r="O69" i="105" s="1"/>
  <c r="O51" i="105"/>
  <c r="O104" i="65"/>
  <c r="O60" i="105" s="1"/>
  <c r="AK46" i="105"/>
  <c r="AK108" i="65"/>
  <c r="AK64" i="105" s="1"/>
  <c r="T104" i="65"/>
  <c r="T60" i="105" s="1"/>
  <c r="T113" i="65"/>
  <c r="T69" i="105" s="1"/>
  <c r="T51" i="105"/>
  <c r="W51" i="105"/>
  <c r="W113" i="65"/>
  <c r="W69" i="105" s="1"/>
  <c r="AG109" i="65" l="1"/>
  <c r="AG65" i="105" s="1"/>
  <c r="AG104" i="105" s="1"/>
  <c r="AG100" i="65"/>
  <c r="AG56" i="105" s="1"/>
  <c r="AG94" i="105" s="1"/>
  <c r="P52" i="41"/>
  <c r="AO108" i="65"/>
  <c r="AO64" i="105" s="1"/>
  <c r="P48" i="105"/>
  <c r="P85" i="105" s="1"/>
  <c r="P101" i="65"/>
  <c r="P57" i="105" s="1"/>
  <c r="U106" i="105"/>
  <c r="J52" i="55"/>
  <c r="A4" i="72"/>
  <c r="AI63" i="105"/>
  <c r="J53" i="55"/>
  <c r="A4" i="73"/>
  <c r="AM63" i="105"/>
  <c r="N107" i="105"/>
  <c r="AO107" i="65"/>
  <c r="U96" i="105"/>
  <c r="Z97" i="105"/>
  <c r="AG98" i="65"/>
  <c r="AK107" i="65"/>
  <c r="AG107" i="65"/>
  <c r="T102" i="65"/>
  <c r="T58" i="105" s="1"/>
  <c r="AJ23" i="65"/>
  <c r="AJ81" i="65" s="1"/>
  <c r="AJ92" i="65" s="1"/>
  <c r="AJ48" i="105" s="1"/>
  <c r="AJ85" i="105" s="1"/>
  <c r="AJ89" i="105" s="1"/>
  <c r="AC98" i="105"/>
  <c r="X113" i="65"/>
  <c r="X69" i="105" s="1"/>
  <c r="AL48" i="41"/>
  <c r="AL52" i="41" s="1"/>
  <c r="V111" i="65"/>
  <c r="V67" i="105" s="1"/>
  <c r="K49" i="105"/>
  <c r="K86" i="105" s="1"/>
  <c r="L113" i="65"/>
  <c r="L69" i="105" s="1"/>
  <c r="P104" i="65"/>
  <c r="P60" i="105" s="1"/>
  <c r="V147" i="41"/>
  <c r="X104" i="65"/>
  <c r="X60" i="105" s="1"/>
  <c r="L49" i="105"/>
  <c r="L86" i="105" s="1"/>
  <c r="Y104" i="65"/>
  <c r="Y60" i="105" s="1"/>
  <c r="Y48" i="41"/>
  <c r="Y52" i="41" s="1"/>
  <c r="AF23" i="65"/>
  <c r="AF81" i="65" s="1"/>
  <c r="AF92" i="65" s="1"/>
  <c r="AF48" i="105" s="1"/>
  <c r="AF85" i="105" s="1"/>
  <c r="AF89" i="105" s="1"/>
  <c r="O111" i="65"/>
  <c r="O67" i="105" s="1"/>
  <c r="Z23" i="65"/>
  <c r="Z81" i="65" s="1"/>
  <c r="Z92" i="65" s="1"/>
  <c r="Z101" i="65" s="1"/>
  <c r="Z57" i="105" s="1"/>
  <c r="AE47" i="105"/>
  <c r="AE84" i="105" s="1"/>
  <c r="O49" i="105"/>
  <c r="O86" i="105" s="1"/>
  <c r="Z147" i="41"/>
  <c r="AE100" i="65"/>
  <c r="AE56" i="105" s="1"/>
  <c r="P102" i="65"/>
  <c r="P58" i="105" s="1"/>
  <c r="X111" i="65"/>
  <c r="X67" i="105" s="1"/>
  <c r="AF147" i="41"/>
  <c r="K102" i="65"/>
  <c r="K58" i="105" s="1"/>
  <c r="S111" i="65"/>
  <c r="S67" i="105" s="1"/>
  <c r="L51" i="105"/>
  <c r="L88" i="105" s="1"/>
  <c r="P111" i="65"/>
  <c r="P67" i="105" s="1"/>
  <c r="X49" i="105"/>
  <c r="X86" i="105" s="1"/>
  <c r="T97" i="105"/>
  <c r="H51" i="41"/>
  <c r="Z113" i="65"/>
  <c r="Z69" i="105" s="1"/>
  <c r="Y51" i="105"/>
  <c r="Y88" i="105" s="1"/>
  <c r="V48" i="41"/>
  <c r="V52" i="41" s="1"/>
  <c r="AI47" i="105"/>
  <c r="AI84" i="105" s="1"/>
  <c r="O147" i="41"/>
  <c r="J107" i="105"/>
  <c r="Z51" i="105"/>
  <c r="Z88" i="105" s="1"/>
  <c r="AB52" i="41"/>
  <c r="M102" i="65"/>
  <c r="M58" i="105" s="1"/>
  <c r="AJ147" i="41"/>
  <c r="AB23" i="65"/>
  <c r="AB81" i="65" s="1"/>
  <c r="AB92" i="65" s="1"/>
  <c r="AB110" i="65" s="1"/>
  <c r="AB66" i="105" s="1"/>
  <c r="S49" i="105"/>
  <c r="S86" i="105" s="1"/>
  <c r="U48" i="41"/>
  <c r="U52" i="41" s="1"/>
  <c r="AM109" i="65"/>
  <c r="AM65" i="105" s="1"/>
  <c r="T111" i="65"/>
  <c r="T67" i="105" s="1"/>
  <c r="M49" i="105"/>
  <c r="M86" i="105" s="1"/>
  <c r="L102" i="65"/>
  <c r="L58" i="105" s="1"/>
  <c r="AL147" i="41"/>
  <c r="P51" i="105"/>
  <c r="P88" i="105" s="1"/>
  <c r="AB107" i="105"/>
  <c r="K107" i="105"/>
  <c r="X23" i="65"/>
  <c r="X81" i="65" s="1"/>
  <c r="X92" i="65" s="1"/>
  <c r="X48" i="105" s="1"/>
  <c r="X147" i="41"/>
  <c r="J97" i="105"/>
  <c r="AE98" i="105"/>
  <c r="T23" i="65"/>
  <c r="T81" i="65" s="1"/>
  <c r="T92" i="65" s="1"/>
  <c r="T110" i="65" s="1"/>
  <c r="T66" i="105" s="1"/>
  <c r="T147" i="41"/>
  <c r="L147" i="41"/>
  <c r="M97" i="105"/>
  <c r="AC92" i="105"/>
  <c r="V107" i="105"/>
  <c r="S107" i="105"/>
  <c r="AI147" i="41"/>
  <c r="AC48" i="41"/>
  <c r="AC52" i="41" s="1"/>
  <c r="AI23" i="65"/>
  <c r="AI81" i="65" s="1"/>
  <c r="AI92" i="65" s="1"/>
  <c r="AI48" i="105" s="1"/>
  <c r="AM108" i="65"/>
  <c r="AM64" i="105" s="1"/>
  <c r="M48" i="41"/>
  <c r="AA147" i="41"/>
  <c r="S97" i="105"/>
  <c r="Z100" i="65"/>
  <c r="Z56" i="105" s="1"/>
  <c r="Z47" i="105"/>
  <c r="Z84" i="105" s="1"/>
  <c r="W52" i="41"/>
  <c r="AE46" i="105"/>
  <c r="AE83" i="105" s="1"/>
  <c r="AE99" i="65"/>
  <c r="AE55" i="105" s="1"/>
  <c r="AC46" i="105"/>
  <c r="AC83" i="105" s="1"/>
  <c r="AG23" i="65"/>
  <c r="AG81" i="65" s="1"/>
  <c r="AG92" i="65" s="1"/>
  <c r="AG48" i="105" s="1"/>
  <c r="U23" i="65"/>
  <c r="U81" i="65" s="1"/>
  <c r="U92" i="65" s="1"/>
  <c r="U110" i="65" s="1"/>
  <c r="U66" i="105" s="1"/>
  <c r="X47" i="105"/>
  <c r="X84" i="105" s="1"/>
  <c r="AC147" i="41"/>
  <c r="L48" i="41"/>
  <c r="W147" i="41"/>
  <c r="AN23" i="65"/>
  <c r="AN81" i="65" s="1"/>
  <c r="AN92" i="65" s="1"/>
  <c r="AN48" i="105" s="1"/>
  <c r="AN85" i="105" s="1"/>
  <c r="AN89" i="105" s="1"/>
  <c r="AH147" i="41"/>
  <c r="AB102" i="65"/>
  <c r="AB58" i="105" s="1"/>
  <c r="AN48" i="41"/>
  <c r="AN52" i="41" s="1"/>
  <c r="M23" i="65"/>
  <c r="M81" i="65" s="1"/>
  <c r="M92" i="65" s="1"/>
  <c r="M101" i="65" s="1"/>
  <c r="M57" i="105" s="1"/>
  <c r="W23" i="65"/>
  <c r="W81" i="65" s="1"/>
  <c r="W92" i="65" s="1"/>
  <c r="W48" i="105" s="1"/>
  <c r="AH48" i="41"/>
  <c r="AH52" i="41" s="1"/>
  <c r="AB111" i="65"/>
  <c r="AB67" i="105" s="1"/>
  <c r="AA23" i="65"/>
  <c r="AA81" i="65" s="1"/>
  <c r="AA92" i="65" s="1"/>
  <c r="AA101" i="65" s="1"/>
  <c r="AA57" i="105" s="1"/>
  <c r="AO48" i="41"/>
  <c r="AO52" i="41" s="1"/>
  <c r="AG48" i="41"/>
  <c r="AG52" i="41" s="1"/>
  <c r="AB147" i="41"/>
  <c r="X109" i="65"/>
  <c r="X65" i="105" s="1"/>
  <c r="AE52" i="41"/>
  <c r="AE45" i="105"/>
  <c r="AE82" i="105" s="1"/>
  <c r="H49" i="41"/>
  <c r="K23" i="65"/>
  <c r="K81" i="65" s="1"/>
  <c r="K92" i="65" s="1"/>
  <c r="K110" i="65" s="1"/>
  <c r="K66" i="105" s="1"/>
  <c r="AP147" i="41"/>
  <c r="Y108" i="65"/>
  <c r="Y64" i="105" s="1"/>
  <c r="AM23" i="65"/>
  <c r="AM81" i="65" s="1"/>
  <c r="AM92" i="65" s="1"/>
  <c r="AM48" i="105" s="1"/>
  <c r="Y46" i="105"/>
  <c r="Y83" i="105" s="1"/>
  <c r="X52" i="41"/>
  <c r="N48" i="41"/>
  <c r="Y147" i="41"/>
  <c r="AP48" i="41"/>
  <c r="AP52" i="41" s="1"/>
  <c r="Z108" i="65"/>
  <c r="Z64" i="105" s="1"/>
  <c r="AM147" i="41"/>
  <c r="AC99" i="65"/>
  <c r="AC55" i="105" s="1"/>
  <c r="O23" i="65"/>
  <c r="O81" i="65" s="1"/>
  <c r="O92" i="65" s="1"/>
  <c r="O110" i="65" s="1"/>
  <c r="O66" i="105" s="1"/>
  <c r="Z52" i="41"/>
  <c r="K48" i="41"/>
  <c r="AK23" i="65"/>
  <c r="AK81" i="65" s="1"/>
  <c r="AK92" i="65" s="1"/>
  <c r="AK110" i="65" s="1"/>
  <c r="AK66" i="105" s="1"/>
  <c r="N147" i="41"/>
  <c r="AE23" i="65"/>
  <c r="AE81" i="65" s="1"/>
  <c r="AE92" i="65" s="1"/>
  <c r="AE101" i="65" s="1"/>
  <c r="AE57" i="105" s="1"/>
  <c r="AD47" i="105"/>
  <c r="AD84" i="105" s="1"/>
  <c r="W107" i="105"/>
  <c r="AA52" i="41"/>
  <c r="AD23" i="65"/>
  <c r="AD81" i="65" s="1"/>
  <c r="AD92" i="65" s="1"/>
  <c r="AD48" i="105" s="1"/>
  <c r="AE98" i="65"/>
  <c r="P100" i="65"/>
  <c r="P56" i="105" s="1"/>
  <c r="AD48" i="41"/>
  <c r="AD52" i="41" s="1"/>
  <c r="AK48" i="41"/>
  <c r="AK52" i="41" s="1"/>
  <c r="AI108" i="65"/>
  <c r="AI64" i="105" s="1"/>
  <c r="AE147" i="41"/>
  <c r="AG108" i="105"/>
  <c r="AF52" i="41"/>
  <c r="S48" i="41"/>
  <c r="X93" i="105"/>
  <c r="AJ52" i="41"/>
  <c r="S147" i="41"/>
  <c r="P109" i="65"/>
  <c r="P65" i="105" s="1"/>
  <c r="AO147" i="41"/>
  <c r="AD45" i="105"/>
  <c r="AD82" i="105" s="1"/>
  <c r="L97" i="105"/>
  <c r="AM52" i="41"/>
  <c r="P107" i="105"/>
  <c r="AC107" i="65"/>
  <c r="AC63" i="105" s="1"/>
  <c r="AC45" i="105"/>
  <c r="AC82" i="105" s="1"/>
  <c r="AI52" i="41"/>
  <c r="X97" i="105"/>
  <c r="Z99" i="65"/>
  <c r="Z55" i="105" s="1"/>
  <c r="N29" i="71"/>
  <c r="N134" i="71" s="1"/>
  <c r="M97" i="71"/>
  <c r="M202" i="71" s="1"/>
  <c r="N22" i="71"/>
  <c r="N127" i="71" s="1"/>
  <c r="N74" i="71"/>
  <c r="N179" i="71" s="1"/>
  <c r="O30" i="71"/>
  <c r="O135" i="71" s="1"/>
  <c r="M82" i="71"/>
  <c r="M187" i="71" s="1"/>
  <c r="O22" i="71"/>
  <c r="O127" i="71" s="1"/>
  <c r="O29" i="71"/>
  <c r="O134" i="71" s="1"/>
  <c r="S70" i="71"/>
  <c r="S175" i="71" s="1"/>
  <c r="S26" i="71"/>
  <c r="S131" i="71" s="1"/>
  <c r="S100" i="71"/>
  <c r="S205" i="71" s="1"/>
  <c r="S86" i="71"/>
  <c r="S191" i="71" s="1"/>
  <c r="S40" i="71"/>
  <c r="S145" i="71" s="1"/>
  <c r="K42" i="71"/>
  <c r="K147" i="71" s="1"/>
  <c r="K37" i="71"/>
  <c r="K142" i="71" s="1"/>
  <c r="K53" i="71"/>
  <c r="K158" i="71" s="1"/>
  <c r="K58" i="71"/>
  <c r="K163" i="71" s="1"/>
  <c r="K97" i="71"/>
  <c r="K202" i="71" s="1"/>
  <c r="L67" i="71"/>
  <c r="L172" i="71" s="1"/>
  <c r="K88" i="71"/>
  <c r="K193" i="71" s="1"/>
  <c r="K72" i="71"/>
  <c r="K177" i="71" s="1"/>
  <c r="L102" i="71"/>
  <c r="L207" i="71" s="1"/>
  <c r="T74" i="71"/>
  <c r="T179" i="71" s="1"/>
  <c r="J67" i="71"/>
  <c r="J172" i="71" s="1"/>
  <c r="T52" i="71"/>
  <c r="T157" i="71" s="1"/>
  <c r="J23" i="71"/>
  <c r="J128" i="71" s="1"/>
  <c r="T96" i="71"/>
  <c r="T201" i="71" s="1"/>
  <c r="J97" i="71"/>
  <c r="J202" i="71" s="1"/>
  <c r="T22" i="71"/>
  <c r="T127" i="71" s="1"/>
  <c r="T36" i="71"/>
  <c r="T141" i="71" s="1"/>
  <c r="J83" i="71"/>
  <c r="J188" i="71" s="1"/>
  <c r="J37" i="71"/>
  <c r="J142" i="71" s="1"/>
  <c r="T66" i="71"/>
  <c r="T171" i="71" s="1"/>
  <c r="J53" i="71"/>
  <c r="J158" i="71" s="1"/>
  <c r="J30" i="71"/>
  <c r="J135" i="71" s="1"/>
  <c r="L72" i="71"/>
  <c r="L177" i="71" s="1"/>
  <c r="L42" i="71"/>
  <c r="L147" i="71" s="1"/>
  <c r="J58" i="71"/>
  <c r="J163" i="71" s="1"/>
  <c r="T44" i="71"/>
  <c r="T149" i="71" s="1"/>
  <c r="J26" i="71"/>
  <c r="J131" i="71" s="1"/>
  <c r="T30" i="71"/>
  <c r="T135" i="71" s="1"/>
  <c r="L88" i="71"/>
  <c r="L193" i="71" s="1"/>
  <c r="K25" i="71"/>
  <c r="K130" i="71" s="1"/>
  <c r="J28" i="71"/>
  <c r="J133" i="71" s="1"/>
  <c r="T60" i="71"/>
  <c r="T165" i="71" s="1"/>
  <c r="T104" i="71"/>
  <c r="T209" i="71" s="1"/>
  <c r="S23" i="71"/>
  <c r="S128" i="71" s="1"/>
  <c r="S53" i="71"/>
  <c r="S158" i="71" s="1"/>
  <c r="S83" i="71"/>
  <c r="S188" i="71" s="1"/>
  <c r="H87" i="105"/>
  <c r="AG93" i="105"/>
  <c r="N108" i="105"/>
  <c r="N106" i="105"/>
  <c r="AD103" i="105"/>
  <c r="AA94" i="105"/>
  <c r="W108" i="105"/>
  <c r="S98" i="105"/>
  <c r="S96" i="105"/>
  <c r="AA108" i="105"/>
  <c r="AC103" i="105"/>
  <c r="Y106" i="105"/>
  <c r="W106" i="105"/>
  <c r="T108" i="105"/>
  <c r="J108" i="105"/>
  <c r="AE103" i="105"/>
  <c r="Y94" i="105"/>
  <c r="S108" i="105"/>
  <c r="T98" i="105"/>
  <c r="X94" i="105"/>
  <c r="Y108" i="105"/>
  <c r="AD102" i="105"/>
  <c r="AK103" i="105"/>
  <c r="O108" i="105"/>
  <c r="AA106" i="105"/>
  <c r="Z104" i="105"/>
  <c r="Y104" i="105"/>
  <c r="K106" i="105"/>
  <c r="AB108" i="105"/>
  <c r="Z106" i="105"/>
  <c r="P105" i="105"/>
  <c r="U108" i="105"/>
  <c r="AE104" i="105"/>
  <c r="AC104" i="105"/>
  <c r="J106" i="105"/>
  <c r="Y96" i="105"/>
  <c r="O98" i="105"/>
  <c r="AA96" i="105"/>
  <c r="M106" i="105"/>
  <c r="AB98" i="105"/>
  <c r="K108" i="105"/>
  <c r="AC94" i="105"/>
  <c r="L98" i="105"/>
  <c r="L106" i="105"/>
  <c r="J98" i="105"/>
  <c r="N98" i="105"/>
  <c r="M98" i="105"/>
  <c r="N96" i="105"/>
  <c r="U98" i="105"/>
  <c r="AA93" i="105"/>
  <c r="AE102" i="105"/>
  <c r="AG103" i="105"/>
  <c r="Y93" i="105"/>
  <c r="M108" i="105"/>
  <c r="K98" i="105"/>
  <c r="Z96" i="105"/>
  <c r="AI104" i="105"/>
  <c r="Z98" i="105"/>
  <c r="AO104" i="105"/>
  <c r="AA103" i="105"/>
  <c r="AA98" i="105"/>
  <c r="AK104" i="105"/>
  <c r="O96" i="105"/>
  <c r="J96" i="105"/>
  <c r="P108" i="105"/>
  <c r="X96" i="105"/>
  <c r="AA104" i="105"/>
  <c r="AD104" i="105"/>
  <c r="S88" i="105"/>
  <c r="AM83" i="105"/>
  <c r="AB88" i="105"/>
  <c r="Z83" i="105"/>
  <c r="AD83" i="105"/>
  <c r="AM82" i="105"/>
  <c r="AG82" i="105"/>
  <c r="T86" i="105"/>
  <c r="X88" i="105"/>
  <c r="O88" i="105"/>
  <c r="V86" i="105"/>
  <c r="K88" i="105"/>
  <c r="AC84" i="105"/>
  <c r="AH85" i="105"/>
  <c r="AH89" i="105" s="1"/>
  <c r="AA84" i="105"/>
  <c r="T88" i="105"/>
  <c r="AK83" i="105"/>
  <c r="AL85" i="105"/>
  <c r="AL89" i="105" s="1"/>
  <c r="Y86" i="105"/>
  <c r="AO82" i="105"/>
  <c r="Z86" i="105"/>
  <c r="AI83" i="105"/>
  <c r="U88" i="105"/>
  <c r="AA83" i="105"/>
  <c r="J86" i="105"/>
  <c r="AA86" i="105"/>
  <c r="AG83" i="105"/>
  <c r="Y84" i="105"/>
  <c r="AP85" i="105"/>
  <c r="AP89" i="105" s="1"/>
  <c r="W88" i="105"/>
  <c r="AK82" i="105"/>
  <c r="J88" i="105"/>
  <c r="N88" i="105"/>
  <c r="AO83" i="105"/>
  <c r="M88" i="105"/>
  <c r="P84" i="105"/>
  <c r="N86" i="105"/>
  <c r="AI82" i="105"/>
  <c r="AO84" i="105"/>
  <c r="AA88" i="105"/>
  <c r="AB86" i="105"/>
  <c r="AK84" i="105"/>
  <c r="P86" i="105"/>
  <c r="AG84" i="105"/>
  <c r="W86" i="105"/>
  <c r="N36" i="71"/>
  <c r="N141" i="71" s="1"/>
  <c r="N89" i="71"/>
  <c r="N194" i="71" s="1"/>
  <c r="N43" i="71"/>
  <c r="N148" i="71" s="1"/>
  <c r="H165" i="74" a="1"/>
  <c r="H165" i="74" s="1"/>
  <c r="M42" i="71"/>
  <c r="M147" i="71" s="1"/>
  <c r="O58" i="71"/>
  <c r="O163" i="71" s="1"/>
  <c r="S101" i="65"/>
  <c r="S57" i="105" s="1"/>
  <c r="S110" i="65"/>
  <c r="S66" i="105" s="1"/>
  <c r="S48" i="105"/>
  <c r="Y101" i="65"/>
  <c r="Y57" i="105" s="1"/>
  <c r="Y110" i="65"/>
  <c r="Y66" i="105" s="1"/>
  <c r="Y48" i="105"/>
  <c r="O102" i="71"/>
  <c r="O207" i="71" s="1"/>
  <c r="S91" i="71"/>
  <c r="S196" i="71" s="1"/>
  <c r="AC48" i="105"/>
  <c r="AC110" i="65"/>
  <c r="AC66" i="105" s="1"/>
  <c r="AC101" i="65"/>
  <c r="AC57" i="105" s="1"/>
  <c r="S99" i="71"/>
  <c r="S204" i="71" s="1"/>
  <c r="S55" i="71"/>
  <c r="S160" i="71" s="1"/>
  <c r="M102" i="71"/>
  <c r="M207" i="71" s="1"/>
  <c r="M58" i="71"/>
  <c r="M163" i="71" s="1"/>
  <c r="O28" i="71"/>
  <c r="O133" i="71" s="1"/>
  <c r="S56" i="71"/>
  <c r="S161" i="71" s="1"/>
  <c r="T101" i="71"/>
  <c r="T206" i="71" s="1"/>
  <c r="S105" i="71"/>
  <c r="S210" i="71" s="1"/>
  <c r="S45" i="71"/>
  <c r="S150" i="71" s="1"/>
  <c r="AO110" i="65"/>
  <c r="AO66" i="105" s="1"/>
  <c r="AO48" i="105"/>
  <c r="T29" i="71"/>
  <c r="T134" i="71" s="1"/>
  <c r="J23" i="65"/>
  <c r="J81" i="65" s="1"/>
  <c r="J92" i="65" s="1"/>
  <c r="J48" i="41"/>
  <c r="J147" i="41"/>
  <c r="T75" i="71"/>
  <c r="T180" i="71" s="1"/>
  <c r="T31" i="71"/>
  <c r="T136" i="71" s="1"/>
  <c r="N42" i="71"/>
  <c r="N147" i="71" s="1"/>
  <c r="N58" i="71"/>
  <c r="N163" i="71" s="1"/>
  <c r="T86" i="71"/>
  <c r="T191" i="71" s="1"/>
  <c r="S104" i="71"/>
  <c r="S209" i="71" s="1"/>
  <c r="S60" i="71"/>
  <c r="S165" i="71" s="1"/>
  <c r="S27" i="71"/>
  <c r="S132" i="71" s="1"/>
  <c r="T69" i="71"/>
  <c r="T174" i="71" s="1"/>
  <c r="T84" i="71"/>
  <c r="T189" i="71" s="1"/>
  <c r="S89" i="71"/>
  <c r="S194" i="71" s="1"/>
  <c r="S66" i="71"/>
  <c r="S171" i="71" s="1"/>
  <c r="S39" i="71"/>
  <c r="S144" i="71" s="1"/>
  <c r="O72" i="71"/>
  <c r="O177" i="71" s="1"/>
  <c r="V110" i="65"/>
  <c r="V66" i="105" s="1"/>
  <c r="V48" i="105"/>
  <c r="T41" i="71"/>
  <c r="T146" i="71" s="1"/>
  <c r="T27" i="71"/>
  <c r="T132" i="71" s="1"/>
  <c r="S25" i="71"/>
  <c r="S130" i="71" s="1"/>
  <c r="M28" i="71"/>
  <c r="M133" i="71" s="1"/>
  <c r="O42" i="71"/>
  <c r="O147" i="71" s="1"/>
  <c r="T71" i="71"/>
  <c r="T176" i="71" s="1"/>
  <c r="T87" i="71"/>
  <c r="T192" i="71" s="1"/>
  <c r="S75" i="71"/>
  <c r="S180" i="71" s="1"/>
  <c r="T103" i="71"/>
  <c r="T208" i="71" s="1"/>
  <c r="S69" i="71"/>
  <c r="S174" i="71" s="1"/>
  <c r="S85" i="71"/>
  <c r="S190" i="71" s="1"/>
  <c r="M72" i="71"/>
  <c r="M177" i="71" s="1"/>
  <c r="M88" i="71"/>
  <c r="M193" i="71" s="1"/>
  <c r="O88" i="71"/>
  <c r="O193" i="71" s="1"/>
  <c r="N101" i="65"/>
  <c r="N57" i="105" s="1"/>
  <c r="N110" i="65"/>
  <c r="N66" i="105" s="1"/>
  <c r="N48" i="105"/>
  <c r="T57" i="71"/>
  <c r="T162" i="71" s="1"/>
  <c r="S61" i="71"/>
  <c r="S166" i="71" s="1"/>
  <c r="T73" i="71"/>
  <c r="T178" i="71" s="1"/>
  <c r="T59" i="71"/>
  <c r="T164" i="71" s="1"/>
  <c r="T45" i="71"/>
  <c r="T150" i="71" s="1"/>
  <c r="L48" i="105"/>
  <c r="L110" i="65"/>
  <c r="L66" i="105" s="1"/>
  <c r="L101" i="65"/>
  <c r="L57" i="105" s="1"/>
  <c r="N102" i="71"/>
  <c r="N207" i="71" s="1"/>
  <c r="T26" i="71"/>
  <c r="T131" i="71" s="1"/>
  <c r="S44" i="71"/>
  <c r="S149" i="71" s="1"/>
  <c r="S101" i="71"/>
  <c r="S206" i="71" s="1"/>
  <c r="S57" i="71"/>
  <c r="S162" i="71" s="1"/>
  <c r="T25" i="71"/>
  <c r="T130" i="71" s="1"/>
  <c r="T68" i="71"/>
  <c r="T173" i="71" s="1"/>
  <c r="T54" i="71"/>
  <c r="T159" i="71" s="1"/>
  <c r="S103" i="71"/>
  <c r="S208" i="71" s="1"/>
  <c r="S59" i="71"/>
  <c r="S164" i="71" s="1"/>
  <c r="S82" i="71"/>
  <c r="S187" i="71" s="1"/>
  <c r="S31" i="71"/>
  <c r="S136" i="71" s="1"/>
  <c r="T43" i="71"/>
  <c r="T148" i="71" s="1"/>
  <c r="T89" i="71"/>
  <c r="T194" i="71" s="1"/>
  <c r="T91" i="71"/>
  <c r="T196" i="71" s="1"/>
  <c r="N88" i="71"/>
  <c r="N193" i="71" s="1"/>
  <c r="T100" i="71"/>
  <c r="T205" i="71" s="1"/>
  <c r="T56" i="71"/>
  <c r="T161" i="71" s="1"/>
  <c r="S30" i="71"/>
  <c r="S135" i="71" s="1"/>
  <c r="S71" i="71"/>
  <c r="S176" i="71" s="1"/>
  <c r="S41" i="71"/>
  <c r="S146" i="71" s="1"/>
  <c r="T99" i="71"/>
  <c r="T204" i="71" s="1"/>
  <c r="T55" i="71"/>
  <c r="T160" i="71" s="1"/>
  <c r="T98" i="71"/>
  <c r="T203" i="71" s="1"/>
  <c r="T24" i="71"/>
  <c r="T129" i="71" s="1"/>
  <c r="S43" i="71"/>
  <c r="S148" i="71" s="1"/>
  <c r="S29" i="71"/>
  <c r="S134" i="71" s="1"/>
  <c r="S96" i="71"/>
  <c r="S201" i="71" s="1"/>
  <c r="S22" i="71"/>
  <c r="S127" i="71" s="1"/>
  <c r="T105" i="71"/>
  <c r="T210" i="71" s="1"/>
  <c r="T61" i="71"/>
  <c r="T166" i="71" s="1"/>
  <c r="N72" i="71"/>
  <c r="N177" i="71" s="1"/>
  <c r="N28" i="71"/>
  <c r="N133" i="71" s="1"/>
  <c r="T70" i="71"/>
  <c r="T175" i="71" s="1"/>
  <c r="T40" i="71"/>
  <c r="T145" i="71" s="1"/>
  <c r="S74" i="71"/>
  <c r="S179" i="71" s="1"/>
  <c r="S90" i="71"/>
  <c r="S195" i="71" s="1"/>
  <c r="S87" i="71"/>
  <c r="S192" i="71" s="1"/>
  <c r="T39" i="71"/>
  <c r="T144" i="71" s="1"/>
  <c r="T85" i="71"/>
  <c r="T190" i="71" s="1"/>
  <c r="T38" i="71"/>
  <c r="T143" i="71" s="1"/>
  <c r="S73" i="71"/>
  <c r="S178" i="71" s="1"/>
  <c r="S36" i="71"/>
  <c r="S141" i="71" s="1"/>
  <c r="S52" i="71"/>
  <c r="S157" i="71" s="1"/>
  <c r="AO103" i="105" l="1"/>
  <c r="P95" i="105"/>
  <c r="AM102" i="105"/>
  <c r="AI102" i="105"/>
  <c r="J54" i="55"/>
  <c r="A4" i="74"/>
  <c r="AE54" i="105"/>
  <c r="J74" i="106" a="1"/>
  <c r="AG63" i="105"/>
  <c r="AK63" i="105"/>
  <c r="J115" i="106" a="1"/>
  <c r="AO63" i="105"/>
  <c r="J119" i="106" a="1"/>
  <c r="AG54" i="105"/>
  <c r="Z48" i="105"/>
  <c r="Z85" i="105" s="1"/>
  <c r="T96" i="105"/>
  <c r="X106" i="105"/>
  <c r="X108" i="105"/>
  <c r="L108" i="105"/>
  <c r="AB48" i="105"/>
  <c r="AB85" i="105" s="1"/>
  <c r="T48" i="105"/>
  <c r="T85" i="105" s="1"/>
  <c r="V106" i="105"/>
  <c r="P96" i="105"/>
  <c r="Z110" i="65"/>
  <c r="Z66" i="105" s="1"/>
  <c r="X110" i="65"/>
  <c r="X66" i="105" s="1"/>
  <c r="S106" i="105"/>
  <c r="Z94" i="105"/>
  <c r="X98" i="105"/>
  <c r="K96" i="105"/>
  <c r="AM104" i="105"/>
  <c r="AE94" i="105"/>
  <c r="X101" i="65"/>
  <c r="X57" i="105" s="1"/>
  <c r="T101" i="65"/>
  <c r="T57" i="105" s="1"/>
  <c r="P98" i="105"/>
  <c r="Y98" i="105"/>
  <c r="O106" i="105"/>
  <c r="M96" i="105"/>
  <c r="Z108" i="105"/>
  <c r="P106" i="105"/>
  <c r="T106" i="105"/>
  <c r="AB101" i="65"/>
  <c r="AB57" i="105" s="1"/>
  <c r="L96" i="105"/>
  <c r="AG110" i="65"/>
  <c r="AG66" i="105" s="1"/>
  <c r="U101" i="65"/>
  <c r="U57" i="105" s="1"/>
  <c r="U48" i="105"/>
  <c r="U85" i="105" s="1"/>
  <c r="AD110" i="65"/>
  <c r="AD66" i="105" s="1"/>
  <c r="AD105" i="105" s="1"/>
  <c r="AD109" i="105" s="1"/>
  <c r="AD126" i="105" s="1"/>
  <c r="AE48" i="105"/>
  <c r="AE85" i="105" s="1"/>
  <c r="AE89" i="105" s="1"/>
  <c r="AG101" i="65"/>
  <c r="AG57" i="105" s="1"/>
  <c r="AE110" i="65"/>
  <c r="AE66" i="105" s="1"/>
  <c r="AM103" i="105"/>
  <c r="AB96" i="105"/>
  <c r="AI110" i="65"/>
  <c r="AI66" i="105" s="1"/>
  <c r="W110" i="65"/>
  <c r="W66" i="105" s="1"/>
  <c r="O101" i="65"/>
  <c r="O57" i="105" s="1"/>
  <c r="O48" i="105"/>
  <c r="O85" i="105" s="1"/>
  <c r="AE93" i="105"/>
  <c r="M48" i="105"/>
  <c r="M85" i="105" s="1"/>
  <c r="P94" i="105"/>
  <c r="X104" i="105"/>
  <c r="AA95" i="105"/>
  <c r="AA110" i="65"/>
  <c r="AA66" i="105" s="1"/>
  <c r="M110" i="65"/>
  <c r="M66" i="105" s="1"/>
  <c r="AA48" i="105"/>
  <c r="AA85" i="105" s="1"/>
  <c r="AK48" i="105"/>
  <c r="AK85" i="105" s="1"/>
  <c r="AK89" i="105" s="1"/>
  <c r="K101" i="65"/>
  <c r="K57" i="105" s="1"/>
  <c r="AB106" i="105"/>
  <c r="Z103" i="105"/>
  <c r="Y103" i="105"/>
  <c r="H97" i="105"/>
  <c r="K48" i="105"/>
  <c r="K85" i="105" s="1"/>
  <c r="AC93" i="105"/>
  <c r="H107" i="105"/>
  <c r="AM110" i="65"/>
  <c r="AM66" i="105" s="1"/>
  <c r="AI103" i="105"/>
  <c r="AC102" i="105"/>
  <c r="H48" i="41"/>
  <c r="P104" i="105"/>
  <c r="Z93" i="105"/>
  <c r="N56" i="71"/>
  <c r="N161" i="71" s="1"/>
  <c r="N82" i="71"/>
  <c r="N187" i="71" s="1"/>
  <c r="N53" i="71"/>
  <c r="N158" i="71" s="1"/>
  <c r="N67" i="71"/>
  <c r="N172" i="71" s="1"/>
  <c r="M44" i="71"/>
  <c r="M149" i="71" s="1"/>
  <c r="N97" i="71"/>
  <c r="N202" i="71" s="1"/>
  <c r="N37" i="71"/>
  <c r="N142" i="71" s="1"/>
  <c r="N23" i="71"/>
  <c r="N128" i="71" s="1"/>
  <c r="N41" i="71"/>
  <c r="N146" i="71" s="1"/>
  <c r="N26" i="71"/>
  <c r="N131" i="71" s="1"/>
  <c r="O101" i="71"/>
  <c r="O206" i="71" s="1"/>
  <c r="N73" i="71"/>
  <c r="N178" i="71" s="1"/>
  <c r="N66" i="71"/>
  <c r="N171" i="71" s="1"/>
  <c r="N40" i="71"/>
  <c r="N145" i="71" s="1"/>
  <c r="N71" i="71"/>
  <c r="N176" i="71" s="1"/>
  <c r="N59" i="71"/>
  <c r="N164" i="71" s="1"/>
  <c r="N96" i="71"/>
  <c r="N201" i="71" s="1"/>
  <c r="N52" i="71"/>
  <c r="N157" i="71" s="1"/>
  <c r="O43" i="71"/>
  <c r="O148" i="71" s="1"/>
  <c r="M26" i="71"/>
  <c r="M131" i="71" s="1"/>
  <c r="N57" i="71"/>
  <c r="N162" i="71" s="1"/>
  <c r="O27" i="71"/>
  <c r="O132" i="71" s="1"/>
  <c r="O44" i="71"/>
  <c r="O149" i="71" s="1"/>
  <c r="O90" i="71"/>
  <c r="O195" i="71" s="1"/>
  <c r="N27" i="71"/>
  <c r="N132" i="71" s="1"/>
  <c r="O41" i="71"/>
  <c r="O146" i="71" s="1"/>
  <c r="O104" i="71"/>
  <c r="O209" i="71" s="1"/>
  <c r="M40" i="71"/>
  <c r="M145" i="71" s="1"/>
  <c r="M29" i="71"/>
  <c r="M134" i="71" s="1"/>
  <c r="M43" i="71"/>
  <c r="M148" i="71" s="1"/>
  <c r="M100" i="71"/>
  <c r="M205" i="71" s="1"/>
  <c r="N60" i="71"/>
  <c r="N165" i="71" s="1"/>
  <c r="M37" i="71"/>
  <c r="M142" i="71" s="1"/>
  <c r="M23" i="71"/>
  <c r="M128" i="71" s="1"/>
  <c r="N30" i="71"/>
  <c r="N135" i="71" s="1"/>
  <c r="O23" i="71"/>
  <c r="O128" i="71" s="1"/>
  <c r="N44" i="71"/>
  <c r="N149" i="71" s="1"/>
  <c r="N104" i="71"/>
  <c r="N209" i="71" s="1"/>
  <c r="O36" i="71"/>
  <c r="O141" i="71" s="1"/>
  <c r="O52" i="71"/>
  <c r="O157" i="71" s="1"/>
  <c r="M53" i="71"/>
  <c r="M158" i="71" s="1"/>
  <c r="M83" i="71"/>
  <c r="M188" i="71" s="1"/>
  <c r="M52" i="71"/>
  <c r="M157" i="71" s="1"/>
  <c r="M30" i="71"/>
  <c r="M135" i="71" s="1"/>
  <c r="O82" i="71"/>
  <c r="O187" i="71" s="1"/>
  <c r="M66" i="71"/>
  <c r="M171" i="71" s="1"/>
  <c r="O37" i="71"/>
  <c r="O142" i="71" s="1"/>
  <c r="O97" i="71"/>
  <c r="O202" i="71" s="1"/>
  <c r="O103" i="71"/>
  <c r="O208" i="71" s="1"/>
  <c r="M36" i="71"/>
  <c r="M141" i="71" s="1"/>
  <c r="M22" i="71"/>
  <c r="M127" i="71" s="1"/>
  <c r="M90" i="71"/>
  <c r="M195" i="71" s="1"/>
  <c r="M103" i="71"/>
  <c r="M208" i="71" s="1"/>
  <c r="M67" i="71"/>
  <c r="M172" i="71" s="1"/>
  <c r="N87" i="71"/>
  <c r="N192" i="71" s="1"/>
  <c r="O57" i="71"/>
  <c r="O162" i="71" s="1"/>
  <c r="N83" i="71"/>
  <c r="N188" i="71" s="1"/>
  <c r="M60" i="71"/>
  <c r="M165" i="71" s="1"/>
  <c r="M56" i="71"/>
  <c r="M161" i="71" s="1"/>
  <c r="N100" i="71"/>
  <c r="N205" i="71" s="1"/>
  <c r="M89" i="71"/>
  <c r="M194" i="71" s="1"/>
  <c r="O53" i="71"/>
  <c r="O158" i="71" s="1"/>
  <c r="O67" i="71"/>
  <c r="O172" i="71" s="1"/>
  <c r="J102" i="71"/>
  <c r="J207" i="71" s="1"/>
  <c r="M86" i="71"/>
  <c r="M191" i="71" s="1"/>
  <c r="AN124" i="105"/>
  <c r="AF124" i="105"/>
  <c r="AP124" i="105"/>
  <c r="AJ124" i="105"/>
  <c r="AL124" i="105"/>
  <c r="AH124" i="105"/>
  <c r="L31" i="71"/>
  <c r="L136" i="71" s="1"/>
  <c r="L61" i="71"/>
  <c r="L166" i="71" s="1"/>
  <c r="K23" i="71"/>
  <c r="K128" i="71" s="1"/>
  <c r="L45" i="71"/>
  <c r="L150" i="71" s="1"/>
  <c r="K102" i="71"/>
  <c r="K207" i="71" s="1"/>
  <c r="L23" i="71"/>
  <c r="L128" i="71" s="1"/>
  <c r="L40" i="71"/>
  <c r="L145" i="71" s="1"/>
  <c r="K83" i="71"/>
  <c r="K188" i="71" s="1"/>
  <c r="K75" i="71"/>
  <c r="K180" i="71" s="1"/>
  <c r="K39" i="71"/>
  <c r="K144" i="71" s="1"/>
  <c r="J104" i="71"/>
  <c r="J209" i="71" s="1"/>
  <c r="K105" i="71"/>
  <c r="K210" i="71" s="1"/>
  <c r="J72" i="71"/>
  <c r="J177" i="71" s="1"/>
  <c r="J44" i="71"/>
  <c r="J149" i="71" s="1"/>
  <c r="J90" i="71"/>
  <c r="J195" i="71" s="1"/>
  <c r="J60" i="71"/>
  <c r="J165" i="71" s="1"/>
  <c r="K61" i="71"/>
  <c r="K166" i="71" s="1"/>
  <c r="J31" i="71"/>
  <c r="J136" i="71" s="1"/>
  <c r="J91" i="71"/>
  <c r="J196" i="71" s="1"/>
  <c r="J45" i="71"/>
  <c r="J150" i="71" s="1"/>
  <c r="J61" i="71"/>
  <c r="J166" i="71" s="1"/>
  <c r="K55" i="71"/>
  <c r="K160" i="71" s="1"/>
  <c r="L26" i="71"/>
  <c r="L131" i="71" s="1"/>
  <c r="L86" i="71"/>
  <c r="L191" i="71" s="1"/>
  <c r="L105" i="71"/>
  <c r="L210" i="71" s="1"/>
  <c r="L70" i="71"/>
  <c r="L175" i="71" s="1"/>
  <c r="L100" i="71"/>
  <c r="L205" i="71" s="1"/>
  <c r="L83" i="71"/>
  <c r="L188" i="71" s="1"/>
  <c r="K26" i="71"/>
  <c r="K131" i="71" s="1"/>
  <c r="K40" i="71"/>
  <c r="K145" i="71" s="1"/>
  <c r="K91" i="71"/>
  <c r="K196" i="71" s="1"/>
  <c r="J75" i="71"/>
  <c r="J180" i="71" s="1"/>
  <c r="K86" i="71"/>
  <c r="K191" i="71" s="1"/>
  <c r="J56" i="71"/>
  <c r="J161" i="71" s="1"/>
  <c r="K100" i="71"/>
  <c r="K205" i="71" s="1"/>
  <c r="K56" i="71"/>
  <c r="K161" i="71" s="1"/>
  <c r="K70" i="71"/>
  <c r="K175" i="71" s="1"/>
  <c r="K69" i="71"/>
  <c r="K174" i="71" s="1"/>
  <c r="L53" i="71"/>
  <c r="L158" i="71" s="1"/>
  <c r="K31" i="71"/>
  <c r="K136" i="71" s="1"/>
  <c r="J100" i="71"/>
  <c r="J205" i="71" s="1"/>
  <c r="J40" i="71"/>
  <c r="J145" i="71" s="1"/>
  <c r="L58" i="71"/>
  <c r="L163" i="71" s="1"/>
  <c r="J70" i="71"/>
  <c r="J175" i="71" s="1"/>
  <c r="K45" i="71"/>
  <c r="K150" i="71" s="1"/>
  <c r="J88" i="71"/>
  <c r="J193" i="71" s="1"/>
  <c r="L95" i="105"/>
  <c r="V105" i="105"/>
  <c r="U105" i="105"/>
  <c r="M95" i="105"/>
  <c r="O105" i="105"/>
  <c r="S105" i="105"/>
  <c r="T105" i="105"/>
  <c r="L105" i="105"/>
  <c r="N105" i="105"/>
  <c r="AB105" i="105"/>
  <c r="N95" i="105"/>
  <c r="K105" i="105"/>
  <c r="Y95" i="105"/>
  <c r="S95" i="105"/>
  <c r="H88" i="105"/>
  <c r="H86" i="105"/>
  <c r="N85" i="105"/>
  <c r="V85" i="105"/>
  <c r="AD85" i="105"/>
  <c r="AD89" i="105" s="1"/>
  <c r="AG85" i="105"/>
  <c r="AG89" i="105" s="1"/>
  <c r="Y85" i="105"/>
  <c r="S85" i="105"/>
  <c r="AI85" i="105"/>
  <c r="AI89" i="105" s="1"/>
  <c r="AO85" i="105"/>
  <c r="AO89" i="105" s="1"/>
  <c r="AM85" i="105"/>
  <c r="AM89" i="105" s="1"/>
  <c r="W85" i="105"/>
  <c r="L85" i="105"/>
  <c r="X85" i="105"/>
  <c r="AC85" i="105"/>
  <c r="AC89" i="105" s="1"/>
  <c r="N103" i="71"/>
  <c r="N208" i="71" s="1"/>
  <c r="AO105" i="105"/>
  <c r="AC95" i="105"/>
  <c r="Y105" i="105"/>
  <c r="AC105" i="105"/>
  <c r="AE95" i="105"/>
  <c r="AK105" i="105"/>
  <c r="Z95" i="105"/>
  <c r="N70" i="71"/>
  <c r="N175" i="71" s="1"/>
  <c r="T219" i="71"/>
  <c r="T22" i="41" s="1"/>
  <c r="T70" i="41" s="1"/>
  <c r="CH96" i="41" s="1"/>
  <c r="T217" i="71"/>
  <c r="T20" i="41" s="1"/>
  <c r="T218" i="71"/>
  <c r="T21" i="41" s="1"/>
  <c r="S54" i="71"/>
  <c r="S159" i="71" s="1"/>
  <c r="K24" i="71"/>
  <c r="K129" i="71" s="1"/>
  <c r="S98" i="71"/>
  <c r="S203" i="71" s="1"/>
  <c r="K68" i="71"/>
  <c r="K173" i="71" s="1"/>
  <c r="K84" i="71"/>
  <c r="K189" i="71" s="1"/>
  <c r="M68" i="71"/>
  <c r="M173" i="71" s="1"/>
  <c r="M24" i="71"/>
  <c r="M129" i="71" s="1"/>
  <c r="J101" i="71"/>
  <c r="J206" i="71" s="1"/>
  <c r="J27" i="71"/>
  <c r="J132" i="71" s="1"/>
  <c r="J38" i="71"/>
  <c r="J143" i="71" s="1"/>
  <c r="J84" i="71"/>
  <c r="J189" i="71" s="1"/>
  <c r="L29" i="71"/>
  <c r="L134" i="71" s="1"/>
  <c r="N99" i="71"/>
  <c r="N204" i="71" s="1"/>
  <c r="N85" i="71"/>
  <c r="N190" i="71" s="1"/>
  <c r="L60" i="71"/>
  <c r="L165" i="71" s="1"/>
  <c r="M27" i="71"/>
  <c r="M132" i="71" s="1"/>
  <c r="L36" i="71"/>
  <c r="L141" i="71" s="1"/>
  <c r="L82" i="71"/>
  <c r="L187" i="71" s="1"/>
  <c r="K43" i="71"/>
  <c r="K148" i="71" s="1"/>
  <c r="L85" i="71"/>
  <c r="L190" i="71" s="1"/>
  <c r="M39" i="71"/>
  <c r="M144" i="71" s="1"/>
  <c r="M85" i="71"/>
  <c r="M190" i="71" s="1"/>
  <c r="O38" i="71"/>
  <c r="O143" i="71" s="1"/>
  <c r="O24" i="71"/>
  <c r="O129" i="71" s="1"/>
  <c r="O45" i="71"/>
  <c r="O150" i="71" s="1"/>
  <c r="O31" i="71"/>
  <c r="O136" i="71" s="1"/>
  <c r="L98" i="71"/>
  <c r="L203" i="71" s="1"/>
  <c r="J66" i="71"/>
  <c r="J171" i="71" s="1"/>
  <c r="J52" i="71"/>
  <c r="J157" i="71" s="1"/>
  <c r="K87" i="71"/>
  <c r="K192" i="71" s="1"/>
  <c r="O25" i="71"/>
  <c r="O130" i="71" s="1"/>
  <c r="J48" i="105"/>
  <c r="J110" i="65"/>
  <c r="J66" i="105" s="1"/>
  <c r="J101" i="65"/>
  <c r="J57" i="105" s="1"/>
  <c r="K66" i="71"/>
  <c r="K171" i="71" s="1"/>
  <c r="K82" i="71"/>
  <c r="K187" i="71" s="1"/>
  <c r="O40" i="71"/>
  <c r="O145" i="71" s="1"/>
  <c r="O70" i="71"/>
  <c r="O175" i="71" s="1"/>
  <c r="J55" i="71"/>
  <c r="J160" i="71" s="1"/>
  <c r="M75" i="71"/>
  <c r="M180" i="71" s="1"/>
  <c r="L41" i="71"/>
  <c r="L146" i="71" s="1"/>
  <c r="L27" i="71"/>
  <c r="L132" i="71" s="1"/>
  <c r="K44" i="71"/>
  <c r="K149" i="71" s="1"/>
  <c r="N98" i="71"/>
  <c r="N203" i="71" s="1"/>
  <c r="N24" i="71"/>
  <c r="N129" i="71" s="1"/>
  <c r="N105" i="71"/>
  <c r="N210" i="71" s="1"/>
  <c r="N61" i="71"/>
  <c r="N166" i="71" s="1"/>
  <c r="J73" i="71"/>
  <c r="J178" i="71" s="1"/>
  <c r="J29" i="71"/>
  <c r="J134" i="71" s="1"/>
  <c r="M98" i="71"/>
  <c r="M203" i="71" s="1"/>
  <c r="S84" i="71"/>
  <c r="S189" i="71" s="1"/>
  <c r="K98" i="71"/>
  <c r="K203" i="71" s="1"/>
  <c r="K38" i="71"/>
  <c r="K143" i="71" s="1"/>
  <c r="M38" i="71"/>
  <c r="M143" i="71" s="1"/>
  <c r="M54" i="71"/>
  <c r="M159" i="71" s="1"/>
  <c r="J71" i="71"/>
  <c r="J176" i="71" s="1"/>
  <c r="J41" i="71"/>
  <c r="J146" i="71" s="1"/>
  <c r="J98" i="71"/>
  <c r="J203" i="71" s="1"/>
  <c r="L59" i="71"/>
  <c r="L164" i="71" s="1"/>
  <c r="N69" i="71"/>
  <c r="N174" i="71" s="1"/>
  <c r="L74" i="71"/>
  <c r="L179" i="71" s="1"/>
  <c r="L90" i="71"/>
  <c r="L195" i="71" s="1"/>
  <c r="M57" i="71"/>
  <c r="M162" i="71" s="1"/>
  <c r="L96" i="71"/>
  <c r="L201" i="71" s="1"/>
  <c r="L52" i="71"/>
  <c r="L157" i="71" s="1"/>
  <c r="K89" i="71"/>
  <c r="K194" i="71" s="1"/>
  <c r="L69" i="71"/>
  <c r="L174" i="71" s="1"/>
  <c r="L55" i="71"/>
  <c r="L160" i="71" s="1"/>
  <c r="M99" i="71"/>
  <c r="M204" i="71" s="1"/>
  <c r="O68" i="71"/>
  <c r="O173" i="71" s="1"/>
  <c r="O84" i="71"/>
  <c r="O189" i="71" s="1"/>
  <c r="O75" i="71"/>
  <c r="O180" i="71" s="1"/>
  <c r="O105" i="71"/>
  <c r="O210" i="71" s="1"/>
  <c r="L24" i="71"/>
  <c r="L129" i="71" s="1"/>
  <c r="J96" i="71"/>
  <c r="J201" i="71" s="1"/>
  <c r="K101" i="71"/>
  <c r="K206" i="71" s="1"/>
  <c r="K57" i="71"/>
  <c r="K162" i="71" s="1"/>
  <c r="O99" i="71"/>
  <c r="O204" i="71" s="1"/>
  <c r="O85" i="71"/>
  <c r="O190" i="71" s="1"/>
  <c r="K96" i="71"/>
  <c r="K201" i="71" s="1"/>
  <c r="O26" i="71"/>
  <c r="O131" i="71" s="1"/>
  <c r="J39" i="71"/>
  <c r="J144" i="71" s="1"/>
  <c r="J25" i="71"/>
  <c r="J130" i="71" s="1"/>
  <c r="M61" i="71"/>
  <c r="M166" i="71" s="1"/>
  <c r="L71" i="71"/>
  <c r="L176" i="71" s="1"/>
  <c r="K90" i="71"/>
  <c r="K195" i="71" s="1"/>
  <c r="N68" i="71"/>
  <c r="N173" i="71" s="1"/>
  <c r="N54" i="71"/>
  <c r="N159" i="71" s="1"/>
  <c r="N75" i="71"/>
  <c r="N180" i="71" s="1"/>
  <c r="J103" i="71"/>
  <c r="J208" i="71" s="1"/>
  <c r="J89" i="71"/>
  <c r="J194" i="71" s="1"/>
  <c r="J24" i="71"/>
  <c r="J129" i="71" s="1"/>
  <c r="L103" i="71"/>
  <c r="L208" i="71" s="1"/>
  <c r="L89" i="71"/>
  <c r="L194" i="71" s="1"/>
  <c r="N25" i="71"/>
  <c r="N130" i="71" s="1"/>
  <c r="L44" i="71"/>
  <c r="L149" i="71" s="1"/>
  <c r="L30" i="71"/>
  <c r="L135" i="71" s="1"/>
  <c r="M101" i="71"/>
  <c r="M206" i="71" s="1"/>
  <c r="M87" i="71"/>
  <c r="M192" i="71" s="1"/>
  <c r="L66" i="71"/>
  <c r="L171" i="71" s="1"/>
  <c r="K103" i="71"/>
  <c r="K208" i="71" s="1"/>
  <c r="K29" i="71"/>
  <c r="K134" i="71" s="1"/>
  <c r="L99" i="71"/>
  <c r="L204" i="71" s="1"/>
  <c r="L25" i="71"/>
  <c r="L130" i="71" s="1"/>
  <c r="M55" i="71"/>
  <c r="M160" i="71" s="1"/>
  <c r="O98" i="71"/>
  <c r="O203" i="71" s="1"/>
  <c r="O91" i="71"/>
  <c r="O196" i="71" s="1"/>
  <c r="L38" i="71"/>
  <c r="L143" i="71" s="1"/>
  <c r="L54" i="71"/>
  <c r="L159" i="71" s="1"/>
  <c r="J22" i="71"/>
  <c r="K71" i="71"/>
  <c r="K176" i="71" s="1"/>
  <c r="K41" i="71"/>
  <c r="K146" i="71" s="1"/>
  <c r="O39" i="71"/>
  <c r="O144" i="71" s="1"/>
  <c r="O55" i="71"/>
  <c r="O160" i="71" s="1"/>
  <c r="K22" i="71"/>
  <c r="K127" i="71" s="1"/>
  <c r="O86" i="71"/>
  <c r="O191" i="71" s="1"/>
  <c r="J69" i="71"/>
  <c r="J174" i="71" s="1"/>
  <c r="J85" i="71"/>
  <c r="J190" i="71" s="1"/>
  <c r="M45" i="71"/>
  <c r="M150" i="71" s="1"/>
  <c r="M91" i="71"/>
  <c r="M196" i="71" s="1"/>
  <c r="L87" i="71"/>
  <c r="L192" i="71" s="1"/>
  <c r="K74" i="71"/>
  <c r="K179" i="71" s="1"/>
  <c r="K30" i="71"/>
  <c r="K135" i="71" s="1"/>
  <c r="N38" i="71"/>
  <c r="N143" i="71" s="1"/>
  <c r="N31" i="71"/>
  <c r="N136" i="71" s="1"/>
  <c r="J43" i="71"/>
  <c r="J148" i="71" s="1"/>
  <c r="S38" i="71"/>
  <c r="S143" i="71" s="1"/>
  <c r="J87" i="71"/>
  <c r="J192" i="71" s="1"/>
  <c r="S68" i="71"/>
  <c r="S173" i="71" s="1"/>
  <c r="S24" i="71"/>
  <c r="S129" i="71" s="1"/>
  <c r="K54" i="71"/>
  <c r="K159" i="71" s="1"/>
  <c r="M84" i="71"/>
  <c r="M189" i="71" s="1"/>
  <c r="J57" i="71"/>
  <c r="J162" i="71" s="1"/>
  <c r="J68" i="71"/>
  <c r="J173" i="71" s="1"/>
  <c r="J54" i="71"/>
  <c r="J159" i="71" s="1"/>
  <c r="L43" i="71"/>
  <c r="L148" i="71" s="1"/>
  <c r="L73" i="71"/>
  <c r="L178" i="71" s="1"/>
  <c r="N39" i="71"/>
  <c r="N144" i="71" s="1"/>
  <c r="N55" i="71"/>
  <c r="N160" i="71" s="1"/>
  <c r="L104" i="71"/>
  <c r="L209" i="71" s="1"/>
  <c r="M71" i="71"/>
  <c r="M176" i="71" s="1"/>
  <c r="M41" i="71"/>
  <c r="M146" i="71" s="1"/>
  <c r="L22" i="71"/>
  <c r="L127" i="71" s="1"/>
  <c r="K73" i="71"/>
  <c r="K178" i="71" s="1"/>
  <c r="K59" i="71"/>
  <c r="K164" i="71" s="1"/>
  <c r="L39" i="71"/>
  <c r="L144" i="71" s="1"/>
  <c r="M69" i="71"/>
  <c r="M174" i="71" s="1"/>
  <c r="M25" i="71"/>
  <c r="M130" i="71" s="1"/>
  <c r="O54" i="71"/>
  <c r="O159" i="71" s="1"/>
  <c r="O61" i="71"/>
  <c r="O166" i="71" s="1"/>
  <c r="L68" i="71"/>
  <c r="L173" i="71" s="1"/>
  <c r="L84" i="71"/>
  <c r="L189" i="71" s="1"/>
  <c r="J36" i="71"/>
  <c r="J141" i="71" s="1"/>
  <c r="J82" i="71"/>
  <c r="J187" i="71" s="1"/>
  <c r="K27" i="71"/>
  <c r="K132" i="71" s="1"/>
  <c r="O69" i="71"/>
  <c r="O174" i="71" s="1"/>
  <c r="CV113" i="41"/>
  <c r="CF113" i="41"/>
  <c r="BP113" i="41"/>
  <c r="AZ113" i="41"/>
  <c r="AJ113" i="41"/>
  <c r="T113" i="41"/>
  <c r="CY113" i="41"/>
  <c r="CI113" i="41"/>
  <c r="BS113" i="41"/>
  <c r="BC113" i="41"/>
  <c r="AM113" i="41"/>
  <c r="W113" i="41"/>
  <c r="DB113" i="41"/>
  <c r="BV113" i="41"/>
  <c r="AP113" i="41"/>
  <c r="J113" i="41"/>
  <c r="J115" i="41" s="1"/>
  <c r="H139" i="41" s="1"/>
  <c r="BJ113" i="41"/>
  <c r="DA113" i="41"/>
  <c r="BU113" i="41"/>
  <c r="AO113" i="41"/>
  <c r="CP113" i="41"/>
  <c r="V113" i="41"/>
  <c r="CO113" i="41"/>
  <c r="CW113" i="41"/>
  <c r="BA113" i="41"/>
  <c r="CR113" i="41"/>
  <c r="CB113" i="41"/>
  <c r="BL113" i="41"/>
  <c r="AV113" i="41"/>
  <c r="AF113" i="41"/>
  <c r="P113" i="41"/>
  <c r="CU113" i="41"/>
  <c r="CE113" i="41"/>
  <c r="BO113" i="41"/>
  <c r="AY113" i="41"/>
  <c r="AI113" i="41"/>
  <c r="S113" i="41"/>
  <c r="CT113" i="41"/>
  <c r="BN113" i="41"/>
  <c r="AH113" i="41"/>
  <c r="CX113" i="41"/>
  <c r="AT113" i="41"/>
  <c r="CS113" i="41"/>
  <c r="BM113" i="41"/>
  <c r="AG113" i="41"/>
  <c r="BR113" i="41"/>
  <c r="BY113" i="41"/>
  <c r="AC113" i="41"/>
  <c r="BQ113" i="41"/>
  <c r="DD113" i="41"/>
  <c r="CN113" i="41"/>
  <c r="BX113" i="41"/>
  <c r="BH113" i="41"/>
  <c r="AR113" i="41"/>
  <c r="AB113" i="41"/>
  <c r="L113" i="41"/>
  <c r="CQ113" i="41"/>
  <c r="CA113" i="41"/>
  <c r="BK113" i="41"/>
  <c r="AU113" i="41"/>
  <c r="AE113" i="41"/>
  <c r="O113" i="41"/>
  <c r="CL113" i="41"/>
  <c r="BF113" i="41"/>
  <c r="Z113" i="41"/>
  <c r="CH113" i="41"/>
  <c r="AD113" i="41"/>
  <c r="CK113" i="41"/>
  <c r="BE113" i="41"/>
  <c r="Y113" i="41"/>
  <c r="BB113" i="41"/>
  <c r="AS113" i="41"/>
  <c r="CG113" i="41"/>
  <c r="AK113" i="41"/>
  <c r="BT113" i="41"/>
  <c r="DC113" i="41"/>
  <c r="AQ113" i="41"/>
  <c r="AX113" i="41"/>
  <c r="CC113" i="41"/>
  <c r="M113" i="41"/>
  <c r="AW113" i="41"/>
  <c r="CZ113" i="41"/>
  <c r="K113" i="41"/>
  <c r="Q113" i="41"/>
  <c r="BD113" i="41"/>
  <c r="CM113" i="41"/>
  <c r="AA113" i="41"/>
  <c r="R113" i="41"/>
  <c r="U113" i="41"/>
  <c r="AN113" i="41"/>
  <c r="BW113" i="41"/>
  <c r="BZ113" i="41"/>
  <c r="X113" i="41"/>
  <c r="N113" i="41"/>
  <c r="BI113" i="41"/>
  <c r="CJ113" i="41"/>
  <c r="BG113" i="41"/>
  <c r="CD113" i="41"/>
  <c r="AL113" i="41"/>
  <c r="K36" i="71"/>
  <c r="K141" i="71" s="1"/>
  <c r="K52" i="71"/>
  <c r="K157" i="71" s="1"/>
  <c r="O100" i="71"/>
  <c r="O205" i="71" s="1"/>
  <c r="O56" i="71"/>
  <c r="O161" i="71" s="1"/>
  <c r="J99" i="71"/>
  <c r="J204" i="71" s="1"/>
  <c r="M105" i="71"/>
  <c r="M210" i="71" s="1"/>
  <c r="M31" i="71"/>
  <c r="M136" i="71" s="1"/>
  <c r="L101" i="71"/>
  <c r="L206" i="71" s="1"/>
  <c r="L57" i="71"/>
  <c r="L162" i="71" s="1"/>
  <c r="K104" i="71"/>
  <c r="K209" i="71" s="1"/>
  <c r="K60" i="71"/>
  <c r="K165" i="71" s="1"/>
  <c r="N84" i="71"/>
  <c r="N189" i="71" s="1"/>
  <c r="N45" i="71"/>
  <c r="N150" i="71" s="1"/>
  <c r="N91" i="71"/>
  <c r="N196" i="71" s="1"/>
  <c r="J59" i="71"/>
  <c r="J164" i="71" s="1"/>
  <c r="AG102" i="105" l="1"/>
  <c r="AE92" i="105"/>
  <c r="AE99" i="105" s="1"/>
  <c r="AK102" i="105"/>
  <c r="AK109" i="105" s="1"/>
  <c r="AK126" i="105" s="1"/>
  <c r="AG92" i="105"/>
  <c r="J119" i="106"/>
  <c r="M119" i="106"/>
  <c r="P119" i="106"/>
  <c r="L119" i="106"/>
  <c r="N119" i="106"/>
  <c r="O119" i="106"/>
  <c r="K119" i="106"/>
  <c r="J111" i="106" a="1"/>
  <c r="J74" i="106"/>
  <c r="N74" i="106"/>
  <c r="K74" i="106"/>
  <c r="O74" i="106"/>
  <c r="L74" i="106"/>
  <c r="P74" i="106"/>
  <c r="M74" i="106"/>
  <c r="AO102" i="105"/>
  <c r="AO109" i="105" s="1"/>
  <c r="J76" i="106" a="1"/>
  <c r="J115" i="106"/>
  <c r="M115" i="106"/>
  <c r="K115" i="106"/>
  <c r="P115" i="106"/>
  <c r="N115" i="106"/>
  <c r="L115" i="106"/>
  <c r="O115" i="106"/>
  <c r="J113" i="106" a="1"/>
  <c r="J117" i="106" a="1"/>
  <c r="Z105" i="105"/>
  <c r="X95" i="105"/>
  <c r="AI105" i="105"/>
  <c r="AI109" i="105" s="1"/>
  <c r="AI126" i="105" s="1"/>
  <c r="H108" i="105"/>
  <c r="X105" i="105"/>
  <c r="H98" i="105"/>
  <c r="AG95" i="105"/>
  <c r="T95" i="105"/>
  <c r="AB95" i="105"/>
  <c r="H96" i="105"/>
  <c r="AE105" i="105"/>
  <c r="AE109" i="105" s="1"/>
  <c r="U95" i="105"/>
  <c r="H106" i="105"/>
  <c r="AG105" i="105"/>
  <c r="W105" i="105"/>
  <c r="M105" i="105"/>
  <c r="J117" i="41"/>
  <c r="O95" i="105"/>
  <c r="AC109" i="105"/>
  <c r="AC126" i="105" s="1"/>
  <c r="K95" i="105"/>
  <c r="AA105" i="105"/>
  <c r="AM105" i="105"/>
  <c r="AM109" i="105" s="1"/>
  <c r="O71" i="71"/>
  <c r="O176" i="71" s="1"/>
  <c r="S276" i="83"/>
  <c r="H280" i="83" s="1"/>
  <c r="N101" i="71"/>
  <c r="N206" i="71" s="1"/>
  <c r="N86" i="71"/>
  <c r="N191" i="71" s="1"/>
  <c r="O60" i="71"/>
  <c r="O165" i="71" s="1"/>
  <c r="O59" i="71"/>
  <c r="O164" i="71" s="1"/>
  <c r="M104" i="71"/>
  <c r="M209" i="71" s="1"/>
  <c r="M74" i="71"/>
  <c r="M179" i="71" s="1"/>
  <c r="O87" i="71"/>
  <c r="O192" i="71" s="1"/>
  <c r="O74" i="71"/>
  <c r="O179" i="71" s="1"/>
  <c r="M59" i="71"/>
  <c r="M164" i="71" s="1"/>
  <c r="M70" i="71"/>
  <c r="M175" i="71" s="1"/>
  <c r="O66" i="71"/>
  <c r="O171" i="71" s="1"/>
  <c r="N90" i="71"/>
  <c r="N195" i="71" s="1"/>
  <c r="O96" i="71"/>
  <c r="O201" i="71" s="1"/>
  <c r="M73" i="71"/>
  <c r="M178" i="71" s="1"/>
  <c r="M96" i="71"/>
  <c r="M201" i="71" s="1"/>
  <c r="O73" i="71"/>
  <c r="O178" i="71" s="1"/>
  <c r="O89" i="71"/>
  <c r="O194" i="71" s="1"/>
  <c r="O83" i="71"/>
  <c r="O188" i="71" s="1"/>
  <c r="J105" i="71"/>
  <c r="J210" i="71" s="1"/>
  <c r="L91" i="71"/>
  <c r="L196" i="71" s="1"/>
  <c r="L219" i="71" s="1"/>
  <c r="L22" i="41" s="1"/>
  <c r="L75" i="71"/>
  <c r="L180" i="71" s="1"/>
  <c r="L56" i="71"/>
  <c r="L161" i="71" s="1"/>
  <c r="AD124" i="105"/>
  <c r="AO126" i="105"/>
  <c r="AM126" i="105"/>
  <c r="J74" i="71"/>
  <c r="J179" i="71" s="1"/>
  <c r="J218" i="71" s="1"/>
  <c r="J86" i="71"/>
  <c r="J191" i="71" s="1"/>
  <c r="K99" i="71"/>
  <c r="K204" i="71" s="1"/>
  <c r="T276" i="83"/>
  <c r="H285" i="83" s="1"/>
  <c r="H290" i="83" a="1"/>
  <c r="H290" i="83" s="1"/>
  <c r="K85" i="71"/>
  <c r="K190" i="71" s="1"/>
  <c r="AO124" i="105"/>
  <c r="AE124" i="105"/>
  <c r="AI124" i="105"/>
  <c r="J85" i="105"/>
  <c r="H85" i="105" s="1"/>
  <c r="AK124" i="105"/>
  <c r="AC124" i="105"/>
  <c r="AM124" i="105"/>
  <c r="AG124" i="105"/>
  <c r="AC99" i="105"/>
  <c r="J95" i="105"/>
  <c r="J105" i="105"/>
  <c r="S219" i="71"/>
  <c r="S22" i="41" s="1"/>
  <c r="S22" i="65" s="1"/>
  <c r="T47" i="41"/>
  <c r="T20" i="65"/>
  <c r="T45" i="41"/>
  <c r="T22" i="65"/>
  <c r="T68" i="41"/>
  <c r="T96" i="41" s="1"/>
  <c r="T69" i="41"/>
  <c r="BA96" i="41" s="1"/>
  <c r="T46" i="41"/>
  <c r="T21" i="65"/>
  <c r="N218" i="71"/>
  <c r="N21" i="41" s="1"/>
  <c r="N21" i="65" s="1"/>
  <c r="S218" i="71"/>
  <c r="S21" i="41" s="1"/>
  <c r="S69" i="41" s="1"/>
  <c r="AZ96" i="41" s="1"/>
  <c r="S217" i="71"/>
  <c r="S20" i="41" s="1"/>
  <c r="S68" i="41" s="1"/>
  <c r="S96" i="41" s="1"/>
  <c r="O217" i="71"/>
  <c r="O20" i="41" s="1"/>
  <c r="O20" i="65" s="1"/>
  <c r="M217" i="71"/>
  <c r="M20" i="41" s="1"/>
  <c r="M45" i="41" s="1"/>
  <c r="L217" i="71"/>
  <c r="L20" i="41" s="1"/>
  <c r="L68" i="41" s="1"/>
  <c r="L96" i="41" s="1"/>
  <c r="N217" i="71"/>
  <c r="N20" i="41" s="1"/>
  <c r="N20" i="65" s="1"/>
  <c r="K217" i="71"/>
  <c r="K20" i="41" s="1"/>
  <c r="J127" i="71"/>
  <c r="J217" i="71" s="1"/>
  <c r="J20" i="41" s="1"/>
  <c r="K218" i="71"/>
  <c r="K21" i="41" s="1"/>
  <c r="AG109" i="105" l="1"/>
  <c r="AG126" i="105" s="1"/>
  <c r="AG99" i="105"/>
  <c r="J117" i="106"/>
  <c r="L117" i="106"/>
  <c r="O117" i="106"/>
  <c r="K117" i="106"/>
  <c r="N117" i="106"/>
  <c r="M117" i="106"/>
  <c r="P117" i="106"/>
  <c r="M111" i="106"/>
  <c r="K111" i="106"/>
  <c r="O111" i="106"/>
  <c r="J111" i="106"/>
  <c r="N111" i="106"/>
  <c r="L111" i="106"/>
  <c r="P111" i="106"/>
  <c r="J113" i="106"/>
  <c r="L113" i="106"/>
  <c r="O113" i="106"/>
  <c r="M113" i="106"/>
  <c r="P113" i="106"/>
  <c r="K113" i="106"/>
  <c r="N113" i="106"/>
  <c r="J76" i="106"/>
  <c r="M76" i="106"/>
  <c r="P76" i="106"/>
  <c r="L76" i="106"/>
  <c r="O76" i="106"/>
  <c r="K76" i="106"/>
  <c r="N76" i="106"/>
  <c r="L276" i="83"/>
  <c r="M218" i="71"/>
  <c r="M21" i="41" s="1"/>
  <c r="M46" i="41" s="1"/>
  <c r="K276" i="83"/>
  <c r="M219" i="71"/>
  <c r="M22" i="41" s="1"/>
  <c r="M70" i="41" s="1"/>
  <c r="CA96" i="41" s="1"/>
  <c r="N219" i="71"/>
  <c r="N22" i="41" s="1"/>
  <c r="N146" i="41" s="1"/>
  <c r="N276" i="83"/>
  <c r="O276" i="83"/>
  <c r="O218" i="71"/>
  <c r="O21" i="41" s="1"/>
  <c r="O69" i="41" s="1"/>
  <c r="AV96" i="41" s="1"/>
  <c r="O219" i="71"/>
  <c r="O22" i="41" s="1"/>
  <c r="O146" i="41" s="1"/>
  <c r="M276" i="83"/>
  <c r="J219" i="71"/>
  <c r="J22" i="41" s="1"/>
  <c r="J22" i="65" s="1"/>
  <c r="J80" i="65" s="1"/>
  <c r="J91" i="65" s="1"/>
  <c r="L218" i="71"/>
  <c r="L21" i="41" s="1"/>
  <c r="L21" i="65" s="1"/>
  <c r="L79" i="65" s="1"/>
  <c r="L90" i="65" s="1"/>
  <c r="K219" i="71"/>
  <c r="K22" i="41" s="1"/>
  <c r="K70" i="41" s="1"/>
  <c r="BY96" i="41" s="1"/>
  <c r="AC125" i="105"/>
  <c r="AE125" i="105"/>
  <c r="AG125" i="105"/>
  <c r="H292" i="83"/>
  <c r="J276" i="83"/>
  <c r="AE126" i="105"/>
  <c r="H95" i="105"/>
  <c r="H105" i="105"/>
  <c r="S70" i="41"/>
  <c r="CG96" i="41" s="1"/>
  <c r="S47" i="41"/>
  <c r="L45" i="41"/>
  <c r="T52" i="41"/>
  <c r="N69" i="41"/>
  <c r="AU96" i="41" s="1"/>
  <c r="M20" i="65"/>
  <c r="M68" i="41"/>
  <c r="M96" i="41" s="1"/>
  <c r="S45" i="41"/>
  <c r="O45" i="41"/>
  <c r="L20" i="65"/>
  <c r="O68" i="41"/>
  <c r="O96" i="41" s="1"/>
  <c r="S20" i="65"/>
  <c r="S21" i="65"/>
  <c r="N46" i="41"/>
  <c r="N45" i="41"/>
  <c r="S46" i="41"/>
  <c r="N68" i="41"/>
  <c r="N96" i="41" s="1"/>
  <c r="J21" i="41"/>
  <c r="K69" i="41"/>
  <c r="AR96" i="41" s="1"/>
  <c r="K21" i="65"/>
  <c r="K46" i="41"/>
  <c r="J68" i="41"/>
  <c r="J96" i="41" s="1"/>
  <c r="J45" i="41"/>
  <c r="J20" i="65"/>
  <c r="K20" i="65"/>
  <c r="K45" i="41"/>
  <c r="K68" i="41"/>
  <c r="K96" i="41" s="1"/>
  <c r="L22" i="65"/>
  <c r="L80" i="65" s="1"/>
  <c r="L91" i="65" s="1"/>
  <c r="L70" i="41"/>
  <c r="BZ96" i="41" s="1"/>
  <c r="L146" i="41"/>
  <c r="L47" i="41"/>
  <c r="H279" i="83" l="1"/>
  <c r="H281" i="83" s="1"/>
  <c r="H284" i="83"/>
  <c r="H286" i="83" s="1"/>
  <c r="M69" i="41"/>
  <c r="AT96" i="41" s="1"/>
  <c r="M47" i="41"/>
  <c r="M52" i="41" s="1"/>
  <c r="M145" i="41"/>
  <c r="M21" i="65"/>
  <c r="M79" i="65" s="1"/>
  <c r="M90" i="65" s="1"/>
  <c r="M99" i="65" s="1"/>
  <c r="M55" i="105" s="1"/>
  <c r="M146" i="41"/>
  <c r="M22" i="65"/>
  <c r="M80" i="65" s="1"/>
  <c r="M91" i="65" s="1"/>
  <c r="M109" i="65" s="1"/>
  <c r="M65" i="105" s="1"/>
  <c r="N22" i="65"/>
  <c r="N80" i="65" s="1"/>
  <c r="N91" i="65" s="1"/>
  <c r="N100" i="65" s="1"/>
  <c r="N56" i="105" s="1"/>
  <c r="N70" i="41"/>
  <c r="CB96" i="41" s="1"/>
  <c r="N47" i="41"/>
  <c r="N52" i="41" s="1"/>
  <c r="O46" i="41"/>
  <c r="O21" i="65"/>
  <c r="O79" i="65" s="1"/>
  <c r="O90" i="65" s="1"/>
  <c r="O99" i="65" s="1"/>
  <c r="O55" i="105" s="1"/>
  <c r="O145" i="41"/>
  <c r="O47" i="41"/>
  <c r="O22" i="65"/>
  <c r="O80" i="65" s="1"/>
  <c r="O91" i="65" s="1"/>
  <c r="O109" i="65" s="1"/>
  <c r="O65" i="105" s="1"/>
  <c r="O70" i="41"/>
  <c r="CC96" i="41" s="1"/>
  <c r="J70" i="41"/>
  <c r="BX96" i="41" s="1"/>
  <c r="J146" i="41"/>
  <c r="J47" i="41"/>
  <c r="H223" i="71" a="1"/>
  <c r="H223" i="71" s="1"/>
  <c r="K22" i="65"/>
  <c r="K80" i="65" s="1"/>
  <c r="K91" i="65" s="1"/>
  <c r="K109" i="65" s="1"/>
  <c r="K65" i="105" s="1"/>
  <c r="L145" i="41"/>
  <c r="L69" i="41"/>
  <c r="AS96" i="41" s="1"/>
  <c r="L46" i="41"/>
  <c r="L52" i="41" s="1"/>
  <c r="K146" i="41"/>
  <c r="K47" i="41"/>
  <c r="H45" i="41"/>
  <c r="S52" i="41"/>
  <c r="J100" i="65"/>
  <c r="J56" i="105" s="1"/>
  <c r="J109" i="65"/>
  <c r="J65" i="105" s="1"/>
  <c r="J47" i="105"/>
  <c r="L108" i="65"/>
  <c r="L64" i="105" s="1"/>
  <c r="L99" i="65"/>
  <c r="L55" i="105" s="1"/>
  <c r="L46" i="105"/>
  <c r="L47" i="105"/>
  <c r="L100" i="65"/>
  <c r="L56" i="105" s="1"/>
  <c r="L109" i="65"/>
  <c r="L65" i="105" s="1"/>
  <c r="J145" i="41"/>
  <c r="J69" i="41"/>
  <c r="AQ96" i="41" s="1"/>
  <c r="J21" i="65"/>
  <c r="J79" i="65" s="1"/>
  <c r="J90" i="65" s="1"/>
  <c r="J46" i="41"/>
  <c r="J44" i="55"/>
  <c r="J51" i="55" l="1"/>
  <c r="A4" i="71"/>
  <c r="M93" i="105"/>
  <c r="H294" i="83"/>
  <c r="M108" i="65"/>
  <c r="M64" i="105" s="1"/>
  <c r="M46" i="105"/>
  <c r="M83" i="105" s="1"/>
  <c r="M47" i="105"/>
  <c r="M84" i="105" s="1"/>
  <c r="M100" i="65"/>
  <c r="M56" i="105" s="1"/>
  <c r="M104" i="105"/>
  <c r="N94" i="105"/>
  <c r="N47" i="105"/>
  <c r="N84" i="105" s="1"/>
  <c r="N109" i="65"/>
  <c r="N65" i="105" s="1"/>
  <c r="O52" i="41"/>
  <c r="O93" i="105"/>
  <c r="O47" i="105"/>
  <c r="O84" i="105" s="1"/>
  <c r="O46" i="105"/>
  <c r="O83" i="105" s="1"/>
  <c r="O100" i="65"/>
  <c r="O56" i="105" s="1"/>
  <c r="O108" i="65"/>
  <c r="O64" i="105" s="1"/>
  <c r="H47" i="41"/>
  <c r="K100" i="65"/>
  <c r="K56" i="105" s="1"/>
  <c r="O104" i="105"/>
  <c r="M103" i="41"/>
  <c r="K47" i="105"/>
  <c r="K52" i="41"/>
  <c r="J104" i="105"/>
  <c r="J94" i="105"/>
  <c r="L93" i="105"/>
  <c r="L94" i="105"/>
  <c r="L103" i="105"/>
  <c r="J84" i="105"/>
  <c r="L84" i="105"/>
  <c r="L83" i="105"/>
  <c r="J52" i="41"/>
  <c r="H46" i="41"/>
  <c r="K104" i="105"/>
  <c r="L104" i="105"/>
  <c r="CG103" i="41"/>
  <c r="AQ103" i="41"/>
  <c r="AZ103" i="41"/>
  <c r="AV103" i="41"/>
  <c r="N103" i="41"/>
  <c r="BY103" i="41"/>
  <c r="AW103" i="41"/>
  <c r="BJ103" i="41"/>
  <c r="BR103" i="41"/>
  <c r="AL103" i="41"/>
  <c r="CZ103" i="41"/>
  <c r="BD103" i="41"/>
  <c r="BS103" i="41"/>
  <c r="W103" i="41"/>
  <c r="AA103" i="41"/>
  <c r="AX103" i="41"/>
  <c r="BG103" i="41"/>
  <c r="CT103" i="41"/>
  <c r="Y103" i="41"/>
  <c r="CD103" i="41"/>
  <c r="CV103" i="41"/>
  <c r="U103" i="41"/>
  <c r="BB103" i="41"/>
  <c r="AC103" i="41"/>
  <c r="DA103" i="41"/>
  <c r="J103" i="41"/>
  <c r="L103" i="41"/>
  <c r="T103" i="41"/>
  <c r="CY103" i="41"/>
  <c r="BQ103" i="41"/>
  <c r="DD103" i="41"/>
  <c r="AF103" i="41"/>
  <c r="AI103" i="41"/>
  <c r="BV103" i="41"/>
  <c r="AE103" i="41"/>
  <c r="CQ103" i="41"/>
  <c r="AK103" i="41"/>
  <c r="AD103" i="41"/>
  <c r="BO103" i="41"/>
  <c r="CJ103" i="41"/>
  <c r="AO103" i="41"/>
  <c r="BP103" i="41"/>
  <c r="CR103" i="41"/>
  <c r="DC103" i="41"/>
  <c r="BC103" i="41"/>
  <c r="CF103" i="41"/>
  <c r="CI103" i="41"/>
  <c r="K103" i="41"/>
  <c r="CA103" i="41"/>
  <c r="BX103" i="41"/>
  <c r="AU103" i="41"/>
  <c r="CB103" i="41"/>
  <c r="CH103" i="41"/>
  <c r="AM103" i="41"/>
  <c r="CE103" i="41"/>
  <c r="BN103" i="41"/>
  <c r="AB103" i="41"/>
  <c r="AP103" i="41"/>
  <c r="AN103" i="41"/>
  <c r="CS103" i="41"/>
  <c r="CL103" i="41"/>
  <c r="CN103" i="41"/>
  <c r="R103" i="41"/>
  <c r="Z103" i="41"/>
  <c r="CM103" i="41"/>
  <c r="CX103" i="41"/>
  <c r="AG103" i="41"/>
  <c r="DB103" i="41"/>
  <c r="AH103" i="41"/>
  <c r="BE103" i="41"/>
  <c r="BW103" i="41"/>
  <c r="X103" i="41"/>
  <c r="AR103" i="41"/>
  <c r="AS103" i="41"/>
  <c r="BZ103" i="41"/>
  <c r="J99" i="65"/>
  <c r="J55" i="105" s="1"/>
  <c r="J46" i="105"/>
  <c r="J108" i="65"/>
  <c r="J64" i="105" s="1"/>
  <c r="CC103" i="41"/>
  <c r="BA103" i="41"/>
  <c r="AY103" i="41"/>
  <c r="CP103" i="41"/>
  <c r="P103" i="41"/>
  <c r="CW103" i="41"/>
  <c r="BU103" i="41"/>
  <c r="BH103" i="41"/>
  <c r="BF103" i="41"/>
  <c r="BL103" i="41"/>
  <c r="BT103" i="41"/>
  <c r="BI103" i="41"/>
  <c r="BK103" i="41"/>
  <c r="AJ103" i="41"/>
  <c r="CK103" i="41"/>
  <c r="BM103" i="41"/>
  <c r="CO103" i="41"/>
  <c r="CU103" i="41"/>
  <c r="V103" i="41"/>
  <c r="Q103" i="41"/>
  <c r="AT103" i="41"/>
  <c r="S103" i="41"/>
  <c r="O103" i="41"/>
  <c r="J49" i="55" l="1"/>
  <c r="A4" i="83"/>
  <c r="M94" i="105"/>
  <c r="M103" i="105"/>
  <c r="N104" i="105"/>
  <c r="O94" i="105"/>
  <c r="O103" i="105"/>
  <c r="K94" i="105"/>
  <c r="H52" i="41"/>
  <c r="H74" i="105" s="1"/>
  <c r="H114" i="105" s="1"/>
  <c r="K84" i="105"/>
  <c r="J103" i="105"/>
  <c r="J93" i="105"/>
  <c r="J83" i="105"/>
  <c r="CG104" i="41"/>
  <c r="O104" i="41"/>
  <c r="M104" i="41"/>
  <c r="AT104" i="41"/>
  <c r="AJ104" i="41"/>
  <c r="CW104" i="41"/>
  <c r="AG104" i="41"/>
  <c r="AN104" i="41"/>
  <c r="AU104" i="41"/>
  <c r="BO104" i="41"/>
  <c r="BK104" i="41"/>
  <c r="P104" i="41"/>
  <c r="CC104" i="41"/>
  <c r="BE104" i="41"/>
  <c r="CN104" i="41"/>
  <c r="AM104" i="41"/>
  <c r="CF104" i="41"/>
  <c r="AD104" i="41"/>
  <c r="BQ104" i="41"/>
  <c r="CV104" i="41"/>
  <c r="BS104" i="41"/>
  <c r="BM104" i="41"/>
  <c r="BH104" i="41"/>
  <c r="AH104" i="41"/>
  <c r="CL104" i="41"/>
  <c r="CH104" i="41"/>
  <c r="S104" i="41"/>
  <c r="V104" i="41"/>
  <c r="CK104" i="41"/>
  <c r="BT104" i="41"/>
  <c r="BU104" i="41"/>
  <c r="AY104" i="41"/>
  <c r="BZ104" i="41"/>
  <c r="X104" i="41"/>
  <c r="DB104" i="41"/>
  <c r="Z104" i="41"/>
  <c r="CS104" i="41"/>
  <c r="BN104" i="41"/>
  <c r="CB104" i="41"/>
  <c r="K104" i="41"/>
  <c r="DC104" i="41"/>
  <c r="CJ104" i="41"/>
  <c r="CQ104" i="41"/>
  <c r="AF104" i="41"/>
  <c r="T104" i="41"/>
  <c r="BB104" i="41"/>
  <c r="Y104" i="41"/>
  <c r="AA104" i="41"/>
  <c r="CZ104" i="41"/>
  <c r="AW104" i="41"/>
  <c r="AZ104" i="41"/>
  <c r="N104" i="41"/>
  <c r="J104" i="41"/>
  <c r="U104" i="41"/>
  <c r="CT104" i="41"/>
  <c r="W104" i="41"/>
  <c r="AL104" i="41"/>
  <c r="BY104" i="41"/>
  <c r="AQ104" i="41"/>
  <c r="CU104" i="41"/>
  <c r="BL104" i="41"/>
  <c r="BA104" i="41"/>
  <c r="BW104" i="41"/>
  <c r="R104" i="41"/>
  <c r="CE104" i="41"/>
  <c r="CI104" i="41"/>
  <c r="CR104" i="41"/>
  <c r="AE104" i="41"/>
  <c r="DD104" i="41"/>
  <c r="CO104" i="41"/>
  <c r="BF104" i="41"/>
  <c r="AS104" i="41"/>
  <c r="CX104" i="41"/>
  <c r="AP104" i="41"/>
  <c r="BX104" i="41"/>
  <c r="BP104" i="41"/>
  <c r="BV104" i="41"/>
  <c r="DA104" i="41"/>
  <c r="BG104" i="41"/>
  <c r="BR104" i="41"/>
  <c r="Q104" i="41"/>
  <c r="BI104" i="41"/>
  <c r="CP104" i="41"/>
  <c r="AR104" i="41"/>
  <c r="CM104" i="41"/>
  <c r="AB104" i="41"/>
  <c r="CA104" i="41"/>
  <c r="BC104" i="41"/>
  <c r="AO104" i="41"/>
  <c r="AK104" i="41"/>
  <c r="AI104" i="41"/>
  <c r="CY104" i="41"/>
  <c r="L104" i="41"/>
  <c r="AC104" i="41"/>
  <c r="CD104" i="41"/>
  <c r="AX104" i="41"/>
  <c r="BD104" i="41"/>
  <c r="BJ104" i="41"/>
  <c r="AV104" i="41"/>
  <c r="H54" i="41" l="1"/>
  <c r="H84" i="41" s="1"/>
  <c r="BD105" i="41"/>
  <c r="CM105" i="41"/>
  <c r="CX105" i="41"/>
  <c r="CI105" i="41"/>
  <c r="BA105" i="41"/>
  <c r="AX105" i="41"/>
  <c r="CY105" i="41"/>
  <c r="BC105" i="41"/>
  <c r="AR105" i="41"/>
  <c r="BR105" i="41"/>
  <c r="BP105" i="41"/>
  <c r="AS105" i="41"/>
  <c r="DD105" i="41"/>
  <c r="CE105" i="41"/>
  <c r="BL105" i="41"/>
  <c r="AQ105" i="41"/>
  <c r="CT105" i="41"/>
  <c r="AZ105" i="41"/>
  <c r="Y105" i="41"/>
  <c r="CQ105" i="41"/>
  <c r="CB105" i="41"/>
  <c r="DB105" i="41"/>
  <c r="BU105" i="41"/>
  <c r="S105" i="41"/>
  <c r="BS105" i="41"/>
  <c r="CF105" i="41"/>
  <c r="CC105" i="41"/>
  <c r="AU105" i="41"/>
  <c r="AJ105" i="41"/>
  <c r="L105" i="41"/>
  <c r="Q105" i="41"/>
  <c r="CO105" i="41"/>
  <c r="CD105" i="41"/>
  <c r="CA105" i="41"/>
  <c r="CP105" i="41"/>
  <c r="BG105" i="41"/>
  <c r="BX105" i="41"/>
  <c r="AE105" i="41"/>
  <c r="R105" i="41"/>
  <c r="CU105" i="41"/>
  <c r="BY105" i="41"/>
  <c r="U105" i="41"/>
  <c r="AW105" i="41"/>
  <c r="BB105" i="41"/>
  <c r="CJ105" i="41"/>
  <c r="BN105" i="41"/>
  <c r="X105" i="41"/>
  <c r="BT105" i="41"/>
  <c r="CH105" i="41"/>
  <c r="CV105" i="41"/>
  <c r="AM105" i="41"/>
  <c r="P105" i="41"/>
  <c r="AN105" i="41"/>
  <c r="AT105" i="41"/>
  <c r="AO105" i="41"/>
  <c r="BV105" i="41"/>
  <c r="AV105" i="41"/>
  <c r="AI105" i="41"/>
  <c r="BJ105" i="41"/>
  <c r="AC105" i="41"/>
  <c r="AK105" i="41"/>
  <c r="AB105" i="41"/>
  <c r="BI105" i="41"/>
  <c r="DA105" i="41"/>
  <c r="AP105" i="41"/>
  <c r="BF105" i="41"/>
  <c r="CR105" i="41"/>
  <c r="BW105" i="41"/>
  <c r="O105" i="41"/>
  <c r="AL105" i="41"/>
  <c r="J105" i="41"/>
  <c r="CZ105" i="41"/>
  <c r="T105" i="41"/>
  <c r="DC105" i="41"/>
  <c r="CS105" i="41"/>
  <c r="BZ105" i="41"/>
  <c r="CK105" i="41"/>
  <c r="CL105" i="41"/>
  <c r="BH105" i="41"/>
  <c r="BQ105" i="41"/>
  <c r="CN105" i="41"/>
  <c r="BK105" i="41"/>
  <c r="AG105" i="41"/>
  <c r="M105" i="41"/>
  <c r="W105" i="41"/>
  <c r="N105" i="41"/>
  <c r="AA105" i="41"/>
  <c r="AF105" i="41"/>
  <c r="K105" i="41"/>
  <c r="Z105" i="41"/>
  <c r="AY105" i="41"/>
  <c r="V105" i="41"/>
  <c r="AH105" i="41"/>
  <c r="BM105" i="41"/>
  <c r="AD105" i="41"/>
  <c r="BE105" i="41"/>
  <c r="BO105" i="41"/>
  <c r="CW105" i="41"/>
  <c r="CG105" i="41"/>
  <c r="BD111" i="41" l="1"/>
  <c r="Y111" i="41"/>
  <c r="J111" i="41"/>
  <c r="CQ111" i="41"/>
  <c r="BB111" i="41"/>
  <c r="BN111" i="41"/>
  <c r="AX111" i="41"/>
  <c r="CV111" i="41"/>
  <c r="CX111" i="41"/>
  <c r="AB111" i="41"/>
  <c r="CN111" i="41"/>
  <c r="BU111" i="41"/>
  <c r="BF111" i="41"/>
  <c r="CC111" i="41"/>
  <c r="BS111" i="41"/>
  <c r="K111" i="41"/>
  <c r="P111" i="41"/>
  <c r="CB111" i="41"/>
  <c r="BE111" i="41"/>
  <c r="AP111" i="41"/>
  <c r="AW111" i="41"/>
  <c r="M111" i="41"/>
  <c r="T111" i="41"/>
  <c r="BJ111" i="41"/>
  <c r="CH111" i="41"/>
  <c r="X111" i="41"/>
  <c r="BO111" i="41"/>
  <c r="BR111" i="41"/>
  <c r="J112" i="41"/>
  <c r="CD111" i="41"/>
  <c r="AD111" i="41"/>
  <c r="CW111" i="41"/>
  <c r="CE111" i="41"/>
  <c r="AV111" i="41"/>
  <c r="CU111" i="41"/>
  <c r="AG111" i="41"/>
  <c r="CF111" i="41"/>
  <c r="CZ111" i="41"/>
  <c r="CK111" i="41"/>
  <c r="Q111" i="41"/>
  <c r="DC111" i="41"/>
  <c r="BQ111" i="41"/>
  <c r="BX111" i="41"/>
  <c r="AK111" i="41"/>
  <c r="AC111" i="41"/>
  <c r="CY111" i="41"/>
  <c r="AI111" i="41"/>
  <c r="DB111" i="41"/>
  <c r="CT111" i="41"/>
  <c r="BG111" i="41"/>
  <c r="BT111" i="41"/>
  <c r="AT111" i="41"/>
  <c r="AE111" i="41"/>
  <c r="AA111" i="41"/>
  <c r="CS111" i="41"/>
  <c r="CI111" i="41"/>
  <c r="CO111" i="41"/>
  <c r="AO111" i="41"/>
  <c r="R111" i="41"/>
  <c r="AR111" i="41"/>
  <c r="DD111" i="41"/>
  <c r="CP111" i="41"/>
  <c r="CA111" i="41"/>
  <c r="V111" i="41"/>
  <c r="BY111" i="41"/>
  <c r="AQ111" i="41"/>
  <c r="AF111" i="41"/>
  <c r="CR111" i="41"/>
  <c r="BZ111" i="41"/>
  <c r="BK111" i="41"/>
  <c r="CM111" i="41"/>
  <c r="AH111" i="41"/>
  <c r="AZ111" i="41"/>
  <c r="Z111" i="41"/>
  <c r="BI111" i="41"/>
  <c r="CJ111" i="41"/>
  <c r="BA111" i="41"/>
  <c r="W111" i="41"/>
  <c r="AJ111" i="41"/>
  <c r="DA111" i="41"/>
  <c r="BH111" i="41"/>
  <c r="O111" i="41"/>
  <c r="BM111" i="41"/>
  <c r="AM111" i="41"/>
  <c r="N111" i="41"/>
  <c r="CG111" i="41"/>
  <c r="BC111" i="41"/>
  <c r="CL111" i="41"/>
  <c r="AN111" i="41"/>
  <c r="BV111" i="41"/>
  <c r="AS111" i="41"/>
  <c r="BP111" i="41"/>
  <c r="L111" i="41"/>
  <c r="AY111" i="41"/>
  <c r="AL111" i="41"/>
  <c r="AU111" i="41"/>
  <c r="BL111" i="41"/>
  <c r="U111" i="41"/>
  <c r="BW111" i="41"/>
  <c r="S111" i="41"/>
  <c r="K114" i="41" l="1"/>
  <c r="K112" i="41"/>
  <c r="L112" i="41" l="1"/>
  <c r="M112" i="41" s="1"/>
  <c r="N112" i="41" s="1"/>
  <c r="O112" i="41" s="1"/>
  <c r="P112" i="41" s="1"/>
  <c r="Q112" i="41" s="1"/>
  <c r="R112" i="41" s="1"/>
  <c r="S112" i="41" s="1"/>
  <c r="T112" i="41" s="1"/>
  <c r="U112" i="41" s="1"/>
  <c r="V112" i="41" s="1"/>
  <c r="W112" i="41" s="1"/>
  <c r="X112" i="41" s="1"/>
  <c r="Y112" i="41" s="1"/>
  <c r="Z112" i="41" s="1"/>
  <c r="AA112" i="41" s="1"/>
  <c r="AB112" i="41" s="1"/>
  <c r="AC112" i="41" s="1"/>
  <c r="AD112" i="41" s="1"/>
  <c r="AE112" i="41" s="1"/>
  <c r="AF112" i="41" s="1"/>
  <c r="AG112" i="41" s="1"/>
  <c r="AH112" i="41" s="1"/>
  <c r="AI112" i="41" s="1"/>
  <c r="AJ112" i="41" s="1"/>
  <c r="AK112" i="41" s="1"/>
  <c r="AL112" i="41" s="1"/>
  <c r="AM112" i="41" s="1"/>
  <c r="AN112" i="41" s="1"/>
  <c r="AO112" i="41" s="1"/>
  <c r="AP112" i="41" s="1"/>
  <c r="AQ112" i="41" s="1"/>
  <c r="AR112" i="41" s="1"/>
  <c r="AS112" i="41" s="1"/>
  <c r="AT112" i="41" s="1"/>
  <c r="AU112" i="41" s="1"/>
  <c r="AV112" i="41" s="1"/>
  <c r="AW112" i="41" s="1"/>
  <c r="AX112" i="41" s="1"/>
  <c r="AY112" i="41" s="1"/>
  <c r="AZ112" i="41" s="1"/>
  <c r="BA112" i="41" s="1"/>
  <c r="BB112" i="41" s="1"/>
  <c r="BC112" i="41" s="1"/>
  <c r="BD112" i="41" s="1"/>
  <c r="BE112" i="41" s="1"/>
  <c r="BF112" i="41" s="1"/>
  <c r="BG112" i="41" s="1"/>
  <c r="BH112" i="41" s="1"/>
  <c r="BI112" i="41" s="1"/>
  <c r="BJ112" i="41" s="1"/>
  <c r="BK112" i="41" s="1"/>
  <c r="BL112" i="41" s="1"/>
  <c r="BM112" i="41" s="1"/>
  <c r="BN112" i="41" s="1"/>
  <c r="BO112" i="41" s="1"/>
  <c r="BP112" i="41" s="1"/>
  <c r="BQ112" i="41" s="1"/>
  <c r="BR112" i="41" s="1"/>
  <c r="BS112" i="41" s="1"/>
  <c r="BT112" i="41" s="1"/>
  <c r="BU112" i="41" s="1"/>
  <c r="BV112" i="41" s="1"/>
  <c r="BW112" i="41" s="1"/>
  <c r="BX112" i="41" s="1"/>
  <c r="BY112" i="41" s="1"/>
  <c r="BZ112" i="41" s="1"/>
  <c r="CA112" i="41" s="1"/>
  <c r="CB112" i="41" s="1"/>
  <c r="CC112" i="41" s="1"/>
  <c r="CD112" i="41" s="1"/>
  <c r="CE112" i="41" s="1"/>
  <c r="CF112" i="41" s="1"/>
  <c r="CG112" i="41" s="1"/>
  <c r="CH112" i="41" s="1"/>
  <c r="CI112" i="41" s="1"/>
  <c r="CJ112" i="41" s="1"/>
  <c r="CK112" i="41" s="1"/>
  <c r="CL112" i="41" s="1"/>
  <c r="CM112" i="41" s="1"/>
  <c r="CN112" i="41" s="1"/>
  <c r="CO112" i="41" s="1"/>
  <c r="CP112" i="41" s="1"/>
  <c r="CQ112" i="41" s="1"/>
  <c r="CR112" i="41" s="1"/>
  <c r="CS112" i="41" s="1"/>
  <c r="CT112" i="41" s="1"/>
  <c r="CU112" i="41" s="1"/>
  <c r="CV112" i="41" s="1"/>
  <c r="CW112" i="41" s="1"/>
  <c r="CX112" i="41" s="1"/>
  <c r="CY112" i="41" s="1"/>
  <c r="CZ112" i="41" s="1"/>
  <c r="DA112" i="41" s="1"/>
  <c r="DB112" i="41" s="1"/>
  <c r="DC112" i="41" s="1"/>
  <c r="DD112" i="41" s="1"/>
  <c r="L114" i="41"/>
  <c r="K115" i="41"/>
  <c r="K117" i="41" s="1"/>
  <c r="M114" i="41" l="1"/>
  <c r="L115" i="41"/>
  <c r="L117" i="41" s="1"/>
  <c r="N114" i="41" l="1"/>
  <c r="M115" i="41"/>
  <c r="M117" i="41" s="1"/>
  <c r="O114" i="41" l="1"/>
  <c r="N115" i="41"/>
  <c r="N117" i="41" s="1"/>
  <c r="P114" i="41" l="1"/>
  <c r="O115" i="41"/>
  <c r="O117" i="41" s="1"/>
  <c r="Q114" i="41" l="1"/>
  <c r="P115" i="41"/>
  <c r="P117" i="41" s="1"/>
  <c r="R114" i="41" l="1"/>
  <c r="Q115" i="41"/>
  <c r="Q117" i="41" s="1"/>
  <c r="S114" i="41" l="1"/>
  <c r="R115" i="41"/>
  <c r="R117" i="41" s="1"/>
  <c r="T114" i="41" l="1"/>
  <c r="S115" i="41"/>
  <c r="S117" i="41" s="1"/>
  <c r="U114" i="41" l="1"/>
  <c r="T115" i="41"/>
  <c r="T117" i="41" s="1"/>
  <c r="V114" i="41" l="1"/>
  <c r="U115" i="41"/>
  <c r="U117" i="41" s="1"/>
  <c r="W114" i="41" l="1"/>
  <c r="V115" i="41"/>
  <c r="V117" i="41" s="1"/>
  <c r="X114" i="41" l="1"/>
  <c r="W115" i="41"/>
  <c r="W117" i="41" s="1"/>
  <c r="Y114" i="41" l="1"/>
  <c r="X115" i="41"/>
  <c r="X117" i="41" s="1"/>
  <c r="Z114" i="41" l="1"/>
  <c r="Y115" i="41"/>
  <c r="Y117" i="41" s="1"/>
  <c r="AA114" i="41" l="1"/>
  <c r="Z115" i="41"/>
  <c r="Z117" i="41" s="1"/>
  <c r="AB114" i="41" l="1"/>
  <c r="AA115" i="41"/>
  <c r="AA117" i="41" s="1"/>
  <c r="AC114" i="41" l="1"/>
  <c r="AB115" i="41"/>
  <c r="AB117" i="41" s="1"/>
  <c r="AD114" i="41" l="1"/>
  <c r="AC115" i="41"/>
  <c r="AC117" i="41" s="1"/>
  <c r="AE114" i="41" l="1"/>
  <c r="AD115" i="41"/>
  <c r="AD117" i="41" s="1"/>
  <c r="AF114" i="41" l="1"/>
  <c r="AE115" i="41"/>
  <c r="AE117" i="41" s="1"/>
  <c r="AG114" i="41" l="1"/>
  <c r="AF115" i="41"/>
  <c r="AF117" i="41" s="1"/>
  <c r="AH114" i="41" l="1"/>
  <c r="AG115" i="41"/>
  <c r="AG117" i="41" s="1"/>
  <c r="AI114" i="41" l="1"/>
  <c r="AH115" i="41"/>
  <c r="AH117" i="41" s="1"/>
  <c r="AJ114" i="41" l="1"/>
  <c r="AI115" i="41"/>
  <c r="AI117" i="41" s="1"/>
  <c r="AK114" i="41" l="1"/>
  <c r="AJ115" i="41"/>
  <c r="AJ117" i="41" s="1"/>
  <c r="AL114" i="41" l="1"/>
  <c r="AK115" i="41"/>
  <c r="AK117" i="41" s="1"/>
  <c r="AM114" i="41" l="1"/>
  <c r="AL115" i="41"/>
  <c r="AL117" i="41" s="1"/>
  <c r="AN114" i="41" l="1"/>
  <c r="AM115" i="41"/>
  <c r="AM117" i="41" s="1"/>
  <c r="AO114" i="41" l="1"/>
  <c r="AN115" i="41"/>
  <c r="AN117" i="41" s="1"/>
  <c r="AP114" i="41" l="1"/>
  <c r="AO115" i="41"/>
  <c r="AO117" i="41" s="1"/>
  <c r="AQ114" i="41" l="1"/>
  <c r="AP115" i="41"/>
  <c r="AP117" i="41" s="1"/>
  <c r="AR114" i="41" l="1"/>
  <c r="AQ115" i="41"/>
  <c r="AQ117" i="41" s="1"/>
  <c r="AS114" i="41" l="1"/>
  <c r="AR115" i="41"/>
  <c r="AR117" i="41" s="1"/>
  <c r="AT114" i="41" l="1"/>
  <c r="AS115" i="41"/>
  <c r="AS117" i="41" s="1"/>
  <c r="AU114" i="41" l="1"/>
  <c r="AT115" i="41"/>
  <c r="AT117" i="41" s="1"/>
  <c r="AV114" i="41" l="1"/>
  <c r="AU115" i="41"/>
  <c r="AU117" i="41" s="1"/>
  <c r="AW114" i="41" l="1"/>
  <c r="AV115" i="41"/>
  <c r="AV117" i="41" s="1"/>
  <c r="AX114" i="41" l="1"/>
  <c r="AW115" i="41"/>
  <c r="AW117" i="41" s="1"/>
  <c r="AY114" i="41" l="1"/>
  <c r="AX115" i="41"/>
  <c r="AX117" i="41" s="1"/>
  <c r="AZ114" i="41" l="1"/>
  <c r="AY115" i="41"/>
  <c r="AY117" i="41" s="1"/>
  <c r="BA114" i="41" l="1"/>
  <c r="AZ115" i="41"/>
  <c r="AZ117" i="41" s="1"/>
  <c r="BB114" i="41" l="1"/>
  <c r="BA115" i="41"/>
  <c r="BA117" i="41" s="1"/>
  <c r="BC114" i="41" l="1"/>
  <c r="BB115" i="41"/>
  <c r="BB117" i="41" s="1"/>
  <c r="BD114" i="41" l="1"/>
  <c r="BC115" i="41"/>
  <c r="BC117" i="41" s="1"/>
  <c r="BE114" i="41" l="1"/>
  <c r="BD115" i="41"/>
  <c r="BD117" i="41" s="1"/>
  <c r="BF114" i="41" l="1"/>
  <c r="BE115" i="41"/>
  <c r="BE117" i="41" s="1"/>
  <c r="BG114" i="41" l="1"/>
  <c r="BF115" i="41"/>
  <c r="BF117" i="41" s="1"/>
  <c r="BH114" i="41" l="1"/>
  <c r="BG115" i="41"/>
  <c r="BG117" i="41" s="1"/>
  <c r="BI114" i="41" l="1"/>
  <c r="BH115" i="41"/>
  <c r="BH117" i="41" s="1"/>
  <c r="BJ114" i="41" l="1"/>
  <c r="BI115" i="41"/>
  <c r="BI117" i="41" s="1"/>
  <c r="BK114" i="41" l="1"/>
  <c r="BJ115" i="41"/>
  <c r="BJ117" i="41" s="1"/>
  <c r="BL114" i="41" l="1"/>
  <c r="BK115" i="41"/>
  <c r="BK117" i="41" s="1"/>
  <c r="BM114" i="41" l="1"/>
  <c r="BL115" i="41"/>
  <c r="BL117" i="41" s="1"/>
  <c r="BN114" i="41" l="1"/>
  <c r="BM115" i="41"/>
  <c r="BM117" i="41" s="1"/>
  <c r="BO114" i="41" l="1"/>
  <c r="BN115" i="41"/>
  <c r="BN117" i="41" s="1"/>
  <c r="BP114" i="41" l="1"/>
  <c r="BO115" i="41"/>
  <c r="BO117" i="41" s="1"/>
  <c r="BQ114" i="41" l="1"/>
  <c r="BP115" i="41"/>
  <c r="BP117" i="41" s="1"/>
  <c r="BR114" i="41" l="1"/>
  <c r="BQ115" i="41"/>
  <c r="BQ117" i="41" s="1"/>
  <c r="BS114" i="41" l="1"/>
  <c r="BR115" i="41"/>
  <c r="BR117" i="41" s="1"/>
  <c r="BT114" i="41" l="1"/>
  <c r="BS115" i="41"/>
  <c r="BS117" i="41" s="1"/>
  <c r="BU114" i="41" l="1"/>
  <c r="BT115" i="41"/>
  <c r="BT117" i="41" s="1"/>
  <c r="BV114" i="41" l="1"/>
  <c r="BU115" i="41"/>
  <c r="BU117" i="41" s="1"/>
  <c r="BW114" i="41" l="1"/>
  <c r="BV115" i="41"/>
  <c r="BV117" i="41" s="1"/>
  <c r="BX114" i="41" l="1"/>
  <c r="BW115" i="41"/>
  <c r="BW117" i="41" s="1"/>
  <c r="BY114" i="41" l="1"/>
  <c r="BX115" i="41"/>
  <c r="BX117" i="41" s="1"/>
  <c r="BZ114" i="41" l="1"/>
  <c r="BY115" i="41"/>
  <c r="BY117" i="41" s="1"/>
  <c r="CA114" i="41" l="1"/>
  <c r="BZ115" i="41"/>
  <c r="BZ117" i="41" s="1"/>
  <c r="CB114" i="41" l="1"/>
  <c r="CA115" i="41"/>
  <c r="CA117" i="41" s="1"/>
  <c r="CC114" i="41" l="1"/>
  <c r="CB115" i="41"/>
  <c r="CB117" i="41" s="1"/>
  <c r="CD114" i="41" l="1"/>
  <c r="CC115" i="41"/>
  <c r="CC117" i="41" s="1"/>
  <c r="CE114" i="41" l="1"/>
  <c r="CD115" i="41"/>
  <c r="CD117" i="41" s="1"/>
  <c r="CF114" i="41" l="1"/>
  <c r="CE115" i="41"/>
  <c r="CE117" i="41" s="1"/>
  <c r="CG114" i="41" l="1"/>
  <c r="CF115" i="41"/>
  <c r="CF117" i="41" s="1"/>
  <c r="CH114" i="41" l="1"/>
  <c r="CG115" i="41"/>
  <c r="CG117" i="41" s="1"/>
  <c r="CI114" i="41" l="1"/>
  <c r="CH115" i="41"/>
  <c r="CH117" i="41" s="1"/>
  <c r="CJ114" i="41" l="1"/>
  <c r="CI115" i="41"/>
  <c r="CI117" i="41" s="1"/>
  <c r="CK114" i="41" l="1"/>
  <c r="CJ115" i="41"/>
  <c r="CJ117" i="41" s="1"/>
  <c r="CL114" i="41" l="1"/>
  <c r="CK115" i="41"/>
  <c r="CK117" i="41" s="1"/>
  <c r="CM114" i="41" l="1"/>
  <c r="CL115" i="41"/>
  <c r="CL117" i="41" s="1"/>
  <c r="CN114" i="41" l="1"/>
  <c r="CM115" i="41"/>
  <c r="CM117" i="41" s="1"/>
  <c r="CO114" i="41" l="1"/>
  <c r="CN115" i="41"/>
  <c r="CN117" i="41" s="1"/>
  <c r="CP114" i="41" l="1"/>
  <c r="CO115" i="41"/>
  <c r="CO117" i="41" s="1"/>
  <c r="CQ114" i="41" l="1"/>
  <c r="CP115" i="41"/>
  <c r="CP117" i="41" s="1"/>
  <c r="CR114" i="41" l="1"/>
  <c r="CQ115" i="41"/>
  <c r="CQ117" i="41" s="1"/>
  <c r="CS114" i="41" l="1"/>
  <c r="CR115" i="41"/>
  <c r="CR117" i="41" s="1"/>
  <c r="CT114" i="41" l="1"/>
  <c r="CS115" i="41"/>
  <c r="CS117" i="41" s="1"/>
  <c r="CU114" i="41" l="1"/>
  <c r="CT115" i="41"/>
  <c r="CT117" i="41" s="1"/>
  <c r="CV114" i="41" l="1"/>
  <c r="CU115" i="41"/>
  <c r="CU117" i="41" s="1"/>
  <c r="CW114" i="41" l="1"/>
  <c r="CV115" i="41"/>
  <c r="CV117" i="41" s="1"/>
  <c r="CX114" i="41" l="1"/>
  <c r="CW115" i="41"/>
  <c r="CW117" i="41" s="1"/>
  <c r="CY114" i="41" l="1"/>
  <c r="CX115" i="41"/>
  <c r="CX117" i="41" s="1"/>
  <c r="CZ114" i="41" l="1"/>
  <c r="CY115" i="41"/>
  <c r="CY117" i="41" s="1"/>
  <c r="DA114" i="41" l="1"/>
  <c r="CZ115" i="41"/>
  <c r="CZ117" i="41" s="1"/>
  <c r="DB114" i="41" l="1"/>
  <c r="DA115" i="41"/>
  <c r="DA117" i="41" s="1"/>
  <c r="DC114" i="41" l="1"/>
  <c r="DB115" i="41"/>
  <c r="DB117" i="41" s="1"/>
  <c r="DD114" i="41" l="1"/>
  <c r="DD115" i="41" s="1"/>
  <c r="DC115" i="41"/>
  <c r="DC117" i="41" s="1"/>
  <c r="DD117" i="41" l="1"/>
  <c r="H117" i="41"/>
  <c r="H123" i="41" l="1"/>
  <c r="R134" i="41" l="1"/>
  <c r="AB133" i="41"/>
  <c r="R133" i="41"/>
  <c r="N133" i="41"/>
  <c r="W135" i="41"/>
  <c r="W133" i="41"/>
  <c r="P134" i="41"/>
  <c r="S133" i="41"/>
  <c r="V135" i="41"/>
  <c r="O133" i="41"/>
  <c r="L133" i="41"/>
  <c r="X133" i="41"/>
  <c r="T133" i="41"/>
  <c r="U133" i="41"/>
  <c r="T134" i="41"/>
  <c r="AB135" i="41"/>
  <c r="S135" i="41"/>
  <c r="K133" i="41"/>
  <c r="V133" i="41"/>
  <c r="AA133" i="41"/>
  <c r="S134" i="41"/>
  <c r="Q133" i="41"/>
  <c r="AB134" i="41"/>
  <c r="P133" i="41"/>
  <c r="U135" i="41"/>
  <c r="U134" i="41"/>
  <c r="V134" i="41"/>
  <c r="Z133" i="41"/>
  <c r="J133" i="41"/>
  <c r="Q134" i="41"/>
  <c r="N134" i="41"/>
  <c r="T135" i="41"/>
  <c r="M133" i="41"/>
  <c r="Y133" i="41"/>
  <c r="W134" i="41"/>
  <c r="K134" i="41"/>
  <c r="K33" i="65" l="1"/>
  <c r="K79" i="65" s="1"/>
  <c r="K90" i="65" s="1"/>
  <c r="K145" i="41"/>
  <c r="T34" i="65"/>
  <c r="T80" i="65" s="1"/>
  <c r="T91" i="65" s="1"/>
  <c r="T146" i="41"/>
  <c r="Z144" i="41"/>
  <c r="Z32" i="65"/>
  <c r="Z78" i="65" s="1"/>
  <c r="Z89" i="65" s="1"/>
  <c r="P144" i="41"/>
  <c r="P32" i="65"/>
  <c r="P78" i="65" s="1"/>
  <c r="P89" i="65" s="1"/>
  <c r="AA144" i="41"/>
  <c r="AA32" i="65"/>
  <c r="AA78" i="65" s="1"/>
  <c r="AA89" i="65" s="1"/>
  <c r="AB34" i="65"/>
  <c r="AB80" i="65" s="1"/>
  <c r="AB91" i="65" s="1"/>
  <c r="AB146" i="41"/>
  <c r="X32" i="65"/>
  <c r="X78" i="65" s="1"/>
  <c r="X89" i="65" s="1"/>
  <c r="X144" i="41"/>
  <c r="S144" i="41"/>
  <c r="S32" i="65"/>
  <c r="S78" i="65" s="1"/>
  <c r="S89" i="65" s="1"/>
  <c r="N144" i="41"/>
  <c r="N32" i="65"/>
  <c r="N78" i="65" s="1"/>
  <c r="N89" i="65" s="1"/>
  <c r="W33" i="65"/>
  <c r="W79" i="65" s="1"/>
  <c r="W90" i="65" s="1"/>
  <c r="W145" i="41"/>
  <c r="N145" i="41"/>
  <c r="N33" i="65"/>
  <c r="N79" i="65" s="1"/>
  <c r="N90" i="65" s="1"/>
  <c r="V145" i="41"/>
  <c r="V33" i="65"/>
  <c r="V79" i="65" s="1"/>
  <c r="V90" i="65" s="1"/>
  <c r="AB33" i="65"/>
  <c r="AB79" i="65" s="1"/>
  <c r="AB90" i="65" s="1"/>
  <c r="AB145" i="41"/>
  <c r="V144" i="41"/>
  <c r="V32" i="65"/>
  <c r="V78" i="65" s="1"/>
  <c r="V89" i="65" s="1"/>
  <c r="T33" i="65"/>
  <c r="T79" i="65" s="1"/>
  <c r="T90" i="65" s="1"/>
  <c r="T145" i="41"/>
  <c r="L144" i="41"/>
  <c r="L32" i="65"/>
  <c r="L78" i="65" s="1"/>
  <c r="L89" i="65" s="1"/>
  <c r="P33" i="65"/>
  <c r="P79" i="65" s="1"/>
  <c r="P90" i="65" s="1"/>
  <c r="P145" i="41"/>
  <c r="R32" i="65"/>
  <c r="R78" i="65" s="1"/>
  <c r="R89" i="65" s="1"/>
  <c r="R45" i="105" s="1"/>
  <c r="R144" i="41"/>
  <c r="Q145" i="41"/>
  <c r="Q33" i="65"/>
  <c r="Q79" i="65" s="1"/>
  <c r="Q90" i="65" s="1"/>
  <c r="Q46" i="105" s="1"/>
  <c r="U145" i="41"/>
  <c r="U33" i="65"/>
  <c r="U79" i="65" s="1"/>
  <c r="U90" i="65" s="1"/>
  <c r="Q144" i="41"/>
  <c r="Q32" i="65"/>
  <c r="Q78" i="65" s="1"/>
  <c r="Q89" i="65" s="1"/>
  <c r="Q45" i="105" s="1"/>
  <c r="K144" i="41"/>
  <c r="K32" i="65"/>
  <c r="K78" i="65" s="1"/>
  <c r="K89" i="65" s="1"/>
  <c r="U144" i="41"/>
  <c r="U32" i="65"/>
  <c r="U78" i="65" s="1"/>
  <c r="U89" i="65" s="1"/>
  <c r="O144" i="41"/>
  <c r="O32" i="65"/>
  <c r="O78" i="65" s="1"/>
  <c r="O89" i="65" s="1"/>
  <c r="W144" i="41"/>
  <c r="W32" i="65"/>
  <c r="W78" i="65" s="1"/>
  <c r="W89" i="65" s="1"/>
  <c r="AB144" i="41"/>
  <c r="AB32" i="65"/>
  <c r="AB78" i="65" s="1"/>
  <c r="AB89" i="65" s="1"/>
  <c r="Y32" i="65"/>
  <c r="Y78" i="65" s="1"/>
  <c r="Y89" i="65" s="1"/>
  <c r="Y144" i="41"/>
  <c r="M32" i="65"/>
  <c r="M78" i="65" s="1"/>
  <c r="M89" i="65" s="1"/>
  <c r="M144" i="41"/>
  <c r="J32" i="65"/>
  <c r="J144" i="41"/>
  <c r="H141" i="41" a="1"/>
  <c r="H141" i="41" s="1"/>
  <c r="U146" i="41"/>
  <c r="U34" i="65"/>
  <c r="U80" i="65" s="1"/>
  <c r="U91" i="65" s="1"/>
  <c r="S33" i="65"/>
  <c r="S79" i="65" s="1"/>
  <c r="S90" i="65" s="1"/>
  <c r="S145" i="41"/>
  <c r="S34" i="65"/>
  <c r="S80" i="65" s="1"/>
  <c r="S91" i="65" s="1"/>
  <c r="S146" i="41"/>
  <c r="T32" i="65"/>
  <c r="T78" i="65" s="1"/>
  <c r="T89" i="65" s="1"/>
  <c r="T144" i="41"/>
  <c r="V146" i="41"/>
  <c r="V34" i="65"/>
  <c r="V80" i="65" s="1"/>
  <c r="V91" i="65" s="1"/>
  <c r="W34" i="65"/>
  <c r="W80" i="65" s="1"/>
  <c r="W91" i="65" s="1"/>
  <c r="W146" i="41"/>
  <c r="R33" i="65"/>
  <c r="R79" i="65" s="1"/>
  <c r="R90" i="65" s="1"/>
  <c r="R46" i="105" s="1"/>
  <c r="R145" i="41"/>
  <c r="R82" i="105" l="1"/>
  <c r="Q82" i="105"/>
  <c r="Q83" i="105"/>
  <c r="R83" i="105"/>
  <c r="T98" i="65"/>
  <c r="T54" i="105" s="1"/>
  <c r="T45" i="105"/>
  <c r="T107" i="65"/>
  <c r="T63" i="105" s="1"/>
  <c r="N108" i="65"/>
  <c r="N64" i="105" s="1"/>
  <c r="N99" i="65"/>
  <c r="N55" i="105" s="1"/>
  <c r="N46" i="105"/>
  <c r="AA45" i="105"/>
  <c r="AA98" i="65"/>
  <c r="AA54" i="105" s="1"/>
  <c r="AA107" i="65"/>
  <c r="AA63" i="105" s="1"/>
  <c r="V47" i="105"/>
  <c r="V109" i="65"/>
  <c r="V65" i="105" s="1"/>
  <c r="U47" i="105"/>
  <c r="U109" i="65"/>
  <c r="U65" i="105" s="1"/>
  <c r="U100" i="65"/>
  <c r="U56" i="105" s="1"/>
  <c r="J78" i="65"/>
  <c r="J89" i="65" s="1"/>
  <c r="Y98" i="65"/>
  <c r="Y54" i="105" s="1"/>
  <c r="Y45" i="105"/>
  <c r="Y107" i="65"/>
  <c r="Y63" i="105" s="1"/>
  <c r="P108" i="65"/>
  <c r="P64" i="105" s="1"/>
  <c r="P46" i="105"/>
  <c r="P99" i="65"/>
  <c r="P55" i="105" s="1"/>
  <c r="T46" i="105"/>
  <c r="T99" i="65"/>
  <c r="T55" i="105" s="1"/>
  <c r="T108" i="65"/>
  <c r="T64" i="105" s="1"/>
  <c r="AB46" i="105"/>
  <c r="AB99" i="65"/>
  <c r="AB55" i="105" s="1"/>
  <c r="AB108" i="65"/>
  <c r="AB64" i="105" s="1"/>
  <c r="X107" i="65"/>
  <c r="X63" i="105" s="1"/>
  <c r="X98" i="65"/>
  <c r="X45" i="105"/>
  <c r="K46" i="105"/>
  <c r="K108" i="65"/>
  <c r="K64" i="105" s="1"/>
  <c r="K99" i="65"/>
  <c r="K55" i="105" s="1"/>
  <c r="S47" i="105"/>
  <c r="S100" i="65"/>
  <c r="S56" i="105" s="1"/>
  <c r="S109" i="65"/>
  <c r="S65" i="105" s="1"/>
  <c r="AB45" i="105"/>
  <c r="AB107" i="65"/>
  <c r="AB63" i="105" s="1"/>
  <c r="AB98" i="65"/>
  <c r="AB54" i="105" s="1"/>
  <c r="O45" i="105"/>
  <c r="O107" i="65"/>
  <c r="O63" i="105" s="1"/>
  <c r="O98" i="65"/>
  <c r="O54" i="105" s="1"/>
  <c r="K45" i="105"/>
  <c r="K98" i="65"/>
  <c r="K54" i="105" s="1"/>
  <c r="K107" i="65"/>
  <c r="K63" i="105" s="1"/>
  <c r="U46" i="105"/>
  <c r="U99" i="65"/>
  <c r="U55" i="105" s="1"/>
  <c r="U108" i="65"/>
  <c r="U64" i="105" s="1"/>
  <c r="L98" i="65"/>
  <c r="L54" i="105" s="1"/>
  <c r="L45" i="105"/>
  <c r="L107" i="65"/>
  <c r="L63" i="105" s="1"/>
  <c r="V45" i="105"/>
  <c r="V107" i="65"/>
  <c r="V63" i="105" s="1"/>
  <c r="V108" i="65"/>
  <c r="V64" i="105" s="1"/>
  <c r="V46" i="105"/>
  <c r="S45" i="105"/>
  <c r="S107" i="65"/>
  <c r="S98" i="65"/>
  <c r="P45" i="105"/>
  <c r="P107" i="65"/>
  <c r="P63" i="105" s="1"/>
  <c r="P98" i="65"/>
  <c r="P54" i="105" s="1"/>
  <c r="M98" i="65"/>
  <c r="M54" i="105" s="1"/>
  <c r="M45" i="105"/>
  <c r="M107" i="65"/>
  <c r="M63" i="105" s="1"/>
  <c r="W46" i="105"/>
  <c r="W108" i="65"/>
  <c r="W64" i="105" s="1"/>
  <c r="AB47" i="105"/>
  <c r="AB100" i="65"/>
  <c r="AB56" i="105" s="1"/>
  <c r="AB109" i="65"/>
  <c r="AB65" i="105" s="1"/>
  <c r="T47" i="105"/>
  <c r="T109" i="65"/>
  <c r="T65" i="105" s="1"/>
  <c r="T100" i="65"/>
  <c r="T56" i="105" s="1"/>
  <c r="H152" i="41"/>
  <c r="H154" i="41" s="1"/>
  <c r="H156" i="41" s="1"/>
  <c r="A4" i="41" s="1"/>
  <c r="W45" i="105"/>
  <c r="W107" i="65"/>
  <c r="W63" i="105" s="1"/>
  <c r="U98" i="65"/>
  <c r="U54" i="105" s="1"/>
  <c r="U45" i="105"/>
  <c r="U107" i="65"/>
  <c r="U63" i="105" s="1"/>
  <c r="Z107" i="65"/>
  <c r="Z63" i="105" s="1"/>
  <c r="Z45" i="105"/>
  <c r="Z98" i="65"/>
  <c r="Z54" i="105" s="1"/>
  <c r="W47" i="105"/>
  <c r="W109" i="65"/>
  <c r="W65" i="105" s="1"/>
  <c r="S99" i="65"/>
  <c r="S55" i="105" s="1"/>
  <c r="S46" i="105"/>
  <c r="S108" i="65"/>
  <c r="S64" i="105" s="1"/>
  <c r="N45" i="105"/>
  <c r="N98" i="65"/>
  <c r="N54" i="105" s="1"/>
  <c r="N107" i="65"/>
  <c r="N63" i="105" s="1"/>
  <c r="S54" i="105" l="1"/>
  <c r="J62" i="106" a="1"/>
  <c r="S63" i="105"/>
  <c r="J97" i="106" a="1"/>
  <c r="X54" i="105"/>
  <c r="J67" i="106" a="1"/>
  <c r="R89" i="105"/>
  <c r="Q89" i="105"/>
  <c r="Z102" i="105"/>
  <c r="Z109" i="105" s="1"/>
  <c r="Z126" i="105" s="1"/>
  <c r="AB92" i="105"/>
  <c r="S94" i="105"/>
  <c r="AB103" i="105"/>
  <c r="P103" i="105"/>
  <c r="S103" i="105"/>
  <c r="U102" i="105"/>
  <c r="W103" i="105"/>
  <c r="M92" i="105"/>
  <c r="M99" i="105" s="1"/>
  <c r="M125" i="105" s="1"/>
  <c r="V103" i="105"/>
  <c r="O92" i="105"/>
  <c r="O99" i="105" s="1"/>
  <c r="O125" i="105" s="1"/>
  <c r="AB102" i="105"/>
  <c r="AB93" i="105"/>
  <c r="Y102" i="105"/>
  <c r="Y109" i="105" s="1"/>
  <c r="Y126" i="105" s="1"/>
  <c r="U94" i="105"/>
  <c r="T102" i="105"/>
  <c r="L102" i="105"/>
  <c r="L109" i="105" s="1"/>
  <c r="L126" i="105" s="1"/>
  <c r="U93" i="105"/>
  <c r="T93" i="105"/>
  <c r="N102" i="105"/>
  <c r="Z92" i="105"/>
  <c r="Z99" i="105" s="1"/>
  <c r="Z125" i="105" s="1"/>
  <c r="P92" i="105"/>
  <c r="V102" i="105"/>
  <c r="L92" i="105"/>
  <c r="L99" i="105" s="1"/>
  <c r="L125" i="105" s="1"/>
  <c r="K102" i="105"/>
  <c r="O102" i="105"/>
  <c r="O109" i="105" s="1"/>
  <c r="O126" i="105" s="1"/>
  <c r="K93" i="105"/>
  <c r="AA102" i="105"/>
  <c r="AA109" i="105" s="1"/>
  <c r="AA126" i="105" s="1"/>
  <c r="W102" i="105"/>
  <c r="N92" i="105"/>
  <c r="S93" i="105"/>
  <c r="U92" i="105"/>
  <c r="T94" i="105"/>
  <c r="AB94" i="105"/>
  <c r="M102" i="105"/>
  <c r="M109" i="105" s="1"/>
  <c r="M126" i="105" s="1"/>
  <c r="P102" i="105"/>
  <c r="U103" i="105"/>
  <c r="K92" i="105"/>
  <c r="S104" i="105"/>
  <c r="K103" i="105"/>
  <c r="X102" i="105"/>
  <c r="X109" i="105" s="1"/>
  <c r="X126" i="105" s="1"/>
  <c r="T103" i="105"/>
  <c r="Y92" i="105"/>
  <c r="Y99" i="105" s="1"/>
  <c r="Y125" i="105" s="1"/>
  <c r="AA92" i="105"/>
  <c r="AA99" i="105" s="1"/>
  <c r="AA125" i="105" s="1"/>
  <c r="N103" i="105"/>
  <c r="T92" i="105"/>
  <c r="K83" i="105"/>
  <c r="X82" i="105"/>
  <c r="X89" i="105" s="1"/>
  <c r="W82" i="105"/>
  <c r="T84" i="105"/>
  <c r="P82" i="105"/>
  <c r="S83" i="105"/>
  <c r="U82" i="105"/>
  <c r="W83" i="105"/>
  <c r="L82" i="105"/>
  <c r="L89" i="105" s="1"/>
  <c r="U83" i="105"/>
  <c r="S84" i="105"/>
  <c r="T82" i="105"/>
  <c r="W84" i="105"/>
  <c r="M82" i="105"/>
  <c r="M89" i="105" s="1"/>
  <c r="V83" i="105"/>
  <c r="K82" i="105"/>
  <c r="AA82" i="105"/>
  <c r="AA89" i="105" s="1"/>
  <c r="T83" i="105"/>
  <c r="V84" i="105"/>
  <c r="N83" i="105"/>
  <c r="Z82" i="105"/>
  <c r="Z89" i="105" s="1"/>
  <c r="AB82" i="105"/>
  <c r="AB83" i="105"/>
  <c r="Y82" i="105"/>
  <c r="Y89" i="105" s="1"/>
  <c r="N82" i="105"/>
  <c r="AB84" i="105"/>
  <c r="S82" i="105"/>
  <c r="V82" i="105"/>
  <c r="O82" i="105"/>
  <c r="O89" i="105" s="1"/>
  <c r="P83" i="105"/>
  <c r="U84" i="105"/>
  <c r="J55" i="55"/>
  <c r="H75" i="105"/>
  <c r="H115" i="105" s="1"/>
  <c r="V104" i="105"/>
  <c r="AB104" i="105"/>
  <c r="P93" i="105"/>
  <c r="U104" i="105"/>
  <c r="N93" i="105"/>
  <c r="W104" i="105"/>
  <c r="T104" i="105"/>
  <c r="J45" i="105"/>
  <c r="J98" i="65"/>
  <c r="J53" i="106" s="1" a="1"/>
  <c r="J18" i="106" a="1"/>
  <c r="J107" i="65"/>
  <c r="J88" i="106" s="1" a="1"/>
  <c r="X92" i="105" l="1"/>
  <c r="X99" i="105" s="1"/>
  <c r="X125" i="105" s="1"/>
  <c r="S92" i="105"/>
  <c r="S99" i="105" s="1"/>
  <c r="S125" i="105" s="1"/>
  <c r="S102" i="105"/>
  <c r="S109" i="105" s="1"/>
  <c r="S126" i="105" s="1"/>
  <c r="J97" i="106"/>
  <c r="K107" i="106"/>
  <c r="M109" i="106"/>
  <c r="L108" i="106"/>
  <c r="N106" i="106"/>
  <c r="P108" i="106"/>
  <c r="O107" i="106"/>
  <c r="J106" i="106"/>
  <c r="O103" i="106"/>
  <c r="M101" i="106"/>
  <c r="K99" i="106"/>
  <c r="P109" i="106"/>
  <c r="N107" i="106"/>
  <c r="L105" i="106"/>
  <c r="J103" i="106"/>
  <c r="O100" i="106"/>
  <c r="M98" i="106"/>
  <c r="K109" i="106"/>
  <c r="P106" i="106"/>
  <c r="N104" i="106"/>
  <c r="L102" i="106"/>
  <c r="J100" i="106"/>
  <c r="O97" i="106"/>
  <c r="M108" i="106"/>
  <c r="K106" i="106"/>
  <c r="P103" i="106"/>
  <c r="N101" i="106"/>
  <c r="L99" i="106"/>
  <c r="M105" i="106"/>
  <c r="K103" i="106"/>
  <c r="P100" i="106"/>
  <c r="N98" i="106"/>
  <c r="L109" i="106"/>
  <c r="J107" i="106"/>
  <c r="O104" i="106"/>
  <c r="M102" i="106"/>
  <c r="K100" i="106"/>
  <c r="P97" i="106"/>
  <c r="N108" i="106"/>
  <c r="L106" i="106"/>
  <c r="J104" i="106"/>
  <c r="O101" i="106"/>
  <c r="M99" i="106"/>
  <c r="K97" i="106"/>
  <c r="P107" i="106"/>
  <c r="N105" i="106"/>
  <c r="L103" i="106"/>
  <c r="J101" i="106"/>
  <c r="O98" i="106"/>
  <c r="P104" i="106"/>
  <c r="L100" i="106"/>
  <c r="O108" i="106"/>
  <c r="K104" i="106"/>
  <c r="N99" i="106"/>
  <c r="J108" i="106"/>
  <c r="M103" i="106"/>
  <c r="P98" i="106"/>
  <c r="L107" i="106"/>
  <c r="O102" i="106"/>
  <c r="K98" i="106"/>
  <c r="L104" i="106"/>
  <c r="O99" i="106"/>
  <c r="K108" i="106"/>
  <c r="N103" i="106"/>
  <c r="J99" i="106"/>
  <c r="M107" i="106"/>
  <c r="P102" i="106"/>
  <c r="L98" i="106"/>
  <c r="O106" i="106"/>
  <c r="K102" i="106"/>
  <c r="N97" i="106"/>
  <c r="N102" i="106"/>
  <c r="J98" i="106"/>
  <c r="M106" i="106"/>
  <c r="P101" i="106"/>
  <c r="L97" i="106"/>
  <c r="O105" i="106"/>
  <c r="K101" i="106"/>
  <c r="N109" i="106"/>
  <c r="J105" i="106"/>
  <c r="M100" i="106"/>
  <c r="J102" i="106"/>
  <c r="M97" i="106"/>
  <c r="P105" i="106"/>
  <c r="L101" i="106"/>
  <c r="O109" i="106"/>
  <c r="K105" i="106"/>
  <c r="N100" i="106"/>
  <c r="J109" i="106"/>
  <c r="M104" i="106"/>
  <c r="P99" i="106"/>
  <c r="L53" i="106"/>
  <c r="P53" i="106"/>
  <c r="M54" i="106"/>
  <c r="J55" i="106"/>
  <c r="N55" i="106"/>
  <c r="K56" i="106"/>
  <c r="O56" i="106"/>
  <c r="L57" i="106"/>
  <c r="P57" i="106"/>
  <c r="M58" i="106"/>
  <c r="J59" i="106"/>
  <c r="N59" i="106"/>
  <c r="J53" i="106"/>
  <c r="N53" i="106"/>
  <c r="K54" i="106"/>
  <c r="O54" i="106"/>
  <c r="L55" i="106"/>
  <c r="P55" i="106"/>
  <c r="M56" i="106"/>
  <c r="J57" i="106"/>
  <c r="N57" i="106"/>
  <c r="K58" i="106"/>
  <c r="O58" i="106"/>
  <c r="L59" i="106"/>
  <c r="P59" i="106"/>
  <c r="M53" i="106"/>
  <c r="J54" i="106"/>
  <c r="N54" i="106"/>
  <c r="K55" i="106"/>
  <c r="O55" i="106"/>
  <c r="L56" i="106"/>
  <c r="P56" i="106"/>
  <c r="M57" i="106"/>
  <c r="J58" i="106"/>
  <c r="N58" i="106"/>
  <c r="K59" i="106"/>
  <c r="O59" i="106"/>
  <c r="K53" i="106"/>
  <c r="O53" i="106"/>
  <c r="L54" i="106"/>
  <c r="P54" i="106"/>
  <c r="M55" i="106"/>
  <c r="J56" i="106"/>
  <c r="N56" i="106"/>
  <c r="K57" i="106"/>
  <c r="O57" i="106"/>
  <c r="L58" i="106"/>
  <c r="P58" i="106"/>
  <c r="M59" i="106"/>
  <c r="J88" i="106"/>
  <c r="O94" i="106"/>
  <c r="M92" i="106"/>
  <c r="K90" i="106"/>
  <c r="N94" i="106"/>
  <c r="L92" i="106"/>
  <c r="J90" i="106"/>
  <c r="M94" i="106"/>
  <c r="K92" i="106"/>
  <c r="P89" i="106"/>
  <c r="P94" i="106"/>
  <c r="N92" i="106"/>
  <c r="L90" i="106"/>
  <c r="K94" i="106"/>
  <c r="P91" i="106"/>
  <c r="L91" i="106"/>
  <c r="M88" i="106"/>
  <c r="O91" i="106"/>
  <c r="P88" i="106"/>
  <c r="O92" i="106"/>
  <c r="L89" i="106"/>
  <c r="O93" i="106"/>
  <c r="P90" i="106"/>
  <c r="O90" i="106"/>
  <c r="J94" i="106"/>
  <c r="K91" i="106"/>
  <c r="L88" i="106"/>
  <c r="N91" i="106"/>
  <c r="O88" i="106"/>
  <c r="K93" i="106"/>
  <c r="O89" i="106"/>
  <c r="N93" i="106"/>
  <c r="N89" i="106"/>
  <c r="M93" i="106"/>
  <c r="N90" i="106"/>
  <c r="P93" i="106"/>
  <c r="J91" i="106"/>
  <c r="K88" i="106"/>
  <c r="J92" i="106"/>
  <c r="K89" i="106"/>
  <c r="J93" i="106"/>
  <c r="J89" i="106"/>
  <c r="P92" i="106"/>
  <c r="M89" i="106"/>
  <c r="L93" i="106"/>
  <c r="M90" i="106"/>
  <c r="L94" i="106"/>
  <c r="M91" i="106"/>
  <c r="N88" i="106"/>
  <c r="J67" i="106"/>
  <c r="M71" i="106"/>
  <c r="K69" i="106"/>
  <c r="M72" i="106"/>
  <c r="K70" i="106"/>
  <c r="P67" i="106"/>
  <c r="O71" i="106"/>
  <c r="M69" i="106"/>
  <c r="K67" i="106"/>
  <c r="J71" i="106"/>
  <c r="O68" i="106"/>
  <c r="N72" i="106"/>
  <c r="O69" i="106"/>
  <c r="P71" i="106"/>
  <c r="J69" i="106"/>
  <c r="L72" i="106"/>
  <c r="P68" i="106"/>
  <c r="K72" i="106"/>
  <c r="L69" i="106"/>
  <c r="J72" i="106"/>
  <c r="N68" i="106"/>
  <c r="L71" i="106"/>
  <c r="M68" i="106"/>
  <c r="K71" i="106"/>
  <c r="L68" i="106"/>
  <c r="N71" i="106"/>
  <c r="K68" i="106"/>
  <c r="P70" i="106"/>
  <c r="J68" i="106"/>
  <c r="O70" i="106"/>
  <c r="L67" i="106"/>
  <c r="N70" i="106"/>
  <c r="O67" i="106"/>
  <c r="M70" i="106"/>
  <c r="N67" i="106"/>
  <c r="L70" i="106"/>
  <c r="M67" i="106"/>
  <c r="N69" i="106"/>
  <c r="P72" i="106"/>
  <c r="J70" i="106"/>
  <c r="O72" i="106"/>
  <c r="P69" i="106"/>
  <c r="J62" i="106"/>
  <c r="J63" i="106"/>
  <c r="N63" i="106"/>
  <c r="P62" i="106"/>
  <c r="O62" i="106"/>
  <c r="O63" i="106"/>
  <c r="M63" i="106"/>
  <c r="N64" i="106"/>
  <c r="P63" i="106"/>
  <c r="K63" i="106"/>
  <c r="L63" i="106"/>
  <c r="J64" i="106"/>
  <c r="K62" i="106"/>
  <c r="N62" i="106"/>
  <c r="O64" i="106"/>
  <c r="L62" i="106"/>
  <c r="P64" i="106"/>
  <c r="K64" i="106"/>
  <c r="M62" i="106"/>
  <c r="M64" i="106"/>
  <c r="L64" i="106"/>
  <c r="P109" i="105"/>
  <c r="P126" i="105" s="1"/>
  <c r="K99" i="105"/>
  <c r="Q124" i="105"/>
  <c r="R124" i="105"/>
  <c r="K109" i="105"/>
  <c r="S89" i="105"/>
  <c r="N109" i="105"/>
  <c r="V89" i="105"/>
  <c r="U99" i="105"/>
  <c r="U125" i="105" s="1"/>
  <c r="AB99" i="105"/>
  <c r="AB125" i="105" s="1"/>
  <c r="K89" i="105"/>
  <c r="AB89" i="105"/>
  <c r="U89" i="105"/>
  <c r="N89" i="105"/>
  <c r="W89" i="105"/>
  <c r="P89" i="105"/>
  <c r="T89" i="105"/>
  <c r="H83" i="105"/>
  <c r="H103" i="105"/>
  <c r="H94" i="105"/>
  <c r="T99" i="105"/>
  <c r="T125" i="105" s="1"/>
  <c r="AA124" i="105"/>
  <c r="Z124" i="105"/>
  <c r="O124" i="105"/>
  <c r="L124" i="105"/>
  <c r="H84" i="105"/>
  <c r="M124" i="105"/>
  <c r="Y124" i="105"/>
  <c r="X124" i="105"/>
  <c r="V109" i="105"/>
  <c r="V126" i="105" s="1"/>
  <c r="T109" i="105"/>
  <c r="T126" i="105" s="1"/>
  <c r="P99" i="105"/>
  <c r="AB109" i="105"/>
  <c r="AB126" i="105" s="1"/>
  <c r="N99" i="105"/>
  <c r="W109" i="105"/>
  <c r="W126" i="105" s="1"/>
  <c r="U109" i="105"/>
  <c r="U126" i="105" s="1"/>
  <c r="H93" i="105"/>
  <c r="H104" i="105"/>
  <c r="J82" i="105"/>
  <c r="J63" i="105"/>
  <c r="K28" i="106"/>
  <c r="J35" i="106"/>
  <c r="K31" i="106"/>
  <c r="N43" i="106"/>
  <c r="J50" i="106"/>
  <c r="K20" i="106"/>
  <c r="J31" i="106"/>
  <c r="K44" i="106"/>
  <c r="J44" i="106"/>
  <c r="K32" i="106"/>
  <c r="M35" i="106"/>
  <c r="L38" i="106"/>
  <c r="P25" i="106"/>
  <c r="M23" i="106"/>
  <c r="J28" i="106"/>
  <c r="O19" i="106"/>
  <c r="K19" i="106"/>
  <c r="O24" i="106"/>
  <c r="L21" i="106"/>
  <c r="O45" i="106"/>
  <c r="P45" i="106"/>
  <c r="M45" i="106"/>
  <c r="M29" i="106"/>
  <c r="P36" i="106"/>
  <c r="P26" i="106"/>
  <c r="N29" i="106"/>
  <c r="J46" i="106"/>
  <c r="M43" i="106"/>
  <c r="M46" i="106"/>
  <c r="J38" i="106"/>
  <c r="K34" i="106"/>
  <c r="M27" i="106"/>
  <c r="P19" i="106"/>
  <c r="O25" i="106"/>
  <c r="J36" i="106"/>
  <c r="K24" i="106"/>
  <c r="M41" i="106"/>
  <c r="N44" i="106"/>
  <c r="L34" i="106"/>
  <c r="M18" i="106"/>
  <c r="N21" i="106"/>
  <c r="O18" i="106"/>
  <c r="J24" i="106"/>
  <c r="N19" i="106"/>
  <c r="L49" i="106"/>
  <c r="K33" i="106"/>
  <c r="O30" i="106"/>
  <c r="L22" i="106"/>
  <c r="J22" i="106"/>
  <c r="L50" i="106"/>
  <c r="K43" i="106"/>
  <c r="K30" i="106"/>
  <c r="M31" i="106"/>
  <c r="O47" i="106"/>
  <c r="M50" i="106"/>
  <c r="P50" i="106"/>
  <c r="P30" i="106"/>
  <c r="N20" i="106"/>
  <c r="M37" i="106"/>
  <c r="J39" i="106"/>
  <c r="N39" i="106"/>
  <c r="N50" i="106"/>
  <c r="N48" i="106"/>
  <c r="N33" i="106"/>
  <c r="M39" i="106"/>
  <c r="L24" i="106"/>
  <c r="O49" i="106"/>
  <c r="N42" i="106"/>
  <c r="O44" i="106"/>
  <c r="K48" i="106"/>
  <c r="L36" i="106"/>
  <c r="N41" i="106"/>
  <c r="M40" i="106"/>
  <c r="L42" i="106"/>
  <c r="K38" i="106"/>
  <c r="L44" i="106"/>
  <c r="O40" i="106"/>
  <c r="K49" i="106"/>
  <c r="O32" i="106"/>
  <c r="M24" i="106"/>
  <c r="M28" i="106"/>
  <c r="O20" i="106"/>
  <c r="M47" i="106"/>
  <c r="N23" i="106"/>
  <c r="L46" i="106"/>
  <c r="P22" i="106"/>
  <c r="N46" i="106"/>
  <c r="M48" i="106"/>
  <c r="L19" i="106"/>
  <c r="M49" i="106"/>
  <c r="N34" i="106"/>
  <c r="J32" i="106"/>
  <c r="L29" i="106"/>
  <c r="N18" i="106"/>
  <c r="K26" i="106"/>
  <c r="N28" i="106"/>
  <c r="J40" i="106"/>
  <c r="L41" i="106"/>
  <c r="P40" i="106"/>
  <c r="K35" i="106"/>
  <c r="N37" i="106"/>
  <c r="J21" i="106"/>
  <c r="O27" i="106"/>
  <c r="M38" i="106"/>
  <c r="K37" i="106"/>
  <c r="O48" i="106"/>
  <c r="P23" i="106"/>
  <c r="M33" i="106"/>
  <c r="J41" i="106"/>
  <c r="J33" i="106"/>
  <c r="O23" i="106"/>
  <c r="K45" i="106"/>
  <c r="O46" i="106"/>
  <c r="P33" i="106"/>
  <c r="N24" i="106"/>
  <c r="P37" i="106"/>
  <c r="O50" i="106"/>
  <c r="M32" i="106"/>
  <c r="P20" i="106"/>
  <c r="L25" i="106"/>
  <c r="J42" i="106"/>
  <c r="P43" i="106"/>
  <c r="J37" i="106"/>
  <c r="L45" i="106"/>
  <c r="M19" i="106"/>
  <c r="P29" i="106"/>
  <c r="L40" i="106"/>
  <c r="O28" i="106"/>
  <c r="N49" i="106"/>
  <c r="J26" i="106"/>
  <c r="P49" i="106"/>
  <c r="J47" i="106"/>
  <c r="N26" i="106"/>
  <c r="J30" i="106"/>
  <c r="O37" i="106"/>
  <c r="O34" i="106"/>
  <c r="N38" i="106"/>
  <c r="N30" i="106"/>
  <c r="L47" i="106"/>
  <c r="K27" i="106"/>
  <c r="L27" i="106"/>
  <c r="N27" i="106"/>
  <c r="O39" i="106"/>
  <c r="P28" i="106"/>
  <c r="P39" i="106"/>
  <c r="N32" i="106"/>
  <c r="O29" i="106"/>
  <c r="J34" i="106"/>
  <c r="K46" i="106"/>
  <c r="M26" i="106"/>
  <c r="P41" i="106"/>
  <c r="O42" i="106"/>
  <c r="J45" i="106"/>
  <c r="O41" i="106"/>
  <c r="M25" i="106"/>
  <c r="P35" i="106"/>
  <c r="P31" i="106"/>
  <c r="L28" i="106"/>
  <c r="K18" i="106"/>
  <c r="O43" i="106"/>
  <c r="N31" i="106"/>
  <c r="J19" i="106"/>
  <c r="L48" i="106"/>
  <c r="M30" i="106"/>
  <c r="L20" i="106"/>
  <c r="L26" i="106"/>
  <c r="N22" i="106"/>
  <c r="L39" i="106"/>
  <c r="N25" i="106"/>
  <c r="L30" i="106"/>
  <c r="P38" i="106"/>
  <c r="O33" i="106"/>
  <c r="P34" i="106"/>
  <c r="L31" i="106"/>
  <c r="P46" i="106"/>
  <c r="O36" i="106"/>
  <c r="M42" i="106"/>
  <c r="P27" i="106"/>
  <c r="K29" i="106"/>
  <c r="J25" i="106"/>
  <c r="O26" i="106"/>
  <c r="P48" i="106"/>
  <c r="K50" i="106"/>
  <c r="M44" i="106"/>
  <c r="L43" i="106"/>
  <c r="J18" i="106"/>
  <c r="P21" i="106"/>
  <c r="N35" i="106"/>
  <c r="O38" i="106"/>
  <c r="M20" i="106"/>
  <c r="J20" i="106"/>
  <c r="P44" i="106"/>
  <c r="N36" i="106"/>
  <c r="L32" i="106"/>
  <c r="K36" i="106"/>
  <c r="J27" i="106"/>
  <c r="O31" i="106"/>
  <c r="L18" i="106"/>
  <c r="L23" i="106"/>
  <c r="N47" i="106"/>
  <c r="M34" i="106"/>
  <c r="O35" i="106"/>
  <c r="L33" i="106"/>
  <c r="P24" i="106"/>
  <c r="J29" i="106"/>
  <c r="K25" i="106"/>
  <c r="M21" i="106"/>
  <c r="M36" i="106"/>
  <c r="J49" i="106"/>
  <c r="L37" i="106"/>
  <c r="P18" i="106"/>
  <c r="J43" i="106"/>
  <c r="K22" i="106"/>
  <c r="J23" i="106"/>
  <c r="N40" i="106"/>
  <c r="K47" i="106"/>
  <c r="K39" i="106"/>
  <c r="M22" i="106"/>
  <c r="J48" i="106"/>
  <c r="K40" i="106"/>
  <c r="O22" i="106"/>
  <c r="L35" i="106"/>
  <c r="P47" i="106"/>
  <c r="O21" i="106"/>
  <c r="P32" i="106"/>
  <c r="K23" i="106"/>
  <c r="P42" i="106"/>
  <c r="N45" i="106"/>
  <c r="K42" i="106"/>
  <c r="K41" i="106"/>
  <c r="K21" i="106"/>
  <c r="J54" i="105"/>
  <c r="H117" i="65" a="1"/>
  <c r="H117" i="65" s="1"/>
  <c r="J56" i="55" l="1"/>
  <c r="A4" i="65"/>
  <c r="N125" i="105"/>
  <c r="P125" i="105"/>
  <c r="K125" i="105"/>
  <c r="K126" i="105"/>
  <c r="S124" i="105"/>
  <c r="N126" i="105"/>
  <c r="V124" i="105"/>
  <c r="AB124" i="105"/>
  <c r="K124" i="105"/>
  <c r="W124" i="105"/>
  <c r="T124" i="105"/>
  <c r="U124" i="105"/>
  <c r="P124" i="105"/>
  <c r="N124" i="105"/>
  <c r="J92" i="105"/>
  <c r="H92" i="105" s="1"/>
  <c r="H99" i="105" s="1"/>
  <c r="J102" i="105"/>
  <c r="J89" i="105"/>
  <c r="H82" i="105"/>
  <c r="J99" i="105" l="1"/>
  <c r="H102" i="105"/>
  <c r="H109" i="105" s="1"/>
  <c r="J109" i="105"/>
  <c r="J124" i="105"/>
  <c r="H89" i="105"/>
  <c r="H659" i="106" a="1"/>
  <c r="H659" i="106" s="1"/>
  <c r="J58" i="55" l="1"/>
  <c r="A4" i="106"/>
  <c r="H116" i="105"/>
  <c r="H117" i="105" s="1"/>
  <c r="H120" i="105" s="1"/>
  <c r="J125" i="105"/>
  <c r="J53" i="107" s="1" a="1"/>
  <c r="J77" i="107" s="1"/>
  <c r="J126" i="105"/>
  <c r="J88" i="107" s="1" a="1"/>
  <c r="J109" i="107" s="1"/>
  <c r="J18" i="107" a="1"/>
  <c r="J27" i="107" s="1"/>
  <c r="H119" i="105" l="1"/>
  <c r="J73" i="107"/>
  <c r="J81" i="107"/>
  <c r="J64" i="107"/>
  <c r="J80" i="107"/>
  <c r="J62" i="107"/>
  <c r="J70" i="107"/>
  <c r="J61" i="107"/>
  <c r="J69" i="107"/>
  <c r="J58" i="107"/>
  <c r="J66" i="107"/>
  <c r="J63" i="107"/>
  <c r="J72" i="107"/>
  <c r="J57" i="107"/>
  <c r="J65" i="107"/>
  <c r="J76" i="107"/>
  <c r="J55" i="107"/>
  <c r="J74" i="107"/>
  <c r="J68" i="107"/>
  <c r="J67" i="107"/>
  <c r="J82" i="107"/>
  <c r="J53" i="107"/>
  <c r="J60" i="107"/>
  <c r="J83" i="107"/>
  <c r="J79" i="107"/>
  <c r="J71" i="107"/>
  <c r="J84" i="107"/>
  <c r="J75" i="107"/>
  <c r="J59" i="107"/>
  <c r="J54" i="107"/>
  <c r="J78" i="107"/>
  <c r="J85" i="107"/>
  <c r="J56" i="107"/>
  <c r="J89" i="107"/>
  <c r="J97" i="107"/>
  <c r="J91" i="107"/>
  <c r="J104" i="107"/>
  <c r="J120" i="107"/>
  <c r="J116" i="107"/>
  <c r="J99" i="107"/>
  <c r="J118" i="107"/>
  <c r="J110" i="107"/>
  <c r="J108" i="107"/>
  <c r="J95" i="107"/>
  <c r="J114" i="107"/>
  <c r="J98" i="107"/>
  <c r="J119" i="107"/>
  <c r="J90" i="107"/>
  <c r="J96" i="107"/>
  <c r="J102" i="107"/>
  <c r="J115" i="107"/>
  <c r="J92" i="107"/>
  <c r="J111" i="107"/>
  <c r="J105" i="107"/>
  <c r="J117" i="107"/>
  <c r="J107" i="107"/>
  <c r="J113" i="107"/>
  <c r="J101" i="107"/>
  <c r="J103" i="107"/>
  <c r="J106" i="107"/>
  <c r="J94" i="107"/>
  <c r="J93" i="107"/>
  <c r="J112" i="107"/>
  <c r="J100" i="107"/>
  <c r="J88" i="107"/>
  <c r="J22" i="107"/>
  <c r="J34" i="107"/>
  <c r="J33" i="107"/>
  <c r="J36" i="107"/>
  <c r="J18" i="107"/>
  <c r="J24" i="107"/>
  <c r="J41" i="107"/>
  <c r="J42" i="107"/>
  <c r="J38" i="107"/>
  <c r="J19" i="107"/>
  <c r="J26" i="107"/>
  <c r="J23" i="107"/>
  <c r="J32" i="107"/>
  <c r="J25" i="107"/>
  <c r="J21" i="107"/>
  <c r="J47" i="107"/>
  <c r="J49" i="107"/>
  <c r="J43" i="107"/>
  <c r="J48" i="107"/>
  <c r="J40" i="107"/>
  <c r="J45" i="107"/>
  <c r="J37" i="107"/>
  <c r="J30" i="107"/>
  <c r="J35" i="107"/>
  <c r="J46" i="107"/>
  <c r="J39" i="107"/>
  <c r="J20" i="107"/>
  <c r="J50" i="107"/>
  <c r="J44" i="107"/>
  <c r="J31" i="107"/>
  <c r="J28" i="107"/>
  <c r="J29" i="107"/>
  <c r="H124" i="107" l="1" a="1"/>
  <c r="H124" i="107" s="1"/>
  <c r="J59" i="55" l="1"/>
  <c r="A4" i="107"/>
  <c r="H130" i="105" a="1"/>
  <c r="H130" i="105" s="1"/>
  <c r="J57" i="55" l="1"/>
  <c r="A4" i="105"/>
  <c r="J35" i="55" l="1"/>
  <c r="A4" i="100" l="1"/>
  <c r="A4" i="97"/>
  <c r="J34" i="55" l="1"/>
  <c r="J60" i="55" l="1"/>
  <c r="A4" i="55" s="1"/>
</calcChain>
</file>

<file path=xl/sharedStrings.xml><?xml version="1.0" encoding="utf-8"?>
<sst xmlns="http://schemas.openxmlformats.org/spreadsheetml/2006/main" count="12428" uniqueCount="1217">
  <si>
    <t>Base Demand Revenue before inflation</t>
  </si>
  <si>
    <t>Annual Iteration adjustment before inflation</t>
  </si>
  <si>
    <t>RPI True-up before inflation</t>
  </si>
  <si>
    <t>Price index adjustment (RPI index)</t>
  </si>
  <si>
    <t>Base demand revenue</t>
  </si>
  <si>
    <t>Pass-Through Licence Fees</t>
  </si>
  <si>
    <t>Pass-Through Business Rates</t>
  </si>
  <si>
    <t>Pass-Through Transmission Connection Point Charges</t>
  </si>
  <si>
    <t>Pass-through Smart Meter Communication Licence Costs</t>
  </si>
  <si>
    <t>Pass-through Smart Meter IT Costs</t>
  </si>
  <si>
    <t>Pass-through Ring Fence Costs</t>
  </si>
  <si>
    <t>Pass-Through Others</t>
  </si>
  <si>
    <t>Allowed Pass-Through Items</t>
  </si>
  <si>
    <t>Broad Measure of Customer Service incentive</t>
  </si>
  <si>
    <t>Quality of Service incentive</t>
  </si>
  <si>
    <t>Connections Engagement incentive</t>
  </si>
  <si>
    <t>Time to Connect incentive</t>
  </si>
  <si>
    <t>Losses Discretionary Reward incentive</t>
  </si>
  <si>
    <t>Network Innovation Allowance</t>
  </si>
  <si>
    <t>Low Carbon Network Fund - Tier 1 unrecoverable</t>
  </si>
  <si>
    <t>Low Carbon Network Fund - Tier 2 &amp; Discretionary Funding</t>
  </si>
  <si>
    <t>Connection Guaranteed Standards Systems &amp; Processes penalty</t>
  </si>
  <si>
    <t>Residual Losses and Growth Incentive - Losses</t>
  </si>
  <si>
    <t>Residual Losses and Growth Incentive - Growth</t>
  </si>
  <si>
    <t>Incentive Revenue and Other Adjustments</t>
  </si>
  <si>
    <t>Correction Factor</t>
  </si>
  <si>
    <t>Total allowed Revenue</t>
  </si>
  <si>
    <t>Other 1. Excluded services - Top-up, standby, and enhanced system security</t>
  </si>
  <si>
    <t>Other 2. Excluded services - Revenue protection services</t>
  </si>
  <si>
    <t>Other 3. Excluded services - Miscellaneous</t>
  </si>
  <si>
    <t>Other 4. Please describe if used</t>
  </si>
  <si>
    <t>Other 5. Please describe if used</t>
  </si>
  <si>
    <t>Total other revenue recovered by Use of System Charges</t>
  </si>
  <si>
    <t>Total Revenue for Use of System Charges</t>
  </si>
  <si>
    <t>1. Revenue raised outside CDCM - EDCM and Certain Interconnector Revenue</t>
  </si>
  <si>
    <t>2. Revenue raised outside CDCM - Voluntary under-recovery</t>
  </si>
  <si>
    <t>3. Revenue raised outside CDCM - Please describe if used</t>
  </si>
  <si>
    <t>4. Revenue raised outside CDCM - Please describe if used</t>
  </si>
  <si>
    <t>Total Revenue to be raised outside the CDCM</t>
  </si>
  <si>
    <t>Latest forecast of CDCM Revenue</t>
  </si>
  <si>
    <t>Power factor</t>
  </si>
  <si>
    <t>Days in the charging year</t>
  </si>
  <si>
    <t>Diversity allowance between top and bottom of network level</t>
  </si>
  <si>
    <t>GSPs</t>
  </si>
  <si>
    <t>132kV</t>
  </si>
  <si>
    <t>132kV/EHV</t>
  </si>
  <si>
    <t>EHV</t>
  </si>
  <si>
    <t>EHV/HV</t>
  </si>
  <si>
    <t>HV</t>
  </si>
  <si>
    <t>HV/LV</t>
  </si>
  <si>
    <t>LV circuits</t>
  </si>
  <si>
    <t>132kV/HV</t>
  </si>
  <si>
    <t>Domestic Unrestricted</t>
  </si>
  <si>
    <t>Domestic Two Rate</t>
  </si>
  <si>
    <t>Small Non Domestic Unrestricted</t>
  </si>
  <si>
    <t>Small Non Domestic Two Rate</t>
  </si>
  <si>
    <t>LV Medium Non-Domestic</t>
  </si>
  <si>
    <t>LV Sub Medium Non-Domestic</t>
  </si>
  <si>
    <t>LV Network Domestic</t>
  </si>
  <si>
    <t>LV Network Non-Domestic Non-CT</t>
  </si>
  <si>
    <t>LV HH Metered</t>
  </si>
  <si>
    <t>LV Sub HH Metered</t>
  </si>
  <si>
    <t>LV Generation NHH or Aggregate HH</t>
  </si>
  <si>
    <t>LV Sub Generation NHH</t>
  </si>
  <si>
    <t>LV Generation Intermittent</t>
  </si>
  <si>
    <t>LV Generation Intermittent no RP charge</t>
  </si>
  <si>
    <t>LV Generation Non-Intermittent</t>
  </si>
  <si>
    <t>LV Generation Non-Intermittent no RP charge</t>
  </si>
  <si>
    <t>LV Sub Generation Intermittent</t>
  </si>
  <si>
    <t>LV Sub Generation Intermittent no RP charge</t>
  </si>
  <si>
    <t>LV Sub Generation Non-Intermittent</t>
  </si>
  <si>
    <t>LV Sub Generation Non-Intermittent no RP charge</t>
  </si>
  <si>
    <t>HV Medium Non-Domestic</t>
  </si>
  <si>
    <t>HV HH Metered</t>
  </si>
  <si>
    <t>HV Generation Intermittent</t>
  </si>
  <si>
    <t>HV Generation Intermittent no RP charge</t>
  </si>
  <si>
    <t>HV Generation Non-Intermittent</t>
  </si>
  <si>
    <t>HV Generation Non-Intermittent no RP charge</t>
  </si>
  <si>
    <t>LDNO LV: LV user</t>
  </si>
  <si>
    <t>LDNO HV: LV user</t>
  </si>
  <si>
    <t>LDNO HV: LV Sub user</t>
  </si>
  <si>
    <t>LDNO HV: HV user</t>
  </si>
  <si>
    <t>Coincidence factor</t>
  </si>
  <si>
    <t>Load factor</t>
  </si>
  <si>
    <t>Domestic Off Peak (related MPAN)</t>
  </si>
  <si>
    <t>Small Non Domestic Off Peak (related MPAN)</t>
  </si>
  <si>
    <t>NHH UMS category A</t>
  </si>
  <si>
    <t>NHH UMS category B</t>
  </si>
  <si>
    <t>NHH UMS category C</t>
  </si>
  <si>
    <t>NHH UMS category D</t>
  </si>
  <si>
    <t>LV UMS (Pseudo HH Metered)</t>
  </si>
  <si>
    <t>MPANs</t>
  </si>
  <si>
    <t>Import capacity (kVA)</t>
  </si>
  <si>
    <t>Exceeded capacity (kVA)</t>
  </si>
  <si>
    <t>Reactive power units (MVArh)</t>
  </si>
  <si>
    <t>Indirect cost proportion</t>
  </si>
  <si>
    <t>Other expenditure</t>
  </si>
  <si>
    <t>LV network</t>
  </si>
  <si>
    <t>LV substation</t>
  </si>
  <si>
    <t>HV network</t>
  </si>
  <si>
    <t>HV substation</t>
  </si>
  <si>
    <t>Red</t>
  </si>
  <si>
    <t>Amber</t>
  </si>
  <si>
    <t>Green</t>
  </si>
  <si>
    <t>Black</t>
  </si>
  <si>
    <t>Yellow</t>
  </si>
  <si>
    <t>Average kVAr by kVA, by network level</t>
  </si>
  <si>
    <t>Description</t>
  </si>
  <si>
    <t>Units</t>
  </si>
  <si>
    <t>Constants</t>
  </si>
  <si>
    <t>Legal text reference</t>
  </si>
  <si>
    <t>%</t>
  </si>
  <si>
    <t>Annualisation period</t>
  </si>
  <si>
    <t>years</t>
  </si>
  <si>
    <t>Annuity rate</t>
  </si>
  <si>
    <t>Loss adjustment factor to transmission</t>
  </si>
  <si>
    <t>no.</t>
  </si>
  <si>
    <t>Loss adjustment factor to transmission for each DRM network level</t>
  </si>
  <si>
    <t>Network model GSP peak demand</t>
  </si>
  <si>
    <t>MW</t>
  </si>
  <si>
    <t>Exit load at system peak, assuming single stage transformation at each network level</t>
  </si>
  <si>
    <t>Rerouting for DRM network levels</t>
  </si>
  <si>
    <t>GSP simultaneous maximum load assumed through each network level</t>
  </si>
  <si>
    <t>Gross assets</t>
  </si>
  <si>
    <t>£</t>
  </si>
  <si>
    <t>£/kW/year</t>
  </si>
  <si>
    <t>Checks</t>
  </si>
  <si>
    <t>End of sheet</t>
  </si>
  <si>
    <t>Total</t>
  </si>
  <si>
    <t>Estimated load at system peak</t>
  </si>
  <si>
    <t>kW</t>
  </si>
  <si>
    <t>Notional asset value (network model)</t>
  </si>
  <si>
    <t>Total notional asset value</t>
  </si>
  <si>
    <t>Other operating costs</t>
  </si>
  <si>
    <t>Transmission exit charges</t>
  </si>
  <si>
    <t>Share of total notional asset value</t>
  </si>
  <si>
    <t>Other operating costs (allocated)</t>
  </si>
  <si>
    <t>MWh</t>
  </si>
  <si>
    <t>Notional asset value</t>
  </si>
  <si>
    <t>Notional asset value (service model)</t>
  </si>
  <si>
    <t>HV customers</t>
  </si>
  <si>
    <t>LV customers</t>
  </si>
  <si>
    <t>Network level assets per kW (simultaneous peak)</t>
  </si>
  <si>
    <t>Network level assets per kW (simultaneous peak) per year</t>
  </si>
  <si>
    <t>Other operating costs (excl. service models)</t>
  </si>
  <si>
    <t>Direct cost</t>
  </si>
  <si>
    <t>Indirect cost</t>
  </si>
  <si>
    <t>Network rates</t>
  </si>
  <si>
    <t>Other operating costs for allocation</t>
  </si>
  <si>
    <t>1 or 0</t>
  </si>
  <si>
    <t>Hours per day</t>
  </si>
  <si>
    <t>Unit rate 1</t>
  </si>
  <si>
    <t>Unit rate 2</t>
  </si>
  <si>
    <t>Unit rate 3</t>
  </si>
  <si>
    <t>One hundred</t>
  </si>
  <si>
    <t>One thousand</t>
  </si>
  <si>
    <t>Asset costs</t>
  </si>
  <si>
    <t>Other costs</t>
  </si>
  <si>
    <t>1, 0 or -1</t>
  </si>
  <si>
    <t>Total units</t>
  </si>
  <si>
    <t>Load coefficient</t>
  </si>
  <si>
    <t>Allocation of other costs</t>
  </si>
  <si>
    <t>All the way customers</t>
  </si>
  <si>
    <t>LDNO LV</t>
  </si>
  <si>
    <t>LDNO HV</t>
  </si>
  <si>
    <t>LDNO discounts</t>
  </si>
  <si>
    <t>LV discount</t>
  </si>
  <si>
    <t>HV discount</t>
  </si>
  <si>
    <t>Coincidence to system peak</t>
  </si>
  <si>
    <t>Diversity allowance between top and bottom network level</t>
  </si>
  <si>
    <t>Network level at which users are supplied</t>
  </si>
  <si>
    <t>Customer contributions by network level</t>
  </si>
  <si>
    <t>0 or 1</t>
  </si>
  <si>
    <t>Discounts from PCDM</t>
  </si>
  <si>
    <t>Discount mapping</t>
  </si>
  <si>
    <t>Author</t>
  </si>
  <si>
    <t>DISCLAIMER</t>
  </si>
  <si>
    <t>Key:</t>
  </si>
  <si>
    <t>Format</t>
  </si>
  <si>
    <t>Hardcoded input</t>
  </si>
  <si>
    <t>Cell intentionally blank</t>
  </si>
  <si>
    <t>Calculation</t>
  </si>
  <si>
    <t>Notes:</t>
  </si>
  <si>
    <t>LDNO LV, discounted</t>
  </si>
  <si>
    <t>Total after discounting</t>
  </si>
  <si>
    <t>Volume discounting</t>
  </si>
  <si>
    <t>kVA</t>
  </si>
  <si>
    <t>MVArh</t>
  </si>
  <si>
    <t>Adjustment for 132/HV transformation &amp; transmission exit</t>
  </si>
  <si>
    <t>Discount override</t>
  </si>
  <si>
    <t>Override discount rate applied</t>
  </si>
  <si>
    <t>Flag</t>
  </si>
  <si>
    <t>TRUE / FALSE</t>
  </si>
  <si>
    <t>Override MWh discount rate</t>
  </si>
  <si>
    <t>Override MPAN discount rate</t>
  </si>
  <si>
    <t>LDNO HV, discounted</t>
  </si>
  <si>
    <t>LDNO LV discount rate applied</t>
  </si>
  <si>
    <t>LDNO HV discount rate applied</t>
  </si>
  <si>
    <t>Override import capacity discount rate</t>
  </si>
  <si>
    <t>Override exceeded capacity discount rate</t>
  </si>
  <si>
    <t>Override reactive power units discount rate</t>
  </si>
  <si>
    <t>p/kWh</t>
  </si>
  <si>
    <t>Constrained adder solution</t>
  </si>
  <si>
    <t>Starting point</t>
  </si>
  <si>
    <t>Reordered adder threshold values for each tariff / unit rate (lowest to highest)</t>
  </si>
  <si>
    <t>Adder thresholds ranked from lowest (1) to highest (99), post tie-breaker</t>
  </si>
  <si>
    <t>Tie-breaker between equal threshold rates</t>
  </si>
  <si>
    <t>Adder thresholds ranked from lowest (1) to highest (99)</t>
  </si>
  <si>
    <t>Constraint-free adder solution</t>
  </si>
  <si>
    <t>Target CDCM net revenue</t>
  </si>
  <si>
    <t>Unit rate 3 p/kWh_HV Generation Non-Intermittent no RP charge</t>
  </si>
  <si>
    <t>Unit rate 3 p/kWh_HV Generation Non-Intermittent</t>
  </si>
  <si>
    <t>Unit rate 3 p/kWh_HV Generation Intermittent no RP charge</t>
  </si>
  <si>
    <t>Unit rate 3 p/kWh_HV Generation Intermittent</t>
  </si>
  <si>
    <t>Unit rate 3 p/kWh_LV Sub Generation Non-Intermittent no RP charge</t>
  </si>
  <si>
    <t>Unit rate 3 p/kWh_LV Sub Generation Non-Intermittent</t>
  </si>
  <si>
    <t>Unit rate 3 p/kWh_LV Sub Generation Intermittent no RP charge</t>
  </si>
  <si>
    <t>Unit rate 3 p/kWh_LV Sub Generation Intermittent</t>
  </si>
  <si>
    <t>Unit rate 3 p/kWh_LV Generation Non-Intermittent no RP charge</t>
  </si>
  <si>
    <t>Unit rate 3 p/kWh_LV Generation Non-Intermittent</t>
  </si>
  <si>
    <t>Unit rate 3 p/kWh_LV Generation Intermittent no RP charge</t>
  </si>
  <si>
    <t>Unit rate 3 p/kWh_LV Generation Intermittent</t>
  </si>
  <si>
    <t>Unit rate 3 p/kWh_LV Sub Generation NHH</t>
  </si>
  <si>
    <t>Unit rate 3 p/kWh_LV Generation NHH or Aggregate HH</t>
  </si>
  <si>
    <t>Unit rate 3 p/kWh_LV UMS (Pseudo HH Metered)</t>
  </si>
  <si>
    <t>Unit rate 3 p/kWh_NHH UMS category D</t>
  </si>
  <si>
    <t>Unit rate 3 p/kWh_NHH UMS category C</t>
  </si>
  <si>
    <t>Unit rate 3 p/kWh_NHH UMS category B</t>
  </si>
  <si>
    <t>Unit rate 3 p/kWh_NHH UMS category A</t>
  </si>
  <si>
    <t>Unit rate 3 p/kWh_HV HH Metered</t>
  </si>
  <si>
    <t>Unit rate 3 p/kWh_LV Sub HH Metered</t>
  </si>
  <si>
    <t>Unit rate 3 p/kWh_LV HH Metered</t>
  </si>
  <si>
    <t>Unit rate 3 p/kWh_LV Network Non-Domestic Non-CT</t>
  </si>
  <si>
    <t>Unit rate 3 p/kWh_LV Network Domestic</t>
  </si>
  <si>
    <t>Unit rate 3 p/kWh_HV Medium Non-Domestic</t>
  </si>
  <si>
    <t>Unit rate 3 p/kWh_LV Sub Medium Non-Domestic</t>
  </si>
  <si>
    <t>Unit rate 3 p/kWh_LV Medium Non-Domestic</t>
  </si>
  <si>
    <t>Unit rate 3 p/kWh_Small Non Domestic Off Peak (related MPAN)</t>
  </si>
  <si>
    <t>Unit rate 3 p/kWh_Small Non Domestic Two Rate</t>
  </si>
  <si>
    <t>Unit rate 3 p/kWh_Small Non Domestic Unrestricted</t>
  </si>
  <si>
    <t>Unit rate 3 p/kWh_Domestic Off Peak (related MPAN)</t>
  </si>
  <si>
    <t>Unit rate 3 p/kWh_Domestic Two Rate</t>
  </si>
  <si>
    <t>Unit rate 3 p/kWh_Domestic Unrestricted</t>
  </si>
  <si>
    <t>Unit rate 2 p/kWh_HV Generation Non-Intermittent no RP charge</t>
  </si>
  <si>
    <t>Unit rate 2 p/kWh_HV Generation Non-Intermittent</t>
  </si>
  <si>
    <t>Unit rate 2 p/kWh_HV Generation Intermittent no RP charge</t>
  </si>
  <si>
    <t>Unit rate 2 p/kWh_HV Generation Intermittent</t>
  </si>
  <si>
    <t>Unit rate 2 p/kWh_LV Sub Generation Non-Intermittent no RP charge</t>
  </si>
  <si>
    <t>Unit rate 2 p/kWh_LV Sub Generation Non-Intermittent</t>
  </si>
  <si>
    <t>Unit rate 2 p/kWh_LV Sub Generation Intermittent no RP charge</t>
  </si>
  <si>
    <t>Unit rate 2 p/kWh_LV Sub Generation Intermittent</t>
  </si>
  <si>
    <t>Unit rate 2 p/kWh_LV Generation Non-Intermittent no RP charge</t>
  </si>
  <si>
    <t>Unit rate 2 p/kWh_LV Generation Non-Intermittent</t>
  </si>
  <si>
    <t>Unit rate 2 p/kWh_LV Generation Intermittent no RP charge</t>
  </si>
  <si>
    <t>Unit rate 2 p/kWh_LV Generation Intermittent</t>
  </si>
  <si>
    <t>Unit rate 2 p/kWh_LV Sub Generation NHH</t>
  </si>
  <si>
    <t>Unit rate 2 p/kWh_LV Generation NHH or Aggregate HH</t>
  </si>
  <si>
    <t>Unit rate 2 p/kWh_LV UMS (Pseudo HH Metered)</t>
  </si>
  <si>
    <t>Unit rate 2 p/kWh_NHH UMS category D</t>
  </si>
  <si>
    <t>Unit rate 2 p/kWh_NHH UMS category C</t>
  </si>
  <si>
    <t>Unit rate 2 p/kWh_NHH UMS category B</t>
  </si>
  <si>
    <t>Unit rate 2 p/kWh_NHH UMS category A</t>
  </si>
  <si>
    <t>Unit rate 2 p/kWh_HV HH Metered</t>
  </si>
  <si>
    <t>Unit rate 2 p/kWh_LV Sub HH Metered</t>
  </si>
  <si>
    <t>Unit rate 2 p/kWh_LV HH Metered</t>
  </si>
  <si>
    <t>Unit rate 2 p/kWh_LV Network Non-Domestic Non-CT</t>
  </si>
  <si>
    <t>Unit rate 2 p/kWh_LV Network Domestic</t>
  </si>
  <si>
    <t>Unit rate 2 p/kWh_HV Medium Non-Domestic</t>
  </si>
  <si>
    <t>Unit rate 2 p/kWh_LV Sub Medium Non-Domestic</t>
  </si>
  <si>
    <t>Unit rate 2 p/kWh_LV Medium Non-Domestic</t>
  </si>
  <si>
    <t>Unit rate 2 p/kWh_Small Non Domestic Off Peak (related MPAN)</t>
  </si>
  <si>
    <t>Unit rate 2 p/kWh_Small Non Domestic Two Rate</t>
  </si>
  <si>
    <t>Unit rate 2 p/kWh_Small Non Domestic Unrestricted</t>
  </si>
  <si>
    <t>Unit rate 2 p/kWh_Domestic Off Peak (related MPAN)</t>
  </si>
  <si>
    <t>Unit rate 2 p/kWh_Domestic Two Rate</t>
  </si>
  <si>
    <t>Unit rate 2 p/kWh_Domestic Unrestricted</t>
  </si>
  <si>
    <t>Unit rate 1 p/kWh_HV Generation Non-Intermittent no RP charge</t>
  </si>
  <si>
    <t>Unit rate 1 p/kWh_HV Generation Non-Intermittent</t>
  </si>
  <si>
    <t>Unit rate 1 p/kWh_HV Generation Intermittent no RP charge</t>
  </si>
  <si>
    <t>Unit rate 1 p/kWh_HV Generation Intermittent</t>
  </si>
  <si>
    <t>Unit rate 1 p/kWh_LV Sub Generation Non-Intermittent no RP charge</t>
  </si>
  <si>
    <t>Unit rate 1 p/kWh_LV Sub Generation Non-Intermittent</t>
  </si>
  <si>
    <t>Unit rate 1 p/kWh_LV Sub Generation Intermittent no RP charge</t>
  </si>
  <si>
    <t>Unit rate 1 p/kWh_LV Sub Generation Intermittent</t>
  </si>
  <si>
    <t>Unit rate 1 p/kWh_LV Generation Non-Intermittent no RP charge</t>
  </si>
  <si>
    <t>Unit rate 1 p/kWh_LV Generation Non-Intermittent</t>
  </si>
  <si>
    <t>Unit rate 1 p/kWh_LV Generation Intermittent no RP charge</t>
  </si>
  <si>
    <t>Unit rate 1 p/kWh_LV Generation Intermittent</t>
  </si>
  <si>
    <t>Unit rate 1 p/kWh_LV Sub Generation NHH</t>
  </si>
  <si>
    <t>Unit rate 1 p/kWh_LV Generation NHH or Aggregate HH</t>
  </si>
  <si>
    <t>Unit rate 1 p/kWh_LV UMS (Pseudo HH Metered)</t>
  </si>
  <si>
    <t>Unit rate 1 p/kWh_NHH UMS category D</t>
  </si>
  <si>
    <t>Unit rate 1 p/kWh_NHH UMS category C</t>
  </si>
  <si>
    <t>Unit rate 1 p/kWh_NHH UMS category B</t>
  </si>
  <si>
    <t>Unit rate 1 p/kWh_NHH UMS category A</t>
  </si>
  <si>
    <t>Unit rate 1 p/kWh_HV HH Metered</t>
  </si>
  <si>
    <t>Unit rate 1 p/kWh_LV Sub HH Metered</t>
  </si>
  <si>
    <t>Unit rate 1 p/kWh_LV HH Metered</t>
  </si>
  <si>
    <t>Unit rate 1 p/kWh_LV Network Non-Domestic Non-CT</t>
  </si>
  <si>
    <t>Unit rate 1 p/kWh_LV Network Domestic</t>
  </si>
  <si>
    <t>Unit rate 1 p/kWh_HV Medium Non-Domestic</t>
  </si>
  <si>
    <t>Unit rate 1 p/kWh_LV Sub Medium Non-Domestic</t>
  </si>
  <si>
    <t>Unit rate 1 p/kWh_LV Medium Non-Domestic</t>
  </si>
  <si>
    <t>Unit rate 1 p/kWh_Small Non Domestic Off Peak (related MPAN)</t>
  </si>
  <si>
    <t>Unit rate 1 p/kWh_Small Non Domestic Two Rate</t>
  </si>
  <si>
    <t>Unit rate 1 p/kWh_Small Non Domestic Unrestricted</t>
  </si>
  <si>
    <t>Unit rate 1 p/kWh_Domestic Off Peak (related MPAN)</t>
  </si>
  <si>
    <t>Unit rate 1 p/kWh_Domestic Two Rate</t>
  </si>
  <si>
    <t>Unit rate 1 p/kWh_Domestic Unrestricted</t>
  </si>
  <si>
    <t>Rounding</t>
  </si>
  <si>
    <t>Loss adjustment factor to transmission for each core level</t>
  </si>
  <si>
    <t>Charging year:</t>
  </si>
  <si>
    <t>DNO name:</t>
  </si>
  <si>
    <t>Adder on Unit rate 1</t>
  </si>
  <si>
    <t>Adder on Unit rate 2</t>
  </si>
  <si>
    <t>Adder on Unit rate 3</t>
  </si>
  <si>
    <t>This section allocates operating costs based on notional asset value (£) by network level, then divides this by load on each network level at time of system peak</t>
  </si>
  <si>
    <t>Net revenue shortfall (or surplus)</t>
  </si>
  <si>
    <t>Adder value at which the non-negative demand charge constraint is breached</t>
  </si>
  <si>
    <t>Network use factors based on customer contributed assets</t>
  </si>
  <si>
    <t>Share of customer contributions by network level and asset type</t>
  </si>
  <si>
    <t>Customer contributions by network level and customer type based on mappings above</t>
  </si>
  <si>
    <t>Gross asset cost by network level</t>
  </si>
  <si>
    <t>Inputs by network level</t>
  </si>
  <si>
    <t>Loss adjustment factors to transmission</t>
  </si>
  <si>
    <t>Inputs sourced from PCDM</t>
  </si>
  <si>
    <t>Embedded network (LDNO) discount percentages</t>
  </si>
  <si>
    <t>Rate 1 units</t>
  </si>
  <si>
    <t>Rate 2 units</t>
  </si>
  <si>
    <t>Rate 3 units</t>
  </si>
  <si>
    <t>Import capacity</t>
  </si>
  <si>
    <t>Exceeded capacity</t>
  </si>
  <si>
    <t>Reactive power units</t>
  </si>
  <si>
    <t>Customer contributions under current connection charging policy</t>
  </si>
  <si>
    <t>Typical annual hours by special distribution time band</t>
  </si>
  <si>
    <t>Typical annual hours by distribution time band</t>
  </si>
  <si>
    <t>Years</t>
  </si>
  <si>
    <t>kVAr/ kVA</t>
  </si>
  <si>
    <t>hours</t>
  </si>
  <si>
    <t>This sheet sets out the inputs that should be constant across DNOs</t>
  </si>
  <si>
    <t>Ratio of coincidence to load factor</t>
  </si>
  <si>
    <t>Domestic</t>
  </si>
  <si>
    <t>Non-domestic</t>
  </si>
  <si>
    <t>Maximum</t>
  </si>
  <si>
    <t>TRUE/FALSE</t>
  </si>
  <si>
    <t>Sum</t>
  </si>
  <si>
    <t>Development stage:</t>
  </si>
  <si>
    <t>Data version:</t>
  </si>
  <si>
    <t>Model version</t>
  </si>
  <si>
    <t>Model date:</t>
  </si>
  <si>
    <t>Model date</t>
  </si>
  <si>
    <t>Development stage</t>
  </si>
  <si>
    <t>Description of changes</t>
  </si>
  <si>
    <t>Working draft</t>
  </si>
  <si>
    <t>Pseudo-load coefficients</t>
  </si>
  <si>
    <t>Service model assets</t>
  </si>
  <si>
    <t>Version log</t>
  </si>
  <si>
    <t>Model checks</t>
  </si>
  <si>
    <t>Issues identified by in-built model checks, by sheet</t>
  </si>
  <si>
    <t>Version log lists</t>
  </si>
  <si>
    <t>Development stages</t>
  </si>
  <si>
    <t>…</t>
  </si>
  <si>
    <t>Customer contributions</t>
  </si>
  <si>
    <t>Volume adjustments</t>
  </si>
  <si>
    <t>Initial unit rates</t>
  </si>
  <si>
    <t>Unit rates</t>
  </si>
  <si>
    <t>Capacity charges</t>
  </si>
  <si>
    <t>Fixed charges</t>
  </si>
  <si>
    <t>Revenue matching</t>
  </si>
  <si>
    <t>User input</t>
  </si>
  <si>
    <t>Hours per timeband</t>
  </si>
  <si>
    <t>Split of units by time pattern regime</t>
  </si>
  <si>
    <t>Unmetered supply flags</t>
  </si>
  <si>
    <t>Red or Black</t>
  </si>
  <si>
    <t>Amber or Yellow</t>
  </si>
  <si>
    <t>Flag for unmetered customers</t>
  </si>
  <si>
    <t>Calculation of maximum load</t>
  </si>
  <si>
    <t>Maximum load</t>
  </si>
  <si>
    <t>Pseudo load coefficient, unit rate 1</t>
  </si>
  <si>
    <t>Pseudo load coefficient, unit rate 2</t>
  </si>
  <si>
    <t>Pseudo load coefficient, unit rate 3</t>
  </si>
  <si>
    <t>p/kVA/day</t>
  </si>
  <si>
    <t>p/MPAN/day</t>
  </si>
  <si>
    <t>Summary of charges before revenue matching</t>
  </si>
  <si>
    <t>Fixed charge</t>
  </si>
  <si>
    <t>Capacity charge</t>
  </si>
  <si>
    <t>Exceeded capacity charge</t>
  </si>
  <si>
    <t>Reactive power charge</t>
  </si>
  <si>
    <t>p/kVArh</t>
  </si>
  <si>
    <t>Decimal places</t>
  </si>
  <si>
    <t>Decimal places for rounding</t>
  </si>
  <si>
    <t>All the way</t>
  </si>
  <si>
    <t>Equal to 0 for the network level at which generation is connected, otherwise equal to network use factor</t>
  </si>
  <si>
    <t>Standing charge factors</t>
  </si>
  <si>
    <t>Import and exceeded capacity</t>
  </si>
  <si>
    <t>Adjusted import capacities and exceeded capacity</t>
  </si>
  <si>
    <t>Network model diversity factor</t>
  </si>
  <si>
    <t>Transmission exit</t>
  </si>
  <si>
    <t>A factor of 100% implies that all costs will be allocated to standing charges.</t>
  </si>
  <si>
    <t>Inputs</t>
  </si>
  <si>
    <t xml:space="preserve">This table transposes 'Average kVAr by kVA, by network level' from DNO inputs. </t>
  </si>
  <si>
    <t>£/MWh/year</t>
  </si>
  <si>
    <t>Volumes (discounted)</t>
  </si>
  <si>
    <t>Capacity</t>
  </si>
  <si>
    <t>Adder calculation</t>
  </si>
  <si>
    <t>Reactive power charge 
p/kVArh</t>
  </si>
  <si>
    <t>Exceeded capacity charge 
p/kVA/day</t>
  </si>
  <si>
    <t>Capacity charge 
p/kVA/day</t>
  </si>
  <si>
    <t>Fixed charge 
p/MPAN/day</t>
  </si>
  <si>
    <t>Unit rate 3 
p/kWh</t>
  </si>
  <si>
    <t>Unit rate 2 
p/kWh</t>
  </si>
  <si>
    <t>Unit rate 1 
p/kWh</t>
  </si>
  <si>
    <t>Flags</t>
  </si>
  <si>
    <t>Ten</t>
  </si>
  <si>
    <t>Unit rate 1 - Adder threshold</t>
  </si>
  <si>
    <t>Unit rate 2 - Adder threshold</t>
  </si>
  <si>
    <t>Unit rate 3 - Adder threshold</t>
  </si>
  <si>
    <t>Unit rate 1 - expected units to be charged</t>
  </si>
  <si>
    <t>Unit rate 2 - expected units to be charged</t>
  </si>
  <si>
    <t>Unit rate 3 - expected units to be charged</t>
  </si>
  <si>
    <t>Expected units to be charged</t>
  </si>
  <si>
    <t>Combined - expected units to be charged</t>
  </si>
  <si>
    <t>Combined - Adder threshold</t>
  </si>
  <si>
    <t xml:space="preserve">Unit rate_customer category (arbitrary order)&gt;&gt; </t>
  </si>
  <si>
    <t>Rank&gt;&gt;</t>
  </si>
  <si>
    <t>Unscaleable net revenue</t>
  </si>
  <si>
    <t>Scaleable net revenue, for a given (threshold) adder value</t>
  </si>
  <si>
    <t>Total net revenue, for a given (threshold) adder value</t>
  </si>
  <si>
    <t>Pre-matching net revenue calculations</t>
  </si>
  <si>
    <t>Unconstrained adder solution (i.e. unit rates for demand can be negative)</t>
  </si>
  <si>
    <t>Split of units by distribution timeband</t>
  </si>
  <si>
    <t>System peak based on chargeable load</t>
  </si>
  <si>
    <t>FALSE = exclude</t>
  </si>
  <si>
    <t>Load at system peak charged to unit rates</t>
  </si>
  <si>
    <t>Load characteristics</t>
  </si>
  <si>
    <t>Load at system peak charged to standing charges</t>
  </si>
  <si>
    <t>Network model diversity factor, with calculated LV value</t>
  </si>
  <si>
    <t>Chargeable volumes are made up of three components:</t>
  </si>
  <si>
    <t>1. Load charged to unit rates</t>
  </si>
  <si>
    <t>2.  Import and exceeded capacity charged to capacity charges.</t>
  </si>
  <si>
    <t>3. Estimated maximum load (i.e. capacity) used to calculate fixed charges.</t>
  </si>
  <si>
    <t>Outputs</t>
  </si>
  <si>
    <t>Unit costs</t>
  </si>
  <si>
    <t>Exported to 'Initial unit rates'!</t>
  </si>
  <si>
    <t>Total unit rate 1</t>
  </si>
  <si>
    <t>Total unit rate 2</t>
  </si>
  <si>
    <t>Total unit rate 3</t>
  </si>
  <si>
    <t>Total exceeded capacity charge</t>
  </si>
  <si>
    <t>Total capacity charge</t>
  </si>
  <si>
    <t>Flag for applicability of reactive charges</t>
  </si>
  <si>
    <t>Reactive power charge flag</t>
  </si>
  <si>
    <t>Flags for applicability of capacity &amp; reactive charges</t>
  </si>
  <si>
    <t>Reactive power</t>
  </si>
  <si>
    <t>Flag for applicability of capacity charges and exceeded capacity charges</t>
  </si>
  <si>
    <t>Capacity charge flag</t>
  </si>
  <si>
    <t>Exceeded capacity charge flag</t>
  </si>
  <si>
    <t>Capacity charge allocated to fixed charge</t>
  </si>
  <si>
    <t>Groupings for fixed charges</t>
  </si>
  <si>
    <t>Aggregation group identified</t>
  </si>
  <si>
    <t>Import + exceeded capacity, LV circuits</t>
  </si>
  <si>
    <t>Profile class group</t>
  </si>
  <si>
    <t>Equalisation group</t>
  </si>
  <si>
    <t>1&amp;2</t>
  </si>
  <si>
    <t>3&amp;4</t>
  </si>
  <si>
    <t>LV Network Non-Domestic</t>
  </si>
  <si>
    <t>Adjustment group flags</t>
  </si>
  <si>
    <t>Groupings for equalising unit rates</t>
  </si>
  <si>
    <t>text</t>
  </si>
  <si>
    <t>Override discount</t>
  </si>
  <si>
    <t>Discount %</t>
  </si>
  <si>
    <t>Real post-tax cost of capital</t>
  </si>
  <si>
    <t>Exported to 'Output to other models'!</t>
  </si>
  <si>
    <t>Network model diversity allowances</t>
  </si>
  <si>
    <t>Network model cumulative diversity factor</t>
  </si>
  <si>
    <t>Adjusted network model cumulative diversity factor</t>
  </si>
  <si>
    <t>Adjustment for 132/HV diversity</t>
  </si>
  <si>
    <t>Inverse of hours in timeband</t>
  </si>
  <si>
    <t>Split of units by timeband for UMS group</t>
  </si>
  <si>
    <t>System peak load</t>
  </si>
  <si>
    <t>Average load</t>
  </si>
  <si>
    <t>Load and coincidence factor for UMS group</t>
  </si>
  <si>
    <t>Aggregated ratio for UMS customers</t>
  </si>
  <si>
    <t>Ratio of coincidence to load factor, adjusted for UMS customers</t>
  </si>
  <si>
    <t>Aggregated load coefficient for UMS customers</t>
  </si>
  <si>
    <t>Load coefficient, adjusted for UMS customers</t>
  </si>
  <si>
    <t>Correction factor, adjusted for UMS customers</t>
  </si>
  <si>
    <t>Adjustment to network use factors for 132/HV share</t>
  </si>
  <si>
    <t>These have been adjusted for the share of load going through 132/HV transformation</t>
  </si>
  <si>
    <t>Estimated capacity (maximum load)</t>
  </si>
  <si>
    <t>Standing charge factors are only applied for demand users.</t>
  </si>
  <si>
    <t>This sheet adjusts diversity allowances, coincidence factors and loss adjustment factors for use in the model</t>
  </si>
  <si>
    <t>This sheet then uses network use factors and loss adjustment factors to calculate user loss factors</t>
  </si>
  <si>
    <t>Network use factors (assuming generation makes no contribution at level of connection)</t>
  </si>
  <si>
    <t>Network use factors (assuming generation contributes at level of connection)</t>
  </si>
  <si>
    <t>These assume demand and generation use the network from the point of connection.</t>
  </si>
  <si>
    <t>User loss factor (assuming generation contributes at level of connection)</t>
  </si>
  <si>
    <t>User loss factor (assuming generation does not contribute at level of connection)</t>
  </si>
  <si>
    <t>This sheet calculates volumes (kWh, MPAN, import and exceeded capacity) to be used throughout the model.</t>
  </si>
  <si>
    <t>LDNO discounts calculated in the PCDM</t>
  </si>
  <si>
    <t>This section maps the LDNO discounts from the PCDM to different customer categories</t>
  </si>
  <si>
    <t>Generation LDNO customers do not receive the standard LDNO discounts, and this adjustment is made in this section</t>
  </si>
  <si>
    <t>This table overrides discount factors for certain categories of user</t>
  </si>
  <si>
    <t>UMS customers use Black &amp; Yellow timebands, other customers use Red &amp; Amber</t>
  </si>
  <si>
    <t>Unit rate 1 split of units by distribution timeband</t>
  </si>
  <si>
    <t>Unit rate 2 split of units by distribution timeband</t>
  </si>
  <si>
    <t>Unit rate 3 split of units by distribution timeband</t>
  </si>
  <si>
    <t>Total units split by distribution timeband</t>
  </si>
  <si>
    <t>This is used to calculate notional asset values used in the allocation of other operating costs in the 'Unit costs' tab.</t>
  </si>
  <si>
    <t>Discounted volumes (MWh)</t>
  </si>
  <si>
    <t>This section brings in common inputs used for the three elements of chargeable load</t>
  </si>
  <si>
    <t>This sheet calculates load at system peak based on chargeable load.</t>
  </si>
  <si>
    <t>This section calculates the system peak load based on load charged to unit rates</t>
  </si>
  <si>
    <t>This is the load charged to unit rates, before application of standing charge factors</t>
  </si>
  <si>
    <t>This is the load charged to unit rate 3, before application of standing charge factors</t>
  </si>
  <si>
    <t>This is the load charged to unit rate 2, before application of standing charge factors</t>
  </si>
  <si>
    <t>This is the load charged to unit rate 1, before application of standing charge factors</t>
  </si>
  <si>
    <t>This section calculates load subject to fixed and capacity charges</t>
  </si>
  <si>
    <t>This brings in import and exceeded capacity (in kVA), and converts it to MW</t>
  </si>
  <si>
    <t>Substitutes the calculated LV diversity factor for the LV diversity factor from the network model</t>
  </si>
  <si>
    <t>Cumulative diversity factor from the network model</t>
  </si>
  <si>
    <t>System peak load based on load charged to import &amp; exceeded capacity charges</t>
  </si>
  <si>
    <t>System peak load based on load used to determine fixed charges</t>
  </si>
  <si>
    <t>This section aggregates the system peak load charged to unit rates, capacity charges, and fixed charges</t>
  </si>
  <si>
    <t>System peak load charged to unit rates, capacity charges, and fixed charges</t>
  </si>
  <si>
    <t>2. Cost per kW for other operating costs, based on notional asset values and estimated system peak load.</t>
  </si>
  <si>
    <t>&gt;</t>
  </si>
  <si>
    <t>Calculates the annuity rate to be applied to asset costs</t>
  </si>
  <si>
    <t>Calculates other operating costs to be allocated to charges</t>
  </si>
  <si>
    <t>Calculates operating costs per kW for unit rates, based on share of notional asset values by network level.</t>
  </si>
  <si>
    <t>Costs allocated to service model users are ignored here as they form part of fixed/capacity charges</t>
  </si>
  <si>
    <t>Brings in loss adjustment factors, and calculates the coincidence factor to for GSPs</t>
  </si>
  <si>
    <t>For demand, it is the loss factor at network level which user is supplied.</t>
  </si>
  <si>
    <t>For generation, it is the loss factor at network level which user is supplied.</t>
  </si>
  <si>
    <t>Adjustments to standing charges</t>
  </si>
  <si>
    <t>Flag for overriding MWh discount rate</t>
  </si>
  <si>
    <t>Flag for overriding MPAN discount rate</t>
  </si>
  <si>
    <t>Flag for overriding import capacity discount rate</t>
  </si>
  <si>
    <t>Flag for overriding exceeded capacity discount rate</t>
  </si>
  <si>
    <t>Flag for overriding reactive power units discount rate</t>
  </si>
  <si>
    <t>This section summarises the load coefficient, and pseudo load coefficients</t>
  </si>
  <si>
    <t>Revenue</t>
  </si>
  <si>
    <t>Domestic group</t>
  </si>
  <si>
    <t>Non-domestic group</t>
  </si>
  <si>
    <t>Domestic group check</t>
  </si>
  <si>
    <t>Non-domestic group check</t>
  </si>
  <si>
    <t>Non-zero tariff check</t>
  </si>
  <si>
    <t>Summary of checks</t>
  </si>
  <si>
    <t>Check summary</t>
  </si>
  <si>
    <t>As explained in the User Guide, there is a deviation from the legal text for generation</t>
  </si>
  <si>
    <t>This section brings in inputs for calculating unit rates</t>
  </si>
  <si>
    <t>The model user guide contains additional detail on this adjustment</t>
  </si>
  <si>
    <t>This adjustment equalises the weighted average unit rates for the following groups:</t>
  </si>
  <si>
    <t xml:space="preserve">   Small Non Domestic Off Peak) = average(LV Network Non-Domestic Non-CT)</t>
  </si>
  <si>
    <t xml:space="preserve">- weighted average (Small Non Domestic Unrestricted, Small Non Domestic Two Rate, </t>
  </si>
  <si>
    <t xml:space="preserve">- weighted average (Domestic unrestricted, Domestic Two Rate, Domestic Off Peak) = </t>
  </si>
  <si>
    <t xml:space="preserve">   average(LV Network Domestic)</t>
  </si>
  <si>
    <t>This sheet calculates costs allocated to service models.</t>
  </si>
  <si>
    <t>Costs allocated to service models are attributed to either fixed charges, or to unit charges (in the case</t>
  </si>
  <si>
    <t>Brings in inputs used in allocation of costs to service models.</t>
  </si>
  <si>
    <t>LV UMS customers</t>
  </si>
  <si>
    <t>Service model asset values</t>
  </si>
  <si>
    <t>This table pulls in service model costs per customer (or per MWh for UMS)</t>
  </si>
  <si>
    <t>This section allocates other operating costs to service model customers</t>
  </si>
  <si>
    <t>Other operating expenditure per £ of notional asset value</t>
  </si>
  <si>
    <t xml:space="preserve">This sheet adjusts unit rates 1, 2 and 3 to account for costs that will be recovered through fixed </t>
  </si>
  <si>
    <t xml:space="preserve">or capacity charges instead. This is done by multiplying unit rates by (1 - [standing charge factors]). </t>
  </si>
  <si>
    <t>to one, unit charges will be zero.</t>
  </si>
  <si>
    <t xml:space="preserve">Where these factors are greater than zero, unit charges are reduced; where they are equal </t>
  </si>
  <si>
    <t>Unit rates 1, 2 and 3, are summarised at the bottom. These are scaled later in the model for revenue matching.</t>
  </si>
  <si>
    <t xml:space="preserve">Reactive charges are based on yardstick charges. For generation, yardstick charges are </t>
  </si>
  <si>
    <t>Calculation of yardstick charges for generation</t>
  </si>
  <si>
    <t>Calculation of reactive power charges</t>
  </si>
  <si>
    <t>Reactive power charges</t>
  </si>
  <si>
    <t>This flag is used to filter out customers that do not receive reactive power charges</t>
  </si>
  <si>
    <t>For demand users (other than UMS), this sheet allocates unit rates to capacity charge elements</t>
  </si>
  <si>
    <t xml:space="preserve">These flags are used to filter customers into those that receive capacity charges, exceeded </t>
  </si>
  <si>
    <t>capacity charges, and fixed charges</t>
  </si>
  <si>
    <t>Calculation of capacity charges</t>
  </si>
  <si>
    <t>Exports capacity and exceeded capacity charges</t>
  </si>
  <si>
    <t>Exports capacity element of charges that is allocated to fixed charges</t>
  </si>
  <si>
    <t>Discounted MPANs</t>
  </si>
  <si>
    <t xml:space="preserve">This table flags user categories to be summed together for the sake of setting a common fixed </t>
  </si>
  <si>
    <t>This sheet calculates fixed charges (p/MPAN/day) for non half-hourly settled demand</t>
  </si>
  <si>
    <t>The calculations transform capacity elements of the yardstick charge into a fixed charge. As</t>
  </si>
  <si>
    <t>Calculation of fixed charges</t>
  </si>
  <si>
    <t>of UMS customers).</t>
  </si>
  <si>
    <t>This sheet calculates unit costs used in the calculation of unit rates.</t>
  </si>
  <si>
    <t xml:space="preserve">This sheet adjusts unit charges for demand only, such that expected revenue to be collected </t>
  </si>
  <si>
    <t>through the CDCM matches allowed revenue determined through the company's price control.</t>
  </si>
  <si>
    <t>Brings in charges, volumes and revenues</t>
  </si>
  <si>
    <t xml:space="preserve">This section calculates the shortfall (or surplus) between the net revenue that would be expected </t>
  </si>
  <si>
    <t>if pre-matching charges are used, and the net revenue which the company is allowed to collect.</t>
  </si>
  <si>
    <t xml:space="preserve">This section calculates a "fixed adder" to unit rate charges for demand users that would equalise </t>
  </si>
  <si>
    <t xml:space="preserve">expected and allowed net revenue. This section includes a simple algorithm to account for </t>
  </si>
  <si>
    <t>the requirement that demand customers should not have negative unit rates.</t>
  </si>
  <si>
    <t xml:space="preserve">Negative unit rates are not permitted for demand customers. This table calculates the lowest value </t>
  </si>
  <si>
    <t xml:space="preserve">a fixed adder could take before this constraint binds (for each unit rate and customer category). This is </t>
  </si>
  <si>
    <t xml:space="preserve">the negative of each pre-matching charge. </t>
  </si>
  <si>
    <t xml:space="preserve">Calculates the effect on expected net revenue from the addition of a 1 p/kWh fixed adder to each unit </t>
  </si>
  <si>
    <t xml:space="preserve">rate charge for each customer category - driven by the units of energy each customer category is expected </t>
  </si>
  <si>
    <t>to use.</t>
  </si>
  <si>
    <t xml:space="preserve">Calculates the value of fixed adder that would equalise expected and allowed net revenue if it was </t>
  </si>
  <si>
    <t xml:space="preserve">unconstrained by the requirement that demand charges be non-negative. In some cases, the constraints </t>
  </si>
  <si>
    <t xml:space="preserve">will not bind, and this equal the constrained solution. </t>
  </si>
  <si>
    <t xml:space="preserve">This algorithm only affects the adder solution if pre-match net revenue exceeds target net revenue, in </t>
  </si>
  <si>
    <t xml:space="preserve">which case the unconstrained adder solution will be negative and the non-negative adder constraint may </t>
  </si>
  <si>
    <t xml:space="preserve">bind. If this is not the case the following steps can be ignored. </t>
  </si>
  <si>
    <t xml:space="preserve">Step 1 - Arrange all unit rate : customer category pre-match charges (and expected units to be charged) </t>
  </si>
  <si>
    <t xml:space="preserve">onto a single row. </t>
  </si>
  <si>
    <t xml:space="preserve">Step 2 - Rank the unit rate : customer category pre-match charges by their adder threshold values - from </t>
  </si>
  <si>
    <t xml:space="preserve">lowest to highest. </t>
  </si>
  <si>
    <t xml:space="preserve">Step 3 - Reorder adder thresholds (and their respective numbers of units to be charged) by rank. Identify </t>
  </si>
  <si>
    <t xml:space="preserve">the value at which the fixed adder would equalise expected and allowed net revenue. </t>
  </si>
  <si>
    <t>that demand charges be non-negative. The solution is selected from the last row of the table above.</t>
  </si>
  <si>
    <t xml:space="preserve">Shows the adder value that would equalise expected and allowed net revenue, subject to the constraint </t>
  </si>
  <si>
    <t xml:space="preserve">This section presents the amount by which unit charges for demand users will be raised or lowered </t>
  </si>
  <si>
    <t xml:space="preserve"> subject to the constraint that demand charges be non-negative. Adders are applied for demand users only.</t>
  </si>
  <si>
    <t>Allocates an adder to each unit rate and customer type which will equalise expected and allowed revenue,</t>
  </si>
  <si>
    <t>Adder calculated in revenue matching</t>
  </si>
  <si>
    <t>Adder to be applied to unit rates</t>
  </si>
  <si>
    <t>LDNO discounts (LV)</t>
  </si>
  <si>
    <t>LDNO discounts (HV)</t>
  </si>
  <si>
    <t>Check for error values</t>
  </si>
  <si>
    <t>Adjusts load going through 132/EHV transformation for networks also containing 132/HV transformation</t>
  </si>
  <si>
    <t>Allocation of service model costs</t>
  </si>
  <si>
    <t>Application of standing charges to unit rates</t>
  </si>
  <si>
    <t>Brings in inputs used in the application of standing charges to unit rates</t>
  </si>
  <si>
    <t>Bring in inputs required to calculate reactive power charges</t>
  </si>
  <si>
    <t>Reactive charge</t>
  </si>
  <si>
    <t>Proportion of EHV/HV load going through 132kV/HV direct transformation</t>
  </si>
  <si>
    <t>Red / Black</t>
  </si>
  <si>
    <t>Amber / Yellow</t>
  </si>
  <si>
    <t>Brings in standing charge factors and adjusts them for share of load going through 132/HV</t>
  </si>
  <si>
    <t>Brings in diversity allowances to calculate coincidence and cumulative diversity factors. Also adjusts loss adjustment factors.</t>
  </si>
  <si>
    <t>Maps customer contributions to customer categories</t>
  </si>
  <si>
    <t>integer</t>
  </si>
  <si>
    <t>scalar</t>
  </si>
  <si>
    <t>Fixed inputs</t>
  </si>
  <si>
    <t>List of named ranges</t>
  </si>
  <si>
    <t>Model map</t>
  </si>
  <si>
    <t>Standing Charge Factors</t>
  </si>
  <si>
    <t>Load &amp; loss characteristics</t>
  </si>
  <si>
    <t>System peak demand</t>
  </si>
  <si>
    <t>Service model charges</t>
  </si>
  <si>
    <t>Unit rate charges</t>
  </si>
  <si>
    <t>Tariff summary</t>
  </si>
  <si>
    <t>UMS customers are under special time band regime (Black &amp; Yellow)</t>
  </si>
  <si>
    <t>All other customers are under normal time band regime (Red &amp; Amber)</t>
  </si>
  <si>
    <t>Inflation adjustment</t>
  </si>
  <si>
    <t>This sheet sets out the other inputs to be filled in by DNOs</t>
  </si>
  <si>
    <t>Hours in charging year</t>
  </si>
  <si>
    <t>Normal distribution timebands</t>
  </si>
  <si>
    <t>Special distribution timebands</t>
  </si>
  <si>
    <t>Check for split of units by timeband</t>
  </si>
  <si>
    <t>LDNO discount map</t>
  </si>
  <si>
    <t>Network use factors (assuming generation contributes at level of connection) scaled for 132/HV</t>
  </si>
  <si>
    <t>Network use factors (assuming generation makes no contribution at level of connection), scaled for 132/HV</t>
  </si>
  <si>
    <t>Override to use flat annual load</t>
  </si>
  <si>
    <t>Flag to use flat annual load</t>
  </si>
  <si>
    <t>These are used to identify customers where a flat annual load should be assumed</t>
  </si>
  <si>
    <t>Override to use flat annual load (unit rate 1 only)</t>
  </si>
  <si>
    <t>Inputs by customer type</t>
  </si>
  <si>
    <t>Estimated capacity, LV circuits, excluding related MPANs</t>
  </si>
  <si>
    <t>Flag for customers included in aggregate maximum demand</t>
  </si>
  <si>
    <t>LV peak load</t>
  </si>
  <si>
    <t>Calculated LV diversity factor</t>
  </si>
  <si>
    <t>Aggregate maximum load, LV circuits</t>
  </si>
  <si>
    <t>Click here to return to model map</t>
  </si>
  <si>
    <t>Commentary</t>
  </si>
  <si>
    <t>CDCM timebands</t>
  </si>
  <si>
    <t>Distribution time bands</t>
  </si>
  <si>
    <t>Weekdays (including bank holidays)</t>
  </si>
  <si>
    <t>Weekends</t>
  </si>
  <si>
    <t>Special distribution time bands</t>
  </si>
  <si>
    <t>Weekdays (including bank holidays) Nov to Feb</t>
  </si>
  <si>
    <t>Weekdays (including bank holidays) Mar to Oct</t>
  </si>
  <si>
    <t>Charges for year Y are set in year Y-2 using average load characteristics from the three previous years (i.e. Y-3 to Y-5).</t>
  </si>
  <si>
    <t xml:space="preserve">This sheet is for information only, and is not linked to following worksheets. </t>
  </si>
  <si>
    <t>Years to which input data relate</t>
  </si>
  <si>
    <t>Average</t>
  </si>
  <si>
    <t>Charges for year Y are set in year Y-2 using average peaking probabilities from the three previous years (i.e. Y-3 to Y-5).</t>
  </si>
  <si>
    <t>User interface</t>
  </si>
  <si>
    <t>Historic / current / forecast</t>
  </si>
  <si>
    <t>Year selection</t>
  </si>
  <si>
    <t>Year -3</t>
  </si>
  <si>
    <t>Historic</t>
  </si>
  <si>
    <t>Year -2</t>
  </si>
  <si>
    <t>Year -1</t>
  </si>
  <si>
    <t>Current</t>
  </si>
  <si>
    <t>Year +1</t>
  </si>
  <si>
    <t>Forecast</t>
  </si>
  <si>
    <t>Year +2</t>
  </si>
  <si>
    <t>Year +3</t>
  </si>
  <si>
    <t>Year +4</t>
  </si>
  <si>
    <t>Year selection (index)</t>
  </si>
  <si>
    <t>LDNO LV customers</t>
  </si>
  <si>
    <t>LDNO HV customers</t>
  </si>
  <si>
    <t>Charging year selected</t>
  </si>
  <si>
    <t>year</t>
  </si>
  <si>
    <t>Typical bills</t>
  </si>
  <si>
    <t>Typical bills for all the way customers</t>
  </si>
  <si>
    <t>Typical bills for LDNO LV customers</t>
  </si>
  <si>
    <t>Typical bills for LDNO HV customers</t>
  </si>
  <si>
    <t>This sheet presents typical bills for 'all the way' customers and LDNO LV/HV customers</t>
  </si>
  <si>
    <t>Bills are calculated for the 'live' charging year and updated for each year of the ARP forecast using a macro.</t>
  </si>
  <si>
    <t>List of years</t>
  </si>
  <si>
    <t>Red peaking probabilities, by network level</t>
  </si>
  <si>
    <t>Amber peaking probabilities, by network level</t>
  </si>
  <si>
    <t>Green peaking probabilities, by network level</t>
  </si>
  <si>
    <t>Black peaking probabilities, by network level</t>
  </si>
  <si>
    <t>Year 1</t>
  </si>
  <si>
    <t>Year 2</t>
  </si>
  <si>
    <t>Year 3</t>
  </si>
  <si>
    <t>Peaking probabilities, by distribution timeband</t>
  </si>
  <si>
    <t>Red period</t>
  </si>
  <si>
    <t>Amber period</t>
  </si>
  <si>
    <t>Green period</t>
  </si>
  <si>
    <t>Black period</t>
  </si>
  <si>
    <t>Applies LDNO discounts and aggregates with volumes from all the way customers</t>
  </si>
  <si>
    <t>Total discounted MWh</t>
  </si>
  <si>
    <t>days</t>
  </si>
  <si>
    <t>£ per year</t>
  </si>
  <si>
    <t>hours per year</t>
  </si>
  <si>
    <t>kVAr/kVA</t>
  </si>
  <si>
    <t>To run the macro, click the "Run all years" box on the User Control sheet</t>
  </si>
  <si>
    <t>£ per MPAN</t>
  </si>
  <si>
    <t>pence per day</t>
  </si>
  <si>
    <t>customers are subject to a different timebanding</t>
  </si>
  <si>
    <t xml:space="preserve">Standing charge factors are used to split network costs between those to be recovered through unit rate charges </t>
  </si>
  <si>
    <t xml:space="preserve">and those to be recovered through standing (capacity or fixed) charges, depending on the customer class and </t>
  </si>
  <si>
    <t>the network level at which costs occur.</t>
  </si>
  <si>
    <t>This sheet calculates yardstick charges and unit rates 1, 2 and 3 (before application of standing charge factors).</t>
  </si>
  <si>
    <t>Raw inputs for standing charge factors, by network level</t>
  </si>
  <si>
    <t>Standing charges factors adapted to use 132kV/HV, by network level</t>
  </si>
  <si>
    <t>User loss factor</t>
  </si>
  <si>
    <t>Network loss factor</t>
  </si>
  <si>
    <t>Customer contributions, by network level of supply</t>
  </si>
  <si>
    <t>Customer contributions, by network level</t>
  </si>
  <si>
    <t>1 / hours</t>
  </si>
  <si>
    <t>System peak load, based on unit rate 1 MWh</t>
  </si>
  <si>
    <t>System peak load, based on unit rate 2 MWh</t>
  </si>
  <si>
    <t>System peak load, based on unit rate 3 MWh</t>
  </si>
  <si>
    <t>This is the load charged to unit rates (adjusted for standing charge factors)</t>
  </si>
  <si>
    <t>Loss adjustment factors,  by network level</t>
  </si>
  <si>
    <t xml:space="preserve">See Schedule 16, para 125. This has been interpreted to mean that MPANs are fully discounted, </t>
  </si>
  <si>
    <t>and everything else is not</t>
  </si>
  <si>
    <t>Network level assets per kW per year</t>
  </si>
  <si>
    <t>Other operating costs (excl. service models) per kW per year</t>
  </si>
  <si>
    <t>0 = charges not applicable to customer type</t>
  </si>
  <si>
    <t>For fixed charges, 1 = capacity element is allocated to fixed charges</t>
  </si>
  <si>
    <t>Identifier</t>
  </si>
  <si>
    <t>Calculates reactive power charges for demand and generation</t>
  </si>
  <si>
    <t xml:space="preserve">elements calculated here are further transformed into fixed charges on a separate sheet. </t>
  </si>
  <si>
    <t xml:space="preserve">to equalise expected and allowed revenue, subject to the constraint that demand charges are non-negative. </t>
  </si>
  <si>
    <t>Expected revenue, by tariff (pre-rounding)</t>
  </si>
  <si>
    <t>Total expected revenue, post scaling (pre-rounding)</t>
  </si>
  <si>
    <t>Total revenue check</t>
  </si>
  <si>
    <t>Summary of error checks</t>
  </si>
  <si>
    <t>Check that UMS flags apply only to UMS</t>
  </si>
  <si>
    <t>Decimals of precision for error checks</t>
  </si>
  <si>
    <t>Proportion of load going through 132kV/HV direct transformation</t>
  </si>
  <si>
    <t>Check that costs are not allocated to both capacity and fixed charges</t>
  </si>
  <si>
    <t>Flags used in calculation of LV diversity allowance</t>
  </si>
  <si>
    <t>Loss adjustment factor to transmission for each DRM level</t>
  </si>
  <si>
    <t>Check for DRM assets with zero load (and vice versa)</t>
  </si>
  <si>
    <t>Adjustment for transmission exit level</t>
  </si>
  <si>
    <t xml:space="preserve">Recalculates yardstick charge for generation assuming a full contribution at the network level in which they are </t>
  </si>
  <si>
    <t>connected, and all levels above that</t>
  </si>
  <si>
    <t>Check that discount overrides are either FALSE, or non-zero</t>
  </si>
  <si>
    <t>MWh override</t>
  </si>
  <si>
    <t>MPAN override</t>
  </si>
  <si>
    <t>Import capacity override</t>
  </si>
  <si>
    <t>Exceeded capacity override</t>
  </si>
  <si>
    <t>Reactive power override</t>
  </si>
  <si>
    <t>Profile class 1 and 2 split of units by timeband</t>
  </si>
  <si>
    <t>Profile class 3 and 4 split of units by timeband</t>
  </si>
  <si>
    <t>General inputs</t>
  </si>
  <si>
    <t>Net revenue summary</t>
  </si>
  <si>
    <t>Value</t>
  </si>
  <si>
    <t>Model output</t>
  </si>
  <si>
    <t>Value from another worksheet</t>
  </si>
  <si>
    <t>Value used on another worksheet</t>
  </si>
  <si>
    <t>Issue identified in a check</t>
  </si>
  <si>
    <t>Text</t>
  </si>
  <si>
    <t>Label</t>
  </si>
  <si>
    <t>Annotation</t>
  </si>
  <si>
    <t>Column heading</t>
  </si>
  <si>
    <t>Level 1 heading</t>
  </si>
  <si>
    <t>Level 2 heading</t>
  </si>
  <si>
    <t>Level 3 and 4 heading</t>
  </si>
  <si>
    <t>Sheet tab colour</t>
  </si>
  <si>
    <t>Information sheet</t>
  </si>
  <si>
    <t>Input sheet</t>
  </si>
  <si>
    <t>Calculation sheet</t>
  </si>
  <si>
    <t>Output sheet</t>
  </si>
  <si>
    <t>CEPA-TNEI</t>
  </si>
  <si>
    <t>time of day</t>
  </si>
  <si>
    <t>Macro to run all years</t>
  </si>
  <si>
    <t>Lists</t>
  </si>
  <si>
    <t xml:space="preserve">Maps customer types to LDNO discount categories and calculates the appropriate discount to be applied to </t>
  </si>
  <si>
    <t>each customer</t>
  </si>
  <si>
    <t xml:space="preserve">This sheet first calculates the discounts to be applied to LDNO volumes, then combines these with volumes for </t>
  </si>
  <si>
    <t>all the way customers.</t>
  </si>
  <si>
    <t xml:space="preserve">This sheet calculates the pseudo load coefficients used in the calculation of unit rates and system simultaneous </t>
  </si>
  <si>
    <t>Hours in black timeband</t>
  </si>
  <si>
    <t>GSPs peaking probabilities</t>
  </si>
  <si>
    <t>132kV peaking probabilities</t>
  </si>
  <si>
    <t>132kV/EHV peaking probabilities</t>
  </si>
  <si>
    <t>EHV peaking probabilities</t>
  </si>
  <si>
    <t>EHV/HV peaking probabilities</t>
  </si>
  <si>
    <t>132kV/HV peaking probabilities</t>
  </si>
  <si>
    <t>HV peaking probabilities</t>
  </si>
  <si>
    <t>HV/LV peaking probabilities</t>
  </si>
  <si>
    <t>LV circuits peaking probabilities</t>
  </si>
  <si>
    <t>number of issues</t>
  </si>
  <si>
    <t>Exported to 'Service model charges'!</t>
  </si>
  <si>
    <t>Total MPANs by aggregation group</t>
  </si>
  <si>
    <t>Net revenue before matching</t>
  </si>
  <si>
    <t>Correction factor, for UMS customers</t>
  </si>
  <si>
    <t>Correction factor</t>
  </si>
  <si>
    <t>[enter DNO comments, if any]</t>
  </si>
  <si>
    <t>Inputs for manually running selected year</t>
  </si>
  <si>
    <t>Cover</t>
  </si>
  <si>
    <t>ARP_User control</t>
  </si>
  <si>
    <t>The following table provides links to all the sheets within this model and the main sections within them.</t>
  </si>
  <si>
    <t>Sheet</t>
  </si>
  <si>
    <t>Section</t>
  </si>
  <si>
    <t/>
  </si>
  <si>
    <t>Version control</t>
  </si>
  <si>
    <t>Named ranges</t>
  </si>
  <si>
    <t>ARP_DNO commentary</t>
  </si>
  <si>
    <t>ARP_CDCM timebands</t>
  </si>
  <si>
    <t>ARP_Load characteristics</t>
  </si>
  <si>
    <t>ARP_Peaking probabilities</t>
  </si>
  <si>
    <t>ARP_Inputs by customer type</t>
  </si>
  <si>
    <t>ARP_Inputs by network level</t>
  </si>
  <si>
    <t>ARP_General inputs</t>
  </si>
  <si>
    <t>Pre-matching net revenue</t>
  </si>
  <si>
    <t>Net revenue from adder</t>
  </si>
  <si>
    <t>Net revenue from rounding</t>
  </si>
  <si>
    <t>Deviation from target revenue</t>
  </si>
  <si>
    <t>Total net revenue</t>
  </si>
  <si>
    <t>Net revenue after matching (pre-rounding)</t>
  </si>
  <si>
    <t>Net revenue before matching and rounding</t>
  </si>
  <si>
    <t>This step sums system peak load by network level in kW, which is an input to the EDCM model</t>
  </si>
  <si>
    <t>Discounted volumes</t>
  </si>
  <si>
    <t>Real pre-tax cost of capital</t>
  </si>
  <si>
    <t>Final Collected Revenue Forecast</t>
  </si>
  <si>
    <t>Overall % change to Use of System Charges effective 1st April of Regulatory Year to balance</t>
  </si>
  <si>
    <t>Forecast overall percentage change to Allowed Revenue</t>
  </si>
  <si>
    <t>Forecast Over / (Under) Recovery</t>
  </si>
  <si>
    <t>CDCM Revenue Used in Charging Model</t>
  </si>
  <si>
    <t>"CDCM Revenue used in Charging Model" is the only row used as an input to the model itself</t>
  </si>
  <si>
    <t>Peaking probabilities check - 132kV/HV</t>
  </si>
  <si>
    <t>Peaking probabilities check - General</t>
  </si>
  <si>
    <t>Red, Amber &amp; Green peaking probabilities must sum to 100%, except for unused network levels, which should sum to 0%</t>
  </si>
  <si>
    <t>0% peaking probabilities are permitted for 132kV, 132kV/EHV &amp; 132kV/HV network levels, which do not exist for all DNOs</t>
  </si>
  <si>
    <t>Volumes</t>
  </si>
  <si>
    <t>Discounted annual load</t>
  </si>
  <si>
    <t>Presents service model costs per customer for metered customers and per MWh for unmetered customers</t>
  </si>
  <si>
    <t>Service model costs per MPAN / unit</t>
  </si>
  <si>
    <t>Service model notional asset value</t>
  </si>
  <si>
    <t>Total LV customers</t>
  </si>
  <si>
    <t>Total HV customers</t>
  </si>
  <si>
    <t>Sums across customer categories to give total service model notional asset value</t>
  </si>
  <si>
    <t>Converts cost per customer / MWh to £s of notional asset value</t>
  </si>
  <si>
    <t>This sheet calculates the notional asset value of the typical service models used by HV and LV customers</t>
  </si>
  <si>
    <t>Service model and network model notional asset values are combined on the 'Unit costs' sheet</t>
  </si>
  <si>
    <t>Service model costs should be entered per customer or per MWh for unmetered customers</t>
  </si>
  <si>
    <t>LV customer service model asset values</t>
  </si>
  <si>
    <t>HV customer service model asset values</t>
  </si>
  <si>
    <t>LV UMS customer service model asset values</t>
  </si>
  <si>
    <t>Mathematical simplifications have been used to avoid errors when estimated volumes are zero</t>
  </si>
  <si>
    <t>Aggregated pseudo load coefficient by network level, pre-normalisation</t>
  </si>
  <si>
    <t>Profile class 1 and 2</t>
  </si>
  <si>
    <t>Profile class 3 and 4</t>
  </si>
  <si>
    <t>Correction factor for profile classes 1&amp;2</t>
  </si>
  <si>
    <t>Correction factor for profile classes 3&amp;4</t>
  </si>
  <si>
    <t>Profile class</t>
  </si>
  <si>
    <t>Combined split of units by timeband by profile class</t>
  </si>
  <si>
    <t>Aggregated half hourly tariff pseudo load coefficient, using average non half hourly unit mix</t>
  </si>
  <si>
    <t>Peak load based on average pseudo load coefficient</t>
  </si>
  <si>
    <t>Cumulative units, aggregating across tariff / unit rates from lowest to highest adder threshold.</t>
  </si>
  <si>
    <t>Exact constrained adder value at which expected net revenue = allowed net revenue</t>
  </si>
  <si>
    <t xml:space="preserve">Check that adder constraint is compatible with revenue matching </t>
  </si>
  <si>
    <t>User control sheet</t>
  </si>
  <si>
    <t>This sheet calculates a summary of net revenue and other non-tariff outputs included for users' information</t>
  </si>
  <si>
    <t>Check that loss adjustment factor = 1 at grid supply point</t>
  </si>
  <si>
    <t>DCUSA text version:</t>
  </si>
  <si>
    <t>This sheet contains links to each sheet of the model and the main sections within them.</t>
  </si>
  <si>
    <t>It also contains links to more granular sections within the sheets for inputs, calculations and outputs.</t>
  </si>
  <si>
    <t>The following table provides links to each input, calculation and output section. Each has a unique identifier for ease of reference.</t>
  </si>
  <si>
    <t>Index of inputs, calculation sections and outputs</t>
  </si>
  <si>
    <t>Index of sheets and main sections</t>
  </si>
  <si>
    <t>Sets out the groups that are aggregated when calculating fixed charges. Each group is given an identifier.</t>
  </si>
  <si>
    <t>Input 501</t>
  </si>
  <si>
    <t>Input 502</t>
  </si>
  <si>
    <t>Input 503</t>
  </si>
  <si>
    <t>Output 502</t>
  </si>
  <si>
    <t>© All rights reserved by Cambridge Economic Policy Associates Ltd (CEPA) and TNEI Services Ltd</t>
  </si>
  <si>
    <t>Capacity charges (and elements allocated to fixed charges)</t>
  </si>
  <si>
    <t>Inputs to capacity charge calculations</t>
  </si>
  <si>
    <t>Network level assets per kW of system simultaneous peak load per year</t>
  </si>
  <si>
    <t>Other operating costs (excl. service models) per kW of system simultaneous peak load per year</t>
  </si>
  <si>
    <t>Inputs to reactive power charge calculations</t>
  </si>
  <si>
    <t>Inputs to fixed charge calculations</t>
  </si>
  <si>
    <t>Inputs to unit rate charge calculations</t>
  </si>
  <si>
    <t>Operating expenditure for customer assets</t>
  </si>
  <si>
    <t>Inputs to service model charge calculation</t>
  </si>
  <si>
    <t>Inputs for yardstick and unit rate calculations</t>
  </si>
  <si>
    <t>Calculation of yardstick &amp; unit rate charges</t>
  </si>
  <si>
    <t>Common inputs for chargeable load calculations</t>
  </si>
  <si>
    <t>System peak load, all unit rates, total</t>
  </si>
  <si>
    <t>System peak load, all unit rates, by customer category</t>
  </si>
  <si>
    <t>Adjustment for domestic and non-domestic charge equalisation</t>
  </si>
  <si>
    <t>Service model notional asset values</t>
  </si>
  <si>
    <t>Calculates user loss factors and makes adjustments for share of load going through 132kV/HV</t>
  </si>
  <si>
    <t>User loss factor adjustments</t>
  </si>
  <si>
    <t>Load and loss characteristics</t>
  </si>
  <si>
    <t>Check for split of units by timeband:</t>
  </si>
  <si>
    <t>DCUSA text version</t>
  </si>
  <si>
    <t>DCUSA text schedule</t>
  </si>
  <si>
    <t>DCUSA text schedule:</t>
  </si>
  <si>
    <t>ARP model</t>
  </si>
  <si>
    <t>-</t>
  </si>
  <si>
    <t>Interim release</t>
  </si>
  <si>
    <t>Network use factors and user loss factors are also adjusted for the share of load going through 132/HV transformation</t>
  </si>
  <si>
    <t>2019-20 pre-release plus Expert Panel clarifications</t>
  </si>
  <si>
    <t>£/MPAN</t>
  </si>
  <si>
    <t>Inputs to net revenue summary calculation</t>
  </si>
  <si>
    <t>1. Cost per kW for incremental assets in the 500MW model.</t>
  </si>
  <si>
    <t>This sheet contains the user interface for the ARP, which is used to select the "live" year used for input data.</t>
  </si>
  <si>
    <t>It houses the Macro Button which should be pressed to update results for all years of the forecast period.</t>
  </si>
  <si>
    <t>Users can select which year of input data is pulled into the model using the yellow cell.</t>
  </si>
  <si>
    <t>Users should press the "Run all years" macro button to update multi-year results on the 'Tariff summary' and 'Typical bills' sheets.</t>
  </si>
  <si>
    <t>This sheet sets out inputs by customer type and by year.</t>
  </si>
  <si>
    <t>DNOs should populate the inputs for the charging year and the four following years.</t>
  </si>
  <si>
    <t>This sheet sets out inputs by network level and by year.</t>
  </si>
  <si>
    <t>This sheet sets out general inputs by year.</t>
  </si>
  <si>
    <t>Paragraph 52</t>
  </si>
  <si>
    <t>Paragraph 47</t>
  </si>
  <si>
    <t>Paragraph 53</t>
  </si>
  <si>
    <t>Paragraph 54 and Schedule 15 Table 1</t>
  </si>
  <si>
    <t>The contents of this table are defined in Paragraph 1.5 of Schedule 15 (Table 1)</t>
  </si>
  <si>
    <t>Paragraph 57</t>
  </si>
  <si>
    <t>Paragraph 38</t>
  </si>
  <si>
    <t>Paragraph 39</t>
  </si>
  <si>
    <t>Paragraph 14</t>
  </si>
  <si>
    <t>Number of decimal places each final charge should be rounded to, specified in Paragraph 14.</t>
  </si>
  <si>
    <t>Paragraph 20</t>
  </si>
  <si>
    <t>Paragraph 30</t>
  </si>
  <si>
    <t>Paragraph 74</t>
  </si>
  <si>
    <t>Paragraph 99</t>
  </si>
  <si>
    <t>Sets out the groups that are equalised for unit rates, as set out in Paragraph 72A.</t>
  </si>
  <si>
    <t>Paragraph 36</t>
  </si>
  <si>
    <t>This sheet contains standing charge factors, as described in DCUSA Schedule 16, Paragraphs 74-76.</t>
  </si>
  <si>
    <t>Standing charge factors as specified in Paragraph 74</t>
  </si>
  <si>
    <t>Adjustments as described in Paragraph 75 and 76</t>
  </si>
  <si>
    <t>Paragraph 76</t>
  </si>
  <si>
    <t>Paragraph 75</t>
  </si>
  <si>
    <t>Paragraph 70 (a)</t>
  </si>
  <si>
    <t>Paragraph 29</t>
  </si>
  <si>
    <t>Paragraph 97</t>
  </si>
  <si>
    <t>Paragraph 145</t>
  </si>
  <si>
    <t>Paragraph 40</t>
  </si>
  <si>
    <t>Calculates adjustments to the pseudo load coefficient required by Paragraph 72A</t>
  </si>
  <si>
    <t>Paragraph 72A</t>
  </si>
  <si>
    <t>Final correction factors for Paragraph 72A adjustment</t>
  </si>
  <si>
    <t>As part of this, it also calculates the LV diversity factor in line with Paragraph 80</t>
  </si>
  <si>
    <t>Recalculates LV diversity factor in line with Paragraph 80. See the User Guide for additional detail.</t>
  </si>
  <si>
    <t>Paragraph 80</t>
  </si>
  <si>
    <t>This sheet covers areas in Schedule 16 from Paragraph 57 to 66.</t>
  </si>
  <si>
    <t>Paragraph 60</t>
  </si>
  <si>
    <t>Paragraph 59</t>
  </si>
  <si>
    <t>Paragraph 63</t>
  </si>
  <si>
    <t>Paragraph 65</t>
  </si>
  <si>
    <t>Paragraph 66</t>
  </si>
  <si>
    <t>Paragraph 67</t>
  </si>
  <si>
    <t>Calculates yardstick charges using formulae in Paragraphs 68 &amp; 71, except using the load coefficient</t>
  </si>
  <si>
    <t>Paragraphs 68 &amp; 71</t>
  </si>
  <si>
    <t>Calculates unit rate 2 value using formulae in Paragraph 68 &amp; 71</t>
  </si>
  <si>
    <t>Calculates unit rate 3 value using formulae in Paragraph 68 &amp; 71</t>
  </si>
  <si>
    <t>This section checks that the adjustments applied to the pseudo load coefficient achieve the intention of Paragraph 72A</t>
  </si>
  <si>
    <t>Paragraph 86</t>
  </si>
  <si>
    <t>Paragraph 77</t>
  </si>
  <si>
    <t>Paragraphs 141 &amp; 146</t>
  </si>
  <si>
    <t>Paragraphs 87 (a)</t>
  </si>
  <si>
    <t>Average kVAr by kVA at transmission exit is assumed equal to kVAr by kVA at the GSP, as per Paragraph 51</t>
  </si>
  <si>
    <t>Paragraph 51</t>
  </si>
  <si>
    <t xml:space="preserve">(p/kVA/day) in line with Paragraph 78. </t>
  </si>
  <si>
    <t>Paragraph 81.</t>
  </si>
  <si>
    <t>Uses re-calculated LV circuit value in line with Paragraph 80</t>
  </si>
  <si>
    <t>Calculates capacity element of charges in line with Paragraph 78</t>
  </si>
  <si>
    <t>Paragraph 73 and 78</t>
  </si>
  <si>
    <t>Paragraph 73, 78</t>
  </si>
  <si>
    <t>Paragraph 81</t>
  </si>
  <si>
    <t>charge, as identified in Schedule 16, Paragraph 83.</t>
  </si>
  <si>
    <t>This is done by applying an algorithm that complies with Paragraphs 89-95.</t>
  </si>
  <si>
    <t>Paragraph 92</t>
  </si>
  <si>
    <t>Paragraph 93</t>
  </si>
  <si>
    <t>Paragraph 94</t>
  </si>
  <si>
    <t>This sheet rounds charges to the number of decimal places specified in Paragraph 14.</t>
  </si>
  <si>
    <t>This sheet contains the DNO's commentary on its forecast of CDCM input data for the four years following the charging year, as required by DCUSA Schedule 20, Paragraph 2.1 (e).</t>
  </si>
  <si>
    <t>This sheet presents historic data used to calculate average values for load characteristics, as required by DCUSA Schedule 20, Paragraph 2.1 (g).</t>
  </si>
  <si>
    <t>Paragraph 42 (a)</t>
  </si>
  <si>
    <t>Paragraphs 42 (c) &amp; 45</t>
  </si>
  <si>
    <t>Paragraph 42 (b)</t>
  </si>
  <si>
    <t>Paragraph 70 (c.iv)</t>
  </si>
  <si>
    <t>Paragraph 70 (c.ii)</t>
  </si>
  <si>
    <t>Paragraph 70 (c.iii)</t>
  </si>
  <si>
    <t>Paragraph 61 (b)</t>
  </si>
  <si>
    <t>Paragraph 61 (a)</t>
  </si>
  <si>
    <t xml:space="preserve">Paragraph 61 (c) </t>
  </si>
  <si>
    <t>Schedule 20, Paragraph 2.1 (b)</t>
  </si>
  <si>
    <t>Checks are not run for historic years, for which DNOs are not obliged to enter inputs.</t>
  </si>
  <si>
    <t>Total service model notional asset value</t>
  </si>
  <si>
    <t>Step 1: Ratio of coincidence to load factor assuming units evenly spread within time bands, and peak falls in Red period</t>
  </si>
  <si>
    <t>This sheet calculates reactive power charges (p/kVArh) in line with Paragraph 87-88.</t>
  </si>
  <si>
    <t>re-calculated to account for a contribution at the network level they are connected (para 88).</t>
  </si>
  <si>
    <t>The pseudo load coefficient is specified by customer category, network level and unit rate.</t>
  </si>
  <si>
    <t>The calculations in this sheet follow the steps set out in Paragraph 70.</t>
  </si>
  <si>
    <t>UMS customers are treated slightly differently, as the values calculated up to step 2 are aggregated values.</t>
  </si>
  <si>
    <t>peak demand.</t>
  </si>
  <si>
    <t>This section first calculates the split of MWh by unit rate and distribution timeband for all customers.</t>
  </si>
  <si>
    <t>Aggregated splits of MWh are then calculated for UMS customers.</t>
  </si>
  <si>
    <t>The last part of this section then calculates the ratio of coincidence to load factor based on a simplified load profile.</t>
  </si>
  <si>
    <t>These are used to flag UMS tariff forecast in the pseudo load coefficient calculations, because UMS</t>
  </si>
  <si>
    <t>Unadjusted correction factor for domestic tariff forecast</t>
  </si>
  <si>
    <t>Correction factor for non half hourly tariff forecast</t>
  </si>
  <si>
    <t>Adjusted correction factor for HH tariff forecast</t>
  </si>
  <si>
    <t>Discounted volumes, assuming LV network tariff forecast have same unit split by timeband as equivalent NHH metered tariff forecast</t>
  </si>
  <si>
    <t>Discounted volumes, with LV network tariff forecast adjustment</t>
  </si>
  <si>
    <t>recover capacity-related costs through a fixed charge (p/MPAN/day). For these tariff forecast, the</t>
  </si>
  <si>
    <t xml:space="preserve">Exceeded capacity charges (p/kVA/day) are calculated for half-hourly settled tariff forecast in accordance with </t>
  </si>
  <si>
    <t>These include 'all the way' tariff forecast and LDNO tariff forecast.</t>
  </si>
  <si>
    <t>Pulls in tariff forecast, adder and inputs for the number of decimal places</t>
  </si>
  <si>
    <t>Pre-match, pre-rounding tariff forecast</t>
  </si>
  <si>
    <t>Rounding of tariff forecast</t>
  </si>
  <si>
    <t>Calculates rounded tariff forecast</t>
  </si>
  <si>
    <t>All the way tariff forecast, pre-rounding</t>
  </si>
  <si>
    <t>All the way tariff forecast, post-rounding</t>
  </si>
  <si>
    <t>LDNO LV tariff forecast, post-rounding</t>
  </si>
  <si>
    <t>LDNO HV tariff forecast, post-rounding</t>
  </si>
  <si>
    <t>All the way tariff forecast</t>
  </si>
  <si>
    <t>LDNO LV tariff forecast</t>
  </si>
  <si>
    <t>LDNO HV tariff forecast</t>
  </si>
  <si>
    <t>This sheet presents tariff forecast for 'all the way' customers and LDNO LV/HV customers</t>
  </si>
  <si>
    <t>The tariff forecast are calculated for the 'live' charging year and updated for each year of the ARP forecast using a macro.</t>
  </si>
  <si>
    <t>UMS customers are under the special time band regime (Black &amp; Yellow).</t>
  </si>
  <si>
    <t>All other customers are under the normal time band regime (Red &amp; Amber).</t>
  </si>
  <si>
    <t xml:space="preserve">DNOs can also populate the three years preceding the charging year, but are not obliged to do so. </t>
  </si>
  <si>
    <t>"CDCM Revenue used in Charging Model" is the only row used as an input to the model itself.</t>
  </si>
  <si>
    <t>The contents of this section are defined in Paragraph 1.5 of Schedule 15 (Table 1).</t>
  </si>
  <si>
    <t>Hours in charging year check</t>
  </si>
  <si>
    <t>Paragraphs 62 and 71</t>
  </si>
  <si>
    <t>This sheet sets out the inputs by customer type to be filled in by DNOs.</t>
  </si>
  <si>
    <t>This sheet sets out the inputs by network level to be filled in by DNOs.</t>
  </si>
  <si>
    <t>Peaking probabilities by network level</t>
  </si>
  <si>
    <t>Peaking probabilities check</t>
  </si>
  <si>
    <t>General</t>
  </si>
  <si>
    <t>Inputs sourced from the PCDM</t>
  </si>
  <si>
    <t>Paragraphs 42 to 44</t>
  </si>
  <si>
    <t>Network use factors assume demand and generation use the network from the point of connection.</t>
  </si>
  <si>
    <t>These values are drawn from the "Fixed inputs" sheet.</t>
  </si>
  <si>
    <t xml:space="preserve">This sheet calculates customer contributions towards assets (i.e. assets that are paid for, and should not be </t>
  </si>
  <si>
    <t>recovered under UoS charges)</t>
  </si>
  <si>
    <t>Step 3: Ratio of coincidence factor (to network asset peak) to load factor, given peaking probabilities, multiplied by correction factor</t>
  </si>
  <si>
    <t>This section calculates the pseudo load coefficient in line with Paragraph 70 (c) iii</t>
  </si>
  <si>
    <t>Unit rate contributions to chargeable peak load</t>
  </si>
  <si>
    <t>Calculates the notional asset value, and its relative shares, by network level</t>
  </si>
  <si>
    <t>Paragraph 72A checks</t>
  </si>
  <si>
    <t>Other checks</t>
  </si>
  <si>
    <t>As explained in the User Guide, there is a deviation from the current legal text for generation</t>
  </si>
  <si>
    <t>Paragraphs 66, 85 &amp; 86</t>
  </si>
  <si>
    <t>Paragraphs 66 &amp; 85</t>
  </si>
  <si>
    <t>LV and HV added to fixed charges in 'Fixed charges' tab. For UMS, added to unit rates in 'Unit rate charges' tab.</t>
  </si>
  <si>
    <t>Paragraphs 146, 87 &amp; 88</t>
  </si>
  <si>
    <t>Tariff forecast before revenue matching</t>
  </si>
  <si>
    <t>Paragraphs 42 (a) and 52</t>
  </si>
  <si>
    <t>Paragraphs 42 (b) and 52</t>
  </si>
  <si>
    <t>Paragraphs 26 to 28</t>
  </si>
  <si>
    <t>Paragraphs 50 to 51</t>
  </si>
  <si>
    <t>Paragraphs 29 to 31</t>
  </si>
  <si>
    <t>Paragraphs 48 to 49</t>
  </si>
  <si>
    <t>Paragraphs 40 to 41</t>
  </si>
  <si>
    <t>Paragraphs 21 &amp; 79</t>
  </si>
  <si>
    <t>Paragraphs 62 &amp; 71</t>
  </si>
  <si>
    <t>Paragraphs 32 to 37</t>
  </si>
  <si>
    <t>Paragraph 70 (c) i</t>
  </si>
  <si>
    <t>Paragraph 70 (c) iv</t>
  </si>
  <si>
    <t>This section calculates the correction factor described in Paragraph 70 (c) ii</t>
  </si>
  <si>
    <t>Step 4: Results of Step 3, including aggregated values for UMS customers &amp; Paragraph 72A adjustment</t>
  </si>
  <si>
    <t>Calculates unit rate 1 value using formulae in Paragraphs 68 &amp; 71</t>
  </si>
  <si>
    <t>Paragraphs 146 &amp; 88</t>
  </si>
  <si>
    <t xml:space="preserve">As per DCUSA Schedule 16, Paragraphs 81 to 82, non half-hourly settled tariff forecast </t>
  </si>
  <si>
    <t>Paragraphs 141, 146 &amp; 81 to 84</t>
  </si>
  <si>
    <t>Paragraphs 81 &amp; 153</t>
  </si>
  <si>
    <t>Paragraphs 73 &amp; 78</t>
  </si>
  <si>
    <t xml:space="preserve">users (pre-matching) in accordance with Paragraphs 82 to 86. </t>
  </si>
  <si>
    <t>explained in, Paragraphs 83 to 84, this calculation differs slightly by customer type.</t>
  </si>
  <si>
    <t>Paragraph 73 &amp; 78</t>
  </si>
  <si>
    <t>Paragraphs 85 &amp; 86</t>
  </si>
  <si>
    <t>Paragraphs 83 &amp; 84</t>
  </si>
  <si>
    <t xml:space="preserve">This sheet sets out the expected timebands that the DNO plans to use for each of the five years covered by the </t>
  </si>
  <si>
    <t>Annual Review Pack, as required by DCUSA Schedule 20, Paragraph 2.1 (f).</t>
  </si>
  <si>
    <t xml:space="preserve">This sheet presents historic data used to calculate average values for peaking probabilities, as required by </t>
  </si>
  <si>
    <t>DCUSA Schedule 20, Paragraph 2.1 (e).</t>
  </si>
  <si>
    <t>Step 2: Calculate correction factor</t>
  </si>
  <si>
    <t>Input 504</t>
  </si>
  <si>
    <t>Section 501</t>
  </si>
  <si>
    <t>Section 502</t>
  </si>
  <si>
    <t>Section 503</t>
  </si>
  <si>
    <t>Section 504</t>
  </si>
  <si>
    <t>Section 505</t>
  </si>
  <si>
    <t>Section 506</t>
  </si>
  <si>
    <t>Section 507</t>
  </si>
  <si>
    <t>Section 508</t>
  </si>
  <si>
    <t>Section 509</t>
  </si>
  <si>
    <t>Section 510</t>
  </si>
  <si>
    <t>Section 511</t>
  </si>
  <si>
    <t>Section 512</t>
  </si>
  <si>
    <t>Section 513</t>
  </si>
  <si>
    <t>Section 514</t>
  </si>
  <si>
    <t>Section 515</t>
  </si>
  <si>
    <t>Section 516</t>
  </si>
  <si>
    <t>Section 517</t>
  </si>
  <si>
    <t>Section 518</t>
  </si>
  <si>
    <t>Section 519</t>
  </si>
  <si>
    <t>Section 520</t>
  </si>
  <si>
    <t>Output 501</t>
  </si>
  <si>
    <t>Year for which charges are being calculated</t>
  </si>
  <si>
    <t>charging_year</t>
  </si>
  <si>
    <t>Charging year currently selected for ARP</t>
  </si>
  <si>
    <t>charging_year_selected</t>
  </si>
  <si>
    <t>Number of decimal places of precision for in-built model checks</t>
  </si>
  <si>
    <t>check_decimals</t>
  </si>
  <si>
    <t>days_in_year</t>
  </si>
  <si>
    <t>Name of DNO</t>
  </si>
  <si>
    <t>DNO_name</t>
  </si>
  <si>
    <t>hours_in_day</t>
  </si>
  <si>
    <t>Hours in the charging year</t>
  </si>
  <si>
    <t>hours_in_year</t>
  </si>
  <si>
    <t>Equal to 100</t>
  </si>
  <si>
    <t>hundred</t>
  </si>
  <si>
    <t>Typical bills for selected charging year</t>
  </si>
  <si>
    <t>live_results_bills</t>
  </si>
  <si>
    <t>Tariffs for selected charging year</t>
  </si>
  <si>
    <t>live_results_tariffs</t>
  </si>
  <si>
    <t>Power factor, equal to 0.95</t>
  </si>
  <si>
    <t>PowerFactor</t>
  </si>
  <si>
    <t>Typical bills for current charging year</t>
  </si>
  <si>
    <t>results_4_bills</t>
  </si>
  <si>
    <t>Tariffs for current charging year</t>
  </si>
  <si>
    <t>results_4_tariffs</t>
  </si>
  <si>
    <t>Typical bills for current charging year + 1</t>
  </si>
  <si>
    <t>results_5_bills</t>
  </si>
  <si>
    <t>Tariffs for current charging year + 1</t>
  </si>
  <si>
    <t>results_5_tariffs</t>
  </si>
  <si>
    <t>Typical bills for current charging year + 2</t>
  </si>
  <si>
    <t>results_6_bills</t>
  </si>
  <si>
    <t>Tariffs for current charging year + 2</t>
  </si>
  <si>
    <t>results_6_tariffs</t>
  </si>
  <si>
    <t>Typical bills for current charging year + 3</t>
  </si>
  <si>
    <t>results_7_bills</t>
  </si>
  <si>
    <t>Tariffs for current charging year + 3</t>
  </si>
  <si>
    <t>results_7_tariffs</t>
  </si>
  <si>
    <t>Typical bills for current charging year + 4</t>
  </si>
  <si>
    <t>results_8_bills</t>
  </si>
  <si>
    <t>Tariffs for current charging year + 4</t>
  </si>
  <si>
    <t>results_8_tariffs</t>
  </si>
  <si>
    <t>Equal to 10</t>
  </si>
  <si>
    <t>ten</t>
  </si>
  <si>
    <t>Equal to 1000</t>
  </si>
  <si>
    <t>thousand</t>
  </si>
  <si>
    <t>Index for selected charging year</t>
  </si>
  <si>
    <t>year_selection</t>
  </si>
  <si>
    <t>All the way volume forecast</t>
  </si>
  <si>
    <t>LDNO LV volume forecast</t>
  </si>
  <si>
    <t>LDNO HV volume forecast</t>
  </si>
  <si>
    <t>Two types of unit costs are calculated:</t>
  </si>
  <si>
    <t>Weighted average charges check, non-domestic group</t>
  </si>
  <si>
    <t>Weighted average charges check, domestic group</t>
  </si>
  <si>
    <t>All the way customer net revenue</t>
  </si>
  <si>
    <t>LDNO LV customer net revenue</t>
  </si>
  <si>
    <t>LDNO HV customer net revenue</t>
  </si>
  <si>
    <t>500MW model costs</t>
  </si>
  <si>
    <t>This section calculates the incremental asset cost, per kW, based on the 500MW distribution reinforcement model</t>
  </si>
  <si>
    <t>Calculates additional simultaneous load at each network level from an increment of 500MW at GSP</t>
  </si>
  <si>
    <t>Calculates the annuitised asset cost per kW of simultaneous load from the 500MW model</t>
  </si>
  <si>
    <t>£/kW</t>
  </si>
  <si>
    <t>£/kW/ year</t>
  </si>
  <si>
    <t>£/MWh</t>
  </si>
  <si>
    <t>Neither the authors nor Cambridge Economic Policy Associates/TNEI accept or assume any responsibility or duty of care to any third party.</t>
  </si>
  <si>
    <t>Pre-release</t>
  </si>
  <si>
    <t>DCUSA v10.3 (released 28/06/2018)</t>
  </si>
  <si>
    <t>References to DCUSA text updated to comply with version 10.3 (released 28/06/2018).</t>
  </si>
  <si>
    <t>Paragraphs 98 &amp; 99</t>
  </si>
  <si>
    <t>Schedules 16 &amp; 20</t>
  </si>
  <si>
    <t>Release for 2020/21 charge setting</t>
  </si>
  <si>
    <t>Model number</t>
  </si>
  <si>
    <t>Release for charge setting</t>
  </si>
  <si>
    <t>01 April 2020 DCUSA Charging Methodologies Pre-Release (released 09/10/2018)</t>
  </si>
  <si>
    <t>Updated references to legal text version.</t>
  </si>
  <si>
    <t>2020/21</t>
  </si>
  <si>
    <t>Model number:</t>
  </si>
  <si>
    <t>Although every effort has been made to ensure the accuracy of the information provided in this annual review pack, SSEN - SEPD does not accept any liability for the accuracy of the information contained herein and, in particular, SSEN - SEPD or any of its employees, shall not be held liable for any misstatement or opinion on which the recipient of this statement relies or seeks to rely.</t>
  </si>
  <si>
    <t>1630-1930</t>
  </si>
  <si>
    <t>No Change</t>
  </si>
  <si>
    <t>0700-1630; 1930-2200</t>
  </si>
  <si>
    <t>0000-0700; 2200-2400</t>
  </si>
  <si>
    <t>0930-2130</t>
  </si>
  <si>
    <t>0000-0930; 2130-2400</t>
  </si>
  <si>
    <t>0700-2200</t>
  </si>
  <si>
    <t>Weekdays (including bank holidays) Apr to Mar</t>
  </si>
  <si>
    <t>SEPD</t>
  </si>
  <si>
    <t>Final</t>
  </si>
  <si>
    <t>NO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</si>
</sst>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00;\-0.000;;@"/>
    <numFmt numFmtId="165" formatCode="0.0%"/>
    <numFmt numFmtId="166" formatCode="[$-F800]dddd\,\ mmmm\ dd\,\ yyyy"/>
    <numFmt numFmtId="167" formatCode="0.000;\-0.000;\-;@"/>
    <numFmt numFmtId="168" formatCode="0.00;\-0.00;\-;@"/>
    <numFmt numFmtId="169" formatCode="0.00000000"/>
    <numFmt numFmtId="170" formatCode="0;\-0;\-;@"/>
    <numFmt numFmtId="171" formatCode="#,##0.00;\-#,##0.00;\-"/>
    <numFmt numFmtId="172" formatCode="#,##0;\-#,##0;\-"/>
    <numFmt numFmtId="173" formatCode="#,##0.000;\-#,##0.000;\-"/>
  </numFmts>
  <fonts count="3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27579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D46112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22"/>
      <color rgb="FF275192"/>
      <name val="Calibri"/>
      <family val="2"/>
      <scheme val="minor"/>
    </font>
    <font>
      <b/>
      <sz val="16"/>
      <color rgb="FFC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4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b/>
      <sz val="11"/>
      <color theme="4"/>
      <name val="Calibri"/>
      <family val="2"/>
      <scheme val="minor"/>
    </font>
    <font>
      <u/>
      <sz val="11"/>
      <color theme="5"/>
      <name val="Calibri"/>
      <family val="2"/>
      <scheme val="minor"/>
    </font>
    <font>
      <i/>
      <sz val="11"/>
      <color rgb="FF333F4F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</font>
  </fonts>
  <fills count="4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4B86CD"/>
        <bgColor indexed="64"/>
      </patternFill>
    </fill>
    <fill>
      <patternFill patternType="lightUp">
        <fgColor theme="0" tint="-0.499984740745262"/>
        <bgColor rgb="FFFFFFFF"/>
      </patternFill>
    </fill>
    <fill>
      <patternFill patternType="solid">
        <fgColor rgb="FF27579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4C6E7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E699"/>
        <bgColor indexed="64"/>
      </patternFill>
    </fill>
  </fills>
  <borders count="24">
    <border>
      <left/>
      <right/>
      <top/>
      <bottom/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999999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thick">
        <color rgb="FFFFFFFF"/>
      </bottom>
      <diagonal/>
    </border>
    <border>
      <left/>
      <right/>
      <top style="thick">
        <color rgb="FFFFFFFF"/>
      </top>
      <bottom/>
      <diagonal/>
    </border>
  </borders>
  <cellStyleXfs count="68">
    <xf numFmtId="0" fontId="0" fillId="0" borderId="0"/>
    <xf numFmtId="49" fontId="1" fillId="3" borderId="0" applyNumberFormat="0" applyBorder="0" applyAlignment="0">
      <alignment horizontal="left" vertical="center" wrapText="1"/>
    </xf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6" borderId="0" applyNumberFormat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9" borderId="8" applyNumberFormat="0" applyAlignment="0" applyProtection="0"/>
    <xf numFmtId="0" fontId="17" fillId="10" borderId="9" applyNumberFormat="0" applyAlignment="0" applyProtection="0"/>
    <xf numFmtId="0" fontId="18" fillId="10" borderId="8" applyNumberFormat="0" applyAlignment="0" applyProtection="0"/>
    <xf numFmtId="0" fontId="19" fillId="0" borderId="10" applyNumberFormat="0" applyFill="0" applyAlignment="0" applyProtection="0"/>
    <xf numFmtId="0" fontId="1" fillId="11" borderId="11" applyNumberFormat="0" applyAlignment="0" applyProtection="0"/>
    <xf numFmtId="0" fontId="20" fillId="0" borderId="0" applyNumberFormat="0" applyFill="0" applyBorder="0" applyAlignment="0" applyProtection="0"/>
    <xf numFmtId="0" fontId="7" fillId="12" borderId="12" applyNumberFormat="0" applyFont="0" applyAlignment="0" applyProtection="0"/>
    <xf numFmtId="0" fontId="21" fillId="0" borderId="0" applyNumberFormat="0" applyFill="0" applyBorder="0" applyAlignment="0" applyProtection="0"/>
    <xf numFmtId="0" fontId="2" fillId="0" borderId="13" applyNumberFormat="0" applyFill="0" applyAlignment="0" applyProtection="0"/>
    <xf numFmtId="0" fontId="3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3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3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3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3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3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22" fillId="37" borderId="0" applyBorder="0" applyAlignment="0"/>
    <xf numFmtId="0" fontId="1" fillId="5" borderId="0" applyNumberFormat="0" applyBorder="0" applyAlignment="0"/>
    <xf numFmtId="0" fontId="7" fillId="0" borderId="0" applyNumberFormat="0" applyBorder="0" applyAlignment="0"/>
    <xf numFmtId="0" fontId="8" fillId="2" borderId="0" applyNumberFormat="0" applyBorder="0" applyAlignment="0" applyProtection="0"/>
    <xf numFmtId="0" fontId="34" fillId="0" borderId="14" applyNumberFormat="0" applyBorder="0" applyAlignment="0"/>
    <xf numFmtId="0" fontId="2" fillId="0" borderId="0" applyNumberFormat="0" applyBorder="0" applyAlignment="0"/>
    <xf numFmtId="0" fontId="26" fillId="0" borderId="0" applyNumberFormat="0" applyFill="0" applyBorder="0" applyAlignment="0" applyProtection="0"/>
    <xf numFmtId="164" fontId="8" fillId="4" borderId="0" applyNumberFormat="0" applyBorder="0">
      <alignment vertical="top"/>
    </xf>
    <xf numFmtId="9" fontId="33" fillId="0" borderId="0" applyNumberFormat="0" applyBorder="0"/>
    <xf numFmtId="43" fontId="7" fillId="0" borderId="0" applyFont="0" applyFill="0" applyBorder="0" applyAlignment="0" applyProtection="0"/>
    <xf numFmtId="0" fontId="35" fillId="0" borderId="0"/>
    <xf numFmtId="0" fontId="7" fillId="38" borderId="0" applyNumberFormat="0" applyBorder="0" applyAlignment="0" applyProtection="0">
      <alignment horizontal="center"/>
    </xf>
    <xf numFmtId="3" fontId="8" fillId="0" borderId="0" applyNumberFormat="0" applyBorder="0" applyAlignment="0">
      <alignment horizontal="right" vertical="top"/>
    </xf>
    <xf numFmtId="0" fontId="14" fillId="7" borderId="0" applyNumberFormat="0" applyBorder="0" applyAlignment="0" applyProtection="0"/>
    <xf numFmtId="9" fontId="7" fillId="0" borderId="0" applyFont="0" applyFill="0" applyBorder="0" applyAlignment="0" applyProtection="0"/>
    <xf numFmtId="0" fontId="30" fillId="8" borderId="0" applyNumberFormat="0" applyBorder="0" applyAlignment="0" applyProtection="0"/>
    <xf numFmtId="0" fontId="7" fillId="0" borderId="0" applyNumberFormat="0" applyFont="0" applyBorder="0" applyAlignment="0"/>
    <xf numFmtId="0" fontId="7" fillId="39" borderId="0" applyNumberFormat="0" applyFont="0" applyBorder="0" applyAlignment="0"/>
    <xf numFmtId="0" fontId="26" fillId="0" borderId="0" applyNumberFormat="0" applyFill="0" applyBorder="0" applyAlignment="0"/>
    <xf numFmtId="0" fontId="37" fillId="0" borderId="0" applyNumberFormat="0" applyFill="0" applyBorder="0" applyAlignment="0"/>
  </cellStyleXfs>
  <cellXfs count="603">
    <xf numFmtId="0" fontId="0" fillId="0" borderId="0" xfId="0"/>
    <xf numFmtId="49" fontId="1" fillId="3" borderId="0" xfId="0" applyNumberFormat="1" applyFont="1" applyFill="1" applyAlignment="1">
      <alignment horizontal="left" vertical="center" wrapText="1"/>
    </xf>
    <xf numFmtId="49" fontId="1" fillId="3" borderId="0" xfId="0" applyNumberFormat="1" applyFont="1" applyFill="1" applyAlignment="1">
      <alignment horizontal="right" vertical="center" wrapText="1"/>
    </xf>
    <xf numFmtId="0" fontId="2" fillId="0" borderId="0" xfId="0" applyFont="1"/>
    <xf numFmtId="0" fontId="0" fillId="0" borderId="0" xfId="0" applyAlignment="1">
      <alignment wrapText="1"/>
    </xf>
    <xf numFmtId="49" fontId="0" fillId="0" borderId="0" xfId="0" applyNumberFormat="1"/>
    <xf numFmtId="0" fontId="1" fillId="5" borderId="0" xfId="0" applyFont="1" applyFill="1"/>
    <xf numFmtId="0" fontId="0" fillId="5" borderId="0" xfId="0" applyFill="1"/>
    <xf numFmtId="0" fontId="0" fillId="0" borderId="0" xfId="0" applyAlignment="1">
      <alignment vertical="top"/>
    </xf>
    <xf numFmtId="4" fontId="4" fillId="0" borderId="0" xfId="0" applyNumberFormat="1" applyFont="1" applyFill="1" applyAlignment="1">
      <alignment vertical="top"/>
    </xf>
    <xf numFmtId="0" fontId="0" fillId="0" borderId="0" xfId="0" applyAlignment="1">
      <alignment horizontal="right" vertical="top"/>
    </xf>
    <xf numFmtId="0" fontId="0" fillId="0" borderId="0" xfId="0" applyFill="1"/>
    <xf numFmtId="4" fontId="0" fillId="0" borderId="0" xfId="0" applyNumberFormat="1" applyFill="1"/>
    <xf numFmtId="0" fontId="0" fillId="0" borderId="2" xfId="0" applyBorder="1"/>
    <xf numFmtId="0" fontId="0" fillId="0" borderId="4" xfId="0" applyBorder="1"/>
    <xf numFmtId="0" fontId="0" fillId="0" borderId="0" xfId="0" applyBorder="1"/>
    <xf numFmtId="0" fontId="0" fillId="0" borderId="3" xfId="0" applyBorder="1"/>
    <xf numFmtId="0" fontId="0" fillId="0" borderId="0" xfId="0"/>
    <xf numFmtId="4" fontId="0" fillId="0" borderId="2" xfId="0" applyNumberFormat="1" applyBorder="1"/>
    <xf numFmtId="4" fontId="0" fillId="0" borderId="0" xfId="0" applyNumberFormat="1" applyBorder="1"/>
    <xf numFmtId="4" fontId="0" fillId="0" borderId="3" xfId="0" applyNumberFormat="1" applyBorder="1"/>
    <xf numFmtId="0" fontId="0" fillId="0" borderId="0" xfId="0"/>
    <xf numFmtId="0" fontId="22" fillId="37" borderId="0" xfId="48"/>
    <xf numFmtId="0" fontId="1" fillId="3" borderId="0" xfId="1" applyNumberFormat="1" applyAlignment="1">
      <alignment horizontal="right"/>
    </xf>
    <xf numFmtId="49" fontId="1" fillId="3" borderId="0" xfId="1" applyNumberFormat="1" applyAlignment="1">
      <alignment horizontal="left" vertical="center" wrapText="1"/>
    </xf>
    <xf numFmtId="0" fontId="1" fillId="3" borderId="0" xfId="1" applyNumberFormat="1" applyAlignment="1"/>
    <xf numFmtId="49" fontId="1" fillId="3" borderId="0" xfId="1" applyNumberFormat="1" applyAlignment="1">
      <alignment horizontal="right" vertical="center" wrapText="1"/>
    </xf>
    <xf numFmtId="4" fontId="0" fillId="0" borderId="0" xfId="0" applyNumberFormat="1" applyBorder="1"/>
    <xf numFmtId="0" fontId="1" fillId="3" borderId="2" xfId="1" applyNumberFormat="1" applyBorder="1" applyAlignment="1">
      <alignment vertical="top"/>
    </xf>
    <xf numFmtId="0" fontId="1" fillId="3" borderId="2" xfId="1" applyNumberFormat="1" applyBorder="1" applyAlignment="1"/>
    <xf numFmtId="0" fontId="2" fillId="0" borderId="0" xfId="0" applyFont="1" applyFill="1"/>
    <xf numFmtId="0" fontId="0" fillId="0" borderId="0" xfId="0" applyFont="1"/>
    <xf numFmtId="0" fontId="0" fillId="0" borderId="0" xfId="0" applyNumberFormat="1"/>
    <xf numFmtId="4" fontId="0" fillId="0" borderId="0" xfId="0" applyNumberFormat="1"/>
    <xf numFmtId="0" fontId="1" fillId="5" borderId="0" xfId="49"/>
    <xf numFmtId="0" fontId="7" fillId="0" borderId="0" xfId="50"/>
    <xf numFmtId="0" fontId="2" fillId="0" borderId="0" xfId="53"/>
    <xf numFmtId="0" fontId="7" fillId="0" borderId="0" xfId="50" applyBorder="1"/>
    <xf numFmtId="0" fontId="7" fillId="0" borderId="3" xfId="50" applyBorder="1"/>
    <xf numFmtId="0" fontId="0" fillId="0" borderId="3" xfId="0" applyBorder="1" applyAlignment="1">
      <alignment vertical="top"/>
    </xf>
    <xf numFmtId="0" fontId="7" fillId="0" borderId="2" xfId="50" applyBorder="1"/>
    <xf numFmtId="9" fontId="34" fillId="0" borderId="0" xfId="52" applyNumberFormat="1" applyBorder="1"/>
    <xf numFmtId="9" fontId="34" fillId="0" borderId="3" xfId="52" applyNumberFormat="1" applyBorder="1"/>
    <xf numFmtId="0" fontId="0" fillId="0" borderId="0" xfId="0" applyBorder="1" applyAlignment="1">
      <alignment vertical="top"/>
    </xf>
    <xf numFmtId="0" fontId="2" fillId="0" borderId="0" xfId="0" applyFont="1" applyBorder="1"/>
    <xf numFmtId="0" fontId="0" fillId="0" borderId="3" xfId="0" applyFill="1" applyBorder="1"/>
    <xf numFmtId="0" fontId="5" fillId="0" borderId="0" xfId="0" applyFont="1"/>
    <xf numFmtId="0" fontId="0" fillId="0" borderId="0" xfId="0" applyFont="1" applyAlignment="1">
      <alignment vertical="center"/>
    </xf>
    <xf numFmtId="0" fontId="0" fillId="0" borderId="0" xfId="0" applyFont="1" applyAlignment="1">
      <alignment vertical="top"/>
    </xf>
    <xf numFmtId="0" fontId="24" fillId="0" borderId="0" xfId="0" applyFont="1" applyAlignment="1">
      <alignment vertical="top" wrapText="1"/>
    </xf>
    <xf numFmtId="0" fontId="0" fillId="0" borderId="0" xfId="0" applyFont="1" applyAlignment="1">
      <alignment horizontal="left" vertical="top" wrapText="1"/>
    </xf>
    <xf numFmtId="0" fontId="23" fillId="0" borderId="0" xfId="0" applyFont="1" applyAlignment="1">
      <alignment vertical="top"/>
    </xf>
    <xf numFmtId="0" fontId="0" fillId="0" borderId="0" xfId="0" applyFont="1" applyAlignment="1">
      <alignment vertical="top" wrapText="1"/>
    </xf>
    <xf numFmtId="0" fontId="27" fillId="0" borderId="0" xfId="0" applyFont="1" applyAlignment="1">
      <alignment horizontal="left"/>
    </xf>
    <xf numFmtId="0" fontId="26" fillId="0" borderId="0" xfId="54" applyNumberFormat="1" applyAlignment="1">
      <alignment vertical="top"/>
    </xf>
    <xf numFmtId="0" fontId="24" fillId="0" borderId="0" xfId="0" applyFont="1" applyAlignment="1">
      <alignment vertical="top"/>
    </xf>
    <xf numFmtId="0" fontId="25" fillId="0" borderId="0" xfId="0" applyFont="1" applyAlignment="1">
      <alignment horizontal="left" vertical="top"/>
    </xf>
    <xf numFmtId="0" fontId="0" fillId="0" borderId="0" xfId="0" applyFont="1" applyAlignment="1">
      <alignment horizontal="center" vertical="center"/>
    </xf>
    <xf numFmtId="0" fontId="1" fillId="3" borderId="2" xfId="1" applyNumberFormat="1" applyBorder="1" applyAlignment="1">
      <alignment horizontal="right"/>
    </xf>
    <xf numFmtId="49" fontId="1" fillId="3" borderId="2" xfId="1" applyNumberFormat="1" applyBorder="1" applyAlignment="1">
      <alignment horizontal="right" vertical="center" wrapText="1"/>
    </xf>
    <xf numFmtId="4" fontId="1" fillId="5" borderId="0" xfId="49" applyNumberFormat="1"/>
    <xf numFmtId="0" fontId="28" fillId="5" borderId="0" xfId="0" applyFont="1" applyFill="1"/>
    <xf numFmtId="0" fontId="5" fillId="5" borderId="0" xfId="0" applyFont="1" applyFill="1"/>
    <xf numFmtId="43" fontId="0" fillId="0" borderId="0" xfId="0" applyNumberFormat="1"/>
    <xf numFmtId="0" fontId="0" fillId="0" borderId="0" xfId="0" applyFill="1" applyBorder="1"/>
    <xf numFmtId="0" fontId="35" fillId="0" borderId="0" xfId="58"/>
    <xf numFmtId="0" fontId="0" fillId="0" borderId="0" xfId="0" applyFont="1" applyBorder="1" applyAlignment="1"/>
    <xf numFmtId="0" fontId="0" fillId="0" borderId="3" xfId="0" applyFont="1" applyBorder="1" applyAlignment="1"/>
    <xf numFmtId="0" fontId="8" fillId="4" borderId="0" xfId="55" applyNumberFormat="1" applyBorder="1">
      <alignment vertical="top"/>
    </xf>
    <xf numFmtId="167" fontId="33" fillId="0" borderId="2" xfId="56" applyNumberFormat="1" applyBorder="1"/>
    <xf numFmtId="0" fontId="8" fillId="4" borderId="3" xfId="55" applyNumberFormat="1" applyBorder="1">
      <alignment vertical="top"/>
    </xf>
    <xf numFmtId="167" fontId="8" fillId="4" borderId="0" xfId="55" applyNumberFormat="1" applyBorder="1">
      <alignment vertical="top"/>
    </xf>
    <xf numFmtId="0" fontId="0" fillId="0" borderId="2" xfId="0" applyFont="1" applyBorder="1" applyAlignment="1"/>
    <xf numFmtId="0" fontId="0" fillId="0" borderId="0" xfId="0" applyFill="1"/>
    <xf numFmtId="0" fontId="2" fillId="0" borderId="0" xfId="53" applyFill="1"/>
    <xf numFmtId="0" fontId="1" fillId="3" borderId="0" xfId="1" applyNumberFormat="1" applyBorder="1" applyAlignment="1"/>
    <xf numFmtId="0" fontId="1" fillId="3" borderId="0" xfId="1" applyNumberFormat="1" applyBorder="1" applyAlignment="1">
      <alignment horizontal="right"/>
    </xf>
    <xf numFmtId="0" fontId="7" fillId="0" borderId="3" xfId="50" applyBorder="1" applyAlignment="1">
      <alignment horizontal="left"/>
    </xf>
    <xf numFmtId="0" fontId="2" fillId="0" borderId="0" xfId="50" applyFont="1" applyBorder="1"/>
    <xf numFmtId="9" fontId="33" fillId="0" borderId="0" xfId="56" applyNumberFormat="1" applyBorder="1"/>
    <xf numFmtId="9" fontId="33" fillId="0" borderId="3" xfId="56" applyNumberFormat="1" applyBorder="1"/>
    <xf numFmtId="9" fontId="8" fillId="4" borderId="0" xfId="55" applyNumberFormat="1" applyBorder="1">
      <alignment vertical="top"/>
    </xf>
    <xf numFmtId="4" fontId="8" fillId="4" borderId="0" xfId="55" applyNumberFormat="1" applyBorder="1">
      <alignment vertical="top"/>
    </xf>
    <xf numFmtId="9" fontId="8" fillId="4" borderId="3" xfId="55" applyNumberFormat="1" applyBorder="1">
      <alignment vertical="top"/>
    </xf>
    <xf numFmtId="0" fontId="7" fillId="0" borderId="0" xfId="50" applyBorder="1" applyAlignment="1">
      <alignment horizontal="left"/>
    </xf>
    <xf numFmtId="0" fontId="7" fillId="0" borderId="2" xfId="50" applyBorder="1" applyAlignment="1">
      <alignment horizontal="left"/>
    </xf>
    <xf numFmtId="0" fontId="23" fillId="0" borderId="0" xfId="0" applyFont="1" applyAlignment="1">
      <alignment horizontal="right"/>
    </xf>
    <xf numFmtId="0" fontId="2" fillId="0" borderId="0" xfId="53"/>
    <xf numFmtId="0" fontId="0" fillId="0" borderId="0" xfId="0"/>
    <xf numFmtId="0" fontId="2" fillId="0" borderId="0" xfId="0" applyFont="1"/>
    <xf numFmtId="0" fontId="0" fillId="0" borderId="0" xfId="0" applyBorder="1"/>
    <xf numFmtId="0" fontId="5" fillId="0" borderId="0" xfId="0" applyFont="1"/>
    <xf numFmtId="4" fontId="0" fillId="0" borderId="0" xfId="0" applyNumberFormat="1" applyBorder="1"/>
    <xf numFmtId="4" fontId="33" fillId="0" borderId="0" xfId="56" applyNumberFormat="1" applyBorder="1"/>
    <xf numFmtId="166" fontId="33" fillId="0" borderId="0" xfId="56" applyNumberFormat="1" applyBorder="1" applyAlignment="1">
      <alignment horizontal="left"/>
    </xf>
    <xf numFmtId="0" fontId="33" fillId="0" borderId="0" xfId="56" applyNumberFormat="1" applyAlignment="1">
      <alignment horizontal="left"/>
    </xf>
    <xf numFmtId="0" fontId="1" fillId="5" borderId="0" xfId="49" applyAlignment="1">
      <alignment vertical="center"/>
    </xf>
    <xf numFmtId="0" fontId="29" fillId="3" borderId="0" xfId="1" applyNumberFormat="1" applyFont="1" applyAlignment="1"/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1" fillId="3" borderId="0" xfId="1" applyNumberFormat="1" applyFont="1" applyAlignment="1"/>
    <xf numFmtId="0" fontId="8" fillId="0" borderId="0" xfId="0" applyFont="1"/>
    <xf numFmtId="0" fontId="1" fillId="5" borderId="0" xfId="49" applyFont="1" applyAlignment="1">
      <alignment vertical="center"/>
    </xf>
    <xf numFmtId="0" fontId="1" fillId="5" borderId="0" xfId="49" applyFont="1" applyAlignment="1">
      <alignment vertical="center" wrapText="1"/>
    </xf>
    <xf numFmtId="166" fontId="6" fillId="0" borderId="0" xfId="52" applyNumberFormat="1" applyFont="1" applyBorder="1" applyAlignment="1">
      <alignment horizontal="left" vertical="center" wrapText="1"/>
    </xf>
    <xf numFmtId="0" fontId="6" fillId="0" borderId="0" xfId="52" applyNumberFormat="1" applyFont="1" applyBorder="1" applyAlignment="1">
      <alignment horizontal="left" vertical="center" wrapText="1"/>
    </xf>
    <xf numFmtId="0" fontId="1" fillId="3" borderId="0" xfId="1" applyNumberFormat="1" applyFont="1" applyAlignment="1">
      <alignment vertical="center" wrapText="1"/>
    </xf>
    <xf numFmtId="0" fontId="1" fillId="3" borderId="0" xfId="1" applyNumberFormat="1" applyFont="1" applyAlignment="1">
      <alignment vertical="center"/>
    </xf>
    <xf numFmtId="0" fontId="2" fillId="0" borderId="0" xfId="53" applyFont="1"/>
    <xf numFmtId="0" fontId="8" fillId="0" borderId="2" xfId="0" applyFont="1" applyBorder="1"/>
    <xf numFmtId="0" fontId="8" fillId="0" borderId="0" xfId="0" applyFont="1" applyFill="1" applyBorder="1"/>
    <xf numFmtId="0" fontId="8" fillId="0" borderId="0" xfId="0" applyFont="1" applyBorder="1"/>
    <xf numFmtId="0" fontId="8" fillId="0" borderId="3" xfId="0" applyFont="1" applyBorder="1"/>
    <xf numFmtId="0" fontId="8" fillId="4" borderId="2" xfId="55" applyNumberFormat="1" applyBorder="1">
      <alignment vertical="top"/>
    </xf>
    <xf numFmtId="4" fontId="8" fillId="4" borderId="2" xfId="55" applyNumberFormat="1" applyBorder="1">
      <alignment vertical="top"/>
    </xf>
    <xf numFmtId="0" fontId="8" fillId="4" borderId="4" xfId="55" applyNumberFormat="1" applyBorder="1">
      <alignment vertical="top"/>
    </xf>
    <xf numFmtId="9" fontId="0" fillId="0" borderId="2" xfId="0" applyNumberFormat="1" applyBorder="1"/>
    <xf numFmtId="0" fontId="0" fillId="0" borderId="0" xfId="0" applyFont="1" applyAlignment="1"/>
    <xf numFmtId="4" fontId="1" fillId="5" borderId="0" xfId="49" applyNumberFormat="1" applyBorder="1"/>
    <xf numFmtId="0" fontId="22" fillId="37" borderId="0" xfId="48" applyBorder="1"/>
    <xf numFmtId="0" fontId="1" fillId="5" borderId="0" xfId="49" applyBorder="1"/>
    <xf numFmtId="0" fontId="0" fillId="0" borderId="0" xfId="0" applyBorder="1" applyAlignment="1">
      <alignment horizontal="right"/>
    </xf>
    <xf numFmtId="0" fontId="5" fillId="0" borderId="0" xfId="0" applyFont="1" applyBorder="1" applyAlignment="1">
      <alignment horizontal="right"/>
    </xf>
    <xf numFmtId="9" fontId="33" fillId="0" borderId="2" xfId="56" applyNumberFormat="1" applyBorder="1"/>
    <xf numFmtId="0" fontId="31" fillId="0" borderId="0" xfId="0" applyFont="1"/>
    <xf numFmtId="0" fontId="0" fillId="0" borderId="4" xfId="0" applyFont="1" applyBorder="1" applyAlignment="1"/>
    <xf numFmtId="169" fontId="0" fillId="0" borderId="0" xfId="0" applyNumberFormat="1"/>
    <xf numFmtId="0" fontId="5" fillId="0" borderId="0" xfId="53" applyFont="1"/>
    <xf numFmtId="4" fontId="8" fillId="0" borderId="0" xfId="60" applyNumberFormat="1" applyBorder="1" applyAlignment="1"/>
    <xf numFmtId="4" fontId="0" fillId="0" borderId="4" xfId="0" applyNumberFormat="1" applyBorder="1"/>
    <xf numFmtId="4" fontId="0" fillId="0" borderId="4" xfId="0" applyNumberFormat="1" applyBorder="1"/>
    <xf numFmtId="0" fontId="0" fillId="0" borderId="0" xfId="0"/>
    <xf numFmtId="0" fontId="2" fillId="0" borderId="0" xfId="0" applyFont="1"/>
    <xf numFmtId="0" fontId="0" fillId="0" borderId="0" xfId="0" applyNumberFormat="1"/>
    <xf numFmtId="0" fontId="1" fillId="5" borderId="0" xfId="0" applyFont="1" applyFill="1"/>
    <xf numFmtId="0" fontId="0" fillId="5" borderId="0" xfId="0" applyFill="1"/>
    <xf numFmtId="0" fontId="0" fillId="0" borderId="0" xfId="0" applyAlignment="1">
      <alignment vertical="top"/>
    </xf>
    <xf numFmtId="0" fontId="0" fillId="0" borderId="2" xfId="0" applyBorder="1"/>
    <xf numFmtId="0" fontId="0" fillId="0" borderId="4" xfId="0" applyBorder="1"/>
    <xf numFmtId="0" fontId="0" fillId="0" borderId="0" xfId="0" applyBorder="1"/>
    <xf numFmtId="0" fontId="0" fillId="0" borderId="3" xfId="0" applyBorder="1"/>
    <xf numFmtId="4" fontId="0" fillId="0" borderId="2" xfId="0" applyNumberFormat="1" applyBorder="1"/>
    <xf numFmtId="4" fontId="0" fillId="0" borderId="0" xfId="0" applyNumberFormat="1" applyBorder="1"/>
    <xf numFmtId="0" fontId="0" fillId="0" borderId="0" xfId="0" applyFont="1"/>
    <xf numFmtId="0" fontId="2" fillId="0" borderId="0" xfId="53"/>
    <xf numFmtId="0" fontId="7" fillId="0" borderId="0" xfId="50" applyBorder="1"/>
    <xf numFmtId="0" fontId="7" fillId="0" borderId="4" xfId="50" applyBorder="1"/>
    <xf numFmtId="0" fontId="5" fillId="0" borderId="0" xfId="0" applyFont="1"/>
    <xf numFmtId="0" fontId="28" fillId="5" borderId="0" xfId="0" applyFont="1" applyFill="1"/>
    <xf numFmtId="0" fontId="8" fillId="4" borderId="0" xfId="55" applyNumberFormat="1">
      <alignment vertical="top"/>
    </xf>
    <xf numFmtId="0" fontId="5" fillId="5" borderId="0" xfId="0" applyFont="1" applyFill="1"/>
    <xf numFmtId="0" fontId="0" fillId="0" borderId="0" xfId="0" applyFill="1" applyBorder="1"/>
    <xf numFmtId="0" fontId="35" fillId="0" borderId="0" xfId="58"/>
    <xf numFmtId="10" fontId="0" fillId="0" borderId="0" xfId="0" applyNumberFormat="1"/>
    <xf numFmtId="0" fontId="0" fillId="0" borderId="4" xfId="0" applyFill="1" applyBorder="1"/>
    <xf numFmtId="0" fontId="7" fillId="0" borderId="0" xfId="50" applyBorder="1" applyAlignment="1">
      <alignment wrapText="1"/>
    </xf>
    <xf numFmtId="0" fontId="33" fillId="0" borderId="0" xfId="56" applyNumberFormat="1" applyBorder="1" applyAlignment="1">
      <alignment horizontal="right"/>
    </xf>
    <xf numFmtId="0" fontId="0" fillId="0" borderId="0" xfId="0" applyBorder="1" applyAlignment="1">
      <alignment wrapText="1"/>
    </xf>
    <xf numFmtId="10" fontId="8" fillId="4" borderId="0" xfId="55" applyNumberFormat="1" applyBorder="1">
      <alignment vertical="top"/>
    </xf>
    <xf numFmtId="9" fontId="0" fillId="0" borderId="0" xfId="0" applyNumberFormat="1" applyBorder="1" applyAlignment="1">
      <alignment vertical="top"/>
    </xf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9" fontId="0" fillId="0" borderId="0" xfId="0" applyNumberFormat="1"/>
    <xf numFmtId="4" fontId="0" fillId="0" borderId="0" xfId="0" applyNumberFormat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2" xfId="0" applyBorder="1" applyAlignment="1">
      <alignment vertical="top"/>
    </xf>
    <xf numFmtId="4" fontId="0" fillId="0" borderId="0" xfId="0" applyNumberFormat="1" applyBorder="1"/>
    <xf numFmtId="0" fontId="1" fillId="5" borderId="0" xfId="49"/>
    <xf numFmtId="0" fontId="2" fillId="0" borderId="0" xfId="53"/>
    <xf numFmtId="0" fontId="0" fillId="0" borderId="3" xfId="0" applyBorder="1" applyAlignment="1">
      <alignment vertical="top"/>
    </xf>
    <xf numFmtId="0" fontId="0" fillId="0" borderId="0" xfId="0" applyBorder="1" applyAlignment="1">
      <alignment vertical="top"/>
    </xf>
    <xf numFmtId="0" fontId="5" fillId="0" borderId="0" xfId="0" applyFont="1"/>
    <xf numFmtId="0" fontId="0" fillId="0" borderId="0" xfId="0" applyFont="1" applyBorder="1" applyAlignment="1"/>
    <xf numFmtId="0" fontId="0" fillId="0" borderId="3" xfId="0" applyFont="1" applyBorder="1" applyAlignment="1"/>
    <xf numFmtId="0" fontId="8" fillId="4" borderId="0" xfId="55" applyNumberFormat="1" applyBorder="1">
      <alignment vertical="top"/>
    </xf>
    <xf numFmtId="0" fontId="8" fillId="4" borderId="3" xfId="55" applyNumberFormat="1" applyBorder="1">
      <alignment vertical="top"/>
    </xf>
    <xf numFmtId="0" fontId="0" fillId="0" borderId="2" xfId="0" applyFont="1" applyBorder="1" applyAlignment="1"/>
    <xf numFmtId="9" fontId="33" fillId="0" borderId="0" xfId="56" applyNumberFormat="1" applyBorder="1"/>
    <xf numFmtId="9" fontId="33" fillId="0" borderId="3" xfId="56" applyNumberFormat="1" applyBorder="1"/>
    <xf numFmtId="4" fontId="33" fillId="0" borderId="2" xfId="56" applyNumberFormat="1" applyBorder="1"/>
    <xf numFmtId="4" fontId="33" fillId="0" borderId="3" xfId="56" applyNumberFormat="1" applyBorder="1"/>
    <xf numFmtId="0" fontId="8" fillId="4" borderId="2" xfId="55" applyNumberFormat="1" applyBorder="1">
      <alignment vertical="top"/>
    </xf>
    <xf numFmtId="9" fontId="0" fillId="0" borderId="0" xfId="0" applyNumberFormat="1" applyBorder="1"/>
    <xf numFmtId="9" fontId="33" fillId="0" borderId="2" xfId="56" applyNumberFormat="1" applyBorder="1"/>
    <xf numFmtId="49" fontId="7" fillId="0" borderId="0" xfId="50" applyNumberFormat="1" applyBorder="1" applyAlignment="1">
      <alignment wrapText="1"/>
    </xf>
    <xf numFmtId="0" fontId="2" fillId="0" borderId="0" xfId="50" applyFont="1" applyFill="1" applyBorder="1"/>
    <xf numFmtId="0" fontId="7" fillId="0" borderId="0" xfId="50" applyFill="1"/>
    <xf numFmtId="165" fontId="0" fillId="0" borderId="0" xfId="0" applyNumberFormat="1" applyBorder="1"/>
    <xf numFmtId="9" fontId="7" fillId="0" borderId="2" xfId="50" applyNumberFormat="1" applyBorder="1"/>
    <xf numFmtId="9" fontId="7" fillId="0" borderId="0" xfId="50" applyNumberFormat="1" applyBorder="1"/>
    <xf numFmtId="0" fontId="0" fillId="0" borderId="0" xfId="0" applyAlignment="1">
      <alignment horizontal="left"/>
    </xf>
    <xf numFmtId="0" fontId="7" fillId="0" borderId="0" xfId="50" applyAlignment="1">
      <alignment horizontal="left"/>
    </xf>
    <xf numFmtId="165" fontId="33" fillId="0" borderId="0" xfId="56" applyNumberFormat="1" applyBorder="1"/>
    <xf numFmtId="165" fontId="34" fillId="0" borderId="0" xfId="52" applyNumberFormat="1" applyBorder="1"/>
    <xf numFmtId="10" fontId="33" fillId="0" borderId="0" xfId="56" applyNumberFormat="1" applyBorder="1"/>
    <xf numFmtId="10" fontId="0" fillId="0" borderId="0" xfId="0" applyNumberFormat="1" applyBorder="1"/>
    <xf numFmtId="0" fontId="0" fillId="0" borderId="0" xfId="0" applyAlignment="1">
      <alignment horizontal="right"/>
    </xf>
    <xf numFmtId="0" fontId="0" fillId="0" borderId="2" xfId="0" applyBorder="1" applyAlignment="1">
      <alignment horizontal="right"/>
    </xf>
    <xf numFmtId="0" fontId="35" fillId="0" borderId="0" xfId="58" quotePrefix="1"/>
    <xf numFmtId="0" fontId="1" fillId="0" borderId="0" xfId="0" applyFont="1" applyFill="1"/>
    <xf numFmtId="0" fontId="5" fillId="0" borderId="0" xfId="0" applyFont="1" applyFill="1"/>
    <xf numFmtId="0" fontId="33" fillId="0" borderId="0" xfId="56" applyNumberFormat="1" applyBorder="1"/>
    <xf numFmtId="3" fontId="33" fillId="0" borderId="0" xfId="56" applyNumberFormat="1" applyBorder="1"/>
    <xf numFmtId="9" fontId="33" fillId="0" borderId="0" xfId="56" applyNumberFormat="1"/>
    <xf numFmtId="0" fontId="33" fillId="0" borderId="3" xfId="56" applyNumberFormat="1" applyBorder="1"/>
    <xf numFmtId="0" fontId="7" fillId="0" borderId="4" xfId="50" applyFill="1" applyBorder="1"/>
    <xf numFmtId="9" fontId="7" fillId="0" borderId="3" xfId="50" applyNumberFormat="1" applyBorder="1"/>
    <xf numFmtId="49" fontId="7" fillId="0" borderId="0" xfId="50" applyNumberFormat="1" applyBorder="1" applyAlignment="1"/>
    <xf numFmtId="49" fontId="7" fillId="0" borderId="3" xfId="50" applyNumberFormat="1" applyBorder="1" applyAlignment="1"/>
    <xf numFmtId="0" fontId="0" fillId="0" borderId="0" xfId="0" applyAlignment="1"/>
    <xf numFmtId="49" fontId="7" fillId="0" borderId="0" xfId="50" applyNumberFormat="1" applyFill="1" applyBorder="1" applyAlignment="1"/>
    <xf numFmtId="49" fontId="7" fillId="0" borderId="4" xfId="50" applyNumberFormat="1" applyFill="1" applyBorder="1" applyAlignment="1"/>
    <xf numFmtId="0" fontId="0" fillId="0" borderId="0" xfId="0" applyFont="1" applyBorder="1"/>
    <xf numFmtId="0" fontId="0" fillId="0" borderId="4" xfId="0" applyFont="1" applyFill="1" applyBorder="1" applyAlignment="1"/>
    <xf numFmtId="0" fontId="0" fillId="0" borderId="0" xfId="0" applyBorder="1" applyAlignment="1"/>
    <xf numFmtId="10" fontId="8" fillId="0" borderId="0" xfId="55" applyNumberFormat="1" applyFill="1" applyBorder="1">
      <alignment vertical="top"/>
    </xf>
    <xf numFmtId="9" fontId="34" fillId="0" borderId="4" xfId="52" applyNumberFormat="1" applyBorder="1"/>
    <xf numFmtId="0" fontId="1" fillId="3" borderId="2" xfId="1" applyNumberFormat="1" applyBorder="1" applyAlignment="1">
      <alignment horizontal="right" vertical="top"/>
    </xf>
    <xf numFmtId="4" fontId="2" fillId="0" borderId="0" xfId="0" applyNumberFormat="1" applyFont="1"/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/>
    <xf numFmtId="0" fontId="2" fillId="0" borderId="0" xfId="53" applyAlignment="1">
      <alignment vertical="center"/>
    </xf>
    <xf numFmtId="0" fontId="7" fillId="0" borderId="0" xfId="50" applyNumberFormat="1" applyBorder="1" applyAlignment="1"/>
    <xf numFmtId="0" fontId="7" fillId="0" borderId="3" xfId="50" applyNumberFormat="1" applyBorder="1" applyAlignment="1"/>
    <xf numFmtId="0" fontId="7" fillId="0" borderId="0" xfId="50" applyNumberFormat="1" applyBorder="1" applyAlignment="1">
      <alignment horizontal="left" wrapText="1"/>
    </xf>
    <xf numFmtId="0" fontId="7" fillId="0" borderId="2" xfId="50" applyNumberFormat="1" applyBorder="1" applyAlignment="1"/>
    <xf numFmtId="4" fontId="8" fillId="4" borderId="0" xfId="55" applyNumberFormat="1" applyBorder="1" applyAlignment="1">
      <alignment vertical="top"/>
    </xf>
    <xf numFmtId="9" fontId="8" fillId="4" borderId="0" xfId="55" applyNumberFormat="1" applyBorder="1" applyAlignment="1">
      <alignment vertical="top"/>
    </xf>
    <xf numFmtId="9" fontId="8" fillId="4" borderId="3" xfId="55" applyNumberFormat="1" applyBorder="1" applyAlignment="1">
      <alignment vertical="top"/>
    </xf>
    <xf numFmtId="4" fontId="8" fillId="4" borderId="3" xfId="55" applyNumberFormat="1" applyBorder="1" applyAlignment="1">
      <alignment vertical="top"/>
    </xf>
    <xf numFmtId="0" fontId="1" fillId="3" borderId="0" xfId="1" applyNumberFormat="1" applyBorder="1" applyAlignment="1">
      <alignment horizontal="left"/>
    </xf>
    <xf numFmtId="0" fontId="1" fillId="5" borderId="0" xfId="49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3" xfId="0" applyBorder="1" applyAlignment="1">
      <alignment horizontal="left"/>
    </xf>
    <xf numFmtId="0" fontId="7" fillId="0" borderId="2" xfId="50" applyNumberFormat="1" applyBorder="1" applyAlignment="1">
      <alignment horizontal="left"/>
    </xf>
    <xf numFmtId="0" fontId="7" fillId="0" borderId="3" xfId="50" applyNumberFormat="1" applyBorder="1" applyAlignment="1">
      <alignment horizontal="left"/>
    </xf>
    <xf numFmtId="9" fontId="8" fillId="4" borderId="2" xfId="55" applyNumberFormat="1" applyBorder="1">
      <alignment vertical="top"/>
    </xf>
    <xf numFmtId="3" fontId="0" fillId="0" borderId="0" xfId="0" applyNumberFormat="1"/>
    <xf numFmtId="49" fontId="32" fillId="3" borderId="0" xfId="1" applyNumberFormat="1" applyFont="1" applyAlignment="1">
      <alignment horizontal="left" vertical="center"/>
    </xf>
    <xf numFmtId="0" fontId="35" fillId="0" borderId="0" xfId="58" applyBorder="1"/>
    <xf numFmtId="4" fontId="33" fillId="0" borderId="0" xfId="56" applyNumberFormat="1" applyBorder="1" applyAlignment="1">
      <alignment horizontal="right"/>
    </xf>
    <xf numFmtId="9" fontId="33" fillId="0" borderId="0" xfId="56" applyBorder="1"/>
    <xf numFmtId="9" fontId="33" fillId="0" borderId="2" xfId="56" applyBorder="1"/>
    <xf numFmtId="0" fontId="33" fillId="0" borderId="0" xfId="56" applyNumberFormat="1" applyBorder="1" applyAlignment="1">
      <alignment horizontal="left"/>
    </xf>
    <xf numFmtId="170" fontId="33" fillId="0" borderId="0" xfId="56" applyNumberFormat="1" applyBorder="1"/>
    <xf numFmtId="170" fontId="33" fillId="0" borderId="0" xfId="56" applyNumberFormat="1"/>
    <xf numFmtId="170" fontId="33" fillId="0" borderId="3" xfId="56" applyNumberFormat="1" applyBorder="1"/>
    <xf numFmtId="0" fontId="33" fillId="0" borderId="2" xfId="56" applyNumberFormat="1" applyBorder="1"/>
    <xf numFmtId="9" fontId="33" fillId="0" borderId="4" xfId="56" applyNumberFormat="1" applyBorder="1"/>
    <xf numFmtId="167" fontId="33" fillId="0" borderId="0" xfId="56" applyNumberFormat="1"/>
    <xf numFmtId="164" fontId="8" fillId="4" borderId="0" xfId="55" applyNumberFormat="1" applyBorder="1">
      <alignment vertical="top"/>
    </xf>
    <xf numFmtId="165" fontId="8" fillId="4" borderId="0" xfId="55" applyNumberFormat="1" applyBorder="1">
      <alignment vertical="top"/>
    </xf>
    <xf numFmtId="3" fontId="8" fillId="4" borderId="0" xfId="55" applyNumberFormat="1" applyBorder="1">
      <alignment vertical="top"/>
    </xf>
    <xf numFmtId="3" fontId="33" fillId="0" borderId="0" xfId="56" applyNumberFormat="1" applyBorder="1" applyAlignment="1">
      <alignment horizontal="right"/>
    </xf>
    <xf numFmtId="9" fontId="33" fillId="0" borderId="0" xfId="56"/>
    <xf numFmtId="0" fontId="2" fillId="0" borderId="0" xfId="53" applyNumberFormat="1" applyBorder="1" applyAlignment="1"/>
    <xf numFmtId="0" fontId="0" fillId="0" borderId="3" xfId="0" applyBorder="1" applyAlignment="1">
      <alignment horizontal="right"/>
    </xf>
    <xf numFmtId="0" fontId="2" fillId="0" borderId="0" xfId="53" applyBorder="1"/>
    <xf numFmtId="0" fontId="1" fillId="3" borderId="0" xfId="1" applyNumberFormat="1" applyBorder="1" applyAlignment="1">
      <alignment horizontal="right" wrapText="1"/>
    </xf>
    <xf numFmtId="0" fontId="34" fillId="0" borderId="0" xfId="52" applyBorder="1" applyAlignment="1">
      <alignment horizontal="right"/>
    </xf>
    <xf numFmtId="4" fontId="1" fillId="3" borderId="0" xfId="1" applyNumberFormat="1" applyBorder="1" applyAlignment="1">
      <alignment horizontal="right"/>
    </xf>
    <xf numFmtId="0" fontId="0" fillId="0" borderId="2" xfId="0" applyFont="1" applyBorder="1"/>
    <xf numFmtId="0" fontId="34" fillId="0" borderId="0" xfId="52" applyBorder="1" applyAlignment="1">
      <alignment horizontal="left"/>
    </xf>
    <xf numFmtId="0" fontId="34" fillId="0" borderId="0" xfId="52" applyBorder="1"/>
    <xf numFmtId="0" fontId="34" fillId="0" borderId="0" xfId="52" applyNumberFormat="1" applyBorder="1"/>
    <xf numFmtId="0" fontId="1" fillId="3" borderId="0" xfId="1" applyNumberFormat="1" applyAlignment="1">
      <alignment horizontal="right" vertical="center" wrapText="1"/>
    </xf>
    <xf numFmtId="0" fontId="0" fillId="0" borderId="0" xfId="0" applyNumberFormat="1"/>
    <xf numFmtId="0" fontId="34" fillId="0" borderId="3" xfId="52" applyBorder="1" applyAlignment="1">
      <alignment horizontal="right"/>
    </xf>
    <xf numFmtId="0" fontId="34" fillId="0" borderId="2" xfId="52" applyBorder="1" applyAlignment="1">
      <alignment horizontal="right"/>
    </xf>
    <xf numFmtId="0" fontId="7" fillId="0" borderId="4" xfId="50" applyBorder="1" applyAlignment="1">
      <alignment horizontal="left"/>
    </xf>
    <xf numFmtId="0" fontId="34" fillId="0" borderId="4" xfId="52" applyBorder="1" applyAlignment="1">
      <alignment horizontal="right"/>
    </xf>
    <xf numFmtId="9" fontId="8" fillId="4" borderId="0" xfId="55" applyNumberFormat="1" applyBorder="1" applyAlignment="1">
      <alignment horizontal="right" vertical="top"/>
    </xf>
    <xf numFmtId="0" fontId="1" fillId="5" borderId="0" xfId="49" applyAlignment="1">
      <alignment horizontal="right"/>
    </xf>
    <xf numFmtId="9" fontId="0" fillId="0" borderId="0" xfId="0" applyNumberFormat="1" applyAlignment="1">
      <alignment horizontal="right"/>
    </xf>
    <xf numFmtId="0" fontId="8" fillId="4" borderId="2" xfId="55" applyNumberFormat="1" applyBorder="1" applyAlignment="1">
      <alignment horizontal="right" vertical="top"/>
    </xf>
    <xf numFmtId="0" fontId="8" fillId="4" borderId="0" xfId="55" applyNumberFormat="1" applyBorder="1" applyAlignment="1">
      <alignment horizontal="right" vertical="top"/>
    </xf>
    <xf numFmtId="0" fontId="8" fillId="4" borderId="3" xfId="55" applyNumberFormat="1" applyBorder="1" applyAlignment="1">
      <alignment horizontal="right" vertical="top"/>
    </xf>
    <xf numFmtId="0" fontId="0" fillId="0" borderId="2" xfId="0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0" fontId="0" fillId="0" borderId="0" xfId="0" applyFont="1" applyAlignment="1">
      <alignment horizontal="right"/>
    </xf>
    <xf numFmtId="0" fontId="0" fillId="0" borderId="3" xfId="0" applyFont="1" applyBorder="1" applyAlignment="1">
      <alignment horizontal="right"/>
    </xf>
    <xf numFmtId="0" fontId="0" fillId="0" borderId="0" xfId="0" applyNumberFormat="1" applyAlignment="1">
      <alignment horizontal="right"/>
    </xf>
    <xf numFmtId="10" fontId="8" fillId="4" borderId="2" xfId="55" applyNumberFormat="1" applyBorder="1" applyAlignment="1">
      <alignment horizontal="right" vertical="top"/>
    </xf>
    <xf numFmtId="10" fontId="8" fillId="4" borderId="0" xfId="55" applyNumberFormat="1" applyBorder="1" applyAlignment="1">
      <alignment horizontal="right" vertical="top"/>
    </xf>
    <xf numFmtId="0" fontId="7" fillId="0" borderId="0" xfId="50" applyNumberFormat="1" applyBorder="1" applyAlignment="1">
      <alignment horizontal="left"/>
    </xf>
    <xf numFmtId="0" fontId="0" fillId="5" borderId="0" xfId="0" applyFill="1" applyAlignment="1">
      <alignment horizontal="left"/>
    </xf>
    <xf numFmtId="0" fontId="1" fillId="3" borderId="2" xfId="1" applyNumberFormat="1" applyBorder="1" applyAlignment="1">
      <alignment horizontal="left"/>
    </xf>
    <xf numFmtId="0" fontId="0" fillId="0" borderId="0" xfId="0" applyAlignment="1">
      <alignment horizontal="left" vertical="top"/>
    </xf>
    <xf numFmtId="0" fontId="0" fillId="0" borderId="4" xfId="0" applyBorder="1" applyAlignment="1">
      <alignment horizontal="left"/>
    </xf>
    <xf numFmtId="9" fontId="8" fillId="4" borderId="2" xfId="55" applyNumberFormat="1" applyBorder="1" applyAlignment="1">
      <alignment horizontal="right" vertical="top"/>
    </xf>
    <xf numFmtId="0" fontId="22" fillId="37" borderId="0" xfId="48" applyAlignment="1">
      <alignment horizontal="right"/>
    </xf>
    <xf numFmtId="0" fontId="22" fillId="37" borderId="0" xfId="48" applyAlignment="1">
      <alignment horizontal="left"/>
    </xf>
    <xf numFmtId="49" fontId="1" fillId="3" borderId="0" xfId="0" applyNumberFormat="1" applyFont="1" applyFill="1" applyBorder="1" applyAlignment="1">
      <alignment horizontal="left" vertical="center" wrapText="1"/>
    </xf>
    <xf numFmtId="10" fontId="0" fillId="0" borderId="0" xfId="0" applyNumberFormat="1" applyBorder="1" applyAlignment="1">
      <alignment vertical="top"/>
    </xf>
    <xf numFmtId="10" fontId="0" fillId="0" borderId="20" xfId="0" applyNumberFormat="1" applyFill="1" applyBorder="1"/>
    <xf numFmtId="4" fontId="0" fillId="0" borderId="0" xfId="0" applyNumberFormat="1" applyFill="1" applyBorder="1"/>
    <xf numFmtId="0" fontId="2" fillId="0" borderId="0" xfId="53" applyAlignment="1"/>
    <xf numFmtId="4" fontId="0" fillId="0" borderId="0" xfId="0" applyNumberFormat="1" applyAlignment="1">
      <alignment horizontal="right"/>
    </xf>
    <xf numFmtId="49" fontId="1" fillId="3" borderId="0" xfId="0" applyNumberFormat="1" applyFont="1" applyFill="1" applyBorder="1" applyAlignment="1">
      <alignment horizontal="left" vertical="center"/>
    </xf>
    <xf numFmtId="49" fontId="1" fillId="3" borderId="0" xfId="0" applyNumberFormat="1" applyFont="1" applyFill="1" applyBorder="1" applyAlignment="1">
      <alignment horizontal="right" vertical="center"/>
    </xf>
    <xf numFmtId="3" fontId="1" fillId="3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/>
    <xf numFmtId="10" fontId="23" fillId="0" borderId="0" xfId="0" applyNumberFormat="1" applyFont="1" applyAlignment="1">
      <alignment horizontal="right"/>
    </xf>
    <xf numFmtId="9" fontId="34" fillId="0" borderId="2" xfId="52" applyNumberFormat="1" applyBorder="1"/>
    <xf numFmtId="0" fontId="7" fillId="0" borderId="0" xfId="50" applyBorder="1" applyAlignment="1"/>
    <xf numFmtId="43" fontId="8" fillId="4" borderId="3" xfId="55" applyNumberFormat="1" applyBorder="1">
      <alignment vertical="top"/>
    </xf>
    <xf numFmtId="167" fontId="8" fillId="39" borderId="2" xfId="65" applyNumberFormat="1" applyFont="1" applyBorder="1" applyAlignment="1">
      <alignment horizontal="right"/>
    </xf>
    <xf numFmtId="167" fontId="8" fillId="39" borderId="0" xfId="65" applyNumberFormat="1" applyFont="1" applyBorder="1" applyAlignment="1">
      <alignment horizontal="right"/>
    </xf>
    <xf numFmtId="167" fontId="8" fillId="39" borderId="3" xfId="65" applyNumberFormat="1" applyFont="1" applyBorder="1" applyAlignment="1">
      <alignment horizontal="right"/>
    </xf>
    <xf numFmtId="0" fontId="8" fillId="0" borderId="2" xfId="60" applyNumberFormat="1" applyBorder="1" applyAlignment="1"/>
    <xf numFmtId="0" fontId="8" fillId="0" borderId="0" xfId="60" applyNumberFormat="1" applyBorder="1" applyAlignment="1"/>
    <xf numFmtId="3" fontId="8" fillId="0" borderId="0" xfId="60" applyNumberFormat="1" applyBorder="1" applyAlignment="1"/>
    <xf numFmtId="0" fontId="8" fillId="0" borderId="3" xfId="60" applyNumberFormat="1" applyBorder="1" applyAlignment="1"/>
    <xf numFmtId="0" fontId="8" fillId="0" borderId="0" xfId="60" applyNumberFormat="1" applyBorder="1" applyAlignment="1">
      <alignment horizontal="right"/>
    </xf>
    <xf numFmtId="0" fontId="8" fillId="0" borderId="3" xfId="60" applyNumberFormat="1" applyBorder="1" applyAlignment="1">
      <alignment horizontal="right"/>
    </xf>
    <xf numFmtId="9" fontId="8" fillId="0" borderId="0" xfId="60" applyNumberFormat="1" applyBorder="1" applyAlignment="1"/>
    <xf numFmtId="9" fontId="8" fillId="0" borderId="2" xfId="60" applyNumberFormat="1" applyBorder="1" applyAlignment="1"/>
    <xf numFmtId="9" fontId="8" fillId="0" borderId="3" xfId="60" applyNumberFormat="1" applyBorder="1" applyAlignment="1"/>
    <xf numFmtId="165" fontId="8" fillId="0" borderId="0" xfId="60" applyNumberFormat="1" applyBorder="1" applyAlignment="1"/>
    <xf numFmtId="9" fontId="8" fillId="0" borderId="4" xfId="60" applyNumberFormat="1" applyBorder="1" applyAlignment="1"/>
    <xf numFmtId="0" fontId="8" fillId="0" borderId="4" xfId="60" applyNumberFormat="1" applyBorder="1" applyAlignment="1"/>
    <xf numFmtId="9" fontId="34" fillId="0" borderId="2" xfId="52" applyNumberFormat="1" applyBorder="1" applyAlignment="1">
      <alignment horizontal="right"/>
    </xf>
    <xf numFmtId="9" fontId="34" fillId="0" borderId="0" xfId="52" applyNumberFormat="1" applyBorder="1" applyAlignment="1">
      <alignment horizontal="right"/>
    </xf>
    <xf numFmtId="9" fontId="34" fillId="0" borderId="3" xfId="52" applyNumberFormat="1" applyBorder="1" applyAlignment="1">
      <alignment horizontal="right"/>
    </xf>
    <xf numFmtId="4" fontId="0" fillId="0" borderId="3" xfId="0" applyNumberFormat="1" applyBorder="1"/>
    <xf numFmtId="0" fontId="1" fillId="3" borderId="0" xfId="1" applyNumberFormat="1" applyAlignment="1">
      <alignment horizontal="left"/>
    </xf>
    <xf numFmtId="164" fontId="8" fillId="4" borderId="2" xfId="55" applyBorder="1" applyAlignment="1"/>
    <xf numFmtId="0" fontId="8" fillId="0" borderId="21" xfId="60" applyNumberFormat="1" applyBorder="1" applyAlignment="1"/>
    <xf numFmtId="0" fontId="2" fillId="0" borderId="0" xfId="53" applyNumberFormat="1" applyBorder="1"/>
    <xf numFmtId="0" fontId="0" fillId="40" borderId="0" xfId="0" applyFill="1" applyBorder="1"/>
    <xf numFmtId="0" fontId="0" fillId="42" borderId="0" xfId="0" applyFill="1" applyBorder="1"/>
    <xf numFmtId="0" fontId="2" fillId="0" borderId="3" xfId="53" applyFont="1" applyBorder="1"/>
    <xf numFmtId="0" fontId="0" fillId="0" borderId="0" xfId="0"/>
    <xf numFmtId="0" fontId="0" fillId="0" borderId="0" xfId="0" applyBorder="1"/>
    <xf numFmtId="0" fontId="0" fillId="0" borderId="0" xfId="0" applyFont="1"/>
    <xf numFmtId="4" fontId="34" fillId="0" borderId="4" xfId="52" applyNumberFormat="1" applyBorder="1" applyAlignment="1">
      <alignment horizontal="left"/>
    </xf>
    <xf numFmtId="9" fontId="0" fillId="0" borderId="3" xfId="0" applyNumberFormat="1" applyBorder="1"/>
    <xf numFmtId="0" fontId="33" fillId="0" borderId="3" xfId="56" applyNumberFormat="1" applyBorder="1" applyAlignment="1">
      <alignment horizontal="right"/>
    </xf>
    <xf numFmtId="0" fontId="33" fillId="0" borderId="2" xfId="56" applyNumberFormat="1" applyBorder="1" applyAlignment="1">
      <alignment horizontal="right"/>
    </xf>
    <xf numFmtId="49" fontId="7" fillId="0" borderId="3" xfId="50" applyNumberFormat="1" applyFill="1" applyBorder="1" applyAlignment="1"/>
    <xf numFmtId="49" fontId="7" fillId="0" borderId="2" xfId="50" applyNumberFormat="1" applyFill="1" applyBorder="1" applyAlignment="1"/>
    <xf numFmtId="167" fontId="8" fillId="4" borderId="3" xfId="55" applyNumberFormat="1" applyBorder="1">
      <alignment vertical="top"/>
    </xf>
    <xf numFmtId="3" fontId="8" fillId="0" borderId="4" xfId="60" applyNumberFormat="1" applyBorder="1" applyAlignment="1">
      <alignment horizontal="right"/>
    </xf>
    <xf numFmtId="3" fontId="8" fillId="0" borderId="0" xfId="60" applyNumberFormat="1" applyBorder="1" applyAlignment="1">
      <alignment horizontal="right"/>
    </xf>
    <xf numFmtId="0" fontId="0" fillId="41" borderId="0" xfId="0" applyFill="1" applyBorder="1"/>
    <xf numFmtId="0" fontId="0" fillId="43" borderId="3" xfId="0" applyFill="1" applyBorder="1"/>
    <xf numFmtId="0" fontId="1" fillId="3" borderId="22" xfId="1" applyNumberFormat="1" applyBorder="1" applyAlignment="1"/>
    <xf numFmtId="0" fontId="26" fillId="44" borderId="0" xfId="54" quotePrefix="1" applyFill="1"/>
    <xf numFmtId="0" fontId="26" fillId="44" borderId="23" xfId="54" quotePrefix="1" applyFill="1" applyBorder="1"/>
    <xf numFmtId="0" fontId="26" fillId="0" borderId="0" xfId="54"/>
    <xf numFmtId="0" fontId="26" fillId="45" borderId="0" xfId="54" quotePrefix="1" applyFill="1"/>
    <xf numFmtId="0" fontId="26" fillId="45" borderId="23" xfId="54" quotePrefix="1" applyFill="1" applyBorder="1"/>
    <xf numFmtId="0" fontId="26" fillId="37" borderId="0" xfId="54" quotePrefix="1" applyFill="1"/>
    <xf numFmtId="0" fontId="26" fillId="37" borderId="23" xfId="54" quotePrefix="1" applyFill="1" applyBorder="1"/>
    <xf numFmtId="0" fontId="26" fillId="46" borderId="0" xfId="54" quotePrefix="1" applyFill="1"/>
    <xf numFmtId="0" fontId="26" fillId="46" borderId="23" xfId="54" quotePrefix="1" applyFill="1" applyBorder="1"/>
    <xf numFmtId="0" fontId="34" fillId="0" borderId="0" xfId="52" applyNumberFormat="1" applyBorder="1" applyAlignment="1"/>
    <xf numFmtId="0" fontId="35" fillId="0" borderId="0" xfId="58" applyAlignment="1">
      <alignment horizontal="left" indent="1"/>
    </xf>
    <xf numFmtId="10" fontId="8" fillId="0" borderId="2" xfId="60" applyNumberFormat="1" applyBorder="1" applyAlignment="1"/>
    <xf numFmtId="168" fontId="8" fillId="39" borderId="2" xfId="65" applyNumberFormat="1" applyFont="1" applyBorder="1" applyAlignment="1">
      <alignment horizontal="right"/>
    </xf>
    <xf numFmtId="168" fontId="8" fillId="39" borderId="0" xfId="65" applyNumberFormat="1" applyFont="1" applyBorder="1" applyAlignment="1">
      <alignment horizontal="right"/>
    </xf>
    <xf numFmtId="168" fontId="8" fillId="39" borderId="3" xfId="65" applyNumberFormat="1" applyFont="1" applyBorder="1" applyAlignment="1">
      <alignment horizontal="right"/>
    </xf>
    <xf numFmtId="168" fontId="0" fillId="0" borderId="0" xfId="0" applyNumberFormat="1" applyAlignment="1">
      <alignment horizontal="right"/>
    </xf>
    <xf numFmtId="168" fontId="0" fillId="0" borderId="0" xfId="0" applyNumberFormat="1"/>
    <xf numFmtId="168" fontId="2" fillId="0" borderId="0" xfId="53" applyNumberFormat="1"/>
    <xf numFmtId="168" fontId="1" fillId="5" borderId="0" xfId="0" applyNumberFormat="1" applyFont="1" applyFill="1"/>
    <xf numFmtId="0" fontId="7" fillId="0" borderId="0" xfId="50" applyBorder="1" applyAlignment="1">
      <alignment horizontal="left" indent="2"/>
    </xf>
    <xf numFmtId="9" fontId="8" fillId="0" borderId="0" xfId="55" applyNumberFormat="1" applyFill="1" applyBorder="1">
      <alignment vertical="top"/>
    </xf>
    <xf numFmtId="10" fontId="8" fillId="4" borderId="2" xfId="55" applyNumberFormat="1" applyBorder="1">
      <alignment vertical="top"/>
    </xf>
    <xf numFmtId="10" fontId="8" fillId="0" borderId="0" xfId="60" applyNumberFormat="1" applyBorder="1" applyAlignment="1"/>
    <xf numFmtId="10" fontId="8" fillId="0" borderId="3" xfId="60" applyNumberFormat="1" applyBorder="1" applyAlignment="1"/>
    <xf numFmtId="10" fontId="8" fillId="4" borderId="3" xfId="55" applyNumberFormat="1" applyBorder="1">
      <alignment vertical="top"/>
    </xf>
    <xf numFmtId="3" fontId="34" fillId="0" borderId="0" xfId="52" applyNumberFormat="1" applyBorder="1" applyAlignment="1"/>
    <xf numFmtId="0" fontId="0" fillId="47" borderId="0" xfId="0" applyFill="1" applyBorder="1"/>
    <xf numFmtId="0" fontId="25" fillId="0" borderId="0" xfId="0" applyFont="1" applyAlignment="1" applyProtection="1">
      <alignment horizontal="left" vertical="center" wrapText="1"/>
    </xf>
    <xf numFmtId="0" fontId="7" fillId="0" borderId="0" xfId="50" applyFill="1" applyAlignment="1" applyProtection="1">
      <alignment vertical="top" wrapText="1"/>
    </xf>
    <xf numFmtId="0" fontId="0" fillId="0" borderId="0" xfId="0" applyFont="1" applyAlignment="1" applyProtection="1">
      <alignment vertical="center"/>
    </xf>
    <xf numFmtId="0" fontId="0" fillId="0" borderId="0" xfId="0" applyProtection="1"/>
    <xf numFmtId="166" fontId="34" fillId="0" borderId="0" xfId="52" applyNumberFormat="1" applyBorder="1" applyAlignment="1" applyProtection="1">
      <alignment horizontal="left" vertical="center"/>
    </xf>
    <xf numFmtId="0" fontId="0" fillId="0" borderId="0" xfId="0" applyFont="1" applyAlignment="1" applyProtection="1">
      <alignment vertical="center" wrapText="1"/>
    </xf>
    <xf numFmtId="0" fontId="0" fillId="0" borderId="0" xfId="0" applyAlignment="1" applyProtection="1"/>
    <xf numFmtId="166" fontId="34" fillId="0" borderId="0" xfId="52" applyNumberFormat="1" applyBorder="1" applyAlignment="1">
      <alignment horizontal="left" vertical="center"/>
    </xf>
    <xf numFmtId="0" fontId="34" fillId="0" borderId="0" xfId="52" applyNumberFormat="1" applyBorder="1" applyAlignment="1">
      <alignment horizontal="left" vertical="center"/>
    </xf>
    <xf numFmtId="0" fontId="22" fillId="37" borderId="0" xfId="48" applyAlignment="1">
      <alignment vertical="top"/>
    </xf>
    <xf numFmtId="4" fontId="8" fillId="4" borderId="2" xfId="55" applyNumberFormat="1" applyBorder="1" applyAlignment="1">
      <alignment vertical="top"/>
    </xf>
    <xf numFmtId="9" fontId="8" fillId="4" borderId="2" xfId="55" applyNumberFormat="1" applyBorder="1" applyAlignment="1">
      <alignment vertical="top"/>
    </xf>
    <xf numFmtId="0" fontId="36" fillId="0" borderId="0" xfId="0" applyNumberFormat="1" applyFont="1" applyBorder="1" applyAlignment="1" applyProtection="1">
      <alignment horizontal="left" indent="1"/>
    </xf>
    <xf numFmtId="0" fontId="0" fillId="0" borderId="0" xfId="0" applyNumberFormat="1" applyBorder="1" applyAlignment="1" applyProtection="1">
      <alignment horizontal="left"/>
    </xf>
    <xf numFmtId="0" fontId="0" fillId="0" borderId="0" xfId="0" applyNumberFormat="1" applyBorder="1" applyAlignment="1" applyProtection="1">
      <alignment horizontal="right"/>
    </xf>
    <xf numFmtId="171" fontId="34" fillId="0" borderId="2" xfId="52" applyNumberFormat="1" applyBorder="1" applyAlignment="1">
      <alignment horizontal="right"/>
    </xf>
    <xf numFmtId="171" fontId="0" fillId="0" borderId="2" xfId="0" applyNumberFormat="1" applyFont="1" applyBorder="1" applyAlignment="1">
      <alignment horizontal="right"/>
    </xf>
    <xf numFmtId="171" fontId="34" fillId="0" borderId="0" xfId="52" applyNumberFormat="1" applyBorder="1" applyAlignment="1">
      <alignment horizontal="right"/>
    </xf>
    <xf numFmtId="171" fontId="0" fillId="0" borderId="0" xfId="0" applyNumberFormat="1" applyFont="1" applyBorder="1" applyAlignment="1">
      <alignment horizontal="right"/>
    </xf>
    <xf numFmtId="171" fontId="34" fillId="0" borderId="3" xfId="52" applyNumberFormat="1" applyBorder="1" applyAlignment="1">
      <alignment horizontal="right"/>
    </xf>
    <xf numFmtId="171" fontId="0" fillId="0" borderId="3" xfId="0" applyNumberFormat="1" applyFont="1" applyBorder="1" applyAlignment="1">
      <alignment horizontal="right"/>
    </xf>
    <xf numFmtId="171" fontId="0" fillId="0" borderId="0" xfId="0" applyNumberFormat="1" applyAlignment="1">
      <alignment horizontal="right"/>
    </xf>
    <xf numFmtId="171" fontId="8" fillId="4" borderId="2" xfId="55" applyNumberFormat="1" applyBorder="1">
      <alignment vertical="top"/>
    </xf>
    <xf numFmtId="171" fontId="8" fillId="4" borderId="0" xfId="55" applyNumberFormat="1" applyBorder="1">
      <alignment vertical="top"/>
    </xf>
    <xf numFmtId="171" fontId="8" fillId="4" borderId="3" xfId="55" applyNumberFormat="1" applyBorder="1">
      <alignment vertical="top"/>
    </xf>
    <xf numFmtId="171" fontId="22" fillId="37" borderId="0" xfId="48" applyNumberFormat="1" applyAlignment="1">
      <alignment horizontal="right"/>
    </xf>
    <xf numFmtId="171" fontId="22" fillId="37" borderId="0" xfId="48" applyNumberFormat="1"/>
    <xf numFmtId="171" fontId="0" fillId="0" borderId="0" xfId="0" applyNumberFormat="1" applyFont="1" applyAlignment="1">
      <alignment horizontal="right"/>
    </xf>
    <xf numFmtId="171" fontId="8" fillId="4" borderId="2" xfId="55" applyNumberFormat="1" applyBorder="1" applyAlignment="1">
      <alignment horizontal="right" vertical="top"/>
    </xf>
    <xf numFmtId="171" fontId="0" fillId="0" borderId="2" xfId="0" applyNumberFormat="1" applyBorder="1" applyAlignment="1">
      <alignment horizontal="right"/>
    </xf>
    <xf numFmtId="171" fontId="8" fillId="4" borderId="0" xfId="55" applyNumberFormat="1" applyBorder="1" applyAlignment="1">
      <alignment horizontal="right" vertical="top"/>
    </xf>
    <xf numFmtId="171" fontId="8" fillId="0" borderId="0" xfId="60" applyNumberFormat="1" applyBorder="1" applyAlignment="1">
      <alignment horizontal="right"/>
    </xf>
    <xf numFmtId="171" fontId="8" fillId="0" borderId="3" xfId="60" applyNumberFormat="1" applyBorder="1" applyAlignment="1">
      <alignment horizontal="right"/>
    </xf>
    <xf numFmtId="171" fontId="0" fillId="0" borderId="0" xfId="0" applyNumberFormat="1" applyBorder="1" applyAlignment="1">
      <alignment horizontal="right"/>
    </xf>
    <xf numFmtId="171" fontId="8" fillId="4" borderId="3" xfId="55" applyNumberFormat="1" applyBorder="1" applyAlignment="1">
      <alignment horizontal="right" vertical="top"/>
    </xf>
    <xf numFmtId="171" fontId="0" fillId="0" borderId="3" xfId="0" applyNumberFormat="1" applyBorder="1" applyAlignment="1">
      <alignment horizontal="right"/>
    </xf>
    <xf numFmtId="171" fontId="0" fillId="0" borderId="0" xfId="0" applyNumberFormat="1"/>
    <xf numFmtId="171" fontId="8" fillId="0" borderId="2" xfId="60" applyNumberFormat="1" applyBorder="1" applyAlignment="1">
      <alignment horizontal="right"/>
    </xf>
    <xf numFmtId="171" fontId="34" fillId="0" borderId="2" xfId="52" applyNumberFormat="1" applyBorder="1"/>
    <xf numFmtId="171" fontId="0" fillId="0" borderId="2" xfId="0" applyNumberFormat="1" applyFont="1" applyBorder="1" applyAlignment="1">
      <alignment horizontal="left"/>
    </xf>
    <xf numFmtId="171" fontId="34" fillId="0" borderId="0" xfId="52" applyNumberFormat="1" applyBorder="1"/>
    <xf numFmtId="171" fontId="0" fillId="0" borderId="0" xfId="0" applyNumberFormat="1" applyFont="1" applyBorder="1" applyAlignment="1">
      <alignment horizontal="left"/>
    </xf>
    <xf numFmtId="171" fontId="34" fillId="0" borderId="3" xfId="52" applyNumberFormat="1" applyBorder="1"/>
    <xf numFmtId="171" fontId="0" fillId="0" borderId="3" xfId="0" applyNumberFormat="1" applyFont="1" applyBorder="1" applyAlignment="1">
      <alignment horizontal="left"/>
    </xf>
    <xf numFmtId="171" fontId="22" fillId="0" borderId="0" xfId="0" applyNumberFormat="1" applyFont="1" applyBorder="1" applyAlignment="1">
      <alignment horizontal="left"/>
    </xf>
    <xf numFmtId="171" fontId="0" fillId="0" borderId="0" xfId="0" applyNumberFormat="1" applyFont="1" applyAlignment="1">
      <alignment horizontal="left"/>
    </xf>
    <xf numFmtId="171" fontId="0" fillId="0" borderId="0" xfId="0" applyNumberFormat="1" applyFont="1" applyBorder="1"/>
    <xf numFmtId="171" fontId="0" fillId="0" borderId="3" xfId="0" applyNumberFormat="1" applyFont="1" applyBorder="1"/>
    <xf numFmtId="171" fontId="8" fillId="0" borderId="0" xfId="60" applyNumberFormat="1" applyBorder="1" applyAlignment="1"/>
    <xf numFmtId="171" fontId="22" fillId="0" borderId="0" xfId="0" applyNumberFormat="1" applyFont="1" applyBorder="1"/>
    <xf numFmtId="171" fontId="0" fillId="0" borderId="2" xfId="0" applyNumberFormat="1" applyFont="1" applyBorder="1"/>
    <xf numFmtId="171" fontId="8" fillId="0" borderId="2" xfId="60" applyNumberFormat="1" applyBorder="1" applyAlignment="1"/>
    <xf numFmtId="171" fontId="8" fillId="0" borderId="3" xfId="60" applyNumberFormat="1" applyBorder="1" applyAlignment="1"/>
    <xf numFmtId="171" fontId="8" fillId="0" borderId="1" xfId="60" applyNumberFormat="1" applyBorder="1" applyAlignment="1"/>
    <xf numFmtId="171" fontId="8" fillId="0" borderId="4" xfId="60" applyNumberFormat="1" applyBorder="1" applyAlignment="1"/>
    <xf numFmtId="171" fontId="0" fillId="0" borderId="0" xfId="0" applyNumberFormat="1" applyBorder="1"/>
    <xf numFmtId="171" fontId="0" fillId="0" borderId="3" xfId="0" applyNumberFormat="1" applyBorder="1"/>
    <xf numFmtId="171" fontId="33" fillId="0" borderId="0" xfId="56" applyNumberFormat="1" applyBorder="1"/>
    <xf numFmtId="171" fontId="33" fillId="0" borderId="2" xfId="56" applyNumberFormat="1" applyBorder="1"/>
    <xf numFmtId="171" fontId="33" fillId="0" borderId="0" xfId="56" applyNumberFormat="1"/>
    <xf numFmtId="171" fontId="33" fillId="0" borderId="3" xfId="56" applyNumberFormat="1" applyBorder="1"/>
    <xf numFmtId="171" fontId="8" fillId="0" borderId="0" xfId="60" applyNumberFormat="1" applyAlignment="1"/>
    <xf numFmtId="171" fontId="0" fillId="0" borderId="0" xfId="0" applyNumberFormat="1" applyAlignment="1">
      <alignment vertical="top"/>
    </xf>
    <xf numFmtId="171" fontId="0" fillId="0" borderId="2" xfId="0" applyNumberFormat="1" applyBorder="1"/>
    <xf numFmtId="171" fontId="0" fillId="0" borderId="0" xfId="0" applyNumberFormat="1" applyFill="1"/>
    <xf numFmtId="171" fontId="34" fillId="0" borderId="0" xfId="52" applyNumberFormat="1" applyBorder="1" applyAlignment="1"/>
    <xf numFmtId="171" fontId="34" fillId="0" borderId="3" xfId="52" applyNumberFormat="1" applyBorder="1" applyAlignment="1"/>
    <xf numFmtId="171" fontId="0" fillId="5" borderId="0" xfId="0" applyNumberFormat="1" applyFill="1"/>
    <xf numFmtId="171" fontId="7" fillId="0" borderId="0" xfId="50" applyNumberFormat="1"/>
    <xf numFmtId="171" fontId="8" fillId="4" borderId="0" xfId="55" applyNumberFormat="1">
      <alignment vertical="top"/>
    </xf>
    <xf numFmtId="171" fontId="8" fillId="0" borderId="0" xfId="55" applyNumberFormat="1" applyFill="1" applyBorder="1">
      <alignment vertical="top"/>
    </xf>
    <xf numFmtId="171" fontId="0" fillId="0" borderId="4" xfId="0" applyNumberFormat="1" applyBorder="1"/>
    <xf numFmtId="171" fontId="22" fillId="37" borderId="0" xfId="48" applyNumberFormat="1" applyBorder="1"/>
    <xf numFmtId="171" fontId="8" fillId="0" borderId="0" xfId="60" applyNumberFormat="1" applyBorder="1" applyAlignment="1">
      <alignment vertical="center"/>
    </xf>
    <xf numFmtId="171" fontId="1" fillId="5" borderId="0" xfId="49" applyNumberFormat="1"/>
    <xf numFmtId="171" fontId="22" fillId="37" borderId="0" xfId="48" applyNumberFormat="1" applyAlignment="1">
      <alignment vertical="top"/>
    </xf>
    <xf numFmtId="171" fontId="0" fillId="0" borderId="0" xfId="0" applyNumberFormat="1" applyFill="1" applyBorder="1"/>
    <xf numFmtId="171" fontId="33" fillId="0" borderId="2" xfId="56" applyNumberFormat="1" applyBorder="1" applyAlignment="1">
      <alignment horizontal="right"/>
    </xf>
    <xf numFmtId="171" fontId="33" fillId="0" borderId="0" xfId="56" applyNumberFormat="1" applyBorder="1" applyAlignment="1">
      <alignment horizontal="right"/>
    </xf>
    <xf numFmtId="171" fontId="33" fillId="0" borderId="3" xfId="56" applyNumberFormat="1" applyBorder="1" applyAlignment="1">
      <alignment horizontal="right"/>
    </xf>
    <xf numFmtId="171" fontId="0" fillId="0" borderId="4" xfId="0" applyNumberFormat="1" applyBorder="1" applyAlignment="1">
      <alignment horizontal="right"/>
    </xf>
    <xf numFmtId="171" fontId="8" fillId="4" borderId="4" xfId="55" applyNumberFormat="1" applyBorder="1" applyAlignment="1">
      <alignment horizontal="right" vertical="top"/>
    </xf>
    <xf numFmtId="171" fontId="8" fillId="0" borderId="15" xfId="60" applyNumberFormat="1" applyBorder="1" applyAlignment="1"/>
    <xf numFmtId="171" fontId="23" fillId="0" borderId="0" xfId="0" applyNumberFormat="1" applyFont="1" applyAlignment="1">
      <alignment horizontal="right"/>
    </xf>
    <xf numFmtId="171" fontId="8" fillId="0" borderId="4" xfId="60" applyNumberFormat="1" applyBorder="1" applyAlignment="1">
      <alignment horizontal="right"/>
    </xf>
    <xf numFmtId="168" fontId="8" fillId="4" borderId="0" xfId="55" applyNumberFormat="1" applyBorder="1">
      <alignment vertical="top"/>
    </xf>
    <xf numFmtId="168" fontId="8" fillId="4" borderId="3" xfId="55" applyNumberFormat="1" applyBorder="1">
      <alignment vertical="top"/>
    </xf>
    <xf numFmtId="171" fontId="8" fillId="39" borderId="2" xfId="65" applyNumberFormat="1" applyFont="1" applyBorder="1" applyAlignment="1">
      <alignment horizontal="right"/>
    </xf>
    <xf numFmtId="171" fontId="7" fillId="0" borderId="2" xfId="0" applyNumberFormat="1" applyFont="1" applyBorder="1" applyAlignment="1">
      <alignment horizontal="right"/>
    </xf>
    <xf numFmtId="171" fontId="8" fillId="39" borderId="0" xfId="65" applyNumberFormat="1" applyFont="1" applyBorder="1" applyAlignment="1">
      <alignment horizontal="right"/>
    </xf>
    <xf numFmtId="171" fontId="7" fillId="0" borderId="0" xfId="0" applyNumberFormat="1" applyFont="1" applyBorder="1" applyAlignment="1">
      <alignment horizontal="right"/>
    </xf>
    <xf numFmtId="171" fontId="8" fillId="39" borderId="3" xfId="65" applyNumberFormat="1" applyFont="1" applyBorder="1" applyAlignment="1">
      <alignment horizontal="right"/>
    </xf>
    <xf numFmtId="171" fontId="7" fillId="0" borderId="3" xfId="0" applyNumberFormat="1" applyFont="1" applyBorder="1" applyAlignment="1">
      <alignment horizontal="right"/>
    </xf>
    <xf numFmtId="171" fontId="7" fillId="0" borderId="0" xfId="0" applyNumberFormat="1" applyFont="1" applyAlignment="1">
      <alignment horizontal="right"/>
    </xf>
    <xf numFmtId="0" fontId="0" fillId="0" borderId="0" xfId="0"/>
    <xf numFmtId="0" fontId="26" fillId="48" borderId="0" xfId="54" quotePrefix="1" applyFill="1"/>
    <xf numFmtId="0" fontId="26" fillId="48" borderId="23" xfId="54" quotePrefix="1" applyFill="1" applyBorder="1"/>
    <xf numFmtId="0" fontId="29" fillId="3" borderId="0" xfId="1" applyNumberFormat="1" applyFont="1" applyAlignment="1">
      <alignment horizontal="left"/>
    </xf>
    <xf numFmtId="0" fontId="0" fillId="0" borderId="0" xfId="0" applyAlignment="1" applyProtection="1">
      <alignment horizontal="left" vertical="center" wrapText="1"/>
    </xf>
    <xf numFmtId="170" fontId="33" fillId="0" borderId="2" xfId="56" applyNumberFormat="1" applyBorder="1"/>
    <xf numFmtId="0" fontId="8" fillId="0" borderId="4" xfId="0" applyFont="1" applyBorder="1"/>
    <xf numFmtId="49" fontId="0" fillId="0" borderId="2" xfId="50" applyNumberFormat="1" applyFont="1" applyBorder="1" applyAlignment="1"/>
    <xf numFmtId="0" fontId="35" fillId="0" borderId="0" xfId="58" applyAlignment="1">
      <alignment horizontal="left"/>
    </xf>
    <xf numFmtId="172" fontId="8" fillId="0" borderId="4" xfId="60" applyNumberFormat="1" applyBorder="1" applyAlignment="1"/>
    <xf numFmtId="10" fontId="34" fillId="0" borderId="0" xfId="52" applyNumberFormat="1" applyBorder="1"/>
    <xf numFmtId="172" fontId="8" fillId="0" borderId="1" xfId="60" applyNumberFormat="1" applyBorder="1" applyAlignment="1"/>
    <xf numFmtId="172" fontId="8" fillId="0" borderId="2" xfId="60" applyNumberFormat="1" applyBorder="1" applyAlignment="1"/>
    <xf numFmtId="172" fontId="8" fillId="0" borderId="0" xfId="60" applyNumberFormat="1" applyBorder="1" applyAlignment="1"/>
    <xf numFmtId="9" fontId="8" fillId="4" borderId="3" xfId="55" applyNumberFormat="1" applyBorder="1" applyAlignment="1">
      <alignment horizontal="right" vertical="top"/>
    </xf>
    <xf numFmtId="0" fontId="0" fillId="0" borderId="4" xfId="0" applyBorder="1" applyAlignment="1">
      <alignment horizontal="right"/>
    </xf>
    <xf numFmtId="9" fontId="8" fillId="0" borderId="4" xfId="60" applyNumberFormat="1" applyBorder="1" applyAlignment="1">
      <alignment horizontal="right"/>
    </xf>
    <xf numFmtId="9" fontId="8" fillId="4" borderId="4" xfId="55" applyNumberFormat="1" applyBorder="1" applyAlignment="1">
      <alignment horizontal="right" vertical="top"/>
    </xf>
    <xf numFmtId="9" fontId="8" fillId="0" borderId="3" xfId="60" applyNumberFormat="1" applyBorder="1" applyAlignment="1">
      <alignment horizontal="right"/>
    </xf>
    <xf numFmtId="0" fontId="29" fillId="3" borderId="0" xfId="1" applyNumberFormat="1" applyFont="1" applyAlignment="1">
      <alignment horizontal="right"/>
    </xf>
    <xf numFmtId="3" fontId="34" fillId="0" borderId="0" xfId="52" applyNumberFormat="1" applyBorder="1"/>
    <xf numFmtId="9" fontId="34" fillId="0" borderId="0" xfId="52" applyNumberFormat="1" applyBorder="1" applyAlignment="1">
      <alignment vertical="top"/>
    </xf>
    <xf numFmtId="0" fontId="0" fillId="0" borderId="2" xfId="0" applyBorder="1" applyAlignment="1"/>
    <xf numFmtId="0" fontId="0" fillId="0" borderId="3" xfId="0" applyBorder="1" applyAlignment="1"/>
    <xf numFmtId="0" fontId="0" fillId="0" borderId="0" xfId="0" applyNumberFormat="1" applyBorder="1"/>
    <xf numFmtId="0" fontId="5" fillId="0" borderId="0" xfId="0" applyFont="1" applyBorder="1"/>
    <xf numFmtId="0" fontId="8" fillId="0" borderId="4" xfId="0" applyFont="1" applyFill="1" applyBorder="1"/>
    <xf numFmtId="0" fontId="8" fillId="2" borderId="0" xfId="51" applyNumberFormat="1" applyBorder="1" applyAlignment="1" applyProtection="1">
      <alignment horizontal="left" vertical="top" wrapText="1"/>
      <protection locked="0"/>
    </xf>
    <xf numFmtId="0" fontId="7" fillId="38" borderId="0" xfId="59" applyBorder="1" applyAlignment="1" applyProtection="1">
      <protection locked="0"/>
    </xf>
    <xf numFmtId="0" fontId="8" fillId="2" borderId="0" xfId="51" applyBorder="1" applyProtection="1">
      <protection locked="0"/>
    </xf>
    <xf numFmtId="0" fontId="8" fillId="39" borderId="0" xfId="51" applyFill="1" applyBorder="1" applyProtection="1">
      <protection locked="0"/>
    </xf>
    <xf numFmtId="166" fontId="8" fillId="2" borderId="0" xfId="51" applyNumberFormat="1" applyBorder="1" applyAlignment="1" applyProtection="1">
      <alignment horizontal="left" vertical="top" wrapText="1"/>
      <protection locked="0"/>
    </xf>
    <xf numFmtId="0" fontId="8" fillId="2" borderId="0" xfId="51" applyNumberFormat="1" applyBorder="1" applyProtection="1">
      <protection locked="0"/>
    </xf>
    <xf numFmtId="0" fontId="8" fillId="2" borderId="0" xfId="51" applyFont="1" applyProtection="1">
      <protection locked="0"/>
    </xf>
    <xf numFmtId="0" fontId="8" fillId="2" borderId="2" xfId="51" applyBorder="1" applyAlignment="1" applyProtection="1">
      <alignment horizontal="right"/>
      <protection locked="0"/>
    </xf>
    <xf numFmtId="0" fontId="8" fillId="2" borderId="0" xfId="51" applyBorder="1" applyAlignment="1" applyProtection="1">
      <alignment horizontal="right"/>
      <protection locked="0"/>
    </xf>
    <xf numFmtId="0" fontId="8" fillId="2" borderId="3" xfId="51" applyBorder="1" applyAlignment="1" applyProtection="1">
      <alignment horizontal="right"/>
      <protection locked="0"/>
    </xf>
    <xf numFmtId="9" fontId="8" fillId="2" borderId="2" xfId="51" applyNumberFormat="1" applyBorder="1" applyAlignment="1" applyProtection="1">
      <alignment horizontal="right"/>
      <protection locked="0"/>
    </xf>
    <xf numFmtId="9" fontId="8" fillId="2" borderId="0" xfId="51" applyNumberFormat="1" applyBorder="1" applyAlignment="1" applyProtection="1">
      <alignment horizontal="right"/>
      <protection locked="0"/>
    </xf>
    <xf numFmtId="9" fontId="8" fillId="2" borderId="3" xfId="51" applyNumberFormat="1" applyBorder="1" applyAlignment="1" applyProtection="1">
      <alignment horizontal="right"/>
      <protection locked="0"/>
    </xf>
    <xf numFmtId="9" fontId="7" fillId="38" borderId="2" xfId="59" applyNumberFormat="1" applyBorder="1" applyAlignment="1" applyProtection="1">
      <alignment horizontal="right" vertical="top"/>
      <protection locked="0"/>
    </xf>
    <xf numFmtId="9" fontId="7" fillId="38" borderId="0" xfId="59" applyNumberFormat="1" applyBorder="1" applyAlignment="1" applyProtection="1">
      <alignment horizontal="right" vertical="top"/>
      <protection locked="0"/>
    </xf>
    <xf numFmtId="9" fontId="7" fillId="38" borderId="3" xfId="59" applyNumberFormat="1" applyBorder="1" applyAlignment="1" applyProtection="1">
      <alignment horizontal="right" vertical="top"/>
      <protection locked="0"/>
    </xf>
    <xf numFmtId="0" fontId="7" fillId="38" borderId="2" xfId="59" applyBorder="1" applyAlignment="1" applyProtection="1">
      <alignment horizontal="left"/>
      <protection locked="0"/>
    </xf>
    <xf numFmtId="0" fontId="7" fillId="38" borderId="0" xfId="59" applyBorder="1" applyAlignment="1" applyProtection="1">
      <alignment horizontal="left"/>
      <protection locked="0"/>
    </xf>
    <xf numFmtId="0" fontId="7" fillId="38" borderId="3" xfId="59" applyBorder="1" applyAlignment="1" applyProtection="1">
      <alignment horizontal="left"/>
      <protection locked="0"/>
    </xf>
    <xf numFmtId="171" fontId="8" fillId="2" borderId="2" xfId="51" applyNumberFormat="1" applyBorder="1" applyAlignment="1" applyProtection="1">
      <alignment horizontal="right"/>
      <protection locked="0"/>
    </xf>
    <xf numFmtId="171" fontId="8" fillId="2" borderId="0" xfId="51" applyNumberFormat="1" applyBorder="1" applyAlignment="1" applyProtection="1">
      <alignment horizontal="right"/>
      <protection locked="0"/>
    </xf>
    <xf numFmtId="171" fontId="8" fillId="2" borderId="3" xfId="51" applyNumberFormat="1" applyBorder="1" applyAlignment="1" applyProtection="1">
      <alignment horizontal="right"/>
      <protection locked="0"/>
    </xf>
    <xf numFmtId="9" fontId="7" fillId="38" borderId="0" xfId="59" applyNumberFormat="1" applyBorder="1" applyAlignment="1" applyProtection="1">
      <alignment horizontal="right"/>
      <protection locked="0"/>
    </xf>
    <xf numFmtId="9" fontId="7" fillId="38" borderId="3" xfId="59" applyNumberFormat="1" applyBorder="1" applyAlignment="1" applyProtection="1">
      <alignment horizontal="right"/>
      <protection locked="0"/>
    </xf>
    <xf numFmtId="171" fontId="8" fillId="2" borderId="2" xfId="51" applyNumberFormat="1" applyBorder="1" applyProtection="1">
      <protection locked="0"/>
    </xf>
    <xf numFmtId="171" fontId="8" fillId="2" borderId="0" xfId="51" applyNumberFormat="1" applyBorder="1" applyProtection="1">
      <protection locked="0"/>
    </xf>
    <xf numFmtId="171" fontId="8" fillId="2" borderId="3" xfId="51" applyNumberFormat="1" applyBorder="1" applyProtection="1">
      <protection locked="0"/>
    </xf>
    <xf numFmtId="10" fontId="8" fillId="2" borderId="0" xfId="51" applyNumberFormat="1" applyBorder="1" applyProtection="1">
      <protection locked="0"/>
    </xf>
    <xf numFmtId="0" fontId="7" fillId="38" borderId="2" xfId="59" applyBorder="1" applyAlignment="1" applyProtection="1">
      <protection locked="0"/>
    </xf>
    <xf numFmtId="0" fontId="7" fillId="38" borderId="3" xfId="59" applyBorder="1" applyAlignment="1" applyProtection="1">
      <protection locked="0"/>
    </xf>
    <xf numFmtId="0" fontId="7" fillId="38" borderId="0" xfId="59" applyNumberFormat="1" applyBorder="1" applyAlignment="1" applyProtection="1">
      <protection locked="0"/>
    </xf>
    <xf numFmtId="9" fontId="7" fillId="38" borderId="0" xfId="59" applyNumberFormat="1" applyBorder="1" applyAlignment="1" applyProtection="1">
      <protection locked="0"/>
    </xf>
    <xf numFmtId="0" fontId="7" fillId="38" borderId="2" xfId="59" applyNumberFormat="1" applyBorder="1" applyAlignment="1" applyProtection="1">
      <protection locked="0"/>
    </xf>
    <xf numFmtId="0" fontId="7" fillId="38" borderId="3" xfId="59" applyNumberFormat="1" applyBorder="1" applyAlignment="1" applyProtection="1">
      <protection locked="0"/>
    </xf>
    <xf numFmtId="9" fontId="7" fillId="38" borderId="3" xfId="59" applyNumberFormat="1" applyBorder="1" applyAlignment="1" applyProtection="1">
      <protection locked="0"/>
    </xf>
    <xf numFmtId="0" fontId="7" fillId="38" borderId="0" xfId="59" applyBorder="1" applyAlignment="1" applyProtection="1">
      <alignment horizontal="right"/>
      <protection locked="0"/>
    </xf>
    <xf numFmtId="0" fontId="7" fillId="38" borderId="0" xfId="59" applyNumberFormat="1" applyBorder="1" applyAlignment="1" applyProtection="1">
      <alignment horizontal="right"/>
      <protection locked="0"/>
    </xf>
    <xf numFmtId="0" fontId="7" fillId="38" borderId="0" xfId="59" applyAlignment="1" applyProtection="1">
      <protection locked="0"/>
    </xf>
    <xf numFmtId="171" fontId="8" fillId="39" borderId="2" xfId="65" applyNumberFormat="1" applyFont="1" applyBorder="1" applyAlignment="1" applyProtection="1">
      <alignment horizontal="right"/>
      <protection locked="0"/>
    </xf>
    <xf numFmtId="171" fontId="8" fillId="39" borderId="0" xfId="65" applyNumberFormat="1" applyFont="1" applyBorder="1" applyAlignment="1" applyProtection="1">
      <alignment horizontal="right"/>
      <protection locked="0"/>
    </xf>
    <xf numFmtId="171" fontId="8" fillId="39" borderId="3" xfId="65" applyNumberFormat="1" applyFont="1" applyBorder="1" applyAlignment="1" applyProtection="1">
      <alignment horizontal="right"/>
      <protection locked="0"/>
    </xf>
    <xf numFmtId="171" fontId="7" fillId="0" borderId="0" xfId="0" applyNumberFormat="1" applyFont="1" applyAlignment="1" applyProtection="1">
      <alignment horizontal="right"/>
      <protection locked="0"/>
    </xf>
    <xf numFmtId="171" fontId="8" fillId="4" borderId="0" xfId="55" applyNumberFormat="1" applyBorder="1" applyProtection="1">
      <alignment vertical="top"/>
      <protection locked="0"/>
    </xf>
    <xf numFmtId="171" fontId="8" fillId="4" borderId="3" xfId="55" applyNumberFormat="1" applyBorder="1" applyProtection="1">
      <alignment vertical="top"/>
      <protection locked="0"/>
    </xf>
    <xf numFmtId="167" fontId="8" fillId="39" borderId="2" xfId="65" applyNumberFormat="1" applyFont="1" applyBorder="1" applyAlignment="1" applyProtection="1">
      <alignment horizontal="right"/>
      <protection locked="0"/>
    </xf>
    <xf numFmtId="168" fontId="8" fillId="39" borderId="2" xfId="65" applyNumberFormat="1" applyFont="1" applyBorder="1" applyAlignment="1" applyProtection="1">
      <alignment horizontal="right"/>
      <protection locked="0"/>
    </xf>
    <xf numFmtId="167" fontId="8" fillId="39" borderId="0" xfId="65" applyNumberFormat="1" applyFont="1" applyBorder="1" applyAlignment="1" applyProtection="1">
      <alignment horizontal="right"/>
      <protection locked="0"/>
    </xf>
    <xf numFmtId="168" fontId="8" fillId="39" borderId="0" xfId="65" applyNumberFormat="1" applyFont="1" applyBorder="1" applyAlignment="1" applyProtection="1">
      <alignment horizontal="right"/>
      <protection locked="0"/>
    </xf>
    <xf numFmtId="167" fontId="8" fillId="39" borderId="3" xfId="65" applyNumberFormat="1" applyFont="1" applyBorder="1" applyAlignment="1" applyProtection="1">
      <alignment horizontal="right"/>
      <protection locked="0"/>
    </xf>
    <xf numFmtId="168" fontId="8" fillId="39" borderId="3" xfId="65" applyNumberFormat="1" applyFont="1" applyBorder="1" applyAlignment="1" applyProtection="1">
      <alignment horizontal="right"/>
      <protection locked="0"/>
    </xf>
    <xf numFmtId="0" fontId="0" fillId="0" borderId="0" xfId="0" applyAlignment="1" applyProtection="1">
      <alignment horizontal="right"/>
      <protection locked="0"/>
    </xf>
    <xf numFmtId="168" fontId="0" fillId="0" borderId="0" xfId="0" applyNumberFormat="1" applyAlignment="1" applyProtection="1">
      <alignment horizontal="right"/>
      <protection locked="0"/>
    </xf>
    <xf numFmtId="167" fontId="8" fillId="4" borderId="0" xfId="55" applyNumberFormat="1" applyBorder="1" applyProtection="1">
      <alignment vertical="top"/>
      <protection locked="0"/>
    </xf>
    <xf numFmtId="168" fontId="8" fillId="4" borderId="0" xfId="55" applyNumberFormat="1" applyBorder="1" applyProtection="1">
      <alignment vertical="top"/>
      <protection locked="0"/>
    </xf>
    <xf numFmtId="167" fontId="8" fillId="4" borderId="3" xfId="55" applyNumberFormat="1" applyBorder="1" applyProtection="1">
      <alignment vertical="top"/>
      <protection locked="0"/>
    </xf>
    <xf numFmtId="168" fontId="8" fillId="4" borderId="3" xfId="55" applyNumberFormat="1" applyBorder="1" applyProtection="1">
      <alignment vertical="top"/>
      <protection locked="0"/>
    </xf>
    <xf numFmtId="0" fontId="0" fillId="0" borderId="0" xfId="0" applyProtection="1">
      <protection locked="0"/>
    </xf>
    <xf numFmtId="168" fontId="0" fillId="0" borderId="0" xfId="0" applyNumberFormat="1" applyProtection="1">
      <protection locked="0"/>
    </xf>
    <xf numFmtId="171" fontId="8" fillId="4" borderId="0" xfId="55" applyNumberFormat="1" applyBorder="1" applyProtection="1">
      <alignment vertical="top"/>
    </xf>
    <xf numFmtId="171" fontId="8" fillId="4" borderId="3" xfId="55" applyNumberFormat="1" applyBorder="1" applyProtection="1">
      <alignment vertical="top"/>
    </xf>
    <xf numFmtId="171" fontId="8" fillId="4" borderId="2" xfId="55" applyNumberFormat="1" applyBorder="1" applyProtection="1">
      <alignment vertical="top"/>
    </xf>
    <xf numFmtId="0" fontId="0" fillId="0" borderId="0" xfId="64" applyFont="1" applyBorder="1"/>
    <xf numFmtId="0" fontId="2" fillId="0" borderId="0" xfId="64" applyFont="1" applyBorder="1"/>
    <xf numFmtId="0" fontId="7" fillId="0" borderId="0" xfId="64" applyNumberFormat="1" applyBorder="1" applyAlignment="1">
      <alignment horizontal="left"/>
    </xf>
    <xf numFmtId="171" fontId="8" fillId="0" borderId="0" xfId="64" applyNumberFormat="1" applyFont="1" applyBorder="1" applyAlignment="1">
      <alignment vertical="top"/>
    </xf>
    <xf numFmtId="171" fontId="33" fillId="0" borderId="0" xfId="64" applyNumberFormat="1" applyFont="1" applyBorder="1"/>
    <xf numFmtId="3" fontId="8" fillId="4" borderId="0" xfId="55" applyNumberFormat="1" applyBorder="1" applyProtection="1">
      <alignment vertical="top"/>
    </xf>
    <xf numFmtId="0" fontId="7" fillId="0" borderId="0" xfId="64" applyNumberFormat="1" applyBorder="1" applyAlignment="1"/>
    <xf numFmtId="173" fontId="0" fillId="0" borderId="2" xfId="0" applyNumberFormat="1" applyBorder="1"/>
    <xf numFmtId="173" fontId="34" fillId="0" borderId="2" xfId="52" applyNumberFormat="1" applyBorder="1"/>
    <xf numFmtId="173" fontId="0" fillId="0" borderId="0" xfId="0" applyNumberFormat="1"/>
    <xf numFmtId="173" fontId="0" fillId="0" borderId="0" xfId="0" applyNumberFormat="1" applyBorder="1"/>
    <xf numFmtId="173" fontId="34" fillId="0" borderId="0" xfId="52" applyNumberFormat="1" applyBorder="1"/>
    <xf numFmtId="173" fontId="0" fillId="0" borderId="3" xfId="0" applyNumberFormat="1" applyBorder="1"/>
    <xf numFmtId="173" fontId="34" fillId="0" borderId="3" xfId="52" applyNumberFormat="1" applyBorder="1"/>
    <xf numFmtId="173" fontId="34" fillId="0" borderId="2" xfId="52" applyNumberFormat="1" applyBorder="1" applyAlignment="1">
      <alignment horizontal="right"/>
    </xf>
    <xf numFmtId="173" fontId="34" fillId="0" borderId="0" xfId="52" applyNumberFormat="1" applyBorder="1" applyAlignment="1">
      <alignment horizontal="right"/>
    </xf>
    <xf numFmtId="173" fontId="34" fillId="0" borderId="3" xfId="52" applyNumberFormat="1" applyBorder="1" applyAlignment="1">
      <alignment horizontal="right"/>
    </xf>
    <xf numFmtId="173" fontId="8" fillId="4" borderId="3" xfId="55" applyNumberFormat="1" applyBorder="1">
      <alignment vertical="top"/>
    </xf>
    <xf numFmtId="173" fontId="34" fillId="0" borderId="3" xfId="52" applyNumberFormat="1" applyBorder="1" applyAlignment="1">
      <alignment vertical="top"/>
    </xf>
    <xf numFmtId="173" fontId="33" fillId="0" borderId="2" xfId="56" applyNumberFormat="1" applyBorder="1"/>
    <xf numFmtId="173" fontId="33" fillId="0" borderId="0" xfId="56" applyNumberFormat="1" applyBorder="1"/>
    <xf numFmtId="173" fontId="8" fillId="4" borderId="2" xfId="55" applyNumberFormat="1" applyBorder="1">
      <alignment vertical="top"/>
    </xf>
    <xf numFmtId="173" fontId="8" fillId="0" borderId="2" xfId="60" applyNumberFormat="1" applyBorder="1" applyAlignment="1"/>
    <xf numFmtId="173" fontId="8" fillId="0" borderId="0" xfId="60" applyNumberFormat="1" applyBorder="1" applyAlignment="1"/>
    <xf numFmtId="173" fontId="0" fillId="0" borderId="0" xfId="0" applyNumberFormat="1" applyFont="1"/>
    <xf numFmtId="173" fontId="8" fillId="4" borderId="0" xfId="55" applyNumberFormat="1" applyBorder="1">
      <alignment vertical="top"/>
    </xf>
    <xf numFmtId="173" fontId="33" fillId="0" borderId="3" xfId="56" applyNumberFormat="1" applyBorder="1"/>
    <xf numFmtId="173" fontId="8" fillId="0" borderId="3" xfId="60" applyNumberFormat="1" applyBorder="1" applyAlignment="1"/>
    <xf numFmtId="173" fontId="0" fillId="0" borderId="15" xfId="0" applyNumberFormat="1" applyBorder="1"/>
    <xf numFmtId="173" fontId="8" fillId="0" borderId="16" xfId="60" applyNumberFormat="1" applyBorder="1" applyAlignment="1"/>
    <xf numFmtId="173" fontId="34" fillId="0" borderId="2" xfId="52" applyNumberFormat="1" applyBorder="1" applyAlignment="1"/>
    <xf numFmtId="173" fontId="34" fillId="0" borderId="0" xfId="52" applyNumberFormat="1" applyBorder="1" applyAlignment="1"/>
    <xf numFmtId="173" fontId="34" fillId="0" borderId="0" xfId="52" applyNumberFormat="1" applyBorder="1" applyAlignment="1">
      <alignment vertical="top"/>
    </xf>
    <xf numFmtId="173" fontId="34" fillId="0" borderId="3" xfId="52" applyNumberFormat="1" applyBorder="1" applyAlignment="1"/>
    <xf numFmtId="166" fontId="0" fillId="2" borderId="0" xfId="51" applyNumberFormat="1" applyFont="1" applyBorder="1" applyAlignment="1" applyProtection="1">
      <alignment horizontal="left" vertical="top" wrapText="1"/>
      <protection locked="0"/>
    </xf>
    <xf numFmtId="0" fontId="8" fillId="2" borderId="0" xfId="51" applyFont="1" applyAlignment="1" applyProtection="1">
      <alignment wrapText="1"/>
      <protection locked="0"/>
    </xf>
    <xf numFmtId="0" fontId="0" fillId="0" borderId="0" xfId="0" applyFont="1" applyAlignment="1" applyProtection="1">
      <alignment vertical="center"/>
    </xf>
    <xf numFmtId="173" fontId="8" fillId="2" borderId="0" xfId="51" applyNumberFormat="1" applyBorder="1" applyAlignment="1" applyProtection="1">
      <alignment horizontal="right"/>
      <protection locked="0"/>
    </xf>
    <xf numFmtId="0" fontId="8" fillId="2" borderId="17" xfId="51" applyBorder="1" applyAlignment="1" applyProtection="1">
      <alignment horizontal="left" vertical="top" wrapText="1"/>
      <protection locked="0"/>
    </xf>
    <xf numFmtId="0" fontId="8" fillId="2" borderId="18" xfId="51" applyBorder="1" applyAlignment="1" applyProtection="1">
      <alignment horizontal="left" vertical="top" wrapText="1"/>
      <protection locked="0"/>
    </xf>
    <xf numFmtId="0" fontId="8" fillId="2" borderId="19" xfId="51" applyBorder="1" applyAlignment="1" applyProtection="1">
      <alignment horizontal="left" vertical="top" wrapText="1"/>
      <protection locked="0"/>
    </xf>
  </cellXfs>
  <cellStyles count="68">
    <cellStyle name="20% - Accent1" xfId="25" builtinId="30" hidden="1"/>
    <cellStyle name="20% - Accent2" xfId="29" builtinId="34" hidden="1"/>
    <cellStyle name="20% - Accent3" xfId="33" builtinId="38" hidden="1"/>
    <cellStyle name="20% - Accent4" xfId="37" builtinId="42" hidden="1"/>
    <cellStyle name="20% - Accent5" xfId="41" builtinId="46" hidden="1"/>
    <cellStyle name="20% - Accent6" xfId="45" builtinId="50" hidden="1"/>
    <cellStyle name="40% - Accent1" xfId="26" builtinId="31" hidden="1"/>
    <cellStyle name="40% - Accent2" xfId="30" builtinId="35" hidden="1"/>
    <cellStyle name="40% - Accent3" xfId="34" builtinId="39" hidden="1"/>
    <cellStyle name="40% - Accent4" xfId="38" builtinId="43" hidden="1"/>
    <cellStyle name="40% - Accent5" xfId="42" builtinId="47" hidden="1"/>
    <cellStyle name="40% - Accent6" xfId="46" builtinId="51" hidden="1"/>
    <cellStyle name="60% - Accent1" xfId="27" builtinId="32" hidden="1"/>
    <cellStyle name="60% - Accent2" xfId="31" builtinId="36" hidden="1"/>
    <cellStyle name="60% - Accent3" xfId="35" builtinId="40" hidden="1"/>
    <cellStyle name="60% - Accent4" xfId="39" builtinId="44" hidden="1"/>
    <cellStyle name="60% - Accent5" xfId="43" builtinId="48" hidden="1"/>
    <cellStyle name="60% - Accent6" xfId="47" builtinId="52" hidden="1"/>
    <cellStyle name="Accent1" xfId="24" builtinId="29" hidden="1"/>
    <cellStyle name="Accent2" xfId="28" builtinId="33" hidden="1"/>
    <cellStyle name="Accent3" xfId="32" builtinId="37" hidden="1"/>
    <cellStyle name="Accent4" xfId="36" builtinId="41" hidden="1"/>
    <cellStyle name="Accent5" xfId="40" builtinId="45" hidden="1"/>
    <cellStyle name="Accent6" xfId="44" builtinId="49" hidden="1"/>
    <cellStyle name="Annotation_CEPATNEI" xfId="58"/>
    <cellStyle name="Bad" xfId="13" builtinId="27" hidden="1"/>
    <cellStyle name="Bad" xfId="61" builtinId="27" hidden="1"/>
    <cellStyle name="Blank_CEPATNEI" xfId="55"/>
    <cellStyle name="Calculation" xfId="17" builtinId="22" hidden="1"/>
    <cellStyle name="Calculation_CEPATNEI" xfId="60"/>
    <cellStyle name="Check Cell" xfId="19" builtinId="23" hidden="1"/>
    <cellStyle name="ColumnHeading_CEPATNEI" xfId="1"/>
    <cellStyle name="Comma" xfId="2" builtinId="3" hidden="1"/>
    <cellStyle name="Comma" xfId="57" builtinId="3" hidden="1"/>
    <cellStyle name="Comma [0]" xfId="3" builtinId="6" hidden="1"/>
    <cellStyle name="Currency" xfId="4" builtinId="4" hidden="1"/>
    <cellStyle name="Currency [0]" xfId="5" builtinId="7" hidden="1"/>
    <cellStyle name="EmptyCell_CEPATNEI" xfId="64"/>
    <cellStyle name="Explanatory Text" xfId="22" builtinId="53" hidden="1"/>
    <cellStyle name="Fixed_CEPATNEI" xfId="59"/>
    <cellStyle name="Followed Hyperlink 2" xfId="67"/>
    <cellStyle name="Good" xfId="12" builtinId="26" hidden="1"/>
    <cellStyle name="Heading 1" xfId="8" builtinId="16" hidden="1"/>
    <cellStyle name="Heading 2" xfId="9" builtinId="17" hidden="1"/>
    <cellStyle name="Heading 3" xfId="10" builtinId="18" hidden="1"/>
    <cellStyle name="Heading 4" xfId="11" builtinId="19" hidden="1"/>
    <cellStyle name="Hyperlink" xfId="54" builtinId="8"/>
    <cellStyle name="Hyperlink 2" xfId="66"/>
    <cellStyle name="Input" xfId="15" builtinId="20" hidden="1"/>
    <cellStyle name="Input_CEPATNEI" xfId="51"/>
    <cellStyle name="Linked Cell" xfId="18" builtinId="24" hidden="1"/>
    <cellStyle name="LinkedTo_CEPATNEI" xfId="52"/>
    <cellStyle name="LinksFrom_CEPATNEI" xfId="56"/>
    <cellStyle name="Neutral" xfId="14" builtinId="28" hidden="1"/>
    <cellStyle name="Neutral" xfId="63" builtinId="28" hidden="1"/>
    <cellStyle name="Normal" xfId="0" builtinId="0" customBuiltin="1"/>
    <cellStyle name="Note" xfId="21" builtinId="10" hidden="1"/>
    <cellStyle name="Output" xfId="16" builtinId="21" hidden="1"/>
    <cellStyle name="Output_CEPATNEI" xfId="65"/>
    <cellStyle name="Percent" xfId="6" builtinId="5" hidden="1"/>
    <cellStyle name="Percent" xfId="62" builtinId="5" hidden="1"/>
    <cellStyle name="RowHeading_CEPATNEI" xfId="53"/>
    <cellStyle name="SectionHeading_CEPATNEI" xfId="49"/>
    <cellStyle name="SubSection_CEPATNEI" xfId="48"/>
    <cellStyle name="Text_CEPATNEI" xfId="50"/>
    <cellStyle name="Title" xfId="7" builtinId="15" hidden="1"/>
    <cellStyle name="Total" xfId="23" builtinId="25" hidden="1"/>
    <cellStyle name="Warning Text" xfId="20" builtinId="11" hidden="1"/>
  </cellStyles>
  <dxfs count="126"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colors>
    <mruColors>
      <color rgb="FFFF4343"/>
      <color rgb="FFFF9999"/>
      <color rgb="FFD086CC"/>
      <color rgb="FFFFAFAF"/>
      <color rgb="FF333F4F"/>
      <color rgb="FFF1DBF0"/>
      <color rgb="FF92D2EE"/>
      <color rgb="FF4B86CD"/>
      <color rgb="FF275792"/>
      <color rgb="FFFFE2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'Model map'!A1"/><Relationship Id="rId13" Type="http://schemas.openxmlformats.org/officeDocument/2006/relationships/hyperlink" Target="#'ARP_Load characteristics'!A1"/><Relationship Id="rId18" Type="http://schemas.openxmlformats.org/officeDocument/2006/relationships/hyperlink" Target="#'Fixed charges'!A1"/><Relationship Id="rId26" Type="http://schemas.openxmlformats.org/officeDocument/2006/relationships/hyperlink" Target="#'Standing Charge Factors'!A1"/><Relationship Id="rId3" Type="http://schemas.openxmlformats.org/officeDocument/2006/relationships/hyperlink" Target="#'Inputs by customer type'!A1"/><Relationship Id="rId21" Type="http://schemas.openxmlformats.org/officeDocument/2006/relationships/hyperlink" Target="#'Service model charges'!A1"/><Relationship Id="rId34" Type="http://schemas.openxmlformats.org/officeDocument/2006/relationships/hyperlink" Target="#'Fixed inputs'!A1"/><Relationship Id="rId7" Type="http://schemas.openxmlformats.org/officeDocument/2006/relationships/hyperlink" Target="#'Version control'!A1"/><Relationship Id="rId12" Type="http://schemas.openxmlformats.org/officeDocument/2006/relationships/hyperlink" Target="#'ARP_CDCM timebands'!A1"/><Relationship Id="rId17" Type="http://schemas.openxmlformats.org/officeDocument/2006/relationships/hyperlink" Target="#'Capacity charges'!A1"/><Relationship Id="rId25" Type="http://schemas.openxmlformats.org/officeDocument/2006/relationships/hyperlink" Target="#'Pseudo-load coefficients'!A1"/><Relationship Id="rId33" Type="http://schemas.openxmlformats.org/officeDocument/2006/relationships/hyperlink" Target="#'ARP_Inputs by network level'!A1"/><Relationship Id="rId2" Type="http://schemas.openxmlformats.org/officeDocument/2006/relationships/hyperlink" Target="#'Inputs by network level'!A1"/><Relationship Id="rId16" Type="http://schemas.openxmlformats.org/officeDocument/2006/relationships/hyperlink" Target="#'Unit rate charges'!A1"/><Relationship Id="rId20" Type="http://schemas.openxmlformats.org/officeDocument/2006/relationships/hyperlink" Target="#'Unit costs'!A1"/><Relationship Id="rId29" Type="http://schemas.openxmlformats.org/officeDocument/2006/relationships/hyperlink" Target="#'Revenue matching'!A1"/><Relationship Id="rId1" Type="http://schemas.openxmlformats.org/officeDocument/2006/relationships/hyperlink" Target="#'General inputs'!A1"/><Relationship Id="rId6" Type="http://schemas.openxmlformats.org/officeDocument/2006/relationships/hyperlink" Target="#Cover!A1"/><Relationship Id="rId11" Type="http://schemas.openxmlformats.org/officeDocument/2006/relationships/hyperlink" Target="#'ARP_DNO commentary'!A1"/><Relationship Id="rId24" Type="http://schemas.openxmlformats.org/officeDocument/2006/relationships/hyperlink" Target="#'Volume adjustments'!A1"/><Relationship Id="rId32" Type="http://schemas.openxmlformats.org/officeDocument/2006/relationships/hyperlink" Target="#'ARP_General inputs'!A1"/><Relationship Id="rId5" Type="http://schemas.openxmlformats.org/officeDocument/2006/relationships/hyperlink" Target="#'Typical bills'!A1"/><Relationship Id="rId15" Type="http://schemas.openxmlformats.org/officeDocument/2006/relationships/hyperlink" Target="#'Initial unit rates'!A1"/><Relationship Id="rId23" Type="http://schemas.openxmlformats.org/officeDocument/2006/relationships/hyperlink" Target="#'Customer contributions'!A1"/><Relationship Id="rId28" Type="http://schemas.openxmlformats.org/officeDocument/2006/relationships/hyperlink" Target="#'System peak demand'!A1"/><Relationship Id="rId36" Type="http://schemas.openxmlformats.org/officeDocument/2006/relationships/image" Target="../media/image3.png"/><Relationship Id="rId10" Type="http://schemas.openxmlformats.org/officeDocument/2006/relationships/hyperlink" Target="#'Named ranges'!A1"/><Relationship Id="rId19" Type="http://schemas.openxmlformats.org/officeDocument/2006/relationships/hyperlink" Target="#'Reactive power charges'!A1"/><Relationship Id="rId31" Type="http://schemas.openxmlformats.org/officeDocument/2006/relationships/hyperlink" Target="#'Net revenue summary'!A1"/><Relationship Id="rId4" Type="http://schemas.openxmlformats.org/officeDocument/2006/relationships/hyperlink" Target="#'Tariff summary'!A1"/><Relationship Id="rId9" Type="http://schemas.openxmlformats.org/officeDocument/2006/relationships/hyperlink" Target="#Index!A1"/><Relationship Id="rId14" Type="http://schemas.openxmlformats.org/officeDocument/2006/relationships/hyperlink" Target="#'ARP_Peaking probabilities'!A1"/><Relationship Id="rId22" Type="http://schemas.openxmlformats.org/officeDocument/2006/relationships/hyperlink" Target="#'Service model assets'!A1"/><Relationship Id="rId27" Type="http://schemas.openxmlformats.org/officeDocument/2006/relationships/hyperlink" Target="#'Load &amp; loss characteristics'!A1"/><Relationship Id="rId30" Type="http://schemas.openxmlformats.org/officeDocument/2006/relationships/hyperlink" Target="#Rounding!A1"/><Relationship Id="rId35" Type="http://schemas.openxmlformats.org/officeDocument/2006/relationships/hyperlink" Target="#'ARP_User control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</xdr:colOff>
      <xdr:row>1</xdr:row>
      <xdr:rowOff>0</xdr:rowOff>
    </xdr:from>
    <xdr:to>
      <xdr:col>1</xdr:col>
      <xdr:colOff>576262</xdr:colOff>
      <xdr:row>3</xdr:row>
      <xdr:rowOff>25713</xdr:rowOff>
    </xdr:to>
    <xdr:pic>
      <xdr:nvPicPr>
        <xdr:cNvPr id="4" name="Picture 3" descr="S:\Administration\Logos\CEPA\CEPA 4 squares only.bmp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309" y="190500"/>
          <a:ext cx="565547" cy="573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101201</xdr:rowOff>
    </xdr:from>
    <xdr:to>
      <xdr:col>1</xdr:col>
      <xdr:colOff>701278</xdr:colOff>
      <xdr:row>4</xdr:row>
      <xdr:rowOff>97670</xdr:rowOff>
    </xdr:to>
    <xdr:pic>
      <xdr:nvPicPr>
        <xdr:cNvPr id="7" name="Picture 6" descr="Image result for tnei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4" y="839389"/>
          <a:ext cx="701278" cy="258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1098081</xdr:colOff>
      <xdr:row>39</xdr:row>
      <xdr:rowOff>71468</xdr:rowOff>
    </xdr:from>
    <xdr:to>
      <xdr:col>7</xdr:col>
      <xdr:colOff>1103757</xdr:colOff>
      <xdr:row>40</xdr:row>
      <xdr:rowOff>26336</xdr:rowOff>
    </xdr:to>
    <xdr:cxnSp macro="">
      <xdr:nvCxnSpPr>
        <xdr:cNvPr id="151" name="Straight Arrow Connector 150">
          <a:extLst>
            <a:ext uri="{FF2B5EF4-FFF2-40B4-BE49-F238E27FC236}">
              <a16:creationId xmlns:a16="http://schemas.microsoft.com/office/drawing/2014/main" id="{00000000-0008-0000-0200-000097000000}"/>
            </a:ext>
          </a:extLst>
        </xdr:cNvPr>
        <xdr:cNvCxnSpPr>
          <a:cxnSpLocks/>
          <a:stCxn id="177" idx="2"/>
          <a:endCxn id="141" idx="0"/>
        </xdr:cNvCxnSpPr>
      </xdr:nvCxnSpPr>
      <xdr:spPr>
        <a:xfrm flipH="1">
          <a:off x="4309367" y="7593497"/>
          <a:ext cx="5676" cy="139925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8</xdr:col>
      <xdr:colOff>1684922</xdr:colOff>
      <xdr:row>39</xdr:row>
      <xdr:rowOff>61911</xdr:rowOff>
    </xdr:from>
    <xdr:to>
      <xdr:col>8</xdr:col>
      <xdr:colOff>1691471</xdr:colOff>
      <xdr:row>43</xdr:row>
      <xdr:rowOff>153527</xdr:rowOff>
    </xdr:to>
    <xdr:cxnSp macro="">
      <xdr:nvCxnSpPr>
        <xdr:cNvPr id="152" name="Straight Arrow Connector 151">
          <a:extLst>
            <a:ext uri="{FF2B5EF4-FFF2-40B4-BE49-F238E27FC236}">
              <a16:creationId xmlns:a16="http://schemas.microsoft.com/office/drawing/2014/main" id="{00000000-0008-0000-0200-000098000000}"/>
            </a:ext>
          </a:extLst>
        </xdr:cNvPr>
        <xdr:cNvCxnSpPr>
          <a:cxnSpLocks/>
          <a:stCxn id="178" idx="2"/>
          <a:endCxn id="147" idx="0"/>
        </xdr:cNvCxnSpPr>
      </xdr:nvCxnSpPr>
      <xdr:spPr>
        <a:xfrm>
          <a:off x="6659693" y="7583940"/>
          <a:ext cx="6549" cy="864501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910140</xdr:colOff>
      <xdr:row>6</xdr:row>
      <xdr:rowOff>82528</xdr:rowOff>
    </xdr:from>
    <xdr:to>
      <xdr:col>8</xdr:col>
      <xdr:colOff>4963887</xdr:colOff>
      <xdr:row>59</xdr:row>
      <xdr:rowOff>188373</xdr:rowOff>
    </xdr:to>
    <xdr:grpSp>
      <xdr:nvGrpSpPr>
        <xdr:cNvPr id="40" name="ARP_map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GrpSpPr/>
      </xdr:nvGrpSpPr>
      <xdr:grpSpPr>
        <a:xfrm>
          <a:off x="1803109" y="1225528"/>
          <a:ext cx="7994716" cy="10202345"/>
          <a:chOff x="5620389" y="12186354"/>
          <a:chExt cx="8106497" cy="10104374"/>
        </a:xfrm>
      </xdr:grpSpPr>
      <xdr:grpSp>
        <xdr:nvGrpSpPr>
          <xdr:cNvPr id="37" name="Group 36">
            <a:extLst>
              <a:ext uri="{FF2B5EF4-FFF2-40B4-BE49-F238E27FC236}">
                <a16:creationId xmlns:a16="http://schemas.microsoft.com/office/drawing/2014/main" id="{00000000-0008-0000-0200-000025000000}"/>
              </a:ext>
            </a:extLst>
          </xdr:cNvPr>
          <xdr:cNvGrpSpPr/>
        </xdr:nvGrpSpPr>
        <xdr:grpSpPr>
          <a:xfrm>
            <a:off x="5620389" y="12186354"/>
            <a:ext cx="8106497" cy="10104374"/>
            <a:chOff x="5620389" y="12186354"/>
            <a:chExt cx="8106497" cy="10104374"/>
          </a:xfrm>
        </xdr:grpSpPr>
        <xdr:grpSp>
          <xdr:nvGrpSpPr>
            <xdr:cNvPr id="32" name="Group 31">
              <a:extLst>
                <a:ext uri="{FF2B5EF4-FFF2-40B4-BE49-F238E27FC236}">
                  <a16:creationId xmlns:a16="http://schemas.microsoft.com/office/drawing/2014/main" id="{00000000-0008-0000-0200-000020000000}"/>
                </a:ext>
              </a:extLst>
            </xdr:cNvPr>
            <xdr:cNvGrpSpPr/>
          </xdr:nvGrpSpPr>
          <xdr:grpSpPr>
            <a:xfrm>
              <a:off x="5620389" y="12186354"/>
              <a:ext cx="8106497" cy="10104374"/>
              <a:chOff x="1542003" y="12157472"/>
              <a:chExt cx="8106639" cy="10192168"/>
            </a:xfrm>
          </xdr:grpSpPr>
          <xdr:cxnSp macro="">
            <xdr:nvCxnSpPr>
              <xdr:cNvPr id="162" name="Straight Arrow Connector 161">
                <a:extLst>
                  <a:ext uri="{FF2B5EF4-FFF2-40B4-BE49-F238E27FC236}">
                    <a16:creationId xmlns:a16="http://schemas.microsoft.com/office/drawing/2014/main" id="{00000000-0008-0000-0200-0000A2000000}"/>
                  </a:ext>
                </a:extLst>
              </xdr:cNvPr>
              <xdr:cNvCxnSpPr>
                <a:cxnSpLocks/>
                <a:endCxn id="137" idx="0"/>
              </xdr:cNvCxnSpPr>
            </xdr:nvCxnSpPr>
            <xdr:spPr>
              <a:xfrm flipH="1">
                <a:off x="5597483" y="15703194"/>
                <a:ext cx="680" cy="176631"/>
              </a:xfrm>
              <a:prstGeom prst="straightConnector1">
                <a:avLst/>
              </a:prstGeom>
              <a:noFill/>
              <a:ln w="6350" cap="flat" cmpd="sng" algn="ctr">
                <a:solidFill>
                  <a:sysClr val="windowText" lastClr="000000"/>
                </a:solidFill>
                <a:prstDash val="solid"/>
                <a:miter lim="800000"/>
                <a:tailEnd type="triangle"/>
              </a:ln>
              <a:effectLst/>
            </xdr:spPr>
          </xdr:cxnSp>
          <xdr:cxnSp macro="">
            <xdr:nvCxnSpPr>
              <xdr:cNvPr id="163" name="Straight Arrow Connector 162">
                <a:extLst>
                  <a:ext uri="{FF2B5EF4-FFF2-40B4-BE49-F238E27FC236}">
                    <a16:creationId xmlns:a16="http://schemas.microsoft.com/office/drawing/2014/main" id="{00000000-0008-0000-0200-0000A3000000}"/>
                  </a:ext>
                </a:extLst>
              </xdr:cNvPr>
              <xdr:cNvCxnSpPr>
                <a:cxnSpLocks/>
                <a:stCxn id="137" idx="2"/>
                <a:endCxn id="155" idx="0"/>
              </xdr:cNvCxnSpPr>
            </xdr:nvCxnSpPr>
            <xdr:spPr>
              <a:xfrm flipH="1">
                <a:off x="5595519" y="21406734"/>
                <a:ext cx="1964" cy="172312"/>
              </a:xfrm>
              <a:prstGeom prst="straightConnector1">
                <a:avLst/>
              </a:prstGeom>
              <a:noFill/>
              <a:ln w="6350" cap="flat" cmpd="sng" algn="ctr">
                <a:solidFill>
                  <a:sysClr val="windowText" lastClr="000000"/>
                </a:solidFill>
                <a:prstDash val="solid"/>
                <a:miter lim="800000"/>
                <a:tailEnd type="triangle"/>
              </a:ln>
              <a:effectLst/>
            </xdr:spPr>
          </xdr:cxnSp>
          <xdr:grpSp>
            <xdr:nvGrpSpPr>
              <xdr:cNvPr id="25" name="Group 24">
                <a:extLst>
                  <a:ext uri="{FF2B5EF4-FFF2-40B4-BE49-F238E27FC236}">
                    <a16:creationId xmlns:a16="http://schemas.microsoft.com/office/drawing/2014/main" id="{00000000-0008-0000-0200-000019000000}"/>
                  </a:ext>
                </a:extLst>
              </xdr:cNvPr>
              <xdr:cNvGrpSpPr/>
            </xdr:nvGrpSpPr>
            <xdr:grpSpPr>
              <a:xfrm>
                <a:off x="1549100" y="14827155"/>
                <a:ext cx="8096674" cy="841308"/>
                <a:chOff x="1562353" y="14827155"/>
                <a:chExt cx="8096674" cy="841308"/>
              </a:xfrm>
            </xdr:grpSpPr>
            <xdr:sp macro="" textlink="">
              <xdr:nvSpPr>
                <xdr:cNvPr id="158" name="Rectangle 157">
                  <a:extLst>
                    <a:ext uri="{FF2B5EF4-FFF2-40B4-BE49-F238E27FC236}">
                      <a16:creationId xmlns:a16="http://schemas.microsoft.com/office/drawing/2014/main" id="{00000000-0008-0000-0200-00009E000000}"/>
                    </a:ext>
                  </a:extLst>
                </xdr:cNvPr>
                <xdr:cNvSpPr/>
              </xdr:nvSpPr>
              <xdr:spPr>
                <a:xfrm>
                  <a:off x="1562353" y="14827155"/>
                  <a:ext cx="8096674" cy="841308"/>
                </a:xfrm>
                <a:prstGeom prst="rect">
                  <a:avLst/>
                </a:prstGeom>
                <a:solidFill>
                  <a:schemeClr val="accent5">
                    <a:lumMod val="75000"/>
                  </a:schemeClr>
                </a:solidFill>
                <a:ln w="12700" cap="flat" cmpd="sng" algn="ctr">
                  <a:noFill/>
                  <a:prstDash val="solid"/>
                  <a:miter lim="800000"/>
                </a:ln>
                <a:effectLst/>
              </xdr:spPr>
              <xdr:txBody>
                <a:bodyPr rot="0" spcFirstLastPara="0" vert="horz" wrap="square" lIns="91440" tIns="45720" rIns="91440" bIns="45720" numCol="1" spcCol="0" rtlCol="0" fromWordArt="0" anchor="t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marL="0" marR="0" lvl="0" indent="0" algn="l" defTabSz="91440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/>
                  </a:pPr>
                  <a:r>
                    <a:rPr kumimoji="0" lang="en-GB" sz="1100" b="0" i="0" u="none" strike="noStrike" kern="0" cap="none" spc="0" normalizeH="0" baseline="0">
                      <a:ln>
                        <a:noFill/>
                      </a:ln>
                      <a:solidFill>
                        <a:sysClr val="window" lastClr="FFFFFF"/>
                      </a:solidFill>
                      <a:effectLst/>
                      <a:uLnTx/>
                      <a:uFillTx/>
                      <a:latin typeface="Calibri" panose="020F0502020204030204"/>
                      <a:ea typeface="+mn-ea"/>
                      <a:cs typeface="+mn-cs"/>
                    </a:rPr>
                    <a:t>CDCM "live year" input sheets</a:t>
                  </a:r>
                </a:p>
              </xdr:txBody>
            </xdr:sp>
            <xdr:sp macro="" textlink="">
              <xdr:nvSpPr>
                <xdr:cNvPr id="168" name="Rectangle 167">
                  <a:hlinkClick xmlns:r="http://schemas.openxmlformats.org/officeDocument/2006/relationships" r:id="rId1"/>
                  <a:extLst>
                    <a:ext uri="{FF2B5EF4-FFF2-40B4-BE49-F238E27FC236}">
                      <a16:creationId xmlns:a16="http://schemas.microsoft.com/office/drawing/2014/main" id="{00000000-0008-0000-0200-0000A8000000}"/>
                    </a:ext>
                  </a:extLst>
                </xdr:cNvPr>
                <xdr:cNvSpPr/>
              </xdr:nvSpPr>
              <xdr:spPr>
                <a:xfrm>
                  <a:off x="6545336" y="15104944"/>
                  <a:ext cx="1431248" cy="431971"/>
                </a:xfrm>
                <a:prstGeom prst="rect">
                  <a:avLst/>
                </a:prstGeom>
                <a:solidFill>
                  <a:schemeClr val="accent5">
                    <a:lumMod val="60000"/>
                    <a:lumOff val="40000"/>
                  </a:schemeClr>
                </a:solidFill>
                <a:ln w="12700" cap="flat" cmpd="sng" algn="ctr">
                  <a:noFill/>
                  <a:prstDash val="solid"/>
                  <a:miter lim="800000"/>
                </a:ln>
                <a:effectLst/>
              </xdr:spPr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marL="0" marR="0" lvl="0" indent="0" algn="ctr" defTabSz="91440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/>
                  </a:pPr>
                  <a:r>
                    <a:rPr kumimoji="0" lang="en-GB" sz="1100" b="0" i="0" u="none" strike="noStrike" kern="0" cap="none" spc="0" normalizeH="0" baseline="0">
                      <a:ln>
                        <a:noFill/>
                      </a:ln>
                      <a:solidFill>
                        <a:sysClr val="windowText" lastClr="000000"/>
                      </a:solidFill>
                      <a:effectLst/>
                      <a:uLnTx/>
                      <a:uFillTx/>
                      <a:latin typeface="Calibri" panose="020F0502020204030204"/>
                      <a:ea typeface="+mn-ea"/>
                      <a:cs typeface="+mn-cs"/>
                    </a:rPr>
                    <a:t>General inputs</a:t>
                  </a:r>
                </a:p>
              </xdr:txBody>
            </xdr:sp>
            <xdr:sp macro="" textlink="">
              <xdr:nvSpPr>
                <xdr:cNvPr id="169" name="Rectangle 168">
                  <a:hlinkClick xmlns:r="http://schemas.openxmlformats.org/officeDocument/2006/relationships" r:id="rId2"/>
                  <a:extLst>
                    <a:ext uri="{FF2B5EF4-FFF2-40B4-BE49-F238E27FC236}">
                      <a16:creationId xmlns:a16="http://schemas.microsoft.com/office/drawing/2014/main" id="{00000000-0008-0000-0200-0000A9000000}"/>
                    </a:ext>
                  </a:extLst>
                </xdr:cNvPr>
                <xdr:cNvSpPr/>
              </xdr:nvSpPr>
              <xdr:spPr>
                <a:xfrm>
                  <a:off x="4919904" y="15104944"/>
                  <a:ext cx="1438111" cy="431971"/>
                </a:xfrm>
                <a:prstGeom prst="rect">
                  <a:avLst/>
                </a:prstGeom>
                <a:solidFill>
                  <a:schemeClr val="accent5">
                    <a:lumMod val="60000"/>
                    <a:lumOff val="40000"/>
                  </a:schemeClr>
                </a:solidFill>
                <a:ln w="12700" cap="flat" cmpd="sng" algn="ctr">
                  <a:noFill/>
                  <a:prstDash val="solid"/>
                  <a:miter lim="800000"/>
                </a:ln>
                <a:effectLst/>
              </xdr:spPr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marL="0" marR="0" lvl="0" indent="0" algn="ctr" defTabSz="91440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/>
                  </a:pPr>
                  <a:r>
                    <a:rPr kumimoji="0" lang="en-GB" sz="1100" b="0" i="0" u="none" strike="noStrike" kern="0" cap="none" spc="0" normalizeH="0" baseline="0">
                      <a:ln>
                        <a:noFill/>
                      </a:ln>
                      <a:solidFill>
                        <a:sysClr val="windowText" lastClr="000000"/>
                      </a:solidFill>
                      <a:effectLst/>
                      <a:uLnTx/>
                      <a:uFillTx/>
                      <a:latin typeface="Calibri" panose="020F0502020204030204"/>
                      <a:ea typeface="+mn-ea"/>
                      <a:cs typeface="+mn-cs"/>
                    </a:rPr>
                    <a:t>Inputs by network level</a:t>
                  </a:r>
                </a:p>
              </xdr:txBody>
            </xdr:sp>
            <xdr:sp macro="" textlink="">
              <xdr:nvSpPr>
                <xdr:cNvPr id="172" name="Rectangle 171">
                  <a:hlinkClick xmlns:r="http://schemas.openxmlformats.org/officeDocument/2006/relationships" r:id="rId3"/>
                  <a:extLst>
                    <a:ext uri="{FF2B5EF4-FFF2-40B4-BE49-F238E27FC236}">
                      <a16:creationId xmlns:a16="http://schemas.microsoft.com/office/drawing/2014/main" id="{00000000-0008-0000-0200-0000AC000000}"/>
                    </a:ext>
                  </a:extLst>
                </xdr:cNvPr>
                <xdr:cNvSpPr/>
              </xdr:nvSpPr>
              <xdr:spPr>
                <a:xfrm>
                  <a:off x="3302423" y="15104944"/>
                  <a:ext cx="1430161" cy="431971"/>
                </a:xfrm>
                <a:prstGeom prst="rect">
                  <a:avLst/>
                </a:prstGeom>
                <a:solidFill>
                  <a:schemeClr val="accent5">
                    <a:lumMod val="60000"/>
                    <a:lumOff val="40000"/>
                  </a:schemeClr>
                </a:solidFill>
                <a:ln w="12700" cap="flat" cmpd="sng" algn="ctr">
                  <a:noFill/>
                  <a:prstDash val="solid"/>
                  <a:miter lim="800000"/>
                </a:ln>
                <a:effectLst/>
              </xdr:spPr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marL="0" marR="0" lvl="0" indent="0" algn="ctr" defTabSz="91440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/>
                  </a:pPr>
                  <a:r>
                    <a:rPr kumimoji="0" lang="en-GB" sz="1100" b="0" i="0" u="none" strike="noStrike" kern="0" cap="none" spc="0" normalizeH="0" baseline="0">
                      <a:ln>
                        <a:noFill/>
                      </a:ln>
                      <a:solidFill>
                        <a:sysClr val="windowText" lastClr="000000"/>
                      </a:solidFill>
                      <a:effectLst/>
                      <a:uLnTx/>
                      <a:uFillTx/>
                      <a:latin typeface="Calibri" panose="020F0502020204030204"/>
                      <a:ea typeface="+mn-ea"/>
                      <a:cs typeface="+mn-cs"/>
                    </a:rPr>
                    <a:t>Inputs by customer type</a:t>
                  </a:r>
                </a:p>
              </xdr:txBody>
            </xdr:sp>
          </xdr:grpSp>
          <xdr:grpSp>
            <xdr:nvGrpSpPr>
              <xdr:cNvPr id="26" name="Group 25">
                <a:extLst>
                  <a:ext uri="{FF2B5EF4-FFF2-40B4-BE49-F238E27FC236}">
                    <a16:creationId xmlns:a16="http://schemas.microsoft.com/office/drawing/2014/main" id="{00000000-0008-0000-0200-00001A000000}"/>
                  </a:ext>
                </a:extLst>
              </xdr:cNvPr>
              <xdr:cNvGrpSpPr/>
            </xdr:nvGrpSpPr>
            <xdr:grpSpPr>
              <a:xfrm>
                <a:off x="1542003" y="21579046"/>
                <a:ext cx="8104020" cy="770594"/>
                <a:chOff x="1542003" y="21579046"/>
                <a:chExt cx="8104020" cy="770594"/>
              </a:xfrm>
            </xdr:grpSpPr>
            <xdr:sp macro="" textlink="">
              <xdr:nvSpPr>
                <xdr:cNvPr id="155" name="Rectangle 154">
                  <a:extLst>
                    <a:ext uri="{FF2B5EF4-FFF2-40B4-BE49-F238E27FC236}">
                      <a16:creationId xmlns:a16="http://schemas.microsoft.com/office/drawing/2014/main" id="{00000000-0008-0000-0200-00009B000000}"/>
                    </a:ext>
                  </a:extLst>
                </xdr:cNvPr>
                <xdr:cNvSpPr/>
              </xdr:nvSpPr>
              <xdr:spPr>
                <a:xfrm>
                  <a:off x="1542003" y="21579046"/>
                  <a:ext cx="8104020" cy="770594"/>
                </a:xfrm>
                <a:prstGeom prst="rect">
                  <a:avLst/>
                </a:prstGeom>
                <a:solidFill>
                  <a:schemeClr val="accent6"/>
                </a:solidFill>
                <a:ln w="12700" cap="flat" cmpd="sng" algn="ctr">
                  <a:noFill/>
                  <a:prstDash val="solid"/>
                  <a:miter lim="800000"/>
                </a:ln>
                <a:effectLst/>
              </xdr:spPr>
              <xdr:txBody>
                <a:bodyPr rot="0" spcFirstLastPara="0" vert="horz" wrap="square" lIns="91440" tIns="45720" rIns="91440" bIns="45720" numCol="1" spcCol="0" rtlCol="0" fromWordArt="0" anchor="t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marL="0" marR="0" lvl="0" indent="0" algn="l" defTabSz="91440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/>
                  </a:pPr>
                  <a:r>
                    <a:rPr kumimoji="0" lang="en-GB" sz="1100" b="0" i="0" u="none" strike="noStrike" kern="0" cap="none" spc="0" normalizeH="0" baseline="0">
                      <a:ln>
                        <a:noFill/>
                      </a:ln>
                      <a:solidFill>
                        <a:sysClr val="window" lastClr="FFFFFF"/>
                      </a:solidFill>
                      <a:effectLst/>
                      <a:uLnTx/>
                      <a:uFillTx/>
                      <a:latin typeface="Calibri" panose="020F0502020204030204"/>
                      <a:ea typeface="+mn-ea"/>
                      <a:cs typeface="+mn-cs"/>
                    </a:rPr>
                    <a:t>Results sheets</a:t>
                  </a:r>
                </a:p>
              </xdr:txBody>
            </xdr:sp>
            <xdr:sp macro="" textlink="">
              <xdr:nvSpPr>
                <xdr:cNvPr id="156" name="Rectangle 155">
                  <a:hlinkClick xmlns:r="http://schemas.openxmlformats.org/officeDocument/2006/relationships" r:id="rId4"/>
                  <a:extLst>
                    <a:ext uri="{FF2B5EF4-FFF2-40B4-BE49-F238E27FC236}">
                      <a16:creationId xmlns:a16="http://schemas.microsoft.com/office/drawing/2014/main" id="{00000000-0008-0000-0200-00009C000000}"/>
                    </a:ext>
                  </a:extLst>
                </xdr:cNvPr>
                <xdr:cNvSpPr/>
              </xdr:nvSpPr>
              <xdr:spPr>
                <a:xfrm>
                  <a:off x="4081936" y="21753357"/>
                  <a:ext cx="1417327" cy="430639"/>
                </a:xfrm>
                <a:prstGeom prst="rect">
                  <a:avLst/>
                </a:prstGeom>
                <a:solidFill>
                  <a:schemeClr val="accent6">
                    <a:lumMod val="40000"/>
                    <a:lumOff val="60000"/>
                  </a:schemeClr>
                </a:solidFill>
                <a:ln w="12700" cap="flat" cmpd="sng" algn="ctr">
                  <a:noFill/>
                  <a:prstDash val="solid"/>
                  <a:miter lim="800000"/>
                </a:ln>
                <a:effectLst/>
              </xdr:spPr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marL="0" marR="0" lvl="0" indent="0" algn="ctr" defTabSz="91440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/>
                  </a:pPr>
                  <a:r>
                    <a:rPr kumimoji="0" lang="en-GB" sz="1100" b="0" i="0" u="none" strike="noStrike" kern="0" cap="none" spc="0" normalizeH="0" baseline="0">
                      <a:ln>
                        <a:noFill/>
                      </a:ln>
                      <a:solidFill>
                        <a:sysClr val="windowText" lastClr="000000"/>
                      </a:solidFill>
                      <a:effectLst/>
                      <a:uLnTx/>
                      <a:uFillTx/>
                      <a:latin typeface="Calibri" panose="020F0502020204030204"/>
                      <a:ea typeface="+mn-ea"/>
                      <a:cs typeface="+mn-cs"/>
                    </a:rPr>
                    <a:t>Tariff summary</a:t>
                  </a:r>
                </a:p>
              </xdr:txBody>
            </xdr:sp>
            <xdr:sp macro="" textlink="">
              <xdr:nvSpPr>
                <xdr:cNvPr id="180" name="Rectangle 179">
                  <a:hlinkClick xmlns:r="http://schemas.openxmlformats.org/officeDocument/2006/relationships" r:id="rId5"/>
                  <a:extLst>
                    <a:ext uri="{FF2B5EF4-FFF2-40B4-BE49-F238E27FC236}">
                      <a16:creationId xmlns:a16="http://schemas.microsoft.com/office/drawing/2014/main" id="{00000000-0008-0000-0200-0000B4000000}"/>
                    </a:ext>
                  </a:extLst>
                </xdr:cNvPr>
                <xdr:cNvSpPr/>
              </xdr:nvSpPr>
              <xdr:spPr>
                <a:xfrm>
                  <a:off x="5670098" y="21753357"/>
                  <a:ext cx="1412957" cy="430639"/>
                </a:xfrm>
                <a:prstGeom prst="rect">
                  <a:avLst/>
                </a:prstGeom>
                <a:solidFill>
                  <a:schemeClr val="accent6">
                    <a:lumMod val="40000"/>
                    <a:lumOff val="60000"/>
                  </a:schemeClr>
                </a:solidFill>
                <a:ln w="12700" cap="flat" cmpd="sng" algn="ctr">
                  <a:noFill/>
                  <a:prstDash val="solid"/>
                  <a:miter lim="800000"/>
                </a:ln>
                <a:effectLst/>
              </xdr:spPr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marL="0" marR="0" lvl="0" indent="0" algn="ctr" defTabSz="91440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/>
                  </a:pPr>
                  <a:r>
                    <a:rPr kumimoji="0" lang="en-GB" sz="1100" b="0" i="0" u="none" strike="noStrike" kern="0" cap="none" spc="0" normalizeH="0" baseline="0">
                      <a:ln>
                        <a:noFill/>
                      </a:ln>
                      <a:solidFill>
                        <a:sysClr val="windowText" lastClr="000000"/>
                      </a:solidFill>
                      <a:effectLst/>
                      <a:uLnTx/>
                      <a:uFillTx/>
                      <a:latin typeface="Calibri" panose="020F0502020204030204"/>
                      <a:ea typeface="+mn-ea"/>
                      <a:cs typeface="+mn-cs"/>
                    </a:rPr>
                    <a:t>Typical bills</a:t>
                  </a:r>
                </a:p>
              </xdr:txBody>
            </xdr:sp>
          </xdr:grpSp>
          <xdr:cxnSp macro="">
            <xdr:nvCxnSpPr>
              <xdr:cNvPr id="188" name="Straight Arrow Connector 187">
                <a:extLst>
                  <a:ext uri="{FF2B5EF4-FFF2-40B4-BE49-F238E27FC236}">
                    <a16:creationId xmlns:a16="http://schemas.microsoft.com/office/drawing/2014/main" id="{00000000-0008-0000-0200-0000BC000000}"/>
                  </a:ext>
                </a:extLst>
              </xdr:cNvPr>
              <xdr:cNvCxnSpPr>
                <a:cxnSpLocks/>
                <a:endCxn id="158" idx="0"/>
              </xdr:cNvCxnSpPr>
            </xdr:nvCxnSpPr>
            <xdr:spPr>
              <a:xfrm>
                <a:off x="5595790" y="14651664"/>
                <a:ext cx="3152" cy="175492"/>
              </a:xfrm>
              <a:prstGeom prst="straightConnector1">
                <a:avLst/>
              </a:prstGeom>
              <a:noFill/>
              <a:ln w="6350" cap="flat" cmpd="sng" algn="ctr">
                <a:solidFill>
                  <a:sysClr val="windowText" lastClr="000000"/>
                </a:solidFill>
                <a:prstDash val="solid"/>
                <a:miter lim="800000"/>
                <a:tailEnd type="triangle"/>
              </a:ln>
              <a:effectLst/>
            </xdr:spPr>
          </xdr:cxnSp>
          <xdr:grpSp>
            <xdr:nvGrpSpPr>
              <xdr:cNvPr id="7" name="Group 6">
                <a:extLst>
                  <a:ext uri="{FF2B5EF4-FFF2-40B4-BE49-F238E27FC236}">
                    <a16:creationId xmlns:a16="http://schemas.microsoft.com/office/drawing/2014/main" id="{00000000-0008-0000-0200-000007000000}"/>
                  </a:ext>
                </a:extLst>
              </xdr:cNvPr>
              <xdr:cNvGrpSpPr/>
            </xdr:nvGrpSpPr>
            <xdr:grpSpPr>
              <a:xfrm>
                <a:off x="1543312" y="12157472"/>
                <a:ext cx="8104020" cy="1423487"/>
                <a:chOff x="1089881" y="14728390"/>
                <a:chExt cx="8104960" cy="1458667"/>
              </a:xfrm>
            </xdr:grpSpPr>
            <xdr:sp macro="" textlink="">
              <xdr:nvSpPr>
                <xdr:cNvPr id="157" name="Rectangle 156">
                  <a:extLst>
                    <a:ext uri="{FF2B5EF4-FFF2-40B4-BE49-F238E27FC236}">
                      <a16:creationId xmlns:a16="http://schemas.microsoft.com/office/drawing/2014/main" id="{00000000-0008-0000-0200-00009D000000}"/>
                    </a:ext>
                  </a:extLst>
                </xdr:cNvPr>
                <xdr:cNvSpPr/>
              </xdr:nvSpPr>
              <xdr:spPr>
                <a:xfrm>
                  <a:off x="1089881" y="14728390"/>
                  <a:ext cx="8104960" cy="1458667"/>
                </a:xfrm>
                <a:prstGeom prst="rect">
                  <a:avLst/>
                </a:prstGeom>
                <a:solidFill>
                  <a:schemeClr val="bg1">
                    <a:lumMod val="50000"/>
                  </a:schemeClr>
                </a:solidFill>
                <a:ln w="12700" cap="flat" cmpd="sng" algn="ctr">
                  <a:noFill/>
                  <a:prstDash val="solid"/>
                  <a:miter lim="800000"/>
                </a:ln>
                <a:effectLst/>
              </xdr:spPr>
              <xdr:txBody>
                <a:bodyPr rot="0" spcFirstLastPara="0" vert="horz" wrap="square" lIns="91440" tIns="45720" rIns="91440" bIns="45720" numCol="1" spcCol="0" rtlCol="0" fromWordArt="0" anchor="t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marL="0" marR="0" lvl="0" indent="0" algn="l" defTabSz="91440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/>
                  </a:pPr>
                  <a:r>
                    <a:rPr kumimoji="0" lang="en-GB" sz="1100" b="0" i="0" u="none" strike="noStrike" kern="0" cap="none" spc="0" normalizeH="0" baseline="0">
                      <a:ln>
                        <a:noFill/>
                      </a:ln>
                      <a:solidFill>
                        <a:sysClr val="window" lastClr="FFFFFF"/>
                      </a:solidFill>
                      <a:effectLst/>
                      <a:uLnTx/>
                      <a:uFillTx/>
                      <a:latin typeface="Calibri" panose="020F0502020204030204"/>
                      <a:ea typeface="+mn-ea"/>
                      <a:cs typeface="+mn-cs"/>
                    </a:rPr>
                    <a:t>Information sheets</a:t>
                  </a:r>
                </a:p>
              </xdr:txBody>
            </xdr:sp>
            <xdr:sp macro="" textlink="">
              <xdr:nvSpPr>
                <xdr:cNvPr id="159" name="Rectangle 158">
                  <a:hlinkClick xmlns:r="http://schemas.openxmlformats.org/officeDocument/2006/relationships" r:id="rId6"/>
                  <a:extLst>
                    <a:ext uri="{FF2B5EF4-FFF2-40B4-BE49-F238E27FC236}">
                      <a16:creationId xmlns:a16="http://schemas.microsoft.com/office/drawing/2014/main" id="{00000000-0008-0000-0200-00009F000000}"/>
                    </a:ext>
                  </a:extLst>
                </xdr:cNvPr>
                <xdr:cNvSpPr/>
              </xdr:nvSpPr>
              <xdr:spPr>
                <a:xfrm>
                  <a:off x="1412226" y="15022234"/>
                  <a:ext cx="1392299" cy="423894"/>
                </a:xfrm>
                <a:prstGeom prst="rect">
                  <a:avLst/>
                </a:prstGeom>
                <a:solidFill>
                  <a:sysClr val="window" lastClr="FFFFFF">
                    <a:lumMod val="75000"/>
                  </a:sysClr>
                </a:solidFill>
                <a:ln w="12700" cap="flat" cmpd="sng" algn="ctr">
                  <a:noFill/>
                  <a:prstDash val="solid"/>
                  <a:miter lim="800000"/>
                </a:ln>
                <a:effectLst/>
              </xdr:spPr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marL="0" marR="0" lvl="0" indent="0" algn="ctr" defTabSz="91440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/>
                  </a:pPr>
                  <a:r>
                    <a:rPr kumimoji="0" lang="en-GB" sz="1100" b="0" i="0" u="none" strike="noStrike" kern="0" cap="none" spc="0" normalizeH="0" baseline="0">
                      <a:ln>
                        <a:noFill/>
                      </a:ln>
                      <a:solidFill>
                        <a:sysClr val="windowText" lastClr="000000"/>
                      </a:solidFill>
                      <a:effectLst/>
                      <a:uLnTx/>
                      <a:uFillTx/>
                      <a:latin typeface="Calibri" panose="020F0502020204030204"/>
                      <a:ea typeface="+mn-ea"/>
                      <a:cs typeface="+mn-cs"/>
                    </a:rPr>
                    <a:t>Cover</a:t>
                  </a:r>
                </a:p>
              </xdr:txBody>
            </xdr:sp>
            <xdr:sp macro="" textlink="">
              <xdr:nvSpPr>
                <xdr:cNvPr id="160" name="Rectangle 159">
                  <a:hlinkClick xmlns:r="http://schemas.openxmlformats.org/officeDocument/2006/relationships" r:id="rId7"/>
                  <a:extLst>
                    <a:ext uri="{FF2B5EF4-FFF2-40B4-BE49-F238E27FC236}">
                      <a16:creationId xmlns:a16="http://schemas.microsoft.com/office/drawing/2014/main" id="{00000000-0008-0000-0200-0000A0000000}"/>
                    </a:ext>
                  </a:extLst>
                </xdr:cNvPr>
                <xdr:cNvSpPr/>
              </xdr:nvSpPr>
              <xdr:spPr>
                <a:xfrm>
                  <a:off x="2895761" y="15022234"/>
                  <a:ext cx="1413646" cy="423894"/>
                </a:xfrm>
                <a:prstGeom prst="rect">
                  <a:avLst/>
                </a:prstGeom>
                <a:solidFill>
                  <a:sysClr val="window" lastClr="FFFFFF">
                    <a:lumMod val="75000"/>
                  </a:sysClr>
                </a:solidFill>
                <a:ln w="12700" cap="flat" cmpd="sng" algn="ctr">
                  <a:noFill/>
                  <a:prstDash val="solid"/>
                  <a:miter lim="800000"/>
                </a:ln>
                <a:effectLst/>
              </xdr:spPr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marL="0" marR="0" lvl="0" indent="0" algn="ctr" defTabSz="91440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/>
                  </a:pPr>
                  <a:r>
                    <a:rPr kumimoji="0" lang="en-GB" sz="1100" b="0" i="0" u="none" strike="noStrike" kern="0" cap="none" spc="0" normalizeH="0" baseline="0">
                      <a:ln>
                        <a:noFill/>
                      </a:ln>
                      <a:solidFill>
                        <a:sysClr val="windowText" lastClr="000000"/>
                      </a:solidFill>
                      <a:effectLst/>
                      <a:uLnTx/>
                      <a:uFillTx/>
                      <a:latin typeface="Calibri" panose="020F0502020204030204"/>
                      <a:ea typeface="+mn-ea"/>
                      <a:cs typeface="+mn-cs"/>
                    </a:rPr>
                    <a:t>Version control</a:t>
                  </a:r>
                </a:p>
              </xdr:txBody>
            </xdr:sp>
            <xdr:sp macro="" textlink="">
              <xdr:nvSpPr>
                <xdr:cNvPr id="161" name="Rectangle 160">
                  <a:hlinkClick xmlns:r="http://schemas.openxmlformats.org/officeDocument/2006/relationships" r:id="rId8"/>
                  <a:extLst>
                    <a:ext uri="{FF2B5EF4-FFF2-40B4-BE49-F238E27FC236}">
                      <a16:creationId xmlns:a16="http://schemas.microsoft.com/office/drawing/2014/main" id="{00000000-0008-0000-0200-0000A1000000}"/>
                    </a:ext>
                  </a:extLst>
                </xdr:cNvPr>
                <xdr:cNvSpPr/>
              </xdr:nvSpPr>
              <xdr:spPr>
                <a:xfrm>
                  <a:off x="4396560" y="15022234"/>
                  <a:ext cx="1430680" cy="423894"/>
                </a:xfrm>
                <a:prstGeom prst="rect">
                  <a:avLst/>
                </a:prstGeom>
                <a:solidFill>
                  <a:sysClr val="window" lastClr="FFFFFF">
                    <a:lumMod val="75000"/>
                  </a:sysClr>
                </a:solidFill>
                <a:ln w="12700" cap="flat" cmpd="sng" algn="ctr">
                  <a:noFill/>
                  <a:prstDash val="solid"/>
                  <a:miter lim="800000"/>
                </a:ln>
                <a:effectLst/>
              </xdr:spPr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marL="0" marR="0" lvl="0" indent="0" algn="ctr" defTabSz="91440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/>
                  </a:pPr>
                  <a:r>
                    <a:rPr kumimoji="0" lang="en-GB" sz="1100" b="0" i="0" u="none" strike="noStrike" kern="0" cap="none" spc="0" normalizeH="0" baseline="0">
                      <a:ln>
                        <a:noFill/>
                      </a:ln>
                      <a:solidFill>
                        <a:sysClr val="windowText" lastClr="000000"/>
                      </a:solidFill>
                      <a:effectLst/>
                      <a:uLnTx/>
                      <a:uFillTx/>
                      <a:latin typeface="Calibri" panose="020F0502020204030204"/>
                      <a:ea typeface="+mn-ea"/>
                      <a:cs typeface="+mn-cs"/>
                    </a:rPr>
                    <a:t>Model map</a:t>
                  </a:r>
                </a:p>
              </xdr:txBody>
            </xdr:sp>
            <xdr:sp macro="" textlink="">
              <xdr:nvSpPr>
                <xdr:cNvPr id="170" name="Rectangle 169">
                  <a:hlinkClick xmlns:r="http://schemas.openxmlformats.org/officeDocument/2006/relationships" r:id="rId9"/>
                  <a:extLst>
                    <a:ext uri="{FF2B5EF4-FFF2-40B4-BE49-F238E27FC236}">
                      <a16:creationId xmlns:a16="http://schemas.microsoft.com/office/drawing/2014/main" id="{00000000-0008-0000-0200-0000AA000000}"/>
                    </a:ext>
                  </a:extLst>
                </xdr:cNvPr>
                <xdr:cNvSpPr/>
              </xdr:nvSpPr>
              <xdr:spPr>
                <a:xfrm>
                  <a:off x="5914393" y="15022234"/>
                  <a:ext cx="1429320" cy="423894"/>
                </a:xfrm>
                <a:prstGeom prst="rect">
                  <a:avLst/>
                </a:prstGeom>
                <a:solidFill>
                  <a:sysClr val="window" lastClr="FFFFFF">
                    <a:lumMod val="75000"/>
                  </a:sysClr>
                </a:solidFill>
                <a:ln w="12700" cap="flat" cmpd="sng" algn="ctr">
                  <a:noFill/>
                  <a:prstDash val="solid"/>
                  <a:miter lim="800000"/>
                </a:ln>
                <a:effectLst/>
              </xdr:spPr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marL="0" marR="0" lvl="0" indent="0" algn="ctr" defTabSz="91440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/>
                  </a:pPr>
                  <a:r>
                    <a:rPr kumimoji="0" lang="en-GB" sz="1100" b="0" i="0" u="none" strike="noStrike" kern="0" cap="none" spc="0" normalizeH="0" baseline="0">
                      <a:ln>
                        <a:noFill/>
                      </a:ln>
                      <a:solidFill>
                        <a:sysClr val="windowText" lastClr="000000"/>
                      </a:solidFill>
                      <a:effectLst/>
                      <a:uLnTx/>
                      <a:uFillTx/>
                      <a:latin typeface="Calibri" panose="020F0502020204030204"/>
                      <a:ea typeface="+mn-ea"/>
                      <a:cs typeface="+mn-cs"/>
                    </a:rPr>
                    <a:t>Index</a:t>
                  </a:r>
                </a:p>
              </xdr:txBody>
            </xdr:sp>
            <xdr:sp macro="" textlink="">
              <xdr:nvSpPr>
                <xdr:cNvPr id="171" name="Rectangle 170">
                  <a:hlinkClick xmlns:r="http://schemas.openxmlformats.org/officeDocument/2006/relationships" r:id="rId10"/>
                  <a:extLst>
                    <a:ext uri="{FF2B5EF4-FFF2-40B4-BE49-F238E27FC236}">
                      <a16:creationId xmlns:a16="http://schemas.microsoft.com/office/drawing/2014/main" id="{00000000-0008-0000-0200-0000AB000000}"/>
                    </a:ext>
                  </a:extLst>
                </xdr:cNvPr>
                <xdr:cNvSpPr/>
              </xdr:nvSpPr>
              <xdr:spPr>
                <a:xfrm>
                  <a:off x="7430868" y="15022234"/>
                  <a:ext cx="1429320" cy="423894"/>
                </a:xfrm>
                <a:prstGeom prst="rect">
                  <a:avLst/>
                </a:prstGeom>
                <a:solidFill>
                  <a:sysClr val="window" lastClr="FFFFFF">
                    <a:lumMod val="75000"/>
                  </a:sysClr>
                </a:solidFill>
                <a:ln w="12700" cap="flat" cmpd="sng" algn="ctr">
                  <a:noFill/>
                  <a:prstDash val="solid"/>
                  <a:miter lim="800000"/>
                </a:ln>
                <a:effectLst/>
              </xdr:spPr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marL="0" marR="0" lvl="0" indent="0" algn="ctr" defTabSz="91440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/>
                  </a:pPr>
                  <a:r>
                    <a:rPr kumimoji="0" lang="en-GB" sz="1100" b="0" i="0" u="none" strike="noStrike" kern="0" cap="none" spc="0" normalizeH="0" baseline="0">
                      <a:ln>
                        <a:noFill/>
                      </a:ln>
                      <a:solidFill>
                        <a:sysClr val="windowText" lastClr="000000"/>
                      </a:solidFill>
                      <a:effectLst/>
                      <a:uLnTx/>
                      <a:uFillTx/>
                      <a:latin typeface="Calibri" panose="020F0502020204030204"/>
                      <a:ea typeface="+mn-ea"/>
                      <a:cs typeface="+mn-cs"/>
                    </a:rPr>
                    <a:t>Named ranges</a:t>
                  </a:r>
                </a:p>
              </xdr:txBody>
            </xdr:sp>
            <xdr:sp macro="" textlink="">
              <xdr:nvSpPr>
                <xdr:cNvPr id="189" name="Rectangle 188">
                  <a:hlinkClick xmlns:r="http://schemas.openxmlformats.org/officeDocument/2006/relationships" r:id="rId11"/>
                  <a:extLst>
                    <a:ext uri="{FF2B5EF4-FFF2-40B4-BE49-F238E27FC236}">
                      <a16:creationId xmlns:a16="http://schemas.microsoft.com/office/drawing/2014/main" id="{00000000-0008-0000-0200-0000BD000000}"/>
                    </a:ext>
                  </a:extLst>
                </xdr:cNvPr>
                <xdr:cNvSpPr/>
              </xdr:nvSpPr>
              <xdr:spPr>
                <a:xfrm>
                  <a:off x="2156681" y="15588361"/>
                  <a:ext cx="1392299" cy="423894"/>
                </a:xfrm>
                <a:prstGeom prst="rect">
                  <a:avLst/>
                </a:prstGeom>
                <a:solidFill>
                  <a:sysClr val="window" lastClr="FFFFFF">
                    <a:lumMod val="75000"/>
                  </a:sysClr>
                </a:solidFill>
                <a:ln w="12700" cap="flat" cmpd="sng" algn="ctr">
                  <a:noFill/>
                  <a:prstDash val="solid"/>
                  <a:miter lim="800000"/>
                </a:ln>
                <a:effectLst/>
              </xdr:spPr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marL="0" marR="0" lvl="0" indent="0" algn="ctr" defTabSz="91440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/>
                  </a:pPr>
                  <a:r>
                    <a:rPr kumimoji="0" lang="en-GB" sz="1100" b="0" i="0" u="none" strike="noStrike" kern="0" cap="none" spc="0" normalizeH="0" baseline="0">
                      <a:ln>
                        <a:noFill/>
                      </a:ln>
                      <a:solidFill>
                        <a:sysClr val="windowText" lastClr="000000"/>
                      </a:solidFill>
                      <a:effectLst/>
                      <a:uLnTx/>
                      <a:uFillTx/>
                      <a:latin typeface="Calibri" panose="020F0502020204030204"/>
                      <a:ea typeface="+mn-ea"/>
                      <a:cs typeface="+mn-cs"/>
                    </a:rPr>
                    <a:t>ARP_DNO commentary</a:t>
                  </a:r>
                </a:p>
              </xdr:txBody>
            </xdr:sp>
            <xdr:sp macro="" textlink="">
              <xdr:nvSpPr>
                <xdr:cNvPr id="190" name="Rectangle 189">
                  <a:hlinkClick xmlns:r="http://schemas.openxmlformats.org/officeDocument/2006/relationships" r:id="rId12"/>
                  <a:extLst>
                    <a:ext uri="{FF2B5EF4-FFF2-40B4-BE49-F238E27FC236}">
                      <a16:creationId xmlns:a16="http://schemas.microsoft.com/office/drawing/2014/main" id="{00000000-0008-0000-0200-0000BE000000}"/>
                    </a:ext>
                  </a:extLst>
                </xdr:cNvPr>
                <xdr:cNvSpPr/>
              </xdr:nvSpPr>
              <xdr:spPr>
                <a:xfrm>
                  <a:off x="3702452" y="15588361"/>
                  <a:ext cx="1392299" cy="423894"/>
                </a:xfrm>
                <a:prstGeom prst="rect">
                  <a:avLst/>
                </a:prstGeom>
                <a:solidFill>
                  <a:sysClr val="window" lastClr="FFFFFF">
                    <a:lumMod val="75000"/>
                  </a:sysClr>
                </a:solidFill>
                <a:ln w="12700" cap="flat" cmpd="sng" algn="ctr">
                  <a:noFill/>
                  <a:prstDash val="solid"/>
                  <a:miter lim="800000"/>
                </a:ln>
                <a:effectLst/>
              </xdr:spPr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marL="0" marR="0" lvl="0" indent="0" algn="ctr" defTabSz="91440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/>
                  </a:pPr>
                  <a:r>
                    <a:rPr kumimoji="0" lang="en-GB" sz="1100" b="0" i="0" u="none" strike="noStrike" kern="0" cap="none" spc="0" normalizeH="0" baseline="0">
                      <a:ln>
                        <a:noFill/>
                      </a:ln>
                      <a:solidFill>
                        <a:sysClr val="windowText" lastClr="000000"/>
                      </a:solidFill>
                      <a:effectLst/>
                      <a:uLnTx/>
                      <a:uFillTx/>
                      <a:latin typeface="Calibri" panose="020F0502020204030204"/>
                      <a:ea typeface="+mn-ea"/>
                      <a:cs typeface="+mn-cs"/>
                    </a:rPr>
                    <a:t>ARP_CDCM timebands</a:t>
                  </a:r>
                </a:p>
              </xdr:txBody>
            </xdr:sp>
            <xdr:sp macro="" textlink="">
              <xdr:nvSpPr>
                <xdr:cNvPr id="191" name="Rectangle 190">
                  <a:hlinkClick xmlns:r="http://schemas.openxmlformats.org/officeDocument/2006/relationships" r:id="rId13"/>
                  <a:extLst>
                    <a:ext uri="{FF2B5EF4-FFF2-40B4-BE49-F238E27FC236}">
                      <a16:creationId xmlns:a16="http://schemas.microsoft.com/office/drawing/2014/main" id="{00000000-0008-0000-0200-0000BF000000}"/>
                    </a:ext>
                  </a:extLst>
                </xdr:cNvPr>
                <xdr:cNvSpPr/>
              </xdr:nvSpPr>
              <xdr:spPr>
                <a:xfrm>
                  <a:off x="5248223" y="15588361"/>
                  <a:ext cx="1392299" cy="423894"/>
                </a:xfrm>
                <a:prstGeom prst="rect">
                  <a:avLst/>
                </a:prstGeom>
                <a:solidFill>
                  <a:sysClr val="window" lastClr="FFFFFF">
                    <a:lumMod val="75000"/>
                  </a:sysClr>
                </a:solidFill>
                <a:ln w="12700" cap="flat" cmpd="sng" algn="ctr">
                  <a:noFill/>
                  <a:prstDash val="solid"/>
                  <a:miter lim="800000"/>
                </a:ln>
                <a:effectLst/>
              </xdr:spPr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marL="0" marR="0" lvl="0" indent="0" algn="ctr" defTabSz="91440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/>
                  </a:pPr>
                  <a:r>
                    <a:rPr kumimoji="0" lang="en-GB" sz="1100" b="0" i="0" u="none" strike="noStrike" kern="0" cap="none" spc="0" normalizeH="0" baseline="0">
                      <a:ln>
                        <a:noFill/>
                      </a:ln>
                      <a:solidFill>
                        <a:sysClr val="windowText" lastClr="000000"/>
                      </a:solidFill>
                      <a:effectLst/>
                      <a:uLnTx/>
                      <a:uFillTx/>
                      <a:latin typeface="Calibri" panose="020F0502020204030204"/>
                      <a:ea typeface="+mn-ea"/>
                      <a:cs typeface="+mn-cs"/>
                    </a:rPr>
                    <a:t>ARP_Load characteristics</a:t>
                  </a:r>
                </a:p>
              </xdr:txBody>
            </xdr:sp>
            <xdr:sp macro="" textlink="">
              <xdr:nvSpPr>
                <xdr:cNvPr id="192" name="Rectangle 191">
                  <a:hlinkClick xmlns:r="http://schemas.openxmlformats.org/officeDocument/2006/relationships" r:id="rId14"/>
                  <a:extLst>
                    <a:ext uri="{FF2B5EF4-FFF2-40B4-BE49-F238E27FC236}">
                      <a16:creationId xmlns:a16="http://schemas.microsoft.com/office/drawing/2014/main" id="{00000000-0008-0000-0200-0000C0000000}"/>
                    </a:ext>
                  </a:extLst>
                </xdr:cNvPr>
                <xdr:cNvSpPr/>
              </xdr:nvSpPr>
              <xdr:spPr>
                <a:xfrm>
                  <a:off x="6793995" y="15588361"/>
                  <a:ext cx="1392299" cy="423894"/>
                </a:xfrm>
                <a:prstGeom prst="rect">
                  <a:avLst/>
                </a:prstGeom>
                <a:solidFill>
                  <a:sysClr val="window" lastClr="FFFFFF">
                    <a:lumMod val="75000"/>
                  </a:sysClr>
                </a:solidFill>
                <a:ln w="12700" cap="flat" cmpd="sng" algn="ctr">
                  <a:noFill/>
                  <a:prstDash val="solid"/>
                  <a:miter lim="800000"/>
                </a:ln>
                <a:effectLst/>
              </xdr:spPr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marL="0" marR="0" lvl="0" indent="0" algn="ctr" defTabSz="91440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/>
                  </a:pPr>
                  <a:r>
                    <a:rPr kumimoji="0" lang="en-GB" sz="1100" b="0" i="0" u="none" strike="noStrike" kern="0" cap="none" spc="0" normalizeH="0" baseline="0">
                      <a:ln>
                        <a:noFill/>
                      </a:ln>
                      <a:solidFill>
                        <a:sysClr val="windowText" lastClr="000000"/>
                      </a:solidFill>
                      <a:effectLst/>
                      <a:uLnTx/>
                      <a:uFillTx/>
                      <a:latin typeface="Calibri" panose="020F0502020204030204"/>
                      <a:ea typeface="+mn-ea"/>
                      <a:cs typeface="+mn-cs"/>
                    </a:rPr>
                    <a:t>ARP_Peaking probabilities</a:t>
                  </a:r>
                </a:p>
              </xdr:txBody>
            </xdr:sp>
          </xdr:grpSp>
          <xdr:grpSp>
            <xdr:nvGrpSpPr>
              <xdr:cNvPr id="31" name="Group 30">
                <a:extLst>
                  <a:ext uri="{FF2B5EF4-FFF2-40B4-BE49-F238E27FC236}">
                    <a16:creationId xmlns:a16="http://schemas.microsoft.com/office/drawing/2014/main" id="{00000000-0008-0000-0200-00001F000000}"/>
                  </a:ext>
                </a:extLst>
              </xdr:cNvPr>
              <xdr:cNvGrpSpPr/>
            </xdr:nvGrpSpPr>
            <xdr:grpSpPr>
              <a:xfrm>
                <a:off x="1543312" y="15879825"/>
                <a:ext cx="8105330" cy="5526909"/>
                <a:chOff x="1543312" y="15879825"/>
                <a:chExt cx="8105330" cy="5526909"/>
              </a:xfrm>
            </xdr:grpSpPr>
            <xdr:sp macro="" textlink="">
              <xdr:nvSpPr>
                <xdr:cNvPr id="137" name="Rectangle 136">
                  <a:extLst>
                    <a:ext uri="{FF2B5EF4-FFF2-40B4-BE49-F238E27FC236}">
                      <a16:creationId xmlns:a16="http://schemas.microsoft.com/office/drawing/2014/main" id="{00000000-0008-0000-0200-000089000000}"/>
                    </a:ext>
                  </a:extLst>
                </xdr:cNvPr>
                <xdr:cNvSpPr/>
              </xdr:nvSpPr>
              <xdr:spPr>
                <a:xfrm>
                  <a:off x="1543312" y="15879825"/>
                  <a:ext cx="8105330" cy="5526909"/>
                </a:xfrm>
                <a:prstGeom prst="rect">
                  <a:avLst/>
                </a:prstGeom>
                <a:solidFill>
                  <a:schemeClr val="accent5">
                    <a:lumMod val="75000"/>
                  </a:schemeClr>
                </a:solidFill>
                <a:ln w="12700" cap="flat" cmpd="sng" algn="ctr">
                  <a:noFill/>
                  <a:prstDash val="solid"/>
                  <a:miter lim="800000"/>
                </a:ln>
                <a:effectLst/>
              </xdr:spPr>
              <xdr:txBody>
                <a:bodyPr rot="0" spcFirstLastPara="0" vert="horz" wrap="square" lIns="91440" tIns="45720" rIns="91440" bIns="45720" numCol="1" spcCol="0" rtlCol="0" fromWordArt="0" anchor="t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marL="0" marR="0" lvl="0" indent="0" algn="l" defTabSz="91440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/>
                  </a:pPr>
                  <a:r>
                    <a:rPr kumimoji="0" lang="en-GB" sz="1100" b="0" i="0" u="none" strike="noStrike" kern="0" cap="none" spc="0" normalizeH="0" baseline="0">
                      <a:ln>
                        <a:noFill/>
                      </a:ln>
                      <a:solidFill>
                        <a:sysClr val="window" lastClr="FFFFFF"/>
                      </a:solidFill>
                      <a:effectLst/>
                      <a:uLnTx/>
                      <a:uFillTx/>
                      <a:latin typeface="Calibri" panose="020F0502020204030204"/>
                      <a:ea typeface="+mn-ea"/>
                      <a:cs typeface="+mn-cs"/>
                    </a:rPr>
                    <a:t>Calculation sheets</a:t>
                  </a:r>
                </a:p>
              </xdr:txBody>
            </xdr:sp>
            <xdr:grpSp>
              <xdr:nvGrpSpPr>
                <xdr:cNvPr id="29" name="Group 28">
                  <a:extLst>
                    <a:ext uri="{FF2B5EF4-FFF2-40B4-BE49-F238E27FC236}">
                      <a16:creationId xmlns:a16="http://schemas.microsoft.com/office/drawing/2014/main" id="{00000000-0008-0000-0200-00001D000000}"/>
                    </a:ext>
                  </a:extLst>
                </xdr:cNvPr>
                <xdr:cNvGrpSpPr/>
              </xdr:nvGrpSpPr>
              <xdr:grpSpPr>
                <a:xfrm>
                  <a:off x="1748163" y="17688128"/>
                  <a:ext cx="7790175" cy="2148155"/>
                  <a:chOff x="1748163" y="17688128"/>
                  <a:chExt cx="7790175" cy="2148155"/>
                </a:xfrm>
              </xdr:grpSpPr>
              <xdr:grpSp>
                <xdr:nvGrpSpPr>
                  <xdr:cNvPr id="28" name="Group 27">
                    <a:extLst>
                      <a:ext uri="{FF2B5EF4-FFF2-40B4-BE49-F238E27FC236}">
                        <a16:creationId xmlns:a16="http://schemas.microsoft.com/office/drawing/2014/main" id="{00000000-0008-0000-0200-00001C000000}"/>
                      </a:ext>
                    </a:extLst>
                  </xdr:cNvPr>
                  <xdr:cNvGrpSpPr/>
                </xdr:nvGrpSpPr>
                <xdr:grpSpPr>
                  <a:xfrm>
                    <a:off x="1748163" y="17688128"/>
                    <a:ext cx="7790175" cy="2148155"/>
                    <a:chOff x="1748163" y="17688128"/>
                    <a:chExt cx="7790175" cy="2148155"/>
                  </a:xfrm>
                </xdr:grpSpPr>
                <xdr:sp macro="" textlink="">
                  <xdr:nvSpPr>
                    <xdr:cNvPr id="138" name="Rectangle 137">
                      <a:extLst>
                        <a:ext uri="{FF2B5EF4-FFF2-40B4-BE49-F238E27FC236}">
                          <a16:creationId xmlns:a16="http://schemas.microsoft.com/office/drawing/2014/main" id="{00000000-0008-0000-0200-00008A000000}"/>
                        </a:ext>
                      </a:extLst>
                    </xdr:cNvPr>
                    <xdr:cNvSpPr/>
                  </xdr:nvSpPr>
                  <xdr:spPr>
                    <a:xfrm>
                      <a:off x="1748163" y="17688128"/>
                      <a:ext cx="7790175" cy="2148155"/>
                    </a:xfrm>
                    <a:prstGeom prst="rect">
                      <a:avLst/>
                    </a:prstGeom>
                    <a:solidFill>
                      <a:schemeClr val="accent5"/>
                    </a:solidFill>
                    <a:ln w="12700" cap="flat" cmpd="sng" algn="ctr">
                      <a:noFill/>
                      <a:prstDash val="solid"/>
                      <a:miter lim="800000"/>
                    </a:ln>
                    <a:effectLst/>
                  </xdr:spPr>
                  <xdr:txBody>
                    <a:bodyPr rot="0" spcFirstLastPara="0" vert="horz" wrap="square" lIns="91440" tIns="45720" rIns="91440" bIns="45720" numCol="1" spcCol="0" rtlCol="0" fromWordArt="0" anchor="t" anchorCtr="0" forceAA="0" compatLnSpc="1">
                      <a:prstTxWarp prst="textNoShape">
                        <a:avLst/>
                      </a:prstTxWarp>
                      <a:noAutofit/>
                    </a:bodyPr>
                    <a:lstStyle>
                      <a:defPPr>
                        <a:defRPr lang="en-US"/>
                      </a:defPPr>
                      <a:lvl1pPr marL="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marL="0" marR="0" lvl="0" indent="0" algn="l" defTabSz="914400" eaLnBrk="1" fontAlgn="auto" latinLnBrk="0" hangingPunct="1">
                        <a:lnSpc>
                          <a:spcPct val="100000"/>
                        </a:lnSpc>
                        <a:spcBef>
                          <a:spcPts val="0"/>
                        </a:spcBef>
                        <a:spcAft>
                          <a:spcPts val="0"/>
                        </a:spcAft>
                        <a:buClrTx/>
                        <a:buSzTx/>
                        <a:buFontTx/>
                        <a:buNone/>
                        <a:tabLst/>
                        <a:defRPr/>
                      </a:pPr>
                      <a:r>
                        <a:rPr kumimoji="0" lang="en-GB" sz="1100" b="0" i="0" u="none" strike="noStrike" kern="0" cap="none" spc="0" normalizeH="0" baseline="0">
                          <a:ln>
                            <a:noFill/>
                          </a:ln>
                          <a:solidFill>
                            <a:sysClr val="window" lastClr="FFFFFF"/>
                          </a:solidFill>
                          <a:effectLst/>
                          <a:uLnTx/>
                          <a:uFillTx/>
                          <a:latin typeface="Calibri" panose="020F0502020204030204"/>
                          <a:ea typeface="+mn-ea"/>
                          <a:cs typeface="+mn-cs"/>
                        </a:rPr>
                        <a:t>Calculation of charges before revenue matching</a:t>
                      </a:r>
                    </a:p>
                  </xdr:txBody>
                </xdr:sp>
                <xdr:sp macro="" textlink="">
                  <xdr:nvSpPr>
                    <xdr:cNvPr id="141" name="Rectangle 140">
                      <a:hlinkClick xmlns:r="http://schemas.openxmlformats.org/officeDocument/2006/relationships" r:id="rId15"/>
                      <a:extLst>
                        <a:ext uri="{FF2B5EF4-FFF2-40B4-BE49-F238E27FC236}">
                          <a16:creationId xmlns:a16="http://schemas.microsoft.com/office/drawing/2014/main" id="{00000000-0008-0000-0200-00008D000000}"/>
                        </a:ext>
                      </a:extLst>
                    </xdr:cNvPr>
                    <xdr:cNvSpPr/>
                  </xdr:nvSpPr>
                  <xdr:spPr>
                    <a:xfrm>
                      <a:off x="3307011" y="18550380"/>
                      <a:ext cx="1419947" cy="449249"/>
                    </a:xfrm>
                    <a:prstGeom prst="rect">
                      <a:avLst/>
                    </a:prstGeom>
                    <a:solidFill>
                      <a:schemeClr val="accent5">
                        <a:lumMod val="60000"/>
                        <a:lumOff val="40000"/>
                      </a:schemeClr>
                    </a:solidFill>
                    <a:ln w="12700" cap="flat" cmpd="sng" algn="ctr">
                      <a:noFill/>
                      <a:prstDash val="solid"/>
                      <a:miter lim="800000"/>
                    </a:ln>
                    <a:effectLst/>
                  </xdr:spPr>
                  <xdr:txBody>
                    <a:bodyPr rot="0" spcFirstLastPara="0" vert="horz" wrap="square" lIns="91440" tIns="45720" rIns="91440" bIns="45720" numCol="1" spcCol="0" rtlCol="0" fromWordArt="0" anchor="ctr" anchorCtr="0" forceAA="0" compatLnSpc="1">
                      <a:prstTxWarp prst="textNoShape">
                        <a:avLst/>
                      </a:prstTxWarp>
                      <a:noAutofit/>
                    </a:bodyPr>
                    <a:lstStyle>
                      <a:defPPr>
                        <a:defRPr lang="en-US"/>
                      </a:defPPr>
                      <a:lvl1pPr marL="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marL="0" marR="0" lvl="0" indent="0" algn="ctr" defTabSz="914400" eaLnBrk="1" fontAlgn="auto" latinLnBrk="0" hangingPunct="1">
                        <a:lnSpc>
                          <a:spcPct val="100000"/>
                        </a:lnSpc>
                        <a:spcBef>
                          <a:spcPts val="0"/>
                        </a:spcBef>
                        <a:spcAft>
                          <a:spcPts val="0"/>
                        </a:spcAft>
                        <a:buClrTx/>
                        <a:buSzTx/>
                        <a:buFontTx/>
                        <a:buNone/>
                        <a:tabLst/>
                        <a:defRPr/>
                      </a:pPr>
                      <a:r>
                        <a:rPr kumimoji="0" lang="en-GB" sz="1100" b="0" i="0" u="none" strike="noStrike" kern="0" cap="none" spc="0" normalizeH="0" baseline="0">
                          <a:ln>
                            <a:noFill/>
                          </a:ln>
                          <a:solidFill>
                            <a:sysClr val="windowText" lastClr="000000"/>
                          </a:solidFill>
                          <a:effectLst/>
                          <a:uLnTx/>
                          <a:uFillTx/>
                          <a:latin typeface="Calibri" panose="020F0502020204030204"/>
                          <a:ea typeface="+mn-ea"/>
                          <a:cs typeface="+mn-cs"/>
                        </a:rPr>
                        <a:t>Initial unit rates</a:t>
                      </a:r>
                    </a:p>
                  </xdr:txBody>
                </xdr:sp>
                <xdr:sp macro="" textlink="">
                  <xdr:nvSpPr>
                    <xdr:cNvPr id="146" name="Rectangle 145">
                      <a:hlinkClick xmlns:r="http://schemas.openxmlformats.org/officeDocument/2006/relationships" r:id="rId16"/>
                      <a:extLst>
                        <a:ext uri="{FF2B5EF4-FFF2-40B4-BE49-F238E27FC236}">
                          <a16:creationId xmlns:a16="http://schemas.microsoft.com/office/drawing/2014/main" id="{00000000-0008-0000-0200-000092000000}"/>
                        </a:ext>
                      </a:extLst>
                    </xdr:cNvPr>
                    <xdr:cNvSpPr/>
                  </xdr:nvSpPr>
                  <xdr:spPr>
                    <a:xfrm>
                      <a:off x="2567860" y="19251592"/>
                      <a:ext cx="1411459" cy="445060"/>
                    </a:xfrm>
                    <a:prstGeom prst="rect">
                      <a:avLst/>
                    </a:prstGeom>
                    <a:solidFill>
                      <a:schemeClr val="accent5">
                        <a:lumMod val="60000"/>
                        <a:lumOff val="40000"/>
                      </a:schemeClr>
                    </a:solidFill>
                    <a:ln w="12700" cap="flat" cmpd="sng" algn="ctr">
                      <a:noFill/>
                      <a:prstDash val="solid"/>
                      <a:miter lim="800000"/>
                    </a:ln>
                    <a:effectLst/>
                  </xdr:spPr>
                  <xdr:txBody>
                    <a:bodyPr rot="0" spcFirstLastPara="0" vert="horz" wrap="square" lIns="91440" tIns="45720" rIns="91440" bIns="45720" numCol="1" spcCol="0" rtlCol="0" fromWordArt="0" anchor="ctr" anchorCtr="0" forceAA="0" compatLnSpc="1">
                      <a:prstTxWarp prst="textNoShape">
                        <a:avLst/>
                      </a:prstTxWarp>
                      <a:noAutofit/>
                    </a:bodyPr>
                    <a:lstStyle>
                      <a:defPPr>
                        <a:defRPr lang="en-US"/>
                      </a:defPPr>
                      <a:lvl1pPr marL="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marL="0" marR="0" lvl="0" indent="0" algn="ctr" defTabSz="914400" eaLnBrk="1" fontAlgn="auto" latinLnBrk="0" hangingPunct="1">
                        <a:lnSpc>
                          <a:spcPct val="100000"/>
                        </a:lnSpc>
                        <a:spcBef>
                          <a:spcPts val="0"/>
                        </a:spcBef>
                        <a:spcAft>
                          <a:spcPts val="0"/>
                        </a:spcAft>
                        <a:buClrTx/>
                        <a:buSzTx/>
                        <a:buFontTx/>
                        <a:buNone/>
                        <a:tabLst/>
                        <a:defRPr/>
                      </a:pPr>
                      <a:r>
                        <a:rPr kumimoji="0" lang="en-GB" sz="1100" b="0" i="0" u="none" strike="noStrike" kern="0" cap="none" spc="0" normalizeH="0" baseline="0">
                          <a:ln>
                            <a:noFill/>
                          </a:ln>
                          <a:solidFill>
                            <a:sysClr val="windowText" lastClr="000000"/>
                          </a:solidFill>
                          <a:effectLst/>
                          <a:uLnTx/>
                          <a:uFillTx/>
                          <a:latin typeface="Calibri" panose="020F0502020204030204"/>
                          <a:ea typeface="+mn-ea"/>
                          <a:cs typeface="+mn-cs"/>
                        </a:rPr>
                        <a:t>Unit rate charges</a:t>
                      </a:r>
                    </a:p>
                  </xdr:txBody>
                </xdr:sp>
                <xdr:sp macro="" textlink="">
                  <xdr:nvSpPr>
                    <xdr:cNvPr id="147" name="Rectangle 146">
                      <a:hlinkClick xmlns:r="http://schemas.openxmlformats.org/officeDocument/2006/relationships" r:id="rId17"/>
                      <a:extLst>
                        <a:ext uri="{FF2B5EF4-FFF2-40B4-BE49-F238E27FC236}">
                          <a16:creationId xmlns:a16="http://schemas.microsoft.com/office/drawing/2014/main" id="{00000000-0008-0000-0200-000093000000}"/>
                        </a:ext>
                      </a:extLst>
                    </xdr:cNvPr>
                    <xdr:cNvSpPr/>
                  </xdr:nvSpPr>
                  <xdr:spPr>
                    <a:xfrm>
                      <a:off x="5661337" y="19251592"/>
                      <a:ext cx="1427027" cy="445060"/>
                    </a:xfrm>
                    <a:prstGeom prst="rect">
                      <a:avLst/>
                    </a:prstGeom>
                    <a:solidFill>
                      <a:schemeClr val="accent5">
                        <a:lumMod val="60000"/>
                        <a:lumOff val="40000"/>
                      </a:schemeClr>
                    </a:solidFill>
                    <a:ln w="12700" cap="flat" cmpd="sng" algn="ctr">
                      <a:noFill/>
                      <a:prstDash val="solid"/>
                      <a:miter lim="800000"/>
                    </a:ln>
                    <a:effectLst/>
                  </xdr:spPr>
                  <xdr:txBody>
                    <a:bodyPr rot="0" spcFirstLastPara="0" vert="horz" wrap="square" lIns="91440" tIns="45720" rIns="91440" bIns="45720" numCol="1" spcCol="0" rtlCol="0" fromWordArt="0" anchor="ctr" anchorCtr="0" forceAA="0" compatLnSpc="1">
                      <a:prstTxWarp prst="textNoShape">
                        <a:avLst/>
                      </a:prstTxWarp>
                      <a:noAutofit/>
                    </a:bodyPr>
                    <a:lstStyle>
                      <a:defPPr>
                        <a:defRPr lang="en-US"/>
                      </a:defPPr>
                      <a:lvl1pPr marL="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marL="0" marR="0" lvl="0" indent="0" algn="ctr" defTabSz="914400" eaLnBrk="1" fontAlgn="auto" latinLnBrk="0" hangingPunct="1">
                        <a:lnSpc>
                          <a:spcPct val="100000"/>
                        </a:lnSpc>
                        <a:spcBef>
                          <a:spcPts val="0"/>
                        </a:spcBef>
                        <a:spcAft>
                          <a:spcPts val="0"/>
                        </a:spcAft>
                        <a:buClrTx/>
                        <a:buSzTx/>
                        <a:buFontTx/>
                        <a:buNone/>
                        <a:tabLst/>
                        <a:defRPr/>
                      </a:pPr>
                      <a:r>
                        <a:rPr kumimoji="0" lang="en-GB" sz="1100" b="0" i="0" u="none" strike="noStrike" kern="0" cap="none" spc="0" normalizeH="0" baseline="0">
                          <a:ln>
                            <a:noFill/>
                          </a:ln>
                          <a:solidFill>
                            <a:sysClr val="windowText" lastClr="000000"/>
                          </a:solidFill>
                          <a:effectLst/>
                          <a:uLnTx/>
                          <a:uFillTx/>
                          <a:latin typeface="Calibri" panose="020F0502020204030204"/>
                          <a:ea typeface="+mn-ea"/>
                          <a:cs typeface="+mn-cs"/>
                        </a:rPr>
                        <a:t>Capacity charges</a:t>
                      </a:r>
                    </a:p>
                  </xdr:txBody>
                </xdr:sp>
                <xdr:sp macro="" textlink="">
                  <xdr:nvSpPr>
                    <xdr:cNvPr id="148" name="Rectangle 147">
                      <a:hlinkClick xmlns:r="http://schemas.openxmlformats.org/officeDocument/2006/relationships" r:id="rId18"/>
                      <a:extLst>
                        <a:ext uri="{FF2B5EF4-FFF2-40B4-BE49-F238E27FC236}">
                          <a16:creationId xmlns:a16="http://schemas.microsoft.com/office/drawing/2014/main" id="{00000000-0008-0000-0200-000094000000}"/>
                        </a:ext>
                      </a:extLst>
                    </xdr:cNvPr>
                    <xdr:cNvSpPr/>
                  </xdr:nvSpPr>
                  <xdr:spPr>
                    <a:xfrm>
                      <a:off x="7216863" y="19246121"/>
                      <a:ext cx="1427028" cy="456003"/>
                    </a:xfrm>
                    <a:prstGeom prst="rect">
                      <a:avLst/>
                    </a:prstGeom>
                    <a:solidFill>
                      <a:schemeClr val="accent5">
                        <a:lumMod val="60000"/>
                        <a:lumOff val="40000"/>
                      </a:schemeClr>
                    </a:solidFill>
                    <a:ln w="12700" cap="flat" cmpd="sng" algn="ctr">
                      <a:noFill/>
                      <a:prstDash val="solid"/>
                      <a:miter lim="800000"/>
                    </a:ln>
                    <a:effectLst/>
                  </xdr:spPr>
                  <xdr:txBody>
                    <a:bodyPr rot="0" spcFirstLastPara="0" vert="horz" wrap="square" lIns="91440" tIns="45720" rIns="91440" bIns="45720" numCol="1" spcCol="0" rtlCol="0" fromWordArt="0" anchor="ctr" anchorCtr="0" forceAA="0" compatLnSpc="1">
                      <a:prstTxWarp prst="textNoShape">
                        <a:avLst/>
                      </a:prstTxWarp>
                      <a:noAutofit/>
                    </a:bodyPr>
                    <a:lstStyle>
                      <a:defPPr>
                        <a:defRPr lang="en-US"/>
                      </a:defPPr>
                      <a:lvl1pPr marL="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marL="0" marR="0" lvl="0" indent="0" algn="ctr" defTabSz="914400" eaLnBrk="1" fontAlgn="auto" latinLnBrk="0" hangingPunct="1">
                        <a:lnSpc>
                          <a:spcPct val="100000"/>
                        </a:lnSpc>
                        <a:spcBef>
                          <a:spcPts val="0"/>
                        </a:spcBef>
                        <a:spcAft>
                          <a:spcPts val="0"/>
                        </a:spcAft>
                        <a:buClrTx/>
                        <a:buSzTx/>
                        <a:buFontTx/>
                        <a:buNone/>
                        <a:tabLst/>
                        <a:defRPr/>
                      </a:pPr>
                      <a:r>
                        <a:rPr kumimoji="0" lang="en-GB" sz="1100" b="0" i="0" u="none" strike="noStrike" kern="0" cap="none" spc="0" normalizeH="0" baseline="0">
                          <a:ln>
                            <a:noFill/>
                          </a:ln>
                          <a:solidFill>
                            <a:sysClr val="windowText" lastClr="000000"/>
                          </a:solidFill>
                          <a:effectLst/>
                          <a:uLnTx/>
                          <a:uFillTx/>
                          <a:latin typeface="Calibri" panose="020F0502020204030204"/>
                          <a:ea typeface="+mn-ea"/>
                          <a:cs typeface="+mn-cs"/>
                        </a:rPr>
                        <a:t>Fixed charges</a:t>
                      </a:r>
                    </a:p>
                  </xdr:txBody>
                </xdr:sp>
                <xdr:sp macro="" textlink="">
                  <xdr:nvSpPr>
                    <xdr:cNvPr id="149" name="Rectangle 148">
                      <a:hlinkClick xmlns:r="http://schemas.openxmlformats.org/officeDocument/2006/relationships" r:id="rId19"/>
                      <a:extLst>
                        <a:ext uri="{FF2B5EF4-FFF2-40B4-BE49-F238E27FC236}">
                          <a16:creationId xmlns:a16="http://schemas.microsoft.com/office/drawing/2014/main" id="{00000000-0008-0000-0200-000095000000}"/>
                        </a:ext>
                      </a:extLst>
                    </xdr:cNvPr>
                    <xdr:cNvSpPr/>
                  </xdr:nvSpPr>
                  <xdr:spPr>
                    <a:xfrm>
                      <a:off x="4107818" y="19248803"/>
                      <a:ext cx="1425020" cy="450637"/>
                    </a:xfrm>
                    <a:prstGeom prst="rect">
                      <a:avLst/>
                    </a:prstGeom>
                    <a:solidFill>
                      <a:schemeClr val="accent5">
                        <a:lumMod val="60000"/>
                        <a:lumOff val="40000"/>
                      </a:schemeClr>
                    </a:solidFill>
                    <a:ln w="12700" cap="flat" cmpd="sng" algn="ctr">
                      <a:noFill/>
                      <a:prstDash val="solid"/>
                      <a:miter lim="800000"/>
                    </a:ln>
                    <a:effectLst/>
                  </xdr:spPr>
                  <xdr:txBody>
                    <a:bodyPr rot="0" spcFirstLastPara="0" vert="horz" wrap="square" lIns="91440" tIns="45720" rIns="91440" bIns="45720" numCol="1" spcCol="0" rtlCol="0" fromWordArt="0" anchor="ctr" anchorCtr="0" forceAA="0" compatLnSpc="1">
                      <a:prstTxWarp prst="textNoShape">
                        <a:avLst/>
                      </a:prstTxWarp>
                      <a:noAutofit/>
                    </a:bodyPr>
                    <a:lstStyle>
                      <a:defPPr>
                        <a:defRPr lang="en-US"/>
                      </a:defPPr>
                      <a:lvl1pPr marL="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marL="0" marR="0" lvl="0" indent="0" algn="ctr" defTabSz="914400" eaLnBrk="1" fontAlgn="auto" latinLnBrk="0" hangingPunct="1">
                        <a:lnSpc>
                          <a:spcPct val="100000"/>
                        </a:lnSpc>
                        <a:spcBef>
                          <a:spcPts val="0"/>
                        </a:spcBef>
                        <a:spcAft>
                          <a:spcPts val="0"/>
                        </a:spcAft>
                        <a:buClrTx/>
                        <a:buSzTx/>
                        <a:buFontTx/>
                        <a:buNone/>
                        <a:tabLst/>
                        <a:defRPr/>
                      </a:pPr>
                      <a:r>
                        <a:rPr kumimoji="0" lang="en-GB" sz="1100" b="0" i="0" u="none" strike="noStrike" kern="0" cap="none" spc="0" normalizeH="0" baseline="0">
                          <a:ln>
                            <a:noFill/>
                          </a:ln>
                          <a:solidFill>
                            <a:sysClr val="windowText" lastClr="000000"/>
                          </a:solidFill>
                          <a:effectLst/>
                          <a:uLnTx/>
                          <a:uFillTx/>
                          <a:latin typeface="Calibri" panose="020F0502020204030204"/>
                          <a:ea typeface="+mn-ea"/>
                          <a:cs typeface="+mn-cs"/>
                        </a:rPr>
                        <a:t>Reactive power charges</a:t>
                      </a:r>
                    </a:p>
                  </xdr:txBody>
                </xdr:sp>
                <xdr:cxnSp macro="">
                  <xdr:nvCxnSpPr>
                    <xdr:cNvPr id="150" name="Straight Arrow Connector 149">
                      <a:extLst>
                        <a:ext uri="{FF2B5EF4-FFF2-40B4-BE49-F238E27FC236}">
                          <a16:creationId xmlns:a16="http://schemas.microsoft.com/office/drawing/2014/main" id="{00000000-0008-0000-0200-000096000000}"/>
                        </a:ext>
                      </a:extLst>
                    </xdr:cNvPr>
                    <xdr:cNvCxnSpPr>
                      <a:stCxn id="141" idx="2"/>
                      <a:endCxn id="146" idx="0"/>
                    </xdr:cNvCxnSpPr>
                  </xdr:nvCxnSpPr>
                  <xdr:spPr>
                    <a:xfrm flipH="1">
                      <a:off x="3269509" y="18999629"/>
                      <a:ext cx="749516" cy="251963"/>
                    </a:xfrm>
                    <a:prstGeom prst="straightConnector1">
                      <a:avLst/>
                    </a:prstGeom>
                    <a:noFill/>
                    <a:ln w="6350" cap="flat" cmpd="sng" algn="ctr">
                      <a:solidFill>
                        <a:sysClr val="windowText" lastClr="000000"/>
                      </a:solidFill>
                      <a:prstDash val="solid"/>
                      <a:miter lim="800000"/>
                      <a:tailEnd type="triangle"/>
                    </a:ln>
                    <a:effectLst/>
                  </xdr:spPr>
                </xdr:cxnSp>
                <xdr:cxnSp macro="">
                  <xdr:nvCxnSpPr>
                    <xdr:cNvPr id="153" name="Straight Arrow Connector 152">
                      <a:extLst>
                        <a:ext uri="{FF2B5EF4-FFF2-40B4-BE49-F238E27FC236}">
                          <a16:creationId xmlns:a16="http://schemas.microsoft.com/office/drawing/2014/main" id="{00000000-0008-0000-0200-000099000000}"/>
                        </a:ext>
                      </a:extLst>
                    </xdr:cNvPr>
                    <xdr:cNvCxnSpPr>
                      <a:cxnSpLocks/>
                      <a:stCxn id="147" idx="3"/>
                      <a:endCxn id="148" idx="1"/>
                    </xdr:cNvCxnSpPr>
                  </xdr:nvCxnSpPr>
                  <xdr:spPr>
                    <a:xfrm>
                      <a:off x="7088364" y="19474123"/>
                      <a:ext cx="128499" cy="1"/>
                    </a:xfrm>
                    <a:prstGeom prst="straightConnector1">
                      <a:avLst/>
                    </a:prstGeom>
                    <a:noFill/>
                    <a:ln w="6350" cap="flat" cmpd="sng" algn="ctr">
                      <a:solidFill>
                        <a:sysClr val="windowText" lastClr="000000"/>
                      </a:solidFill>
                      <a:prstDash val="solid"/>
                      <a:miter lim="800000"/>
                      <a:tailEnd type="triangle"/>
                    </a:ln>
                    <a:effectLst/>
                  </xdr:spPr>
                </xdr:cxnSp>
                <xdr:cxnSp macro="">
                  <xdr:nvCxnSpPr>
                    <xdr:cNvPr id="154" name="Straight Arrow Connector 153">
                      <a:extLst>
                        <a:ext uri="{FF2B5EF4-FFF2-40B4-BE49-F238E27FC236}">
                          <a16:creationId xmlns:a16="http://schemas.microsoft.com/office/drawing/2014/main" id="{00000000-0008-0000-0200-00009A000000}"/>
                        </a:ext>
                      </a:extLst>
                    </xdr:cNvPr>
                    <xdr:cNvCxnSpPr>
                      <a:stCxn id="141" idx="2"/>
                      <a:endCxn id="149" idx="0"/>
                    </xdr:cNvCxnSpPr>
                  </xdr:nvCxnSpPr>
                  <xdr:spPr>
                    <a:xfrm>
                      <a:off x="4019025" y="18999629"/>
                      <a:ext cx="799117" cy="249174"/>
                    </a:xfrm>
                    <a:prstGeom prst="straightConnector1">
                      <a:avLst/>
                    </a:prstGeom>
                    <a:noFill/>
                    <a:ln w="6350" cap="flat" cmpd="sng" algn="ctr">
                      <a:solidFill>
                        <a:sysClr val="windowText" lastClr="000000"/>
                      </a:solidFill>
                      <a:prstDash val="solid"/>
                      <a:miter lim="800000"/>
                      <a:tailEnd type="triangle"/>
                    </a:ln>
                    <a:effectLst/>
                  </xdr:spPr>
                </xdr:cxnSp>
                <xdr:sp macro="" textlink="">
                  <xdr:nvSpPr>
                    <xdr:cNvPr id="177" name="Rectangle 176">
                      <a:hlinkClick xmlns:r="http://schemas.openxmlformats.org/officeDocument/2006/relationships" r:id="rId20"/>
                      <a:extLst>
                        <a:ext uri="{FF2B5EF4-FFF2-40B4-BE49-F238E27FC236}">
                          <a16:creationId xmlns:a16="http://schemas.microsoft.com/office/drawing/2014/main" id="{00000000-0008-0000-0200-0000B1000000}"/>
                        </a:ext>
                      </a:extLst>
                    </xdr:cNvPr>
                    <xdr:cNvSpPr/>
                  </xdr:nvSpPr>
                  <xdr:spPr>
                    <a:xfrm>
                      <a:off x="3307011" y="17977804"/>
                      <a:ext cx="1431304" cy="435352"/>
                    </a:xfrm>
                    <a:prstGeom prst="rect">
                      <a:avLst/>
                    </a:prstGeom>
                    <a:solidFill>
                      <a:schemeClr val="accent5">
                        <a:lumMod val="60000"/>
                        <a:lumOff val="40000"/>
                      </a:schemeClr>
                    </a:solidFill>
                    <a:ln w="12700" cap="flat" cmpd="sng" algn="ctr">
                      <a:noFill/>
                      <a:prstDash val="solid"/>
                      <a:miter lim="800000"/>
                    </a:ln>
                    <a:effectLst/>
                  </xdr:spPr>
                  <xdr:txBody>
                    <a:bodyPr rot="0" spcFirstLastPara="0" vert="horz" wrap="square" lIns="91440" tIns="45720" rIns="91440" bIns="45720" numCol="1" spcCol="0" rtlCol="0" fromWordArt="0" anchor="ctr" anchorCtr="0" forceAA="0" compatLnSpc="1">
                      <a:prstTxWarp prst="textNoShape">
                        <a:avLst/>
                      </a:prstTxWarp>
                      <a:noAutofit/>
                    </a:bodyPr>
                    <a:lstStyle>
                      <a:defPPr>
                        <a:defRPr lang="en-US"/>
                      </a:defPPr>
                      <a:lvl1pPr marL="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marL="0" marR="0" lvl="0" indent="0" algn="ctr" defTabSz="914400" eaLnBrk="1" fontAlgn="auto" latinLnBrk="0" hangingPunct="1">
                        <a:lnSpc>
                          <a:spcPct val="100000"/>
                        </a:lnSpc>
                        <a:spcBef>
                          <a:spcPts val="0"/>
                        </a:spcBef>
                        <a:spcAft>
                          <a:spcPts val="0"/>
                        </a:spcAft>
                        <a:buClrTx/>
                        <a:buSzTx/>
                        <a:buFontTx/>
                        <a:buNone/>
                        <a:tabLst/>
                        <a:defRPr/>
                      </a:pPr>
                      <a:r>
                        <a:rPr kumimoji="0" lang="en-GB" sz="1100" b="0" i="0" u="none" strike="noStrike" kern="0" cap="none" spc="0" normalizeH="0" baseline="0">
                          <a:ln>
                            <a:noFill/>
                          </a:ln>
                          <a:solidFill>
                            <a:sysClr val="windowText" lastClr="000000"/>
                          </a:solidFill>
                          <a:effectLst/>
                          <a:uLnTx/>
                          <a:uFillTx/>
                          <a:latin typeface="Calibri" panose="020F0502020204030204"/>
                          <a:ea typeface="+mn-ea"/>
                          <a:cs typeface="+mn-cs"/>
                        </a:rPr>
                        <a:t>Unit costs</a:t>
                      </a:r>
                    </a:p>
                  </xdr:txBody>
                </xdr:sp>
                <xdr:sp macro="" textlink="">
                  <xdr:nvSpPr>
                    <xdr:cNvPr id="178" name="Rectangle 177">
                      <a:hlinkClick xmlns:r="http://schemas.openxmlformats.org/officeDocument/2006/relationships" r:id="rId21"/>
                      <a:extLst>
                        <a:ext uri="{FF2B5EF4-FFF2-40B4-BE49-F238E27FC236}">
                          <a16:creationId xmlns:a16="http://schemas.microsoft.com/office/drawing/2014/main" id="{00000000-0008-0000-0200-0000B2000000}"/>
                        </a:ext>
                      </a:extLst>
                    </xdr:cNvPr>
                    <xdr:cNvSpPr/>
                  </xdr:nvSpPr>
                  <xdr:spPr>
                    <a:xfrm>
                      <a:off x="5654687" y="17970239"/>
                      <a:ext cx="1427223" cy="433545"/>
                    </a:xfrm>
                    <a:prstGeom prst="rect">
                      <a:avLst/>
                    </a:prstGeom>
                    <a:solidFill>
                      <a:schemeClr val="accent5">
                        <a:lumMod val="60000"/>
                        <a:lumOff val="40000"/>
                      </a:schemeClr>
                    </a:solidFill>
                    <a:ln w="12700" cap="flat" cmpd="sng" algn="ctr">
                      <a:noFill/>
                      <a:prstDash val="solid"/>
                      <a:miter lim="800000"/>
                    </a:ln>
                    <a:effectLst/>
                  </xdr:spPr>
                  <xdr:txBody>
                    <a:bodyPr rot="0" spcFirstLastPara="0" vert="horz" wrap="square" lIns="91440" tIns="45720" rIns="91440" bIns="45720" numCol="1" spcCol="0" rtlCol="0" fromWordArt="0" anchor="ctr" anchorCtr="0" forceAA="0" compatLnSpc="1">
                      <a:prstTxWarp prst="textNoShape">
                        <a:avLst/>
                      </a:prstTxWarp>
                      <a:noAutofit/>
                    </a:bodyPr>
                    <a:lstStyle>
                      <a:defPPr>
                        <a:defRPr lang="en-US"/>
                      </a:defPPr>
                      <a:lvl1pPr marL="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marL="0" marR="0" lvl="0" indent="0" algn="ctr" defTabSz="914400" eaLnBrk="1" fontAlgn="auto" latinLnBrk="0" hangingPunct="1">
                        <a:lnSpc>
                          <a:spcPct val="100000"/>
                        </a:lnSpc>
                        <a:spcBef>
                          <a:spcPts val="0"/>
                        </a:spcBef>
                        <a:spcAft>
                          <a:spcPts val="0"/>
                        </a:spcAft>
                        <a:buClrTx/>
                        <a:buSzTx/>
                        <a:buFontTx/>
                        <a:buNone/>
                        <a:tabLst/>
                        <a:defRPr/>
                      </a:pPr>
                      <a:r>
                        <a:rPr kumimoji="0" lang="en-GB" sz="1100" b="0" i="0" u="none" strike="noStrike" kern="0" cap="none" spc="0" normalizeH="0" baseline="0">
                          <a:ln>
                            <a:noFill/>
                          </a:ln>
                          <a:solidFill>
                            <a:sysClr val="windowText" lastClr="000000"/>
                          </a:solidFill>
                          <a:effectLst/>
                          <a:uLnTx/>
                          <a:uFillTx/>
                          <a:latin typeface="Calibri" panose="020F0502020204030204"/>
                          <a:ea typeface="+mn-ea"/>
                          <a:cs typeface="+mn-cs"/>
                        </a:rPr>
                        <a:t>Service model charges</a:t>
                      </a:r>
                    </a:p>
                  </xdr:txBody>
                </xdr:sp>
              </xdr:grpSp>
              <xdr:cxnSp macro="">
                <xdr:nvCxnSpPr>
                  <xdr:cNvPr id="179" name="Connector: Elbow 178">
                    <a:extLst>
                      <a:ext uri="{FF2B5EF4-FFF2-40B4-BE49-F238E27FC236}">
                        <a16:creationId xmlns:a16="http://schemas.microsoft.com/office/drawing/2014/main" id="{00000000-0008-0000-0200-0000B3000000}"/>
                      </a:ext>
                    </a:extLst>
                  </xdr:cNvPr>
                  <xdr:cNvCxnSpPr>
                    <a:stCxn id="177" idx="2"/>
                    <a:endCxn id="147" idx="0"/>
                  </xdr:cNvCxnSpPr>
                </xdr:nvCxnSpPr>
                <xdr:spPr>
                  <a:xfrm rot="16200000" flipH="1">
                    <a:off x="4780560" y="17657300"/>
                    <a:ext cx="838436" cy="2350146"/>
                  </a:xfrm>
                  <a:prstGeom prst="bentConnector3">
                    <a:avLst>
                      <a:gd name="adj1" fmla="val 4318"/>
                    </a:avLst>
                  </a:prstGeom>
                  <a:ln>
                    <a:tailEnd type="triangle"/>
                  </a:ln>
                </xdr:spPr>
                <xdr:style>
                  <a:lnRef idx="1">
                    <a:schemeClr val="dk1"/>
                  </a:lnRef>
                  <a:fillRef idx="0">
                    <a:schemeClr val="dk1"/>
                  </a:fillRef>
                  <a:effectRef idx="0">
                    <a:schemeClr val="dk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30" name="Group 29">
                  <a:extLst>
                    <a:ext uri="{FF2B5EF4-FFF2-40B4-BE49-F238E27FC236}">
                      <a16:creationId xmlns:a16="http://schemas.microsoft.com/office/drawing/2014/main" id="{00000000-0008-0000-0200-00001E000000}"/>
                    </a:ext>
                  </a:extLst>
                </xdr:cNvPr>
                <xdr:cNvGrpSpPr/>
              </xdr:nvGrpSpPr>
              <xdr:grpSpPr>
                <a:xfrm>
                  <a:off x="1748163" y="16146585"/>
                  <a:ext cx="7790175" cy="1474252"/>
                  <a:chOff x="1748163" y="16146585"/>
                  <a:chExt cx="7790175" cy="1474252"/>
                </a:xfrm>
              </xdr:grpSpPr>
              <xdr:sp macro="" textlink="">
                <xdr:nvSpPr>
                  <xdr:cNvPr id="139" name="Rectangle 138">
                    <a:extLst>
                      <a:ext uri="{FF2B5EF4-FFF2-40B4-BE49-F238E27FC236}">
                        <a16:creationId xmlns:a16="http://schemas.microsoft.com/office/drawing/2014/main" id="{00000000-0008-0000-0200-00008B000000}"/>
                      </a:ext>
                    </a:extLst>
                  </xdr:cNvPr>
                  <xdr:cNvSpPr/>
                </xdr:nvSpPr>
                <xdr:spPr>
                  <a:xfrm>
                    <a:off x="1748163" y="16146585"/>
                    <a:ext cx="7790175" cy="1474252"/>
                  </a:xfrm>
                  <a:prstGeom prst="rect">
                    <a:avLst/>
                  </a:prstGeom>
                  <a:solidFill>
                    <a:schemeClr val="accent5"/>
                  </a:solidFill>
                  <a:ln w="12700" cap="flat" cmpd="sng" algn="ctr">
                    <a:noFill/>
                    <a:prstDash val="solid"/>
                    <a:miter lim="800000"/>
                  </a:ln>
                  <a:effectLst/>
                </xdr:spPr>
                <xdr:txBody>
                  <a:bodyPr rot="0" spcFirstLastPara="0" vert="horz" wrap="square" lIns="91440" tIns="45720" rIns="91440" bIns="45720" numCol="1" spcCol="0" rtlCol="0" fromWordArt="0" anchor="t" anchorCtr="0" forceAA="0" compatLnSpc="1">
                    <a:prstTxWarp prst="textNoShape">
                      <a:avLst/>
                    </a:prstTxWarp>
                    <a:noAutofit/>
                  </a:bodyPr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marR="0" lvl="0" indent="0" algn="l" defTabSz="91440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/>
                    </a:pPr>
                    <a:r>
                      <a:rPr kumimoji="0" lang="en-GB" sz="1100" b="0" i="0" u="none" strike="noStrike" kern="0" cap="none" spc="0" normalizeH="0" baseline="0">
                        <a:ln>
                          <a:noFill/>
                        </a:ln>
                        <a:solidFill>
                          <a:sysClr val="window" lastClr="FFFFFF"/>
                        </a:solidFill>
                        <a:effectLst/>
                        <a:uLnTx/>
                        <a:uFillTx/>
                        <a:latin typeface="Calibri" panose="020F0502020204030204"/>
                        <a:ea typeface="+mn-ea"/>
                        <a:cs typeface="+mn-cs"/>
                      </a:rPr>
                      <a:t>Cost and volumes characteristics</a:t>
                    </a:r>
                  </a:p>
                </xdr:txBody>
              </xdr:sp>
              <xdr:sp macro="" textlink="">
                <xdr:nvSpPr>
                  <xdr:cNvPr id="142" name="Rectangle 141">
                    <a:hlinkClick xmlns:r="http://schemas.openxmlformats.org/officeDocument/2006/relationships" r:id="rId22"/>
                    <a:extLst>
                      <a:ext uri="{FF2B5EF4-FFF2-40B4-BE49-F238E27FC236}">
                        <a16:creationId xmlns:a16="http://schemas.microsoft.com/office/drawing/2014/main" id="{00000000-0008-0000-0200-00008E000000}"/>
                      </a:ext>
                    </a:extLst>
                  </xdr:cNvPr>
                  <xdr:cNvSpPr/>
                </xdr:nvSpPr>
                <xdr:spPr>
                  <a:xfrm>
                    <a:off x="6535430" y="16992994"/>
                    <a:ext cx="1427223" cy="433545"/>
                  </a:xfrm>
                  <a:prstGeom prst="rect">
                    <a:avLst/>
                  </a:prstGeom>
                  <a:solidFill>
                    <a:schemeClr val="accent5">
                      <a:lumMod val="60000"/>
                      <a:lumOff val="40000"/>
                    </a:schemeClr>
                  </a:solidFill>
                  <a:ln w="12700" cap="flat" cmpd="sng" algn="ctr">
                    <a:noFill/>
                    <a:prstDash val="solid"/>
                    <a:miter lim="800000"/>
                  </a:ln>
                  <a:effectLst/>
                </xdr:spPr>
                <xdr:txBody>
                  <a:bodyPr rot="0" spcFirstLastPara="0" vert="horz" wrap="square" lIns="91440" tIns="45720" rIns="91440" bIns="45720" numCol="1" spcCol="0" rtlCol="0" fromWordArt="0" anchor="ctr" anchorCtr="0" forceAA="0" compatLnSpc="1">
                    <a:prstTxWarp prst="textNoShape">
                      <a:avLst/>
                    </a:prstTxWarp>
                    <a:noAutofit/>
                  </a:bodyPr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marR="0" lvl="0" indent="0" algn="ctr" defTabSz="91440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/>
                    </a:pPr>
                    <a:r>
                      <a:rPr kumimoji="0" lang="en-GB" sz="1100" b="0" i="0" u="none" strike="noStrike" kern="0" cap="none" spc="0" normalizeH="0" baseline="0">
                        <a:ln>
                          <a:noFill/>
                        </a:ln>
                        <a:solidFill>
                          <a:sysClr val="windowText" lastClr="000000"/>
                        </a:solidFill>
                        <a:effectLst/>
                        <a:uLnTx/>
                        <a:uFillTx/>
                        <a:latin typeface="Calibri" panose="020F0502020204030204"/>
                        <a:ea typeface="+mn-ea"/>
                        <a:cs typeface="+mn-cs"/>
                      </a:rPr>
                      <a:t>Service model assets</a:t>
                    </a:r>
                  </a:p>
                </xdr:txBody>
              </xdr:sp>
              <xdr:sp macro="" textlink="">
                <xdr:nvSpPr>
                  <xdr:cNvPr id="143" name="Rectangle 142">
                    <a:hlinkClick xmlns:r="http://schemas.openxmlformats.org/officeDocument/2006/relationships" r:id="rId23"/>
                    <a:extLst>
                      <a:ext uri="{FF2B5EF4-FFF2-40B4-BE49-F238E27FC236}">
                        <a16:creationId xmlns:a16="http://schemas.microsoft.com/office/drawing/2014/main" id="{00000000-0008-0000-0200-00008F000000}"/>
                      </a:ext>
                    </a:extLst>
                  </xdr:cNvPr>
                  <xdr:cNvSpPr/>
                </xdr:nvSpPr>
                <xdr:spPr>
                  <a:xfrm>
                    <a:off x="5767603" y="16480925"/>
                    <a:ext cx="1415967" cy="440717"/>
                  </a:xfrm>
                  <a:prstGeom prst="rect">
                    <a:avLst/>
                  </a:prstGeom>
                  <a:solidFill>
                    <a:schemeClr val="accent5">
                      <a:lumMod val="60000"/>
                      <a:lumOff val="40000"/>
                    </a:schemeClr>
                  </a:solidFill>
                  <a:ln w="12700" cap="flat" cmpd="sng" algn="ctr">
                    <a:noFill/>
                    <a:prstDash val="solid"/>
                    <a:miter lim="800000"/>
                  </a:ln>
                  <a:effectLst/>
                </xdr:spPr>
                <xdr:txBody>
                  <a:bodyPr rot="0" spcFirstLastPara="0" vert="horz" wrap="square" lIns="91440" tIns="45720" rIns="91440" bIns="45720" numCol="1" spcCol="0" rtlCol="0" fromWordArt="0" anchor="ctr" anchorCtr="0" forceAA="0" compatLnSpc="1">
                    <a:prstTxWarp prst="textNoShape">
                      <a:avLst/>
                    </a:prstTxWarp>
                    <a:noAutofit/>
                  </a:bodyPr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marR="0" lvl="0" indent="0" algn="ctr" defTabSz="91440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/>
                    </a:pPr>
                    <a:r>
                      <a:rPr kumimoji="0" lang="en-GB" sz="1100" b="0" i="0" u="none" strike="noStrike" kern="0" cap="none" spc="0" normalizeH="0" baseline="0">
                        <a:ln>
                          <a:noFill/>
                        </a:ln>
                        <a:solidFill>
                          <a:sysClr val="windowText" lastClr="000000"/>
                        </a:solidFill>
                        <a:effectLst/>
                        <a:uLnTx/>
                        <a:uFillTx/>
                        <a:latin typeface="Calibri" panose="020F0502020204030204"/>
                        <a:ea typeface="+mn-ea"/>
                        <a:cs typeface="+mn-cs"/>
                      </a:rPr>
                      <a:t>Customer contributions</a:t>
                    </a:r>
                  </a:p>
                </xdr:txBody>
              </xdr:sp>
              <xdr:sp macro="" textlink="">
                <xdr:nvSpPr>
                  <xdr:cNvPr id="144" name="Rectangle 143">
                    <a:hlinkClick xmlns:r="http://schemas.openxmlformats.org/officeDocument/2006/relationships" r:id="rId24"/>
                    <a:extLst>
                      <a:ext uri="{FF2B5EF4-FFF2-40B4-BE49-F238E27FC236}">
                        <a16:creationId xmlns:a16="http://schemas.microsoft.com/office/drawing/2014/main" id="{00000000-0008-0000-0200-000090000000}"/>
                      </a:ext>
                    </a:extLst>
                  </xdr:cNvPr>
                  <xdr:cNvSpPr/>
                </xdr:nvSpPr>
                <xdr:spPr>
                  <a:xfrm>
                    <a:off x="7260620" y="16480925"/>
                    <a:ext cx="1417709" cy="440717"/>
                  </a:xfrm>
                  <a:prstGeom prst="rect">
                    <a:avLst/>
                  </a:prstGeom>
                  <a:solidFill>
                    <a:schemeClr val="accent5">
                      <a:lumMod val="60000"/>
                      <a:lumOff val="40000"/>
                    </a:schemeClr>
                  </a:solidFill>
                  <a:ln w="12700" cap="flat" cmpd="sng" algn="ctr">
                    <a:noFill/>
                    <a:prstDash val="solid"/>
                    <a:miter lim="800000"/>
                  </a:ln>
                  <a:effectLst/>
                </xdr:spPr>
                <xdr:txBody>
                  <a:bodyPr rot="0" spcFirstLastPara="0" vert="horz" wrap="square" lIns="91440" tIns="45720" rIns="91440" bIns="45720" numCol="1" spcCol="0" rtlCol="0" fromWordArt="0" anchor="ctr" anchorCtr="0" forceAA="0" compatLnSpc="1">
                    <a:prstTxWarp prst="textNoShape">
                      <a:avLst/>
                    </a:prstTxWarp>
                    <a:noAutofit/>
                  </a:bodyPr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marR="0" lvl="0" indent="0" algn="ctr" defTabSz="91440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/>
                    </a:pPr>
                    <a:r>
                      <a:rPr kumimoji="0" lang="en-GB" sz="1100" b="0" i="0" u="none" strike="noStrike" kern="0" cap="none" spc="0" normalizeH="0" baseline="0">
                        <a:ln>
                          <a:noFill/>
                        </a:ln>
                        <a:solidFill>
                          <a:sysClr val="windowText" lastClr="000000"/>
                        </a:solidFill>
                        <a:effectLst/>
                        <a:uLnTx/>
                        <a:uFillTx/>
                        <a:latin typeface="Calibri" panose="020F0502020204030204"/>
                        <a:ea typeface="+mn-ea"/>
                        <a:cs typeface="+mn-cs"/>
                      </a:rPr>
                      <a:t>Volume adjustments</a:t>
                    </a:r>
                  </a:p>
                </xdr:txBody>
              </xdr:sp>
              <xdr:sp macro="" textlink="">
                <xdr:nvSpPr>
                  <xdr:cNvPr id="145" name="Rectangle 144">
                    <a:hlinkClick xmlns:r="http://schemas.openxmlformats.org/officeDocument/2006/relationships" r:id="rId25"/>
                    <a:extLst>
                      <a:ext uri="{FF2B5EF4-FFF2-40B4-BE49-F238E27FC236}">
                        <a16:creationId xmlns:a16="http://schemas.microsoft.com/office/drawing/2014/main" id="{00000000-0008-0000-0200-000091000000}"/>
                      </a:ext>
                    </a:extLst>
                  </xdr:cNvPr>
                  <xdr:cNvSpPr/>
                </xdr:nvSpPr>
                <xdr:spPr>
                  <a:xfrm>
                    <a:off x="4995909" y="16992993"/>
                    <a:ext cx="1466477" cy="433545"/>
                  </a:xfrm>
                  <a:prstGeom prst="rect">
                    <a:avLst/>
                  </a:prstGeom>
                  <a:solidFill>
                    <a:schemeClr val="accent5">
                      <a:lumMod val="60000"/>
                      <a:lumOff val="40000"/>
                    </a:schemeClr>
                  </a:solidFill>
                  <a:ln w="12700" cap="flat" cmpd="sng" algn="ctr">
                    <a:noFill/>
                    <a:prstDash val="solid"/>
                    <a:miter lim="800000"/>
                  </a:ln>
                  <a:effectLst/>
                </xdr:spPr>
                <xdr:txBody>
                  <a:bodyPr rot="0" spcFirstLastPara="0" vert="horz" wrap="square" lIns="91440" tIns="45720" rIns="91440" bIns="45720" numCol="1" spcCol="0" rtlCol="0" fromWordArt="0" anchor="ctr" anchorCtr="0" forceAA="0" compatLnSpc="1">
                    <a:prstTxWarp prst="textNoShape">
                      <a:avLst/>
                    </a:prstTxWarp>
                    <a:noAutofit/>
                  </a:bodyPr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marR="0" lvl="0" indent="0" algn="ctr" defTabSz="91440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/>
                    </a:pPr>
                    <a:r>
                      <a:rPr kumimoji="0" lang="en-GB" sz="1100" b="0" i="0" u="none" strike="noStrike" kern="0" cap="none" spc="0" normalizeH="0" baseline="0">
                        <a:ln>
                          <a:noFill/>
                        </a:ln>
                        <a:solidFill>
                          <a:sysClr val="windowText" lastClr="000000"/>
                        </a:solidFill>
                        <a:effectLst/>
                        <a:uLnTx/>
                        <a:uFillTx/>
                        <a:latin typeface="Calibri" panose="020F0502020204030204"/>
                        <a:ea typeface="+mn-ea"/>
                        <a:cs typeface="+mn-cs"/>
                      </a:rPr>
                      <a:t>Pseudo-load coefficients</a:t>
                    </a:r>
                  </a:p>
                </xdr:txBody>
              </xdr:sp>
              <xdr:sp macro="" textlink="">
                <xdr:nvSpPr>
                  <xdr:cNvPr id="174" name="Rectangle 173">
                    <a:hlinkClick xmlns:r="http://schemas.openxmlformats.org/officeDocument/2006/relationships" r:id="rId26"/>
                    <a:extLst>
                      <a:ext uri="{FF2B5EF4-FFF2-40B4-BE49-F238E27FC236}">
                        <a16:creationId xmlns:a16="http://schemas.microsoft.com/office/drawing/2014/main" id="{00000000-0008-0000-0200-0000AE000000}"/>
                      </a:ext>
                    </a:extLst>
                  </xdr:cNvPr>
                  <xdr:cNvSpPr/>
                </xdr:nvSpPr>
                <xdr:spPr>
                  <a:xfrm>
                    <a:off x="2766154" y="16480925"/>
                    <a:ext cx="1427223" cy="440717"/>
                  </a:xfrm>
                  <a:prstGeom prst="rect">
                    <a:avLst/>
                  </a:prstGeom>
                  <a:solidFill>
                    <a:schemeClr val="accent5">
                      <a:lumMod val="60000"/>
                      <a:lumOff val="40000"/>
                    </a:schemeClr>
                  </a:solidFill>
                  <a:ln w="12700" cap="flat" cmpd="sng" algn="ctr">
                    <a:noFill/>
                    <a:prstDash val="solid"/>
                    <a:miter lim="800000"/>
                  </a:ln>
                  <a:effectLst/>
                </xdr:spPr>
                <xdr:txBody>
                  <a:bodyPr rot="0" spcFirstLastPara="0" vert="horz" wrap="square" lIns="91440" tIns="45720" rIns="91440" bIns="45720" numCol="1" spcCol="0" rtlCol="0" fromWordArt="0" anchor="ctr" anchorCtr="0" forceAA="0" compatLnSpc="1">
                    <a:prstTxWarp prst="textNoShape">
                      <a:avLst/>
                    </a:prstTxWarp>
                    <a:noAutofit/>
                  </a:bodyPr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marR="0" lvl="0" indent="0" algn="ctr" defTabSz="91440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/>
                    </a:pPr>
                    <a:r>
                      <a:rPr kumimoji="0" lang="en-GB" sz="1100" b="0" i="0" u="none" strike="noStrike" kern="0" cap="none" spc="0" normalizeH="0" baseline="0">
                        <a:ln>
                          <a:noFill/>
                        </a:ln>
                        <a:solidFill>
                          <a:sysClr val="windowText" lastClr="000000"/>
                        </a:solidFill>
                        <a:effectLst/>
                        <a:uLnTx/>
                        <a:uFillTx/>
                        <a:latin typeface="Calibri" panose="020F0502020204030204"/>
                        <a:ea typeface="+mn-ea"/>
                        <a:cs typeface="+mn-cs"/>
                      </a:rPr>
                      <a:t>Standing charge factors</a:t>
                    </a:r>
                  </a:p>
                </xdr:txBody>
              </xdr:sp>
              <xdr:sp macro="" textlink="">
                <xdr:nvSpPr>
                  <xdr:cNvPr id="175" name="Rectangle 174">
                    <a:hlinkClick xmlns:r="http://schemas.openxmlformats.org/officeDocument/2006/relationships" r:id="rId27"/>
                    <a:extLst>
                      <a:ext uri="{FF2B5EF4-FFF2-40B4-BE49-F238E27FC236}">
                        <a16:creationId xmlns:a16="http://schemas.microsoft.com/office/drawing/2014/main" id="{00000000-0008-0000-0200-0000AF000000}"/>
                      </a:ext>
                    </a:extLst>
                  </xdr:cNvPr>
                  <xdr:cNvSpPr/>
                </xdr:nvSpPr>
                <xdr:spPr>
                  <a:xfrm>
                    <a:off x="4259171" y="16480925"/>
                    <a:ext cx="1431593" cy="440717"/>
                  </a:xfrm>
                  <a:prstGeom prst="rect">
                    <a:avLst/>
                  </a:prstGeom>
                  <a:solidFill>
                    <a:schemeClr val="accent5">
                      <a:lumMod val="60000"/>
                      <a:lumOff val="40000"/>
                    </a:schemeClr>
                  </a:solidFill>
                  <a:ln w="12700" cap="flat" cmpd="sng" algn="ctr">
                    <a:noFill/>
                    <a:prstDash val="solid"/>
                    <a:miter lim="800000"/>
                  </a:ln>
                  <a:effectLst/>
                </xdr:spPr>
                <xdr:txBody>
                  <a:bodyPr rot="0" spcFirstLastPara="0" vert="horz" wrap="square" lIns="91440" tIns="45720" rIns="91440" bIns="45720" numCol="1" spcCol="0" rtlCol="0" fromWordArt="0" anchor="ctr" anchorCtr="0" forceAA="0" compatLnSpc="1">
                    <a:prstTxWarp prst="textNoShape">
                      <a:avLst/>
                    </a:prstTxWarp>
                    <a:noAutofit/>
                  </a:bodyPr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marR="0" lvl="0" indent="0" algn="ctr" defTabSz="91440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/>
                    </a:pPr>
                    <a:r>
                      <a:rPr kumimoji="0" lang="en-GB" sz="1100" b="0" i="0" u="none" strike="noStrike" kern="0" cap="none" spc="0" normalizeH="0" baseline="0">
                        <a:ln>
                          <a:noFill/>
                        </a:ln>
                        <a:solidFill>
                          <a:sysClr val="windowText" lastClr="000000"/>
                        </a:solidFill>
                        <a:effectLst/>
                        <a:uLnTx/>
                        <a:uFillTx/>
                        <a:latin typeface="Calibri" panose="020F0502020204030204"/>
                        <a:ea typeface="+mn-ea"/>
                        <a:cs typeface="+mn-cs"/>
                      </a:rPr>
                      <a:t>Load &amp; loss characteristics</a:t>
                    </a:r>
                  </a:p>
                </xdr:txBody>
              </xdr:sp>
              <xdr:sp macro="" textlink="">
                <xdr:nvSpPr>
                  <xdr:cNvPr id="176" name="Rectangle 175">
                    <a:hlinkClick xmlns:r="http://schemas.openxmlformats.org/officeDocument/2006/relationships" r:id="rId28"/>
                    <a:extLst>
                      <a:ext uri="{FF2B5EF4-FFF2-40B4-BE49-F238E27FC236}">
                        <a16:creationId xmlns:a16="http://schemas.microsoft.com/office/drawing/2014/main" id="{00000000-0008-0000-0200-0000B0000000}"/>
                      </a:ext>
                    </a:extLst>
                  </xdr:cNvPr>
                  <xdr:cNvSpPr/>
                </xdr:nvSpPr>
                <xdr:spPr>
                  <a:xfrm>
                    <a:off x="3502974" y="16992992"/>
                    <a:ext cx="1427223" cy="433545"/>
                  </a:xfrm>
                  <a:prstGeom prst="rect">
                    <a:avLst/>
                  </a:prstGeom>
                  <a:solidFill>
                    <a:schemeClr val="accent5">
                      <a:lumMod val="60000"/>
                      <a:lumOff val="40000"/>
                    </a:schemeClr>
                  </a:solidFill>
                  <a:ln w="12700" cap="flat" cmpd="sng" algn="ctr">
                    <a:noFill/>
                    <a:prstDash val="solid"/>
                    <a:miter lim="800000"/>
                  </a:ln>
                  <a:effectLst/>
                </xdr:spPr>
                <xdr:txBody>
                  <a:bodyPr rot="0" spcFirstLastPara="0" vert="horz" wrap="square" lIns="91440" tIns="45720" rIns="91440" bIns="45720" numCol="1" spcCol="0" rtlCol="0" fromWordArt="0" anchor="ctr" anchorCtr="0" forceAA="0" compatLnSpc="1">
                    <a:prstTxWarp prst="textNoShape">
                      <a:avLst/>
                    </a:prstTxWarp>
                    <a:noAutofit/>
                  </a:bodyPr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marR="0" lvl="0" indent="0" algn="ctr" defTabSz="91440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/>
                    </a:pPr>
                    <a:r>
                      <a:rPr kumimoji="0" lang="en-GB" sz="1100" b="0" i="0" u="none" strike="noStrike" kern="0" cap="none" spc="0" normalizeH="0" baseline="0">
                        <a:ln>
                          <a:noFill/>
                        </a:ln>
                        <a:solidFill>
                          <a:sysClr val="windowText" lastClr="000000"/>
                        </a:solidFill>
                        <a:effectLst/>
                        <a:uLnTx/>
                        <a:uFillTx/>
                        <a:latin typeface="Calibri" panose="020F0502020204030204"/>
                        <a:ea typeface="+mn-ea"/>
                        <a:cs typeface="+mn-cs"/>
                      </a:rPr>
                      <a:t>System peak demand</a:t>
                    </a:r>
                  </a:p>
                </xdr:txBody>
              </xdr:sp>
            </xdr:grpSp>
            <xdr:grpSp>
              <xdr:nvGrpSpPr>
                <xdr:cNvPr id="27" name="Group 26">
                  <a:extLst>
                    <a:ext uri="{FF2B5EF4-FFF2-40B4-BE49-F238E27FC236}">
                      <a16:creationId xmlns:a16="http://schemas.microsoft.com/office/drawing/2014/main" id="{00000000-0008-0000-0200-00001B000000}"/>
                    </a:ext>
                  </a:extLst>
                </xdr:cNvPr>
                <xdr:cNvGrpSpPr/>
              </xdr:nvGrpSpPr>
              <xdr:grpSpPr>
                <a:xfrm>
                  <a:off x="1748163" y="19934400"/>
                  <a:ext cx="7790175" cy="1375754"/>
                  <a:chOff x="1748163" y="19934400"/>
                  <a:chExt cx="7790175" cy="1375754"/>
                </a:xfrm>
              </xdr:grpSpPr>
              <xdr:sp macro="" textlink="">
                <xdr:nvSpPr>
                  <xdr:cNvPr id="140" name="Rectangle 139">
                    <a:extLst>
                      <a:ext uri="{FF2B5EF4-FFF2-40B4-BE49-F238E27FC236}">
                        <a16:creationId xmlns:a16="http://schemas.microsoft.com/office/drawing/2014/main" id="{00000000-0008-0000-0200-00008C000000}"/>
                      </a:ext>
                    </a:extLst>
                  </xdr:cNvPr>
                  <xdr:cNvSpPr/>
                </xdr:nvSpPr>
                <xdr:spPr>
                  <a:xfrm>
                    <a:off x="1748163" y="19934400"/>
                    <a:ext cx="7790175" cy="1375754"/>
                  </a:xfrm>
                  <a:prstGeom prst="rect">
                    <a:avLst/>
                  </a:prstGeom>
                  <a:solidFill>
                    <a:schemeClr val="accent5"/>
                  </a:solidFill>
                  <a:ln w="12700" cap="flat" cmpd="sng" algn="ctr">
                    <a:noFill/>
                    <a:prstDash val="solid"/>
                    <a:miter lim="800000"/>
                  </a:ln>
                  <a:effectLst/>
                </xdr:spPr>
                <xdr:txBody>
                  <a:bodyPr rot="0" spcFirstLastPara="0" vert="horz" wrap="square" lIns="91440" tIns="45720" rIns="91440" bIns="45720" numCol="1" spcCol="0" rtlCol="0" fromWordArt="0" anchor="t" anchorCtr="0" forceAA="0" compatLnSpc="1">
                    <a:prstTxWarp prst="textNoShape">
                      <a:avLst/>
                    </a:prstTxWarp>
                    <a:noAutofit/>
                  </a:bodyPr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marR="0" lvl="0" indent="0" algn="l" defTabSz="91440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/>
                    </a:pPr>
                    <a:r>
                      <a:rPr kumimoji="0" lang="en-GB" sz="1100" b="0" i="0" u="none" strike="noStrike" kern="0" cap="none" spc="0" normalizeH="0" baseline="0">
                        <a:ln>
                          <a:noFill/>
                        </a:ln>
                        <a:solidFill>
                          <a:sysClr val="window" lastClr="FFFFFF"/>
                        </a:solidFill>
                        <a:effectLst/>
                        <a:uLnTx/>
                        <a:uFillTx/>
                        <a:latin typeface="Calibri" panose="020F0502020204030204"/>
                        <a:ea typeface="+mn-ea"/>
                        <a:cs typeface="+mn-cs"/>
                      </a:rPr>
                      <a:t>Revenue matching and rounding</a:t>
                    </a:r>
                  </a:p>
                </xdr:txBody>
              </xdr:sp>
              <xdr:sp macro="" textlink="">
                <xdr:nvSpPr>
                  <xdr:cNvPr id="164" name="Rectangle 163">
                    <a:hlinkClick xmlns:r="http://schemas.openxmlformats.org/officeDocument/2006/relationships" r:id="rId29"/>
                    <a:extLst>
                      <a:ext uri="{FF2B5EF4-FFF2-40B4-BE49-F238E27FC236}">
                        <a16:creationId xmlns:a16="http://schemas.microsoft.com/office/drawing/2014/main" id="{00000000-0008-0000-0200-0000A4000000}"/>
                      </a:ext>
                    </a:extLst>
                  </xdr:cNvPr>
                  <xdr:cNvSpPr/>
                </xdr:nvSpPr>
                <xdr:spPr>
                  <a:xfrm>
                    <a:off x="4765416" y="20078449"/>
                    <a:ext cx="1593121" cy="266520"/>
                  </a:xfrm>
                  <a:prstGeom prst="rect">
                    <a:avLst/>
                  </a:prstGeom>
                  <a:solidFill>
                    <a:schemeClr val="accent5">
                      <a:lumMod val="60000"/>
                      <a:lumOff val="40000"/>
                    </a:schemeClr>
                  </a:solidFill>
                  <a:ln w="12700" cap="flat" cmpd="sng" algn="ctr">
                    <a:noFill/>
                    <a:prstDash val="solid"/>
                    <a:miter lim="800000"/>
                  </a:ln>
                  <a:effectLst/>
                </xdr:spPr>
                <xdr:txBody>
                  <a:bodyPr rot="0" spcFirstLastPara="0" vert="horz" wrap="square" lIns="91440" tIns="45720" rIns="91440" bIns="45720" numCol="1" spcCol="0" rtlCol="0" fromWordArt="0" anchor="ctr" anchorCtr="0" forceAA="0" compatLnSpc="1">
                    <a:prstTxWarp prst="textNoShape">
                      <a:avLst/>
                    </a:prstTxWarp>
                    <a:noAutofit/>
                  </a:bodyPr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marR="0" lvl="0" indent="0" algn="ctr" defTabSz="91440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/>
                    </a:pPr>
                    <a:r>
                      <a:rPr kumimoji="0" lang="en-GB" sz="1100" b="0" i="0" u="none" strike="noStrike" kern="0" cap="none" spc="0" normalizeH="0" baseline="0">
                        <a:ln>
                          <a:noFill/>
                        </a:ln>
                        <a:solidFill>
                          <a:sysClr val="windowText" lastClr="000000"/>
                        </a:solidFill>
                        <a:effectLst/>
                        <a:uLnTx/>
                        <a:uFillTx/>
                        <a:latin typeface="Calibri" panose="020F0502020204030204"/>
                        <a:ea typeface="+mn-ea"/>
                        <a:cs typeface="+mn-cs"/>
                      </a:rPr>
                      <a:t>Revenue matching</a:t>
                    </a:r>
                  </a:p>
                </xdr:txBody>
              </xdr:sp>
              <xdr:sp macro="" textlink="">
                <xdr:nvSpPr>
                  <xdr:cNvPr id="165" name="Rectangle 164">
                    <a:hlinkClick xmlns:r="http://schemas.openxmlformats.org/officeDocument/2006/relationships" r:id="rId30"/>
                    <a:extLst>
                      <a:ext uri="{FF2B5EF4-FFF2-40B4-BE49-F238E27FC236}">
                        <a16:creationId xmlns:a16="http://schemas.microsoft.com/office/drawing/2014/main" id="{00000000-0008-0000-0200-0000A5000000}"/>
                      </a:ext>
                    </a:extLst>
                  </xdr:cNvPr>
                  <xdr:cNvSpPr/>
                </xdr:nvSpPr>
                <xdr:spPr>
                  <a:xfrm>
                    <a:off x="4765416" y="20504090"/>
                    <a:ext cx="1593121" cy="269668"/>
                  </a:xfrm>
                  <a:prstGeom prst="rect">
                    <a:avLst/>
                  </a:prstGeom>
                  <a:solidFill>
                    <a:schemeClr val="accent5">
                      <a:lumMod val="60000"/>
                      <a:lumOff val="40000"/>
                    </a:schemeClr>
                  </a:solidFill>
                  <a:ln w="12700" cap="flat" cmpd="sng" algn="ctr">
                    <a:noFill/>
                    <a:prstDash val="solid"/>
                    <a:miter lim="800000"/>
                  </a:ln>
                  <a:effectLst/>
                </xdr:spPr>
                <xdr:txBody>
                  <a:bodyPr rot="0" spcFirstLastPara="0" vert="horz" wrap="square" lIns="91440" tIns="45720" rIns="91440" bIns="45720" numCol="1" spcCol="0" rtlCol="0" fromWordArt="0" anchor="ctr" anchorCtr="0" forceAA="0" compatLnSpc="1">
                    <a:prstTxWarp prst="textNoShape">
                      <a:avLst/>
                    </a:prstTxWarp>
                    <a:noAutofit/>
                  </a:bodyPr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marR="0" lvl="0" indent="0" algn="ctr" defTabSz="91440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/>
                    </a:pPr>
                    <a:r>
                      <a:rPr kumimoji="0" lang="en-GB" sz="1100" b="0" i="0" u="none" strike="noStrike" kern="0" cap="none" spc="0" normalizeH="0" baseline="0">
                        <a:ln>
                          <a:noFill/>
                        </a:ln>
                        <a:solidFill>
                          <a:sysClr val="windowText" lastClr="000000"/>
                        </a:solidFill>
                        <a:effectLst/>
                        <a:uLnTx/>
                        <a:uFillTx/>
                        <a:latin typeface="Calibri" panose="020F0502020204030204"/>
                        <a:ea typeface="+mn-ea"/>
                        <a:cs typeface="+mn-cs"/>
                      </a:rPr>
                      <a:t>Rounding</a:t>
                    </a:r>
                  </a:p>
                </xdr:txBody>
              </xdr:sp>
              <xdr:cxnSp macro="">
                <xdr:nvCxnSpPr>
                  <xdr:cNvPr id="166" name="Straight Arrow Connector 165">
                    <a:extLst>
                      <a:ext uri="{FF2B5EF4-FFF2-40B4-BE49-F238E27FC236}">
                        <a16:creationId xmlns:a16="http://schemas.microsoft.com/office/drawing/2014/main" id="{00000000-0008-0000-0200-0000A6000000}"/>
                      </a:ext>
                    </a:extLst>
                  </xdr:cNvPr>
                  <xdr:cNvCxnSpPr/>
                </xdr:nvCxnSpPr>
                <xdr:spPr>
                  <a:xfrm>
                    <a:off x="5592723" y="20335549"/>
                    <a:ext cx="0" cy="149642"/>
                  </a:xfrm>
                  <a:prstGeom prst="straightConnector1">
                    <a:avLst/>
                  </a:prstGeom>
                  <a:noFill/>
                  <a:ln w="6350" cap="flat" cmpd="sng" algn="ctr">
                    <a:solidFill>
                      <a:sysClr val="windowText" lastClr="000000"/>
                    </a:solidFill>
                    <a:prstDash val="solid"/>
                    <a:miter lim="800000"/>
                    <a:tailEnd type="triangle"/>
                  </a:ln>
                  <a:effectLst/>
                </xdr:spPr>
              </xdr:cxnSp>
              <xdr:sp macro="" textlink="">
                <xdr:nvSpPr>
                  <xdr:cNvPr id="196" name="Rectangle 195">
                    <a:hlinkClick xmlns:r="http://schemas.openxmlformats.org/officeDocument/2006/relationships" r:id="rId31"/>
                    <a:extLst>
                      <a:ext uri="{FF2B5EF4-FFF2-40B4-BE49-F238E27FC236}">
                        <a16:creationId xmlns:a16="http://schemas.microsoft.com/office/drawing/2014/main" id="{00000000-0008-0000-0200-0000C4000000}"/>
                      </a:ext>
                    </a:extLst>
                  </xdr:cNvPr>
                  <xdr:cNvSpPr/>
                </xdr:nvSpPr>
                <xdr:spPr>
                  <a:xfrm>
                    <a:off x="4765416" y="20951182"/>
                    <a:ext cx="1593121" cy="269668"/>
                  </a:xfrm>
                  <a:prstGeom prst="rect">
                    <a:avLst/>
                  </a:prstGeom>
                  <a:solidFill>
                    <a:schemeClr val="accent5">
                      <a:lumMod val="60000"/>
                      <a:lumOff val="40000"/>
                    </a:schemeClr>
                  </a:solidFill>
                  <a:ln w="12700" cap="flat" cmpd="sng" algn="ctr">
                    <a:noFill/>
                    <a:prstDash val="solid"/>
                    <a:miter lim="800000"/>
                  </a:ln>
                  <a:effectLst/>
                </xdr:spPr>
                <xdr:txBody>
                  <a:bodyPr rot="0" spcFirstLastPara="0" vert="horz" wrap="square" lIns="91440" tIns="45720" rIns="91440" bIns="45720" numCol="1" spcCol="0" rtlCol="0" fromWordArt="0" anchor="ctr" anchorCtr="0" forceAA="0" compatLnSpc="1">
                    <a:prstTxWarp prst="textNoShape">
                      <a:avLst/>
                    </a:prstTxWarp>
                    <a:noAutofit/>
                  </a:bodyPr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marR="0" lvl="0" indent="0" algn="ctr" defTabSz="91440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/>
                    </a:pPr>
                    <a:r>
                      <a:rPr kumimoji="0" lang="en-GB" sz="1100" b="0" i="0" u="none" strike="noStrike" kern="0" cap="none" spc="0" normalizeH="0" baseline="0">
                        <a:ln>
                          <a:noFill/>
                        </a:ln>
                        <a:solidFill>
                          <a:sysClr val="windowText" lastClr="000000"/>
                        </a:solidFill>
                        <a:effectLst/>
                        <a:uLnTx/>
                        <a:uFillTx/>
                        <a:latin typeface="Calibri" panose="020F0502020204030204"/>
                        <a:ea typeface="+mn-ea"/>
                        <a:cs typeface="+mn-cs"/>
                      </a:rPr>
                      <a:t>Net revenue summary</a:t>
                    </a:r>
                  </a:p>
                </xdr:txBody>
              </xdr:sp>
              <xdr:cxnSp macro="">
                <xdr:nvCxnSpPr>
                  <xdr:cNvPr id="197" name="Straight Arrow Connector 196">
                    <a:extLst>
                      <a:ext uri="{FF2B5EF4-FFF2-40B4-BE49-F238E27FC236}">
                        <a16:creationId xmlns:a16="http://schemas.microsoft.com/office/drawing/2014/main" id="{00000000-0008-0000-0200-0000C5000000}"/>
                      </a:ext>
                    </a:extLst>
                  </xdr:cNvPr>
                  <xdr:cNvCxnSpPr/>
                </xdr:nvCxnSpPr>
                <xdr:spPr>
                  <a:xfrm>
                    <a:off x="5592722" y="20793370"/>
                    <a:ext cx="0" cy="149643"/>
                  </a:xfrm>
                  <a:prstGeom prst="straightConnector1">
                    <a:avLst/>
                  </a:prstGeom>
                  <a:noFill/>
                  <a:ln w="6350" cap="flat" cmpd="sng" algn="ctr">
                    <a:solidFill>
                      <a:sysClr val="windowText" lastClr="000000"/>
                    </a:solidFill>
                    <a:prstDash val="solid"/>
                    <a:miter lim="800000"/>
                    <a:tailEnd type="triangle"/>
                  </a:ln>
                  <a:effectLst/>
                </xdr:spPr>
              </xdr:cxnSp>
            </xdr:grpSp>
          </xdr:grpSp>
          <xdr:grpSp>
            <xdr:nvGrpSpPr>
              <xdr:cNvPr id="24" name="Group 23">
                <a:extLst>
                  <a:ext uri="{FF2B5EF4-FFF2-40B4-BE49-F238E27FC236}">
                    <a16:creationId xmlns:a16="http://schemas.microsoft.com/office/drawing/2014/main" id="{00000000-0008-0000-0200-000018000000}"/>
                  </a:ext>
                </a:extLst>
              </xdr:cNvPr>
              <xdr:cNvGrpSpPr/>
            </xdr:nvGrpSpPr>
            <xdr:grpSpPr>
              <a:xfrm>
                <a:off x="1542474" y="13743431"/>
                <a:ext cx="8096674" cy="839501"/>
                <a:chOff x="1562353" y="13743431"/>
                <a:chExt cx="8096674" cy="839501"/>
              </a:xfrm>
            </xdr:grpSpPr>
            <xdr:sp macro="" textlink="">
              <xdr:nvSpPr>
                <xdr:cNvPr id="182" name="Rectangle 181">
                  <a:extLst>
                    <a:ext uri="{FF2B5EF4-FFF2-40B4-BE49-F238E27FC236}">
                      <a16:creationId xmlns:a16="http://schemas.microsoft.com/office/drawing/2014/main" id="{00000000-0008-0000-0200-0000B6000000}"/>
                    </a:ext>
                  </a:extLst>
                </xdr:cNvPr>
                <xdr:cNvSpPr/>
              </xdr:nvSpPr>
              <xdr:spPr>
                <a:xfrm>
                  <a:off x="1562353" y="13743431"/>
                  <a:ext cx="8096674" cy="839501"/>
                </a:xfrm>
                <a:prstGeom prst="rect">
                  <a:avLst/>
                </a:prstGeom>
                <a:solidFill>
                  <a:schemeClr val="accent2"/>
                </a:solidFill>
                <a:ln w="12700" cap="flat" cmpd="sng" algn="ctr">
                  <a:noFill/>
                  <a:prstDash val="solid"/>
                  <a:miter lim="800000"/>
                </a:ln>
                <a:effectLst/>
              </xdr:spPr>
              <xdr:txBody>
                <a:bodyPr rot="0" spcFirstLastPara="0" vert="horz" wrap="square" lIns="91440" tIns="45720" rIns="91440" bIns="45720" numCol="1" spcCol="0" rtlCol="0" fromWordArt="0" anchor="t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marL="0" marR="0" lvl="0" indent="0" algn="l" defTabSz="91440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/>
                  </a:pPr>
                  <a:r>
                    <a:rPr kumimoji="0" lang="en-GB" sz="1100" b="0" i="0" u="none" strike="noStrike" kern="0" cap="none" spc="0" normalizeH="0" baseline="0">
                      <a:ln>
                        <a:noFill/>
                      </a:ln>
                      <a:solidFill>
                        <a:sysClr val="window" lastClr="FFFFFF"/>
                      </a:solidFill>
                      <a:effectLst/>
                      <a:uLnTx/>
                      <a:uFillTx/>
                      <a:latin typeface="Calibri" panose="020F0502020204030204"/>
                      <a:ea typeface="+mn-ea"/>
                      <a:cs typeface="+mn-cs"/>
                    </a:rPr>
                    <a:t>ARP input sheets</a:t>
                  </a:r>
                </a:p>
              </xdr:txBody>
            </xdr:sp>
            <xdr:sp macro="" textlink="">
              <xdr:nvSpPr>
                <xdr:cNvPr id="184" name="Rectangle 183">
                  <a:hlinkClick xmlns:r="http://schemas.openxmlformats.org/officeDocument/2006/relationships" r:id="rId3"/>
                  <a:extLst>
                    <a:ext uri="{FF2B5EF4-FFF2-40B4-BE49-F238E27FC236}">
                      <a16:creationId xmlns:a16="http://schemas.microsoft.com/office/drawing/2014/main" id="{00000000-0008-0000-0200-0000B8000000}"/>
                    </a:ext>
                  </a:extLst>
                </xdr:cNvPr>
                <xdr:cNvSpPr/>
              </xdr:nvSpPr>
              <xdr:spPr>
                <a:xfrm>
                  <a:off x="3393758" y="14026109"/>
                  <a:ext cx="1431248" cy="431970"/>
                </a:xfrm>
                <a:prstGeom prst="rect">
                  <a:avLst/>
                </a:prstGeom>
                <a:solidFill>
                  <a:schemeClr val="accent2">
                    <a:lumMod val="40000"/>
                    <a:lumOff val="60000"/>
                  </a:schemeClr>
                </a:solidFill>
                <a:ln w="12700" cap="flat" cmpd="sng" algn="ctr">
                  <a:noFill/>
                  <a:prstDash val="solid"/>
                  <a:miter lim="800000"/>
                </a:ln>
                <a:effectLst/>
              </xdr:spPr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marL="0" marR="0" lvl="0" indent="0" algn="ctr" defTabSz="91440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/>
                  </a:pPr>
                  <a:r>
                    <a:rPr kumimoji="0" lang="en-GB" sz="1100" b="0" i="0" u="none" strike="noStrike" kern="0" cap="none" spc="0" normalizeH="0" baseline="0">
                      <a:ln>
                        <a:noFill/>
                      </a:ln>
                      <a:solidFill>
                        <a:sysClr val="windowText" lastClr="000000"/>
                      </a:solidFill>
                      <a:effectLst/>
                      <a:uLnTx/>
                      <a:uFillTx/>
                      <a:latin typeface="Calibri" panose="020F0502020204030204"/>
                      <a:ea typeface="+mn-ea"/>
                      <a:cs typeface="+mn-cs"/>
                    </a:rPr>
                    <a:t>ARP_Inputs by customer type</a:t>
                  </a:r>
                </a:p>
              </xdr:txBody>
            </xdr:sp>
            <xdr:sp macro="" textlink="">
              <xdr:nvSpPr>
                <xdr:cNvPr id="185" name="Rectangle 184">
                  <a:hlinkClick xmlns:r="http://schemas.openxmlformats.org/officeDocument/2006/relationships" r:id="rId32"/>
                  <a:extLst>
                    <a:ext uri="{FF2B5EF4-FFF2-40B4-BE49-F238E27FC236}">
                      <a16:creationId xmlns:a16="http://schemas.microsoft.com/office/drawing/2014/main" id="{00000000-0008-0000-0200-0000B9000000}"/>
                    </a:ext>
                  </a:extLst>
                </xdr:cNvPr>
                <xdr:cNvSpPr/>
              </xdr:nvSpPr>
              <xdr:spPr>
                <a:xfrm>
                  <a:off x="6405055" y="14026109"/>
                  <a:ext cx="1432654" cy="431970"/>
                </a:xfrm>
                <a:prstGeom prst="rect">
                  <a:avLst/>
                </a:prstGeom>
                <a:solidFill>
                  <a:schemeClr val="accent2">
                    <a:lumMod val="40000"/>
                    <a:lumOff val="60000"/>
                  </a:schemeClr>
                </a:solidFill>
                <a:ln w="12700" cap="flat" cmpd="sng" algn="ctr">
                  <a:noFill/>
                  <a:prstDash val="solid"/>
                  <a:miter lim="800000"/>
                </a:ln>
                <a:effectLst/>
              </xdr:spPr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marL="0" marR="0" lvl="0" indent="0" algn="ctr" defTabSz="91440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/>
                  </a:pPr>
                  <a:r>
                    <a:rPr kumimoji="0" lang="en-GB" sz="1100" b="0" i="0" u="none" strike="noStrike" kern="0" cap="none" spc="0" normalizeH="0" baseline="0">
                      <a:ln>
                        <a:noFill/>
                      </a:ln>
                      <a:solidFill>
                        <a:sysClr val="windowText" lastClr="000000"/>
                      </a:solidFill>
                      <a:effectLst/>
                      <a:uLnTx/>
                      <a:uFillTx/>
                      <a:latin typeface="Calibri" panose="020F0502020204030204"/>
                      <a:ea typeface="+mn-ea"/>
                      <a:cs typeface="+mn-cs"/>
                    </a:rPr>
                    <a:t>ARP_General inputs</a:t>
                  </a:r>
                </a:p>
              </xdr:txBody>
            </xdr:sp>
            <xdr:sp macro="" textlink="">
              <xdr:nvSpPr>
                <xdr:cNvPr id="187" name="Rectangle 186">
                  <a:hlinkClick xmlns:r="http://schemas.openxmlformats.org/officeDocument/2006/relationships" r:id="rId33"/>
                  <a:extLst>
                    <a:ext uri="{FF2B5EF4-FFF2-40B4-BE49-F238E27FC236}">
                      <a16:creationId xmlns:a16="http://schemas.microsoft.com/office/drawing/2014/main" id="{00000000-0008-0000-0200-0000BB000000}"/>
                    </a:ext>
                  </a:extLst>
                </xdr:cNvPr>
                <xdr:cNvSpPr/>
              </xdr:nvSpPr>
              <xdr:spPr>
                <a:xfrm>
                  <a:off x="4896678" y="14026109"/>
                  <a:ext cx="1436705" cy="431970"/>
                </a:xfrm>
                <a:prstGeom prst="rect">
                  <a:avLst/>
                </a:prstGeom>
                <a:solidFill>
                  <a:schemeClr val="accent2">
                    <a:lumMod val="40000"/>
                    <a:lumOff val="60000"/>
                  </a:schemeClr>
                </a:solidFill>
                <a:ln w="12700" cap="flat" cmpd="sng" algn="ctr">
                  <a:noFill/>
                  <a:prstDash val="solid"/>
                  <a:miter lim="800000"/>
                </a:ln>
                <a:effectLst/>
              </xdr:spPr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marL="0" marR="0" lvl="0" indent="0" algn="ctr" defTabSz="91440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/>
                  </a:pPr>
                  <a:r>
                    <a:rPr kumimoji="0" lang="en-GB" sz="1100" b="0" i="0" u="none" strike="noStrike" kern="0" cap="none" spc="0" normalizeH="0" baseline="0">
                      <a:ln>
                        <a:noFill/>
                      </a:ln>
                      <a:solidFill>
                        <a:sysClr val="windowText" lastClr="000000"/>
                      </a:solidFill>
                      <a:effectLst/>
                      <a:uLnTx/>
                      <a:uFillTx/>
                      <a:latin typeface="Calibri" panose="020F0502020204030204"/>
                      <a:ea typeface="+mn-ea"/>
                      <a:cs typeface="+mn-cs"/>
                    </a:rPr>
                    <a:t>ARP_Inputs by network level</a:t>
                  </a:r>
                </a:p>
              </xdr:txBody>
            </xdr:sp>
            <xdr:sp macro="" textlink="">
              <xdr:nvSpPr>
                <xdr:cNvPr id="167" name="Rectangle 166">
                  <a:hlinkClick xmlns:r="http://schemas.openxmlformats.org/officeDocument/2006/relationships" r:id="rId34"/>
                  <a:extLst>
                    <a:ext uri="{FF2B5EF4-FFF2-40B4-BE49-F238E27FC236}">
                      <a16:creationId xmlns:a16="http://schemas.microsoft.com/office/drawing/2014/main" id="{00000000-0008-0000-0200-0000A7000000}"/>
                    </a:ext>
                  </a:extLst>
                </xdr:cNvPr>
                <xdr:cNvSpPr/>
              </xdr:nvSpPr>
              <xdr:spPr>
                <a:xfrm>
                  <a:off x="7909382" y="14026108"/>
                  <a:ext cx="1440814" cy="431971"/>
                </a:xfrm>
                <a:prstGeom prst="rect">
                  <a:avLst/>
                </a:prstGeom>
                <a:solidFill>
                  <a:schemeClr val="accent2">
                    <a:lumMod val="40000"/>
                    <a:lumOff val="60000"/>
                  </a:schemeClr>
                </a:solidFill>
                <a:ln w="12700" cap="flat" cmpd="sng" algn="ctr">
                  <a:noFill/>
                  <a:prstDash val="solid"/>
                  <a:miter lim="800000"/>
                </a:ln>
                <a:effectLst/>
              </xdr:spPr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marL="0" marR="0" lvl="0" indent="0" algn="ctr" defTabSz="91440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/>
                  </a:pPr>
                  <a:r>
                    <a:rPr kumimoji="0" lang="en-GB" sz="1100" b="0" i="0" u="none" strike="noStrike" kern="0" cap="none" spc="0" normalizeH="0" baseline="0">
                      <a:ln>
                        <a:noFill/>
                      </a:ln>
                      <a:solidFill>
                        <a:sysClr val="windowText" lastClr="000000"/>
                      </a:solidFill>
                      <a:effectLst/>
                      <a:uLnTx/>
                      <a:uFillTx/>
                      <a:latin typeface="Calibri" panose="020F0502020204030204"/>
                      <a:ea typeface="+mn-ea"/>
                      <a:cs typeface="+mn-cs"/>
                    </a:rPr>
                    <a:t>Fixed inputs</a:t>
                  </a:r>
                </a:p>
              </xdr:txBody>
            </xdr:sp>
            <xdr:grpSp>
              <xdr:nvGrpSpPr>
                <xdr:cNvPr id="23" name="Group 22">
                  <a:extLst>
                    <a:ext uri="{FF2B5EF4-FFF2-40B4-BE49-F238E27FC236}">
                      <a16:creationId xmlns:a16="http://schemas.microsoft.com/office/drawing/2014/main" id="{00000000-0008-0000-0200-000017000000}"/>
                    </a:ext>
                  </a:extLst>
                </xdr:cNvPr>
                <xdr:cNvGrpSpPr/>
              </xdr:nvGrpSpPr>
              <xdr:grpSpPr>
                <a:xfrm>
                  <a:off x="1881272" y="14026109"/>
                  <a:ext cx="1442710" cy="431970"/>
                  <a:chOff x="1881272" y="14026109"/>
                  <a:chExt cx="1442710" cy="431970"/>
                </a:xfrm>
              </xdr:grpSpPr>
              <xdr:sp macro="" textlink="">
                <xdr:nvSpPr>
                  <xdr:cNvPr id="183" name="Rectangle 182">
                    <a:hlinkClick xmlns:r="http://schemas.openxmlformats.org/officeDocument/2006/relationships" r:id="rId35"/>
                    <a:extLst>
                      <a:ext uri="{FF2B5EF4-FFF2-40B4-BE49-F238E27FC236}">
                        <a16:creationId xmlns:a16="http://schemas.microsoft.com/office/drawing/2014/main" id="{00000000-0008-0000-0200-0000B7000000}"/>
                      </a:ext>
                    </a:extLst>
                  </xdr:cNvPr>
                  <xdr:cNvSpPr/>
                </xdr:nvSpPr>
                <xdr:spPr>
                  <a:xfrm>
                    <a:off x="1881272" y="14026109"/>
                    <a:ext cx="1440814" cy="431970"/>
                  </a:xfrm>
                  <a:prstGeom prst="rect">
                    <a:avLst/>
                  </a:prstGeom>
                  <a:solidFill>
                    <a:schemeClr val="accent4">
                      <a:lumMod val="40000"/>
                      <a:lumOff val="60000"/>
                    </a:schemeClr>
                  </a:solidFill>
                  <a:ln w="12700" cap="flat" cmpd="sng" algn="ctr">
                    <a:noFill/>
                    <a:prstDash val="solid"/>
                    <a:miter lim="800000"/>
                  </a:ln>
                  <a:effectLst/>
                </xdr:spPr>
                <xdr:txBody>
                  <a:bodyPr rot="0" spcFirstLastPara="0" vert="horz" wrap="square" lIns="0" tIns="45720" rIns="126000" bIns="45720" numCol="1" spcCol="0" rtlCol="0" fromWordArt="0" anchor="ctr" anchorCtr="0" forceAA="0" compatLnSpc="1">
                    <a:prstTxWarp prst="textNoShape">
                      <a:avLst/>
                    </a:prstTxWarp>
                    <a:noAutofit/>
                  </a:bodyPr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marR="0" lvl="0" indent="0" algn="ctr" defTabSz="91440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/>
                    </a:pPr>
                    <a:r>
                      <a:rPr kumimoji="0" lang="en-GB" sz="1100" b="0" i="0" u="none" strike="noStrike" kern="0" cap="none" spc="0" normalizeH="0" baseline="0">
                        <a:ln>
                          <a:noFill/>
                        </a:ln>
                        <a:solidFill>
                          <a:sysClr val="windowText" lastClr="000000"/>
                        </a:solidFill>
                        <a:effectLst/>
                        <a:uLnTx/>
                        <a:uFillTx/>
                        <a:latin typeface="Calibri" panose="020F0502020204030204"/>
                        <a:ea typeface="+mn-ea"/>
                        <a:cs typeface="+mn-cs"/>
                      </a:rPr>
                      <a:t>ARP_User control</a:t>
                    </a:r>
                  </a:p>
                </xdr:txBody>
              </xdr:sp>
              <xdr:pic>
                <xdr:nvPicPr>
                  <xdr:cNvPr id="198" name="Picture 197">
                    <a:extLst>
                      <a:ext uri="{FF2B5EF4-FFF2-40B4-BE49-F238E27FC236}">
                        <a16:creationId xmlns:a16="http://schemas.microsoft.com/office/drawing/2014/main" id="{00000000-0008-0000-0200-0000C600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36"/>
                  <a:stretch>
                    <a:fillRect/>
                  </a:stretch>
                </xdr:blipFill>
                <xdr:spPr>
                  <a:xfrm>
                    <a:off x="3012921" y="14115904"/>
                    <a:ext cx="311061" cy="288235"/>
                  </a:xfrm>
                  <a:prstGeom prst="rect">
                    <a:avLst/>
                  </a:prstGeom>
                </xdr:spPr>
              </xdr:pic>
            </xdr:grpSp>
          </xdr:grpSp>
        </xdr:grpSp>
        <xdr:cxnSp macro="">
          <xdr:nvCxnSpPr>
            <xdr:cNvPr id="200" name="Straight Arrow Connector 199">
              <a:extLst>
                <a:ext uri="{FF2B5EF4-FFF2-40B4-BE49-F238E27FC236}">
                  <a16:creationId xmlns:a16="http://schemas.microsoft.com/office/drawing/2014/main" id="{00000000-0008-0000-0200-0000C8000000}"/>
                </a:ext>
              </a:extLst>
            </xdr:cNvPr>
            <xdr:cNvCxnSpPr>
              <a:stCxn id="177" idx="2"/>
              <a:endCxn id="141" idx="0"/>
            </xdr:cNvCxnSpPr>
          </xdr:nvCxnSpPr>
          <xdr:spPr>
            <a:xfrm flipH="1">
              <a:off x="8095327" y="18388153"/>
              <a:ext cx="5679" cy="136042"/>
            </a:xfrm>
            <a:prstGeom prst="straightConnector1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  <a:tailEnd type="triangle"/>
            </a:ln>
            <a:effectLst/>
          </xdr:spPr>
        </xdr:cxnSp>
      </xdr:grpSp>
      <xdr:cxnSp macro="">
        <xdr:nvCxnSpPr>
          <xdr:cNvPr id="201" name="Straight Arrow Connector 200">
            <a:extLst>
              <a:ext uri="{FF2B5EF4-FFF2-40B4-BE49-F238E27FC236}">
                <a16:creationId xmlns:a16="http://schemas.microsoft.com/office/drawing/2014/main" id="{00000000-0008-0000-0200-0000C9000000}"/>
              </a:ext>
            </a:extLst>
          </xdr:cNvPr>
          <xdr:cNvCxnSpPr>
            <a:stCxn id="178" idx="2"/>
            <a:endCxn id="147" idx="0"/>
          </xdr:cNvCxnSpPr>
        </xdr:nvCxnSpPr>
        <xdr:spPr>
          <a:xfrm>
            <a:off x="10446600" y="18378861"/>
            <a:ext cx="6552" cy="840505"/>
          </a:xfrm>
          <a:prstGeom prst="straightConnector1">
            <a:avLst/>
          </a:prstGeom>
          <a:noFill/>
          <a:ln w="6350" cap="flat" cmpd="sng" algn="ctr">
            <a:solidFill>
              <a:sysClr val="windowText" lastClr="000000"/>
            </a:solidFill>
            <a:prstDash val="solid"/>
            <a:miter lim="800000"/>
            <a:tailEnd type="triangle"/>
          </a:ln>
          <a:effectLst/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20</xdr:row>
          <xdr:rowOff>47625</xdr:rowOff>
        </xdr:from>
        <xdr:to>
          <xdr:col>7</xdr:col>
          <xdr:colOff>1657350</xdr:colOff>
          <xdr:row>22</xdr:row>
          <xdr:rowOff>142875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9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GB" sz="1100" b="0" i="0" u="none" strike="noStrike" baseline="0">
                  <a:solidFill>
                    <a:srgbClr val="000000"/>
                  </a:solidFill>
                  <a:latin typeface="Calibri"/>
                </a:rPr>
                <a:t>Run all years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Relationship Id="rId4" Type="http://schemas.openxmlformats.org/officeDocument/2006/relationships/ctrlProp" Target="../ctrlProps/ctrlProp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6" tint="0.39997558519241921"/>
    <pageSetUpPr fitToPage="1"/>
  </sheetPr>
  <dimension ref="A2:E53"/>
  <sheetViews>
    <sheetView showGridLines="0" showRowColHeaders="0" tabSelected="1" zoomScale="80" zoomScaleNormal="80" workbookViewId="0">
      <selection activeCell="D5" sqref="D5"/>
    </sheetView>
  </sheetViews>
  <sheetFormatPr defaultColWidth="0" defaultRowHeight="15" customHeight="1" x14ac:dyDescent="0.25"/>
  <cols>
    <col min="1" max="1" width="2.7109375" style="48" customWidth="1"/>
    <col min="2" max="2" width="22.7109375" style="48" customWidth="1"/>
    <col min="3" max="3" width="2.7109375" style="48" customWidth="1"/>
    <col min="4" max="4" width="100.42578125" style="52" customWidth="1"/>
    <col min="5" max="5" width="2.7109375" style="48" customWidth="1"/>
    <col min="6" max="16384" width="9.140625" style="48" hidden="1"/>
  </cols>
  <sheetData>
    <row r="2" spans="2:4" ht="28.5" x14ac:dyDescent="0.25">
      <c r="D2" s="49" t="s">
        <v>923</v>
      </c>
    </row>
    <row r="4" spans="2:4" ht="21" x14ac:dyDescent="0.25">
      <c r="D4" s="380" t="s">
        <v>1198</v>
      </c>
    </row>
    <row r="5" spans="2:4" x14ac:dyDescent="0.25">
      <c r="D5" s="50"/>
    </row>
    <row r="6" spans="2:4" x14ac:dyDescent="0.25">
      <c r="B6" s="51" t="str">
        <f>'Version control'!F7</f>
        <v>Model date:</v>
      </c>
      <c r="D6" s="94">
        <f>'Version control'!H7</f>
        <v>43389</v>
      </c>
    </row>
    <row r="7" spans="2:4" ht="15" customHeight="1" x14ac:dyDescent="0.25">
      <c r="D7" s="95"/>
    </row>
    <row r="8" spans="2:4" ht="15" customHeight="1" x14ac:dyDescent="0.25">
      <c r="B8" s="51" t="str">
        <f>'Version control'!F9</f>
        <v>Development stage:</v>
      </c>
      <c r="D8" s="94" t="str">
        <f>'Version control'!H9</f>
        <v>Release for charge setting</v>
      </c>
    </row>
    <row r="9" spans="2:4" ht="15" customHeight="1" x14ac:dyDescent="0.25">
      <c r="D9" s="95"/>
    </row>
    <row r="10" spans="2:4" ht="15" customHeight="1" x14ac:dyDescent="0.25">
      <c r="B10" s="51" t="str">
        <f>'Version control'!F11</f>
        <v>Model number:</v>
      </c>
      <c r="D10" s="249">
        <f>'Version control'!H11</f>
        <v>3</v>
      </c>
    </row>
    <row r="11" spans="2:4" ht="15" customHeight="1" x14ac:dyDescent="0.25">
      <c r="D11" s="95"/>
    </row>
    <row r="12" spans="2:4" ht="15" customHeight="1" x14ac:dyDescent="0.25">
      <c r="B12" s="51" t="str">
        <f>'Version control'!F13</f>
        <v>DCUSA text version:</v>
      </c>
      <c r="D12" s="94" t="str">
        <f>'Version control'!H13</f>
        <v>01 April 2020 DCUSA Charging Methodologies Pre-Release (released 09/10/2018)</v>
      </c>
    </row>
    <row r="13" spans="2:4" ht="15" customHeight="1" x14ac:dyDescent="0.25">
      <c r="D13" s="95"/>
    </row>
    <row r="14" spans="2:4" ht="15" customHeight="1" x14ac:dyDescent="0.25">
      <c r="B14" s="51" t="str">
        <f>'Version control'!F15</f>
        <v>DCUSA text schedule:</v>
      </c>
      <c r="D14" s="94" t="str">
        <f>'Version control'!H15</f>
        <v>Schedules 16 &amp; 20</v>
      </c>
    </row>
    <row r="16" spans="2:4" ht="30" x14ac:dyDescent="0.25">
      <c r="B16" s="51" t="s">
        <v>176</v>
      </c>
      <c r="D16" s="381" t="s">
        <v>1192</v>
      </c>
    </row>
    <row r="17" spans="2:4" x14ac:dyDescent="0.25">
      <c r="D17" s="52" t="s">
        <v>899</v>
      </c>
    </row>
    <row r="18" spans="2:4" x14ac:dyDescent="0.25">
      <c r="D18" s="48"/>
    </row>
    <row r="19" spans="2:4" ht="15" customHeight="1" x14ac:dyDescent="0.25">
      <c r="B19" s="51" t="s">
        <v>311</v>
      </c>
      <c r="D19" s="501" t="s">
        <v>1203</v>
      </c>
    </row>
    <row r="21" spans="2:4" ht="15" customHeight="1" x14ac:dyDescent="0.25">
      <c r="B21" s="51" t="s">
        <v>312</v>
      </c>
      <c r="D21" s="501" t="s">
        <v>1214</v>
      </c>
    </row>
    <row r="23" spans="2:4" ht="15" customHeight="1" x14ac:dyDescent="0.25">
      <c r="B23" s="51" t="s">
        <v>347</v>
      </c>
      <c r="D23" s="501" t="s">
        <v>1215</v>
      </c>
    </row>
    <row r="25" spans="2:4" ht="30" customHeight="1" x14ac:dyDescent="0.25">
      <c r="B25" s="51" t="s">
        <v>182</v>
      </c>
      <c r="D25" s="501" t="s">
        <v>820</v>
      </c>
    </row>
    <row r="26" spans="2:4" ht="15" customHeight="1" x14ac:dyDescent="0.25">
      <c r="B26" s="51"/>
    </row>
    <row r="27" spans="2:4" ht="15" customHeight="1" x14ac:dyDescent="0.25">
      <c r="B27" s="51" t="s">
        <v>177</v>
      </c>
    </row>
    <row r="28" spans="2:4" s="160" customFormat="1" ht="15" customHeight="1" x14ac:dyDescent="0.25">
      <c r="B28" s="331" t="s">
        <v>178</v>
      </c>
      <c r="C28" s="75"/>
      <c r="D28" s="75" t="s">
        <v>107</v>
      </c>
    </row>
    <row r="29" spans="2:4" s="160" customFormat="1" x14ac:dyDescent="0.25">
      <c r="B29" s="332"/>
      <c r="C29" s="166"/>
      <c r="D29" s="166" t="s">
        <v>180</v>
      </c>
    </row>
    <row r="30" spans="2:4" s="160" customFormat="1" x14ac:dyDescent="0.25">
      <c r="B30" s="502" t="s">
        <v>778</v>
      </c>
      <c r="C30" s="167"/>
      <c r="D30" s="167" t="s">
        <v>179</v>
      </c>
    </row>
    <row r="31" spans="2:4" s="160" customFormat="1" x14ac:dyDescent="0.25">
      <c r="B31" s="503" t="s">
        <v>778</v>
      </c>
      <c r="C31" s="167"/>
      <c r="D31" s="167" t="s">
        <v>369</v>
      </c>
    </row>
    <row r="32" spans="2:4" s="160" customFormat="1" x14ac:dyDescent="0.25">
      <c r="B32" s="504" t="s">
        <v>778</v>
      </c>
      <c r="C32" s="167"/>
      <c r="D32" s="151" t="s">
        <v>779</v>
      </c>
    </row>
    <row r="33" spans="2:4" s="160" customFormat="1" x14ac:dyDescent="0.25">
      <c r="B33" s="316" t="s">
        <v>778</v>
      </c>
      <c r="C33" s="167"/>
      <c r="D33" s="167" t="s">
        <v>181</v>
      </c>
    </row>
    <row r="34" spans="2:4" s="160" customFormat="1" x14ac:dyDescent="0.25">
      <c r="B34" s="247" t="s">
        <v>778</v>
      </c>
      <c r="C34" s="167"/>
      <c r="D34" s="167" t="s">
        <v>780</v>
      </c>
    </row>
    <row r="35" spans="2:4" s="160" customFormat="1" x14ac:dyDescent="0.25">
      <c r="B35" s="269" t="s">
        <v>778</v>
      </c>
      <c r="C35" s="167"/>
      <c r="D35" s="167" t="s">
        <v>781</v>
      </c>
    </row>
    <row r="36" spans="2:4" s="160" customFormat="1" x14ac:dyDescent="0.25">
      <c r="B36" s="333" t="s">
        <v>778</v>
      </c>
      <c r="C36" s="167"/>
      <c r="D36" s="151" t="s">
        <v>782</v>
      </c>
    </row>
    <row r="37" spans="2:4" s="160" customFormat="1" x14ac:dyDescent="0.25">
      <c r="B37" s="310" t="s">
        <v>783</v>
      </c>
      <c r="C37" s="167"/>
      <c r="D37" s="151" t="s">
        <v>784</v>
      </c>
    </row>
    <row r="38" spans="2:4" s="160" customFormat="1" ht="15" customHeight="1" x14ac:dyDescent="0.25">
      <c r="B38" s="245" t="s">
        <v>783</v>
      </c>
      <c r="C38" s="167"/>
      <c r="D38" s="167" t="s">
        <v>785</v>
      </c>
    </row>
    <row r="39" spans="2:4" s="160" customFormat="1" ht="15" customHeight="1" x14ac:dyDescent="0.25">
      <c r="B39" s="75" t="s">
        <v>783</v>
      </c>
      <c r="C39" s="167"/>
      <c r="D39" s="167" t="s">
        <v>786</v>
      </c>
    </row>
    <row r="40" spans="2:4" s="160" customFormat="1" ht="15" customHeight="1" x14ac:dyDescent="0.25">
      <c r="B40" s="120" t="s">
        <v>783</v>
      </c>
      <c r="C40" s="167"/>
      <c r="D40" s="167" t="s">
        <v>787</v>
      </c>
    </row>
    <row r="41" spans="2:4" s="160" customFormat="1" ht="15" customHeight="1" x14ac:dyDescent="0.25">
      <c r="B41" s="119" t="s">
        <v>783</v>
      </c>
      <c r="C41" s="167"/>
      <c r="D41" s="167" t="s">
        <v>788</v>
      </c>
    </row>
    <row r="42" spans="2:4" s="160" customFormat="1" ht="15" customHeight="1" x14ac:dyDescent="0.25">
      <c r="B42" s="334" t="s">
        <v>783</v>
      </c>
      <c r="C42" s="167"/>
      <c r="D42" s="167" t="s">
        <v>789</v>
      </c>
    </row>
    <row r="43" spans="2:4" s="338" customFormat="1" ht="15" customHeight="1" x14ac:dyDescent="0.25">
      <c r="B43" s="335" t="s">
        <v>790</v>
      </c>
      <c r="C43" s="339"/>
      <c r="D43" s="339" t="s">
        <v>791</v>
      </c>
    </row>
    <row r="44" spans="2:4" s="160" customFormat="1" ht="15" customHeight="1" x14ac:dyDescent="0.25">
      <c r="B44" s="379" t="s">
        <v>790</v>
      </c>
      <c r="C44" s="167"/>
      <c r="D44" s="167" t="s">
        <v>885</v>
      </c>
    </row>
    <row r="45" spans="2:4" s="338" customFormat="1" ht="15" customHeight="1" x14ac:dyDescent="0.25">
      <c r="B45" s="350" t="s">
        <v>790</v>
      </c>
      <c r="C45" s="339"/>
      <c r="D45" s="151" t="s">
        <v>792</v>
      </c>
    </row>
    <row r="46" spans="2:4" s="160" customFormat="1" ht="15" customHeight="1" x14ac:dyDescent="0.25">
      <c r="B46" s="336" t="s">
        <v>790</v>
      </c>
      <c r="C46" s="167"/>
      <c r="D46" s="151" t="s">
        <v>793</v>
      </c>
    </row>
    <row r="47" spans="2:4" s="160" customFormat="1" ht="15" customHeight="1" x14ac:dyDescent="0.25">
      <c r="B47" s="351" t="s">
        <v>790</v>
      </c>
      <c r="C47" s="168"/>
      <c r="D47" s="45" t="s">
        <v>794</v>
      </c>
    </row>
    <row r="48" spans="2:4" ht="15" customHeight="1" x14ac:dyDescent="0.25">
      <c r="D48" s="53"/>
    </row>
    <row r="49" spans="2:4" ht="15" customHeight="1" x14ac:dyDescent="0.25">
      <c r="B49" s="52"/>
    </row>
    <row r="50" spans="2:4" ht="15" customHeight="1" x14ac:dyDescent="0.25">
      <c r="B50" s="54"/>
    </row>
    <row r="51" spans="2:4" ht="15" customHeight="1" x14ac:dyDescent="0.25">
      <c r="B51" s="54"/>
    </row>
    <row r="52" spans="2:4" ht="15" customHeight="1" x14ac:dyDescent="0.25">
      <c r="B52" s="54"/>
    </row>
    <row r="53" spans="2:4" ht="15" customHeight="1" x14ac:dyDescent="0.25">
      <c r="B53" s="54"/>
      <c r="D53" s="48"/>
    </row>
  </sheetData>
  <sheetProtection sheet="1" objects="1" formatCells="0" formatColumns="0" formatRows="0" sort="0" autoFilter="0"/>
  <dataValidations disablePrompts="1" count="1">
    <dataValidation allowBlank="1" showInputMessage="1" showErrorMessage="1" prompt="Year should be entered as YYYY/YY_x000a_(e.g. 2019/20)" sqref="D19"/>
  </dataValidations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Footer>&amp;L&amp;Z&amp;F&amp;C&amp;D&amp;R&amp;P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9">
    <tabColor theme="7" tint="0.59999389629810485"/>
  </sheetPr>
  <dimension ref="A1:AB40"/>
  <sheetViews>
    <sheetView showGridLines="0" zoomScale="80" zoomScaleNormal="80" workbookViewId="0">
      <pane ySplit="3" topLeftCell="A4" activePane="bottomLeft" state="frozen"/>
      <selection activeCell="A3" sqref="A3"/>
      <selection pane="bottomLeft" activeCell="H17" sqref="H17"/>
    </sheetView>
  </sheetViews>
  <sheetFormatPr defaultColWidth="0" defaultRowHeight="15" x14ac:dyDescent="0.25"/>
  <cols>
    <col min="1" max="5" width="2.7109375" style="160" customWidth="1"/>
    <col min="6" max="6" width="59.5703125" style="160" customWidth="1"/>
    <col min="7" max="7" width="15.42578125" style="160" customWidth="1"/>
    <col min="8" max="8" width="24.5703125" style="160" customWidth="1"/>
    <col min="9" max="10" width="4.28515625" style="160" customWidth="1"/>
    <col min="11" max="13" width="8.85546875" style="160" hidden="1" customWidth="1"/>
    <col min="14" max="28" width="0" style="160" hidden="1" customWidth="1"/>
    <col min="29" max="16384" width="8.85546875" style="160" hidden="1"/>
  </cols>
  <sheetData>
    <row r="1" spans="1:9" s="25" customFormat="1" x14ac:dyDescent="0.25">
      <c r="A1" s="25" t="str">
        <f ca="1">MID(CELL("filename",A1),FIND("]",CELL("filename",A1))+1,255)</f>
        <v>ARP_User control</v>
      </c>
    </row>
    <row r="2" spans="1:9" s="25" customFormat="1" x14ac:dyDescent="0.25">
      <c r="A2" s="25" t="str">
        <f>Cover!D21&amp;" - "&amp;Cover!D23</f>
        <v>SEPD - Final</v>
      </c>
    </row>
    <row r="3" spans="1:9" s="97" customFormat="1" x14ac:dyDescent="0.25">
      <c r="A3" s="97" t="str">
        <f>Cover!D2&amp;" - "&amp;Cover!D8&amp;" v"&amp;Cover!D10&amp;" - "&amp;Cover!D19</f>
        <v>ARP model - Release for charge setting v3 - 2020/21</v>
      </c>
    </row>
    <row r="5" spans="1:9" x14ac:dyDescent="0.25">
      <c r="B5" s="171" t="s">
        <v>107</v>
      </c>
      <c r="C5" s="171"/>
      <c r="D5" s="171"/>
      <c r="E5" s="171"/>
      <c r="F5" s="171"/>
      <c r="G5" s="171"/>
      <c r="H5" s="171"/>
      <c r="I5" s="171"/>
    </row>
    <row r="7" spans="1:9" x14ac:dyDescent="0.25">
      <c r="C7" s="152" t="s">
        <v>931</v>
      </c>
    </row>
    <row r="8" spans="1:9" s="474" customFormat="1" x14ac:dyDescent="0.25">
      <c r="C8" s="152" t="s">
        <v>932</v>
      </c>
    </row>
    <row r="9" spans="1:9" x14ac:dyDescent="0.25">
      <c r="E9" s="35"/>
    </row>
    <row r="10" spans="1:9" x14ac:dyDescent="0.25">
      <c r="B10" s="171" t="s">
        <v>681</v>
      </c>
      <c r="C10" s="171"/>
      <c r="D10" s="171"/>
      <c r="E10" s="171"/>
      <c r="F10" s="171"/>
      <c r="G10" s="171"/>
      <c r="H10" s="171"/>
      <c r="I10" s="171"/>
    </row>
    <row r="11" spans="1:9" x14ac:dyDescent="0.25">
      <c r="G11" s="167"/>
    </row>
    <row r="12" spans="1:9" x14ac:dyDescent="0.25">
      <c r="C12" s="152" t="s">
        <v>933</v>
      </c>
    </row>
    <row r="13" spans="1:9" x14ac:dyDescent="0.25">
      <c r="C13" s="152" t="s">
        <v>934</v>
      </c>
    </row>
    <row r="14" spans="1:9" s="338" customFormat="1" x14ac:dyDescent="0.25">
      <c r="C14" s="152"/>
    </row>
    <row r="15" spans="1:9" s="338" customFormat="1" x14ac:dyDescent="0.25">
      <c r="C15" s="22" t="s">
        <v>821</v>
      </c>
      <c r="D15" s="22"/>
      <c r="E15" s="22"/>
      <c r="F15" s="22"/>
      <c r="G15" s="22"/>
      <c r="H15" s="22"/>
      <c r="I15" s="22"/>
    </row>
    <row r="16" spans="1:9" s="338" customFormat="1" x14ac:dyDescent="0.25">
      <c r="E16" s="152"/>
    </row>
    <row r="17" spans="2:9" x14ac:dyDescent="0.25">
      <c r="E17" s="145" t="s">
        <v>683</v>
      </c>
      <c r="G17" s="509" t="s">
        <v>1203</v>
      </c>
    </row>
    <row r="18" spans="2:9" x14ac:dyDescent="0.25">
      <c r="H18" s="194"/>
    </row>
    <row r="19" spans="2:9" s="338" customFormat="1" x14ac:dyDescent="0.25">
      <c r="C19" s="22" t="s">
        <v>797</v>
      </c>
      <c r="D19" s="22"/>
      <c r="E19" s="22"/>
      <c r="F19" s="22"/>
      <c r="G19" s="22"/>
      <c r="H19" s="22"/>
      <c r="I19" s="22"/>
    </row>
    <row r="20" spans="2:9" x14ac:dyDescent="0.25">
      <c r="E20" s="152"/>
    </row>
    <row r="21" spans="2:9" s="338" customFormat="1" x14ac:dyDescent="0.25">
      <c r="E21" s="152"/>
    </row>
    <row r="22" spans="2:9" s="338" customFormat="1" x14ac:dyDescent="0.25">
      <c r="E22" s="152"/>
    </row>
    <row r="23" spans="2:9" s="338" customFormat="1" x14ac:dyDescent="0.25">
      <c r="E23" s="152"/>
    </row>
    <row r="24" spans="2:9" s="338" customFormat="1" x14ac:dyDescent="0.25">
      <c r="E24" s="152"/>
    </row>
    <row r="25" spans="2:9" s="338" customFormat="1" x14ac:dyDescent="0.25">
      <c r="B25" s="171" t="s">
        <v>798</v>
      </c>
      <c r="C25" s="171"/>
      <c r="D25" s="171"/>
      <c r="E25" s="171"/>
      <c r="F25" s="171"/>
      <c r="G25" s="171"/>
      <c r="H25" s="171"/>
      <c r="I25" s="171"/>
    </row>
    <row r="26" spans="2:9" s="338" customFormat="1" x14ac:dyDescent="0.25">
      <c r="G26" s="339"/>
    </row>
    <row r="27" spans="2:9" x14ac:dyDescent="0.25">
      <c r="D27" s="172" t="s">
        <v>705</v>
      </c>
      <c r="H27" s="194"/>
    </row>
    <row r="28" spans="2:9" x14ac:dyDescent="0.25">
      <c r="E28" s="85" t="s">
        <v>684</v>
      </c>
      <c r="F28" s="166"/>
      <c r="G28" s="274" t="str">
        <f>LEFT(G29,4) - 1 &amp; "/" &amp; RIGHT(G29,2) - 1</f>
        <v>2017/18</v>
      </c>
      <c r="H28" s="517" t="s">
        <v>685</v>
      </c>
    </row>
    <row r="29" spans="2:9" x14ac:dyDescent="0.25">
      <c r="E29" s="84" t="s">
        <v>686</v>
      </c>
      <c r="F29" s="167"/>
      <c r="G29" s="265" t="str">
        <f>LEFT(G30,4) - 1 &amp; "/" &amp; RIGHT(G30,2) - 1</f>
        <v>2018/19</v>
      </c>
      <c r="H29" s="518" t="s">
        <v>685</v>
      </c>
    </row>
    <row r="30" spans="2:9" x14ac:dyDescent="0.25">
      <c r="E30" s="84" t="s">
        <v>687</v>
      </c>
      <c r="F30" s="167"/>
      <c r="G30" s="265" t="str">
        <f>LEFT(G31,4) - 1 &amp; "/" &amp; RIGHT(G31,2) - 1</f>
        <v>2019/20</v>
      </c>
      <c r="H30" s="518" t="s">
        <v>685</v>
      </c>
    </row>
    <row r="31" spans="2:9" x14ac:dyDescent="0.25">
      <c r="E31" s="84" t="str">
        <f>"Charging year (" &amp; charging_year &amp;")"</f>
        <v>Charging year (2020/21)</v>
      </c>
      <c r="F31" s="167"/>
      <c r="G31" s="265" t="str">
        <f>charging_year</f>
        <v>2020/21</v>
      </c>
      <c r="H31" s="518" t="s">
        <v>688</v>
      </c>
    </row>
    <row r="32" spans="2:9" x14ac:dyDescent="0.25">
      <c r="E32" s="84" t="s">
        <v>689</v>
      </c>
      <c r="F32" s="167"/>
      <c r="G32" s="265" t="str">
        <f>LEFT(G31,4) + 1 &amp; "/" &amp; RIGHT(G31,2) + 1</f>
        <v>2021/22</v>
      </c>
      <c r="H32" s="518" t="s">
        <v>690</v>
      </c>
    </row>
    <row r="33" spans="2:9" x14ac:dyDescent="0.25">
      <c r="E33" s="84" t="s">
        <v>691</v>
      </c>
      <c r="F33" s="167"/>
      <c r="G33" s="265" t="str">
        <f t="shared" ref="G33:G35" si="0">LEFT(G32,4) + 1 &amp; "/" &amp; RIGHT(G32,2) + 1</f>
        <v>2022/23</v>
      </c>
      <c r="H33" s="518" t="s">
        <v>690</v>
      </c>
    </row>
    <row r="34" spans="2:9" x14ac:dyDescent="0.25">
      <c r="E34" s="84" t="s">
        <v>692</v>
      </c>
      <c r="F34" s="167"/>
      <c r="G34" s="265" t="str">
        <f t="shared" si="0"/>
        <v>2023/24</v>
      </c>
      <c r="H34" s="518" t="s">
        <v>690</v>
      </c>
    </row>
    <row r="35" spans="2:9" x14ac:dyDescent="0.25">
      <c r="E35" s="77" t="s">
        <v>693</v>
      </c>
      <c r="F35" s="168"/>
      <c r="G35" s="273" t="str">
        <f t="shared" si="0"/>
        <v>2024/25</v>
      </c>
      <c r="H35" s="519" t="s">
        <v>690</v>
      </c>
    </row>
    <row r="36" spans="2:9" x14ac:dyDescent="0.25">
      <c r="E36" s="275" t="s">
        <v>694</v>
      </c>
      <c r="F36" s="138"/>
      <c r="G36" s="276">
        <f>MATCH(G17,G28:G35)</f>
        <v>4</v>
      </c>
      <c r="H36" s="341" t="str">
        <f>INDEX(H28:H35,MATCH($G$17,$G$28:$G$35,0))</f>
        <v>Current</v>
      </c>
    </row>
    <row r="38" spans="2:9" x14ac:dyDescent="0.25">
      <c r="B38" s="171" t="s">
        <v>127</v>
      </c>
      <c r="C38" s="171"/>
      <c r="D38" s="171"/>
      <c r="E38" s="171"/>
      <c r="F38" s="171"/>
      <c r="G38" s="171"/>
      <c r="H38" s="171"/>
      <c r="I38" s="171"/>
    </row>
    <row r="39" spans="2:9" x14ac:dyDescent="0.25">
      <c r="F39" s="163"/>
      <c r="G39" s="163"/>
      <c r="H39" s="163"/>
      <c r="I39" s="163"/>
    </row>
    <row r="40" spans="2:9" x14ac:dyDescent="0.25">
      <c r="F40" s="163"/>
      <c r="G40" s="163"/>
      <c r="H40" s="163"/>
      <c r="I40" s="163"/>
    </row>
  </sheetData>
  <sheetProtection sheet="1" objects="1" formatCells="0" formatColumns="0" formatRows="0" sort="0" autoFilter="0"/>
  <dataValidations count="1">
    <dataValidation type="list" allowBlank="1" showInputMessage="1" showErrorMessage="1" sqref="G17">
      <formula1>$G$28:$G$35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Button 1">
              <controlPr defaultSize="0" print="0" autoFill="0" autoPict="0" macro="[0]!RunYears.run_all_years">
                <anchor moveWithCells="1" sizeWithCells="1">
                  <from>
                    <xdr:col>2</xdr:col>
                    <xdr:colOff>133350</xdr:colOff>
                    <xdr:row>20</xdr:row>
                    <xdr:rowOff>47625</xdr:rowOff>
                  </from>
                  <to>
                    <xdr:col>7</xdr:col>
                    <xdr:colOff>1657350</xdr:colOff>
                    <xdr:row>22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>
    <tabColor theme="5" tint="0.59999389629810485"/>
    <pageSetUpPr fitToPage="1"/>
  </sheetPr>
  <dimension ref="A1:JL1386"/>
  <sheetViews>
    <sheetView showGridLines="0" zoomScale="80" zoomScaleNormal="80" workbookViewId="0">
      <pane xSplit="9" ySplit="6" topLeftCell="J7" activePane="bottomRight" state="frozen"/>
      <selection activeCell="N50" sqref="N50"/>
      <selection pane="topRight" activeCell="N50" sqref="N50"/>
      <selection pane="bottomLeft" activeCell="N50" sqref="N50"/>
      <selection pane="bottomRight" activeCell="J12" sqref="J12"/>
    </sheetView>
  </sheetViews>
  <sheetFormatPr defaultColWidth="0" defaultRowHeight="15" x14ac:dyDescent="0.25"/>
  <cols>
    <col min="1" max="5" width="2.7109375" style="160" customWidth="1"/>
    <col min="6" max="6" width="59.5703125" style="160" customWidth="1"/>
    <col min="7" max="8" width="20.7109375" style="160" customWidth="1"/>
    <col min="9" max="9" width="2.28515625" style="200" customWidth="1"/>
    <col min="10" max="10" width="20.7109375" style="160" bestFit="1" customWidth="1"/>
    <col min="11" max="11" width="2.28515625" style="160" customWidth="1"/>
    <col min="12" max="19" width="14.85546875" style="160" bestFit="1" customWidth="1"/>
    <col min="20" max="20" width="2.28515625" style="160" customWidth="1"/>
    <col min="21" max="21" width="50.7109375" style="160" customWidth="1"/>
    <col min="22" max="22" width="2.28515625" style="160" customWidth="1"/>
    <col min="23" max="272" width="20.7109375" style="160" hidden="1" customWidth="1"/>
    <col min="273" max="16384" width="9.140625" style="160" hidden="1"/>
  </cols>
  <sheetData>
    <row r="1" spans="1:97" s="25" customFormat="1" x14ac:dyDescent="0.25">
      <c r="A1" s="25" t="str">
        <f ca="1">MID(CELL("filename",A1),FIND("]",CELL("filename",A1))+1,255)</f>
        <v>ARP_Inputs by customer type</v>
      </c>
      <c r="I1" s="23"/>
    </row>
    <row r="2" spans="1:97" s="25" customFormat="1" x14ac:dyDescent="0.25">
      <c r="A2" s="25" t="str">
        <f>Cover!D21&amp;" - "&amp;Cover!D23</f>
        <v>SEPD - Final</v>
      </c>
      <c r="I2" s="23"/>
    </row>
    <row r="3" spans="1:97" s="97" customFormat="1" x14ac:dyDescent="0.25">
      <c r="A3" s="97" t="str">
        <f>Cover!D2&amp;" - "&amp;Cover!D8&amp;" v"&amp;Cover!D10&amp;" - "&amp;Cover!D19</f>
        <v>ARP model - Release for charge setting v3 - 2020/21</v>
      </c>
      <c r="I3" s="493"/>
    </row>
    <row r="4" spans="1:97" s="338" customFormat="1" x14ac:dyDescent="0.25">
      <c r="A4" s="392" t="str">
        <f>H1384 &amp; IF(H1384 = 1, " issue", " issues") &amp;" identified in checks on this sheet"</f>
        <v>0 issues identified in checks on this sheet</v>
      </c>
      <c r="B4" s="393"/>
      <c r="C4" s="393"/>
      <c r="D4" s="393"/>
      <c r="E4" s="393"/>
      <c r="F4" s="393"/>
      <c r="G4" s="393"/>
      <c r="H4" s="394"/>
      <c r="I4" s="394"/>
      <c r="J4" s="393"/>
      <c r="K4" s="383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3"/>
      <c r="AD4" s="383"/>
      <c r="AE4" s="383"/>
      <c r="AF4" s="383"/>
      <c r="AG4" s="383"/>
      <c r="AH4" s="383"/>
      <c r="AI4" s="383"/>
      <c r="AJ4" s="383"/>
      <c r="AK4" s="383"/>
      <c r="AL4" s="383"/>
      <c r="AM4" s="383"/>
      <c r="AN4" s="383"/>
      <c r="AO4" s="383"/>
      <c r="AP4" s="383"/>
      <c r="AQ4" s="383"/>
      <c r="AR4" s="383"/>
      <c r="AS4" s="383"/>
      <c r="AT4" s="383"/>
      <c r="AU4" s="383"/>
      <c r="AV4" s="383"/>
      <c r="AW4" s="383"/>
      <c r="AX4" s="383"/>
      <c r="AY4" s="383"/>
      <c r="AZ4" s="383"/>
      <c r="BA4" s="383"/>
      <c r="BB4" s="383"/>
      <c r="BC4" s="383"/>
      <c r="BD4" s="383"/>
      <c r="BE4" s="383"/>
      <c r="BF4" s="383"/>
      <c r="BG4" s="383"/>
      <c r="BH4" s="383"/>
      <c r="BI4" s="383"/>
      <c r="BJ4" s="383"/>
      <c r="BK4" s="383"/>
      <c r="BL4" s="383"/>
      <c r="BM4" s="383"/>
      <c r="BN4" s="383"/>
      <c r="BO4" s="383"/>
      <c r="BP4" s="383"/>
      <c r="BQ4" s="383"/>
      <c r="BR4" s="383"/>
      <c r="BS4" s="383"/>
      <c r="BT4" s="383"/>
      <c r="BU4" s="383"/>
      <c r="BV4" s="383"/>
      <c r="BW4" s="383"/>
      <c r="BX4" s="383"/>
      <c r="BY4" s="383"/>
      <c r="BZ4" s="383"/>
      <c r="CA4" s="383"/>
      <c r="CB4" s="383"/>
      <c r="CC4" s="383"/>
      <c r="CD4" s="383"/>
      <c r="CE4" s="383"/>
      <c r="CF4" s="383"/>
      <c r="CG4" s="383"/>
      <c r="CH4" s="383"/>
      <c r="CI4" s="383"/>
      <c r="CJ4" s="383"/>
      <c r="CK4" s="383"/>
      <c r="CL4" s="383"/>
      <c r="CM4" s="383"/>
      <c r="CN4" s="383"/>
      <c r="CO4" s="383"/>
      <c r="CP4" s="383"/>
      <c r="CQ4" s="383"/>
      <c r="CR4" s="383"/>
      <c r="CS4" s="383"/>
    </row>
    <row r="5" spans="1:97" ht="30" x14ac:dyDescent="0.25">
      <c r="B5" s="244"/>
      <c r="C5" s="24"/>
      <c r="D5" s="24"/>
      <c r="E5" s="24"/>
      <c r="F5" s="24"/>
      <c r="G5" s="235"/>
      <c r="H5" s="76"/>
      <c r="J5" s="264" t="str">
        <f>"Year selected ("&amp; charging_year_selected &amp;")"</f>
        <v>Year selected (2020/21)</v>
      </c>
      <c r="K5" s="200"/>
      <c r="L5" s="76" t="str">
        <f t="array" ref="L5:S6">TRANSPOSE('ARP_User control'!G28:H35)</f>
        <v>2017/18</v>
      </c>
      <c r="M5" s="76" t="str">
        <v>2018/19</v>
      </c>
      <c r="N5" s="76" t="str">
        <v>2019/20</v>
      </c>
      <c r="O5" s="76" t="str">
        <v>2020/21</v>
      </c>
      <c r="P5" s="76" t="str">
        <v>2021/22</v>
      </c>
      <c r="Q5" s="76" t="str">
        <v>2022/23</v>
      </c>
      <c r="R5" s="76" t="str">
        <v>2023/24</v>
      </c>
      <c r="S5" s="76" t="str">
        <v>2024/25</v>
      </c>
      <c r="U5" s="76"/>
    </row>
    <row r="6" spans="1:97" x14ac:dyDescent="0.25">
      <c r="B6" s="244" t="s">
        <v>667</v>
      </c>
      <c r="C6" s="24"/>
      <c r="D6" s="24"/>
      <c r="E6" s="24"/>
      <c r="F6" s="24"/>
      <c r="G6" s="235" t="s">
        <v>108</v>
      </c>
      <c r="H6" s="76" t="s">
        <v>109</v>
      </c>
      <c r="J6" s="266" t="str">
        <f>'ARP_User control'!$H$36</f>
        <v>Current</v>
      </c>
      <c r="K6" s="200"/>
      <c r="L6" s="76" t="str">
        <v>Historic</v>
      </c>
      <c r="M6" s="76" t="str">
        <v>Historic</v>
      </c>
      <c r="N6" s="76" t="str">
        <v>Historic</v>
      </c>
      <c r="O6" s="76" t="str">
        <v>Current</v>
      </c>
      <c r="P6" s="76" t="str">
        <v>Forecast</v>
      </c>
      <c r="Q6" s="76" t="str">
        <v>Forecast</v>
      </c>
      <c r="R6" s="76" t="str">
        <v>Forecast</v>
      </c>
      <c r="S6" s="76" t="str">
        <v>Forecast</v>
      </c>
      <c r="U6" s="235" t="s">
        <v>110</v>
      </c>
    </row>
    <row r="8" spans="1:97" x14ac:dyDescent="0.25">
      <c r="B8" s="171" t="s">
        <v>107</v>
      </c>
      <c r="C8" s="171"/>
      <c r="D8" s="171"/>
      <c r="E8" s="171"/>
      <c r="F8" s="171"/>
      <c r="G8" s="171"/>
      <c r="H8" s="171"/>
      <c r="I8" s="278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</row>
    <row r="9" spans="1:97" x14ac:dyDescent="0.25">
      <c r="D9" s="35"/>
    </row>
    <row r="10" spans="1:97" x14ac:dyDescent="0.25">
      <c r="C10" s="152" t="s">
        <v>935</v>
      </c>
    </row>
    <row r="11" spans="1:97" s="474" customFormat="1" x14ac:dyDescent="0.25">
      <c r="C11" s="152" t="s">
        <v>936</v>
      </c>
      <c r="I11" s="200"/>
    </row>
    <row r="12" spans="1:97" s="474" customFormat="1" x14ac:dyDescent="0.25">
      <c r="C12" s="152" t="s">
        <v>1050</v>
      </c>
      <c r="I12" s="200"/>
    </row>
    <row r="13" spans="1:97" x14ac:dyDescent="0.25">
      <c r="D13" s="35"/>
    </row>
    <row r="14" spans="1:97" x14ac:dyDescent="0.25">
      <c r="B14" s="171" t="s">
        <v>434</v>
      </c>
      <c r="C14" s="171"/>
      <c r="D14" s="171"/>
      <c r="E14" s="171"/>
      <c r="F14" s="171"/>
      <c r="G14" s="171"/>
      <c r="H14" s="171"/>
      <c r="I14" s="278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U14" s="171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71"/>
      <c r="AW14" s="171"/>
    </row>
    <row r="15" spans="1:97" x14ac:dyDescent="0.25">
      <c r="D15" s="35"/>
    </row>
    <row r="16" spans="1:97" s="338" customFormat="1" x14ac:dyDescent="0.25">
      <c r="C16" s="22" t="str">
        <f ca="1">INDEX('Version control'!$H$34:$H$59,MATCH($A$1,'Version control'!$F$34:$F$59,0),1)&amp;"-A: Load factor"</f>
        <v>Input 501-A: Load factor</v>
      </c>
      <c r="D16" s="22"/>
      <c r="E16" s="22"/>
      <c r="F16" s="22"/>
      <c r="G16" s="22"/>
      <c r="H16" s="22"/>
      <c r="I16" s="296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</row>
    <row r="17" spans="3:21" s="338" customFormat="1" x14ac:dyDescent="0.25">
      <c r="C17" s="172"/>
      <c r="I17" s="200"/>
    </row>
    <row r="18" spans="3:21" x14ac:dyDescent="0.25">
      <c r="E18" s="261" t="s">
        <v>83</v>
      </c>
      <c r="G18" s="194"/>
      <c r="I18" s="200" t="s">
        <v>525</v>
      </c>
      <c r="U18" s="160" t="s">
        <v>1078</v>
      </c>
    </row>
    <row r="19" spans="3:21" x14ac:dyDescent="0.25">
      <c r="F19" s="166" t="s">
        <v>52</v>
      </c>
      <c r="G19" s="166" t="s">
        <v>111</v>
      </c>
      <c r="H19" s="201"/>
      <c r="I19" s="201"/>
      <c r="J19" s="327">
        <f>CHOOSE(year_selection, L19,M19,N19,O19,P19,Q19,R19,S19)</f>
        <v>0.40291264713159136</v>
      </c>
      <c r="K19" s="283"/>
      <c r="L19" s="511">
        <v>0.420326367352093</v>
      </c>
      <c r="M19" s="511">
        <v>0.42002449276262288</v>
      </c>
      <c r="N19" s="511">
        <v>0.41155300789680282</v>
      </c>
      <c r="O19" s="511">
        <v>0.40291264713159136</v>
      </c>
      <c r="P19" s="511">
        <f>O19</f>
        <v>0.40291264713159136</v>
      </c>
      <c r="Q19" s="511">
        <f t="shared" ref="Q19:S19" si="0">P19</f>
        <v>0.40291264713159136</v>
      </c>
      <c r="R19" s="511">
        <f t="shared" si="0"/>
        <v>0.40291264713159136</v>
      </c>
      <c r="S19" s="511">
        <f t="shared" si="0"/>
        <v>0.40291264713159136</v>
      </c>
    </row>
    <row r="20" spans="3:21" x14ac:dyDescent="0.25">
      <c r="F20" s="167" t="s">
        <v>53</v>
      </c>
      <c r="G20" s="167" t="s">
        <v>111</v>
      </c>
      <c r="H20" s="121"/>
      <c r="I20" s="121"/>
      <c r="J20" s="328">
        <f t="shared" ref="J20:J37" si="1">CHOOSE(year_selection, L20,M20,N20,O20,P20,Q20,R20,S20)</f>
        <v>0.25201324928166224</v>
      </c>
      <c r="K20" s="284"/>
      <c r="L20" s="512">
        <v>0.17953844296553667</v>
      </c>
      <c r="M20" s="512">
        <v>0.21959755892679378</v>
      </c>
      <c r="N20" s="512">
        <v>0.259187138568578</v>
      </c>
      <c r="O20" s="512">
        <v>0.25201324928166224</v>
      </c>
      <c r="P20" s="512">
        <f t="shared" ref="P20:S37" si="2">O20</f>
        <v>0.25201324928166224</v>
      </c>
      <c r="Q20" s="512">
        <f t="shared" si="2"/>
        <v>0.25201324928166224</v>
      </c>
      <c r="R20" s="512">
        <f t="shared" si="2"/>
        <v>0.25201324928166224</v>
      </c>
      <c r="S20" s="512">
        <f t="shared" si="2"/>
        <v>0.25201324928166224</v>
      </c>
    </row>
    <row r="21" spans="3:21" x14ac:dyDescent="0.25">
      <c r="F21" s="167" t="s">
        <v>84</v>
      </c>
      <c r="G21" s="167" t="s">
        <v>111</v>
      </c>
      <c r="H21" s="121"/>
      <c r="I21" s="121"/>
      <c r="J21" s="328">
        <f t="shared" si="1"/>
        <v>0.10517953382833152</v>
      </c>
      <c r="K21" s="284"/>
      <c r="L21" s="512">
        <v>0.10187143949937844</v>
      </c>
      <c r="M21" s="512">
        <v>0.11809812966150257</v>
      </c>
      <c r="N21" s="512">
        <v>0.11151538940018074</v>
      </c>
      <c r="O21" s="512">
        <v>0.10517953382833152</v>
      </c>
      <c r="P21" s="512">
        <f t="shared" si="2"/>
        <v>0.10517953382833152</v>
      </c>
      <c r="Q21" s="512">
        <f t="shared" si="2"/>
        <v>0.10517953382833152</v>
      </c>
      <c r="R21" s="512">
        <f t="shared" si="2"/>
        <v>0.10517953382833152</v>
      </c>
      <c r="S21" s="512">
        <f t="shared" si="2"/>
        <v>0.10517953382833152</v>
      </c>
    </row>
    <row r="22" spans="3:21" x14ac:dyDescent="0.25">
      <c r="F22" s="167" t="s">
        <v>54</v>
      </c>
      <c r="G22" s="167" t="s">
        <v>111</v>
      </c>
      <c r="H22" s="121"/>
      <c r="I22" s="121"/>
      <c r="J22" s="328">
        <f t="shared" si="1"/>
        <v>0.36016861163234548</v>
      </c>
      <c r="K22" s="284"/>
      <c r="L22" s="512">
        <v>0.40464037737481168</v>
      </c>
      <c r="M22" s="512">
        <v>0.40291955685628889</v>
      </c>
      <c r="N22" s="512">
        <v>0.39334129715429472</v>
      </c>
      <c r="O22" s="512">
        <v>0.36016861163234548</v>
      </c>
      <c r="P22" s="512">
        <f t="shared" si="2"/>
        <v>0.36016861163234548</v>
      </c>
      <c r="Q22" s="512">
        <f t="shared" si="2"/>
        <v>0.36016861163234548</v>
      </c>
      <c r="R22" s="512">
        <f t="shared" si="2"/>
        <v>0.36016861163234548</v>
      </c>
      <c r="S22" s="512">
        <f t="shared" si="2"/>
        <v>0.36016861163234548</v>
      </c>
    </row>
    <row r="23" spans="3:21" x14ac:dyDescent="0.25">
      <c r="F23" s="167" t="s">
        <v>55</v>
      </c>
      <c r="G23" s="167" t="s">
        <v>111</v>
      </c>
      <c r="H23" s="121"/>
      <c r="I23" s="121"/>
      <c r="J23" s="328">
        <f t="shared" si="1"/>
        <v>0.43283209899661901</v>
      </c>
      <c r="K23" s="284"/>
      <c r="L23" s="512">
        <v>0.49939310173881135</v>
      </c>
      <c r="M23" s="512">
        <v>0.48686702023420575</v>
      </c>
      <c r="N23" s="512">
        <v>0.44854825388036373</v>
      </c>
      <c r="O23" s="512">
        <v>0.43283209899661901</v>
      </c>
      <c r="P23" s="512">
        <f t="shared" si="2"/>
        <v>0.43283209899661901</v>
      </c>
      <c r="Q23" s="512">
        <f t="shared" si="2"/>
        <v>0.43283209899661901</v>
      </c>
      <c r="R23" s="512">
        <f t="shared" si="2"/>
        <v>0.43283209899661901</v>
      </c>
      <c r="S23" s="512">
        <f t="shared" si="2"/>
        <v>0.43283209899661901</v>
      </c>
    </row>
    <row r="24" spans="3:21" x14ac:dyDescent="0.25">
      <c r="F24" s="167" t="s">
        <v>85</v>
      </c>
      <c r="G24" s="167" t="s">
        <v>111</v>
      </c>
      <c r="H24" s="121"/>
      <c r="I24" s="121"/>
      <c r="J24" s="328">
        <f t="shared" si="1"/>
        <v>0.22382885280794493</v>
      </c>
      <c r="K24" s="284"/>
      <c r="L24" s="512">
        <v>0.18018939711049567</v>
      </c>
      <c r="M24" s="512">
        <v>0.20109685122410367</v>
      </c>
      <c r="N24" s="512">
        <v>0.22503599464856747</v>
      </c>
      <c r="O24" s="512">
        <v>0.22382885280794493</v>
      </c>
      <c r="P24" s="512">
        <f t="shared" si="2"/>
        <v>0.22382885280794493</v>
      </c>
      <c r="Q24" s="512">
        <f t="shared" si="2"/>
        <v>0.22382885280794493</v>
      </c>
      <c r="R24" s="512">
        <f t="shared" si="2"/>
        <v>0.22382885280794493</v>
      </c>
      <c r="S24" s="512">
        <f t="shared" si="2"/>
        <v>0.22382885280794493</v>
      </c>
    </row>
    <row r="25" spans="3:21" x14ac:dyDescent="0.25">
      <c r="F25" s="167" t="s">
        <v>56</v>
      </c>
      <c r="G25" s="167" t="s">
        <v>111</v>
      </c>
      <c r="H25" s="121"/>
      <c r="I25" s="121"/>
      <c r="J25" s="328">
        <f t="shared" si="1"/>
        <v>0.50478850499382066</v>
      </c>
      <c r="K25" s="284"/>
      <c r="L25" s="512">
        <v>0.54854718788692935</v>
      </c>
      <c r="M25" s="512">
        <v>0.54843157584184832</v>
      </c>
      <c r="N25" s="512">
        <v>0.5201539314189656</v>
      </c>
      <c r="O25" s="512">
        <v>0.50478850499382066</v>
      </c>
      <c r="P25" s="512">
        <f t="shared" si="2"/>
        <v>0.50478850499382066</v>
      </c>
      <c r="Q25" s="512">
        <f t="shared" si="2"/>
        <v>0.50478850499382066</v>
      </c>
      <c r="R25" s="512">
        <f t="shared" si="2"/>
        <v>0.50478850499382066</v>
      </c>
      <c r="S25" s="512">
        <f t="shared" si="2"/>
        <v>0.50478850499382066</v>
      </c>
    </row>
    <row r="26" spans="3:21" x14ac:dyDescent="0.25">
      <c r="F26" s="167" t="s">
        <v>57</v>
      </c>
      <c r="G26" s="167" t="s">
        <v>111</v>
      </c>
      <c r="H26" s="121"/>
      <c r="I26" s="121"/>
      <c r="J26" s="328">
        <f t="shared" si="1"/>
        <v>0.34529704834737524</v>
      </c>
      <c r="K26" s="284"/>
      <c r="L26" s="512">
        <v>0.49120246359856495</v>
      </c>
      <c r="M26" s="512">
        <v>0.40518745121828387</v>
      </c>
      <c r="N26" s="512">
        <v>0.30331775048415582</v>
      </c>
      <c r="O26" s="512">
        <v>0.34529704834737524</v>
      </c>
      <c r="P26" s="512">
        <f t="shared" si="2"/>
        <v>0.34529704834737524</v>
      </c>
      <c r="Q26" s="512">
        <f t="shared" si="2"/>
        <v>0.34529704834737524</v>
      </c>
      <c r="R26" s="512">
        <f t="shared" si="2"/>
        <v>0.34529704834737524</v>
      </c>
      <c r="S26" s="512">
        <f t="shared" si="2"/>
        <v>0.34529704834737524</v>
      </c>
    </row>
    <row r="27" spans="3:21" x14ac:dyDescent="0.25">
      <c r="F27" s="167" t="s">
        <v>72</v>
      </c>
      <c r="G27" s="167" t="s">
        <v>111</v>
      </c>
      <c r="H27" s="121"/>
      <c r="I27" s="121"/>
      <c r="J27" s="328">
        <f t="shared" si="1"/>
        <v>0.32153049705220221</v>
      </c>
      <c r="K27" s="284"/>
      <c r="L27" s="512">
        <v>0.45171507400142835</v>
      </c>
      <c r="M27" s="512">
        <v>0.43860617263525653</v>
      </c>
      <c r="N27" s="512">
        <v>0.41361065043550532</v>
      </c>
      <c r="O27" s="512">
        <v>0.32153049705220221</v>
      </c>
      <c r="P27" s="512">
        <f t="shared" si="2"/>
        <v>0.32153049705220221</v>
      </c>
      <c r="Q27" s="512">
        <f t="shared" si="2"/>
        <v>0.32153049705220221</v>
      </c>
      <c r="R27" s="512">
        <f t="shared" si="2"/>
        <v>0.32153049705220221</v>
      </c>
      <c r="S27" s="512">
        <f t="shared" si="2"/>
        <v>0.32153049705220221</v>
      </c>
    </row>
    <row r="28" spans="3:21" x14ac:dyDescent="0.25">
      <c r="F28" s="167" t="s">
        <v>58</v>
      </c>
      <c r="G28" s="167" t="s">
        <v>111</v>
      </c>
      <c r="H28" s="121"/>
      <c r="I28" s="121"/>
      <c r="J28" s="328">
        <f t="shared" si="1"/>
        <v>0.24061157735295277</v>
      </c>
      <c r="K28" s="284"/>
      <c r="L28" s="512">
        <v>0.420326367352093</v>
      </c>
      <c r="M28" s="512">
        <v>0.42002449276262288</v>
      </c>
      <c r="N28" s="512">
        <v>0.34455202398446327</v>
      </c>
      <c r="O28" s="512">
        <v>0.24061157735295277</v>
      </c>
      <c r="P28" s="512">
        <f t="shared" si="2"/>
        <v>0.24061157735295277</v>
      </c>
      <c r="Q28" s="512">
        <f t="shared" si="2"/>
        <v>0.24061157735295277</v>
      </c>
      <c r="R28" s="512">
        <f t="shared" si="2"/>
        <v>0.24061157735295277</v>
      </c>
      <c r="S28" s="512">
        <f t="shared" si="2"/>
        <v>0.24061157735295277</v>
      </c>
    </row>
    <row r="29" spans="3:21" x14ac:dyDescent="0.25">
      <c r="F29" s="167" t="s">
        <v>59</v>
      </c>
      <c r="G29" s="167" t="s">
        <v>111</v>
      </c>
      <c r="H29" s="121"/>
      <c r="I29" s="121"/>
      <c r="J29" s="328">
        <f t="shared" si="1"/>
        <v>0.38486677189948271</v>
      </c>
      <c r="K29" s="284"/>
      <c r="L29" s="512">
        <v>0.40464037737481168</v>
      </c>
      <c r="M29" s="512">
        <v>0.40291955685628889</v>
      </c>
      <c r="N29" s="512">
        <v>0.35926325339209503</v>
      </c>
      <c r="O29" s="512">
        <v>0.38486677189948271</v>
      </c>
      <c r="P29" s="512">
        <f t="shared" si="2"/>
        <v>0.38486677189948271</v>
      </c>
      <c r="Q29" s="512">
        <f t="shared" si="2"/>
        <v>0.38486677189948271</v>
      </c>
      <c r="R29" s="512">
        <f t="shared" si="2"/>
        <v>0.38486677189948271</v>
      </c>
      <c r="S29" s="512">
        <f t="shared" si="2"/>
        <v>0.38486677189948271</v>
      </c>
    </row>
    <row r="30" spans="3:21" x14ac:dyDescent="0.25">
      <c r="F30" s="167" t="s">
        <v>60</v>
      </c>
      <c r="G30" s="167" t="s">
        <v>111</v>
      </c>
      <c r="H30" s="121"/>
      <c r="I30" s="121"/>
      <c r="J30" s="328">
        <f t="shared" si="1"/>
        <v>0.58319695130103477</v>
      </c>
      <c r="K30" s="284"/>
      <c r="L30" s="512">
        <v>0.62698557495608798</v>
      </c>
      <c r="M30" s="512">
        <v>0.62484255042257464</v>
      </c>
      <c r="N30" s="512">
        <v>0.59787766549519328</v>
      </c>
      <c r="O30" s="512">
        <v>0.58319695130103477</v>
      </c>
      <c r="P30" s="512">
        <f t="shared" si="2"/>
        <v>0.58319695130103477</v>
      </c>
      <c r="Q30" s="512">
        <f t="shared" si="2"/>
        <v>0.58319695130103477</v>
      </c>
      <c r="R30" s="512">
        <f t="shared" si="2"/>
        <v>0.58319695130103477</v>
      </c>
      <c r="S30" s="512">
        <f t="shared" si="2"/>
        <v>0.58319695130103477</v>
      </c>
    </row>
    <row r="31" spans="3:21" x14ac:dyDescent="0.25">
      <c r="F31" s="167" t="s">
        <v>61</v>
      </c>
      <c r="G31" s="167" t="s">
        <v>111</v>
      </c>
      <c r="H31" s="121"/>
      <c r="I31" s="121"/>
      <c r="J31" s="328">
        <f t="shared" si="1"/>
        <v>0.64316565706091622</v>
      </c>
      <c r="K31" s="284"/>
      <c r="L31" s="512">
        <v>0.46464379613622397</v>
      </c>
      <c r="M31" s="512">
        <v>0.47123382093231153</v>
      </c>
      <c r="N31" s="512">
        <v>0.5444025221208515</v>
      </c>
      <c r="O31" s="512">
        <v>0.64316565706091622</v>
      </c>
      <c r="P31" s="512">
        <f t="shared" si="2"/>
        <v>0.64316565706091622</v>
      </c>
      <c r="Q31" s="512">
        <f t="shared" si="2"/>
        <v>0.64316565706091622</v>
      </c>
      <c r="R31" s="512">
        <f t="shared" si="2"/>
        <v>0.64316565706091622</v>
      </c>
      <c r="S31" s="512">
        <f t="shared" si="2"/>
        <v>0.64316565706091622</v>
      </c>
    </row>
    <row r="32" spans="3:21" x14ac:dyDescent="0.25">
      <c r="F32" s="167" t="s">
        <v>73</v>
      </c>
      <c r="G32" s="167" t="s">
        <v>111</v>
      </c>
      <c r="H32" s="121"/>
      <c r="I32" s="121"/>
      <c r="J32" s="328">
        <f t="shared" si="1"/>
        <v>0.69582668577563445</v>
      </c>
      <c r="K32" s="284"/>
      <c r="L32" s="512">
        <v>0.71939140396544599</v>
      </c>
      <c r="M32" s="512">
        <v>0.71148717173314235</v>
      </c>
      <c r="N32" s="512">
        <v>0.70778789339422132</v>
      </c>
      <c r="O32" s="512">
        <v>0.69582668577563445</v>
      </c>
      <c r="P32" s="512">
        <f t="shared" si="2"/>
        <v>0.69582668577563445</v>
      </c>
      <c r="Q32" s="512">
        <f t="shared" si="2"/>
        <v>0.69582668577563445</v>
      </c>
      <c r="R32" s="512">
        <f t="shared" si="2"/>
        <v>0.69582668577563445</v>
      </c>
      <c r="S32" s="512">
        <f t="shared" si="2"/>
        <v>0.69582668577563445</v>
      </c>
    </row>
    <row r="33" spans="6:38" x14ac:dyDescent="0.25">
      <c r="F33" s="167" t="s">
        <v>86</v>
      </c>
      <c r="G33" s="167" t="s">
        <v>111</v>
      </c>
      <c r="H33" s="121"/>
      <c r="I33" s="121"/>
      <c r="J33" s="328">
        <f t="shared" si="1"/>
        <v>0.99988594871538961</v>
      </c>
      <c r="K33" s="284"/>
      <c r="L33" s="512">
        <v>1</v>
      </c>
      <c r="M33" s="512">
        <v>0.99996205221615053</v>
      </c>
      <c r="N33" s="512">
        <v>0.99992400046577001</v>
      </c>
      <c r="O33" s="512">
        <v>0.99988594871538961</v>
      </c>
      <c r="P33" s="512">
        <f t="shared" si="2"/>
        <v>0.99988594871538961</v>
      </c>
      <c r="Q33" s="512">
        <f t="shared" si="2"/>
        <v>0.99988594871538961</v>
      </c>
      <c r="R33" s="512">
        <f t="shared" si="2"/>
        <v>0.99988594871538961</v>
      </c>
      <c r="S33" s="512">
        <f t="shared" si="2"/>
        <v>0.99988594871538961</v>
      </c>
    </row>
    <row r="34" spans="6:38" x14ac:dyDescent="0.25">
      <c r="F34" s="167" t="s">
        <v>87</v>
      </c>
      <c r="G34" s="167" t="s">
        <v>111</v>
      </c>
      <c r="H34" s="121"/>
      <c r="I34" s="121"/>
      <c r="J34" s="328">
        <f t="shared" si="1"/>
        <v>0.47409656688998675</v>
      </c>
      <c r="K34" s="284"/>
      <c r="L34" s="512">
        <v>0.47406767376965991</v>
      </c>
      <c r="M34" s="512">
        <v>0.47412193472357367</v>
      </c>
      <c r="N34" s="512">
        <v>0.47409656688998675</v>
      </c>
      <c r="O34" s="512">
        <v>0.47409656688998675</v>
      </c>
      <c r="P34" s="512">
        <f t="shared" si="2"/>
        <v>0.47409656688998675</v>
      </c>
      <c r="Q34" s="512">
        <f t="shared" si="2"/>
        <v>0.47409656688998675</v>
      </c>
      <c r="R34" s="512">
        <f t="shared" si="2"/>
        <v>0.47409656688998675</v>
      </c>
      <c r="S34" s="512">
        <f t="shared" si="2"/>
        <v>0.47409656688998675</v>
      </c>
    </row>
    <row r="35" spans="6:38" x14ac:dyDescent="0.25">
      <c r="F35" s="167" t="s">
        <v>88</v>
      </c>
      <c r="G35" s="167" t="s">
        <v>111</v>
      </c>
      <c r="H35" s="121"/>
      <c r="I35" s="121"/>
      <c r="J35" s="328">
        <f t="shared" si="1"/>
        <v>0.25735293202252324</v>
      </c>
      <c r="K35" s="284"/>
      <c r="L35" s="512">
        <v>0.25736004819888397</v>
      </c>
      <c r="M35" s="512">
        <v>0.25737829985611044</v>
      </c>
      <c r="N35" s="512">
        <v>0.25735293202252335</v>
      </c>
      <c r="O35" s="512">
        <v>0.25735293202252324</v>
      </c>
      <c r="P35" s="512">
        <f t="shared" si="2"/>
        <v>0.25735293202252324</v>
      </c>
      <c r="Q35" s="512">
        <f t="shared" si="2"/>
        <v>0.25735293202252324</v>
      </c>
      <c r="R35" s="512">
        <f t="shared" si="2"/>
        <v>0.25735293202252324</v>
      </c>
      <c r="S35" s="512">
        <f t="shared" si="2"/>
        <v>0.25735293202252324</v>
      </c>
    </row>
    <row r="36" spans="6:38" x14ac:dyDescent="0.25">
      <c r="F36" s="167" t="s">
        <v>89</v>
      </c>
      <c r="G36" s="167" t="s">
        <v>111</v>
      </c>
      <c r="H36" s="121"/>
      <c r="I36" s="121"/>
      <c r="J36" s="328">
        <f t="shared" si="1"/>
        <v>0.52508693100157189</v>
      </c>
      <c r="K36" s="284"/>
      <c r="L36" s="512">
        <v>0.55291886986301297</v>
      </c>
      <c r="M36" s="512">
        <v>0.55286470877934935</v>
      </c>
      <c r="N36" s="512">
        <v>0.53897581989046062</v>
      </c>
      <c r="O36" s="512">
        <v>0.52508693100157189</v>
      </c>
      <c r="P36" s="512">
        <f t="shared" si="2"/>
        <v>0.52508693100157189</v>
      </c>
      <c r="Q36" s="512">
        <f t="shared" si="2"/>
        <v>0.52508693100157189</v>
      </c>
      <c r="R36" s="512">
        <f t="shared" si="2"/>
        <v>0.52508693100157189</v>
      </c>
      <c r="S36" s="512">
        <f t="shared" si="2"/>
        <v>0.52508693100157189</v>
      </c>
      <c r="W36" s="160" t="s">
        <v>89</v>
      </c>
      <c r="X36" s="160" t="s">
        <v>90</v>
      </c>
      <c r="Y36" s="160" t="s">
        <v>62</v>
      </c>
      <c r="Z36" s="160" t="s">
        <v>63</v>
      </c>
      <c r="AA36" s="160" t="s">
        <v>64</v>
      </c>
      <c r="AB36" s="160" t="s">
        <v>65</v>
      </c>
      <c r="AC36" s="160" t="s">
        <v>66</v>
      </c>
      <c r="AD36" s="160" t="s">
        <v>67</v>
      </c>
      <c r="AE36" s="160" t="s">
        <v>68</v>
      </c>
      <c r="AF36" s="160" t="s">
        <v>69</v>
      </c>
      <c r="AG36" s="160" t="s">
        <v>70</v>
      </c>
      <c r="AH36" s="160" t="s">
        <v>71</v>
      </c>
      <c r="AI36" s="160" t="s">
        <v>74</v>
      </c>
      <c r="AJ36" s="160" t="s">
        <v>75</v>
      </c>
      <c r="AK36" s="160" t="s">
        <v>76</v>
      </c>
      <c r="AL36" s="160" t="s">
        <v>77</v>
      </c>
    </row>
    <row r="37" spans="6:38" x14ac:dyDescent="0.25">
      <c r="F37" s="167" t="s">
        <v>90</v>
      </c>
      <c r="G37" s="167" t="s">
        <v>111</v>
      </c>
      <c r="H37" s="121"/>
      <c r="I37" s="121"/>
      <c r="J37" s="328">
        <f t="shared" si="1"/>
        <v>0.45997700435704125</v>
      </c>
      <c r="K37" s="284"/>
      <c r="L37" s="512">
        <v>0.46405719304306198</v>
      </c>
      <c r="M37" s="512">
        <v>0.44500022529835243</v>
      </c>
      <c r="N37" s="512">
        <v>0.44581333086832503</v>
      </c>
      <c r="O37" s="512">
        <v>0.45997700435704125</v>
      </c>
      <c r="P37" s="512">
        <f t="shared" si="2"/>
        <v>0.45997700435704125</v>
      </c>
      <c r="Q37" s="512">
        <f t="shared" si="2"/>
        <v>0.45997700435704125</v>
      </c>
      <c r="R37" s="512">
        <f t="shared" si="2"/>
        <v>0.45997700435704125</v>
      </c>
      <c r="S37" s="512">
        <f t="shared" si="2"/>
        <v>0.45997700435704125</v>
      </c>
    </row>
    <row r="38" spans="6:38" x14ac:dyDescent="0.25">
      <c r="F38" s="167" t="s">
        <v>62</v>
      </c>
      <c r="G38" s="167" t="s">
        <v>111</v>
      </c>
      <c r="H38" s="121"/>
      <c r="I38" s="121"/>
      <c r="J38" s="281"/>
      <c r="K38" s="121"/>
      <c r="L38" s="281"/>
      <c r="M38" s="281"/>
      <c r="N38" s="281"/>
      <c r="O38" s="281"/>
      <c r="P38" s="281"/>
      <c r="Q38" s="281"/>
      <c r="R38" s="281"/>
      <c r="S38" s="281"/>
    </row>
    <row r="39" spans="6:38" x14ac:dyDescent="0.25">
      <c r="F39" s="167" t="s">
        <v>63</v>
      </c>
      <c r="G39" s="167" t="s">
        <v>111</v>
      </c>
      <c r="H39" s="121"/>
      <c r="I39" s="121"/>
      <c r="J39" s="281"/>
      <c r="K39" s="121"/>
      <c r="L39" s="281"/>
      <c r="M39" s="281"/>
      <c r="N39" s="281"/>
      <c r="O39" s="281"/>
      <c r="P39" s="281"/>
      <c r="Q39" s="281"/>
      <c r="R39" s="281"/>
      <c r="S39" s="281"/>
    </row>
    <row r="40" spans="6:38" x14ac:dyDescent="0.25">
      <c r="F40" s="167" t="s">
        <v>64</v>
      </c>
      <c r="G40" s="167" t="s">
        <v>111</v>
      </c>
      <c r="H40" s="121"/>
      <c r="I40" s="121"/>
      <c r="J40" s="281"/>
      <c r="K40" s="121"/>
      <c r="L40" s="281"/>
      <c r="M40" s="281"/>
      <c r="N40" s="281"/>
      <c r="O40" s="281"/>
      <c r="P40" s="281"/>
      <c r="Q40" s="281"/>
      <c r="R40" s="281"/>
      <c r="S40" s="281"/>
    </row>
    <row r="41" spans="6:38" x14ac:dyDescent="0.25">
      <c r="F41" s="167" t="s">
        <v>65</v>
      </c>
      <c r="G41" s="167" t="s">
        <v>111</v>
      </c>
      <c r="H41" s="121"/>
      <c r="I41" s="121"/>
      <c r="J41" s="281"/>
      <c r="K41" s="121"/>
      <c r="L41" s="281"/>
      <c r="M41" s="281"/>
      <c r="N41" s="281"/>
      <c r="O41" s="281"/>
      <c r="P41" s="281"/>
      <c r="Q41" s="281"/>
      <c r="R41" s="281"/>
      <c r="S41" s="281"/>
    </row>
    <row r="42" spans="6:38" x14ac:dyDescent="0.25">
      <c r="F42" s="167" t="s">
        <v>66</v>
      </c>
      <c r="G42" s="167" t="s">
        <v>111</v>
      </c>
      <c r="H42" s="121"/>
      <c r="I42" s="121"/>
      <c r="J42" s="281"/>
      <c r="K42" s="121"/>
      <c r="L42" s="281"/>
      <c r="M42" s="281"/>
      <c r="N42" s="281"/>
      <c r="O42" s="281"/>
      <c r="P42" s="281"/>
      <c r="Q42" s="281"/>
      <c r="R42" s="281"/>
      <c r="S42" s="281"/>
    </row>
    <row r="43" spans="6:38" x14ac:dyDescent="0.25">
      <c r="F43" s="167" t="s">
        <v>67</v>
      </c>
      <c r="G43" s="167" t="s">
        <v>111</v>
      </c>
      <c r="H43" s="121"/>
      <c r="I43" s="121"/>
      <c r="J43" s="281"/>
      <c r="K43" s="121"/>
      <c r="L43" s="281"/>
      <c r="M43" s="281"/>
      <c r="N43" s="281"/>
      <c r="O43" s="281"/>
      <c r="P43" s="281"/>
      <c r="Q43" s="281"/>
      <c r="R43" s="281"/>
      <c r="S43" s="281"/>
    </row>
    <row r="44" spans="6:38" x14ac:dyDescent="0.25">
      <c r="F44" s="167" t="s">
        <v>68</v>
      </c>
      <c r="G44" s="167" t="s">
        <v>111</v>
      </c>
      <c r="H44" s="121"/>
      <c r="I44" s="121"/>
      <c r="J44" s="281"/>
      <c r="K44" s="121"/>
      <c r="L44" s="281"/>
      <c r="M44" s="281"/>
      <c r="N44" s="281"/>
      <c r="O44" s="281"/>
      <c r="P44" s="281"/>
      <c r="Q44" s="281"/>
      <c r="R44" s="281"/>
      <c r="S44" s="281"/>
    </row>
    <row r="45" spans="6:38" x14ac:dyDescent="0.25">
      <c r="F45" s="167" t="s">
        <v>69</v>
      </c>
      <c r="G45" s="167" t="s">
        <v>111</v>
      </c>
      <c r="H45" s="121"/>
      <c r="I45" s="121"/>
      <c r="J45" s="281"/>
      <c r="K45" s="121"/>
      <c r="L45" s="281"/>
      <c r="M45" s="281"/>
      <c r="N45" s="281"/>
      <c r="O45" s="281"/>
      <c r="P45" s="281"/>
      <c r="Q45" s="281"/>
      <c r="R45" s="281"/>
      <c r="S45" s="281"/>
    </row>
    <row r="46" spans="6:38" x14ac:dyDescent="0.25">
      <c r="F46" s="167" t="s">
        <v>70</v>
      </c>
      <c r="G46" s="167" t="s">
        <v>111</v>
      </c>
      <c r="H46" s="121"/>
      <c r="I46" s="121"/>
      <c r="J46" s="281"/>
      <c r="K46" s="121"/>
      <c r="L46" s="281"/>
      <c r="M46" s="281"/>
      <c r="N46" s="281"/>
      <c r="O46" s="281"/>
      <c r="P46" s="281"/>
      <c r="Q46" s="281"/>
      <c r="R46" s="281"/>
      <c r="S46" s="281"/>
    </row>
    <row r="47" spans="6:38" x14ac:dyDescent="0.25">
      <c r="F47" s="167" t="s">
        <v>71</v>
      </c>
      <c r="G47" s="167" t="s">
        <v>111</v>
      </c>
      <c r="H47" s="121"/>
      <c r="I47" s="121"/>
      <c r="J47" s="281"/>
      <c r="K47" s="121"/>
      <c r="L47" s="281"/>
      <c r="M47" s="281"/>
      <c r="N47" s="281"/>
      <c r="O47" s="281"/>
      <c r="P47" s="281"/>
      <c r="Q47" s="281"/>
      <c r="R47" s="281"/>
      <c r="S47" s="281"/>
    </row>
    <row r="48" spans="6:38" x14ac:dyDescent="0.25">
      <c r="F48" s="167" t="s">
        <v>74</v>
      </c>
      <c r="G48" s="167" t="s">
        <v>111</v>
      </c>
      <c r="H48" s="121"/>
      <c r="I48" s="121"/>
      <c r="J48" s="281"/>
      <c r="K48" s="121"/>
      <c r="L48" s="281"/>
      <c r="M48" s="281"/>
      <c r="N48" s="281"/>
      <c r="O48" s="281"/>
      <c r="P48" s="281"/>
      <c r="Q48" s="281"/>
      <c r="R48" s="281"/>
      <c r="S48" s="281"/>
    </row>
    <row r="49" spans="3:21" x14ac:dyDescent="0.25">
      <c r="F49" s="167" t="s">
        <v>75</v>
      </c>
      <c r="G49" s="167" t="s">
        <v>111</v>
      </c>
      <c r="H49" s="121"/>
      <c r="I49" s="121"/>
      <c r="J49" s="281"/>
      <c r="K49" s="121"/>
      <c r="L49" s="281"/>
      <c r="M49" s="281"/>
      <c r="N49" s="281"/>
      <c r="O49" s="281"/>
      <c r="P49" s="281"/>
      <c r="Q49" s="281"/>
      <c r="R49" s="281"/>
      <c r="S49" s="281"/>
    </row>
    <row r="50" spans="3:21" x14ac:dyDescent="0.25">
      <c r="F50" s="167" t="s">
        <v>76</v>
      </c>
      <c r="G50" s="167" t="s">
        <v>111</v>
      </c>
      <c r="H50" s="121"/>
      <c r="I50" s="121"/>
      <c r="J50" s="281"/>
      <c r="K50" s="121"/>
      <c r="L50" s="281"/>
      <c r="M50" s="281"/>
      <c r="N50" s="281"/>
      <c r="O50" s="281"/>
      <c r="P50" s="281"/>
      <c r="Q50" s="281"/>
      <c r="R50" s="281"/>
      <c r="S50" s="281"/>
    </row>
    <row r="51" spans="3:21" x14ac:dyDescent="0.25">
      <c r="F51" s="168" t="s">
        <v>77</v>
      </c>
      <c r="G51" s="168" t="s">
        <v>111</v>
      </c>
      <c r="H51" s="262"/>
      <c r="I51" s="262"/>
      <c r="J51" s="282"/>
      <c r="K51" s="262"/>
      <c r="L51" s="282"/>
      <c r="M51" s="282"/>
      <c r="N51" s="282"/>
      <c r="O51" s="282"/>
      <c r="P51" s="282"/>
      <c r="Q51" s="282"/>
      <c r="R51" s="282"/>
      <c r="S51" s="282"/>
    </row>
    <row r="52" spans="3:21" x14ac:dyDescent="0.25">
      <c r="H52" s="200"/>
      <c r="J52" s="200"/>
      <c r="K52" s="200"/>
      <c r="L52" s="200"/>
      <c r="M52" s="200"/>
      <c r="N52" s="200"/>
      <c r="O52" s="200"/>
      <c r="P52" s="200"/>
      <c r="Q52" s="200"/>
      <c r="R52" s="200"/>
      <c r="S52" s="200"/>
    </row>
    <row r="53" spans="3:21" s="338" customFormat="1" x14ac:dyDescent="0.25">
      <c r="C53" s="22" t="str">
        <f ca="1">INDEX('Version control'!$H$34:$H$59,MATCH($A$1,'Version control'!$F$34:$F$59,0),1)&amp;"-B: Coincidence factor"</f>
        <v>Input 501-B: Coincidence factor</v>
      </c>
      <c r="D53" s="22"/>
      <c r="E53" s="22"/>
      <c r="F53" s="22"/>
      <c r="G53" s="22"/>
      <c r="H53" s="22"/>
      <c r="I53" s="296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</row>
    <row r="54" spans="3:21" s="338" customFormat="1" x14ac:dyDescent="0.25">
      <c r="C54" s="172"/>
      <c r="I54" s="200"/>
    </row>
    <row r="55" spans="3:21" x14ac:dyDescent="0.25">
      <c r="E55" s="261" t="s">
        <v>82</v>
      </c>
      <c r="H55" s="200"/>
      <c r="I55" s="200" t="s">
        <v>525</v>
      </c>
      <c r="J55" s="200"/>
      <c r="K55" s="200"/>
      <c r="L55" s="200"/>
      <c r="M55" s="200"/>
      <c r="N55" s="200"/>
      <c r="O55" s="200"/>
      <c r="P55" s="200"/>
      <c r="Q55" s="200"/>
      <c r="R55" s="200"/>
      <c r="S55" s="200"/>
      <c r="U55" s="160" t="s">
        <v>1079</v>
      </c>
    </row>
    <row r="56" spans="3:21" x14ac:dyDescent="0.25">
      <c r="F56" s="166" t="s">
        <v>52</v>
      </c>
      <c r="G56" s="166" t="s">
        <v>111</v>
      </c>
      <c r="H56" s="201"/>
      <c r="I56" s="201"/>
      <c r="J56" s="327">
        <f t="shared" ref="J56:J74" si="3">CHOOSE(year_selection, L56,M56,N56,O56,P56,Q56,R56,S56)</f>
        <v>0.88200236087453765</v>
      </c>
      <c r="K56" s="283"/>
      <c r="L56" s="511">
        <v>0.90161485926808538</v>
      </c>
      <c r="M56" s="511">
        <v>0.90981214979937397</v>
      </c>
      <c r="N56" s="511">
        <v>0.91253936091900234</v>
      </c>
      <c r="O56" s="511">
        <v>0.88200236087453765</v>
      </c>
      <c r="P56" s="511">
        <f>O56</f>
        <v>0.88200236087453765</v>
      </c>
      <c r="Q56" s="511">
        <f t="shared" ref="Q56:S56" si="4">P56</f>
        <v>0.88200236087453765</v>
      </c>
      <c r="R56" s="511">
        <f t="shared" si="4"/>
        <v>0.88200236087453765</v>
      </c>
      <c r="S56" s="511">
        <f t="shared" si="4"/>
        <v>0.88200236087453765</v>
      </c>
    </row>
    <row r="57" spans="3:21" x14ac:dyDescent="0.25">
      <c r="F57" s="167" t="s">
        <v>53</v>
      </c>
      <c r="G57" s="167" t="s">
        <v>111</v>
      </c>
      <c r="H57" s="121"/>
      <c r="I57" s="121"/>
      <c r="J57" s="328">
        <f t="shared" si="3"/>
        <v>0.38688785287008098</v>
      </c>
      <c r="K57" s="284"/>
      <c r="L57" s="512">
        <v>0.24045556361264434</v>
      </c>
      <c r="M57" s="512">
        <v>0.31466912983295425</v>
      </c>
      <c r="N57" s="512">
        <v>0.39420076826739914</v>
      </c>
      <c r="O57" s="512">
        <v>0.38688785287008098</v>
      </c>
      <c r="P57" s="512">
        <f>O57</f>
        <v>0.38688785287008098</v>
      </c>
      <c r="Q57" s="512">
        <f t="shared" ref="Q57:S57" si="5">P57</f>
        <v>0.38688785287008098</v>
      </c>
      <c r="R57" s="512">
        <f t="shared" si="5"/>
        <v>0.38688785287008098</v>
      </c>
      <c r="S57" s="512">
        <f t="shared" si="5"/>
        <v>0.38688785287008098</v>
      </c>
    </row>
    <row r="58" spans="3:21" x14ac:dyDescent="0.25">
      <c r="F58" s="167" t="s">
        <v>84</v>
      </c>
      <c r="G58" s="167" t="s">
        <v>111</v>
      </c>
      <c r="H58" s="121"/>
      <c r="I58" s="121"/>
      <c r="J58" s="281"/>
      <c r="K58" s="284"/>
      <c r="L58" s="281"/>
      <c r="M58" s="281"/>
      <c r="N58" s="281"/>
      <c r="O58" s="281"/>
      <c r="P58" s="281"/>
      <c r="Q58" s="281"/>
      <c r="R58" s="281"/>
      <c r="S58" s="281"/>
    </row>
    <row r="59" spans="3:21" x14ac:dyDescent="0.25">
      <c r="F59" s="167" t="s">
        <v>54</v>
      </c>
      <c r="G59" s="167" t="s">
        <v>111</v>
      </c>
      <c r="H59" s="121"/>
      <c r="I59" s="121"/>
      <c r="J59" s="328">
        <f t="shared" si="3"/>
        <v>0.62682520824381915</v>
      </c>
      <c r="K59" s="284"/>
      <c r="L59" s="512">
        <v>0.58892347514778842</v>
      </c>
      <c r="M59" s="512">
        <v>0.59306344790860499</v>
      </c>
      <c r="N59" s="512">
        <v>0.59922986480798768</v>
      </c>
      <c r="O59" s="512">
        <v>0.62682520824381915</v>
      </c>
      <c r="P59" s="512">
        <f>O59</f>
        <v>0.62682520824381915</v>
      </c>
      <c r="Q59" s="512">
        <f t="shared" ref="Q59:S59" si="6">P59</f>
        <v>0.62682520824381915</v>
      </c>
      <c r="R59" s="512">
        <f t="shared" si="6"/>
        <v>0.62682520824381915</v>
      </c>
      <c r="S59" s="512">
        <f t="shared" si="6"/>
        <v>0.62682520824381915</v>
      </c>
    </row>
    <row r="60" spans="3:21" x14ac:dyDescent="0.25">
      <c r="F60" s="167" t="s">
        <v>55</v>
      </c>
      <c r="G60" s="167" t="s">
        <v>111</v>
      </c>
      <c r="H60" s="121"/>
      <c r="I60" s="121"/>
      <c r="J60" s="328">
        <f t="shared" si="3"/>
        <v>0.80226924245409836</v>
      </c>
      <c r="K60" s="284"/>
      <c r="L60" s="512">
        <v>0.62271456951012361</v>
      </c>
      <c r="M60" s="512">
        <v>0.69713775319753346</v>
      </c>
      <c r="N60" s="512">
        <v>0.7549064446972652</v>
      </c>
      <c r="O60" s="512">
        <v>0.80226924245409836</v>
      </c>
      <c r="P60" s="512">
        <f>O60</f>
        <v>0.80226924245409836</v>
      </c>
      <c r="Q60" s="512">
        <f t="shared" ref="Q60:S60" si="7">P60</f>
        <v>0.80226924245409836</v>
      </c>
      <c r="R60" s="512">
        <f t="shared" si="7"/>
        <v>0.80226924245409836</v>
      </c>
      <c r="S60" s="512">
        <f t="shared" si="7"/>
        <v>0.80226924245409836</v>
      </c>
    </row>
    <row r="61" spans="3:21" x14ac:dyDescent="0.25">
      <c r="F61" s="167" t="s">
        <v>85</v>
      </c>
      <c r="G61" s="167" t="s">
        <v>111</v>
      </c>
      <c r="H61" s="121"/>
      <c r="I61" s="121"/>
      <c r="J61" s="281"/>
      <c r="K61" s="284"/>
      <c r="L61" s="281"/>
      <c r="M61" s="281"/>
      <c r="N61" s="281"/>
      <c r="O61" s="281"/>
      <c r="P61" s="281"/>
      <c r="Q61" s="281"/>
      <c r="R61" s="281"/>
      <c r="S61" s="281"/>
    </row>
    <row r="62" spans="3:21" x14ac:dyDescent="0.25">
      <c r="F62" s="167" t="s">
        <v>56</v>
      </c>
      <c r="G62" s="167" t="s">
        <v>111</v>
      </c>
      <c r="H62" s="121"/>
      <c r="I62" s="121"/>
      <c r="J62" s="328">
        <f t="shared" si="3"/>
        <v>0.68099237873891327</v>
      </c>
      <c r="K62" s="284"/>
      <c r="L62" s="512">
        <v>0.78893746507557871</v>
      </c>
      <c r="M62" s="512">
        <v>0.79268922467657088</v>
      </c>
      <c r="N62" s="512">
        <v>0.69799982367737246</v>
      </c>
      <c r="O62" s="512">
        <v>0.68099237873891327</v>
      </c>
      <c r="P62" s="512">
        <f>O62</f>
        <v>0.68099237873891327</v>
      </c>
      <c r="Q62" s="512">
        <f t="shared" ref="Q62:S62" si="8">P62</f>
        <v>0.68099237873891327</v>
      </c>
      <c r="R62" s="512">
        <f t="shared" si="8"/>
        <v>0.68099237873891327</v>
      </c>
      <c r="S62" s="512">
        <f t="shared" si="8"/>
        <v>0.68099237873891327</v>
      </c>
    </row>
    <row r="63" spans="3:21" x14ac:dyDescent="0.25">
      <c r="F63" s="167" t="s">
        <v>57</v>
      </c>
      <c r="G63" s="167" t="s">
        <v>111</v>
      </c>
      <c r="H63" s="121"/>
      <c r="I63" s="121"/>
      <c r="J63" s="328">
        <f t="shared" si="3"/>
        <v>0.40438515076211767</v>
      </c>
      <c r="K63" s="284"/>
      <c r="L63" s="512">
        <v>0.73826786084934815</v>
      </c>
      <c r="M63" s="512">
        <v>0.61686654991515122</v>
      </c>
      <c r="N63" s="512">
        <v>0.37072299147434623</v>
      </c>
      <c r="O63" s="512">
        <v>0.40438515076211767</v>
      </c>
      <c r="P63" s="512">
        <f>O63</f>
        <v>0.40438515076211767</v>
      </c>
      <c r="Q63" s="512">
        <f t="shared" ref="Q63:S63" si="9">P63</f>
        <v>0.40438515076211767</v>
      </c>
      <c r="R63" s="512">
        <f t="shared" si="9"/>
        <v>0.40438515076211767</v>
      </c>
      <c r="S63" s="512">
        <f t="shared" si="9"/>
        <v>0.40438515076211767</v>
      </c>
    </row>
    <row r="64" spans="3:21" x14ac:dyDescent="0.25">
      <c r="F64" s="167" t="s">
        <v>72</v>
      </c>
      <c r="G64" s="167" t="s">
        <v>111</v>
      </c>
      <c r="H64" s="121"/>
      <c r="I64" s="121"/>
      <c r="J64" s="328">
        <f t="shared" si="3"/>
        <v>0.46488071245670731</v>
      </c>
      <c r="K64" s="284"/>
      <c r="L64" s="512">
        <v>0.62932552742651438</v>
      </c>
      <c r="M64" s="512">
        <v>0.60459032523942235</v>
      </c>
      <c r="N64" s="512">
        <v>0.59594916811804921</v>
      </c>
      <c r="O64" s="512">
        <v>0.46488071245670731</v>
      </c>
      <c r="P64" s="512">
        <f t="shared" ref="P64:S74" si="10">O64</f>
        <v>0.46488071245670731</v>
      </c>
      <c r="Q64" s="512">
        <f t="shared" si="10"/>
        <v>0.46488071245670731</v>
      </c>
      <c r="R64" s="512">
        <f t="shared" si="10"/>
        <v>0.46488071245670731</v>
      </c>
      <c r="S64" s="512">
        <f t="shared" si="10"/>
        <v>0.46488071245670731</v>
      </c>
    </row>
    <row r="65" spans="6:19" x14ac:dyDescent="0.25">
      <c r="F65" s="167" t="s">
        <v>58</v>
      </c>
      <c r="G65" s="167" t="s">
        <v>111</v>
      </c>
      <c r="H65" s="121"/>
      <c r="I65" s="121"/>
      <c r="J65" s="328">
        <f t="shared" si="3"/>
        <v>0.79784840200954121</v>
      </c>
      <c r="K65" s="284"/>
      <c r="L65" s="512">
        <v>0.90161485926808538</v>
      </c>
      <c r="M65" s="512">
        <v>0.90981214979937397</v>
      </c>
      <c r="N65" s="512">
        <v>0.89647149949764604</v>
      </c>
      <c r="O65" s="512">
        <v>0.79784840200954121</v>
      </c>
      <c r="P65" s="512">
        <f t="shared" si="10"/>
        <v>0.79784840200954121</v>
      </c>
      <c r="Q65" s="512">
        <f t="shared" si="10"/>
        <v>0.79784840200954121</v>
      </c>
      <c r="R65" s="512">
        <f t="shared" si="10"/>
        <v>0.79784840200954121</v>
      </c>
      <c r="S65" s="512">
        <f t="shared" si="10"/>
        <v>0.79784840200954121</v>
      </c>
    </row>
    <row r="66" spans="6:19" x14ac:dyDescent="0.25">
      <c r="F66" s="167" t="s">
        <v>59</v>
      </c>
      <c r="G66" s="167" t="s">
        <v>111</v>
      </c>
      <c r="H66" s="121"/>
      <c r="I66" s="121"/>
      <c r="J66" s="328">
        <f t="shared" si="3"/>
        <v>0.6412211220013907</v>
      </c>
      <c r="K66" s="284"/>
      <c r="L66" s="512">
        <v>0.58892347514778842</v>
      </c>
      <c r="M66" s="512">
        <v>0.59306344790860499</v>
      </c>
      <c r="N66" s="512">
        <v>0.56906959528753831</v>
      </c>
      <c r="O66" s="512">
        <v>0.6412211220013907</v>
      </c>
      <c r="P66" s="512">
        <f t="shared" si="10"/>
        <v>0.6412211220013907</v>
      </c>
      <c r="Q66" s="512">
        <f t="shared" si="10"/>
        <v>0.6412211220013907</v>
      </c>
      <c r="R66" s="512">
        <f t="shared" si="10"/>
        <v>0.6412211220013907</v>
      </c>
      <c r="S66" s="512">
        <f t="shared" si="10"/>
        <v>0.6412211220013907</v>
      </c>
    </row>
    <row r="67" spans="6:19" x14ac:dyDescent="0.25">
      <c r="F67" s="167" t="s">
        <v>60</v>
      </c>
      <c r="G67" s="167" t="s">
        <v>111</v>
      </c>
      <c r="H67" s="121"/>
      <c r="I67" s="121"/>
      <c r="J67" s="328">
        <f t="shared" si="3"/>
        <v>0.80684054580144293</v>
      </c>
      <c r="K67" s="284"/>
      <c r="L67" s="512">
        <v>0.81665463568551466</v>
      </c>
      <c r="M67" s="512">
        <v>0.81068261384999951</v>
      </c>
      <c r="N67" s="512">
        <v>0.7976640287439144</v>
      </c>
      <c r="O67" s="512">
        <v>0.80684054580144293</v>
      </c>
      <c r="P67" s="512">
        <f t="shared" si="10"/>
        <v>0.80684054580144293</v>
      </c>
      <c r="Q67" s="512">
        <f t="shared" si="10"/>
        <v>0.80684054580144293</v>
      </c>
      <c r="R67" s="512">
        <f t="shared" si="10"/>
        <v>0.80684054580144293</v>
      </c>
      <c r="S67" s="512">
        <f t="shared" si="10"/>
        <v>0.80684054580144293</v>
      </c>
    </row>
    <row r="68" spans="6:19" x14ac:dyDescent="0.25">
      <c r="F68" s="167" t="s">
        <v>61</v>
      </c>
      <c r="G68" s="167" t="s">
        <v>111</v>
      </c>
      <c r="H68" s="121"/>
      <c r="I68" s="121"/>
      <c r="J68" s="328">
        <f t="shared" si="3"/>
        <v>0.80993129436336686</v>
      </c>
      <c r="K68" s="284"/>
      <c r="L68" s="512">
        <v>0.65253339637953345</v>
      </c>
      <c r="M68" s="512">
        <v>0.69970397730765821</v>
      </c>
      <c r="N68" s="512">
        <v>0.77296678072323088</v>
      </c>
      <c r="O68" s="512">
        <v>0.80993129436336686</v>
      </c>
      <c r="P68" s="512">
        <f t="shared" si="10"/>
        <v>0.80993129436336686</v>
      </c>
      <c r="Q68" s="512">
        <f t="shared" si="10"/>
        <v>0.80993129436336686</v>
      </c>
      <c r="R68" s="512">
        <f t="shared" si="10"/>
        <v>0.80993129436336686</v>
      </c>
      <c r="S68" s="512">
        <f t="shared" si="10"/>
        <v>0.80993129436336686</v>
      </c>
    </row>
    <row r="69" spans="6:19" x14ac:dyDescent="0.25">
      <c r="F69" s="167" t="s">
        <v>73</v>
      </c>
      <c r="G69" s="167" t="s">
        <v>111</v>
      </c>
      <c r="H69" s="121"/>
      <c r="I69" s="121"/>
      <c r="J69" s="328">
        <f t="shared" si="3"/>
        <v>0.77886207792026685</v>
      </c>
      <c r="K69" s="284"/>
      <c r="L69" s="512">
        <v>0.80008780144075775</v>
      </c>
      <c r="M69" s="512">
        <v>0.78387090956963945</v>
      </c>
      <c r="N69" s="512">
        <v>0.77644043410941099</v>
      </c>
      <c r="O69" s="512">
        <v>0.77886207792026685</v>
      </c>
      <c r="P69" s="512">
        <f t="shared" si="10"/>
        <v>0.77886207792026685</v>
      </c>
      <c r="Q69" s="512">
        <f t="shared" si="10"/>
        <v>0.77886207792026685</v>
      </c>
      <c r="R69" s="512">
        <f t="shared" si="10"/>
        <v>0.77886207792026685</v>
      </c>
      <c r="S69" s="512">
        <f t="shared" si="10"/>
        <v>0.77886207792026685</v>
      </c>
    </row>
    <row r="70" spans="6:19" x14ac:dyDescent="0.25">
      <c r="F70" s="167" t="s">
        <v>86</v>
      </c>
      <c r="G70" s="167" t="s">
        <v>111</v>
      </c>
      <c r="H70" s="121"/>
      <c r="I70" s="121"/>
      <c r="J70" s="328">
        <f t="shared" si="3"/>
        <v>1</v>
      </c>
      <c r="K70" s="284"/>
      <c r="L70" s="512">
        <v>1</v>
      </c>
      <c r="M70" s="512">
        <v>1</v>
      </c>
      <c r="N70" s="512">
        <v>1</v>
      </c>
      <c r="O70" s="512">
        <v>1</v>
      </c>
      <c r="P70" s="512">
        <f t="shared" si="10"/>
        <v>1</v>
      </c>
      <c r="Q70" s="512">
        <f t="shared" si="10"/>
        <v>1</v>
      </c>
      <c r="R70" s="512">
        <f t="shared" si="10"/>
        <v>1</v>
      </c>
      <c r="S70" s="512">
        <f t="shared" si="10"/>
        <v>1</v>
      </c>
    </row>
    <row r="71" spans="6:19" x14ac:dyDescent="0.25">
      <c r="F71" s="167" t="s">
        <v>87</v>
      </c>
      <c r="G71" s="167" t="s">
        <v>111</v>
      </c>
      <c r="H71" s="121"/>
      <c r="I71" s="121"/>
      <c r="J71" s="328">
        <f t="shared" si="3"/>
        <v>0.83901666666666674</v>
      </c>
      <c r="K71" s="284"/>
      <c r="L71" s="512">
        <v>1</v>
      </c>
      <c r="M71" s="512">
        <v>1</v>
      </c>
      <c r="N71" s="512">
        <v>1</v>
      </c>
      <c r="O71" s="512">
        <v>0.83901666666666674</v>
      </c>
      <c r="P71" s="512">
        <f t="shared" si="10"/>
        <v>0.83901666666666674</v>
      </c>
      <c r="Q71" s="512">
        <f t="shared" si="10"/>
        <v>0.83901666666666674</v>
      </c>
      <c r="R71" s="512">
        <f t="shared" si="10"/>
        <v>0.83901666666666674</v>
      </c>
      <c r="S71" s="512">
        <f t="shared" si="10"/>
        <v>0.83901666666666674</v>
      </c>
    </row>
    <row r="72" spans="6:19" x14ac:dyDescent="0.25">
      <c r="F72" s="167" t="s">
        <v>88</v>
      </c>
      <c r="G72" s="167" t="s">
        <v>111</v>
      </c>
      <c r="H72" s="121"/>
      <c r="I72" s="121"/>
      <c r="J72" s="328">
        <f t="shared" si="3"/>
        <v>0.85290833333333327</v>
      </c>
      <c r="K72" s="284"/>
      <c r="L72" s="512">
        <v>1</v>
      </c>
      <c r="M72" s="512">
        <v>1</v>
      </c>
      <c r="N72" s="512">
        <v>1</v>
      </c>
      <c r="O72" s="512">
        <v>0.85290833333333327</v>
      </c>
      <c r="P72" s="512">
        <f t="shared" si="10"/>
        <v>0.85290833333333327</v>
      </c>
      <c r="Q72" s="512">
        <f t="shared" si="10"/>
        <v>0.85290833333333327</v>
      </c>
      <c r="R72" s="512">
        <f t="shared" si="10"/>
        <v>0.85290833333333327</v>
      </c>
      <c r="S72" s="512">
        <f t="shared" si="10"/>
        <v>0.85290833333333327</v>
      </c>
    </row>
    <row r="73" spans="6:19" x14ac:dyDescent="0.25">
      <c r="F73" s="167" t="s">
        <v>89</v>
      </c>
      <c r="G73" s="167" t="s">
        <v>111</v>
      </c>
      <c r="H73" s="121"/>
      <c r="I73" s="121"/>
      <c r="J73" s="328">
        <f t="shared" si="3"/>
        <v>0.27030833333333332</v>
      </c>
      <c r="K73" s="284"/>
      <c r="L73" s="512">
        <v>3.32E-2</v>
      </c>
      <c r="M73" s="512">
        <v>1.5033333333333334E-2</v>
      </c>
      <c r="N73" s="512">
        <v>6.6966666666666674E-2</v>
      </c>
      <c r="O73" s="512">
        <v>0.27030833333333332</v>
      </c>
      <c r="P73" s="512">
        <f t="shared" si="10"/>
        <v>0.27030833333333332</v>
      </c>
      <c r="Q73" s="512">
        <f t="shared" si="10"/>
        <v>0.27030833333333332</v>
      </c>
      <c r="R73" s="512">
        <f t="shared" si="10"/>
        <v>0.27030833333333332</v>
      </c>
      <c r="S73" s="512">
        <f t="shared" si="10"/>
        <v>0.27030833333333332</v>
      </c>
    </row>
    <row r="74" spans="6:19" x14ac:dyDescent="0.25">
      <c r="F74" s="167" t="s">
        <v>90</v>
      </c>
      <c r="G74" s="167" t="s">
        <v>111</v>
      </c>
      <c r="H74" s="121"/>
      <c r="I74" s="121"/>
      <c r="J74" s="328">
        <f t="shared" si="3"/>
        <v>0.79435807717844309</v>
      </c>
      <c r="K74" s="284"/>
      <c r="L74" s="512">
        <v>0.9486648229430904</v>
      </c>
      <c r="M74" s="512">
        <v>0.91213124406909285</v>
      </c>
      <c r="N74" s="512">
        <v>0.90176936195708057</v>
      </c>
      <c r="O74" s="512">
        <v>0.79435807717844309</v>
      </c>
      <c r="P74" s="512">
        <f t="shared" si="10"/>
        <v>0.79435807717844309</v>
      </c>
      <c r="Q74" s="512">
        <f t="shared" si="10"/>
        <v>0.79435807717844309</v>
      </c>
      <c r="R74" s="512">
        <f t="shared" si="10"/>
        <v>0.79435807717844309</v>
      </c>
      <c r="S74" s="512">
        <f t="shared" si="10"/>
        <v>0.79435807717844309</v>
      </c>
    </row>
    <row r="75" spans="6:19" x14ac:dyDescent="0.25">
      <c r="F75" s="167" t="s">
        <v>62</v>
      </c>
      <c r="G75" s="167" t="s">
        <v>111</v>
      </c>
      <c r="H75" s="121"/>
      <c r="I75" s="121"/>
      <c r="J75" s="281"/>
      <c r="K75" s="121"/>
      <c r="L75" s="281"/>
      <c r="M75" s="281"/>
      <c r="N75" s="281"/>
      <c r="O75" s="281"/>
      <c r="P75" s="281"/>
      <c r="Q75" s="281"/>
      <c r="R75" s="281"/>
      <c r="S75" s="281"/>
    </row>
    <row r="76" spans="6:19" x14ac:dyDescent="0.25">
      <c r="F76" s="167" t="s">
        <v>63</v>
      </c>
      <c r="G76" s="167" t="s">
        <v>111</v>
      </c>
      <c r="H76" s="121"/>
      <c r="I76" s="121"/>
      <c r="J76" s="281"/>
      <c r="K76" s="121"/>
      <c r="L76" s="281"/>
      <c r="M76" s="281"/>
      <c r="N76" s="281"/>
      <c r="O76" s="281"/>
      <c r="P76" s="281"/>
      <c r="Q76" s="281"/>
      <c r="R76" s="281"/>
      <c r="S76" s="281"/>
    </row>
    <row r="77" spans="6:19" x14ac:dyDescent="0.25">
      <c r="F77" s="167" t="s">
        <v>64</v>
      </c>
      <c r="G77" s="167" t="s">
        <v>111</v>
      </c>
      <c r="H77" s="121"/>
      <c r="I77" s="121"/>
      <c r="J77" s="281"/>
      <c r="K77" s="121"/>
      <c r="L77" s="281"/>
      <c r="M77" s="281"/>
      <c r="N77" s="281"/>
      <c r="O77" s="281"/>
      <c r="P77" s="281"/>
      <c r="Q77" s="281"/>
      <c r="R77" s="281"/>
      <c r="S77" s="281"/>
    </row>
    <row r="78" spans="6:19" x14ac:dyDescent="0.25">
      <c r="F78" s="167" t="s">
        <v>65</v>
      </c>
      <c r="G78" s="167" t="s">
        <v>111</v>
      </c>
      <c r="H78" s="121"/>
      <c r="I78" s="121"/>
      <c r="J78" s="281"/>
      <c r="K78" s="121"/>
      <c r="L78" s="281"/>
      <c r="M78" s="281"/>
      <c r="N78" s="281"/>
      <c r="O78" s="281"/>
      <c r="P78" s="281"/>
      <c r="Q78" s="281"/>
      <c r="R78" s="281"/>
      <c r="S78" s="281"/>
    </row>
    <row r="79" spans="6:19" x14ac:dyDescent="0.25">
      <c r="F79" s="167" t="s">
        <v>66</v>
      </c>
      <c r="G79" s="167" t="s">
        <v>111</v>
      </c>
      <c r="H79" s="121"/>
      <c r="I79" s="121"/>
      <c r="J79" s="281"/>
      <c r="K79" s="121"/>
      <c r="L79" s="281"/>
      <c r="M79" s="281"/>
      <c r="N79" s="281"/>
      <c r="O79" s="281"/>
      <c r="P79" s="281"/>
      <c r="Q79" s="281"/>
      <c r="R79" s="281"/>
      <c r="S79" s="281"/>
    </row>
    <row r="80" spans="6:19" x14ac:dyDescent="0.25">
      <c r="F80" s="167" t="s">
        <v>67</v>
      </c>
      <c r="G80" s="167" t="s">
        <v>111</v>
      </c>
      <c r="H80" s="121"/>
      <c r="I80" s="121"/>
      <c r="J80" s="281"/>
      <c r="K80" s="121"/>
      <c r="L80" s="281"/>
      <c r="M80" s="281"/>
      <c r="N80" s="281"/>
      <c r="O80" s="281"/>
      <c r="P80" s="281"/>
      <c r="Q80" s="281"/>
      <c r="R80" s="281"/>
      <c r="S80" s="281"/>
    </row>
    <row r="81" spans="2:21" x14ac:dyDescent="0.25">
      <c r="F81" s="167" t="s">
        <v>68</v>
      </c>
      <c r="G81" s="167" t="s">
        <v>111</v>
      </c>
      <c r="H81" s="121"/>
      <c r="I81" s="121"/>
      <c r="J81" s="281"/>
      <c r="K81" s="121"/>
      <c r="L81" s="281"/>
      <c r="M81" s="281"/>
      <c r="N81" s="281"/>
      <c r="O81" s="281"/>
      <c r="P81" s="281"/>
      <c r="Q81" s="281"/>
      <c r="R81" s="281"/>
      <c r="S81" s="281"/>
    </row>
    <row r="82" spans="2:21" x14ac:dyDescent="0.25">
      <c r="F82" s="167" t="s">
        <v>69</v>
      </c>
      <c r="G82" s="167" t="s">
        <v>111</v>
      </c>
      <c r="H82" s="121"/>
      <c r="I82" s="121"/>
      <c r="J82" s="281"/>
      <c r="K82" s="121"/>
      <c r="L82" s="281"/>
      <c r="M82" s="281"/>
      <c r="N82" s="281"/>
      <c r="O82" s="281"/>
      <c r="P82" s="281"/>
      <c r="Q82" s="281"/>
      <c r="R82" s="281"/>
      <c r="S82" s="281"/>
    </row>
    <row r="83" spans="2:21" x14ac:dyDescent="0.25">
      <c r="F83" s="167" t="s">
        <v>70</v>
      </c>
      <c r="G83" s="167" t="s">
        <v>111</v>
      </c>
      <c r="H83" s="121"/>
      <c r="I83" s="121"/>
      <c r="J83" s="281"/>
      <c r="K83" s="121"/>
      <c r="L83" s="281"/>
      <c r="M83" s="281"/>
      <c r="N83" s="281"/>
      <c r="O83" s="281"/>
      <c r="P83" s="281"/>
      <c r="Q83" s="281"/>
      <c r="R83" s="281"/>
      <c r="S83" s="281"/>
    </row>
    <row r="84" spans="2:21" x14ac:dyDescent="0.25">
      <c r="F84" s="167" t="s">
        <v>71</v>
      </c>
      <c r="G84" s="167" t="s">
        <v>111</v>
      </c>
      <c r="H84" s="121"/>
      <c r="I84" s="121"/>
      <c r="J84" s="281"/>
      <c r="K84" s="121"/>
      <c r="L84" s="281"/>
      <c r="M84" s="281"/>
      <c r="N84" s="281"/>
      <c r="O84" s="281"/>
      <c r="P84" s="281"/>
      <c r="Q84" s="281"/>
      <c r="R84" s="281"/>
      <c r="S84" s="281"/>
    </row>
    <row r="85" spans="2:21" x14ac:dyDescent="0.25">
      <c r="F85" s="167" t="s">
        <v>74</v>
      </c>
      <c r="G85" s="167" t="s">
        <v>111</v>
      </c>
      <c r="H85" s="121"/>
      <c r="I85" s="121"/>
      <c r="J85" s="281"/>
      <c r="K85" s="121"/>
      <c r="L85" s="281"/>
      <c r="M85" s="281"/>
      <c r="N85" s="281"/>
      <c r="O85" s="281"/>
      <c r="P85" s="281"/>
      <c r="Q85" s="281"/>
      <c r="R85" s="281"/>
      <c r="S85" s="281"/>
    </row>
    <row r="86" spans="2:21" x14ac:dyDescent="0.25">
      <c r="F86" s="167" t="s">
        <v>75</v>
      </c>
      <c r="G86" s="167" t="s">
        <v>111</v>
      </c>
      <c r="H86" s="121"/>
      <c r="I86" s="121"/>
      <c r="J86" s="281"/>
      <c r="K86" s="121"/>
      <c r="L86" s="281"/>
      <c r="M86" s="281"/>
      <c r="N86" s="281"/>
      <c r="O86" s="281"/>
      <c r="P86" s="281"/>
      <c r="Q86" s="281"/>
      <c r="R86" s="281"/>
      <c r="S86" s="281"/>
    </row>
    <row r="87" spans="2:21" x14ac:dyDescent="0.25">
      <c r="F87" s="167" t="s">
        <v>76</v>
      </c>
      <c r="G87" s="167" t="s">
        <v>111</v>
      </c>
      <c r="H87" s="121"/>
      <c r="I87" s="121"/>
      <c r="J87" s="281"/>
      <c r="K87" s="121"/>
      <c r="L87" s="281"/>
      <c r="M87" s="281"/>
      <c r="N87" s="281"/>
      <c r="O87" s="281"/>
      <c r="P87" s="281"/>
      <c r="Q87" s="281"/>
      <c r="R87" s="281"/>
      <c r="S87" s="281"/>
    </row>
    <row r="88" spans="2:21" x14ac:dyDescent="0.25">
      <c r="F88" s="168" t="s">
        <v>77</v>
      </c>
      <c r="G88" s="168" t="s">
        <v>111</v>
      </c>
      <c r="H88" s="262"/>
      <c r="I88" s="262"/>
      <c r="J88" s="282"/>
      <c r="K88" s="262"/>
      <c r="L88" s="282"/>
      <c r="M88" s="282"/>
      <c r="N88" s="282"/>
      <c r="O88" s="282"/>
      <c r="P88" s="282"/>
      <c r="Q88" s="282"/>
      <c r="R88" s="282"/>
      <c r="S88" s="282"/>
    </row>
    <row r="89" spans="2:21" x14ac:dyDescent="0.25">
      <c r="J89" s="338"/>
      <c r="K89" s="338"/>
      <c r="L89" s="338"/>
      <c r="M89" s="338"/>
      <c r="N89" s="338"/>
      <c r="O89" s="338"/>
      <c r="P89" s="338"/>
      <c r="Q89" s="338"/>
      <c r="R89" s="338"/>
      <c r="S89" s="338"/>
    </row>
    <row r="90" spans="2:21" x14ac:dyDescent="0.25">
      <c r="B90" s="171" t="s">
        <v>857</v>
      </c>
      <c r="C90" s="171"/>
      <c r="D90" s="171"/>
      <c r="E90" s="171"/>
      <c r="F90" s="171"/>
      <c r="G90" s="171"/>
      <c r="H90" s="171"/>
      <c r="I90" s="278"/>
      <c r="J90" s="171"/>
      <c r="K90" s="171"/>
      <c r="L90" s="171"/>
      <c r="M90" s="171"/>
      <c r="N90" s="171"/>
      <c r="O90" s="171"/>
      <c r="P90" s="171"/>
      <c r="Q90" s="171"/>
      <c r="R90" s="171"/>
      <c r="S90" s="171"/>
      <c r="T90" s="171"/>
      <c r="U90" s="171"/>
    </row>
    <row r="91" spans="2:21" x14ac:dyDescent="0.25">
      <c r="J91" s="338"/>
      <c r="K91" s="338"/>
      <c r="L91" s="338"/>
      <c r="M91" s="338"/>
      <c r="N91" s="338"/>
      <c r="O91" s="338"/>
      <c r="P91" s="338"/>
      <c r="Q91" s="338"/>
      <c r="R91" s="338"/>
      <c r="S91" s="338"/>
    </row>
    <row r="92" spans="2:21" x14ac:dyDescent="0.25">
      <c r="C92" s="22" t="str">
        <f ca="1">INDEX('Version control'!$H$34:$H$59,MATCH($A$1,'Version control'!$F$34:$F$59,0),1)&amp;"-C: All-the-way volumes"</f>
        <v>Input 501-C: All-the-way volumes</v>
      </c>
      <c r="D92" s="22"/>
      <c r="E92" s="22"/>
      <c r="F92" s="22"/>
      <c r="G92" s="22"/>
      <c r="H92" s="22"/>
      <c r="I92" s="296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</row>
    <row r="93" spans="2:21" x14ac:dyDescent="0.25">
      <c r="C93" s="172"/>
      <c r="I93" s="200" t="s">
        <v>525</v>
      </c>
      <c r="J93" s="338"/>
      <c r="K93" s="338"/>
      <c r="L93" s="338"/>
      <c r="M93" s="338"/>
      <c r="N93" s="338"/>
      <c r="O93" s="338"/>
      <c r="P93" s="338"/>
      <c r="Q93" s="338"/>
      <c r="R93" s="338"/>
      <c r="S93" s="338"/>
      <c r="U93" s="160" t="s">
        <v>939</v>
      </c>
    </row>
    <row r="94" spans="2:21" x14ac:dyDescent="0.25">
      <c r="E94" s="261" t="s">
        <v>327</v>
      </c>
      <c r="J94" s="338"/>
      <c r="K94" s="338"/>
      <c r="L94" s="338"/>
      <c r="M94" s="338"/>
      <c r="N94" s="338"/>
      <c r="O94" s="338"/>
      <c r="P94" s="338"/>
      <c r="Q94" s="338"/>
      <c r="R94" s="338"/>
      <c r="S94" s="338"/>
    </row>
    <row r="95" spans="2:21" x14ac:dyDescent="0.25">
      <c r="F95" s="166" t="s">
        <v>52</v>
      </c>
      <c r="G95" s="166" t="s">
        <v>137</v>
      </c>
      <c r="H95" s="166" t="s">
        <v>162</v>
      </c>
      <c r="I95" s="201"/>
      <c r="J95" s="395">
        <f t="shared" ref="J95:J127" si="11">CHOOSE(year_selection, L95,M95,N95,O95,P95,Q95,R95,S95)</f>
        <v>9531037.1113550775</v>
      </c>
      <c r="K95" s="396"/>
      <c r="L95" s="520">
        <v>9437332.0252435058</v>
      </c>
      <c r="M95" s="520">
        <v>9472874.1098939907</v>
      </c>
      <c r="N95" s="520">
        <v>9534422.7797919344</v>
      </c>
      <c r="O95" s="520">
        <v>9531037.1113550775</v>
      </c>
      <c r="P95" s="520">
        <v>9561149.0484523419</v>
      </c>
      <c r="Q95" s="520">
        <v>9586046.1559269577</v>
      </c>
      <c r="R95" s="520">
        <v>9609520.4508183673</v>
      </c>
      <c r="S95" s="520">
        <v>9632994.7457097769</v>
      </c>
    </row>
    <row r="96" spans="2:21" x14ac:dyDescent="0.25">
      <c r="F96" s="167" t="s">
        <v>53</v>
      </c>
      <c r="G96" s="167" t="s">
        <v>137</v>
      </c>
      <c r="H96" s="167" t="s">
        <v>162</v>
      </c>
      <c r="I96" s="121"/>
      <c r="J96" s="397">
        <f t="shared" si="11"/>
        <v>829359.55798209063</v>
      </c>
      <c r="K96" s="398"/>
      <c r="L96" s="521">
        <v>879111.76579216961</v>
      </c>
      <c r="M96" s="521">
        <v>904310.51098694152</v>
      </c>
      <c r="N96" s="521">
        <v>813799.06739226426</v>
      </c>
      <c r="O96" s="521">
        <v>829359.55798209063</v>
      </c>
      <c r="P96" s="521">
        <v>832085.34099510068</v>
      </c>
      <c r="Q96" s="521">
        <v>834218.55554168951</v>
      </c>
      <c r="R96" s="521">
        <v>836087.74857302208</v>
      </c>
      <c r="S96" s="521">
        <v>837956.94160435465</v>
      </c>
    </row>
    <row r="97" spans="6:19" x14ac:dyDescent="0.25">
      <c r="F97" s="167" t="s">
        <v>84</v>
      </c>
      <c r="G97" s="167" t="s">
        <v>137</v>
      </c>
      <c r="H97" s="167" t="s">
        <v>162</v>
      </c>
      <c r="I97" s="121"/>
      <c r="J97" s="397">
        <f t="shared" si="11"/>
        <v>198584.80851954999</v>
      </c>
      <c r="K97" s="398"/>
      <c r="L97" s="521">
        <v>227544.91698580148</v>
      </c>
      <c r="M97" s="521">
        <v>225709.95971929707</v>
      </c>
      <c r="N97" s="521">
        <v>220377.53817314186</v>
      </c>
      <c r="O97" s="521">
        <v>198584.80851954999</v>
      </c>
      <c r="P97" s="521">
        <v>187243.21574433037</v>
      </c>
      <c r="Q97" s="521">
        <v>176194.72506827227</v>
      </c>
      <c r="R97" s="521">
        <v>165332.56180714461</v>
      </c>
      <c r="S97" s="521">
        <v>154470.39854601692</v>
      </c>
    </row>
    <row r="98" spans="6:19" x14ac:dyDescent="0.25">
      <c r="F98" s="167" t="s">
        <v>54</v>
      </c>
      <c r="G98" s="167" t="s">
        <v>137</v>
      </c>
      <c r="H98" s="167" t="s">
        <v>162</v>
      </c>
      <c r="I98" s="121"/>
      <c r="J98" s="397">
        <f t="shared" si="11"/>
        <v>2689300.0489968094</v>
      </c>
      <c r="K98" s="398"/>
      <c r="L98" s="521">
        <v>2653390.5537802223</v>
      </c>
      <c r="M98" s="521">
        <v>2613601.0049846172</v>
      </c>
      <c r="N98" s="521">
        <v>2692778.6562445299</v>
      </c>
      <c r="O98" s="521">
        <v>2689300.0489968094</v>
      </c>
      <c r="P98" s="521">
        <v>2695996.5698121912</v>
      </c>
      <c r="Q98" s="521">
        <v>2701634.8840919752</v>
      </c>
      <c r="R98" s="521">
        <v>2706789.760915115</v>
      </c>
      <c r="S98" s="521">
        <v>2711944.6377382553</v>
      </c>
    </row>
    <row r="99" spans="6:19" x14ac:dyDescent="0.25">
      <c r="F99" s="167" t="s">
        <v>55</v>
      </c>
      <c r="G99" s="167" t="s">
        <v>137</v>
      </c>
      <c r="H99" s="167" t="s">
        <v>162</v>
      </c>
      <c r="I99" s="121"/>
      <c r="J99" s="397">
        <f t="shared" si="11"/>
        <v>446135.31452730647</v>
      </c>
      <c r="K99" s="398"/>
      <c r="L99" s="521">
        <v>468395.57285856095</v>
      </c>
      <c r="M99" s="521">
        <v>457514.91376297874</v>
      </c>
      <c r="N99" s="521">
        <v>459571.23903795867</v>
      </c>
      <c r="O99" s="521">
        <v>446135.31452730647</v>
      </c>
      <c r="P99" s="521">
        <v>443402.29730546504</v>
      </c>
      <c r="Q99" s="521">
        <v>440374.60718620045</v>
      </c>
      <c r="R99" s="521">
        <v>437201.13522809959</v>
      </c>
      <c r="S99" s="521">
        <v>434027.66326999874</v>
      </c>
    </row>
    <row r="100" spans="6:19" x14ac:dyDescent="0.25">
      <c r="F100" s="167" t="s">
        <v>85</v>
      </c>
      <c r="G100" s="167" t="s">
        <v>137</v>
      </c>
      <c r="H100" s="167" t="s">
        <v>162</v>
      </c>
      <c r="I100" s="121"/>
      <c r="J100" s="397">
        <f t="shared" si="11"/>
        <v>42294.937322173275</v>
      </c>
      <c r="K100" s="398"/>
      <c r="L100" s="521">
        <v>39808.919836257905</v>
      </c>
      <c r="M100" s="521">
        <v>39771.350341226338</v>
      </c>
      <c r="N100" s="521">
        <v>41969.962568060691</v>
      </c>
      <c r="O100" s="521">
        <v>42294.937322173275</v>
      </c>
      <c r="P100" s="521">
        <v>41145.588863785633</v>
      </c>
      <c r="Q100" s="521">
        <v>40048.373828010474</v>
      </c>
      <c r="R100" s="521">
        <v>38966.289956791996</v>
      </c>
      <c r="S100" s="521">
        <v>37884.206085573518</v>
      </c>
    </row>
    <row r="101" spans="6:19" x14ac:dyDescent="0.25">
      <c r="F101" s="167" t="s">
        <v>56</v>
      </c>
      <c r="G101" s="167" t="s">
        <v>137</v>
      </c>
      <c r="H101" s="167" t="s">
        <v>162</v>
      </c>
      <c r="I101" s="121"/>
      <c r="J101" s="397">
        <f t="shared" si="11"/>
        <v>103112.00714729202</v>
      </c>
      <c r="K101" s="398"/>
      <c r="L101" s="521">
        <v>229377.02145935225</v>
      </c>
      <c r="M101" s="521">
        <v>247.86042633190178</v>
      </c>
      <c r="N101" s="521">
        <v>55942.146723885853</v>
      </c>
      <c r="O101" s="521">
        <v>103112.00714729202</v>
      </c>
      <c r="P101" s="521">
        <v>94102.224571123574</v>
      </c>
      <c r="Q101" s="521">
        <v>85315.928818603526</v>
      </c>
      <c r="R101" s="521">
        <v>76525.018777705656</v>
      </c>
      <c r="S101" s="521">
        <v>67734.108736807786</v>
      </c>
    </row>
    <row r="102" spans="6:19" x14ac:dyDescent="0.25">
      <c r="F102" s="167" t="s">
        <v>57</v>
      </c>
      <c r="G102" s="167" t="s">
        <v>137</v>
      </c>
      <c r="H102" s="167" t="s">
        <v>162</v>
      </c>
      <c r="I102" s="121"/>
      <c r="J102" s="397">
        <f t="shared" si="11"/>
        <v>0</v>
      </c>
      <c r="K102" s="398"/>
      <c r="L102" s="521">
        <v>0</v>
      </c>
      <c r="M102" s="521">
        <v>247.86042633190178</v>
      </c>
      <c r="N102" s="521">
        <v>0</v>
      </c>
      <c r="O102" s="521">
        <v>0</v>
      </c>
      <c r="P102" s="521">
        <v>0</v>
      </c>
      <c r="Q102" s="521">
        <v>0</v>
      </c>
      <c r="R102" s="521">
        <v>0</v>
      </c>
      <c r="S102" s="521">
        <v>0</v>
      </c>
    </row>
    <row r="103" spans="6:19" x14ac:dyDescent="0.25">
      <c r="F103" s="167" t="s">
        <v>72</v>
      </c>
      <c r="G103" s="167" t="s">
        <v>137</v>
      </c>
      <c r="H103" s="167" t="s">
        <v>162</v>
      </c>
      <c r="I103" s="121"/>
      <c r="J103" s="397">
        <f t="shared" si="11"/>
        <v>282.01794456199212</v>
      </c>
      <c r="K103" s="398"/>
      <c r="L103" s="521">
        <v>584.46844124595623</v>
      </c>
      <c r="M103" s="521">
        <v>68.605626352744665</v>
      </c>
      <c r="N103" s="521">
        <v>628.22966696102503</v>
      </c>
      <c r="O103" s="521">
        <v>282.01794456199212</v>
      </c>
      <c r="P103" s="521">
        <v>283.02703187812818</v>
      </c>
      <c r="Q103" s="521">
        <v>283.40968911554216</v>
      </c>
      <c r="R103" s="521">
        <v>283.50701012535251</v>
      </c>
      <c r="S103" s="521">
        <v>283.60433113516285</v>
      </c>
    </row>
    <row r="104" spans="6:19" x14ac:dyDescent="0.25">
      <c r="F104" s="167" t="s">
        <v>58</v>
      </c>
      <c r="G104" s="167" t="s">
        <v>137</v>
      </c>
      <c r="H104" s="167" t="s">
        <v>162</v>
      </c>
      <c r="I104" s="121"/>
      <c r="J104" s="397">
        <f t="shared" si="11"/>
        <v>7860.2223380748837</v>
      </c>
      <c r="K104" s="398"/>
      <c r="L104" s="521">
        <v>0</v>
      </c>
      <c r="M104" s="521">
        <v>0.53416511862464788</v>
      </c>
      <c r="N104" s="521">
        <v>106.79638398564644</v>
      </c>
      <c r="O104" s="521">
        <v>7860.2223380748837</v>
      </c>
      <c r="P104" s="521">
        <v>8829.6291287617332</v>
      </c>
      <c r="Q104" s="521">
        <v>9799.0359194485809</v>
      </c>
      <c r="R104" s="521">
        <v>10768.442710135427</v>
      </c>
      <c r="S104" s="521">
        <v>11737.849500822271</v>
      </c>
    </row>
    <row r="105" spans="6:19" x14ac:dyDescent="0.25">
      <c r="F105" s="167" t="s">
        <v>59</v>
      </c>
      <c r="G105" s="167" t="s">
        <v>137</v>
      </c>
      <c r="H105" s="167" t="s">
        <v>162</v>
      </c>
      <c r="I105" s="121"/>
      <c r="J105" s="397">
        <f t="shared" si="11"/>
        <v>31138.137808719577</v>
      </c>
      <c r="K105" s="398"/>
      <c r="L105" s="521">
        <v>33251.172521174391</v>
      </c>
      <c r="M105" s="521">
        <v>33940.736777448765</v>
      </c>
      <c r="N105" s="521">
        <v>33747.878402594441</v>
      </c>
      <c r="O105" s="521">
        <v>31138.137808719577</v>
      </c>
      <c r="P105" s="521">
        <v>31827.336955318413</v>
      </c>
      <c r="Q105" s="521">
        <v>32414.132278468409</v>
      </c>
      <c r="R105" s="521">
        <v>32969.330742299673</v>
      </c>
      <c r="S105" s="521">
        <v>33524.529206130945</v>
      </c>
    </row>
    <row r="106" spans="6:19" x14ac:dyDescent="0.25">
      <c r="F106" s="167" t="s">
        <v>60</v>
      </c>
      <c r="G106" s="167" t="s">
        <v>137</v>
      </c>
      <c r="H106" s="167" t="s">
        <v>162</v>
      </c>
      <c r="I106" s="121"/>
      <c r="J106" s="397">
        <f t="shared" si="11"/>
        <v>620967.59047240799</v>
      </c>
      <c r="K106" s="398"/>
      <c r="L106" s="521">
        <v>622305.7082902476</v>
      </c>
      <c r="M106" s="521">
        <v>616176.01243384974</v>
      </c>
      <c r="N106" s="521">
        <v>633006.31983333908</v>
      </c>
      <c r="O106" s="521">
        <v>620967.59047240799</v>
      </c>
      <c r="P106" s="521">
        <v>630308.05898447649</v>
      </c>
      <c r="Q106" s="521">
        <v>641294.15541460295</v>
      </c>
      <c r="R106" s="521">
        <v>652959.45373211533</v>
      </c>
      <c r="S106" s="521">
        <v>664624.75204962771</v>
      </c>
    </row>
    <row r="107" spans="6:19" x14ac:dyDescent="0.25">
      <c r="F107" s="167" t="s">
        <v>61</v>
      </c>
      <c r="G107" s="167" t="s">
        <v>137</v>
      </c>
      <c r="H107" s="167" t="s">
        <v>162</v>
      </c>
      <c r="I107" s="121"/>
      <c r="J107" s="397">
        <f t="shared" si="11"/>
        <v>32405.101745710148</v>
      </c>
      <c r="K107" s="398"/>
      <c r="L107" s="521">
        <v>14645.453737368714</v>
      </c>
      <c r="M107" s="521">
        <v>16880.829364694469</v>
      </c>
      <c r="N107" s="521">
        <v>31399.604423691329</v>
      </c>
      <c r="O107" s="521">
        <v>32405.101745710148</v>
      </c>
      <c r="P107" s="521">
        <v>33941.637633437051</v>
      </c>
      <c r="Q107" s="521">
        <v>35444.579643674537</v>
      </c>
      <c r="R107" s="521">
        <v>36929.540580794877</v>
      </c>
      <c r="S107" s="521">
        <v>38414.501517915218</v>
      </c>
    </row>
    <row r="108" spans="6:19" x14ac:dyDescent="0.25">
      <c r="F108" s="167" t="s">
        <v>73</v>
      </c>
      <c r="G108" s="167" t="s">
        <v>137</v>
      </c>
      <c r="H108" s="167" t="s">
        <v>162</v>
      </c>
      <c r="I108" s="121"/>
      <c r="J108" s="397">
        <f t="shared" si="11"/>
        <v>451823.76166343415</v>
      </c>
      <c r="K108" s="398"/>
      <c r="L108" s="521">
        <v>460971.24223363993</v>
      </c>
      <c r="M108" s="521">
        <v>455460.22610605025</v>
      </c>
      <c r="N108" s="521">
        <v>463544.74543012498</v>
      </c>
      <c r="O108" s="521">
        <v>451823.76166343415</v>
      </c>
      <c r="P108" s="521">
        <v>449242.40932600148</v>
      </c>
      <c r="Q108" s="521">
        <v>446040.23311529559</v>
      </c>
      <c r="R108" s="521">
        <v>442426.10046044196</v>
      </c>
      <c r="S108" s="521">
        <v>438811.96780558833</v>
      </c>
    </row>
    <row r="109" spans="6:19" x14ac:dyDescent="0.25">
      <c r="F109" s="167" t="s">
        <v>86</v>
      </c>
      <c r="G109" s="167" t="s">
        <v>137</v>
      </c>
      <c r="H109" s="167" t="s">
        <v>162</v>
      </c>
      <c r="I109" s="121"/>
      <c r="J109" s="397">
        <f t="shared" si="11"/>
        <v>24506.465925337929</v>
      </c>
      <c r="K109" s="398"/>
      <c r="L109" s="521">
        <v>44903.203998274315</v>
      </c>
      <c r="M109" s="521">
        <v>30446.881794482415</v>
      </c>
      <c r="N109" s="521">
        <v>23567.00628173236</v>
      </c>
      <c r="O109" s="521">
        <v>24506.465925337929</v>
      </c>
      <c r="P109" s="521">
        <v>24527.539085134395</v>
      </c>
      <c r="Q109" s="521">
        <v>24535.530263878143</v>
      </c>
      <c r="R109" s="521">
        <v>24537.56265607899</v>
      </c>
      <c r="S109" s="521">
        <v>24539.595048279836</v>
      </c>
    </row>
    <row r="110" spans="6:19" x14ac:dyDescent="0.25">
      <c r="F110" s="167" t="s">
        <v>87</v>
      </c>
      <c r="G110" s="167" t="s">
        <v>137</v>
      </c>
      <c r="H110" s="167" t="s">
        <v>162</v>
      </c>
      <c r="I110" s="121"/>
      <c r="J110" s="397">
        <f t="shared" si="11"/>
        <v>15376.103638428405</v>
      </c>
      <c r="K110" s="398"/>
      <c r="L110" s="521">
        <v>14751.065832482667</v>
      </c>
      <c r="M110" s="521">
        <v>13538.197202131547</v>
      </c>
      <c r="N110" s="521">
        <v>16583.588065630618</v>
      </c>
      <c r="O110" s="521">
        <v>15376.103638428405</v>
      </c>
      <c r="P110" s="521">
        <v>15389.048150946119</v>
      </c>
      <c r="Q110" s="521">
        <v>15393.956855396651</v>
      </c>
      <c r="R110" s="521">
        <v>15395.205283564937</v>
      </c>
      <c r="S110" s="521">
        <v>15396.453711733224</v>
      </c>
    </row>
    <row r="111" spans="6:19" x14ac:dyDescent="0.25">
      <c r="F111" s="167" t="s">
        <v>88</v>
      </c>
      <c r="G111" s="167" t="s">
        <v>137</v>
      </c>
      <c r="H111" s="167" t="s">
        <v>162</v>
      </c>
      <c r="I111" s="121"/>
      <c r="J111" s="397">
        <f t="shared" si="11"/>
        <v>714.0158417184947</v>
      </c>
      <c r="K111" s="398"/>
      <c r="L111" s="521">
        <v>1029.0356373483182</v>
      </c>
      <c r="M111" s="521">
        <v>970.70019173413152</v>
      </c>
      <c r="N111" s="521">
        <v>925.78771124401953</v>
      </c>
      <c r="O111" s="521">
        <v>714.0158417184947</v>
      </c>
      <c r="P111" s="521">
        <v>715.37561543302195</v>
      </c>
      <c r="Q111" s="521">
        <v>715.89125688920626</v>
      </c>
      <c r="R111" s="521">
        <v>716.02239970400035</v>
      </c>
      <c r="S111" s="521">
        <v>716.15354251879444</v>
      </c>
    </row>
    <row r="112" spans="6:19" x14ac:dyDescent="0.25">
      <c r="F112" s="167" t="s">
        <v>89</v>
      </c>
      <c r="G112" s="167" t="s">
        <v>137</v>
      </c>
      <c r="H112" s="167" t="s">
        <v>162</v>
      </c>
      <c r="I112" s="121"/>
      <c r="J112" s="397">
        <f t="shared" si="11"/>
        <v>149.6510564463434</v>
      </c>
      <c r="K112" s="398"/>
      <c r="L112" s="521">
        <v>779.23392189591777</v>
      </c>
      <c r="M112" s="521">
        <v>475.31384951095112</v>
      </c>
      <c r="N112" s="521">
        <v>132.46544803526476</v>
      </c>
      <c r="O112" s="521">
        <v>149.6510564463434</v>
      </c>
      <c r="P112" s="521">
        <v>149.74104147156947</v>
      </c>
      <c r="Q112" s="521">
        <v>149.77516480322868</v>
      </c>
      <c r="R112" s="521">
        <v>149.78384337185474</v>
      </c>
      <c r="S112" s="521">
        <v>149.79252194048081</v>
      </c>
    </row>
    <row r="113" spans="6:19" x14ac:dyDescent="0.25">
      <c r="F113" s="167" t="s">
        <v>90</v>
      </c>
      <c r="G113" s="167" t="s">
        <v>137</v>
      </c>
      <c r="H113" s="167" t="s">
        <v>162</v>
      </c>
      <c r="I113" s="121"/>
      <c r="J113" s="397">
        <f t="shared" si="11"/>
        <v>11658.410074193856</v>
      </c>
      <c r="K113" s="398"/>
      <c r="L113" s="521">
        <v>11395.601899316214</v>
      </c>
      <c r="M113" s="521">
        <v>12677.595444443501</v>
      </c>
      <c r="N113" s="521">
        <v>15831.260056656145</v>
      </c>
      <c r="O113" s="521">
        <v>11658.410074193856</v>
      </c>
      <c r="P113" s="521">
        <v>11673.995180645028</v>
      </c>
      <c r="Q113" s="521">
        <v>11679.90522795614</v>
      </c>
      <c r="R113" s="521">
        <v>11681.408327116716</v>
      </c>
      <c r="S113" s="521">
        <v>11682.911426277293</v>
      </c>
    </row>
    <row r="114" spans="6:19" x14ac:dyDescent="0.25">
      <c r="F114" s="167" t="s">
        <v>62</v>
      </c>
      <c r="G114" s="167" t="s">
        <v>137</v>
      </c>
      <c r="H114" s="167" t="s">
        <v>162</v>
      </c>
      <c r="I114" s="121"/>
      <c r="J114" s="397">
        <f t="shared" si="11"/>
        <v>4225.3710170849599</v>
      </c>
      <c r="K114" s="398"/>
      <c r="L114" s="521">
        <v>3105.3038567944927</v>
      </c>
      <c r="M114" s="521">
        <v>4628.3304268177035</v>
      </c>
      <c r="N114" s="521">
        <v>3344.2794831501765</v>
      </c>
      <c r="O114" s="521">
        <v>4225.3710170849599</v>
      </c>
      <c r="P114" s="521">
        <v>4271.2786923601761</v>
      </c>
      <c r="Q114" s="521">
        <v>4271.2786923601761</v>
      </c>
      <c r="R114" s="521">
        <v>4271.2786923601761</v>
      </c>
      <c r="S114" s="521">
        <v>4271.2786923601761</v>
      </c>
    </row>
    <row r="115" spans="6:19" x14ac:dyDescent="0.25">
      <c r="F115" s="167" t="s">
        <v>63</v>
      </c>
      <c r="G115" s="167" t="s">
        <v>137</v>
      </c>
      <c r="H115" s="167" t="s">
        <v>162</v>
      </c>
      <c r="I115" s="121"/>
      <c r="J115" s="397">
        <f t="shared" si="11"/>
        <v>263.02538443584314</v>
      </c>
      <c r="K115" s="398"/>
      <c r="L115" s="521">
        <v>81.067587416322453</v>
      </c>
      <c r="M115" s="521">
        <v>431.54406894598355</v>
      </c>
      <c r="N115" s="521">
        <v>224.43816336037435</v>
      </c>
      <c r="O115" s="521">
        <v>263.02538443584314</v>
      </c>
      <c r="P115" s="521">
        <v>263.02538443584314</v>
      </c>
      <c r="Q115" s="521">
        <v>263.02538443584314</v>
      </c>
      <c r="R115" s="521">
        <v>263.02538443584314</v>
      </c>
      <c r="S115" s="521">
        <v>263.02538443584314</v>
      </c>
    </row>
    <row r="116" spans="6:19" x14ac:dyDescent="0.25">
      <c r="F116" s="167" t="s">
        <v>64</v>
      </c>
      <c r="G116" s="167" t="s">
        <v>137</v>
      </c>
      <c r="H116" s="167" t="s">
        <v>162</v>
      </c>
      <c r="I116" s="121"/>
      <c r="J116" s="397">
        <f t="shared" si="11"/>
        <v>35961.144003908586</v>
      </c>
      <c r="K116" s="398"/>
      <c r="L116" s="521">
        <v>27781.875473624765</v>
      </c>
      <c r="M116" s="521">
        <v>33682.354586326532</v>
      </c>
      <c r="N116" s="521">
        <v>33940.985177403782</v>
      </c>
      <c r="O116" s="521">
        <v>35961.144003908586</v>
      </c>
      <c r="P116" s="521">
        <v>40913.379669221475</v>
      </c>
      <c r="Q116" s="521">
        <v>40913.379669221475</v>
      </c>
      <c r="R116" s="521">
        <v>40913.379669221475</v>
      </c>
      <c r="S116" s="521">
        <v>40913.379669221475</v>
      </c>
    </row>
    <row r="117" spans="6:19" x14ac:dyDescent="0.25">
      <c r="F117" s="167" t="s">
        <v>65</v>
      </c>
      <c r="G117" s="167" t="s">
        <v>137</v>
      </c>
      <c r="H117" s="167" t="s">
        <v>162</v>
      </c>
      <c r="I117" s="121"/>
      <c r="J117" s="397">
        <f t="shared" si="11"/>
        <v>0</v>
      </c>
      <c r="K117" s="398"/>
      <c r="L117" s="521">
        <v>0</v>
      </c>
      <c r="M117" s="521">
        <v>0</v>
      </c>
      <c r="N117" s="521">
        <v>0</v>
      </c>
      <c r="O117" s="521">
        <v>0</v>
      </c>
      <c r="P117" s="521">
        <v>0</v>
      </c>
      <c r="Q117" s="521">
        <v>0</v>
      </c>
      <c r="R117" s="521">
        <v>0</v>
      </c>
      <c r="S117" s="521">
        <v>0</v>
      </c>
    </row>
    <row r="118" spans="6:19" x14ac:dyDescent="0.25">
      <c r="F118" s="167" t="s">
        <v>66</v>
      </c>
      <c r="G118" s="167" t="s">
        <v>137</v>
      </c>
      <c r="H118" s="167" t="s">
        <v>162</v>
      </c>
      <c r="I118" s="121"/>
      <c r="J118" s="397">
        <f t="shared" si="11"/>
        <v>1371.2423324055203</v>
      </c>
      <c r="K118" s="398"/>
      <c r="L118" s="521">
        <v>858.39795217708684</v>
      </c>
      <c r="M118" s="521">
        <v>964.9724983878167</v>
      </c>
      <c r="N118" s="521">
        <v>1474.5420909217219</v>
      </c>
      <c r="O118" s="521">
        <v>1371.2423324055203</v>
      </c>
      <c r="P118" s="521">
        <v>1371.2423324055203</v>
      </c>
      <c r="Q118" s="521">
        <v>1371.2423324055203</v>
      </c>
      <c r="R118" s="521">
        <v>1371.2423324055203</v>
      </c>
      <c r="S118" s="521">
        <v>1371.2423324055203</v>
      </c>
    </row>
    <row r="119" spans="6:19" x14ac:dyDescent="0.25">
      <c r="F119" s="167" t="s">
        <v>67</v>
      </c>
      <c r="G119" s="167" t="s">
        <v>137</v>
      </c>
      <c r="H119" s="167" t="s">
        <v>162</v>
      </c>
      <c r="I119" s="121"/>
      <c r="J119" s="397">
        <f t="shared" si="11"/>
        <v>0</v>
      </c>
      <c r="K119" s="398"/>
      <c r="L119" s="521">
        <v>0</v>
      </c>
      <c r="M119" s="521">
        <v>0</v>
      </c>
      <c r="N119" s="521">
        <v>0</v>
      </c>
      <c r="O119" s="521">
        <v>0</v>
      </c>
      <c r="P119" s="521">
        <v>0</v>
      </c>
      <c r="Q119" s="521">
        <v>0</v>
      </c>
      <c r="R119" s="521">
        <v>0</v>
      </c>
      <c r="S119" s="521">
        <v>0</v>
      </c>
    </row>
    <row r="120" spans="6:19" x14ac:dyDescent="0.25">
      <c r="F120" s="167" t="s">
        <v>68</v>
      </c>
      <c r="G120" s="167" t="s">
        <v>137</v>
      </c>
      <c r="H120" s="167" t="s">
        <v>162</v>
      </c>
      <c r="I120" s="121"/>
      <c r="J120" s="397">
        <f t="shared" si="11"/>
        <v>0</v>
      </c>
      <c r="K120" s="398"/>
      <c r="L120" s="521">
        <v>0</v>
      </c>
      <c r="M120" s="521">
        <v>0</v>
      </c>
      <c r="N120" s="521">
        <v>0</v>
      </c>
      <c r="O120" s="521">
        <v>0</v>
      </c>
      <c r="P120" s="521">
        <v>0</v>
      </c>
      <c r="Q120" s="521">
        <v>0</v>
      </c>
      <c r="R120" s="521">
        <v>0</v>
      </c>
      <c r="S120" s="521">
        <v>0</v>
      </c>
    </row>
    <row r="121" spans="6:19" x14ac:dyDescent="0.25">
      <c r="F121" s="167" t="s">
        <v>69</v>
      </c>
      <c r="G121" s="167" t="s">
        <v>137</v>
      </c>
      <c r="H121" s="167" t="s">
        <v>162</v>
      </c>
      <c r="I121" s="121"/>
      <c r="J121" s="397">
        <f t="shared" si="11"/>
        <v>0</v>
      </c>
      <c r="K121" s="398"/>
      <c r="L121" s="521">
        <v>0</v>
      </c>
      <c r="M121" s="521">
        <v>0</v>
      </c>
      <c r="N121" s="521">
        <v>0</v>
      </c>
      <c r="O121" s="521">
        <v>0</v>
      </c>
      <c r="P121" s="521">
        <v>0</v>
      </c>
      <c r="Q121" s="521">
        <v>0</v>
      </c>
      <c r="R121" s="521">
        <v>0</v>
      </c>
      <c r="S121" s="521">
        <v>0</v>
      </c>
    </row>
    <row r="122" spans="6:19" x14ac:dyDescent="0.25">
      <c r="F122" s="167" t="s">
        <v>70</v>
      </c>
      <c r="G122" s="167" t="s">
        <v>137</v>
      </c>
      <c r="H122" s="167" t="s">
        <v>162</v>
      </c>
      <c r="I122" s="121"/>
      <c r="J122" s="397">
        <f t="shared" si="11"/>
        <v>0</v>
      </c>
      <c r="K122" s="398"/>
      <c r="L122" s="521">
        <v>0</v>
      </c>
      <c r="M122" s="521">
        <v>0</v>
      </c>
      <c r="N122" s="521">
        <v>0</v>
      </c>
      <c r="O122" s="521">
        <v>0</v>
      </c>
      <c r="P122" s="521">
        <v>0</v>
      </c>
      <c r="Q122" s="521">
        <v>0</v>
      </c>
      <c r="R122" s="521">
        <v>0</v>
      </c>
      <c r="S122" s="521">
        <v>0</v>
      </c>
    </row>
    <row r="123" spans="6:19" x14ac:dyDescent="0.25">
      <c r="F123" s="167" t="s">
        <v>71</v>
      </c>
      <c r="G123" s="167" t="s">
        <v>137</v>
      </c>
      <c r="H123" s="167" t="s">
        <v>162</v>
      </c>
      <c r="I123" s="121"/>
      <c r="J123" s="397">
        <f t="shared" si="11"/>
        <v>0</v>
      </c>
      <c r="K123" s="398"/>
      <c r="L123" s="521">
        <v>0</v>
      </c>
      <c r="M123" s="521">
        <v>0</v>
      </c>
      <c r="N123" s="521">
        <v>0</v>
      </c>
      <c r="O123" s="521">
        <v>0</v>
      </c>
      <c r="P123" s="521">
        <v>0</v>
      </c>
      <c r="Q123" s="521">
        <v>0</v>
      </c>
      <c r="R123" s="521">
        <v>0</v>
      </c>
      <c r="S123" s="521">
        <v>0</v>
      </c>
    </row>
    <row r="124" spans="6:19" x14ac:dyDescent="0.25">
      <c r="F124" s="167" t="s">
        <v>74</v>
      </c>
      <c r="G124" s="167" t="s">
        <v>137</v>
      </c>
      <c r="H124" s="167" t="s">
        <v>162</v>
      </c>
      <c r="I124" s="121"/>
      <c r="J124" s="397">
        <f t="shared" si="11"/>
        <v>468706.30956186936</v>
      </c>
      <c r="K124" s="398"/>
      <c r="L124" s="521">
        <v>451076.26469318639</v>
      </c>
      <c r="M124" s="521">
        <v>529595.41563309857</v>
      </c>
      <c r="N124" s="521">
        <v>489852.88170906628</v>
      </c>
      <c r="O124" s="521">
        <v>468706.30956186936</v>
      </c>
      <c r="P124" s="521">
        <v>537697.94699888886</v>
      </c>
      <c r="Q124" s="521">
        <v>537697.94699888886</v>
      </c>
      <c r="R124" s="521">
        <v>675681.22187292785</v>
      </c>
      <c r="S124" s="521">
        <v>813664.49674696685</v>
      </c>
    </row>
    <row r="125" spans="6:19" x14ac:dyDescent="0.25">
      <c r="F125" s="167" t="s">
        <v>75</v>
      </c>
      <c r="G125" s="167" t="s">
        <v>137</v>
      </c>
      <c r="H125" s="167" t="s">
        <v>162</v>
      </c>
      <c r="I125" s="121"/>
      <c r="J125" s="397">
        <f t="shared" si="11"/>
        <v>0</v>
      </c>
      <c r="K125" s="398"/>
      <c r="L125" s="521">
        <v>0</v>
      </c>
      <c r="M125" s="521">
        <v>0</v>
      </c>
      <c r="N125" s="521">
        <v>0</v>
      </c>
      <c r="O125" s="521">
        <v>0</v>
      </c>
      <c r="P125" s="521">
        <v>0</v>
      </c>
      <c r="Q125" s="521">
        <v>0</v>
      </c>
      <c r="R125" s="521">
        <v>0</v>
      </c>
      <c r="S125" s="521">
        <v>0</v>
      </c>
    </row>
    <row r="126" spans="6:19" x14ac:dyDescent="0.25">
      <c r="F126" s="167" t="s">
        <v>76</v>
      </c>
      <c r="G126" s="167" t="s">
        <v>137</v>
      </c>
      <c r="H126" s="167" t="s">
        <v>162</v>
      </c>
      <c r="I126" s="121"/>
      <c r="J126" s="397">
        <f t="shared" si="11"/>
        <v>57940.367337102631</v>
      </c>
      <c r="K126" s="398"/>
      <c r="L126" s="521">
        <v>54740.9887124054</v>
      </c>
      <c r="M126" s="521">
        <v>55124.145650701073</v>
      </c>
      <c r="N126" s="521">
        <v>58479.412435587263</v>
      </c>
      <c r="O126" s="521">
        <v>57940.367337102631</v>
      </c>
      <c r="P126" s="521">
        <v>57940.367337102631</v>
      </c>
      <c r="Q126" s="521">
        <v>57940.367337102631</v>
      </c>
      <c r="R126" s="521">
        <v>57940.367337102631</v>
      </c>
      <c r="S126" s="521">
        <v>57940.367337102631</v>
      </c>
    </row>
    <row r="127" spans="6:19" x14ac:dyDescent="0.25">
      <c r="F127" s="168" t="s">
        <v>77</v>
      </c>
      <c r="G127" s="168" t="s">
        <v>137</v>
      </c>
      <c r="H127" s="168" t="s">
        <v>162</v>
      </c>
      <c r="I127" s="262"/>
      <c r="J127" s="399">
        <f t="shared" si="11"/>
        <v>0</v>
      </c>
      <c r="K127" s="400"/>
      <c r="L127" s="522">
        <v>0</v>
      </c>
      <c r="M127" s="522">
        <v>0</v>
      </c>
      <c r="N127" s="522">
        <v>0</v>
      </c>
      <c r="O127" s="522">
        <v>0</v>
      </c>
      <c r="P127" s="522">
        <v>0</v>
      </c>
      <c r="Q127" s="522">
        <v>0</v>
      </c>
      <c r="R127" s="522">
        <v>0</v>
      </c>
      <c r="S127" s="522">
        <v>0</v>
      </c>
    </row>
    <row r="128" spans="6:19" x14ac:dyDescent="0.25">
      <c r="J128" s="401"/>
      <c r="K128" s="401"/>
      <c r="L128" s="401"/>
      <c r="M128" s="401"/>
      <c r="N128" s="401"/>
      <c r="O128" s="401"/>
      <c r="P128" s="401"/>
      <c r="Q128" s="401"/>
      <c r="R128" s="401"/>
      <c r="S128" s="401"/>
    </row>
    <row r="129" spans="5:19" x14ac:dyDescent="0.25">
      <c r="E129" s="261" t="s">
        <v>328</v>
      </c>
      <c r="J129" s="401"/>
      <c r="K129" s="401"/>
      <c r="L129" s="401"/>
      <c r="M129" s="401"/>
      <c r="N129" s="401"/>
      <c r="O129" s="401"/>
      <c r="P129" s="401"/>
      <c r="Q129" s="401"/>
      <c r="R129" s="401"/>
      <c r="S129" s="401"/>
    </row>
    <row r="130" spans="5:19" x14ac:dyDescent="0.25">
      <c r="F130" s="166" t="s">
        <v>52</v>
      </c>
      <c r="G130" s="166" t="s">
        <v>137</v>
      </c>
      <c r="H130" s="166" t="s">
        <v>162</v>
      </c>
      <c r="I130" s="201"/>
      <c r="J130" s="402"/>
      <c r="K130" s="396"/>
      <c r="L130" s="402"/>
      <c r="M130" s="402"/>
      <c r="N130" s="402"/>
      <c r="O130" s="402"/>
      <c r="P130" s="402"/>
      <c r="Q130" s="402"/>
      <c r="R130" s="402"/>
      <c r="S130" s="402"/>
    </row>
    <row r="131" spans="5:19" x14ac:dyDescent="0.25">
      <c r="F131" s="167" t="s">
        <v>53</v>
      </c>
      <c r="G131" s="167" t="s">
        <v>137</v>
      </c>
      <c r="H131" s="167" t="s">
        <v>162</v>
      </c>
      <c r="I131" s="121"/>
      <c r="J131" s="397">
        <f t="shared" ref="J131:J162" si="12">CHOOSE(year_selection, L131,M131,N131,O131,P131,Q131,R131,S131)</f>
        <v>730893.49412617984</v>
      </c>
      <c r="K131" s="398"/>
      <c r="L131" s="521">
        <v>715236.37020922324</v>
      </c>
      <c r="M131" s="521">
        <v>754302.3569695655</v>
      </c>
      <c r="N131" s="521">
        <v>775181.15930905356</v>
      </c>
      <c r="O131" s="521">
        <v>730893.49412617984</v>
      </c>
      <c r="P131" s="521">
        <v>725740.00696176593</v>
      </c>
      <c r="Q131" s="521">
        <v>721281.91511202045</v>
      </c>
      <c r="R131" s="521">
        <v>717152.59419678804</v>
      </c>
      <c r="S131" s="521">
        <v>713023.27328155574</v>
      </c>
    </row>
    <row r="132" spans="5:19" x14ac:dyDescent="0.25">
      <c r="F132" s="167" t="s">
        <v>84</v>
      </c>
      <c r="G132" s="167" t="s">
        <v>137</v>
      </c>
      <c r="H132" s="167" t="s">
        <v>162</v>
      </c>
      <c r="I132" s="121"/>
      <c r="J132" s="403"/>
      <c r="K132" s="398"/>
      <c r="L132" s="403"/>
      <c r="M132" s="403"/>
      <c r="N132" s="403"/>
      <c r="O132" s="403"/>
      <c r="P132" s="403"/>
      <c r="Q132" s="403"/>
      <c r="R132" s="403"/>
      <c r="S132" s="403"/>
    </row>
    <row r="133" spans="5:19" x14ac:dyDescent="0.25">
      <c r="F133" s="167" t="s">
        <v>54</v>
      </c>
      <c r="G133" s="167" t="s">
        <v>137</v>
      </c>
      <c r="H133" s="167" t="s">
        <v>162</v>
      </c>
      <c r="I133" s="121"/>
      <c r="J133" s="403"/>
      <c r="K133" s="398"/>
      <c r="L133" s="403"/>
      <c r="M133" s="403"/>
      <c r="N133" s="403"/>
      <c r="O133" s="403"/>
      <c r="P133" s="403"/>
      <c r="Q133" s="403"/>
      <c r="R133" s="403"/>
      <c r="S133" s="403"/>
    </row>
    <row r="134" spans="5:19" x14ac:dyDescent="0.25">
      <c r="F134" s="167" t="s">
        <v>55</v>
      </c>
      <c r="G134" s="167" t="s">
        <v>137</v>
      </c>
      <c r="H134" s="167" t="s">
        <v>162</v>
      </c>
      <c r="I134" s="121"/>
      <c r="J134" s="397">
        <f t="shared" si="12"/>
        <v>277893.67674845975</v>
      </c>
      <c r="K134" s="398"/>
      <c r="L134" s="521">
        <v>276442.84725686692</v>
      </c>
      <c r="M134" s="521">
        <v>292336.85898067756</v>
      </c>
      <c r="N134" s="521">
        <v>285229.64738446911</v>
      </c>
      <c r="O134" s="521">
        <v>277893.67674845975</v>
      </c>
      <c r="P134" s="521">
        <v>275748.99333414761</v>
      </c>
      <c r="Q134" s="521">
        <v>273494.44056735595</v>
      </c>
      <c r="R134" s="521">
        <v>271183.94046424393</v>
      </c>
      <c r="S134" s="521">
        <v>268873.44036113197</v>
      </c>
    </row>
    <row r="135" spans="5:19" x14ac:dyDescent="0.25">
      <c r="F135" s="167" t="s">
        <v>85</v>
      </c>
      <c r="G135" s="167" t="s">
        <v>137</v>
      </c>
      <c r="H135" s="167" t="s">
        <v>162</v>
      </c>
      <c r="I135" s="121"/>
      <c r="J135" s="403"/>
      <c r="K135" s="398"/>
      <c r="L135" s="403"/>
      <c r="M135" s="403"/>
      <c r="N135" s="403"/>
      <c r="O135" s="403"/>
      <c r="P135" s="403"/>
      <c r="Q135" s="403"/>
      <c r="R135" s="403"/>
      <c r="S135" s="403"/>
    </row>
    <row r="136" spans="5:19" x14ac:dyDescent="0.25">
      <c r="F136" s="167" t="s">
        <v>56</v>
      </c>
      <c r="G136" s="167" t="s">
        <v>137</v>
      </c>
      <c r="H136" s="167" t="s">
        <v>162</v>
      </c>
      <c r="I136" s="121"/>
      <c r="J136" s="397">
        <f t="shared" si="12"/>
        <v>6823.4996808388805</v>
      </c>
      <c r="K136" s="398"/>
      <c r="L136" s="521">
        <v>17825.173618078032</v>
      </c>
      <c r="M136" s="599">
        <v>7.3623862414500882</v>
      </c>
      <c r="N136" s="521">
        <v>3441.4639172664447</v>
      </c>
      <c r="O136" s="521">
        <v>6823.4996808388805</v>
      </c>
      <c r="P136" s="521">
        <v>6221.1075951855628</v>
      </c>
      <c r="Q136" s="521">
        <v>5641.2781225016097</v>
      </c>
      <c r="R136" s="521">
        <v>5063.5509970734583</v>
      </c>
      <c r="S136" s="521">
        <v>4485.8238716453079</v>
      </c>
    </row>
    <row r="137" spans="5:19" x14ac:dyDescent="0.25">
      <c r="F137" s="167" t="s">
        <v>57</v>
      </c>
      <c r="G137" s="167" t="s">
        <v>137</v>
      </c>
      <c r="H137" s="167" t="s">
        <v>162</v>
      </c>
      <c r="I137" s="121"/>
      <c r="J137" s="397">
        <f t="shared" si="12"/>
        <v>0</v>
      </c>
      <c r="K137" s="398"/>
      <c r="L137" s="521">
        <v>0</v>
      </c>
      <c r="M137" s="599">
        <v>7.2017963792135609</v>
      </c>
      <c r="N137" s="521">
        <v>0</v>
      </c>
      <c r="O137" s="521">
        <v>0</v>
      </c>
      <c r="P137" s="521">
        <v>0</v>
      </c>
      <c r="Q137" s="521">
        <v>0</v>
      </c>
      <c r="R137" s="521">
        <v>0</v>
      </c>
      <c r="S137" s="521">
        <v>0</v>
      </c>
    </row>
    <row r="138" spans="5:19" x14ac:dyDescent="0.25">
      <c r="F138" s="167" t="s">
        <v>72</v>
      </c>
      <c r="G138" s="167" t="s">
        <v>137</v>
      </c>
      <c r="H138" s="167" t="s">
        <v>162</v>
      </c>
      <c r="I138" s="121"/>
      <c r="J138" s="397">
        <f t="shared" si="12"/>
        <v>4.3459831614531019</v>
      </c>
      <c r="K138" s="398"/>
      <c r="L138" s="521">
        <v>34.069856781285004</v>
      </c>
      <c r="M138" s="599">
        <v>2.3520848062564763</v>
      </c>
      <c r="N138" s="521">
        <v>7.0382649826076111</v>
      </c>
      <c r="O138" s="521">
        <v>4.3459831614531019</v>
      </c>
      <c r="P138" s="521">
        <v>4.4060980177629716</v>
      </c>
      <c r="Q138" s="521">
        <v>4.4288942460726837</v>
      </c>
      <c r="R138" s="521">
        <v>4.4346919985834168</v>
      </c>
      <c r="S138" s="521">
        <v>4.440489751094149</v>
      </c>
    </row>
    <row r="139" spans="5:19" x14ac:dyDescent="0.25">
      <c r="F139" s="167" t="s">
        <v>58</v>
      </c>
      <c r="G139" s="167" t="s">
        <v>137</v>
      </c>
      <c r="H139" s="167" t="s">
        <v>162</v>
      </c>
      <c r="I139" s="121"/>
      <c r="J139" s="397">
        <f t="shared" si="12"/>
        <v>24994.390520249668</v>
      </c>
      <c r="K139" s="398"/>
      <c r="L139" s="521">
        <v>0</v>
      </c>
      <c r="M139" s="599">
        <v>2.3690834650451937</v>
      </c>
      <c r="N139" s="521">
        <v>529.44747613754453</v>
      </c>
      <c r="O139" s="521">
        <v>24994.390520249668</v>
      </c>
      <c r="P139" s="521">
        <v>28058.428721753742</v>
      </c>
      <c r="Q139" s="521">
        <v>31122.46692325782</v>
      </c>
      <c r="R139" s="521">
        <v>34186.505124761898</v>
      </c>
      <c r="S139" s="521">
        <v>37250.543326265986</v>
      </c>
    </row>
    <row r="140" spans="5:19" x14ac:dyDescent="0.25">
      <c r="F140" s="167" t="s">
        <v>59</v>
      </c>
      <c r="G140" s="167" t="s">
        <v>137</v>
      </c>
      <c r="H140" s="167" t="s">
        <v>162</v>
      </c>
      <c r="I140" s="121"/>
      <c r="J140" s="397">
        <f t="shared" si="12"/>
        <v>177190.04826048089</v>
      </c>
      <c r="K140" s="398"/>
      <c r="L140" s="521">
        <v>194341.80444414544</v>
      </c>
      <c r="M140" s="599">
        <v>198372.073204118</v>
      </c>
      <c r="N140" s="521">
        <v>193715.26912325862</v>
      </c>
      <c r="O140" s="521">
        <v>177190.04826048089</v>
      </c>
      <c r="P140" s="521">
        <v>179808.4283080406</v>
      </c>
      <c r="Q140" s="521">
        <v>181805.45421511651</v>
      </c>
      <c r="R140" s="521">
        <v>183595.9420529597</v>
      </c>
      <c r="S140" s="521">
        <v>185386.42989080289</v>
      </c>
    </row>
    <row r="141" spans="5:19" x14ac:dyDescent="0.25">
      <c r="F141" s="167" t="s">
        <v>60</v>
      </c>
      <c r="G141" s="167" t="s">
        <v>137</v>
      </c>
      <c r="H141" s="167" t="s">
        <v>162</v>
      </c>
      <c r="I141" s="121"/>
      <c r="J141" s="397">
        <f t="shared" si="12"/>
        <v>3514047.1190492325</v>
      </c>
      <c r="K141" s="398"/>
      <c r="L141" s="521">
        <v>3503372.6944272388</v>
      </c>
      <c r="M141" s="599">
        <v>3466569.8813265366</v>
      </c>
      <c r="N141" s="521">
        <v>3596396.4257529834</v>
      </c>
      <c r="O141" s="521">
        <v>3514047.1190492325</v>
      </c>
      <c r="P141" s="521">
        <v>3545770.0084564025</v>
      </c>
      <c r="Q141" s="521">
        <v>3582621.9484828115</v>
      </c>
      <c r="R141" s="521">
        <v>3620807.2379260068</v>
      </c>
      <c r="S141" s="521">
        <v>3658992.5273692016</v>
      </c>
    </row>
    <row r="142" spans="5:19" x14ac:dyDescent="0.25">
      <c r="F142" s="167" t="s">
        <v>61</v>
      </c>
      <c r="G142" s="167" t="s">
        <v>137</v>
      </c>
      <c r="H142" s="167" t="s">
        <v>162</v>
      </c>
      <c r="I142" s="121"/>
      <c r="J142" s="397">
        <f t="shared" si="12"/>
        <v>187630.12698838831</v>
      </c>
      <c r="K142" s="398"/>
      <c r="L142" s="521">
        <v>82455.247298259375</v>
      </c>
      <c r="M142" s="599">
        <v>95005.546078652827</v>
      </c>
      <c r="N142" s="521">
        <v>176394.03944679385</v>
      </c>
      <c r="O142" s="521">
        <v>187630.12698838831</v>
      </c>
      <c r="P142" s="521">
        <v>197923.88408013989</v>
      </c>
      <c r="Q142" s="521">
        <v>207781.02107591336</v>
      </c>
      <c r="R142" s="521">
        <v>217452.76518328016</v>
      </c>
      <c r="S142" s="521">
        <v>227124.50929064699</v>
      </c>
    </row>
    <row r="143" spans="5:19" x14ac:dyDescent="0.25">
      <c r="F143" s="167" t="s">
        <v>73</v>
      </c>
      <c r="G143" s="167" t="s">
        <v>137</v>
      </c>
      <c r="H143" s="167" t="s">
        <v>162</v>
      </c>
      <c r="I143" s="121"/>
      <c r="J143" s="397">
        <f t="shared" si="12"/>
        <v>2539336.4296852075</v>
      </c>
      <c r="K143" s="398"/>
      <c r="L143" s="521">
        <v>2577981.816659871</v>
      </c>
      <c r="M143" s="599">
        <v>2547478.9693756355</v>
      </c>
      <c r="N143" s="521">
        <v>2588354.1746650934</v>
      </c>
      <c r="O143" s="521">
        <v>2539336.4296852075</v>
      </c>
      <c r="P143" s="521">
        <v>2537601.7213309132</v>
      </c>
      <c r="Q143" s="521">
        <v>2535315.8344859993</v>
      </c>
      <c r="R143" s="521">
        <v>2532311.4171289518</v>
      </c>
      <c r="S143" s="521">
        <v>2529306.9997719042</v>
      </c>
    </row>
    <row r="144" spans="5:19" x14ac:dyDescent="0.25">
      <c r="F144" s="167" t="s">
        <v>86</v>
      </c>
      <c r="G144" s="167" t="s">
        <v>137</v>
      </c>
      <c r="H144" s="167" t="s">
        <v>162</v>
      </c>
      <c r="I144" s="121"/>
      <c r="J144" s="403"/>
      <c r="K144" s="398"/>
      <c r="L144" s="403"/>
      <c r="M144" s="403"/>
      <c r="N144" s="403"/>
      <c r="O144" s="403"/>
      <c r="P144" s="403"/>
      <c r="Q144" s="403"/>
      <c r="R144" s="403"/>
      <c r="S144" s="403"/>
    </row>
    <row r="145" spans="6:19" x14ac:dyDescent="0.25">
      <c r="F145" s="167" t="s">
        <v>87</v>
      </c>
      <c r="G145" s="167" t="s">
        <v>137</v>
      </c>
      <c r="H145" s="167" t="s">
        <v>162</v>
      </c>
      <c r="I145" s="121"/>
      <c r="J145" s="403"/>
      <c r="K145" s="398"/>
      <c r="L145" s="403"/>
      <c r="M145" s="403"/>
      <c r="N145" s="403"/>
      <c r="O145" s="403"/>
      <c r="P145" s="403"/>
      <c r="Q145" s="403"/>
      <c r="R145" s="403"/>
      <c r="S145" s="403"/>
    </row>
    <row r="146" spans="6:19" x14ac:dyDescent="0.25">
      <c r="F146" s="167" t="s">
        <v>88</v>
      </c>
      <c r="G146" s="167" t="s">
        <v>137</v>
      </c>
      <c r="H146" s="167" t="s">
        <v>162</v>
      </c>
      <c r="I146" s="121"/>
      <c r="J146" s="403"/>
      <c r="K146" s="398"/>
      <c r="L146" s="403"/>
      <c r="M146" s="403"/>
      <c r="N146" s="403"/>
      <c r="O146" s="403"/>
      <c r="P146" s="403"/>
      <c r="Q146" s="403"/>
      <c r="R146" s="403"/>
      <c r="S146" s="403"/>
    </row>
    <row r="147" spans="6:19" x14ac:dyDescent="0.25">
      <c r="F147" s="167" t="s">
        <v>89</v>
      </c>
      <c r="G147" s="167" t="s">
        <v>137</v>
      </c>
      <c r="H147" s="167" t="s">
        <v>162</v>
      </c>
      <c r="I147" s="121"/>
      <c r="J147" s="403"/>
      <c r="K147" s="398"/>
      <c r="L147" s="403"/>
      <c r="M147" s="403"/>
      <c r="N147" s="403"/>
      <c r="O147" s="403"/>
      <c r="P147" s="403"/>
      <c r="Q147" s="403"/>
      <c r="R147" s="403"/>
      <c r="S147" s="403"/>
    </row>
    <row r="148" spans="6:19" x14ac:dyDescent="0.25">
      <c r="F148" s="167" t="s">
        <v>90</v>
      </c>
      <c r="G148" s="167" t="s">
        <v>137</v>
      </c>
      <c r="H148" s="167" t="s">
        <v>162</v>
      </c>
      <c r="I148" s="121"/>
      <c r="J148" s="397">
        <f t="shared" si="12"/>
        <v>68737.449629691037</v>
      </c>
      <c r="K148" s="398"/>
      <c r="L148" s="521">
        <v>52707.104066598884</v>
      </c>
      <c r="M148" s="521">
        <v>60894.849110475792</v>
      </c>
      <c r="N148" s="521">
        <v>68565.590277676965</v>
      </c>
      <c r="O148" s="521">
        <v>68737.449629691037</v>
      </c>
      <c r="P148" s="521">
        <v>68737.449629691037</v>
      </c>
      <c r="Q148" s="521">
        <v>68737.449629691037</v>
      </c>
      <c r="R148" s="521">
        <v>68737.449629691037</v>
      </c>
      <c r="S148" s="521">
        <v>68737.449629691037</v>
      </c>
    </row>
    <row r="149" spans="6:19" x14ac:dyDescent="0.25">
      <c r="F149" s="167" t="s">
        <v>62</v>
      </c>
      <c r="G149" s="167" t="s">
        <v>137</v>
      </c>
      <c r="H149" s="167" t="s">
        <v>162</v>
      </c>
      <c r="I149" s="121"/>
      <c r="J149" s="403"/>
      <c r="K149" s="398"/>
      <c r="L149" s="403"/>
      <c r="M149" s="403"/>
      <c r="N149" s="403"/>
      <c r="O149" s="403"/>
      <c r="P149" s="403"/>
      <c r="Q149" s="403"/>
      <c r="R149" s="403"/>
      <c r="S149" s="403"/>
    </row>
    <row r="150" spans="6:19" x14ac:dyDescent="0.25">
      <c r="F150" s="167" t="s">
        <v>63</v>
      </c>
      <c r="G150" s="167" t="s">
        <v>137</v>
      </c>
      <c r="H150" s="167" t="s">
        <v>162</v>
      </c>
      <c r="I150" s="121"/>
      <c r="J150" s="403"/>
      <c r="K150" s="398"/>
      <c r="L150" s="403"/>
      <c r="M150" s="403"/>
      <c r="N150" s="403"/>
      <c r="O150" s="403"/>
      <c r="P150" s="403"/>
      <c r="Q150" s="403"/>
      <c r="R150" s="403"/>
      <c r="S150" s="403"/>
    </row>
    <row r="151" spans="6:19" x14ac:dyDescent="0.25">
      <c r="F151" s="167" t="s">
        <v>64</v>
      </c>
      <c r="G151" s="167" t="s">
        <v>137</v>
      </c>
      <c r="H151" s="167" t="s">
        <v>162</v>
      </c>
      <c r="I151" s="121"/>
      <c r="J151" s="403"/>
      <c r="K151" s="398"/>
      <c r="L151" s="403"/>
      <c r="M151" s="403"/>
      <c r="N151" s="403"/>
      <c r="O151" s="403"/>
      <c r="P151" s="403"/>
      <c r="Q151" s="403"/>
      <c r="R151" s="403"/>
      <c r="S151" s="403"/>
    </row>
    <row r="152" spans="6:19" x14ac:dyDescent="0.25">
      <c r="F152" s="167" t="s">
        <v>65</v>
      </c>
      <c r="G152" s="167" t="s">
        <v>137</v>
      </c>
      <c r="H152" s="167" t="s">
        <v>162</v>
      </c>
      <c r="I152" s="121"/>
      <c r="J152" s="403"/>
      <c r="K152" s="398"/>
      <c r="L152" s="403"/>
      <c r="M152" s="403"/>
      <c r="N152" s="403"/>
      <c r="O152" s="403"/>
      <c r="P152" s="403"/>
      <c r="Q152" s="403"/>
      <c r="R152" s="403"/>
      <c r="S152" s="403"/>
    </row>
    <row r="153" spans="6:19" x14ac:dyDescent="0.25">
      <c r="F153" s="167" t="s">
        <v>66</v>
      </c>
      <c r="G153" s="167" t="s">
        <v>137</v>
      </c>
      <c r="H153" s="167" t="s">
        <v>162</v>
      </c>
      <c r="I153" s="121"/>
      <c r="J153" s="397">
        <f t="shared" si="12"/>
        <v>7613.1539114026109</v>
      </c>
      <c r="K153" s="398"/>
      <c r="L153" s="521">
        <v>4759.8997742294923</v>
      </c>
      <c r="M153" s="521">
        <v>5342.0875976450652</v>
      </c>
      <c r="N153" s="521">
        <v>7952.5217441365394</v>
      </c>
      <c r="O153" s="521">
        <v>7613.1539114026109</v>
      </c>
      <c r="P153" s="521">
        <v>7613.1539114026109</v>
      </c>
      <c r="Q153" s="521">
        <v>7613.1539114026109</v>
      </c>
      <c r="R153" s="521">
        <v>7613.1539114026109</v>
      </c>
      <c r="S153" s="521">
        <v>7613.1539114026109</v>
      </c>
    </row>
    <row r="154" spans="6:19" x14ac:dyDescent="0.25">
      <c r="F154" s="167" t="s">
        <v>67</v>
      </c>
      <c r="G154" s="167" t="s">
        <v>137</v>
      </c>
      <c r="H154" s="167" t="s">
        <v>162</v>
      </c>
      <c r="I154" s="121"/>
      <c r="J154" s="397">
        <f t="shared" si="12"/>
        <v>0</v>
      </c>
      <c r="K154" s="398"/>
      <c r="L154" s="521">
        <v>0</v>
      </c>
      <c r="M154" s="521">
        <v>0</v>
      </c>
      <c r="N154" s="521">
        <v>0</v>
      </c>
      <c r="O154" s="521">
        <v>0</v>
      </c>
      <c r="P154" s="521">
        <v>0</v>
      </c>
      <c r="Q154" s="521">
        <v>0</v>
      </c>
      <c r="R154" s="521">
        <v>0</v>
      </c>
      <c r="S154" s="521">
        <v>0</v>
      </c>
    </row>
    <row r="155" spans="6:19" x14ac:dyDescent="0.25">
      <c r="F155" s="167" t="s">
        <v>68</v>
      </c>
      <c r="G155" s="167" t="s">
        <v>137</v>
      </c>
      <c r="H155" s="167" t="s">
        <v>162</v>
      </c>
      <c r="I155" s="121"/>
      <c r="J155" s="403"/>
      <c r="K155" s="398"/>
      <c r="L155" s="403"/>
      <c r="M155" s="403"/>
      <c r="N155" s="403"/>
      <c r="O155" s="403"/>
      <c r="P155" s="403"/>
      <c r="Q155" s="403"/>
      <c r="R155" s="403"/>
      <c r="S155" s="403"/>
    </row>
    <row r="156" spans="6:19" x14ac:dyDescent="0.25">
      <c r="F156" s="167" t="s">
        <v>69</v>
      </c>
      <c r="G156" s="167" t="s">
        <v>137</v>
      </c>
      <c r="H156" s="167" t="s">
        <v>162</v>
      </c>
      <c r="I156" s="121"/>
      <c r="J156" s="403"/>
      <c r="K156" s="398"/>
      <c r="L156" s="403"/>
      <c r="M156" s="403"/>
      <c r="N156" s="403"/>
      <c r="O156" s="403"/>
      <c r="P156" s="403"/>
      <c r="Q156" s="403"/>
      <c r="R156" s="403"/>
      <c r="S156" s="403"/>
    </row>
    <row r="157" spans="6:19" x14ac:dyDescent="0.25">
      <c r="F157" s="167" t="s">
        <v>70</v>
      </c>
      <c r="G157" s="167" t="s">
        <v>137</v>
      </c>
      <c r="H157" s="167" t="s">
        <v>162</v>
      </c>
      <c r="I157" s="121"/>
      <c r="J157" s="397">
        <f t="shared" si="12"/>
        <v>0</v>
      </c>
      <c r="K157" s="398"/>
      <c r="L157" s="521">
        <v>0</v>
      </c>
      <c r="M157" s="521">
        <v>0</v>
      </c>
      <c r="N157" s="521">
        <v>0</v>
      </c>
      <c r="O157" s="521">
        <v>0</v>
      </c>
      <c r="P157" s="521">
        <v>0</v>
      </c>
      <c r="Q157" s="521">
        <v>0</v>
      </c>
      <c r="R157" s="521">
        <v>0</v>
      </c>
      <c r="S157" s="521">
        <v>0</v>
      </c>
    </row>
    <row r="158" spans="6:19" x14ac:dyDescent="0.25">
      <c r="F158" s="167" t="s">
        <v>71</v>
      </c>
      <c r="G158" s="167" t="s">
        <v>137</v>
      </c>
      <c r="H158" s="167" t="s">
        <v>162</v>
      </c>
      <c r="I158" s="121"/>
      <c r="J158" s="397">
        <f t="shared" si="12"/>
        <v>0</v>
      </c>
      <c r="K158" s="398"/>
      <c r="L158" s="521">
        <v>0</v>
      </c>
      <c r="M158" s="521">
        <v>0</v>
      </c>
      <c r="N158" s="521">
        <v>0</v>
      </c>
      <c r="O158" s="521">
        <v>0</v>
      </c>
      <c r="P158" s="521">
        <v>0</v>
      </c>
      <c r="Q158" s="521">
        <v>0</v>
      </c>
      <c r="R158" s="521">
        <v>0</v>
      </c>
      <c r="S158" s="521">
        <v>0</v>
      </c>
    </row>
    <row r="159" spans="6:19" x14ac:dyDescent="0.25">
      <c r="F159" s="167" t="s">
        <v>74</v>
      </c>
      <c r="G159" s="167" t="s">
        <v>137</v>
      </c>
      <c r="H159" s="167" t="s">
        <v>162</v>
      </c>
      <c r="I159" s="121"/>
      <c r="J159" s="403"/>
      <c r="K159" s="398"/>
      <c r="L159" s="403"/>
      <c r="M159" s="403"/>
      <c r="N159" s="403"/>
      <c r="O159" s="403"/>
      <c r="P159" s="403"/>
      <c r="Q159" s="403"/>
      <c r="R159" s="403"/>
      <c r="S159" s="403"/>
    </row>
    <row r="160" spans="6:19" x14ac:dyDescent="0.25">
      <c r="F160" s="167" t="s">
        <v>75</v>
      </c>
      <c r="G160" s="167" t="s">
        <v>137</v>
      </c>
      <c r="H160" s="167" t="s">
        <v>162</v>
      </c>
      <c r="I160" s="121"/>
      <c r="J160" s="403"/>
      <c r="K160" s="398"/>
      <c r="L160" s="403"/>
      <c r="M160" s="403"/>
      <c r="N160" s="403"/>
      <c r="O160" s="403"/>
      <c r="P160" s="403"/>
      <c r="Q160" s="403"/>
      <c r="R160" s="403"/>
      <c r="S160" s="403"/>
    </row>
    <row r="161" spans="5:19" x14ac:dyDescent="0.25">
      <c r="F161" s="167" t="s">
        <v>76</v>
      </c>
      <c r="G161" s="167" t="s">
        <v>137</v>
      </c>
      <c r="H161" s="167" t="s">
        <v>162</v>
      </c>
      <c r="I161" s="121"/>
      <c r="J161" s="397">
        <f t="shared" si="12"/>
        <v>308061.97136442841</v>
      </c>
      <c r="K161" s="398"/>
      <c r="L161" s="521">
        <v>270354.47968764574</v>
      </c>
      <c r="M161" s="521">
        <v>272525.56708731741</v>
      </c>
      <c r="N161" s="521">
        <v>327346.83396823</v>
      </c>
      <c r="O161" s="521">
        <v>308061.97136442841</v>
      </c>
      <c r="P161" s="521">
        <v>308061.97136442841</v>
      </c>
      <c r="Q161" s="521">
        <v>308061.97136442841</v>
      </c>
      <c r="R161" s="521">
        <v>308061.97136442841</v>
      </c>
      <c r="S161" s="521">
        <v>308061.97136442841</v>
      </c>
    </row>
    <row r="162" spans="5:19" x14ac:dyDescent="0.25">
      <c r="F162" s="168" t="s">
        <v>77</v>
      </c>
      <c r="G162" s="168" t="s">
        <v>137</v>
      </c>
      <c r="H162" s="168" t="s">
        <v>162</v>
      </c>
      <c r="I162" s="262"/>
      <c r="J162" s="399">
        <f t="shared" si="12"/>
        <v>0</v>
      </c>
      <c r="K162" s="400"/>
      <c r="L162" s="522">
        <v>0</v>
      </c>
      <c r="M162" s="522">
        <v>0</v>
      </c>
      <c r="N162" s="522">
        <v>0</v>
      </c>
      <c r="O162" s="522">
        <v>0</v>
      </c>
      <c r="P162" s="522">
        <v>0</v>
      </c>
      <c r="Q162" s="522">
        <v>0</v>
      </c>
      <c r="R162" s="522">
        <v>0</v>
      </c>
      <c r="S162" s="522">
        <v>0</v>
      </c>
    </row>
    <row r="163" spans="5:19" x14ac:dyDescent="0.25">
      <c r="J163" s="401"/>
      <c r="K163" s="401"/>
      <c r="L163" s="401"/>
      <c r="M163" s="401"/>
      <c r="N163" s="401"/>
      <c r="O163" s="401"/>
      <c r="P163" s="401"/>
      <c r="Q163" s="401"/>
      <c r="R163" s="401"/>
      <c r="S163" s="401"/>
    </row>
    <row r="164" spans="5:19" x14ac:dyDescent="0.25">
      <c r="E164" s="261" t="s">
        <v>329</v>
      </c>
      <c r="J164" s="401"/>
      <c r="K164" s="401"/>
      <c r="L164" s="401"/>
      <c r="M164" s="401"/>
      <c r="N164" s="401"/>
      <c r="O164" s="401"/>
      <c r="P164" s="401"/>
      <c r="Q164" s="401"/>
      <c r="R164" s="401"/>
      <c r="S164" s="401"/>
    </row>
    <row r="165" spans="5:19" x14ac:dyDescent="0.25">
      <c r="F165" s="166" t="s">
        <v>52</v>
      </c>
      <c r="G165" s="166" t="s">
        <v>137</v>
      </c>
      <c r="H165" s="166" t="s">
        <v>162</v>
      </c>
      <c r="I165" s="201"/>
      <c r="J165" s="402"/>
      <c r="K165" s="396"/>
      <c r="L165" s="402"/>
      <c r="M165" s="402"/>
      <c r="N165" s="402"/>
      <c r="O165" s="402"/>
      <c r="P165" s="402"/>
      <c r="Q165" s="402"/>
      <c r="R165" s="402"/>
      <c r="S165" s="402"/>
    </row>
    <row r="166" spans="5:19" x14ac:dyDescent="0.25">
      <c r="F166" s="167" t="s">
        <v>53</v>
      </c>
      <c r="G166" s="167" t="s">
        <v>137</v>
      </c>
      <c r="H166" s="167" t="s">
        <v>162</v>
      </c>
      <c r="I166" s="121"/>
      <c r="J166" s="403"/>
      <c r="K166" s="398"/>
      <c r="L166" s="403"/>
      <c r="M166" s="403"/>
      <c r="N166" s="403"/>
      <c r="O166" s="403"/>
      <c r="P166" s="403"/>
      <c r="Q166" s="403"/>
      <c r="R166" s="403"/>
      <c r="S166" s="403"/>
    </row>
    <row r="167" spans="5:19" x14ac:dyDescent="0.25">
      <c r="F167" s="167" t="s">
        <v>84</v>
      </c>
      <c r="G167" s="167" t="s">
        <v>137</v>
      </c>
      <c r="H167" s="167" t="s">
        <v>162</v>
      </c>
      <c r="I167" s="121"/>
      <c r="J167" s="403"/>
      <c r="K167" s="398"/>
      <c r="L167" s="403"/>
      <c r="M167" s="403"/>
      <c r="N167" s="403"/>
      <c r="O167" s="403"/>
      <c r="P167" s="403"/>
      <c r="Q167" s="403"/>
      <c r="R167" s="403"/>
      <c r="S167" s="403"/>
    </row>
    <row r="168" spans="5:19" x14ac:dyDescent="0.25">
      <c r="F168" s="167" t="s">
        <v>54</v>
      </c>
      <c r="G168" s="167" t="s">
        <v>137</v>
      </c>
      <c r="H168" s="167" t="s">
        <v>162</v>
      </c>
      <c r="I168" s="121"/>
      <c r="J168" s="403"/>
      <c r="K168" s="398"/>
      <c r="L168" s="403"/>
      <c r="M168" s="403"/>
      <c r="N168" s="403"/>
      <c r="O168" s="403"/>
      <c r="P168" s="403"/>
      <c r="Q168" s="403"/>
      <c r="R168" s="403"/>
      <c r="S168" s="403"/>
    </row>
    <row r="169" spans="5:19" x14ac:dyDescent="0.25">
      <c r="F169" s="167" t="s">
        <v>55</v>
      </c>
      <c r="G169" s="167" t="s">
        <v>137</v>
      </c>
      <c r="H169" s="167" t="s">
        <v>162</v>
      </c>
      <c r="I169" s="121"/>
      <c r="J169" s="403"/>
      <c r="K169" s="398"/>
      <c r="L169" s="403"/>
      <c r="M169" s="403"/>
      <c r="N169" s="403"/>
      <c r="O169" s="403"/>
      <c r="P169" s="403"/>
      <c r="Q169" s="403"/>
      <c r="R169" s="403"/>
      <c r="S169" s="403"/>
    </row>
    <row r="170" spans="5:19" x14ac:dyDescent="0.25">
      <c r="F170" s="167" t="s">
        <v>85</v>
      </c>
      <c r="G170" s="167" t="s">
        <v>137</v>
      </c>
      <c r="H170" s="167" t="s">
        <v>162</v>
      </c>
      <c r="I170" s="121"/>
      <c r="J170" s="403"/>
      <c r="K170" s="398"/>
      <c r="L170" s="403"/>
      <c r="M170" s="403"/>
      <c r="N170" s="403"/>
      <c r="O170" s="403"/>
      <c r="P170" s="403"/>
      <c r="Q170" s="403"/>
      <c r="R170" s="403"/>
      <c r="S170" s="403"/>
    </row>
    <row r="171" spans="5:19" x14ac:dyDescent="0.25">
      <c r="F171" s="167" t="s">
        <v>56</v>
      </c>
      <c r="G171" s="167" t="s">
        <v>137</v>
      </c>
      <c r="H171" s="167" t="s">
        <v>162</v>
      </c>
      <c r="I171" s="121"/>
      <c r="J171" s="403"/>
      <c r="K171" s="398"/>
      <c r="L171" s="403"/>
      <c r="M171" s="403"/>
      <c r="N171" s="403"/>
      <c r="O171" s="403"/>
      <c r="P171" s="403"/>
      <c r="Q171" s="403"/>
      <c r="R171" s="403"/>
      <c r="S171" s="403"/>
    </row>
    <row r="172" spans="5:19" x14ac:dyDescent="0.25">
      <c r="F172" s="167" t="s">
        <v>57</v>
      </c>
      <c r="G172" s="167" t="s">
        <v>137</v>
      </c>
      <c r="H172" s="167" t="s">
        <v>162</v>
      </c>
      <c r="I172" s="121"/>
      <c r="J172" s="403"/>
      <c r="K172" s="398"/>
      <c r="L172" s="403"/>
      <c r="M172" s="403"/>
      <c r="N172" s="403"/>
      <c r="O172" s="403"/>
      <c r="P172" s="403"/>
      <c r="Q172" s="403"/>
      <c r="R172" s="403"/>
      <c r="S172" s="403"/>
    </row>
    <row r="173" spans="5:19" x14ac:dyDescent="0.25">
      <c r="F173" s="167" t="s">
        <v>72</v>
      </c>
      <c r="G173" s="167" t="s">
        <v>137</v>
      </c>
      <c r="H173" s="167" t="s">
        <v>162</v>
      </c>
      <c r="I173" s="121"/>
      <c r="J173" s="403"/>
      <c r="K173" s="398"/>
      <c r="L173" s="403"/>
      <c r="M173" s="403"/>
      <c r="N173" s="403"/>
      <c r="O173" s="403"/>
      <c r="P173" s="403"/>
      <c r="Q173" s="403"/>
      <c r="R173" s="403"/>
      <c r="S173" s="403"/>
    </row>
    <row r="174" spans="5:19" x14ac:dyDescent="0.25">
      <c r="F174" s="167" t="s">
        <v>58</v>
      </c>
      <c r="G174" s="167" t="s">
        <v>137</v>
      </c>
      <c r="H174" s="167" t="s">
        <v>162</v>
      </c>
      <c r="I174" s="121"/>
      <c r="J174" s="397">
        <f t="shared" ref="J174:J197" si="13">CHOOSE(year_selection, L174,M174,N174,O174,P174,Q174,R174,S174)</f>
        <v>14748.66215848906</v>
      </c>
      <c r="K174" s="398"/>
      <c r="L174" s="521">
        <v>0</v>
      </c>
      <c r="M174" s="521">
        <v>1.1743477417091499</v>
      </c>
      <c r="N174" s="521">
        <v>407.69009225860009</v>
      </c>
      <c r="O174" s="521">
        <v>14748.66215848906</v>
      </c>
      <c r="P174" s="521">
        <v>16557.37958271664</v>
      </c>
      <c r="Q174" s="521">
        <v>18366.097006944216</v>
      </c>
      <c r="R174" s="521">
        <v>20174.814431171792</v>
      </c>
      <c r="S174" s="521">
        <v>21983.531855399371</v>
      </c>
    </row>
    <row r="175" spans="5:19" x14ac:dyDescent="0.25">
      <c r="F175" s="167" t="s">
        <v>59</v>
      </c>
      <c r="G175" s="167" t="s">
        <v>137</v>
      </c>
      <c r="H175" s="167" t="s">
        <v>162</v>
      </c>
      <c r="I175" s="121"/>
      <c r="J175" s="397">
        <f t="shared" si="13"/>
        <v>84561.767602422755</v>
      </c>
      <c r="K175" s="398"/>
      <c r="L175" s="521">
        <v>95233.940715984922</v>
      </c>
      <c r="M175" s="521">
        <v>97208.906304343545</v>
      </c>
      <c r="N175" s="521">
        <v>102822.85103167707</v>
      </c>
      <c r="O175" s="521">
        <v>84561.767602422755</v>
      </c>
      <c r="P175" s="521">
        <v>85831.5748863708</v>
      </c>
      <c r="Q175" s="521">
        <v>86786.702639526498</v>
      </c>
      <c r="R175" s="521">
        <v>87642.380245214794</v>
      </c>
      <c r="S175" s="521">
        <v>88498.057850903089</v>
      </c>
    </row>
    <row r="176" spans="5:19" x14ac:dyDescent="0.25">
      <c r="F176" s="167" t="s">
        <v>60</v>
      </c>
      <c r="G176" s="167" t="s">
        <v>137</v>
      </c>
      <c r="H176" s="167" t="s">
        <v>162</v>
      </c>
      <c r="I176" s="121"/>
      <c r="J176" s="397">
        <f t="shared" si="13"/>
        <v>1852935.9149048373</v>
      </c>
      <c r="K176" s="398"/>
      <c r="L176" s="521">
        <v>1894675.3101475697</v>
      </c>
      <c r="M176" s="521">
        <v>1873461.8232578468</v>
      </c>
      <c r="N176" s="521">
        <v>1904226.2757119203</v>
      </c>
      <c r="O176" s="521">
        <v>1852935.9149048373</v>
      </c>
      <c r="P176" s="521">
        <v>1883652.3697600686</v>
      </c>
      <c r="Q176" s="521">
        <v>1912552.671380993</v>
      </c>
      <c r="R176" s="521">
        <v>1940166.5750810597</v>
      </c>
      <c r="S176" s="521">
        <v>1967780.4787811267</v>
      </c>
    </row>
    <row r="177" spans="6:19" x14ac:dyDescent="0.25">
      <c r="F177" s="167" t="s">
        <v>61</v>
      </c>
      <c r="G177" s="167" t="s">
        <v>137</v>
      </c>
      <c r="H177" s="167" t="s">
        <v>162</v>
      </c>
      <c r="I177" s="121"/>
      <c r="J177" s="397">
        <f t="shared" si="13"/>
        <v>115440.36843887392</v>
      </c>
      <c r="K177" s="398"/>
      <c r="L177" s="521">
        <v>44564.626479186445</v>
      </c>
      <c r="M177" s="521">
        <v>51358.265878519451</v>
      </c>
      <c r="N177" s="521">
        <v>113614.12337049675</v>
      </c>
      <c r="O177" s="521">
        <v>115440.36843887392</v>
      </c>
      <c r="P177" s="521">
        <v>120566.41346750277</v>
      </c>
      <c r="Q177" s="521">
        <v>125841.46068868291</v>
      </c>
      <c r="R177" s="521">
        <v>131189.76772556387</v>
      </c>
      <c r="S177" s="521">
        <v>136538.07476244486</v>
      </c>
    </row>
    <row r="178" spans="6:19" x14ac:dyDescent="0.25">
      <c r="F178" s="167" t="s">
        <v>73</v>
      </c>
      <c r="G178" s="167" t="s">
        <v>137</v>
      </c>
      <c r="H178" s="167" t="s">
        <v>162</v>
      </c>
      <c r="I178" s="121"/>
      <c r="J178" s="397">
        <f t="shared" si="13"/>
        <v>1744020.8732995491</v>
      </c>
      <c r="K178" s="398"/>
      <c r="L178" s="521">
        <v>1709966.7600725745</v>
      </c>
      <c r="M178" s="521">
        <v>1689854.8002388913</v>
      </c>
      <c r="N178" s="521">
        <v>1767113.1570576252</v>
      </c>
      <c r="O178" s="521">
        <v>1744020.8732995491</v>
      </c>
      <c r="P178" s="521">
        <v>1751556.3837408798</v>
      </c>
      <c r="Q178" s="521">
        <v>1757435.3594337292</v>
      </c>
      <c r="R178" s="521">
        <v>1762312.8971646889</v>
      </c>
      <c r="S178" s="521">
        <v>1767190.4348956484</v>
      </c>
    </row>
    <row r="179" spans="6:19" x14ac:dyDescent="0.25">
      <c r="F179" s="167" t="s">
        <v>86</v>
      </c>
      <c r="G179" s="167" t="s">
        <v>137</v>
      </c>
      <c r="H179" s="167" t="s">
        <v>162</v>
      </c>
      <c r="I179" s="121"/>
      <c r="J179" s="403"/>
      <c r="K179" s="398"/>
      <c r="L179" s="403"/>
      <c r="M179" s="403"/>
      <c r="N179" s="403"/>
      <c r="O179" s="403"/>
      <c r="P179" s="403"/>
      <c r="Q179" s="403"/>
      <c r="R179" s="403"/>
      <c r="S179" s="403"/>
    </row>
    <row r="180" spans="6:19" x14ac:dyDescent="0.25">
      <c r="F180" s="167" t="s">
        <v>87</v>
      </c>
      <c r="G180" s="167" t="s">
        <v>137</v>
      </c>
      <c r="H180" s="167" t="s">
        <v>162</v>
      </c>
      <c r="I180" s="121"/>
      <c r="J180" s="403"/>
      <c r="K180" s="398"/>
      <c r="L180" s="403"/>
      <c r="M180" s="403"/>
      <c r="N180" s="403"/>
      <c r="O180" s="403"/>
      <c r="P180" s="403"/>
      <c r="Q180" s="403"/>
      <c r="R180" s="403"/>
      <c r="S180" s="403"/>
    </row>
    <row r="181" spans="6:19" x14ac:dyDescent="0.25">
      <c r="F181" s="167" t="s">
        <v>88</v>
      </c>
      <c r="G181" s="167" t="s">
        <v>137</v>
      </c>
      <c r="H181" s="167" t="s">
        <v>162</v>
      </c>
      <c r="I181" s="121"/>
      <c r="J181" s="403"/>
      <c r="K181" s="398"/>
      <c r="L181" s="403"/>
      <c r="M181" s="403"/>
      <c r="N181" s="403"/>
      <c r="O181" s="403"/>
      <c r="P181" s="403"/>
      <c r="Q181" s="403"/>
      <c r="R181" s="403"/>
      <c r="S181" s="403"/>
    </row>
    <row r="182" spans="6:19" x14ac:dyDescent="0.25">
      <c r="F182" s="167" t="s">
        <v>89</v>
      </c>
      <c r="G182" s="167" t="s">
        <v>137</v>
      </c>
      <c r="H182" s="167" t="s">
        <v>162</v>
      </c>
      <c r="I182" s="121"/>
      <c r="J182" s="403"/>
      <c r="K182" s="398"/>
      <c r="L182" s="403"/>
      <c r="M182" s="403"/>
      <c r="N182" s="403"/>
      <c r="O182" s="403"/>
      <c r="P182" s="403"/>
      <c r="Q182" s="403"/>
      <c r="R182" s="403"/>
      <c r="S182" s="403"/>
    </row>
    <row r="183" spans="6:19" x14ac:dyDescent="0.25">
      <c r="F183" s="167" t="s">
        <v>90</v>
      </c>
      <c r="G183" s="167" t="s">
        <v>137</v>
      </c>
      <c r="H183" s="167" t="s">
        <v>162</v>
      </c>
      <c r="I183" s="121"/>
      <c r="J183" s="397">
        <f t="shared" si="13"/>
        <v>135195.92288743221</v>
      </c>
      <c r="K183" s="398"/>
      <c r="L183" s="521">
        <v>135884.17366601451</v>
      </c>
      <c r="M183" s="521">
        <v>159998.46355300976</v>
      </c>
      <c r="N183" s="521">
        <v>143787.97921738744</v>
      </c>
      <c r="O183" s="521">
        <v>135195.92288743221</v>
      </c>
      <c r="P183" s="521">
        <v>135407.72397516537</v>
      </c>
      <c r="Q183" s="521">
        <v>135488.04132512826</v>
      </c>
      <c r="R183" s="521">
        <v>135508.46839363611</v>
      </c>
      <c r="S183" s="521">
        <v>135528.89546214399</v>
      </c>
    </row>
    <row r="184" spans="6:19" x14ac:dyDescent="0.25">
      <c r="F184" s="167" t="s">
        <v>62</v>
      </c>
      <c r="G184" s="167" t="s">
        <v>137</v>
      </c>
      <c r="H184" s="167" t="s">
        <v>162</v>
      </c>
      <c r="I184" s="121"/>
      <c r="J184" s="403"/>
      <c r="K184" s="398"/>
      <c r="L184" s="403"/>
      <c r="M184" s="403"/>
      <c r="N184" s="403"/>
      <c r="O184" s="403"/>
      <c r="P184" s="403"/>
      <c r="Q184" s="403"/>
      <c r="R184" s="403"/>
      <c r="S184" s="403"/>
    </row>
    <row r="185" spans="6:19" x14ac:dyDescent="0.25">
      <c r="F185" s="167" t="s">
        <v>63</v>
      </c>
      <c r="G185" s="167" t="s">
        <v>137</v>
      </c>
      <c r="H185" s="167" t="s">
        <v>162</v>
      </c>
      <c r="I185" s="121"/>
      <c r="J185" s="403"/>
      <c r="K185" s="398"/>
      <c r="L185" s="403"/>
      <c r="M185" s="403"/>
      <c r="N185" s="403"/>
      <c r="O185" s="403"/>
      <c r="P185" s="403"/>
      <c r="Q185" s="403"/>
      <c r="R185" s="403"/>
      <c r="S185" s="403"/>
    </row>
    <row r="186" spans="6:19" x14ac:dyDescent="0.25">
      <c r="F186" s="167" t="s">
        <v>64</v>
      </c>
      <c r="G186" s="167" t="s">
        <v>137</v>
      </c>
      <c r="H186" s="167" t="s">
        <v>162</v>
      </c>
      <c r="I186" s="121"/>
      <c r="J186" s="403"/>
      <c r="K186" s="398"/>
      <c r="L186" s="403"/>
      <c r="M186" s="403"/>
      <c r="N186" s="403"/>
      <c r="O186" s="403"/>
      <c r="P186" s="403"/>
      <c r="Q186" s="403"/>
      <c r="R186" s="403"/>
      <c r="S186" s="403"/>
    </row>
    <row r="187" spans="6:19" x14ac:dyDescent="0.25">
      <c r="F187" s="167" t="s">
        <v>65</v>
      </c>
      <c r="G187" s="167" t="s">
        <v>137</v>
      </c>
      <c r="H187" s="167" t="s">
        <v>162</v>
      </c>
      <c r="I187" s="121"/>
      <c r="J187" s="403"/>
      <c r="K187" s="398"/>
      <c r="L187" s="403"/>
      <c r="M187" s="403"/>
      <c r="N187" s="403"/>
      <c r="O187" s="403"/>
      <c r="P187" s="403"/>
      <c r="Q187" s="403"/>
      <c r="R187" s="403"/>
      <c r="S187" s="403"/>
    </row>
    <row r="188" spans="6:19" x14ac:dyDescent="0.25">
      <c r="F188" s="167" t="s">
        <v>66</v>
      </c>
      <c r="G188" s="167" t="s">
        <v>137</v>
      </c>
      <c r="H188" s="167" t="s">
        <v>162</v>
      </c>
      <c r="I188" s="121"/>
      <c r="J188" s="397">
        <f t="shared" si="13"/>
        <v>5014.6004963348978</v>
      </c>
      <c r="K188" s="398"/>
      <c r="L188" s="521">
        <v>3810.46945199215</v>
      </c>
      <c r="M188" s="521">
        <v>4311.9942515168168</v>
      </c>
      <c r="N188" s="521">
        <v>5432.858363816873</v>
      </c>
      <c r="O188" s="521">
        <v>5014.6004963348978</v>
      </c>
      <c r="P188" s="521">
        <v>5014.6004963348978</v>
      </c>
      <c r="Q188" s="521">
        <v>5014.6004963348978</v>
      </c>
      <c r="R188" s="521">
        <v>5014.6004963348978</v>
      </c>
      <c r="S188" s="521">
        <v>5014.6004963348978</v>
      </c>
    </row>
    <row r="189" spans="6:19" x14ac:dyDescent="0.25">
      <c r="F189" s="167" t="s">
        <v>67</v>
      </c>
      <c r="G189" s="167" t="s">
        <v>137</v>
      </c>
      <c r="H189" s="167" t="s">
        <v>162</v>
      </c>
      <c r="I189" s="121"/>
      <c r="J189" s="397">
        <f t="shared" si="13"/>
        <v>0</v>
      </c>
      <c r="K189" s="398"/>
      <c r="L189" s="521">
        <v>0</v>
      </c>
      <c r="M189" s="521">
        <v>0</v>
      </c>
      <c r="N189" s="521">
        <v>0</v>
      </c>
      <c r="O189" s="521">
        <v>0</v>
      </c>
      <c r="P189" s="521">
        <v>0</v>
      </c>
      <c r="Q189" s="521">
        <v>0</v>
      </c>
      <c r="R189" s="521">
        <v>0</v>
      </c>
      <c r="S189" s="521">
        <v>0</v>
      </c>
    </row>
    <row r="190" spans="6:19" x14ac:dyDescent="0.25">
      <c r="F190" s="167" t="s">
        <v>68</v>
      </c>
      <c r="G190" s="167" t="s">
        <v>137</v>
      </c>
      <c r="H190" s="167" t="s">
        <v>162</v>
      </c>
      <c r="I190" s="121"/>
      <c r="J190" s="403"/>
      <c r="K190" s="398"/>
      <c r="L190" s="403"/>
      <c r="M190" s="403"/>
      <c r="N190" s="403"/>
      <c r="O190" s="403"/>
      <c r="P190" s="403"/>
      <c r="Q190" s="403"/>
      <c r="R190" s="403"/>
      <c r="S190" s="403"/>
    </row>
    <row r="191" spans="6:19" x14ac:dyDescent="0.25">
      <c r="F191" s="167" t="s">
        <v>69</v>
      </c>
      <c r="G191" s="167" t="s">
        <v>137</v>
      </c>
      <c r="H191" s="167" t="s">
        <v>162</v>
      </c>
      <c r="I191" s="121"/>
      <c r="J191" s="403"/>
      <c r="K191" s="398"/>
      <c r="L191" s="403"/>
      <c r="M191" s="403"/>
      <c r="N191" s="403"/>
      <c r="O191" s="403"/>
      <c r="P191" s="403"/>
      <c r="Q191" s="403"/>
      <c r="R191" s="403"/>
      <c r="S191" s="403"/>
    </row>
    <row r="192" spans="6:19" x14ac:dyDescent="0.25">
      <c r="F192" s="167" t="s">
        <v>70</v>
      </c>
      <c r="G192" s="167" t="s">
        <v>137</v>
      </c>
      <c r="H192" s="167" t="s">
        <v>162</v>
      </c>
      <c r="I192" s="121"/>
      <c r="J192" s="397">
        <f t="shared" si="13"/>
        <v>0</v>
      </c>
      <c r="K192" s="398"/>
      <c r="L192" s="521">
        <v>0</v>
      </c>
      <c r="M192" s="521">
        <v>0</v>
      </c>
      <c r="N192" s="521">
        <v>0</v>
      </c>
      <c r="O192" s="521">
        <v>0</v>
      </c>
      <c r="P192" s="521">
        <v>0</v>
      </c>
      <c r="Q192" s="521">
        <v>0</v>
      </c>
      <c r="R192" s="521">
        <v>0</v>
      </c>
      <c r="S192" s="521">
        <v>0</v>
      </c>
    </row>
    <row r="193" spans="5:19" x14ac:dyDescent="0.25">
      <c r="F193" s="167" t="s">
        <v>71</v>
      </c>
      <c r="G193" s="167" t="s">
        <v>137</v>
      </c>
      <c r="H193" s="167" t="s">
        <v>162</v>
      </c>
      <c r="I193" s="121"/>
      <c r="J193" s="397">
        <f t="shared" si="13"/>
        <v>0</v>
      </c>
      <c r="K193" s="398"/>
      <c r="L193" s="521">
        <v>0</v>
      </c>
      <c r="M193" s="521">
        <v>0</v>
      </c>
      <c r="N193" s="521">
        <v>0</v>
      </c>
      <c r="O193" s="521">
        <v>0</v>
      </c>
      <c r="P193" s="521">
        <v>0</v>
      </c>
      <c r="Q193" s="521">
        <v>0</v>
      </c>
      <c r="R193" s="521">
        <v>0</v>
      </c>
      <c r="S193" s="521">
        <v>0</v>
      </c>
    </row>
    <row r="194" spans="5:19" x14ac:dyDescent="0.25">
      <c r="F194" s="167" t="s">
        <v>74</v>
      </c>
      <c r="G194" s="167" t="s">
        <v>137</v>
      </c>
      <c r="H194" s="167" t="s">
        <v>162</v>
      </c>
      <c r="I194" s="121"/>
      <c r="J194" s="403"/>
      <c r="K194" s="398"/>
      <c r="L194" s="403"/>
      <c r="M194" s="403"/>
      <c r="N194" s="403"/>
      <c r="O194" s="403"/>
      <c r="P194" s="403"/>
      <c r="Q194" s="403"/>
      <c r="R194" s="403"/>
      <c r="S194" s="403"/>
    </row>
    <row r="195" spans="5:19" x14ac:dyDescent="0.25">
      <c r="F195" s="167" t="s">
        <v>75</v>
      </c>
      <c r="G195" s="167" t="s">
        <v>137</v>
      </c>
      <c r="H195" s="167" t="s">
        <v>162</v>
      </c>
      <c r="I195" s="121"/>
      <c r="J195" s="403"/>
      <c r="K195" s="398"/>
      <c r="L195" s="403"/>
      <c r="M195" s="403"/>
      <c r="N195" s="403"/>
      <c r="O195" s="403"/>
      <c r="P195" s="403"/>
      <c r="Q195" s="403"/>
      <c r="R195" s="403"/>
      <c r="S195" s="403"/>
    </row>
    <row r="196" spans="5:19" x14ac:dyDescent="0.25">
      <c r="F196" s="167" t="s">
        <v>76</v>
      </c>
      <c r="G196" s="167" t="s">
        <v>137</v>
      </c>
      <c r="H196" s="167" t="s">
        <v>162</v>
      </c>
      <c r="I196" s="121"/>
      <c r="J196" s="397">
        <f t="shared" si="13"/>
        <v>227982.97660961846</v>
      </c>
      <c r="K196" s="398"/>
      <c r="L196" s="521">
        <v>216393.98375239945</v>
      </c>
      <c r="M196" s="521">
        <v>218335.14002914238</v>
      </c>
      <c r="N196" s="521">
        <v>246702.87144444641</v>
      </c>
      <c r="O196" s="521">
        <v>227982.97660961846</v>
      </c>
      <c r="P196" s="521">
        <v>227982.97660961846</v>
      </c>
      <c r="Q196" s="521">
        <v>227982.97660961846</v>
      </c>
      <c r="R196" s="521">
        <v>227982.97660961846</v>
      </c>
      <c r="S196" s="521">
        <v>227982.97660961846</v>
      </c>
    </row>
    <row r="197" spans="5:19" x14ac:dyDescent="0.25">
      <c r="F197" s="168" t="s">
        <v>77</v>
      </c>
      <c r="G197" s="168" t="s">
        <v>137</v>
      </c>
      <c r="H197" s="168" t="s">
        <v>162</v>
      </c>
      <c r="I197" s="262"/>
      <c r="J197" s="399">
        <f t="shared" si="13"/>
        <v>0</v>
      </c>
      <c r="K197" s="400"/>
      <c r="L197" s="522">
        <v>0</v>
      </c>
      <c r="M197" s="522">
        <v>0</v>
      </c>
      <c r="N197" s="522">
        <v>0</v>
      </c>
      <c r="O197" s="522">
        <v>0</v>
      </c>
      <c r="P197" s="522">
        <v>0</v>
      </c>
      <c r="Q197" s="522">
        <v>0</v>
      </c>
      <c r="R197" s="522">
        <v>0</v>
      </c>
      <c r="S197" s="522">
        <v>0</v>
      </c>
    </row>
    <row r="198" spans="5:19" x14ac:dyDescent="0.25">
      <c r="J198" s="401"/>
      <c r="K198" s="401"/>
      <c r="L198" s="401"/>
      <c r="M198" s="401"/>
      <c r="N198" s="401"/>
      <c r="O198" s="401"/>
      <c r="P198" s="401"/>
      <c r="Q198" s="401"/>
      <c r="R198" s="401"/>
      <c r="S198" s="401"/>
    </row>
    <row r="199" spans="5:19" x14ac:dyDescent="0.25">
      <c r="E199" s="261" t="s">
        <v>91</v>
      </c>
      <c r="J199" s="401"/>
      <c r="K199" s="401"/>
      <c r="L199" s="401"/>
      <c r="M199" s="401"/>
      <c r="N199" s="401"/>
      <c r="O199" s="401"/>
      <c r="P199" s="401"/>
      <c r="Q199" s="401"/>
      <c r="R199" s="401"/>
      <c r="S199" s="401"/>
    </row>
    <row r="200" spans="5:19" x14ac:dyDescent="0.25">
      <c r="F200" s="166" t="s">
        <v>52</v>
      </c>
      <c r="G200" s="166" t="s">
        <v>91</v>
      </c>
      <c r="H200" s="166" t="s">
        <v>162</v>
      </c>
      <c r="I200" s="201"/>
      <c r="J200" s="395">
        <f t="shared" ref="J200:J232" si="14">CHOOSE(year_selection, L200,M200,N200,O200,P200,Q200,R200,S200)</f>
        <v>2614336.2413237519</v>
      </c>
      <c r="K200" s="396"/>
      <c r="L200" s="520">
        <v>2524382.8647714821</v>
      </c>
      <c r="M200" s="520">
        <v>2547362.8990061325</v>
      </c>
      <c r="N200" s="520">
        <v>2612055.2731063184</v>
      </c>
      <c r="O200" s="520">
        <v>2614336.2413237519</v>
      </c>
      <c r="P200" s="520">
        <v>2628677.4829530478</v>
      </c>
      <c r="Q200" s="520">
        <v>2643256.0323357638</v>
      </c>
      <c r="R200" s="520">
        <v>2658256.8039407022</v>
      </c>
      <c r="S200" s="520">
        <v>2673257.5755456407</v>
      </c>
    </row>
    <row r="201" spans="5:19" x14ac:dyDescent="0.25">
      <c r="F201" s="167" t="s">
        <v>53</v>
      </c>
      <c r="G201" s="167" t="s">
        <v>91</v>
      </c>
      <c r="H201" s="167" t="s">
        <v>162</v>
      </c>
      <c r="I201" s="121"/>
      <c r="J201" s="397">
        <f t="shared" si="14"/>
        <v>249507.66931899733</v>
      </c>
      <c r="K201" s="398"/>
      <c r="L201" s="521">
        <v>276667.28769034939</v>
      </c>
      <c r="M201" s="521">
        <v>277408.71800092299</v>
      </c>
      <c r="N201" s="521">
        <v>250085.32648060602</v>
      </c>
      <c r="O201" s="521">
        <v>249507.66931899733</v>
      </c>
      <c r="P201" s="521">
        <v>249197.04706130261</v>
      </c>
      <c r="Q201" s="521">
        <v>248854.41278318994</v>
      </c>
      <c r="R201" s="521">
        <v>248500.58165124987</v>
      </c>
      <c r="S201" s="521">
        <v>248146.7505193098</v>
      </c>
    </row>
    <row r="202" spans="5:19" x14ac:dyDescent="0.25">
      <c r="F202" s="167" t="s">
        <v>84</v>
      </c>
      <c r="G202" s="167" t="s">
        <v>91</v>
      </c>
      <c r="H202" s="167" t="s">
        <v>162</v>
      </c>
      <c r="I202" s="121"/>
      <c r="J202" s="397">
        <f t="shared" si="14"/>
        <v>44801.254681196289</v>
      </c>
      <c r="K202" s="398"/>
      <c r="L202" s="521">
        <v>53174</v>
      </c>
      <c r="M202" s="521">
        <v>50387.773206135847</v>
      </c>
      <c r="N202" s="521">
        <v>47809.270744602829</v>
      </c>
      <c r="O202" s="521">
        <v>44801.254681196289</v>
      </c>
      <c r="P202" s="521">
        <v>42617.701440455559</v>
      </c>
      <c r="Q202" s="521">
        <v>40457.701440455559</v>
      </c>
      <c r="R202" s="521">
        <v>38297.701440455559</v>
      </c>
      <c r="S202" s="521">
        <v>36137.701440455559</v>
      </c>
    </row>
    <row r="203" spans="5:19" x14ac:dyDescent="0.25">
      <c r="F203" s="167" t="s">
        <v>54</v>
      </c>
      <c r="G203" s="167" t="s">
        <v>91</v>
      </c>
      <c r="H203" s="167" t="s">
        <v>162</v>
      </c>
      <c r="I203" s="121"/>
      <c r="J203" s="397">
        <f t="shared" si="14"/>
        <v>194209.09842697342</v>
      </c>
      <c r="K203" s="398"/>
      <c r="L203" s="521">
        <v>190766.56122425303</v>
      </c>
      <c r="M203" s="521">
        <v>190438.99287086914</v>
      </c>
      <c r="N203" s="521">
        <v>193349.52168561521</v>
      </c>
      <c r="O203" s="521">
        <v>194209.09842697342</v>
      </c>
      <c r="P203" s="521">
        <v>194569.09842697342</v>
      </c>
      <c r="Q203" s="521">
        <v>194929.09842697342</v>
      </c>
      <c r="R203" s="521">
        <v>195289.09842697342</v>
      </c>
      <c r="S203" s="521">
        <v>195649.09842697342</v>
      </c>
    </row>
    <row r="204" spans="5:19" x14ac:dyDescent="0.25">
      <c r="F204" s="167" t="s">
        <v>55</v>
      </c>
      <c r="G204" s="167" t="s">
        <v>91</v>
      </c>
      <c r="H204" s="167" t="s">
        <v>162</v>
      </c>
      <c r="I204" s="121"/>
      <c r="J204" s="397">
        <f t="shared" si="14"/>
        <v>30953.589782380437</v>
      </c>
      <c r="K204" s="398"/>
      <c r="L204" s="521">
        <v>31694.740180362216</v>
      </c>
      <c r="M204" s="521">
        <v>31330.460504520484</v>
      </c>
      <c r="N204" s="521">
        <v>31214.748919686564</v>
      </c>
      <c r="O204" s="521">
        <v>30953.589782380437</v>
      </c>
      <c r="P204" s="521">
        <v>30837.83868545834</v>
      </c>
      <c r="Q204" s="521">
        <v>30734.892396703417</v>
      </c>
      <c r="R204" s="521">
        <v>30636.424849479456</v>
      </c>
      <c r="S204" s="521">
        <v>30537.957302255494</v>
      </c>
    </row>
    <row r="205" spans="5:19" x14ac:dyDescent="0.25">
      <c r="F205" s="167" t="s">
        <v>85</v>
      </c>
      <c r="G205" s="167" t="s">
        <v>91</v>
      </c>
      <c r="H205" s="167" t="s">
        <v>162</v>
      </c>
      <c r="I205" s="121"/>
      <c r="J205" s="397">
        <f t="shared" si="14"/>
        <v>5572.2471252403921</v>
      </c>
      <c r="K205" s="398"/>
      <c r="L205" s="521">
        <v>6098.3373041588738</v>
      </c>
      <c r="M205" s="521">
        <v>5557.6329128098123</v>
      </c>
      <c r="N205" s="521">
        <v>5789.937572338742</v>
      </c>
      <c r="O205" s="521">
        <v>5572.2471252403921</v>
      </c>
      <c r="P205" s="521">
        <v>5406.3715767793519</v>
      </c>
      <c r="Q205" s="521">
        <v>5246.8984324018893</v>
      </c>
      <c r="R205" s="521">
        <v>5089.6646587899095</v>
      </c>
      <c r="S205" s="521">
        <v>4932.4308851779297</v>
      </c>
    </row>
    <row r="206" spans="5:19" x14ac:dyDescent="0.25">
      <c r="F206" s="167" t="s">
        <v>56</v>
      </c>
      <c r="G206" s="167" t="s">
        <v>91</v>
      </c>
      <c r="H206" s="167" t="s">
        <v>162</v>
      </c>
      <c r="I206" s="121"/>
      <c r="J206" s="397">
        <f t="shared" si="14"/>
        <v>1417.7198422895481</v>
      </c>
      <c r="K206" s="398"/>
      <c r="L206" s="521">
        <v>2072.5</v>
      </c>
      <c r="M206" s="521">
        <v>1</v>
      </c>
      <c r="N206" s="521">
        <v>661.5</v>
      </c>
      <c r="O206" s="521">
        <v>1417.7198422895481</v>
      </c>
      <c r="P206" s="521">
        <v>1294.0212498860076</v>
      </c>
      <c r="Q206" s="521">
        <v>1174.0212498860076</v>
      </c>
      <c r="R206" s="521">
        <v>1054.0212498860076</v>
      </c>
      <c r="S206" s="521">
        <v>934.02124988600758</v>
      </c>
    </row>
    <row r="207" spans="5:19" x14ac:dyDescent="0.25">
      <c r="F207" s="167" t="s">
        <v>57</v>
      </c>
      <c r="G207" s="167" t="s">
        <v>91</v>
      </c>
      <c r="H207" s="167" t="s">
        <v>162</v>
      </c>
      <c r="I207" s="121"/>
      <c r="J207" s="397">
        <f t="shared" si="14"/>
        <v>0</v>
      </c>
      <c r="K207" s="398"/>
      <c r="L207" s="521">
        <v>0</v>
      </c>
      <c r="M207" s="521">
        <v>1</v>
      </c>
      <c r="N207" s="521">
        <v>0</v>
      </c>
      <c r="O207" s="521">
        <v>0</v>
      </c>
      <c r="P207" s="521">
        <v>0</v>
      </c>
      <c r="Q207" s="521">
        <v>0</v>
      </c>
      <c r="R207" s="521">
        <v>0</v>
      </c>
      <c r="S207" s="521">
        <v>0</v>
      </c>
    </row>
    <row r="208" spans="5:19" x14ac:dyDescent="0.25">
      <c r="F208" s="167" t="s">
        <v>72</v>
      </c>
      <c r="G208" s="167" t="s">
        <v>91</v>
      </c>
      <c r="H208" s="167" t="s">
        <v>162</v>
      </c>
      <c r="I208" s="121"/>
      <c r="J208" s="397">
        <f t="shared" si="14"/>
        <v>4</v>
      </c>
      <c r="K208" s="398"/>
      <c r="L208" s="521">
        <v>19</v>
      </c>
      <c r="M208" s="521">
        <v>1</v>
      </c>
      <c r="N208" s="521">
        <v>5</v>
      </c>
      <c r="O208" s="521">
        <v>4</v>
      </c>
      <c r="P208" s="521">
        <v>4</v>
      </c>
      <c r="Q208" s="521">
        <v>4</v>
      </c>
      <c r="R208" s="521">
        <v>4</v>
      </c>
      <c r="S208" s="521">
        <v>4</v>
      </c>
    </row>
    <row r="209" spans="6:19" x14ac:dyDescent="0.25">
      <c r="F209" s="167" t="s">
        <v>58</v>
      </c>
      <c r="G209" s="167" t="s">
        <v>91</v>
      </c>
      <c r="H209" s="167" t="s">
        <v>162</v>
      </c>
      <c r="I209" s="121"/>
      <c r="J209" s="397">
        <f t="shared" si="14"/>
        <v>9733.7777777777792</v>
      </c>
      <c r="K209" s="398"/>
      <c r="L209" s="521">
        <v>0</v>
      </c>
      <c r="M209" s="521">
        <v>1</v>
      </c>
      <c r="N209" s="521">
        <v>160.5</v>
      </c>
      <c r="O209" s="521">
        <v>9733.7777777777792</v>
      </c>
      <c r="P209" s="521">
        <v>10933.777777777779</v>
      </c>
      <c r="Q209" s="521">
        <v>12133.777777777779</v>
      </c>
      <c r="R209" s="521">
        <v>13333.777777777779</v>
      </c>
      <c r="S209" s="521">
        <v>14533.777777777779</v>
      </c>
    </row>
    <row r="210" spans="6:19" x14ac:dyDescent="0.25">
      <c r="F210" s="167" t="s">
        <v>59</v>
      </c>
      <c r="G210" s="167" t="s">
        <v>91</v>
      </c>
      <c r="H210" s="167" t="s">
        <v>162</v>
      </c>
      <c r="I210" s="121"/>
      <c r="J210" s="397">
        <f t="shared" si="14"/>
        <v>3801.3479683887344</v>
      </c>
      <c r="K210" s="398"/>
      <c r="L210" s="521">
        <v>6100</v>
      </c>
      <c r="M210" s="521">
        <v>6036</v>
      </c>
      <c r="N210" s="521">
        <v>4517.1666666666652</v>
      </c>
      <c r="O210" s="521">
        <v>3801.3479683887344</v>
      </c>
      <c r="P210" s="521">
        <v>3857.8387837915238</v>
      </c>
      <c r="Q210" s="521">
        <v>3900.7850725464491</v>
      </c>
      <c r="R210" s="521">
        <v>3939.2526197704065</v>
      </c>
      <c r="S210" s="521">
        <v>3977.7201669943638</v>
      </c>
    </row>
    <row r="211" spans="6:19" x14ac:dyDescent="0.25">
      <c r="F211" s="167" t="s">
        <v>60</v>
      </c>
      <c r="G211" s="167" t="s">
        <v>91</v>
      </c>
      <c r="H211" s="167" t="s">
        <v>162</v>
      </c>
      <c r="I211" s="121"/>
      <c r="J211" s="397">
        <f t="shared" si="14"/>
        <v>21731.709871195584</v>
      </c>
      <c r="K211" s="398"/>
      <c r="L211" s="521">
        <v>19118.906863840646</v>
      </c>
      <c r="M211" s="521">
        <v>21227</v>
      </c>
      <c r="N211" s="521">
        <v>21817.5</v>
      </c>
      <c r="O211" s="521">
        <v>21731.709871195584</v>
      </c>
      <c r="P211" s="521">
        <v>22107.639762361254</v>
      </c>
      <c r="Q211" s="521">
        <v>22512.010612662674</v>
      </c>
      <c r="R211" s="521">
        <v>22926.458631408768</v>
      </c>
      <c r="S211" s="521">
        <v>23340.906650154862</v>
      </c>
    </row>
    <row r="212" spans="6:19" x14ac:dyDescent="0.25">
      <c r="F212" s="167" t="s">
        <v>61</v>
      </c>
      <c r="G212" s="167" t="s">
        <v>91</v>
      </c>
      <c r="H212" s="167" t="s">
        <v>162</v>
      </c>
      <c r="I212" s="121"/>
      <c r="J212" s="397">
        <f t="shared" si="14"/>
        <v>256.88272060595517</v>
      </c>
      <c r="K212" s="398"/>
      <c r="L212" s="521">
        <v>85.903898692167616</v>
      </c>
      <c r="M212" s="521">
        <v>115.82499999999986</v>
      </c>
      <c r="N212" s="521">
        <v>197.21487914662188</v>
      </c>
      <c r="O212" s="521">
        <v>256.88272060595517</v>
      </c>
      <c r="P212" s="521">
        <v>268.88272060595517</v>
      </c>
      <c r="Q212" s="521">
        <v>280.88272060595517</v>
      </c>
      <c r="R212" s="521">
        <v>292.88272060595517</v>
      </c>
      <c r="S212" s="521">
        <v>304.88272060595517</v>
      </c>
    </row>
    <row r="213" spans="6:19" x14ac:dyDescent="0.25">
      <c r="F213" s="167" t="s">
        <v>73</v>
      </c>
      <c r="G213" s="167" t="s">
        <v>91</v>
      </c>
      <c r="H213" s="167" t="s">
        <v>162</v>
      </c>
      <c r="I213" s="121"/>
      <c r="J213" s="397">
        <f t="shared" si="14"/>
        <v>1862</v>
      </c>
      <c r="K213" s="398"/>
      <c r="L213" s="521">
        <v>1787.085575810185</v>
      </c>
      <c r="M213" s="521">
        <v>1801.827488728067</v>
      </c>
      <c r="N213" s="521">
        <v>1851.4752766254244</v>
      </c>
      <c r="O213" s="521">
        <v>1862</v>
      </c>
      <c r="P213" s="521">
        <v>1886</v>
      </c>
      <c r="Q213" s="521">
        <v>1910</v>
      </c>
      <c r="R213" s="521">
        <v>1934</v>
      </c>
      <c r="S213" s="521">
        <v>1958</v>
      </c>
    </row>
    <row r="214" spans="6:19" x14ac:dyDescent="0.25">
      <c r="F214" s="167" t="s">
        <v>86</v>
      </c>
      <c r="G214" s="167" t="s">
        <v>91</v>
      </c>
      <c r="H214" s="167" t="s">
        <v>162</v>
      </c>
      <c r="I214" s="121"/>
      <c r="J214" s="397">
        <f t="shared" si="14"/>
        <v>2107.666666666667</v>
      </c>
      <c r="K214" s="398"/>
      <c r="L214" s="521">
        <v>2050.5452413166381</v>
      </c>
      <c r="M214" s="521">
        <v>2097.6189337081132</v>
      </c>
      <c r="N214" s="521">
        <v>2090.8888888888891</v>
      </c>
      <c r="O214" s="521">
        <v>2107.666666666667</v>
      </c>
      <c r="P214" s="521">
        <v>2107.666666666667</v>
      </c>
      <c r="Q214" s="521">
        <v>2107.666666666667</v>
      </c>
      <c r="R214" s="521">
        <v>2107.666666666667</v>
      </c>
      <c r="S214" s="521">
        <v>2107.666666666667</v>
      </c>
    </row>
    <row r="215" spans="6:19" x14ac:dyDescent="0.25">
      <c r="F215" s="167" t="s">
        <v>87</v>
      </c>
      <c r="G215" s="167" t="s">
        <v>91</v>
      </c>
      <c r="H215" s="167" t="s">
        <v>162</v>
      </c>
      <c r="I215" s="121"/>
      <c r="J215" s="397">
        <f t="shared" si="14"/>
        <v>1294.6666666666665</v>
      </c>
      <c r="K215" s="398"/>
      <c r="L215" s="521">
        <v>1234</v>
      </c>
      <c r="M215" s="521">
        <v>1281.4249999999986</v>
      </c>
      <c r="N215" s="521">
        <v>1264.5555555555554</v>
      </c>
      <c r="O215" s="521">
        <v>1294.6666666666665</v>
      </c>
      <c r="P215" s="521">
        <v>1294.6666666666665</v>
      </c>
      <c r="Q215" s="521">
        <v>1294.6666666666665</v>
      </c>
      <c r="R215" s="521">
        <v>1294.6666666666665</v>
      </c>
      <c r="S215" s="521">
        <v>1294.6666666666665</v>
      </c>
    </row>
    <row r="216" spans="6:19" x14ac:dyDescent="0.25">
      <c r="F216" s="167" t="s">
        <v>88</v>
      </c>
      <c r="G216" s="167" t="s">
        <v>91</v>
      </c>
      <c r="H216" s="167" t="s">
        <v>162</v>
      </c>
      <c r="I216" s="121"/>
      <c r="J216" s="397">
        <f t="shared" si="14"/>
        <v>136</v>
      </c>
      <c r="K216" s="398"/>
      <c r="L216" s="521">
        <v>130</v>
      </c>
      <c r="M216" s="521">
        <v>133</v>
      </c>
      <c r="N216" s="521">
        <v>133</v>
      </c>
      <c r="O216" s="521">
        <v>136</v>
      </c>
      <c r="P216" s="521">
        <v>136</v>
      </c>
      <c r="Q216" s="521">
        <v>136</v>
      </c>
      <c r="R216" s="521">
        <v>136</v>
      </c>
      <c r="S216" s="521">
        <v>136</v>
      </c>
    </row>
    <row r="217" spans="6:19" x14ac:dyDescent="0.25">
      <c r="F217" s="167" t="s">
        <v>89</v>
      </c>
      <c r="G217" s="167" t="s">
        <v>91</v>
      </c>
      <c r="H217" s="167" t="s">
        <v>162</v>
      </c>
      <c r="I217" s="121"/>
      <c r="J217" s="397">
        <f t="shared" si="14"/>
        <v>9</v>
      </c>
      <c r="K217" s="398"/>
      <c r="L217" s="521">
        <v>10</v>
      </c>
      <c r="M217" s="521">
        <v>8</v>
      </c>
      <c r="N217" s="521">
        <v>8</v>
      </c>
      <c r="O217" s="521">
        <v>9</v>
      </c>
      <c r="P217" s="521">
        <v>9</v>
      </c>
      <c r="Q217" s="521">
        <v>9</v>
      </c>
      <c r="R217" s="521">
        <v>9</v>
      </c>
      <c r="S217" s="521">
        <v>9</v>
      </c>
    </row>
    <row r="218" spans="6:19" x14ac:dyDescent="0.25">
      <c r="F218" s="167" t="s">
        <v>90</v>
      </c>
      <c r="G218" s="167" t="s">
        <v>91</v>
      </c>
      <c r="H218" s="167" t="s">
        <v>162</v>
      </c>
      <c r="I218" s="121"/>
      <c r="J218" s="397">
        <f t="shared" si="14"/>
        <v>41</v>
      </c>
      <c r="K218" s="398"/>
      <c r="L218" s="521">
        <v>36</v>
      </c>
      <c r="M218" s="521">
        <v>39</v>
      </c>
      <c r="N218" s="521">
        <v>38</v>
      </c>
      <c r="O218" s="521">
        <v>41</v>
      </c>
      <c r="P218" s="521">
        <v>41</v>
      </c>
      <c r="Q218" s="521">
        <v>41</v>
      </c>
      <c r="R218" s="521">
        <v>41</v>
      </c>
      <c r="S218" s="521">
        <v>41</v>
      </c>
    </row>
    <row r="219" spans="6:19" x14ac:dyDescent="0.25">
      <c r="F219" s="167" t="s">
        <v>62</v>
      </c>
      <c r="G219" s="167" t="s">
        <v>91</v>
      </c>
      <c r="H219" s="167" t="s">
        <v>162</v>
      </c>
      <c r="I219" s="121"/>
      <c r="J219" s="397">
        <f t="shared" si="14"/>
        <v>1105.7222222222224</v>
      </c>
      <c r="K219" s="398"/>
      <c r="L219" s="521">
        <v>946</v>
      </c>
      <c r="M219" s="521">
        <v>941</v>
      </c>
      <c r="N219" s="521">
        <v>1150.7222222222224</v>
      </c>
      <c r="O219" s="521">
        <v>1105.7222222222224</v>
      </c>
      <c r="P219" s="521">
        <v>1117.7222222222224</v>
      </c>
      <c r="Q219" s="521">
        <v>1129.7222222222224</v>
      </c>
      <c r="R219" s="521">
        <v>1141.7222222222224</v>
      </c>
      <c r="S219" s="521">
        <v>1153.7222222222224</v>
      </c>
    </row>
    <row r="220" spans="6:19" x14ac:dyDescent="0.25">
      <c r="F220" s="167" t="s">
        <v>63</v>
      </c>
      <c r="G220" s="167" t="s">
        <v>91</v>
      </c>
      <c r="H220" s="167" t="s">
        <v>162</v>
      </c>
      <c r="I220" s="121"/>
      <c r="J220" s="397">
        <f t="shared" si="14"/>
        <v>45</v>
      </c>
      <c r="K220" s="398"/>
      <c r="L220" s="521">
        <v>34</v>
      </c>
      <c r="M220" s="521">
        <v>51</v>
      </c>
      <c r="N220" s="521">
        <v>57</v>
      </c>
      <c r="O220" s="521">
        <v>45</v>
      </c>
      <c r="P220" s="521">
        <v>45</v>
      </c>
      <c r="Q220" s="521">
        <v>45</v>
      </c>
      <c r="R220" s="521">
        <v>45</v>
      </c>
      <c r="S220" s="521">
        <v>45</v>
      </c>
    </row>
    <row r="221" spans="6:19" x14ac:dyDescent="0.25">
      <c r="F221" s="167" t="s">
        <v>64</v>
      </c>
      <c r="G221" s="167" t="s">
        <v>91</v>
      </c>
      <c r="H221" s="167" t="s">
        <v>162</v>
      </c>
      <c r="I221" s="121"/>
      <c r="J221" s="397">
        <f t="shared" si="14"/>
        <v>808.8746645937498</v>
      </c>
      <c r="K221" s="398"/>
      <c r="L221" s="521">
        <v>645.62908507204213</v>
      </c>
      <c r="M221" s="521">
        <v>758.79010962893005</v>
      </c>
      <c r="N221" s="521">
        <v>792.16244248423288</v>
      </c>
      <c r="O221" s="521">
        <v>808.8746645937498</v>
      </c>
      <c r="P221" s="521">
        <v>872.34780897121288</v>
      </c>
      <c r="Q221" s="521">
        <v>933.58158258319156</v>
      </c>
      <c r="R221" s="521">
        <v>994.13656825952239</v>
      </c>
      <c r="S221" s="521">
        <v>1054.6915539358533</v>
      </c>
    </row>
    <row r="222" spans="6:19" x14ac:dyDescent="0.25">
      <c r="F222" s="167" t="s">
        <v>65</v>
      </c>
      <c r="G222" s="167" t="s">
        <v>91</v>
      </c>
      <c r="H222" s="167" t="s">
        <v>162</v>
      </c>
      <c r="I222" s="121"/>
      <c r="J222" s="397">
        <f t="shared" si="14"/>
        <v>0</v>
      </c>
      <c r="K222" s="398"/>
      <c r="L222" s="521">
        <v>0</v>
      </c>
      <c r="M222" s="521">
        <v>0</v>
      </c>
      <c r="N222" s="521">
        <v>0</v>
      </c>
      <c r="O222" s="521">
        <v>0</v>
      </c>
      <c r="P222" s="521">
        <v>0</v>
      </c>
      <c r="Q222" s="521">
        <v>0</v>
      </c>
      <c r="R222" s="521">
        <v>0</v>
      </c>
      <c r="S222" s="521">
        <v>0</v>
      </c>
    </row>
    <row r="223" spans="6:19" x14ac:dyDescent="0.25">
      <c r="F223" s="167" t="s">
        <v>66</v>
      </c>
      <c r="G223" s="167" t="s">
        <v>91</v>
      </c>
      <c r="H223" s="167" t="s">
        <v>162</v>
      </c>
      <c r="I223" s="121"/>
      <c r="J223" s="397">
        <f t="shared" si="14"/>
        <v>45</v>
      </c>
      <c r="K223" s="398"/>
      <c r="L223" s="521">
        <v>63.813578135056368</v>
      </c>
      <c r="M223" s="521">
        <v>58.750377387430824</v>
      </c>
      <c r="N223" s="521">
        <v>47</v>
      </c>
      <c r="O223" s="521">
        <v>45</v>
      </c>
      <c r="P223" s="521">
        <v>45</v>
      </c>
      <c r="Q223" s="521">
        <v>45</v>
      </c>
      <c r="R223" s="521">
        <v>45</v>
      </c>
      <c r="S223" s="521">
        <v>45</v>
      </c>
    </row>
    <row r="224" spans="6:19" x14ac:dyDescent="0.25">
      <c r="F224" s="167" t="s">
        <v>67</v>
      </c>
      <c r="G224" s="167" t="s">
        <v>91</v>
      </c>
      <c r="H224" s="167" t="s">
        <v>162</v>
      </c>
      <c r="I224" s="121"/>
      <c r="J224" s="397">
        <f t="shared" si="14"/>
        <v>0</v>
      </c>
      <c r="K224" s="398"/>
      <c r="L224" s="521">
        <v>0</v>
      </c>
      <c r="M224" s="521">
        <v>0</v>
      </c>
      <c r="N224" s="521">
        <v>0</v>
      </c>
      <c r="O224" s="521">
        <v>0</v>
      </c>
      <c r="P224" s="521">
        <v>0</v>
      </c>
      <c r="Q224" s="521">
        <v>0</v>
      </c>
      <c r="R224" s="521">
        <v>0</v>
      </c>
      <c r="S224" s="521">
        <v>0</v>
      </c>
    </row>
    <row r="225" spans="5:19" x14ac:dyDescent="0.25">
      <c r="F225" s="167" t="s">
        <v>68</v>
      </c>
      <c r="G225" s="167" t="s">
        <v>91</v>
      </c>
      <c r="H225" s="167" t="s">
        <v>162</v>
      </c>
      <c r="I225" s="121"/>
      <c r="J225" s="397">
        <f t="shared" si="14"/>
        <v>1</v>
      </c>
      <c r="K225" s="398"/>
      <c r="L225" s="521">
        <v>0</v>
      </c>
      <c r="M225" s="521">
        <v>0</v>
      </c>
      <c r="N225" s="521">
        <v>0</v>
      </c>
      <c r="O225" s="521">
        <v>1</v>
      </c>
      <c r="P225" s="521">
        <v>1</v>
      </c>
      <c r="Q225" s="521">
        <v>1</v>
      </c>
      <c r="R225" s="521">
        <v>1</v>
      </c>
      <c r="S225" s="521">
        <v>1</v>
      </c>
    </row>
    <row r="226" spans="5:19" x14ac:dyDescent="0.25">
      <c r="F226" s="167" t="s">
        <v>69</v>
      </c>
      <c r="G226" s="167" t="s">
        <v>91</v>
      </c>
      <c r="H226" s="167" t="s">
        <v>162</v>
      </c>
      <c r="I226" s="121"/>
      <c r="J226" s="397">
        <f t="shared" si="14"/>
        <v>0</v>
      </c>
      <c r="K226" s="398"/>
      <c r="L226" s="521">
        <v>0</v>
      </c>
      <c r="M226" s="521">
        <v>0</v>
      </c>
      <c r="N226" s="521">
        <v>0</v>
      </c>
      <c r="O226" s="521">
        <v>0</v>
      </c>
      <c r="P226" s="521">
        <v>0</v>
      </c>
      <c r="Q226" s="521">
        <v>0</v>
      </c>
      <c r="R226" s="521">
        <v>0</v>
      </c>
      <c r="S226" s="521">
        <v>0</v>
      </c>
    </row>
    <row r="227" spans="5:19" x14ac:dyDescent="0.25">
      <c r="F227" s="167" t="s">
        <v>70</v>
      </c>
      <c r="G227" s="167" t="s">
        <v>91</v>
      </c>
      <c r="H227" s="167" t="s">
        <v>162</v>
      </c>
      <c r="I227" s="121"/>
      <c r="J227" s="397">
        <f t="shared" si="14"/>
        <v>0</v>
      </c>
      <c r="K227" s="398"/>
      <c r="L227" s="521">
        <v>0</v>
      </c>
      <c r="M227" s="521">
        <v>0</v>
      </c>
      <c r="N227" s="521">
        <v>0</v>
      </c>
      <c r="O227" s="521">
        <v>0</v>
      </c>
      <c r="P227" s="521">
        <v>0</v>
      </c>
      <c r="Q227" s="521">
        <v>0</v>
      </c>
      <c r="R227" s="521">
        <v>0</v>
      </c>
      <c r="S227" s="521">
        <v>0</v>
      </c>
    </row>
    <row r="228" spans="5:19" x14ac:dyDescent="0.25">
      <c r="F228" s="167" t="s">
        <v>71</v>
      </c>
      <c r="G228" s="167" t="s">
        <v>91</v>
      </c>
      <c r="H228" s="167" t="s">
        <v>162</v>
      </c>
      <c r="I228" s="121"/>
      <c r="J228" s="397">
        <f t="shared" si="14"/>
        <v>0</v>
      </c>
      <c r="K228" s="398"/>
      <c r="L228" s="521">
        <v>0</v>
      </c>
      <c r="M228" s="521">
        <v>0</v>
      </c>
      <c r="N228" s="521">
        <v>0</v>
      </c>
      <c r="O228" s="521">
        <v>0</v>
      </c>
      <c r="P228" s="521">
        <v>0</v>
      </c>
      <c r="Q228" s="521">
        <v>0</v>
      </c>
      <c r="R228" s="521">
        <v>0</v>
      </c>
      <c r="S228" s="521">
        <v>0</v>
      </c>
    </row>
    <row r="229" spans="5:19" x14ac:dyDescent="0.25">
      <c r="F229" s="167" t="s">
        <v>74</v>
      </c>
      <c r="G229" s="167" t="s">
        <v>91</v>
      </c>
      <c r="H229" s="167" t="s">
        <v>162</v>
      </c>
      <c r="I229" s="121"/>
      <c r="J229" s="397">
        <f t="shared" si="14"/>
        <v>165</v>
      </c>
      <c r="K229" s="398"/>
      <c r="L229" s="521">
        <v>150.34255899895984</v>
      </c>
      <c r="M229" s="521">
        <v>159.43115165034786</v>
      </c>
      <c r="N229" s="521">
        <v>165.23363682831032</v>
      </c>
      <c r="O229" s="521">
        <v>165</v>
      </c>
      <c r="P229" s="521">
        <v>189</v>
      </c>
      <c r="Q229" s="521">
        <v>213</v>
      </c>
      <c r="R229" s="521">
        <v>237</v>
      </c>
      <c r="S229" s="521">
        <v>261</v>
      </c>
    </row>
    <row r="230" spans="5:19" x14ac:dyDescent="0.25">
      <c r="F230" s="167" t="s">
        <v>75</v>
      </c>
      <c r="G230" s="167" t="s">
        <v>91</v>
      </c>
      <c r="H230" s="167" t="s">
        <v>162</v>
      </c>
      <c r="I230" s="121"/>
      <c r="J230" s="397">
        <f t="shared" si="14"/>
        <v>0</v>
      </c>
      <c r="K230" s="398"/>
      <c r="L230" s="521">
        <v>0</v>
      </c>
      <c r="M230" s="521">
        <v>0</v>
      </c>
      <c r="N230" s="521">
        <v>0</v>
      </c>
      <c r="O230" s="521">
        <v>0</v>
      </c>
      <c r="P230" s="521">
        <v>0</v>
      </c>
      <c r="Q230" s="521">
        <v>0</v>
      </c>
      <c r="R230" s="521">
        <v>0</v>
      </c>
      <c r="S230" s="521">
        <v>0</v>
      </c>
    </row>
    <row r="231" spans="5:19" x14ac:dyDescent="0.25">
      <c r="F231" s="167" t="s">
        <v>76</v>
      </c>
      <c r="G231" s="167" t="s">
        <v>91</v>
      </c>
      <c r="H231" s="167" t="s">
        <v>162</v>
      </c>
      <c r="I231" s="121"/>
      <c r="J231" s="397">
        <f t="shared" si="14"/>
        <v>115</v>
      </c>
      <c r="K231" s="398"/>
      <c r="L231" s="521">
        <v>89.601507777415677</v>
      </c>
      <c r="M231" s="521">
        <v>88.895730933457926</v>
      </c>
      <c r="N231" s="521">
        <v>114</v>
      </c>
      <c r="O231" s="521">
        <v>115</v>
      </c>
      <c r="P231" s="521">
        <v>115</v>
      </c>
      <c r="Q231" s="521">
        <v>115</v>
      </c>
      <c r="R231" s="521">
        <v>115</v>
      </c>
      <c r="S231" s="521">
        <v>115</v>
      </c>
    </row>
    <row r="232" spans="5:19" x14ac:dyDescent="0.25">
      <c r="F232" s="168" t="s">
        <v>77</v>
      </c>
      <c r="G232" s="168" t="s">
        <v>91</v>
      </c>
      <c r="H232" s="168" t="s">
        <v>162</v>
      </c>
      <c r="I232" s="262"/>
      <c r="J232" s="399">
        <f t="shared" si="14"/>
        <v>0</v>
      </c>
      <c r="K232" s="400"/>
      <c r="L232" s="522">
        <v>0</v>
      </c>
      <c r="M232" s="522">
        <v>0</v>
      </c>
      <c r="N232" s="522">
        <v>0</v>
      </c>
      <c r="O232" s="522">
        <v>0</v>
      </c>
      <c r="P232" s="522">
        <v>0</v>
      </c>
      <c r="Q232" s="522">
        <v>0</v>
      </c>
      <c r="R232" s="522">
        <v>0</v>
      </c>
      <c r="S232" s="522">
        <v>0</v>
      </c>
    </row>
    <row r="233" spans="5:19" x14ac:dyDescent="0.25">
      <c r="J233" s="401"/>
      <c r="K233" s="401"/>
      <c r="L233" s="401"/>
      <c r="M233" s="401"/>
      <c r="N233" s="401"/>
      <c r="O233" s="401"/>
      <c r="P233" s="401"/>
      <c r="Q233" s="401"/>
      <c r="R233" s="401"/>
      <c r="S233" s="401"/>
    </row>
    <row r="234" spans="5:19" x14ac:dyDescent="0.25">
      <c r="E234" s="261" t="s">
        <v>330</v>
      </c>
      <c r="J234" s="401"/>
      <c r="K234" s="401"/>
      <c r="L234" s="401"/>
      <c r="M234" s="401"/>
      <c r="N234" s="401"/>
      <c r="O234" s="401"/>
      <c r="P234" s="401"/>
      <c r="Q234" s="401"/>
      <c r="R234" s="401"/>
      <c r="S234" s="401"/>
    </row>
    <row r="235" spans="5:19" x14ac:dyDescent="0.25">
      <c r="F235" s="166" t="s">
        <v>52</v>
      </c>
      <c r="G235" s="166" t="s">
        <v>186</v>
      </c>
      <c r="H235" s="166" t="s">
        <v>162</v>
      </c>
      <c r="I235" s="201"/>
      <c r="J235" s="402"/>
      <c r="K235" s="396"/>
      <c r="L235" s="402"/>
      <c r="M235" s="402"/>
      <c r="N235" s="402"/>
      <c r="O235" s="402"/>
      <c r="P235" s="402"/>
      <c r="Q235" s="402"/>
      <c r="R235" s="402"/>
      <c r="S235" s="402"/>
    </row>
    <row r="236" spans="5:19" x14ac:dyDescent="0.25">
      <c r="F236" s="167" t="s">
        <v>53</v>
      </c>
      <c r="G236" s="167" t="s">
        <v>186</v>
      </c>
      <c r="H236" s="167" t="s">
        <v>162</v>
      </c>
      <c r="I236" s="121"/>
      <c r="J236" s="403"/>
      <c r="K236" s="398"/>
      <c r="L236" s="403"/>
      <c r="M236" s="403"/>
      <c r="N236" s="403"/>
      <c r="O236" s="403"/>
      <c r="P236" s="403"/>
      <c r="Q236" s="403"/>
      <c r="R236" s="403"/>
      <c r="S236" s="403"/>
    </row>
    <row r="237" spans="5:19" x14ac:dyDescent="0.25">
      <c r="F237" s="167" t="s">
        <v>84</v>
      </c>
      <c r="G237" s="167" t="s">
        <v>186</v>
      </c>
      <c r="H237" s="167" t="s">
        <v>162</v>
      </c>
      <c r="I237" s="121"/>
      <c r="J237" s="403"/>
      <c r="K237" s="398"/>
      <c r="L237" s="403"/>
      <c r="M237" s="403"/>
      <c r="N237" s="403"/>
      <c r="O237" s="403"/>
      <c r="P237" s="403"/>
      <c r="Q237" s="403"/>
      <c r="R237" s="403"/>
      <c r="S237" s="403"/>
    </row>
    <row r="238" spans="5:19" x14ac:dyDescent="0.25">
      <c r="F238" s="167" t="s">
        <v>54</v>
      </c>
      <c r="G238" s="167" t="s">
        <v>186</v>
      </c>
      <c r="H238" s="167" t="s">
        <v>162</v>
      </c>
      <c r="I238" s="121"/>
      <c r="J238" s="403"/>
      <c r="K238" s="398"/>
      <c r="L238" s="403"/>
      <c r="M238" s="403"/>
      <c r="N238" s="403"/>
      <c r="O238" s="403"/>
      <c r="P238" s="403"/>
      <c r="Q238" s="403"/>
      <c r="R238" s="403"/>
      <c r="S238" s="403"/>
    </row>
    <row r="239" spans="5:19" x14ac:dyDescent="0.25">
      <c r="F239" s="167" t="s">
        <v>55</v>
      </c>
      <c r="G239" s="167" t="s">
        <v>186</v>
      </c>
      <c r="H239" s="167" t="s">
        <v>162</v>
      </c>
      <c r="I239" s="121"/>
      <c r="J239" s="403"/>
      <c r="K239" s="398"/>
      <c r="L239" s="403"/>
      <c r="M239" s="403"/>
      <c r="N239" s="403"/>
      <c r="O239" s="403"/>
      <c r="P239" s="403"/>
      <c r="Q239" s="403"/>
      <c r="R239" s="403"/>
      <c r="S239" s="403"/>
    </row>
    <row r="240" spans="5:19" x14ac:dyDescent="0.25">
      <c r="F240" s="167" t="s">
        <v>85</v>
      </c>
      <c r="G240" s="167" t="s">
        <v>186</v>
      </c>
      <c r="H240" s="167" t="s">
        <v>162</v>
      </c>
      <c r="I240" s="121"/>
      <c r="J240" s="403"/>
      <c r="K240" s="398"/>
      <c r="L240" s="403"/>
      <c r="M240" s="403"/>
      <c r="N240" s="403"/>
      <c r="O240" s="403"/>
      <c r="P240" s="403"/>
      <c r="Q240" s="403"/>
      <c r="R240" s="403"/>
      <c r="S240" s="403"/>
    </row>
    <row r="241" spans="6:19" x14ac:dyDescent="0.25">
      <c r="F241" s="167" t="s">
        <v>56</v>
      </c>
      <c r="G241" s="167" t="s">
        <v>186</v>
      </c>
      <c r="H241" s="167" t="s">
        <v>162</v>
      </c>
      <c r="I241" s="121"/>
      <c r="J241" s="403"/>
      <c r="K241" s="398"/>
      <c r="L241" s="403"/>
      <c r="M241" s="403"/>
      <c r="N241" s="403"/>
      <c r="O241" s="403"/>
      <c r="P241" s="403"/>
      <c r="Q241" s="403"/>
      <c r="R241" s="403"/>
      <c r="S241" s="403"/>
    </row>
    <row r="242" spans="6:19" x14ac:dyDescent="0.25">
      <c r="F242" s="167" t="s">
        <v>57</v>
      </c>
      <c r="G242" s="167" t="s">
        <v>186</v>
      </c>
      <c r="H242" s="167" t="s">
        <v>162</v>
      </c>
      <c r="I242" s="121"/>
      <c r="J242" s="403"/>
      <c r="K242" s="398"/>
      <c r="L242" s="403"/>
      <c r="M242" s="403"/>
      <c r="N242" s="403"/>
      <c r="O242" s="403"/>
      <c r="P242" s="403"/>
      <c r="Q242" s="403"/>
      <c r="R242" s="403"/>
      <c r="S242" s="403"/>
    </row>
    <row r="243" spans="6:19" x14ac:dyDescent="0.25">
      <c r="F243" s="167" t="s">
        <v>72</v>
      </c>
      <c r="G243" s="167" t="s">
        <v>186</v>
      </c>
      <c r="H243" s="167" t="s">
        <v>162</v>
      </c>
      <c r="I243" s="121"/>
      <c r="J243" s="403"/>
      <c r="K243" s="398"/>
      <c r="L243" s="403"/>
      <c r="M243" s="403"/>
      <c r="N243" s="403"/>
      <c r="O243" s="403"/>
      <c r="P243" s="403"/>
      <c r="Q243" s="403"/>
      <c r="R243" s="403"/>
      <c r="S243" s="403"/>
    </row>
    <row r="244" spans="6:19" x14ac:dyDescent="0.25">
      <c r="F244" s="167" t="s">
        <v>58</v>
      </c>
      <c r="G244" s="167" t="s">
        <v>186</v>
      </c>
      <c r="H244" s="167" t="s">
        <v>162</v>
      </c>
      <c r="I244" s="121"/>
      <c r="J244" s="403"/>
      <c r="K244" s="398"/>
      <c r="L244" s="403"/>
      <c r="M244" s="403"/>
      <c r="N244" s="403"/>
      <c r="O244" s="403"/>
      <c r="P244" s="403"/>
      <c r="Q244" s="403"/>
      <c r="R244" s="403"/>
      <c r="S244" s="403"/>
    </row>
    <row r="245" spans="6:19" x14ac:dyDescent="0.25">
      <c r="F245" s="167" t="s">
        <v>59</v>
      </c>
      <c r="G245" s="167" t="s">
        <v>186</v>
      </c>
      <c r="H245" s="167" t="s">
        <v>162</v>
      </c>
      <c r="I245" s="121"/>
      <c r="J245" s="403"/>
      <c r="K245" s="398"/>
      <c r="L245" s="403"/>
      <c r="M245" s="403"/>
      <c r="N245" s="403"/>
      <c r="O245" s="403"/>
      <c r="P245" s="403"/>
      <c r="Q245" s="403"/>
      <c r="R245" s="403"/>
      <c r="S245" s="403"/>
    </row>
    <row r="246" spans="6:19" x14ac:dyDescent="0.25">
      <c r="F246" s="167" t="s">
        <v>60</v>
      </c>
      <c r="G246" s="167" t="s">
        <v>186</v>
      </c>
      <c r="H246" s="167" t="s">
        <v>162</v>
      </c>
      <c r="I246" s="121"/>
      <c r="J246" s="397">
        <f t="shared" ref="J246:J248" si="15">CHOOSE(year_selection, L246,M246,N246,O246,P246,Q246,R246,S246)</f>
        <v>3227335.4267025632</v>
      </c>
      <c r="K246" s="398"/>
      <c r="L246" s="521">
        <v>3167153.2048097132</v>
      </c>
      <c r="M246" s="521">
        <v>3172439.9999999991</v>
      </c>
      <c r="N246" s="521">
        <v>3208597.9777865945</v>
      </c>
      <c r="O246" s="521">
        <v>3227335.4267025632</v>
      </c>
      <c r="P246" s="521">
        <v>3283162.1317223874</v>
      </c>
      <c r="Q246" s="521">
        <v>3343214.4416130483</v>
      </c>
      <c r="R246" s="521">
        <v>3404763.302092609</v>
      </c>
      <c r="S246" s="521">
        <v>3466312.1625721701</v>
      </c>
    </row>
    <row r="247" spans="6:19" x14ac:dyDescent="0.25">
      <c r="F247" s="167" t="s">
        <v>61</v>
      </c>
      <c r="G247" s="167" t="s">
        <v>186</v>
      </c>
      <c r="H247" s="167" t="s">
        <v>162</v>
      </c>
      <c r="I247" s="121"/>
      <c r="J247" s="397">
        <f t="shared" si="15"/>
        <v>100042.21699417738</v>
      </c>
      <c r="K247" s="398"/>
      <c r="L247" s="521">
        <v>23391.56</v>
      </c>
      <c r="M247" s="521">
        <v>66835.684363290988</v>
      </c>
      <c r="N247" s="521">
        <v>119323.35408131538</v>
      </c>
      <c r="O247" s="521">
        <v>100042.21699417738</v>
      </c>
      <c r="P247" s="521">
        <v>104607.37535339782</v>
      </c>
      <c r="Q247" s="521">
        <v>109263.49521889552</v>
      </c>
      <c r="R247" s="521">
        <v>113930.07790143351</v>
      </c>
      <c r="S247" s="521">
        <v>118596.66058397149</v>
      </c>
    </row>
    <row r="248" spans="6:19" x14ac:dyDescent="0.25">
      <c r="F248" s="167" t="s">
        <v>73</v>
      </c>
      <c r="G248" s="167" t="s">
        <v>186</v>
      </c>
      <c r="H248" s="167" t="s">
        <v>162</v>
      </c>
      <c r="I248" s="121"/>
      <c r="J248" s="397">
        <f t="shared" si="15"/>
        <v>2034386.008332856</v>
      </c>
      <c r="K248" s="398"/>
      <c r="L248" s="521">
        <v>2024113.5891776271</v>
      </c>
      <c r="M248" s="521">
        <v>2208246.1490463289</v>
      </c>
      <c r="N248" s="521">
        <v>2051034.8897795179</v>
      </c>
      <c r="O248" s="521">
        <v>2034386.008332856</v>
      </c>
      <c r="P248" s="521">
        <v>2060579.9044333249</v>
      </c>
      <c r="Q248" s="521">
        <v>2086800.5267657519</v>
      </c>
      <c r="R248" s="521">
        <v>2113022.0707015046</v>
      </c>
      <c r="S248" s="521">
        <v>2139243.6146372575</v>
      </c>
    </row>
    <row r="249" spans="6:19" x14ac:dyDescent="0.25">
      <c r="F249" s="167" t="s">
        <v>86</v>
      </c>
      <c r="G249" s="167" t="s">
        <v>186</v>
      </c>
      <c r="H249" s="167" t="s">
        <v>162</v>
      </c>
      <c r="I249" s="121"/>
      <c r="J249" s="403"/>
      <c r="K249" s="398"/>
      <c r="L249" s="403"/>
      <c r="M249" s="403"/>
      <c r="N249" s="403"/>
      <c r="O249" s="403"/>
      <c r="P249" s="403"/>
      <c r="Q249" s="403"/>
      <c r="R249" s="403"/>
      <c r="S249" s="403"/>
    </row>
    <row r="250" spans="6:19" x14ac:dyDescent="0.25">
      <c r="F250" s="167" t="s">
        <v>87</v>
      </c>
      <c r="G250" s="167" t="s">
        <v>186</v>
      </c>
      <c r="H250" s="167" t="s">
        <v>162</v>
      </c>
      <c r="I250" s="121"/>
      <c r="J250" s="403"/>
      <c r="K250" s="398"/>
      <c r="L250" s="403"/>
      <c r="M250" s="403"/>
      <c r="N250" s="403"/>
      <c r="O250" s="403"/>
      <c r="P250" s="403"/>
      <c r="Q250" s="403"/>
      <c r="R250" s="403"/>
      <c r="S250" s="403"/>
    </row>
    <row r="251" spans="6:19" x14ac:dyDescent="0.25">
      <c r="F251" s="167" t="s">
        <v>88</v>
      </c>
      <c r="G251" s="167" t="s">
        <v>186</v>
      </c>
      <c r="H251" s="167" t="s">
        <v>162</v>
      </c>
      <c r="I251" s="121"/>
      <c r="J251" s="403"/>
      <c r="K251" s="398"/>
      <c r="L251" s="403"/>
      <c r="M251" s="403"/>
      <c r="N251" s="403"/>
      <c r="O251" s="403"/>
      <c r="P251" s="403"/>
      <c r="Q251" s="403"/>
      <c r="R251" s="403"/>
      <c r="S251" s="403"/>
    </row>
    <row r="252" spans="6:19" x14ac:dyDescent="0.25">
      <c r="F252" s="167" t="s">
        <v>89</v>
      </c>
      <c r="G252" s="167" t="s">
        <v>186</v>
      </c>
      <c r="H252" s="167" t="s">
        <v>162</v>
      </c>
      <c r="I252" s="121"/>
      <c r="J252" s="403"/>
      <c r="K252" s="398"/>
      <c r="L252" s="403"/>
      <c r="M252" s="403"/>
      <c r="N252" s="403"/>
      <c r="O252" s="403"/>
      <c r="P252" s="403"/>
      <c r="Q252" s="403"/>
      <c r="R252" s="403"/>
      <c r="S252" s="403"/>
    </row>
    <row r="253" spans="6:19" x14ac:dyDescent="0.25">
      <c r="F253" s="167" t="s">
        <v>90</v>
      </c>
      <c r="G253" s="167" t="s">
        <v>186</v>
      </c>
      <c r="H253" s="167" t="s">
        <v>162</v>
      </c>
      <c r="I253" s="121"/>
      <c r="J253" s="403"/>
      <c r="K253" s="398"/>
      <c r="L253" s="403"/>
      <c r="M253" s="403"/>
      <c r="N253" s="403"/>
      <c r="O253" s="403"/>
      <c r="P253" s="403"/>
      <c r="Q253" s="403"/>
      <c r="R253" s="403"/>
      <c r="S253" s="403"/>
    </row>
    <row r="254" spans="6:19" x14ac:dyDescent="0.25">
      <c r="F254" s="167" t="s">
        <v>62</v>
      </c>
      <c r="G254" s="167" t="s">
        <v>186</v>
      </c>
      <c r="H254" s="167" t="s">
        <v>162</v>
      </c>
      <c r="I254" s="121"/>
      <c r="J254" s="403"/>
      <c r="K254" s="398"/>
      <c r="L254" s="403"/>
      <c r="M254" s="403"/>
      <c r="N254" s="403"/>
      <c r="O254" s="403"/>
      <c r="P254" s="403"/>
      <c r="Q254" s="403"/>
      <c r="R254" s="403"/>
      <c r="S254" s="403"/>
    </row>
    <row r="255" spans="6:19" x14ac:dyDescent="0.25">
      <c r="F255" s="167" t="s">
        <v>63</v>
      </c>
      <c r="G255" s="167" t="s">
        <v>186</v>
      </c>
      <c r="H255" s="167" t="s">
        <v>162</v>
      </c>
      <c r="I255" s="121"/>
      <c r="J255" s="403"/>
      <c r="K255" s="398"/>
      <c r="L255" s="403"/>
      <c r="M255" s="403"/>
      <c r="N255" s="403"/>
      <c r="O255" s="403"/>
      <c r="P255" s="403"/>
      <c r="Q255" s="403"/>
      <c r="R255" s="403"/>
      <c r="S255" s="403"/>
    </row>
    <row r="256" spans="6:19" x14ac:dyDescent="0.25">
      <c r="F256" s="167" t="s">
        <v>64</v>
      </c>
      <c r="G256" s="167" t="s">
        <v>186</v>
      </c>
      <c r="H256" s="167" t="s">
        <v>162</v>
      </c>
      <c r="I256" s="121"/>
      <c r="J256" s="403"/>
      <c r="K256" s="398"/>
      <c r="L256" s="403"/>
      <c r="M256" s="403"/>
      <c r="N256" s="403"/>
      <c r="O256" s="403"/>
      <c r="P256" s="403"/>
      <c r="Q256" s="403"/>
      <c r="R256" s="403"/>
      <c r="S256" s="403"/>
    </row>
    <row r="257" spans="5:19" x14ac:dyDescent="0.25">
      <c r="F257" s="167" t="s">
        <v>65</v>
      </c>
      <c r="G257" s="167" t="s">
        <v>186</v>
      </c>
      <c r="H257" s="167" t="s">
        <v>162</v>
      </c>
      <c r="I257" s="121"/>
      <c r="J257" s="403"/>
      <c r="K257" s="398"/>
      <c r="L257" s="403"/>
      <c r="M257" s="403"/>
      <c r="N257" s="403"/>
      <c r="O257" s="403"/>
      <c r="P257" s="403"/>
      <c r="Q257" s="403"/>
      <c r="R257" s="403"/>
      <c r="S257" s="403"/>
    </row>
    <row r="258" spans="5:19" x14ac:dyDescent="0.25">
      <c r="F258" s="167" t="s">
        <v>66</v>
      </c>
      <c r="G258" s="167" t="s">
        <v>186</v>
      </c>
      <c r="H258" s="167" t="s">
        <v>162</v>
      </c>
      <c r="I258" s="121"/>
      <c r="J258" s="403"/>
      <c r="K258" s="398"/>
      <c r="L258" s="403"/>
      <c r="M258" s="403"/>
      <c r="N258" s="403"/>
      <c r="O258" s="403"/>
      <c r="P258" s="403"/>
      <c r="Q258" s="403"/>
      <c r="R258" s="403"/>
      <c r="S258" s="403"/>
    </row>
    <row r="259" spans="5:19" x14ac:dyDescent="0.25">
      <c r="F259" s="167" t="s">
        <v>67</v>
      </c>
      <c r="G259" s="167" t="s">
        <v>186</v>
      </c>
      <c r="H259" s="167" t="s">
        <v>162</v>
      </c>
      <c r="I259" s="121"/>
      <c r="J259" s="403"/>
      <c r="K259" s="398"/>
      <c r="L259" s="403"/>
      <c r="M259" s="403"/>
      <c r="N259" s="403"/>
      <c r="O259" s="403"/>
      <c r="P259" s="403"/>
      <c r="Q259" s="403"/>
      <c r="R259" s="403"/>
      <c r="S259" s="403"/>
    </row>
    <row r="260" spans="5:19" x14ac:dyDescent="0.25">
      <c r="F260" s="167" t="s">
        <v>68</v>
      </c>
      <c r="G260" s="167" t="s">
        <v>186</v>
      </c>
      <c r="H260" s="167" t="s">
        <v>162</v>
      </c>
      <c r="I260" s="121"/>
      <c r="J260" s="403"/>
      <c r="K260" s="398"/>
      <c r="L260" s="403"/>
      <c r="M260" s="403"/>
      <c r="N260" s="403"/>
      <c r="O260" s="403"/>
      <c r="P260" s="403"/>
      <c r="Q260" s="403"/>
      <c r="R260" s="403"/>
      <c r="S260" s="403"/>
    </row>
    <row r="261" spans="5:19" x14ac:dyDescent="0.25">
      <c r="F261" s="167" t="s">
        <v>69</v>
      </c>
      <c r="G261" s="167" t="s">
        <v>186</v>
      </c>
      <c r="H261" s="167" t="s">
        <v>162</v>
      </c>
      <c r="I261" s="121"/>
      <c r="J261" s="403"/>
      <c r="K261" s="398"/>
      <c r="L261" s="403"/>
      <c r="M261" s="403"/>
      <c r="N261" s="403"/>
      <c r="O261" s="403"/>
      <c r="P261" s="403"/>
      <c r="Q261" s="403"/>
      <c r="R261" s="403"/>
      <c r="S261" s="403"/>
    </row>
    <row r="262" spans="5:19" x14ac:dyDescent="0.25">
      <c r="F262" s="167" t="s">
        <v>70</v>
      </c>
      <c r="G262" s="167" t="s">
        <v>186</v>
      </c>
      <c r="H262" s="167" t="s">
        <v>162</v>
      </c>
      <c r="I262" s="121"/>
      <c r="J262" s="403"/>
      <c r="K262" s="398"/>
      <c r="L262" s="403"/>
      <c r="M262" s="403"/>
      <c r="N262" s="403"/>
      <c r="O262" s="403"/>
      <c r="P262" s="403"/>
      <c r="Q262" s="403"/>
      <c r="R262" s="403"/>
      <c r="S262" s="403"/>
    </row>
    <row r="263" spans="5:19" x14ac:dyDescent="0.25">
      <c r="F263" s="167" t="s">
        <v>71</v>
      </c>
      <c r="G263" s="167" t="s">
        <v>186</v>
      </c>
      <c r="H263" s="167" t="s">
        <v>162</v>
      </c>
      <c r="I263" s="121"/>
      <c r="J263" s="403"/>
      <c r="K263" s="398"/>
      <c r="L263" s="403"/>
      <c r="M263" s="403"/>
      <c r="N263" s="403"/>
      <c r="O263" s="403"/>
      <c r="P263" s="403"/>
      <c r="Q263" s="403"/>
      <c r="R263" s="403"/>
      <c r="S263" s="403"/>
    </row>
    <row r="264" spans="5:19" x14ac:dyDescent="0.25">
      <c r="F264" s="167" t="s">
        <v>74</v>
      </c>
      <c r="G264" s="167" t="s">
        <v>186</v>
      </c>
      <c r="H264" s="167" t="s">
        <v>162</v>
      </c>
      <c r="I264" s="121"/>
      <c r="J264" s="403"/>
      <c r="K264" s="398"/>
      <c r="L264" s="403"/>
      <c r="M264" s="403"/>
      <c r="N264" s="403"/>
      <c r="O264" s="403"/>
      <c r="P264" s="403"/>
      <c r="Q264" s="403"/>
      <c r="R264" s="403"/>
      <c r="S264" s="403"/>
    </row>
    <row r="265" spans="5:19" x14ac:dyDescent="0.25">
      <c r="F265" s="167" t="s">
        <v>75</v>
      </c>
      <c r="G265" s="167" t="s">
        <v>186</v>
      </c>
      <c r="H265" s="167" t="s">
        <v>162</v>
      </c>
      <c r="I265" s="121"/>
      <c r="J265" s="403"/>
      <c r="K265" s="398"/>
      <c r="L265" s="403"/>
      <c r="M265" s="403"/>
      <c r="N265" s="403"/>
      <c r="O265" s="403"/>
      <c r="P265" s="403"/>
      <c r="Q265" s="403"/>
      <c r="R265" s="403"/>
      <c r="S265" s="403"/>
    </row>
    <row r="266" spans="5:19" x14ac:dyDescent="0.25">
      <c r="F266" s="167" t="s">
        <v>76</v>
      </c>
      <c r="G266" s="167" t="s">
        <v>186</v>
      </c>
      <c r="H266" s="167" t="s">
        <v>162</v>
      </c>
      <c r="I266" s="121"/>
      <c r="J266" s="403"/>
      <c r="K266" s="398"/>
      <c r="L266" s="403"/>
      <c r="M266" s="403"/>
      <c r="N266" s="403"/>
      <c r="O266" s="403"/>
      <c r="P266" s="403"/>
      <c r="Q266" s="403"/>
      <c r="R266" s="403"/>
      <c r="S266" s="403"/>
    </row>
    <row r="267" spans="5:19" x14ac:dyDescent="0.25">
      <c r="F267" s="168" t="s">
        <v>77</v>
      </c>
      <c r="G267" s="168" t="s">
        <v>186</v>
      </c>
      <c r="H267" s="168" t="s">
        <v>162</v>
      </c>
      <c r="I267" s="262"/>
      <c r="J267" s="404"/>
      <c r="K267" s="400"/>
      <c r="L267" s="404"/>
      <c r="M267" s="404"/>
      <c r="N267" s="404"/>
      <c r="O267" s="404"/>
      <c r="P267" s="404"/>
      <c r="Q267" s="404"/>
      <c r="R267" s="404"/>
      <c r="S267" s="404"/>
    </row>
    <row r="268" spans="5:19" x14ac:dyDescent="0.25">
      <c r="J268" s="401"/>
      <c r="K268" s="401"/>
      <c r="L268" s="401"/>
      <c r="M268" s="401"/>
      <c r="N268" s="401"/>
      <c r="O268" s="401"/>
      <c r="P268" s="401"/>
      <c r="Q268" s="401"/>
      <c r="R268" s="401"/>
      <c r="S268" s="401"/>
    </row>
    <row r="269" spans="5:19" x14ac:dyDescent="0.25">
      <c r="E269" s="261" t="s">
        <v>331</v>
      </c>
      <c r="J269" s="401"/>
      <c r="K269" s="401"/>
      <c r="L269" s="401"/>
      <c r="M269" s="401"/>
      <c r="N269" s="401"/>
      <c r="O269" s="401"/>
      <c r="P269" s="401"/>
      <c r="Q269" s="401"/>
      <c r="R269" s="401"/>
      <c r="S269" s="401"/>
    </row>
    <row r="270" spans="5:19" x14ac:dyDescent="0.25">
      <c r="F270" s="166" t="s">
        <v>52</v>
      </c>
      <c r="G270" s="166" t="s">
        <v>186</v>
      </c>
      <c r="H270" s="166" t="s">
        <v>162</v>
      </c>
      <c r="I270" s="201"/>
      <c r="J270" s="402"/>
      <c r="K270" s="396"/>
      <c r="L270" s="402"/>
      <c r="M270" s="402"/>
      <c r="N270" s="402"/>
      <c r="O270" s="402"/>
      <c r="P270" s="402"/>
      <c r="Q270" s="402"/>
      <c r="R270" s="402"/>
      <c r="S270" s="402"/>
    </row>
    <row r="271" spans="5:19" x14ac:dyDescent="0.25">
      <c r="F271" s="167" t="s">
        <v>53</v>
      </c>
      <c r="G271" s="167" t="s">
        <v>186</v>
      </c>
      <c r="H271" s="167" t="s">
        <v>162</v>
      </c>
      <c r="I271" s="121"/>
      <c r="J271" s="403"/>
      <c r="K271" s="398"/>
      <c r="L271" s="403"/>
      <c r="M271" s="403"/>
      <c r="N271" s="403"/>
      <c r="O271" s="403"/>
      <c r="P271" s="403"/>
      <c r="Q271" s="403"/>
      <c r="R271" s="403"/>
      <c r="S271" s="403"/>
    </row>
    <row r="272" spans="5:19" x14ac:dyDescent="0.25">
      <c r="F272" s="167" t="s">
        <v>84</v>
      </c>
      <c r="G272" s="167" t="s">
        <v>186</v>
      </c>
      <c r="H272" s="167" t="s">
        <v>162</v>
      </c>
      <c r="I272" s="121"/>
      <c r="J272" s="403"/>
      <c r="K272" s="398"/>
      <c r="L272" s="403"/>
      <c r="M272" s="403"/>
      <c r="N272" s="403"/>
      <c r="O272" s="403"/>
      <c r="P272" s="403"/>
      <c r="Q272" s="403"/>
      <c r="R272" s="403"/>
      <c r="S272" s="403"/>
    </row>
    <row r="273" spans="6:19" x14ac:dyDescent="0.25">
      <c r="F273" s="167" t="s">
        <v>54</v>
      </c>
      <c r="G273" s="167" t="s">
        <v>186</v>
      </c>
      <c r="H273" s="167" t="s">
        <v>162</v>
      </c>
      <c r="I273" s="121"/>
      <c r="J273" s="403"/>
      <c r="K273" s="398"/>
      <c r="L273" s="403"/>
      <c r="M273" s="403"/>
      <c r="N273" s="403"/>
      <c r="O273" s="403"/>
      <c r="P273" s="403"/>
      <c r="Q273" s="403"/>
      <c r="R273" s="403"/>
      <c r="S273" s="403"/>
    </row>
    <row r="274" spans="6:19" x14ac:dyDescent="0.25">
      <c r="F274" s="167" t="s">
        <v>55</v>
      </c>
      <c r="G274" s="167" t="s">
        <v>186</v>
      </c>
      <c r="H274" s="167" t="s">
        <v>162</v>
      </c>
      <c r="I274" s="121"/>
      <c r="J274" s="403"/>
      <c r="K274" s="398"/>
      <c r="L274" s="403"/>
      <c r="M274" s="403"/>
      <c r="N274" s="403"/>
      <c r="O274" s="403"/>
      <c r="P274" s="403"/>
      <c r="Q274" s="403"/>
      <c r="R274" s="403"/>
      <c r="S274" s="403"/>
    </row>
    <row r="275" spans="6:19" x14ac:dyDescent="0.25">
      <c r="F275" s="167" t="s">
        <v>85</v>
      </c>
      <c r="G275" s="167" t="s">
        <v>186</v>
      </c>
      <c r="H275" s="167" t="s">
        <v>162</v>
      </c>
      <c r="I275" s="121"/>
      <c r="J275" s="403"/>
      <c r="K275" s="398"/>
      <c r="L275" s="403"/>
      <c r="M275" s="403"/>
      <c r="N275" s="403"/>
      <c r="O275" s="403"/>
      <c r="P275" s="403"/>
      <c r="Q275" s="403"/>
      <c r="R275" s="403"/>
      <c r="S275" s="403"/>
    </row>
    <row r="276" spans="6:19" x14ac:dyDescent="0.25">
      <c r="F276" s="167" t="s">
        <v>56</v>
      </c>
      <c r="G276" s="167" t="s">
        <v>186</v>
      </c>
      <c r="H276" s="167" t="s">
        <v>162</v>
      </c>
      <c r="I276" s="121"/>
      <c r="J276" s="403"/>
      <c r="K276" s="398"/>
      <c r="L276" s="403"/>
      <c r="M276" s="403"/>
      <c r="N276" s="403"/>
      <c r="O276" s="403"/>
      <c r="P276" s="403"/>
      <c r="Q276" s="403"/>
      <c r="R276" s="403"/>
      <c r="S276" s="403"/>
    </row>
    <row r="277" spans="6:19" x14ac:dyDescent="0.25">
      <c r="F277" s="167" t="s">
        <v>57</v>
      </c>
      <c r="G277" s="167" t="s">
        <v>186</v>
      </c>
      <c r="H277" s="167" t="s">
        <v>162</v>
      </c>
      <c r="I277" s="121"/>
      <c r="J277" s="403"/>
      <c r="K277" s="398"/>
      <c r="L277" s="403"/>
      <c r="M277" s="403"/>
      <c r="N277" s="403"/>
      <c r="O277" s="403"/>
      <c r="P277" s="403"/>
      <c r="Q277" s="403"/>
      <c r="R277" s="403"/>
      <c r="S277" s="403"/>
    </row>
    <row r="278" spans="6:19" x14ac:dyDescent="0.25">
      <c r="F278" s="167" t="s">
        <v>72</v>
      </c>
      <c r="G278" s="167" t="s">
        <v>186</v>
      </c>
      <c r="H278" s="167" t="s">
        <v>162</v>
      </c>
      <c r="I278" s="121"/>
      <c r="J278" s="403"/>
      <c r="K278" s="398"/>
      <c r="L278" s="403"/>
      <c r="M278" s="403"/>
      <c r="N278" s="403"/>
      <c r="O278" s="403"/>
      <c r="P278" s="403"/>
      <c r="Q278" s="403"/>
      <c r="R278" s="403"/>
      <c r="S278" s="403"/>
    </row>
    <row r="279" spans="6:19" x14ac:dyDescent="0.25">
      <c r="F279" s="167" t="s">
        <v>58</v>
      </c>
      <c r="G279" s="167" t="s">
        <v>186</v>
      </c>
      <c r="H279" s="167" t="s">
        <v>162</v>
      </c>
      <c r="I279" s="121"/>
      <c r="J279" s="403"/>
      <c r="K279" s="398"/>
      <c r="L279" s="403"/>
      <c r="M279" s="403"/>
      <c r="N279" s="403"/>
      <c r="O279" s="403"/>
      <c r="P279" s="403"/>
      <c r="Q279" s="403"/>
      <c r="R279" s="403"/>
      <c r="S279" s="403"/>
    </row>
    <row r="280" spans="6:19" x14ac:dyDescent="0.25">
      <c r="F280" s="167" t="s">
        <v>59</v>
      </c>
      <c r="G280" s="167" t="s">
        <v>186</v>
      </c>
      <c r="H280" s="167" t="s">
        <v>162</v>
      </c>
      <c r="I280" s="121"/>
      <c r="J280" s="403"/>
      <c r="K280" s="398"/>
      <c r="L280" s="403"/>
      <c r="M280" s="403"/>
      <c r="N280" s="403"/>
      <c r="O280" s="403"/>
      <c r="P280" s="403"/>
      <c r="Q280" s="403"/>
      <c r="R280" s="403"/>
      <c r="S280" s="403"/>
    </row>
    <row r="281" spans="6:19" x14ac:dyDescent="0.25">
      <c r="F281" s="167" t="s">
        <v>60</v>
      </c>
      <c r="G281" s="167" t="s">
        <v>186</v>
      </c>
      <c r="H281" s="167" t="s">
        <v>162</v>
      </c>
      <c r="I281" s="121"/>
      <c r="J281" s="397">
        <f t="shared" ref="J281:J283" si="16">CHOOSE(year_selection, L281,M281,N281,O281,P281,Q281,R281,S281)</f>
        <v>60070.389599462484</v>
      </c>
      <c r="K281" s="398"/>
      <c r="L281" s="521">
        <v>0</v>
      </c>
      <c r="M281" s="521">
        <v>79302.076583509872</v>
      </c>
      <c r="N281" s="521">
        <v>87454.9166423227</v>
      </c>
      <c r="O281" s="521">
        <v>60070.389599462484</v>
      </c>
      <c r="P281" s="521">
        <v>61109.491978734382</v>
      </c>
      <c r="Q281" s="521">
        <v>62227.245535316295</v>
      </c>
      <c r="R281" s="521">
        <v>63372.85438583103</v>
      </c>
      <c r="S281" s="521">
        <v>64518.463236345749</v>
      </c>
    </row>
    <row r="282" spans="6:19" x14ac:dyDescent="0.25">
      <c r="F282" s="167" t="s">
        <v>61</v>
      </c>
      <c r="G282" s="167" t="s">
        <v>186</v>
      </c>
      <c r="H282" s="167" t="s">
        <v>162</v>
      </c>
      <c r="I282" s="121"/>
      <c r="J282" s="397">
        <f t="shared" si="16"/>
        <v>1898.8027415114705</v>
      </c>
      <c r="K282" s="398"/>
      <c r="L282" s="521">
        <v>0</v>
      </c>
      <c r="M282" s="521">
        <v>776.81521553748109</v>
      </c>
      <c r="N282" s="521">
        <v>2049.9863837853995</v>
      </c>
      <c r="O282" s="521">
        <v>1898.8027415114705</v>
      </c>
      <c r="P282" s="521">
        <v>1985.4495139278222</v>
      </c>
      <c r="Q282" s="521">
        <v>2073.8227370634877</v>
      </c>
      <c r="R282" s="521">
        <v>2162.3945446195794</v>
      </c>
      <c r="S282" s="521">
        <v>2250.9663521756711</v>
      </c>
    </row>
    <row r="283" spans="6:19" x14ac:dyDescent="0.25">
      <c r="F283" s="167" t="s">
        <v>73</v>
      </c>
      <c r="G283" s="167" t="s">
        <v>186</v>
      </c>
      <c r="H283" s="167" t="s">
        <v>162</v>
      </c>
      <c r="I283" s="121"/>
      <c r="J283" s="397">
        <f t="shared" si="16"/>
        <v>28310.579478142176</v>
      </c>
      <c r="K283" s="398"/>
      <c r="L283" s="521">
        <v>0</v>
      </c>
      <c r="M283" s="521">
        <v>46251.756757182477</v>
      </c>
      <c r="N283" s="521">
        <v>29669.96571349819</v>
      </c>
      <c r="O283" s="521">
        <v>28310.579478142176</v>
      </c>
      <c r="P283" s="521">
        <v>28675.094557560289</v>
      </c>
      <c r="Q283" s="521">
        <v>29039.981560060289</v>
      </c>
      <c r="R283" s="521">
        <v>29404.88138762107</v>
      </c>
      <c r="S283" s="521">
        <v>29769.781215181854</v>
      </c>
    </row>
    <row r="284" spans="6:19" x14ac:dyDescent="0.25">
      <c r="F284" s="167" t="s">
        <v>86</v>
      </c>
      <c r="G284" s="167" t="s">
        <v>186</v>
      </c>
      <c r="H284" s="167" t="s">
        <v>162</v>
      </c>
      <c r="I284" s="121"/>
      <c r="J284" s="403"/>
      <c r="K284" s="398"/>
      <c r="L284" s="403"/>
      <c r="M284" s="403"/>
      <c r="N284" s="403"/>
      <c r="O284" s="403"/>
      <c r="P284" s="403"/>
      <c r="Q284" s="403"/>
      <c r="R284" s="403"/>
      <c r="S284" s="403"/>
    </row>
    <row r="285" spans="6:19" x14ac:dyDescent="0.25">
      <c r="F285" s="167" t="s">
        <v>87</v>
      </c>
      <c r="G285" s="167" t="s">
        <v>186</v>
      </c>
      <c r="H285" s="167" t="s">
        <v>162</v>
      </c>
      <c r="I285" s="121"/>
      <c r="J285" s="403"/>
      <c r="K285" s="398"/>
      <c r="L285" s="403"/>
      <c r="M285" s="403"/>
      <c r="N285" s="403"/>
      <c r="O285" s="403"/>
      <c r="P285" s="403"/>
      <c r="Q285" s="403"/>
      <c r="R285" s="403"/>
      <c r="S285" s="403"/>
    </row>
    <row r="286" spans="6:19" x14ac:dyDescent="0.25">
      <c r="F286" s="167" t="s">
        <v>88</v>
      </c>
      <c r="G286" s="167" t="s">
        <v>186</v>
      </c>
      <c r="H286" s="167" t="s">
        <v>162</v>
      </c>
      <c r="I286" s="121"/>
      <c r="J286" s="403"/>
      <c r="K286" s="398"/>
      <c r="L286" s="403"/>
      <c r="M286" s="403"/>
      <c r="N286" s="403"/>
      <c r="O286" s="403"/>
      <c r="P286" s="403"/>
      <c r="Q286" s="403"/>
      <c r="R286" s="403"/>
      <c r="S286" s="403"/>
    </row>
    <row r="287" spans="6:19" x14ac:dyDescent="0.25">
      <c r="F287" s="167" t="s">
        <v>89</v>
      </c>
      <c r="G287" s="167" t="s">
        <v>186</v>
      </c>
      <c r="H287" s="167" t="s">
        <v>162</v>
      </c>
      <c r="I287" s="121"/>
      <c r="J287" s="403"/>
      <c r="K287" s="398"/>
      <c r="L287" s="403"/>
      <c r="M287" s="403"/>
      <c r="N287" s="403"/>
      <c r="O287" s="403"/>
      <c r="P287" s="403"/>
      <c r="Q287" s="403"/>
      <c r="R287" s="403"/>
      <c r="S287" s="403"/>
    </row>
    <row r="288" spans="6:19" x14ac:dyDescent="0.25">
      <c r="F288" s="167" t="s">
        <v>90</v>
      </c>
      <c r="G288" s="167" t="s">
        <v>186</v>
      </c>
      <c r="H288" s="167" t="s">
        <v>162</v>
      </c>
      <c r="I288" s="121"/>
      <c r="J288" s="403"/>
      <c r="K288" s="398"/>
      <c r="L288" s="403"/>
      <c r="M288" s="403"/>
      <c r="N288" s="403"/>
      <c r="O288" s="403"/>
      <c r="P288" s="403"/>
      <c r="Q288" s="403"/>
      <c r="R288" s="403"/>
      <c r="S288" s="403"/>
    </row>
    <row r="289" spans="5:19" x14ac:dyDescent="0.25">
      <c r="F289" s="167" t="s">
        <v>62</v>
      </c>
      <c r="G289" s="167" t="s">
        <v>186</v>
      </c>
      <c r="H289" s="167" t="s">
        <v>162</v>
      </c>
      <c r="I289" s="121"/>
      <c r="J289" s="403"/>
      <c r="K289" s="398"/>
      <c r="L289" s="403"/>
      <c r="M289" s="403"/>
      <c r="N289" s="403"/>
      <c r="O289" s="403"/>
      <c r="P289" s="403"/>
      <c r="Q289" s="403"/>
      <c r="R289" s="403"/>
      <c r="S289" s="403"/>
    </row>
    <row r="290" spans="5:19" x14ac:dyDescent="0.25">
      <c r="F290" s="167" t="s">
        <v>63</v>
      </c>
      <c r="G290" s="167" t="s">
        <v>186</v>
      </c>
      <c r="H290" s="167" t="s">
        <v>162</v>
      </c>
      <c r="I290" s="121"/>
      <c r="J290" s="403"/>
      <c r="K290" s="398"/>
      <c r="L290" s="403"/>
      <c r="M290" s="403"/>
      <c r="N290" s="403"/>
      <c r="O290" s="403"/>
      <c r="P290" s="403"/>
      <c r="Q290" s="403"/>
      <c r="R290" s="403"/>
      <c r="S290" s="403"/>
    </row>
    <row r="291" spans="5:19" x14ac:dyDescent="0.25">
      <c r="F291" s="167" t="s">
        <v>64</v>
      </c>
      <c r="G291" s="167" t="s">
        <v>186</v>
      </c>
      <c r="H291" s="167" t="s">
        <v>162</v>
      </c>
      <c r="I291" s="121"/>
      <c r="J291" s="403"/>
      <c r="K291" s="398"/>
      <c r="L291" s="403"/>
      <c r="M291" s="403"/>
      <c r="N291" s="403"/>
      <c r="O291" s="403"/>
      <c r="P291" s="403"/>
      <c r="Q291" s="403"/>
      <c r="R291" s="403"/>
      <c r="S291" s="403"/>
    </row>
    <row r="292" spans="5:19" x14ac:dyDescent="0.25">
      <c r="F292" s="167" t="s">
        <v>65</v>
      </c>
      <c r="G292" s="167" t="s">
        <v>186</v>
      </c>
      <c r="H292" s="167" t="s">
        <v>162</v>
      </c>
      <c r="I292" s="121"/>
      <c r="J292" s="403"/>
      <c r="K292" s="398"/>
      <c r="L292" s="403"/>
      <c r="M292" s="403"/>
      <c r="N292" s="403"/>
      <c r="O292" s="403"/>
      <c r="P292" s="403"/>
      <c r="Q292" s="403"/>
      <c r="R292" s="403"/>
      <c r="S292" s="403"/>
    </row>
    <row r="293" spans="5:19" x14ac:dyDescent="0.25">
      <c r="F293" s="167" t="s">
        <v>66</v>
      </c>
      <c r="G293" s="167" t="s">
        <v>186</v>
      </c>
      <c r="H293" s="167" t="s">
        <v>162</v>
      </c>
      <c r="I293" s="121"/>
      <c r="J293" s="403"/>
      <c r="K293" s="398"/>
      <c r="L293" s="403"/>
      <c r="M293" s="403"/>
      <c r="N293" s="403"/>
      <c r="O293" s="403"/>
      <c r="P293" s="403"/>
      <c r="Q293" s="403"/>
      <c r="R293" s="403"/>
      <c r="S293" s="403"/>
    </row>
    <row r="294" spans="5:19" x14ac:dyDescent="0.25">
      <c r="F294" s="167" t="s">
        <v>67</v>
      </c>
      <c r="G294" s="167" t="s">
        <v>186</v>
      </c>
      <c r="H294" s="167" t="s">
        <v>162</v>
      </c>
      <c r="I294" s="121"/>
      <c r="J294" s="403"/>
      <c r="K294" s="398"/>
      <c r="L294" s="403"/>
      <c r="M294" s="403"/>
      <c r="N294" s="403"/>
      <c r="O294" s="403"/>
      <c r="P294" s="403"/>
      <c r="Q294" s="403"/>
      <c r="R294" s="403"/>
      <c r="S294" s="403"/>
    </row>
    <row r="295" spans="5:19" x14ac:dyDescent="0.25">
      <c r="F295" s="167" t="s">
        <v>68</v>
      </c>
      <c r="G295" s="167" t="s">
        <v>186</v>
      </c>
      <c r="H295" s="167" t="s">
        <v>162</v>
      </c>
      <c r="I295" s="121"/>
      <c r="J295" s="403"/>
      <c r="K295" s="398"/>
      <c r="L295" s="403"/>
      <c r="M295" s="403"/>
      <c r="N295" s="403"/>
      <c r="O295" s="403"/>
      <c r="P295" s="403"/>
      <c r="Q295" s="403"/>
      <c r="R295" s="403"/>
      <c r="S295" s="403"/>
    </row>
    <row r="296" spans="5:19" x14ac:dyDescent="0.25">
      <c r="F296" s="167" t="s">
        <v>69</v>
      </c>
      <c r="G296" s="167" t="s">
        <v>186</v>
      </c>
      <c r="H296" s="167" t="s">
        <v>162</v>
      </c>
      <c r="I296" s="121"/>
      <c r="J296" s="403"/>
      <c r="K296" s="398"/>
      <c r="L296" s="403"/>
      <c r="M296" s="403"/>
      <c r="N296" s="403"/>
      <c r="O296" s="403"/>
      <c r="P296" s="403"/>
      <c r="Q296" s="403"/>
      <c r="R296" s="403"/>
      <c r="S296" s="403"/>
    </row>
    <row r="297" spans="5:19" x14ac:dyDescent="0.25">
      <c r="F297" s="167" t="s">
        <v>70</v>
      </c>
      <c r="G297" s="167" t="s">
        <v>186</v>
      </c>
      <c r="H297" s="167" t="s">
        <v>162</v>
      </c>
      <c r="I297" s="121"/>
      <c r="J297" s="403"/>
      <c r="K297" s="398"/>
      <c r="L297" s="403"/>
      <c r="M297" s="403"/>
      <c r="N297" s="403"/>
      <c r="O297" s="403"/>
      <c r="P297" s="403"/>
      <c r="Q297" s="403"/>
      <c r="R297" s="403"/>
      <c r="S297" s="403"/>
    </row>
    <row r="298" spans="5:19" x14ac:dyDescent="0.25">
      <c r="F298" s="167" t="s">
        <v>71</v>
      </c>
      <c r="G298" s="167" t="s">
        <v>186</v>
      </c>
      <c r="H298" s="167" t="s">
        <v>162</v>
      </c>
      <c r="I298" s="121"/>
      <c r="J298" s="403"/>
      <c r="K298" s="398"/>
      <c r="L298" s="403"/>
      <c r="M298" s="403"/>
      <c r="N298" s="403"/>
      <c r="O298" s="403"/>
      <c r="P298" s="403"/>
      <c r="Q298" s="403"/>
      <c r="R298" s="403"/>
      <c r="S298" s="403"/>
    </row>
    <row r="299" spans="5:19" x14ac:dyDescent="0.25">
      <c r="F299" s="167" t="s">
        <v>74</v>
      </c>
      <c r="G299" s="167" t="s">
        <v>186</v>
      </c>
      <c r="H299" s="167" t="s">
        <v>162</v>
      </c>
      <c r="I299" s="121"/>
      <c r="J299" s="403"/>
      <c r="K299" s="398"/>
      <c r="L299" s="403"/>
      <c r="M299" s="403"/>
      <c r="N299" s="403"/>
      <c r="O299" s="403"/>
      <c r="P299" s="403"/>
      <c r="Q299" s="403"/>
      <c r="R299" s="403"/>
      <c r="S299" s="403"/>
    </row>
    <row r="300" spans="5:19" x14ac:dyDescent="0.25">
      <c r="F300" s="167" t="s">
        <v>75</v>
      </c>
      <c r="G300" s="167" t="s">
        <v>186</v>
      </c>
      <c r="H300" s="167" t="s">
        <v>162</v>
      </c>
      <c r="I300" s="121"/>
      <c r="J300" s="403"/>
      <c r="K300" s="398"/>
      <c r="L300" s="403"/>
      <c r="M300" s="403"/>
      <c r="N300" s="403"/>
      <c r="O300" s="403"/>
      <c r="P300" s="403"/>
      <c r="Q300" s="403"/>
      <c r="R300" s="403"/>
      <c r="S300" s="403"/>
    </row>
    <row r="301" spans="5:19" x14ac:dyDescent="0.25">
      <c r="F301" s="167" t="s">
        <v>76</v>
      </c>
      <c r="G301" s="167" t="s">
        <v>186</v>
      </c>
      <c r="H301" s="167" t="s">
        <v>162</v>
      </c>
      <c r="I301" s="121"/>
      <c r="J301" s="403"/>
      <c r="K301" s="398"/>
      <c r="L301" s="403"/>
      <c r="M301" s="403"/>
      <c r="N301" s="403"/>
      <c r="O301" s="403"/>
      <c r="P301" s="403"/>
      <c r="Q301" s="403"/>
      <c r="R301" s="403"/>
      <c r="S301" s="403"/>
    </row>
    <row r="302" spans="5:19" x14ac:dyDescent="0.25">
      <c r="F302" s="168" t="s">
        <v>77</v>
      </c>
      <c r="G302" s="168" t="s">
        <v>186</v>
      </c>
      <c r="H302" s="168" t="s">
        <v>162</v>
      </c>
      <c r="I302" s="262"/>
      <c r="J302" s="404"/>
      <c r="K302" s="400"/>
      <c r="L302" s="404"/>
      <c r="M302" s="404"/>
      <c r="N302" s="404"/>
      <c r="O302" s="404"/>
      <c r="P302" s="404"/>
      <c r="Q302" s="404"/>
      <c r="R302" s="404"/>
      <c r="S302" s="404"/>
    </row>
    <row r="303" spans="5:19" x14ac:dyDescent="0.25">
      <c r="J303" s="401"/>
      <c r="K303" s="401"/>
      <c r="L303" s="401"/>
      <c r="M303" s="401"/>
      <c r="N303" s="401"/>
      <c r="O303" s="401"/>
      <c r="P303" s="401"/>
      <c r="Q303" s="401"/>
      <c r="R303" s="401"/>
      <c r="S303" s="401"/>
    </row>
    <row r="304" spans="5:19" x14ac:dyDescent="0.25">
      <c r="E304" s="261" t="s">
        <v>332</v>
      </c>
      <c r="J304" s="401"/>
      <c r="K304" s="401"/>
      <c r="L304" s="401"/>
      <c r="M304" s="401"/>
      <c r="N304" s="401"/>
      <c r="O304" s="401"/>
      <c r="P304" s="401"/>
      <c r="Q304" s="401"/>
      <c r="R304" s="401"/>
      <c r="S304" s="401"/>
    </row>
    <row r="305" spans="6:19" x14ac:dyDescent="0.25">
      <c r="F305" s="166" t="s">
        <v>52</v>
      </c>
      <c r="G305" s="166" t="s">
        <v>187</v>
      </c>
      <c r="H305" s="166" t="s">
        <v>162</v>
      </c>
      <c r="I305" s="201"/>
      <c r="J305" s="402"/>
      <c r="K305" s="396"/>
      <c r="L305" s="402"/>
      <c r="M305" s="402"/>
      <c r="N305" s="402"/>
      <c r="O305" s="402"/>
      <c r="P305" s="402"/>
      <c r="Q305" s="402"/>
      <c r="R305" s="402"/>
      <c r="S305" s="402"/>
    </row>
    <row r="306" spans="6:19" x14ac:dyDescent="0.25">
      <c r="F306" s="167" t="s">
        <v>53</v>
      </c>
      <c r="G306" s="167" t="s">
        <v>187</v>
      </c>
      <c r="H306" s="167" t="s">
        <v>162</v>
      </c>
      <c r="I306" s="121"/>
      <c r="J306" s="403"/>
      <c r="K306" s="398"/>
      <c r="L306" s="403"/>
      <c r="M306" s="403"/>
      <c r="N306" s="403"/>
      <c r="O306" s="403"/>
      <c r="P306" s="403"/>
      <c r="Q306" s="403"/>
      <c r="R306" s="403"/>
      <c r="S306" s="403"/>
    </row>
    <row r="307" spans="6:19" x14ac:dyDescent="0.25">
      <c r="F307" s="167" t="s">
        <v>84</v>
      </c>
      <c r="G307" s="167" t="s">
        <v>187</v>
      </c>
      <c r="H307" s="167" t="s">
        <v>162</v>
      </c>
      <c r="I307" s="121"/>
      <c r="J307" s="403"/>
      <c r="K307" s="398"/>
      <c r="L307" s="403"/>
      <c r="M307" s="403"/>
      <c r="N307" s="403"/>
      <c r="O307" s="403"/>
      <c r="P307" s="403"/>
      <c r="Q307" s="403"/>
      <c r="R307" s="403"/>
      <c r="S307" s="403"/>
    </row>
    <row r="308" spans="6:19" x14ac:dyDescent="0.25">
      <c r="F308" s="167" t="s">
        <v>54</v>
      </c>
      <c r="G308" s="167" t="s">
        <v>187</v>
      </c>
      <c r="H308" s="167" t="s">
        <v>162</v>
      </c>
      <c r="I308" s="121"/>
      <c r="J308" s="403"/>
      <c r="K308" s="398"/>
      <c r="L308" s="403"/>
      <c r="M308" s="403"/>
      <c r="N308" s="403"/>
      <c r="O308" s="403"/>
      <c r="P308" s="403"/>
      <c r="Q308" s="403"/>
      <c r="R308" s="403"/>
      <c r="S308" s="403"/>
    </row>
    <row r="309" spans="6:19" x14ac:dyDescent="0.25">
      <c r="F309" s="167" t="s">
        <v>55</v>
      </c>
      <c r="G309" s="167" t="s">
        <v>187</v>
      </c>
      <c r="H309" s="167" t="s">
        <v>162</v>
      </c>
      <c r="I309" s="121"/>
      <c r="J309" s="403"/>
      <c r="K309" s="398"/>
      <c r="L309" s="403"/>
      <c r="M309" s="403"/>
      <c r="N309" s="403"/>
      <c r="O309" s="403"/>
      <c r="P309" s="403"/>
      <c r="Q309" s="403"/>
      <c r="R309" s="403"/>
      <c r="S309" s="403"/>
    </row>
    <row r="310" spans="6:19" x14ac:dyDescent="0.25">
      <c r="F310" s="167" t="s">
        <v>85</v>
      </c>
      <c r="G310" s="167" t="s">
        <v>187</v>
      </c>
      <c r="H310" s="167" t="s">
        <v>162</v>
      </c>
      <c r="I310" s="121"/>
      <c r="J310" s="403"/>
      <c r="K310" s="398"/>
      <c r="L310" s="403"/>
      <c r="M310" s="403"/>
      <c r="N310" s="403"/>
      <c r="O310" s="403"/>
      <c r="P310" s="403"/>
      <c r="Q310" s="403"/>
      <c r="R310" s="403"/>
      <c r="S310" s="403"/>
    </row>
    <row r="311" spans="6:19" x14ac:dyDescent="0.25">
      <c r="F311" s="167" t="s">
        <v>56</v>
      </c>
      <c r="G311" s="167" t="s">
        <v>187</v>
      </c>
      <c r="H311" s="167" t="s">
        <v>162</v>
      </c>
      <c r="I311" s="121"/>
      <c r="J311" s="403"/>
      <c r="K311" s="398"/>
      <c r="L311" s="403"/>
      <c r="M311" s="403"/>
      <c r="N311" s="403"/>
      <c r="O311" s="403"/>
      <c r="P311" s="403"/>
      <c r="Q311" s="403"/>
      <c r="R311" s="403"/>
      <c r="S311" s="403"/>
    </row>
    <row r="312" spans="6:19" x14ac:dyDescent="0.25">
      <c r="F312" s="167" t="s">
        <v>57</v>
      </c>
      <c r="G312" s="167" t="s">
        <v>187</v>
      </c>
      <c r="H312" s="167" t="s">
        <v>162</v>
      </c>
      <c r="I312" s="121"/>
      <c r="J312" s="403"/>
      <c r="K312" s="398"/>
      <c r="L312" s="403"/>
      <c r="M312" s="403"/>
      <c r="N312" s="403"/>
      <c r="O312" s="403"/>
      <c r="P312" s="403"/>
      <c r="Q312" s="403"/>
      <c r="R312" s="403"/>
      <c r="S312" s="403"/>
    </row>
    <row r="313" spans="6:19" x14ac:dyDescent="0.25">
      <c r="F313" s="167" t="s">
        <v>72</v>
      </c>
      <c r="G313" s="167" t="s">
        <v>187</v>
      </c>
      <c r="H313" s="167" t="s">
        <v>162</v>
      </c>
      <c r="I313" s="121"/>
      <c r="J313" s="403"/>
      <c r="K313" s="398"/>
      <c r="L313" s="403"/>
      <c r="M313" s="403"/>
      <c r="N313" s="403"/>
      <c r="O313" s="403"/>
      <c r="P313" s="403"/>
      <c r="Q313" s="403"/>
      <c r="R313" s="403"/>
      <c r="S313" s="403"/>
    </row>
    <row r="314" spans="6:19" x14ac:dyDescent="0.25">
      <c r="F314" s="167" t="s">
        <v>58</v>
      </c>
      <c r="G314" s="167" t="s">
        <v>187</v>
      </c>
      <c r="H314" s="167" t="s">
        <v>162</v>
      </c>
      <c r="I314" s="121"/>
      <c r="J314" s="403"/>
      <c r="K314" s="398"/>
      <c r="L314" s="403"/>
      <c r="M314" s="403"/>
      <c r="N314" s="403"/>
      <c r="O314" s="403"/>
      <c r="P314" s="403"/>
      <c r="Q314" s="403"/>
      <c r="R314" s="403"/>
      <c r="S314" s="403"/>
    </row>
    <row r="315" spans="6:19" x14ac:dyDescent="0.25">
      <c r="F315" s="167" t="s">
        <v>59</v>
      </c>
      <c r="G315" s="167" t="s">
        <v>187</v>
      </c>
      <c r="H315" s="167" t="s">
        <v>162</v>
      </c>
      <c r="I315" s="121"/>
      <c r="J315" s="403"/>
      <c r="K315" s="398"/>
      <c r="L315" s="403"/>
      <c r="M315" s="403"/>
      <c r="N315" s="403"/>
      <c r="O315" s="403"/>
      <c r="P315" s="403"/>
      <c r="Q315" s="403"/>
      <c r="R315" s="403"/>
      <c r="S315" s="403"/>
    </row>
    <row r="316" spans="6:19" x14ac:dyDescent="0.25">
      <c r="F316" s="167" t="s">
        <v>60</v>
      </c>
      <c r="G316" s="167" t="s">
        <v>187</v>
      </c>
      <c r="H316" s="167" t="s">
        <v>162</v>
      </c>
      <c r="I316" s="121"/>
      <c r="J316" s="397">
        <f t="shared" ref="J316:J318" si="17">CHOOSE(year_selection, L316,M316,N316,O316,P316,Q316,R316,S316)</f>
        <v>495537.78754534118</v>
      </c>
      <c r="K316" s="398"/>
      <c r="L316" s="521">
        <v>517963.54873321537</v>
      </c>
      <c r="M316" s="521">
        <v>521273.45725142822</v>
      </c>
      <c r="N316" s="521">
        <v>522670.16296374402</v>
      </c>
      <c r="O316" s="521">
        <v>495537.78754534118</v>
      </c>
      <c r="P316" s="521">
        <v>501572.4843073659</v>
      </c>
      <c r="Q316" s="521">
        <v>508012.55406284926</v>
      </c>
      <c r="R316" s="521">
        <v>514510.9137526417</v>
      </c>
      <c r="S316" s="521">
        <v>521009.27344243426</v>
      </c>
    </row>
    <row r="317" spans="6:19" x14ac:dyDescent="0.25">
      <c r="F317" s="167" t="s">
        <v>61</v>
      </c>
      <c r="G317" s="167" t="s">
        <v>187</v>
      </c>
      <c r="H317" s="167" t="s">
        <v>162</v>
      </c>
      <c r="I317" s="121"/>
      <c r="J317" s="397">
        <f t="shared" si="17"/>
        <v>24991.029942327667</v>
      </c>
      <c r="K317" s="398"/>
      <c r="L317" s="521">
        <v>8335.3771156923412</v>
      </c>
      <c r="M317" s="521">
        <v>11530.857967961912</v>
      </c>
      <c r="N317" s="521">
        <v>15753.366996219997</v>
      </c>
      <c r="O317" s="521">
        <v>24991.029942327667</v>
      </c>
      <c r="P317" s="521">
        <v>25447.331212339257</v>
      </c>
      <c r="Q317" s="521">
        <v>25873.729700167227</v>
      </c>
      <c r="R317" s="521">
        <v>26282.921388329007</v>
      </c>
      <c r="S317" s="521">
        <v>26692.113076490787</v>
      </c>
    </row>
    <row r="318" spans="6:19" x14ac:dyDescent="0.25">
      <c r="F318" s="167" t="s">
        <v>73</v>
      </c>
      <c r="G318" s="167" t="s">
        <v>187</v>
      </c>
      <c r="H318" s="167" t="s">
        <v>162</v>
      </c>
      <c r="I318" s="121"/>
      <c r="J318" s="397">
        <f t="shared" si="17"/>
        <v>355995.74561946333</v>
      </c>
      <c r="K318" s="398"/>
      <c r="L318" s="521">
        <v>411454.82695755793</v>
      </c>
      <c r="M318" s="521">
        <v>359875.38029189728</v>
      </c>
      <c r="N318" s="521">
        <v>368376.54100270767</v>
      </c>
      <c r="O318" s="521">
        <v>355995.74561946333</v>
      </c>
      <c r="P318" s="521">
        <v>356237.78713771718</v>
      </c>
      <c r="Q318" s="521">
        <v>356267.17634878703</v>
      </c>
      <c r="R318" s="521">
        <v>356136.28526846209</v>
      </c>
      <c r="S318" s="521">
        <v>356005.39418813714</v>
      </c>
    </row>
    <row r="319" spans="6:19" x14ac:dyDescent="0.25">
      <c r="F319" s="167" t="s">
        <v>86</v>
      </c>
      <c r="G319" s="167" t="s">
        <v>187</v>
      </c>
      <c r="H319" s="167" t="s">
        <v>162</v>
      </c>
      <c r="I319" s="121"/>
      <c r="J319" s="403"/>
      <c r="K319" s="398"/>
      <c r="L319" s="403"/>
      <c r="M319" s="403"/>
      <c r="N319" s="403"/>
      <c r="O319" s="403"/>
      <c r="P319" s="403"/>
      <c r="Q319" s="403"/>
      <c r="R319" s="403"/>
      <c r="S319" s="403"/>
    </row>
    <row r="320" spans="6:19" x14ac:dyDescent="0.25">
      <c r="F320" s="167" t="s">
        <v>87</v>
      </c>
      <c r="G320" s="167" t="s">
        <v>187</v>
      </c>
      <c r="H320" s="167" t="s">
        <v>162</v>
      </c>
      <c r="I320" s="121"/>
      <c r="J320" s="403"/>
      <c r="K320" s="398"/>
      <c r="L320" s="403"/>
      <c r="M320" s="403"/>
      <c r="N320" s="403"/>
      <c r="O320" s="403"/>
      <c r="P320" s="403"/>
      <c r="Q320" s="403"/>
      <c r="R320" s="403"/>
      <c r="S320" s="403"/>
    </row>
    <row r="321" spans="6:19" x14ac:dyDescent="0.25">
      <c r="F321" s="167" t="s">
        <v>88</v>
      </c>
      <c r="G321" s="167" t="s">
        <v>187</v>
      </c>
      <c r="H321" s="167" t="s">
        <v>162</v>
      </c>
      <c r="I321" s="121"/>
      <c r="J321" s="403"/>
      <c r="K321" s="398"/>
      <c r="L321" s="403"/>
      <c r="M321" s="403"/>
      <c r="N321" s="403"/>
      <c r="O321" s="403"/>
      <c r="P321" s="403"/>
      <c r="Q321" s="403"/>
      <c r="R321" s="403"/>
      <c r="S321" s="403"/>
    </row>
    <row r="322" spans="6:19" x14ac:dyDescent="0.25">
      <c r="F322" s="167" t="s">
        <v>89</v>
      </c>
      <c r="G322" s="167" t="s">
        <v>187</v>
      </c>
      <c r="H322" s="167" t="s">
        <v>162</v>
      </c>
      <c r="I322" s="121"/>
      <c r="J322" s="403"/>
      <c r="K322" s="398"/>
      <c r="L322" s="403"/>
      <c r="M322" s="403"/>
      <c r="N322" s="403"/>
      <c r="O322" s="403"/>
      <c r="P322" s="403"/>
      <c r="Q322" s="403"/>
      <c r="R322" s="403"/>
      <c r="S322" s="403"/>
    </row>
    <row r="323" spans="6:19" x14ac:dyDescent="0.25">
      <c r="F323" s="167" t="s">
        <v>90</v>
      </c>
      <c r="G323" s="167" t="s">
        <v>187</v>
      </c>
      <c r="H323" s="167" t="s">
        <v>162</v>
      </c>
      <c r="I323" s="121"/>
      <c r="J323" s="403"/>
      <c r="K323" s="398"/>
      <c r="L323" s="403"/>
      <c r="M323" s="403"/>
      <c r="N323" s="403"/>
      <c r="O323" s="403"/>
      <c r="P323" s="403"/>
      <c r="Q323" s="403"/>
      <c r="R323" s="403"/>
      <c r="S323" s="403"/>
    </row>
    <row r="324" spans="6:19" x14ac:dyDescent="0.25">
      <c r="F324" s="167" t="s">
        <v>62</v>
      </c>
      <c r="G324" s="167" t="s">
        <v>187</v>
      </c>
      <c r="H324" s="167" t="s">
        <v>162</v>
      </c>
      <c r="I324" s="121"/>
      <c r="J324" s="403"/>
      <c r="K324" s="398"/>
      <c r="L324" s="403"/>
      <c r="M324" s="403"/>
      <c r="N324" s="403"/>
      <c r="O324" s="403"/>
      <c r="P324" s="403"/>
      <c r="Q324" s="403"/>
      <c r="R324" s="403"/>
      <c r="S324" s="403"/>
    </row>
    <row r="325" spans="6:19" x14ac:dyDescent="0.25">
      <c r="F325" s="167" t="s">
        <v>63</v>
      </c>
      <c r="G325" s="167" t="s">
        <v>187</v>
      </c>
      <c r="H325" s="167" t="s">
        <v>162</v>
      </c>
      <c r="I325" s="121"/>
      <c r="J325" s="403"/>
      <c r="K325" s="398"/>
      <c r="L325" s="403"/>
      <c r="M325" s="403"/>
      <c r="N325" s="403"/>
      <c r="O325" s="403"/>
      <c r="P325" s="403"/>
      <c r="Q325" s="403"/>
      <c r="R325" s="403"/>
      <c r="S325" s="403"/>
    </row>
    <row r="326" spans="6:19" x14ac:dyDescent="0.25">
      <c r="F326" s="167" t="s">
        <v>64</v>
      </c>
      <c r="G326" s="167" t="s">
        <v>187</v>
      </c>
      <c r="H326" s="167" t="s">
        <v>162</v>
      </c>
      <c r="I326" s="121"/>
      <c r="J326" s="397">
        <f t="shared" ref="J326" si="18">CHOOSE(year_selection, L326,M326,N326,O326,P326,Q326,R326,S326)</f>
        <v>5006.8769289301918</v>
      </c>
      <c r="K326" s="398"/>
      <c r="L326" s="521">
        <v>2415.3412461632533</v>
      </c>
      <c r="M326" s="521">
        <v>8930.2293931457225</v>
      </c>
      <c r="N326" s="521">
        <v>3779.4878433192871</v>
      </c>
      <c r="O326" s="521">
        <v>5006.8769289301918</v>
      </c>
      <c r="P326" s="521">
        <v>5696.3776438291779</v>
      </c>
      <c r="Q326" s="521">
        <v>6411.8038138048823</v>
      </c>
      <c r="R326" s="521">
        <v>7162.2651868485482</v>
      </c>
      <c r="S326" s="521">
        <v>7912.726559892214</v>
      </c>
    </row>
    <row r="327" spans="6:19" x14ac:dyDescent="0.25">
      <c r="F327" s="167" t="s">
        <v>65</v>
      </c>
      <c r="G327" s="167" t="s">
        <v>187</v>
      </c>
      <c r="H327" s="167" t="s">
        <v>162</v>
      </c>
      <c r="I327" s="121"/>
      <c r="J327" s="403"/>
      <c r="K327" s="398"/>
      <c r="L327" s="403"/>
      <c r="M327" s="403"/>
      <c r="N327" s="403"/>
      <c r="O327" s="403"/>
      <c r="P327" s="403"/>
      <c r="Q327" s="403"/>
      <c r="R327" s="403"/>
      <c r="S327" s="403"/>
    </row>
    <row r="328" spans="6:19" x14ac:dyDescent="0.25">
      <c r="F328" s="167" t="s">
        <v>66</v>
      </c>
      <c r="G328" s="167" t="s">
        <v>187</v>
      </c>
      <c r="H328" s="167" t="s">
        <v>162</v>
      </c>
      <c r="I328" s="121"/>
      <c r="J328" s="397">
        <f t="shared" ref="J328" si="19">CHOOSE(year_selection, L328,M328,N328,O328,P328,Q328,R328,S328)</f>
        <v>364.90995026032709</v>
      </c>
      <c r="K328" s="398"/>
      <c r="L328" s="521">
        <v>257.41188934829347</v>
      </c>
      <c r="M328" s="521">
        <v>381.56089440927684</v>
      </c>
      <c r="N328" s="521">
        <v>397.88383148256315</v>
      </c>
      <c r="O328" s="521">
        <v>364.90995026032709</v>
      </c>
      <c r="P328" s="521">
        <v>364.90995026032709</v>
      </c>
      <c r="Q328" s="521">
        <v>364.90995026032709</v>
      </c>
      <c r="R328" s="521">
        <v>364.90995026032709</v>
      </c>
      <c r="S328" s="521">
        <v>364.90995026032709</v>
      </c>
    </row>
    <row r="329" spans="6:19" x14ac:dyDescent="0.25">
      <c r="F329" s="167" t="s">
        <v>67</v>
      </c>
      <c r="G329" s="167" t="s">
        <v>187</v>
      </c>
      <c r="H329" s="167" t="s">
        <v>162</v>
      </c>
      <c r="I329" s="121"/>
      <c r="J329" s="403"/>
      <c r="K329" s="398"/>
      <c r="L329" s="403"/>
      <c r="M329" s="403"/>
      <c r="N329" s="403"/>
      <c r="O329" s="403"/>
      <c r="P329" s="403"/>
      <c r="Q329" s="403"/>
      <c r="R329" s="403"/>
      <c r="S329" s="403"/>
    </row>
    <row r="330" spans="6:19" x14ac:dyDescent="0.25">
      <c r="F330" s="167" t="s">
        <v>68</v>
      </c>
      <c r="G330" s="167" t="s">
        <v>187</v>
      </c>
      <c r="H330" s="167" t="s">
        <v>162</v>
      </c>
      <c r="I330" s="121"/>
      <c r="J330" s="397">
        <f t="shared" ref="J330" si="20">CHOOSE(year_selection, L330,M330,N330,O330,P330,Q330,R330,S330)</f>
        <v>0</v>
      </c>
      <c r="K330" s="398"/>
      <c r="L330" s="521">
        <v>0</v>
      </c>
      <c r="M330" s="521">
        <v>0</v>
      </c>
      <c r="N330" s="521">
        <v>0</v>
      </c>
      <c r="O330" s="521">
        <v>0</v>
      </c>
      <c r="P330" s="521">
        <v>0</v>
      </c>
      <c r="Q330" s="521">
        <v>0</v>
      </c>
      <c r="R330" s="521">
        <v>0</v>
      </c>
      <c r="S330" s="521">
        <v>0</v>
      </c>
    </row>
    <row r="331" spans="6:19" x14ac:dyDescent="0.25">
      <c r="F331" s="167" t="s">
        <v>69</v>
      </c>
      <c r="G331" s="167" t="s">
        <v>187</v>
      </c>
      <c r="H331" s="167" t="s">
        <v>162</v>
      </c>
      <c r="I331" s="121"/>
      <c r="J331" s="403"/>
      <c r="K331" s="398"/>
      <c r="L331" s="403"/>
      <c r="M331" s="403"/>
      <c r="N331" s="403"/>
      <c r="O331" s="403"/>
      <c r="P331" s="403"/>
      <c r="Q331" s="403"/>
      <c r="R331" s="403"/>
      <c r="S331" s="403"/>
    </row>
    <row r="332" spans="6:19" x14ac:dyDescent="0.25">
      <c r="F332" s="167" t="s">
        <v>70</v>
      </c>
      <c r="G332" s="167" t="s">
        <v>187</v>
      </c>
      <c r="H332" s="167" t="s">
        <v>162</v>
      </c>
      <c r="I332" s="121"/>
      <c r="J332" s="397">
        <f t="shared" ref="J332" si="21">CHOOSE(year_selection, L332,M332,N332,O332,P332,Q332,R332,S332)</f>
        <v>0</v>
      </c>
      <c r="K332" s="398"/>
      <c r="L332" s="521">
        <v>0</v>
      </c>
      <c r="M332" s="521">
        <v>0</v>
      </c>
      <c r="N332" s="521">
        <v>0</v>
      </c>
      <c r="O332" s="521">
        <v>0</v>
      </c>
      <c r="P332" s="521">
        <v>0</v>
      </c>
      <c r="Q332" s="521">
        <v>0</v>
      </c>
      <c r="R332" s="521">
        <v>0</v>
      </c>
      <c r="S332" s="521">
        <v>0</v>
      </c>
    </row>
    <row r="333" spans="6:19" x14ac:dyDescent="0.25">
      <c r="F333" s="167" t="s">
        <v>71</v>
      </c>
      <c r="G333" s="167" t="s">
        <v>187</v>
      </c>
      <c r="H333" s="167" t="s">
        <v>162</v>
      </c>
      <c r="I333" s="121"/>
      <c r="J333" s="403"/>
      <c r="K333" s="398"/>
      <c r="L333" s="403"/>
      <c r="M333" s="403"/>
      <c r="N333" s="403"/>
      <c r="O333" s="403"/>
      <c r="P333" s="403"/>
      <c r="Q333" s="403"/>
      <c r="R333" s="403"/>
      <c r="S333" s="403"/>
    </row>
    <row r="334" spans="6:19" x14ac:dyDescent="0.25">
      <c r="F334" s="167" t="s">
        <v>74</v>
      </c>
      <c r="G334" s="167" t="s">
        <v>187</v>
      </c>
      <c r="H334" s="167" t="s">
        <v>162</v>
      </c>
      <c r="I334" s="121"/>
      <c r="J334" s="397">
        <f t="shared" ref="J334" si="22">CHOOSE(year_selection, L334,M334,N334,O334,P334,Q334,R334,S334)</f>
        <v>21616.418527358299</v>
      </c>
      <c r="K334" s="398"/>
      <c r="L334" s="521">
        <v>32778.42714453653</v>
      </c>
      <c r="M334" s="521">
        <v>30897.393717925333</v>
      </c>
      <c r="N334" s="521">
        <v>19035.079491731191</v>
      </c>
      <c r="O334" s="521">
        <v>21616.418527358299</v>
      </c>
      <c r="P334" s="521">
        <v>24798.266262927376</v>
      </c>
      <c r="Q334" s="521">
        <v>27980.11399849645</v>
      </c>
      <c r="R334" s="521">
        <v>31161.961734065528</v>
      </c>
      <c r="S334" s="521">
        <v>34343.809469634609</v>
      </c>
    </row>
    <row r="335" spans="6:19" x14ac:dyDescent="0.25">
      <c r="F335" s="167" t="s">
        <v>75</v>
      </c>
      <c r="G335" s="167" t="s">
        <v>187</v>
      </c>
      <c r="H335" s="167" t="s">
        <v>162</v>
      </c>
      <c r="I335" s="121"/>
      <c r="J335" s="403"/>
      <c r="K335" s="398"/>
      <c r="L335" s="403"/>
      <c r="M335" s="403"/>
      <c r="N335" s="403"/>
      <c r="O335" s="403"/>
      <c r="P335" s="403"/>
      <c r="Q335" s="403"/>
      <c r="R335" s="403"/>
      <c r="S335" s="403"/>
    </row>
    <row r="336" spans="6:19" x14ac:dyDescent="0.25">
      <c r="F336" s="167" t="s">
        <v>76</v>
      </c>
      <c r="G336" s="167" t="s">
        <v>187</v>
      </c>
      <c r="H336" s="167" t="s">
        <v>162</v>
      </c>
      <c r="I336" s="121"/>
      <c r="J336" s="397">
        <f t="shared" ref="J336" si="23">CHOOSE(year_selection, L336,M336,N336,O336,P336,Q336,R336,S336)</f>
        <v>22280.782866737216</v>
      </c>
      <c r="K336" s="398"/>
      <c r="L336" s="521">
        <v>13317.004326382827</v>
      </c>
      <c r="M336" s="521">
        <v>19823.358269059903</v>
      </c>
      <c r="N336" s="521">
        <v>23449.805330966748</v>
      </c>
      <c r="O336" s="521">
        <v>22280.782866737216</v>
      </c>
      <c r="P336" s="521">
        <v>22280.782866737216</v>
      </c>
      <c r="Q336" s="521">
        <v>22280.782866737216</v>
      </c>
      <c r="R336" s="521">
        <v>22280.782866737216</v>
      </c>
      <c r="S336" s="521">
        <v>22280.782866737216</v>
      </c>
    </row>
    <row r="337" spans="3:21" x14ac:dyDescent="0.25">
      <c r="F337" s="168" t="s">
        <v>77</v>
      </c>
      <c r="G337" s="168" t="s">
        <v>187</v>
      </c>
      <c r="H337" s="168" t="s">
        <v>162</v>
      </c>
      <c r="I337" s="262"/>
      <c r="J337" s="404"/>
      <c r="K337" s="400"/>
      <c r="L337" s="404"/>
      <c r="M337" s="404"/>
      <c r="N337" s="404"/>
      <c r="O337" s="404"/>
      <c r="P337" s="404"/>
      <c r="Q337" s="404"/>
      <c r="R337" s="404"/>
      <c r="S337" s="404"/>
    </row>
    <row r="338" spans="3:21" x14ac:dyDescent="0.25">
      <c r="J338" s="401"/>
      <c r="K338" s="401"/>
      <c r="L338" s="401"/>
      <c r="M338" s="401"/>
      <c r="N338" s="401"/>
      <c r="O338" s="401"/>
      <c r="P338" s="401"/>
      <c r="Q338" s="401"/>
      <c r="R338" s="401"/>
      <c r="S338" s="401"/>
    </row>
    <row r="339" spans="3:21" x14ac:dyDescent="0.25">
      <c r="C339" s="22" t="str">
        <f ca="1">INDEX('Version control'!$H$34:$H$59,MATCH($A$1,'Version control'!$F$34:$F$59,0),1)&amp;"-D: LDNO LV volumes"</f>
        <v>Input 501-D: LDNO LV volumes</v>
      </c>
      <c r="D339" s="22"/>
      <c r="E339" s="22"/>
      <c r="F339" s="22"/>
      <c r="G339" s="22"/>
      <c r="H339" s="22"/>
      <c r="I339" s="296"/>
      <c r="J339" s="405"/>
      <c r="K339" s="405"/>
      <c r="L339" s="405"/>
      <c r="M339" s="405"/>
      <c r="N339" s="405"/>
      <c r="O339" s="405"/>
      <c r="P339" s="405"/>
      <c r="Q339" s="405"/>
      <c r="R339" s="405"/>
      <c r="S339" s="405"/>
      <c r="T339" s="22"/>
      <c r="U339" s="22"/>
    </row>
    <row r="340" spans="3:21" x14ac:dyDescent="0.25">
      <c r="D340" s="172"/>
    </row>
    <row r="341" spans="3:21" x14ac:dyDescent="0.25">
      <c r="E341" s="261" t="s">
        <v>327</v>
      </c>
      <c r="I341" s="200" t="s">
        <v>525</v>
      </c>
      <c r="J341" s="401"/>
      <c r="K341" s="401"/>
      <c r="L341" s="401"/>
      <c r="M341" s="401"/>
      <c r="N341" s="401"/>
      <c r="O341" s="401"/>
      <c r="P341" s="401"/>
      <c r="Q341" s="401"/>
      <c r="R341" s="401"/>
      <c r="S341" s="401"/>
      <c r="U341" s="160" t="s">
        <v>939</v>
      </c>
    </row>
    <row r="342" spans="3:21" x14ac:dyDescent="0.25">
      <c r="F342" s="166" t="s">
        <v>52</v>
      </c>
      <c r="G342" s="166" t="s">
        <v>137</v>
      </c>
      <c r="H342" s="166" t="s">
        <v>695</v>
      </c>
      <c r="I342" s="201"/>
      <c r="J342" s="395">
        <f t="shared" ref="J342:J365" si="24">CHOOSE(year_selection, L342,M342,N342,O342,P342,Q342,R342,S342)</f>
        <v>50529.318635033887</v>
      </c>
      <c r="K342" s="396"/>
      <c r="L342" s="520">
        <v>35654.938474967916</v>
      </c>
      <c r="M342" s="520">
        <v>50285.863557993391</v>
      </c>
      <c r="N342" s="520">
        <v>32424.783488263172</v>
      </c>
      <c r="O342" s="520">
        <v>50529.318635033887</v>
      </c>
      <c r="P342" s="520">
        <v>57532.563263789969</v>
      </c>
      <c r="Q342" s="520">
        <v>64687.853388727577</v>
      </c>
      <c r="R342" s="520">
        <v>72054.207609210527</v>
      </c>
      <c r="S342" s="520">
        <v>79420.56182969347</v>
      </c>
    </row>
    <row r="343" spans="3:21" x14ac:dyDescent="0.25">
      <c r="F343" s="167" t="s">
        <v>53</v>
      </c>
      <c r="G343" s="167" t="s">
        <v>137</v>
      </c>
      <c r="H343" s="167" t="s">
        <v>695</v>
      </c>
      <c r="I343" s="121"/>
      <c r="J343" s="397">
        <f t="shared" si="24"/>
        <v>2826.5797541852289</v>
      </c>
      <c r="K343" s="398"/>
      <c r="L343" s="521">
        <v>3123.6890474408447</v>
      </c>
      <c r="M343" s="521">
        <v>4248.1936446317186</v>
      </c>
      <c r="N343" s="521">
        <v>1588.1544773415796</v>
      </c>
      <c r="O343" s="521">
        <v>2826.5797541852289</v>
      </c>
      <c r="P343" s="521">
        <v>3378.6215340133326</v>
      </c>
      <c r="Q343" s="521">
        <v>3930.6633191253718</v>
      </c>
      <c r="R343" s="521">
        <v>4482.7051042380835</v>
      </c>
      <c r="S343" s="521">
        <v>5034.7468893507939</v>
      </c>
    </row>
    <row r="344" spans="3:21" x14ac:dyDescent="0.25">
      <c r="F344" s="167" t="s">
        <v>84</v>
      </c>
      <c r="G344" s="167" t="s">
        <v>137</v>
      </c>
      <c r="H344" s="167" t="s">
        <v>695</v>
      </c>
      <c r="I344" s="121"/>
      <c r="J344" s="397">
        <f t="shared" si="24"/>
        <v>0</v>
      </c>
      <c r="K344" s="398"/>
      <c r="L344" s="521">
        <v>0</v>
      </c>
      <c r="M344" s="521">
        <v>0</v>
      </c>
      <c r="N344" s="521">
        <v>0</v>
      </c>
      <c r="O344" s="521">
        <v>0</v>
      </c>
      <c r="P344" s="521">
        <v>0</v>
      </c>
      <c r="Q344" s="521">
        <v>0</v>
      </c>
      <c r="R344" s="521">
        <v>0</v>
      </c>
      <c r="S344" s="521">
        <v>0</v>
      </c>
    </row>
    <row r="345" spans="3:21" x14ac:dyDescent="0.25">
      <c r="F345" s="167" t="s">
        <v>54</v>
      </c>
      <c r="G345" s="167" t="s">
        <v>137</v>
      </c>
      <c r="H345" s="167" t="s">
        <v>695</v>
      </c>
      <c r="I345" s="121"/>
      <c r="J345" s="397">
        <f t="shared" si="24"/>
        <v>9109.385454381918</v>
      </c>
      <c r="K345" s="398"/>
      <c r="L345" s="521">
        <v>5713.7262801003762</v>
      </c>
      <c r="M345" s="521">
        <v>8047.3071302401731</v>
      </c>
      <c r="N345" s="521">
        <v>3426.3901808892465</v>
      </c>
      <c r="O345" s="521">
        <v>9109.385454381918</v>
      </c>
      <c r="P345" s="521">
        <v>11581.425985857948</v>
      </c>
      <c r="Q345" s="521">
        <v>14053.466565279763</v>
      </c>
      <c r="R345" s="521">
        <v>16525.507144768519</v>
      </c>
      <c r="S345" s="521">
        <v>18997.547724257274</v>
      </c>
    </row>
    <row r="346" spans="3:21" x14ac:dyDescent="0.25">
      <c r="F346" s="167" t="s">
        <v>55</v>
      </c>
      <c r="G346" s="167" t="s">
        <v>137</v>
      </c>
      <c r="H346" s="167" t="s">
        <v>695</v>
      </c>
      <c r="I346" s="121"/>
      <c r="J346" s="397">
        <f t="shared" si="24"/>
        <v>122.97201795974398</v>
      </c>
      <c r="K346" s="398"/>
      <c r="L346" s="521">
        <v>351.49186928734082</v>
      </c>
      <c r="M346" s="521">
        <v>267.37783296016676</v>
      </c>
      <c r="N346" s="521">
        <v>126.51482756652837</v>
      </c>
      <c r="O346" s="521">
        <v>122.97201795974398</v>
      </c>
      <c r="P346" s="521">
        <v>122.97201795974398</v>
      </c>
      <c r="Q346" s="521">
        <v>122.97201795974398</v>
      </c>
      <c r="R346" s="521">
        <v>122.97201795974398</v>
      </c>
      <c r="S346" s="521">
        <v>122.97201795974398</v>
      </c>
    </row>
    <row r="347" spans="3:21" x14ac:dyDescent="0.25">
      <c r="F347" s="167" t="s">
        <v>85</v>
      </c>
      <c r="G347" s="167" t="s">
        <v>137</v>
      </c>
      <c r="H347" s="167" t="s">
        <v>695</v>
      </c>
      <c r="I347" s="121"/>
      <c r="J347" s="397">
        <f t="shared" si="24"/>
        <v>0</v>
      </c>
      <c r="K347" s="398"/>
      <c r="L347" s="521">
        <v>0</v>
      </c>
      <c r="M347" s="521">
        <v>0</v>
      </c>
      <c r="N347" s="521">
        <v>0</v>
      </c>
      <c r="O347" s="521">
        <v>0</v>
      </c>
      <c r="P347" s="521">
        <v>0</v>
      </c>
      <c r="Q347" s="521">
        <v>0</v>
      </c>
      <c r="R347" s="521">
        <v>0</v>
      </c>
      <c r="S347" s="521">
        <v>0</v>
      </c>
    </row>
    <row r="348" spans="3:21" x14ac:dyDescent="0.25">
      <c r="F348" s="167" t="s">
        <v>56</v>
      </c>
      <c r="G348" s="167" t="s">
        <v>137</v>
      </c>
      <c r="H348" s="167" t="s">
        <v>695</v>
      </c>
      <c r="I348" s="121"/>
      <c r="J348" s="397">
        <f t="shared" si="24"/>
        <v>460.11276428235038</v>
      </c>
      <c r="K348" s="398"/>
      <c r="L348" s="521">
        <v>4187.9428524688728</v>
      </c>
      <c r="M348" s="521">
        <v>0</v>
      </c>
      <c r="N348" s="521">
        <v>912.24547926386822</v>
      </c>
      <c r="O348" s="521">
        <v>460.11276428235038</v>
      </c>
      <c r="P348" s="521">
        <v>460.11276428235038</v>
      </c>
      <c r="Q348" s="521">
        <v>460.11276428235038</v>
      </c>
      <c r="R348" s="521">
        <v>460.11276428235038</v>
      </c>
      <c r="S348" s="521">
        <v>460.11276428235038</v>
      </c>
    </row>
    <row r="349" spans="3:21" x14ac:dyDescent="0.25">
      <c r="F349" s="167" t="s">
        <v>57</v>
      </c>
      <c r="G349" s="167" t="s">
        <v>137</v>
      </c>
      <c r="H349" s="167" t="s">
        <v>695</v>
      </c>
      <c r="I349" s="121"/>
      <c r="J349" s="403"/>
      <c r="K349" s="398"/>
      <c r="L349" s="403"/>
      <c r="M349" s="403"/>
      <c r="N349" s="403"/>
      <c r="O349" s="403"/>
      <c r="P349" s="403"/>
      <c r="Q349" s="403"/>
      <c r="R349" s="403"/>
      <c r="S349" s="403"/>
    </row>
    <row r="350" spans="3:21" x14ac:dyDescent="0.25">
      <c r="F350" s="167" t="s">
        <v>72</v>
      </c>
      <c r="G350" s="167" t="s">
        <v>137</v>
      </c>
      <c r="H350" s="167" t="s">
        <v>695</v>
      </c>
      <c r="I350" s="121"/>
      <c r="J350" s="403"/>
      <c r="K350" s="398"/>
      <c r="L350" s="403"/>
      <c r="M350" s="403"/>
      <c r="N350" s="403"/>
      <c r="O350" s="403"/>
      <c r="P350" s="403"/>
      <c r="Q350" s="403"/>
      <c r="R350" s="403"/>
      <c r="S350" s="403"/>
    </row>
    <row r="351" spans="3:21" x14ac:dyDescent="0.25">
      <c r="F351" s="167" t="s">
        <v>58</v>
      </c>
      <c r="G351" s="167" t="s">
        <v>137</v>
      </c>
      <c r="H351" s="167" t="s">
        <v>695</v>
      </c>
      <c r="I351" s="121"/>
      <c r="J351" s="397">
        <f t="shared" si="24"/>
        <v>0.64704682591866147</v>
      </c>
      <c r="K351" s="398"/>
      <c r="L351" s="521">
        <v>0</v>
      </c>
      <c r="M351" s="521">
        <v>0</v>
      </c>
      <c r="N351" s="521">
        <v>0</v>
      </c>
      <c r="O351" s="521">
        <v>0.64704682591866147</v>
      </c>
      <c r="P351" s="521">
        <v>0.64704682591866147</v>
      </c>
      <c r="Q351" s="521">
        <v>0.64704682591866147</v>
      </c>
      <c r="R351" s="521">
        <v>0.64704682591866147</v>
      </c>
      <c r="S351" s="521">
        <v>0.64704682591866147</v>
      </c>
    </row>
    <row r="352" spans="3:21" x14ac:dyDescent="0.25">
      <c r="F352" s="167" t="s">
        <v>59</v>
      </c>
      <c r="G352" s="167" t="s">
        <v>137</v>
      </c>
      <c r="H352" s="167" t="s">
        <v>695</v>
      </c>
      <c r="I352" s="121"/>
      <c r="J352" s="397">
        <f t="shared" si="24"/>
        <v>53.240169966642156</v>
      </c>
      <c r="K352" s="398"/>
      <c r="L352" s="521">
        <v>0</v>
      </c>
      <c r="M352" s="521">
        <v>581.56341084446626</v>
      </c>
      <c r="N352" s="521">
        <v>30.697499863839976</v>
      </c>
      <c r="O352" s="521">
        <v>53.240169966642156</v>
      </c>
      <c r="P352" s="521">
        <v>53.240169966642156</v>
      </c>
      <c r="Q352" s="521">
        <v>53.240169966642156</v>
      </c>
      <c r="R352" s="521">
        <v>53.240169966642156</v>
      </c>
      <c r="S352" s="521">
        <v>53.240169966642156</v>
      </c>
    </row>
    <row r="353" spans="6:19" x14ac:dyDescent="0.25">
      <c r="F353" s="167" t="s">
        <v>60</v>
      </c>
      <c r="G353" s="167" t="s">
        <v>137</v>
      </c>
      <c r="H353" s="167" t="s">
        <v>695</v>
      </c>
      <c r="I353" s="121"/>
      <c r="J353" s="397">
        <f t="shared" si="24"/>
        <v>2012.5375530019282</v>
      </c>
      <c r="K353" s="398"/>
      <c r="L353" s="521">
        <v>0</v>
      </c>
      <c r="M353" s="521">
        <v>1015.5114850802023</v>
      </c>
      <c r="N353" s="521">
        <v>618.89297769321502</v>
      </c>
      <c r="O353" s="521">
        <v>2012.5375530019282</v>
      </c>
      <c r="P353" s="521">
        <v>2354.2475486490298</v>
      </c>
      <c r="Q353" s="521">
        <v>2695.9575084146377</v>
      </c>
      <c r="R353" s="521">
        <v>3037.6674681963486</v>
      </c>
      <c r="S353" s="521">
        <v>3379.3774279780596</v>
      </c>
    </row>
    <row r="354" spans="6:19" x14ac:dyDescent="0.25">
      <c r="F354" s="167" t="s">
        <v>61</v>
      </c>
      <c r="G354" s="167" t="s">
        <v>137</v>
      </c>
      <c r="H354" s="167" t="s">
        <v>695</v>
      </c>
      <c r="I354" s="121"/>
      <c r="J354" s="403"/>
      <c r="K354" s="398"/>
      <c r="L354" s="403"/>
      <c r="M354" s="403"/>
      <c r="N354" s="403"/>
      <c r="O354" s="403"/>
      <c r="P354" s="403"/>
      <c r="Q354" s="403"/>
      <c r="R354" s="403"/>
      <c r="S354" s="403"/>
    </row>
    <row r="355" spans="6:19" x14ac:dyDescent="0.25">
      <c r="F355" s="167" t="s">
        <v>73</v>
      </c>
      <c r="G355" s="167" t="s">
        <v>137</v>
      </c>
      <c r="H355" s="167" t="s">
        <v>695</v>
      </c>
      <c r="I355" s="121"/>
      <c r="J355" s="403"/>
      <c r="K355" s="398"/>
      <c r="L355" s="403"/>
      <c r="M355" s="403"/>
      <c r="N355" s="403"/>
      <c r="O355" s="403"/>
      <c r="P355" s="403"/>
      <c r="Q355" s="403"/>
      <c r="R355" s="403"/>
      <c r="S355" s="403"/>
    </row>
    <row r="356" spans="6:19" x14ac:dyDescent="0.25">
      <c r="F356" s="167" t="s">
        <v>86</v>
      </c>
      <c r="G356" s="167" t="s">
        <v>137</v>
      </c>
      <c r="H356" s="167" t="s">
        <v>695</v>
      </c>
      <c r="I356" s="121"/>
      <c r="J356" s="397">
        <f t="shared" si="24"/>
        <v>0</v>
      </c>
      <c r="K356" s="398"/>
      <c r="L356" s="521">
        <v>0</v>
      </c>
      <c r="M356" s="521">
        <v>0</v>
      </c>
      <c r="N356" s="521">
        <v>186.07782221472542</v>
      </c>
      <c r="O356" s="521">
        <v>0</v>
      </c>
      <c r="P356" s="521">
        <v>0</v>
      </c>
      <c r="Q356" s="521">
        <v>0</v>
      </c>
      <c r="R356" s="521">
        <v>0</v>
      </c>
      <c r="S356" s="521">
        <v>0</v>
      </c>
    </row>
    <row r="357" spans="6:19" x14ac:dyDescent="0.25">
      <c r="F357" s="167" t="s">
        <v>87</v>
      </c>
      <c r="G357" s="167" t="s">
        <v>137</v>
      </c>
      <c r="H357" s="167" t="s">
        <v>695</v>
      </c>
      <c r="I357" s="121"/>
      <c r="J357" s="397">
        <f t="shared" si="24"/>
        <v>55.545909609640468</v>
      </c>
      <c r="K357" s="398"/>
      <c r="L357" s="521">
        <v>0</v>
      </c>
      <c r="M357" s="521"/>
      <c r="N357" s="521">
        <v>75.986407703651949</v>
      </c>
      <c r="O357" s="521">
        <v>55.545909609640468</v>
      </c>
      <c r="P357" s="521">
        <v>55.545909609640468</v>
      </c>
      <c r="Q357" s="521">
        <v>55.545909609640468</v>
      </c>
      <c r="R357" s="521">
        <v>55.545909609640468</v>
      </c>
      <c r="S357" s="521">
        <v>55.545909609640468</v>
      </c>
    </row>
    <row r="358" spans="6:19" x14ac:dyDescent="0.25">
      <c r="F358" s="167" t="s">
        <v>88</v>
      </c>
      <c r="G358" s="167" t="s">
        <v>137</v>
      </c>
      <c r="H358" s="167" t="s">
        <v>695</v>
      </c>
      <c r="I358" s="121"/>
      <c r="J358" s="397">
        <f t="shared" si="24"/>
        <v>98.417000000000044</v>
      </c>
      <c r="K358" s="398"/>
      <c r="L358" s="521">
        <v>0</v>
      </c>
      <c r="M358" s="521"/>
      <c r="N358" s="521">
        <v>1.8263658146364738</v>
      </c>
      <c r="O358" s="521">
        <v>98.417000000000044</v>
      </c>
      <c r="P358" s="521">
        <v>98.417000000000044</v>
      </c>
      <c r="Q358" s="521">
        <v>98.417000000000044</v>
      </c>
      <c r="R358" s="521">
        <v>98.417000000000044</v>
      </c>
      <c r="S358" s="521">
        <v>98.417000000000044</v>
      </c>
    </row>
    <row r="359" spans="6:19" x14ac:dyDescent="0.25">
      <c r="F359" s="167" t="s">
        <v>89</v>
      </c>
      <c r="G359" s="167" t="s">
        <v>137</v>
      </c>
      <c r="H359" s="167" t="s">
        <v>695</v>
      </c>
      <c r="I359" s="121"/>
      <c r="J359" s="397">
        <f t="shared" si="24"/>
        <v>0</v>
      </c>
      <c r="K359" s="398"/>
      <c r="L359" s="521">
        <v>0</v>
      </c>
      <c r="M359" s="521"/>
      <c r="N359" s="521">
        <v>0</v>
      </c>
      <c r="O359" s="521">
        <v>0</v>
      </c>
      <c r="P359" s="521">
        <v>0</v>
      </c>
      <c r="Q359" s="521">
        <v>0</v>
      </c>
      <c r="R359" s="521">
        <v>0</v>
      </c>
      <c r="S359" s="521">
        <v>0</v>
      </c>
    </row>
    <row r="360" spans="6:19" x14ac:dyDescent="0.25">
      <c r="F360" s="167" t="s">
        <v>90</v>
      </c>
      <c r="G360" s="167" t="s">
        <v>137</v>
      </c>
      <c r="H360" s="167" t="s">
        <v>695</v>
      </c>
      <c r="I360" s="121"/>
      <c r="J360" s="397">
        <f t="shared" si="24"/>
        <v>23.182509259259259</v>
      </c>
      <c r="K360" s="398"/>
      <c r="L360" s="521">
        <v>0</v>
      </c>
      <c r="M360" s="521">
        <v>23.615503098057715</v>
      </c>
      <c r="N360" s="521">
        <v>55.164271991661835</v>
      </c>
      <c r="O360" s="521">
        <v>23.182509259259259</v>
      </c>
      <c r="P360" s="521">
        <v>23.182509259259259</v>
      </c>
      <c r="Q360" s="521">
        <v>23.182509259259259</v>
      </c>
      <c r="R360" s="521">
        <v>23.182509259259259</v>
      </c>
      <c r="S360" s="521">
        <v>23.182509259259259</v>
      </c>
    </row>
    <row r="361" spans="6:19" x14ac:dyDescent="0.25">
      <c r="F361" s="167" t="s">
        <v>62</v>
      </c>
      <c r="G361" s="167" t="s">
        <v>137</v>
      </c>
      <c r="H361" s="167" t="s">
        <v>695</v>
      </c>
      <c r="I361" s="121"/>
      <c r="J361" s="397">
        <f t="shared" si="24"/>
        <v>254.77322828784122</v>
      </c>
      <c r="K361" s="398"/>
      <c r="L361" s="521">
        <v>0</v>
      </c>
      <c r="M361" s="521"/>
      <c r="N361" s="521"/>
      <c r="O361" s="521">
        <v>254.77322828784122</v>
      </c>
      <c r="P361" s="521">
        <v>254.77322828784122</v>
      </c>
      <c r="Q361" s="521">
        <v>254.77322828784122</v>
      </c>
      <c r="R361" s="521">
        <v>254.77322828784122</v>
      </c>
      <c r="S361" s="521">
        <v>254.77322828784122</v>
      </c>
    </row>
    <row r="362" spans="6:19" x14ac:dyDescent="0.25">
      <c r="F362" s="167" t="s">
        <v>63</v>
      </c>
      <c r="G362" s="167" t="s">
        <v>137</v>
      </c>
      <c r="H362" s="167" t="s">
        <v>695</v>
      </c>
      <c r="I362" s="121"/>
      <c r="J362" s="403"/>
      <c r="K362" s="398"/>
      <c r="L362" s="403"/>
      <c r="M362" s="403"/>
      <c r="N362" s="403"/>
      <c r="O362" s="403"/>
      <c r="P362" s="403"/>
      <c r="Q362" s="403"/>
      <c r="R362" s="403"/>
      <c r="S362" s="403"/>
    </row>
    <row r="363" spans="6:19" x14ac:dyDescent="0.25">
      <c r="F363" s="167" t="s">
        <v>64</v>
      </c>
      <c r="G363" s="167" t="s">
        <v>137</v>
      </c>
      <c r="H363" s="167" t="s">
        <v>695</v>
      </c>
      <c r="I363" s="121"/>
      <c r="J363" s="397">
        <f t="shared" si="24"/>
        <v>0</v>
      </c>
      <c r="K363" s="398"/>
      <c r="L363" s="521">
        <v>0</v>
      </c>
      <c r="M363" s="521">
        <v>0</v>
      </c>
      <c r="N363" s="521">
        <v>0</v>
      </c>
      <c r="O363" s="521">
        <v>0</v>
      </c>
      <c r="P363" s="521">
        <v>0</v>
      </c>
      <c r="Q363" s="521">
        <v>0</v>
      </c>
      <c r="R363" s="521">
        <v>0</v>
      </c>
      <c r="S363" s="521">
        <v>0</v>
      </c>
    </row>
    <row r="364" spans="6:19" x14ac:dyDescent="0.25">
      <c r="F364" s="167" t="s">
        <v>65</v>
      </c>
      <c r="G364" s="167" t="s">
        <v>137</v>
      </c>
      <c r="H364" s="167" t="s">
        <v>695</v>
      </c>
      <c r="I364" s="121"/>
      <c r="J364" s="403"/>
      <c r="K364" s="398"/>
      <c r="L364" s="403"/>
      <c r="M364" s="403"/>
      <c r="N364" s="403"/>
      <c r="O364" s="403"/>
      <c r="P364" s="403"/>
      <c r="Q364" s="403"/>
      <c r="R364" s="403"/>
      <c r="S364" s="403"/>
    </row>
    <row r="365" spans="6:19" x14ac:dyDescent="0.25">
      <c r="F365" s="167" t="s">
        <v>66</v>
      </c>
      <c r="G365" s="167" t="s">
        <v>137</v>
      </c>
      <c r="H365" s="167" t="s">
        <v>695</v>
      </c>
      <c r="I365" s="121"/>
      <c r="J365" s="397">
        <f t="shared" si="24"/>
        <v>0</v>
      </c>
      <c r="K365" s="398"/>
      <c r="L365" s="521">
        <v>0</v>
      </c>
      <c r="M365" s="521">
        <v>0</v>
      </c>
      <c r="N365" s="521">
        <v>0</v>
      </c>
      <c r="O365" s="521">
        <v>0</v>
      </c>
      <c r="P365" s="521">
        <v>0</v>
      </c>
      <c r="Q365" s="521">
        <v>0</v>
      </c>
      <c r="R365" s="521">
        <v>0</v>
      </c>
      <c r="S365" s="521">
        <v>0</v>
      </c>
    </row>
    <row r="366" spans="6:19" x14ac:dyDescent="0.25">
      <c r="F366" s="167" t="s">
        <v>67</v>
      </c>
      <c r="G366" s="167" t="s">
        <v>137</v>
      </c>
      <c r="H366" s="167" t="s">
        <v>695</v>
      </c>
      <c r="I366" s="121"/>
      <c r="J366" s="403"/>
      <c r="K366" s="398"/>
      <c r="L366" s="403"/>
      <c r="M366" s="403"/>
      <c r="N366" s="403"/>
      <c r="O366" s="403"/>
      <c r="P366" s="403"/>
      <c r="Q366" s="403"/>
      <c r="R366" s="403"/>
      <c r="S366" s="403"/>
    </row>
    <row r="367" spans="6:19" x14ac:dyDescent="0.25">
      <c r="F367" s="167" t="s">
        <v>68</v>
      </c>
      <c r="G367" s="167" t="s">
        <v>137</v>
      </c>
      <c r="H367" s="167" t="s">
        <v>695</v>
      </c>
      <c r="I367" s="121"/>
      <c r="J367" s="403"/>
      <c r="K367" s="398"/>
      <c r="L367" s="403"/>
      <c r="M367" s="403"/>
      <c r="N367" s="403"/>
      <c r="O367" s="403"/>
      <c r="P367" s="403"/>
      <c r="Q367" s="403"/>
      <c r="R367" s="403"/>
      <c r="S367" s="403"/>
    </row>
    <row r="368" spans="6:19" x14ac:dyDescent="0.25">
      <c r="F368" s="167" t="s">
        <v>69</v>
      </c>
      <c r="G368" s="167" t="s">
        <v>137</v>
      </c>
      <c r="H368" s="167" t="s">
        <v>695</v>
      </c>
      <c r="I368" s="121"/>
      <c r="J368" s="403"/>
      <c r="K368" s="398"/>
      <c r="L368" s="403"/>
      <c r="M368" s="403"/>
      <c r="N368" s="403"/>
      <c r="O368" s="403"/>
      <c r="P368" s="403"/>
      <c r="Q368" s="403"/>
      <c r="R368" s="403"/>
      <c r="S368" s="403"/>
    </row>
    <row r="369" spans="5:19" x14ac:dyDescent="0.25">
      <c r="F369" s="167" t="s">
        <v>70</v>
      </c>
      <c r="G369" s="167" t="s">
        <v>137</v>
      </c>
      <c r="H369" s="167" t="s">
        <v>695</v>
      </c>
      <c r="I369" s="121"/>
      <c r="J369" s="403"/>
      <c r="K369" s="398"/>
      <c r="L369" s="403"/>
      <c r="M369" s="403"/>
      <c r="N369" s="403"/>
      <c r="O369" s="403"/>
      <c r="P369" s="403"/>
      <c r="Q369" s="403"/>
      <c r="R369" s="403"/>
      <c r="S369" s="403"/>
    </row>
    <row r="370" spans="5:19" x14ac:dyDescent="0.25">
      <c r="F370" s="167" t="s">
        <v>71</v>
      </c>
      <c r="G370" s="167" t="s">
        <v>137</v>
      </c>
      <c r="H370" s="167" t="s">
        <v>695</v>
      </c>
      <c r="I370" s="121"/>
      <c r="J370" s="403"/>
      <c r="K370" s="398"/>
      <c r="L370" s="403"/>
      <c r="M370" s="403"/>
      <c r="N370" s="403"/>
      <c r="O370" s="403"/>
      <c r="P370" s="403"/>
      <c r="Q370" s="403"/>
      <c r="R370" s="403"/>
      <c r="S370" s="403"/>
    </row>
    <row r="371" spans="5:19" x14ac:dyDescent="0.25">
      <c r="F371" s="167" t="s">
        <v>74</v>
      </c>
      <c r="G371" s="167" t="s">
        <v>137</v>
      </c>
      <c r="H371" s="167" t="s">
        <v>695</v>
      </c>
      <c r="I371" s="121"/>
      <c r="J371" s="403"/>
      <c r="K371" s="398"/>
      <c r="L371" s="403"/>
      <c r="M371" s="403"/>
      <c r="N371" s="403"/>
      <c r="O371" s="403"/>
      <c r="P371" s="403"/>
      <c r="Q371" s="403"/>
      <c r="R371" s="403"/>
      <c r="S371" s="403"/>
    </row>
    <row r="372" spans="5:19" x14ac:dyDescent="0.25">
      <c r="F372" s="167" t="s">
        <v>75</v>
      </c>
      <c r="G372" s="167" t="s">
        <v>137</v>
      </c>
      <c r="H372" s="167" t="s">
        <v>695</v>
      </c>
      <c r="I372" s="121"/>
      <c r="J372" s="403"/>
      <c r="K372" s="398"/>
      <c r="L372" s="403"/>
      <c r="M372" s="403"/>
      <c r="N372" s="403"/>
      <c r="O372" s="403"/>
      <c r="P372" s="403"/>
      <c r="Q372" s="403"/>
      <c r="R372" s="403"/>
      <c r="S372" s="403"/>
    </row>
    <row r="373" spans="5:19" x14ac:dyDescent="0.25">
      <c r="F373" s="167" t="s">
        <v>76</v>
      </c>
      <c r="G373" s="167" t="s">
        <v>137</v>
      </c>
      <c r="H373" s="167" t="s">
        <v>695</v>
      </c>
      <c r="I373" s="121"/>
      <c r="J373" s="403"/>
      <c r="K373" s="398"/>
      <c r="L373" s="403"/>
      <c r="M373" s="403"/>
      <c r="N373" s="403"/>
      <c r="O373" s="403"/>
      <c r="P373" s="403"/>
      <c r="Q373" s="403"/>
      <c r="R373" s="403"/>
      <c r="S373" s="403"/>
    </row>
    <row r="374" spans="5:19" x14ac:dyDescent="0.25">
      <c r="F374" s="168" t="s">
        <v>77</v>
      </c>
      <c r="G374" s="168" t="s">
        <v>137</v>
      </c>
      <c r="H374" s="168" t="s">
        <v>695</v>
      </c>
      <c r="I374" s="262"/>
      <c r="J374" s="404"/>
      <c r="K374" s="400"/>
      <c r="L374" s="404"/>
      <c r="M374" s="404"/>
      <c r="N374" s="404"/>
      <c r="O374" s="404"/>
      <c r="P374" s="404"/>
      <c r="Q374" s="404"/>
      <c r="R374" s="404"/>
      <c r="S374" s="404"/>
    </row>
    <row r="375" spans="5:19" x14ac:dyDescent="0.25">
      <c r="J375" s="401"/>
      <c r="K375" s="401"/>
      <c r="L375" s="401"/>
      <c r="M375" s="401"/>
      <c r="N375" s="401"/>
      <c r="O375" s="401"/>
      <c r="P375" s="401"/>
      <c r="Q375" s="401"/>
      <c r="R375" s="401"/>
      <c r="S375" s="401"/>
    </row>
    <row r="376" spans="5:19" x14ac:dyDescent="0.25">
      <c r="E376" s="261" t="s">
        <v>328</v>
      </c>
      <c r="J376" s="401"/>
      <c r="K376" s="401"/>
      <c r="L376" s="401"/>
      <c r="M376" s="401"/>
      <c r="N376" s="401"/>
      <c r="O376" s="401"/>
      <c r="P376" s="401"/>
      <c r="Q376" s="401"/>
      <c r="R376" s="401"/>
      <c r="S376" s="401"/>
    </row>
    <row r="377" spans="5:19" x14ac:dyDescent="0.25">
      <c r="F377" s="166" t="s">
        <v>52</v>
      </c>
      <c r="G377" s="166" t="s">
        <v>137</v>
      </c>
      <c r="H377" s="166" t="s">
        <v>695</v>
      </c>
      <c r="I377" s="201"/>
      <c r="J377" s="402"/>
      <c r="K377" s="396"/>
      <c r="L377" s="402"/>
      <c r="M377" s="402"/>
      <c r="N377" s="402"/>
      <c r="O377" s="402"/>
      <c r="P377" s="402"/>
      <c r="Q377" s="402"/>
      <c r="R377" s="402"/>
      <c r="S377" s="402"/>
    </row>
    <row r="378" spans="5:19" x14ac:dyDescent="0.25">
      <c r="F378" s="167" t="s">
        <v>53</v>
      </c>
      <c r="G378" s="167" t="s">
        <v>137</v>
      </c>
      <c r="H378" s="167" t="s">
        <v>695</v>
      </c>
      <c r="I378" s="121"/>
      <c r="J378" s="397">
        <f t="shared" ref="J378" si="25">CHOOSE(year_selection, L378,M378,N378,O378,P378,Q378,R378,S378)</f>
        <v>2396.1142504338291</v>
      </c>
      <c r="K378" s="398"/>
      <c r="L378" s="521">
        <v>789.87805691365543</v>
      </c>
      <c r="M378" s="599">
        <v>783.64190665075807</v>
      </c>
      <c r="N378" s="521">
        <v>1204.2188838385462</v>
      </c>
      <c r="O378" s="521">
        <v>2396.1142504338291</v>
      </c>
      <c r="P378" s="521">
        <v>2861.2077348865705</v>
      </c>
      <c r="Q378" s="521">
        <v>3326.3012238738588</v>
      </c>
      <c r="R378" s="521">
        <v>3791.394712861761</v>
      </c>
      <c r="S378" s="521">
        <v>4256.4882018496628</v>
      </c>
    </row>
    <row r="379" spans="5:19" x14ac:dyDescent="0.25">
      <c r="F379" s="167" t="s">
        <v>84</v>
      </c>
      <c r="G379" s="167" t="s">
        <v>137</v>
      </c>
      <c r="H379" s="167" t="s">
        <v>695</v>
      </c>
      <c r="I379" s="121"/>
      <c r="J379" s="403"/>
      <c r="K379" s="398"/>
      <c r="L379" s="403"/>
      <c r="M379" s="403"/>
      <c r="N379" s="403"/>
      <c r="O379" s="403"/>
      <c r="P379" s="403"/>
      <c r="Q379" s="403"/>
      <c r="R379" s="403"/>
      <c r="S379" s="403"/>
    </row>
    <row r="380" spans="5:19" x14ac:dyDescent="0.25">
      <c r="F380" s="167" t="s">
        <v>54</v>
      </c>
      <c r="G380" s="167" t="s">
        <v>137</v>
      </c>
      <c r="H380" s="167" t="s">
        <v>695</v>
      </c>
      <c r="I380" s="121"/>
      <c r="J380" s="403"/>
      <c r="K380" s="398"/>
      <c r="L380" s="403"/>
      <c r="M380" s="403"/>
      <c r="N380" s="403"/>
      <c r="O380" s="403"/>
      <c r="P380" s="403"/>
      <c r="Q380" s="403"/>
      <c r="R380" s="403"/>
      <c r="S380" s="403"/>
    </row>
    <row r="381" spans="5:19" x14ac:dyDescent="0.25">
      <c r="F381" s="167" t="s">
        <v>55</v>
      </c>
      <c r="G381" s="167" t="s">
        <v>137</v>
      </c>
      <c r="H381" s="167" t="s">
        <v>695</v>
      </c>
      <c r="I381" s="121"/>
      <c r="J381" s="397">
        <f t="shared" ref="J381" si="26">CHOOSE(year_selection, L381,M381,N381,O381,P381,Q381,R381,S381)</f>
        <v>61.757731154595682</v>
      </c>
      <c r="K381" s="398"/>
      <c r="L381" s="521">
        <v>88.466094573407858</v>
      </c>
      <c r="M381" s="599">
        <v>49.215568668708713</v>
      </c>
      <c r="N381" s="521">
        <v>54.985044862094107</v>
      </c>
      <c r="O381" s="521">
        <v>61.757731154595682</v>
      </c>
      <c r="P381" s="521">
        <v>61.757731154595682</v>
      </c>
      <c r="Q381" s="521">
        <v>61.757731154595682</v>
      </c>
      <c r="R381" s="521">
        <v>61.757731154595682</v>
      </c>
      <c r="S381" s="521">
        <v>61.757731154595682</v>
      </c>
    </row>
    <row r="382" spans="5:19" x14ac:dyDescent="0.25">
      <c r="F382" s="167" t="s">
        <v>85</v>
      </c>
      <c r="G382" s="167" t="s">
        <v>137</v>
      </c>
      <c r="H382" s="167" t="s">
        <v>695</v>
      </c>
      <c r="I382" s="121"/>
      <c r="J382" s="403"/>
      <c r="K382" s="398"/>
      <c r="L382" s="403"/>
      <c r="M382" s="403"/>
      <c r="N382" s="403"/>
      <c r="O382" s="403"/>
      <c r="P382" s="403"/>
      <c r="Q382" s="403"/>
      <c r="R382" s="403"/>
      <c r="S382" s="403"/>
    </row>
    <row r="383" spans="5:19" x14ac:dyDescent="0.25">
      <c r="F383" s="167" t="s">
        <v>56</v>
      </c>
      <c r="G383" s="167" t="s">
        <v>137</v>
      </c>
      <c r="H383" s="167" t="s">
        <v>695</v>
      </c>
      <c r="I383" s="121"/>
      <c r="J383" s="397">
        <f t="shared" ref="J383:J388" si="27">CHOOSE(year_selection, L383,M383,N383,O383,P383,Q383,R383,S383)</f>
        <v>118.18680029802398</v>
      </c>
      <c r="K383" s="398"/>
      <c r="L383" s="521">
        <v>393.55690993259572</v>
      </c>
      <c r="M383" s="521">
        <v>0</v>
      </c>
      <c r="N383" s="521">
        <v>137.62712669884789</v>
      </c>
      <c r="O383" s="521">
        <v>118.18680029802398</v>
      </c>
      <c r="P383" s="521">
        <v>118.18680029802398</v>
      </c>
      <c r="Q383" s="521">
        <v>118.18680029802398</v>
      </c>
      <c r="R383" s="521">
        <v>118.18680029802398</v>
      </c>
      <c r="S383" s="521">
        <v>118.18680029802398</v>
      </c>
    </row>
    <row r="384" spans="5:19" x14ac:dyDescent="0.25">
      <c r="F384" s="167" t="s">
        <v>57</v>
      </c>
      <c r="G384" s="167" t="s">
        <v>137</v>
      </c>
      <c r="H384" s="167" t="s">
        <v>695</v>
      </c>
      <c r="I384" s="121"/>
      <c r="J384" s="403"/>
      <c r="K384" s="398"/>
      <c r="L384" s="403"/>
      <c r="M384" s="403"/>
      <c r="N384" s="403"/>
      <c r="O384" s="403"/>
      <c r="P384" s="403"/>
      <c r="Q384" s="403"/>
      <c r="R384" s="403"/>
      <c r="S384" s="403"/>
    </row>
    <row r="385" spans="6:19" x14ac:dyDescent="0.25">
      <c r="F385" s="167" t="s">
        <v>72</v>
      </c>
      <c r="G385" s="167" t="s">
        <v>137</v>
      </c>
      <c r="H385" s="167" t="s">
        <v>695</v>
      </c>
      <c r="I385" s="121"/>
      <c r="J385" s="403"/>
      <c r="K385" s="398"/>
      <c r="L385" s="403"/>
      <c r="M385" s="403"/>
      <c r="N385" s="403"/>
      <c r="O385" s="403"/>
      <c r="P385" s="403"/>
      <c r="Q385" s="403"/>
      <c r="R385" s="403"/>
      <c r="S385" s="403"/>
    </row>
    <row r="386" spans="6:19" x14ac:dyDescent="0.25">
      <c r="F386" s="167" t="s">
        <v>58</v>
      </c>
      <c r="G386" s="167" t="s">
        <v>137</v>
      </c>
      <c r="H386" s="167" t="s">
        <v>695</v>
      </c>
      <c r="I386" s="121"/>
      <c r="J386" s="397">
        <f t="shared" si="27"/>
        <v>2.8336971138765716</v>
      </c>
      <c r="K386" s="398"/>
      <c r="L386" s="521">
        <v>0</v>
      </c>
      <c r="M386" s="521">
        <v>0</v>
      </c>
      <c r="N386" s="521">
        <v>0</v>
      </c>
      <c r="O386" s="521">
        <v>2.8336971138765716</v>
      </c>
      <c r="P386" s="521">
        <v>2.8336971138765716</v>
      </c>
      <c r="Q386" s="521">
        <v>2.8336971138765716</v>
      </c>
      <c r="R386" s="521">
        <v>2.8336971138765716</v>
      </c>
      <c r="S386" s="521">
        <v>2.8336971138765716</v>
      </c>
    </row>
    <row r="387" spans="6:19" x14ac:dyDescent="0.25">
      <c r="F387" s="167" t="s">
        <v>59</v>
      </c>
      <c r="G387" s="167" t="s">
        <v>137</v>
      </c>
      <c r="H387" s="167" t="s">
        <v>695</v>
      </c>
      <c r="I387" s="121"/>
      <c r="J387" s="397">
        <f t="shared" si="27"/>
        <v>310.45438892643443</v>
      </c>
      <c r="K387" s="398"/>
      <c r="L387" s="521">
        <v>0</v>
      </c>
      <c r="M387" s="521">
        <v>2132.3991730963767</v>
      </c>
      <c r="N387" s="521">
        <v>0</v>
      </c>
      <c r="O387" s="521">
        <v>310.45438892643443</v>
      </c>
      <c r="P387" s="521">
        <v>310.45438892643443</v>
      </c>
      <c r="Q387" s="521">
        <v>310.45438892643443</v>
      </c>
      <c r="R387" s="521">
        <v>310.45438892643443</v>
      </c>
      <c r="S387" s="521">
        <v>310.45438892643443</v>
      </c>
    </row>
    <row r="388" spans="6:19" x14ac:dyDescent="0.25">
      <c r="F388" s="167" t="s">
        <v>60</v>
      </c>
      <c r="G388" s="167" t="s">
        <v>137</v>
      </c>
      <c r="H388" s="167" t="s">
        <v>695</v>
      </c>
      <c r="I388" s="121"/>
      <c r="J388" s="397">
        <f t="shared" si="27"/>
        <v>11336.770739504416</v>
      </c>
      <c r="K388" s="398"/>
      <c r="L388" s="521">
        <v>0</v>
      </c>
      <c r="M388" s="521">
        <v>5713.3173741556748</v>
      </c>
      <c r="N388" s="521">
        <v>3410.061991363842</v>
      </c>
      <c r="O388" s="521">
        <v>11336.770739504416</v>
      </c>
      <c r="P388" s="521">
        <v>13261.840198443519</v>
      </c>
      <c r="Q388" s="521">
        <v>15186.90943467314</v>
      </c>
      <c r="R388" s="521">
        <v>17111.978670978435</v>
      </c>
      <c r="S388" s="521">
        <v>19037.04790728373</v>
      </c>
    </row>
    <row r="389" spans="6:19" x14ac:dyDescent="0.25">
      <c r="F389" s="167" t="s">
        <v>61</v>
      </c>
      <c r="G389" s="167" t="s">
        <v>137</v>
      </c>
      <c r="H389" s="167" t="s">
        <v>695</v>
      </c>
      <c r="I389" s="121"/>
      <c r="J389" s="403"/>
      <c r="K389" s="398"/>
      <c r="L389" s="403"/>
      <c r="M389" s="403"/>
      <c r="N389" s="403"/>
      <c r="O389" s="403"/>
      <c r="P389" s="403"/>
      <c r="Q389" s="403"/>
      <c r="R389" s="403"/>
      <c r="S389" s="403"/>
    </row>
    <row r="390" spans="6:19" x14ac:dyDescent="0.25">
      <c r="F390" s="167" t="s">
        <v>73</v>
      </c>
      <c r="G390" s="167" t="s">
        <v>137</v>
      </c>
      <c r="H390" s="167" t="s">
        <v>695</v>
      </c>
      <c r="I390" s="121"/>
      <c r="J390" s="403"/>
      <c r="K390" s="398"/>
      <c r="L390" s="403"/>
      <c r="M390" s="403"/>
      <c r="N390" s="403"/>
      <c r="O390" s="403"/>
      <c r="P390" s="403"/>
      <c r="Q390" s="403"/>
      <c r="R390" s="403"/>
      <c r="S390" s="403"/>
    </row>
    <row r="391" spans="6:19" x14ac:dyDescent="0.25">
      <c r="F391" s="167" t="s">
        <v>86</v>
      </c>
      <c r="G391" s="167" t="s">
        <v>137</v>
      </c>
      <c r="H391" s="167" t="s">
        <v>695</v>
      </c>
      <c r="I391" s="121"/>
      <c r="J391" s="403"/>
      <c r="K391" s="398"/>
      <c r="L391" s="403"/>
      <c r="M391" s="403"/>
      <c r="N391" s="403"/>
      <c r="O391" s="403"/>
      <c r="P391" s="403"/>
      <c r="Q391" s="403"/>
      <c r="R391" s="403"/>
      <c r="S391" s="403"/>
    </row>
    <row r="392" spans="6:19" x14ac:dyDescent="0.25">
      <c r="F392" s="167" t="s">
        <v>87</v>
      </c>
      <c r="G392" s="167" t="s">
        <v>137</v>
      </c>
      <c r="H392" s="167" t="s">
        <v>695</v>
      </c>
      <c r="I392" s="121"/>
      <c r="J392" s="403"/>
      <c r="K392" s="398"/>
      <c r="L392" s="403"/>
      <c r="M392" s="403"/>
      <c r="N392" s="403"/>
      <c r="O392" s="403"/>
      <c r="P392" s="403"/>
      <c r="Q392" s="403"/>
      <c r="R392" s="403"/>
      <c r="S392" s="403"/>
    </row>
    <row r="393" spans="6:19" x14ac:dyDescent="0.25">
      <c r="F393" s="167" t="s">
        <v>88</v>
      </c>
      <c r="G393" s="167" t="s">
        <v>137</v>
      </c>
      <c r="H393" s="167" t="s">
        <v>695</v>
      </c>
      <c r="I393" s="121"/>
      <c r="J393" s="403"/>
      <c r="K393" s="398"/>
      <c r="L393" s="403"/>
      <c r="M393" s="403"/>
      <c r="N393" s="403"/>
      <c r="O393" s="403"/>
      <c r="P393" s="403"/>
      <c r="Q393" s="403"/>
      <c r="R393" s="403"/>
      <c r="S393" s="403"/>
    </row>
    <row r="394" spans="6:19" x14ac:dyDescent="0.25">
      <c r="F394" s="167" t="s">
        <v>89</v>
      </c>
      <c r="G394" s="167" t="s">
        <v>137</v>
      </c>
      <c r="H394" s="167" t="s">
        <v>695</v>
      </c>
      <c r="I394" s="121"/>
      <c r="J394" s="403"/>
      <c r="K394" s="398"/>
      <c r="L394" s="403"/>
      <c r="M394" s="403"/>
      <c r="N394" s="403"/>
      <c r="O394" s="403"/>
      <c r="P394" s="403"/>
      <c r="Q394" s="403"/>
      <c r="R394" s="403"/>
      <c r="S394" s="403"/>
    </row>
    <row r="395" spans="6:19" x14ac:dyDescent="0.25">
      <c r="F395" s="167" t="s">
        <v>90</v>
      </c>
      <c r="G395" s="167" t="s">
        <v>137</v>
      </c>
      <c r="H395" s="167" t="s">
        <v>695</v>
      </c>
      <c r="I395" s="121"/>
      <c r="J395" s="397">
        <f t="shared" ref="J395" si="28">CHOOSE(year_selection, L395,M395,N395,O395,P395,Q395,R395,S395)</f>
        <v>172.79039814814809</v>
      </c>
      <c r="K395" s="398"/>
      <c r="L395" s="521">
        <v>0</v>
      </c>
      <c r="M395" s="521">
        <v>87.366182526435779</v>
      </c>
      <c r="N395" s="521">
        <v>317.07008646730566</v>
      </c>
      <c r="O395" s="521">
        <v>172.79039814814809</v>
      </c>
      <c r="P395" s="521">
        <v>172.79039814814809</v>
      </c>
      <c r="Q395" s="521">
        <v>172.79039814814809</v>
      </c>
      <c r="R395" s="521">
        <v>172.79039814814809</v>
      </c>
      <c r="S395" s="521">
        <v>172.79039814814809</v>
      </c>
    </row>
    <row r="396" spans="6:19" x14ac:dyDescent="0.25">
      <c r="F396" s="167" t="s">
        <v>62</v>
      </c>
      <c r="G396" s="167" t="s">
        <v>137</v>
      </c>
      <c r="H396" s="167" t="s">
        <v>695</v>
      </c>
      <c r="I396" s="121"/>
      <c r="J396" s="403"/>
      <c r="K396" s="398"/>
      <c r="L396" s="403"/>
      <c r="M396" s="403"/>
      <c r="N396" s="403"/>
      <c r="O396" s="403"/>
      <c r="P396" s="403"/>
      <c r="Q396" s="403"/>
      <c r="R396" s="403"/>
      <c r="S396" s="403"/>
    </row>
    <row r="397" spans="6:19" x14ac:dyDescent="0.25">
      <c r="F397" s="167" t="s">
        <v>63</v>
      </c>
      <c r="G397" s="167" t="s">
        <v>137</v>
      </c>
      <c r="H397" s="167" t="s">
        <v>695</v>
      </c>
      <c r="I397" s="121"/>
      <c r="J397" s="403"/>
      <c r="K397" s="398"/>
      <c r="L397" s="403"/>
      <c r="M397" s="403"/>
      <c r="N397" s="403"/>
      <c r="O397" s="403"/>
      <c r="P397" s="403"/>
      <c r="Q397" s="403"/>
      <c r="R397" s="403"/>
      <c r="S397" s="403"/>
    </row>
    <row r="398" spans="6:19" x14ac:dyDescent="0.25">
      <c r="F398" s="167" t="s">
        <v>64</v>
      </c>
      <c r="G398" s="167" t="s">
        <v>137</v>
      </c>
      <c r="H398" s="167" t="s">
        <v>695</v>
      </c>
      <c r="I398" s="121"/>
      <c r="J398" s="403"/>
      <c r="K398" s="398"/>
      <c r="L398" s="403"/>
      <c r="M398" s="403"/>
      <c r="N398" s="403"/>
      <c r="O398" s="403"/>
      <c r="P398" s="403"/>
      <c r="Q398" s="403"/>
      <c r="R398" s="403"/>
      <c r="S398" s="403"/>
    </row>
    <row r="399" spans="6:19" x14ac:dyDescent="0.25">
      <c r="F399" s="167" t="s">
        <v>65</v>
      </c>
      <c r="G399" s="167" t="s">
        <v>137</v>
      </c>
      <c r="H399" s="167" t="s">
        <v>695</v>
      </c>
      <c r="I399" s="121"/>
      <c r="J399" s="403"/>
      <c r="K399" s="398"/>
      <c r="L399" s="403"/>
      <c r="M399" s="403"/>
      <c r="N399" s="403"/>
      <c r="O399" s="403"/>
      <c r="P399" s="403"/>
      <c r="Q399" s="403"/>
      <c r="R399" s="403"/>
      <c r="S399" s="403"/>
    </row>
    <row r="400" spans="6:19" x14ac:dyDescent="0.25">
      <c r="F400" s="167" t="s">
        <v>66</v>
      </c>
      <c r="G400" s="167" t="s">
        <v>137</v>
      </c>
      <c r="H400" s="167" t="s">
        <v>695</v>
      </c>
      <c r="I400" s="121"/>
      <c r="J400" s="397">
        <f t="shared" ref="J400" si="29">CHOOSE(year_selection, L400,M400,N400,O400,P400,Q400,R400,S400)</f>
        <v>0</v>
      </c>
      <c r="K400" s="398"/>
      <c r="L400" s="521">
        <v>0</v>
      </c>
      <c r="M400" s="521">
        <v>0</v>
      </c>
      <c r="N400" s="521">
        <v>0</v>
      </c>
      <c r="O400" s="521">
        <v>0</v>
      </c>
      <c r="P400" s="521">
        <v>0</v>
      </c>
      <c r="Q400" s="521">
        <v>0</v>
      </c>
      <c r="R400" s="521">
        <v>0</v>
      </c>
      <c r="S400" s="521">
        <v>0</v>
      </c>
    </row>
    <row r="401" spans="5:19" x14ac:dyDescent="0.25">
      <c r="F401" s="167" t="s">
        <v>67</v>
      </c>
      <c r="G401" s="167" t="s">
        <v>137</v>
      </c>
      <c r="H401" s="167" t="s">
        <v>695</v>
      </c>
      <c r="I401" s="121"/>
      <c r="J401" s="403"/>
      <c r="K401" s="398"/>
      <c r="L401" s="403"/>
      <c r="M401" s="403"/>
      <c r="N401" s="403"/>
      <c r="O401" s="403"/>
      <c r="P401" s="403"/>
      <c r="Q401" s="403"/>
      <c r="R401" s="403"/>
      <c r="S401" s="403"/>
    </row>
    <row r="402" spans="5:19" x14ac:dyDescent="0.25">
      <c r="F402" s="167" t="s">
        <v>68</v>
      </c>
      <c r="G402" s="167" t="s">
        <v>137</v>
      </c>
      <c r="H402" s="167" t="s">
        <v>695</v>
      </c>
      <c r="I402" s="121"/>
      <c r="J402" s="403"/>
      <c r="K402" s="398"/>
      <c r="L402" s="403"/>
      <c r="M402" s="403"/>
      <c r="N402" s="403"/>
      <c r="O402" s="403"/>
      <c r="P402" s="403"/>
      <c r="Q402" s="403"/>
      <c r="R402" s="403"/>
      <c r="S402" s="403"/>
    </row>
    <row r="403" spans="5:19" x14ac:dyDescent="0.25">
      <c r="F403" s="167" t="s">
        <v>69</v>
      </c>
      <c r="G403" s="167" t="s">
        <v>137</v>
      </c>
      <c r="H403" s="167" t="s">
        <v>695</v>
      </c>
      <c r="I403" s="121"/>
      <c r="J403" s="403"/>
      <c r="K403" s="398"/>
      <c r="L403" s="403"/>
      <c r="M403" s="403"/>
      <c r="N403" s="403"/>
      <c r="O403" s="403"/>
      <c r="P403" s="403"/>
      <c r="Q403" s="403"/>
      <c r="R403" s="403"/>
      <c r="S403" s="403"/>
    </row>
    <row r="404" spans="5:19" x14ac:dyDescent="0.25">
      <c r="F404" s="167" t="s">
        <v>70</v>
      </c>
      <c r="G404" s="167" t="s">
        <v>137</v>
      </c>
      <c r="H404" s="167" t="s">
        <v>695</v>
      </c>
      <c r="I404" s="121"/>
      <c r="J404" s="403"/>
      <c r="K404" s="398"/>
      <c r="L404" s="403"/>
      <c r="M404" s="403"/>
      <c r="N404" s="403"/>
      <c r="O404" s="403"/>
      <c r="P404" s="403"/>
      <c r="Q404" s="403"/>
      <c r="R404" s="403"/>
      <c r="S404" s="403"/>
    </row>
    <row r="405" spans="5:19" x14ac:dyDescent="0.25">
      <c r="F405" s="167" t="s">
        <v>71</v>
      </c>
      <c r="G405" s="167" t="s">
        <v>137</v>
      </c>
      <c r="H405" s="167" t="s">
        <v>695</v>
      </c>
      <c r="I405" s="121"/>
      <c r="J405" s="403"/>
      <c r="K405" s="398"/>
      <c r="L405" s="403"/>
      <c r="M405" s="403"/>
      <c r="N405" s="403"/>
      <c r="O405" s="403"/>
      <c r="P405" s="403"/>
      <c r="Q405" s="403"/>
      <c r="R405" s="403"/>
      <c r="S405" s="403"/>
    </row>
    <row r="406" spans="5:19" x14ac:dyDescent="0.25">
      <c r="F406" s="167" t="s">
        <v>74</v>
      </c>
      <c r="G406" s="167" t="s">
        <v>137</v>
      </c>
      <c r="H406" s="167" t="s">
        <v>695</v>
      </c>
      <c r="I406" s="121"/>
      <c r="J406" s="403"/>
      <c r="K406" s="398"/>
      <c r="L406" s="403"/>
      <c r="M406" s="403"/>
      <c r="N406" s="403"/>
      <c r="O406" s="403"/>
      <c r="P406" s="403"/>
      <c r="Q406" s="403"/>
      <c r="R406" s="403"/>
      <c r="S406" s="403"/>
    </row>
    <row r="407" spans="5:19" x14ac:dyDescent="0.25">
      <c r="F407" s="167" t="s">
        <v>75</v>
      </c>
      <c r="G407" s="167" t="s">
        <v>137</v>
      </c>
      <c r="H407" s="167" t="s">
        <v>695</v>
      </c>
      <c r="I407" s="121"/>
      <c r="J407" s="403"/>
      <c r="K407" s="398"/>
      <c r="L407" s="403"/>
      <c r="M407" s="403"/>
      <c r="N407" s="403"/>
      <c r="O407" s="403"/>
      <c r="P407" s="403"/>
      <c r="Q407" s="403"/>
      <c r="R407" s="403"/>
      <c r="S407" s="403"/>
    </row>
    <row r="408" spans="5:19" x14ac:dyDescent="0.25">
      <c r="F408" s="167" t="s">
        <v>76</v>
      </c>
      <c r="G408" s="167" t="s">
        <v>137</v>
      </c>
      <c r="H408" s="167" t="s">
        <v>695</v>
      </c>
      <c r="I408" s="121"/>
      <c r="J408" s="403"/>
      <c r="K408" s="398"/>
      <c r="L408" s="403"/>
      <c r="M408" s="403"/>
      <c r="N408" s="403"/>
      <c r="O408" s="403"/>
      <c r="P408" s="403"/>
      <c r="Q408" s="403"/>
      <c r="R408" s="403"/>
      <c r="S408" s="403"/>
    </row>
    <row r="409" spans="5:19" x14ac:dyDescent="0.25">
      <c r="F409" s="168" t="s">
        <v>77</v>
      </c>
      <c r="G409" s="168" t="s">
        <v>137</v>
      </c>
      <c r="H409" s="168" t="s">
        <v>695</v>
      </c>
      <c r="I409" s="262"/>
      <c r="J409" s="404"/>
      <c r="K409" s="400"/>
      <c r="L409" s="404"/>
      <c r="M409" s="404"/>
      <c r="N409" s="404"/>
      <c r="O409" s="404"/>
      <c r="P409" s="404"/>
      <c r="Q409" s="404"/>
      <c r="R409" s="404"/>
      <c r="S409" s="404"/>
    </row>
    <row r="410" spans="5:19" x14ac:dyDescent="0.25">
      <c r="J410" s="401"/>
      <c r="K410" s="401"/>
      <c r="L410" s="401"/>
      <c r="M410" s="401"/>
      <c r="N410" s="401"/>
      <c r="O410" s="401"/>
      <c r="P410" s="401"/>
      <c r="Q410" s="401"/>
      <c r="R410" s="401"/>
      <c r="S410" s="401"/>
    </row>
    <row r="411" spans="5:19" x14ac:dyDescent="0.25">
      <c r="E411" s="261" t="s">
        <v>329</v>
      </c>
      <c r="J411" s="401"/>
      <c r="K411" s="401"/>
      <c r="L411" s="401"/>
      <c r="M411" s="401"/>
      <c r="N411" s="401"/>
      <c r="O411" s="401"/>
      <c r="P411" s="401"/>
      <c r="Q411" s="401"/>
      <c r="R411" s="401"/>
      <c r="S411" s="401"/>
    </row>
    <row r="412" spans="5:19" x14ac:dyDescent="0.25">
      <c r="F412" s="166" t="s">
        <v>52</v>
      </c>
      <c r="G412" s="166" t="s">
        <v>137</v>
      </c>
      <c r="H412" s="166" t="s">
        <v>695</v>
      </c>
      <c r="I412" s="201"/>
      <c r="J412" s="402"/>
      <c r="K412" s="396"/>
      <c r="L412" s="402"/>
      <c r="M412" s="402"/>
      <c r="N412" s="402"/>
      <c r="O412" s="402"/>
      <c r="P412" s="402"/>
      <c r="Q412" s="402"/>
      <c r="R412" s="402"/>
      <c r="S412" s="402"/>
    </row>
    <row r="413" spans="5:19" x14ac:dyDescent="0.25">
      <c r="F413" s="167" t="s">
        <v>53</v>
      </c>
      <c r="G413" s="167" t="s">
        <v>137</v>
      </c>
      <c r="H413" s="167" t="s">
        <v>695</v>
      </c>
      <c r="I413" s="121"/>
      <c r="J413" s="403"/>
      <c r="K413" s="398"/>
      <c r="L413" s="403"/>
      <c r="M413" s="403"/>
      <c r="N413" s="403"/>
      <c r="O413" s="403"/>
      <c r="P413" s="403"/>
      <c r="Q413" s="403"/>
      <c r="R413" s="403"/>
      <c r="S413" s="403"/>
    </row>
    <row r="414" spans="5:19" x14ac:dyDescent="0.25">
      <c r="F414" s="167" t="s">
        <v>84</v>
      </c>
      <c r="G414" s="167" t="s">
        <v>137</v>
      </c>
      <c r="H414" s="167" t="s">
        <v>695</v>
      </c>
      <c r="I414" s="121"/>
      <c r="J414" s="403"/>
      <c r="K414" s="398"/>
      <c r="L414" s="403"/>
      <c r="M414" s="403"/>
      <c r="N414" s="403"/>
      <c r="O414" s="403"/>
      <c r="P414" s="403"/>
      <c r="Q414" s="403"/>
      <c r="R414" s="403"/>
      <c r="S414" s="403"/>
    </row>
    <row r="415" spans="5:19" x14ac:dyDescent="0.25">
      <c r="F415" s="167" t="s">
        <v>54</v>
      </c>
      <c r="G415" s="167" t="s">
        <v>137</v>
      </c>
      <c r="H415" s="167" t="s">
        <v>695</v>
      </c>
      <c r="I415" s="121"/>
      <c r="J415" s="403"/>
      <c r="K415" s="398"/>
      <c r="L415" s="403"/>
      <c r="M415" s="403"/>
      <c r="N415" s="403"/>
      <c r="O415" s="403"/>
      <c r="P415" s="403"/>
      <c r="Q415" s="403"/>
      <c r="R415" s="403"/>
      <c r="S415" s="403"/>
    </row>
    <row r="416" spans="5:19" x14ac:dyDescent="0.25">
      <c r="F416" s="167" t="s">
        <v>55</v>
      </c>
      <c r="G416" s="167" t="s">
        <v>137</v>
      </c>
      <c r="H416" s="167" t="s">
        <v>695</v>
      </c>
      <c r="I416" s="121"/>
      <c r="J416" s="403"/>
      <c r="K416" s="398"/>
      <c r="L416" s="403"/>
      <c r="M416" s="403"/>
      <c r="N416" s="403"/>
      <c r="O416" s="403"/>
      <c r="P416" s="403"/>
      <c r="Q416" s="403"/>
      <c r="R416" s="403"/>
      <c r="S416" s="403"/>
    </row>
    <row r="417" spans="6:19" x14ac:dyDescent="0.25">
      <c r="F417" s="167" t="s">
        <v>85</v>
      </c>
      <c r="G417" s="167" t="s">
        <v>137</v>
      </c>
      <c r="H417" s="167" t="s">
        <v>695</v>
      </c>
      <c r="I417" s="121"/>
      <c r="J417" s="403"/>
      <c r="K417" s="398"/>
      <c r="L417" s="403"/>
      <c r="M417" s="403"/>
      <c r="N417" s="403"/>
      <c r="O417" s="403"/>
      <c r="P417" s="403"/>
      <c r="Q417" s="403"/>
      <c r="R417" s="403"/>
      <c r="S417" s="403"/>
    </row>
    <row r="418" spans="6:19" x14ac:dyDescent="0.25">
      <c r="F418" s="167" t="s">
        <v>56</v>
      </c>
      <c r="G418" s="167" t="s">
        <v>137</v>
      </c>
      <c r="H418" s="167" t="s">
        <v>695</v>
      </c>
      <c r="I418" s="121"/>
      <c r="J418" s="403"/>
      <c r="K418" s="398"/>
      <c r="L418" s="403"/>
      <c r="M418" s="403"/>
      <c r="N418" s="403"/>
      <c r="O418" s="403"/>
      <c r="P418" s="403"/>
      <c r="Q418" s="403"/>
      <c r="R418" s="403"/>
      <c r="S418" s="403"/>
    </row>
    <row r="419" spans="6:19" x14ac:dyDescent="0.25">
      <c r="F419" s="167" t="s">
        <v>57</v>
      </c>
      <c r="G419" s="167" t="s">
        <v>137</v>
      </c>
      <c r="H419" s="167" t="s">
        <v>695</v>
      </c>
      <c r="I419" s="121"/>
      <c r="J419" s="403"/>
      <c r="K419" s="398"/>
      <c r="L419" s="403"/>
      <c r="M419" s="403"/>
      <c r="N419" s="403"/>
      <c r="O419" s="403"/>
      <c r="P419" s="403"/>
      <c r="Q419" s="403"/>
      <c r="R419" s="403"/>
      <c r="S419" s="403"/>
    </row>
    <row r="420" spans="6:19" x14ac:dyDescent="0.25">
      <c r="F420" s="167" t="s">
        <v>72</v>
      </c>
      <c r="G420" s="167" t="s">
        <v>137</v>
      </c>
      <c r="H420" s="167" t="s">
        <v>695</v>
      </c>
      <c r="I420" s="121"/>
      <c r="J420" s="403"/>
      <c r="K420" s="398"/>
      <c r="L420" s="403"/>
      <c r="M420" s="403"/>
      <c r="N420" s="403"/>
      <c r="O420" s="403"/>
      <c r="P420" s="403"/>
      <c r="Q420" s="403"/>
      <c r="R420" s="403"/>
      <c r="S420" s="403"/>
    </row>
    <row r="421" spans="6:19" x14ac:dyDescent="0.25">
      <c r="F421" s="167" t="s">
        <v>58</v>
      </c>
      <c r="G421" s="167" t="s">
        <v>137</v>
      </c>
      <c r="H421" s="167" t="s">
        <v>695</v>
      </c>
      <c r="I421" s="121"/>
      <c r="J421" s="397">
        <f t="shared" ref="J421:J423" si="30">CHOOSE(year_selection, L421,M421,N421,O421,P421,Q421,R421,S421)</f>
        <v>1.960655519354884</v>
      </c>
      <c r="K421" s="398"/>
      <c r="L421" s="521">
        <v>0</v>
      </c>
      <c r="M421" s="521">
        <v>0</v>
      </c>
      <c r="N421" s="521">
        <v>0</v>
      </c>
      <c r="O421" s="521">
        <v>1.960655519354884</v>
      </c>
      <c r="P421" s="521">
        <v>1.960655519354884</v>
      </c>
      <c r="Q421" s="521">
        <v>1.960655519354884</v>
      </c>
      <c r="R421" s="521">
        <v>1.960655519354884</v>
      </c>
      <c r="S421" s="521">
        <v>1.960655519354884</v>
      </c>
    </row>
    <row r="422" spans="6:19" x14ac:dyDescent="0.25">
      <c r="F422" s="167" t="s">
        <v>59</v>
      </c>
      <c r="G422" s="167" t="s">
        <v>137</v>
      </c>
      <c r="H422" s="167" t="s">
        <v>695</v>
      </c>
      <c r="I422" s="121"/>
      <c r="J422" s="397">
        <f t="shared" si="30"/>
        <v>236.46547066076781</v>
      </c>
      <c r="K422" s="398"/>
      <c r="L422" s="521">
        <v>0</v>
      </c>
      <c r="M422" s="521">
        <v>3360.144151545805</v>
      </c>
      <c r="N422" s="521">
        <v>0</v>
      </c>
      <c r="O422" s="521">
        <v>236.46547066076781</v>
      </c>
      <c r="P422" s="521">
        <v>236.46547066076781</v>
      </c>
      <c r="Q422" s="521">
        <v>236.46547066076781</v>
      </c>
      <c r="R422" s="521">
        <v>236.46547066076781</v>
      </c>
      <c r="S422" s="521">
        <v>236.46547066076781</v>
      </c>
    </row>
    <row r="423" spans="6:19" x14ac:dyDescent="0.25">
      <c r="F423" s="167" t="s">
        <v>60</v>
      </c>
      <c r="G423" s="167" t="s">
        <v>137</v>
      </c>
      <c r="H423" s="167" t="s">
        <v>695</v>
      </c>
      <c r="I423" s="121"/>
      <c r="J423" s="397">
        <f t="shared" si="30"/>
        <v>6229.6832884471451</v>
      </c>
      <c r="K423" s="398"/>
      <c r="L423" s="521">
        <v>0</v>
      </c>
      <c r="M423" s="521">
        <v>3087.7177503652774</v>
      </c>
      <c r="N423" s="521">
        <v>1962.6909609511738</v>
      </c>
      <c r="O423" s="521">
        <v>6229.6832884471451</v>
      </c>
      <c r="P423" s="521">
        <v>7288.2063541306397</v>
      </c>
      <c r="Q423" s="521">
        <v>8346.7292959158967</v>
      </c>
      <c r="R423" s="521">
        <v>9405.2522377452278</v>
      </c>
      <c r="S423" s="521">
        <v>10463.775179574557</v>
      </c>
    </row>
    <row r="424" spans="6:19" x14ac:dyDescent="0.25">
      <c r="F424" s="167" t="s">
        <v>61</v>
      </c>
      <c r="G424" s="167" t="s">
        <v>137</v>
      </c>
      <c r="H424" s="167" t="s">
        <v>695</v>
      </c>
      <c r="I424" s="121"/>
      <c r="J424" s="403"/>
      <c r="K424" s="398"/>
      <c r="L424" s="403"/>
      <c r="M424" s="403"/>
      <c r="N424" s="403"/>
      <c r="O424" s="403"/>
      <c r="P424" s="403"/>
      <c r="Q424" s="403"/>
      <c r="R424" s="403"/>
      <c r="S424" s="403"/>
    </row>
    <row r="425" spans="6:19" x14ac:dyDescent="0.25">
      <c r="F425" s="167" t="s">
        <v>73</v>
      </c>
      <c r="G425" s="167" t="s">
        <v>137</v>
      </c>
      <c r="H425" s="167" t="s">
        <v>695</v>
      </c>
      <c r="I425" s="121"/>
      <c r="J425" s="403"/>
      <c r="K425" s="398"/>
      <c r="L425" s="403"/>
      <c r="M425" s="403"/>
      <c r="N425" s="403"/>
      <c r="O425" s="403"/>
      <c r="P425" s="403"/>
      <c r="Q425" s="403"/>
      <c r="R425" s="403"/>
      <c r="S425" s="403"/>
    </row>
    <row r="426" spans="6:19" x14ac:dyDescent="0.25">
      <c r="F426" s="167" t="s">
        <v>86</v>
      </c>
      <c r="G426" s="167" t="s">
        <v>137</v>
      </c>
      <c r="H426" s="167" t="s">
        <v>695</v>
      </c>
      <c r="I426" s="121"/>
      <c r="J426" s="403"/>
      <c r="K426" s="398"/>
      <c r="L426" s="403"/>
      <c r="M426" s="403"/>
      <c r="N426" s="403"/>
      <c r="O426" s="403"/>
      <c r="P426" s="403"/>
      <c r="Q426" s="403"/>
      <c r="R426" s="403"/>
      <c r="S426" s="403"/>
    </row>
    <row r="427" spans="6:19" x14ac:dyDescent="0.25">
      <c r="F427" s="167" t="s">
        <v>87</v>
      </c>
      <c r="G427" s="167" t="s">
        <v>137</v>
      </c>
      <c r="H427" s="167" t="s">
        <v>695</v>
      </c>
      <c r="I427" s="121"/>
      <c r="J427" s="403"/>
      <c r="K427" s="398"/>
      <c r="L427" s="403"/>
      <c r="M427" s="403"/>
      <c r="N427" s="403"/>
      <c r="O427" s="403"/>
      <c r="P427" s="403"/>
      <c r="Q427" s="403"/>
      <c r="R427" s="403"/>
      <c r="S427" s="403"/>
    </row>
    <row r="428" spans="6:19" x14ac:dyDescent="0.25">
      <c r="F428" s="167" t="s">
        <v>88</v>
      </c>
      <c r="G428" s="167" t="s">
        <v>137</v>
      </c>
      <c r="H428" s="167" t="s">
        <v>695</v>
      </c>
      <c r="I428" s="121"/>
      <c r="J428" s="403"/>
      <c r="K428" s="398"/>
      <c r="L428" s="403"/>
      <c r="M428" s="403"/>
      <c r="N428" s="403"/>
      <c r="O428" s="403"/>
      <c r="P428" s="403"/>
      <c r="Q428" s="403"/>
      <c r="R428" s="403"/>
      <c r="S428" s="403"/>
    </row>
    <row r="429" spans="6:19" x14ac:dyDescent="0.25">
      <c r="F429" s="167" t="s">
        <v>89</v>
      </c>
      <c r="G429" s="167" t="s">
        <v>137</v>
      </c>
      <c r="H429" s="167" t="s">
        <v>695</v>
      </c>
      <c r="I429" s="121"/>
      <c r="J429" s="403"/>
      <c r="K429" s="398"/>
      <c r="L429" s="403"/>
      <c r="M429" s="403"/>
      <c r="N429" s="403"/>
      <c r="O429" s="403"/>
      <c r="P429" s="403"/>
      <c r="Q429" s="403"/>
      <c r="R429" s="403"/>
      <c r="S429" s="403"/>
    </row>
    <row r="430" spans="6:19" x14ac:dyDescent="0.25">
      <c r="F430" s="167" t="s">
        <v>90</v>
      </c>
      <c r="G430" s="167" t="s">
        <v>137</v>
      </c>
      <c r="H430" s="167" t="s">
        <v>695</v>
      </c>
      <c r="I430" s="121"/>
      <c r="J430" s="397">
        <f t="shared" ref="J430" si="31">CHOOSE(year_selection, L430,M430,N430,O430,P430,Q430,R430,S430)</f>
        <v>57.53181172839507</v>
      </c>
      <c r="K430" s="398"/>
      <c r="L430" s="521">
        <v>0</v>
      </c>
      <c r="M430" s="521">
        <v>131.78987832468152</v>
      </c>
      <c r="N430" s="521">
        <v>108.90094283009826</v>
      </c>
      <c r="O430" s="521">
        <v>57.53181172839507</v>
      </c>
      <c r="P430" s="521">
        <v>57.53181172839507</v>
      </c>
      <c r="Q430" s="521">
        <v>57.53181172839507</v>
      </c>
      <c r="R430" s="521">
        <v>57.53181172839507</v>
      </c>
      <c r="S430" s="521">
        <v>57.53181172839507</v>
      </c>
    </row>
    <row r="431" spans="6:19" x14ac:dyDescent="0.25">
      <c r="F431" s="167" t="s">
        <v>62</v>
      </c>
      <c r="G431" s="167" t="s">
        <v>137</v>
      </c>
      <c r="H431" s="167" t="s">
        <v>695</v>
      </c>
      <c r="I431" s="121"/>
      <c r="J431" s="403"/>
      <c r="K431" s="398"/>
      <c r="L431" s="403"/>
      <c r="M431" s="403"/>
      <c r="N431" s="403"/>
      <c r="O431" s="403"/>
      <c r="P431" s="403"/>
      <c r="Q431" s="403"/>
      <c r="R431" s="403"/>
      <c r="S431" s="403"/>
    </row>
    <row r="432" spans="6:19" x14ac:dyDescent="0.25">
      <c r="F432" s="167" t="s">
        <v>63</v>
      </c>
      <c r="G432" s="167" t="s">
        <v>137</v>
      </c>
      <c r="H432" s="167" t="s">
        <v>695</v>
      </c>
      <c r="I432" s="121"/>
      <c r="J432" s="403"/>
      <c r="K432" s="398"/>
      <c r="L432" s="403"/>
      <c r="M432" s="403"/>
      <c r="N432" s="403"/>
      <c r="O432" s="403"/>
      <c r="P432" s="403"/>
      <c r="Q432" s="403"/>
      <c r="R432" s="403"/>
      <c r="S432" s="403"/>
    </row>
    <row r="433" spans="5:19" x14ac:dyDescent="0.25">
      <c r="F433" s="167" t="s">
        <v>64</v>
      </c>
      <c r="G433" s="167" t="s">
        <v>137</v>
      </c>
      <c r="H433" s="167" t="s">
        <v>695</v>
      </c>
      <c r="I433" s="121"/>
      <c r="J433" s="403"/>
      <c r="K433" s="398"/>
      <c r="L433" s="403"/>
      <c r="M433" s="403"/>
      <c r="N433" s="403"/>
      <c r="O433" s="403"/>
      <c r="P433" s="403"/>
      <c r="Q433" s="403"/>
      <c r="R433" s="403"/>
      <c r="S433" s="403"/>
    </row>
    <row r="434" spans="5:19" x14ac:dyDescent="0.25">
      <c r="F434" s="167" t="s">
        <v>65</v>
      </c>
      <c r="G434" s="167" t="s">
        <v>137</v>
      </c>
      <c r="H434" s="167" t="s">
        <v>695</v>
      </c>
      <c r="I434" s="121"/>
      <c r="J434" s="403"/>
      <c r="K434" s="398"/>
      <c r="L434" s="403"/>
      <c r="M434" s="403"/>
      <c r="N434" s="403"/>
      <c r="O434" s="403"/>
      <c r="P434" s="403"/>
      <c r="Q434" s="403"/>
      <c r="R434" s="403"/>
      <c r="S434" s="403"/>
    </row>
    <row r="435" spans="5:19" x14ac:dyDescent="0.25">
      <c r="F435" s="167" t="s">
        <v>66</v>
      </c>
      <c r="G435" s="167" t="s">
        <v>137</v>
      </c>
      <c r="H435" s="167" t="s">
        <v>695</v>
      </c>
      <c r="I435" s="121"/>
      <c r="J435" s="397">
        <f t="shared" ref="J435" si="32">CHOOSE(year_selection, L435,M435,N435,O435,P435,Q435,R435,S435)</f>
        <v>0</v>
      </c>
      <c r="K435" s="398"/>
      <c r="L435" s="521">
        <v>0</v>
      </c>
      <c r="M435" s="521">
        <v>0</v>
      </c>
      <c r="N435" s="521">
        <v>0</v>
      </c>
      <c r="O435" s="521">
        <v>0</v>
      </c>
      <c r="P435" s="521">
        <v>0</v>
      </c>
      <c r="Q435" s="521">
        <v>0</v>
      </c>
      <c r="R435" s="521">
        <v>0</v>
      </c>
      <c r="S435" s="521">
        <v>0</v>
      </c>
    </row>
    <row r="436" spans="5:19" x14ac:dyDescent="0.25">
      <c r="F436" s="167" t="s">
        <v>67</v>
      </c>
      <c r="G436" s="167" t="s">
        <v>137</v>
      </c>
      <c r="H436" s="167" t="s">
        <v>695</v>
      </c>
      <c r="I436" s="121"/>
      <c r="J436" s="403"/>
      <c r="K436" s="398"/>
      <c r="L436" s="403"/>
      <c r="M436" s="403"/>
      <c r="N436" s="403"/>
      <c r="O436" s="403"/>
      <c r="P436" s="403"/>
      <c r="Q436" s="403"/>
      <c r="R436" s="403"/>
      <c r="S436" s="403"/>
    </row>
    <row r="437" spans="5:19" x14ac:dyDescent="0.25">
      <c r="F437" s="167" t="s">
        <v>68</v>
      </c>
      <c r="G437" s="167" t="s">
        <v>137</v>
      </c>
      <c r="H437" s="167" t="s">
        <v>695</v>
      </c>
      <c r="I437" s="121"/>
      <c r="J437" s="403"/>
      <c r="K437" s="398"/>
      <c r="L437" s="403"/>
      <c r="M437" s="403"/>
      <c r="N437" s="403"/>
      <c r="O437" s="403"/>
      <c r="P437" s="403"/>
      <c r="Q437" s="403"/>
      <c r="R437" s="403"/>
      <c r="S437" s="403"/>
    </row>
    <row r="438" spans="5:19" x14ac:dyDescent="0.25">
      <c r="F438" s="167" t="s">
        <v>69</v>
      </c>
      <c r="G438" s="167" t="s">
        <v>137</v>
      </c>
      <c r="H438" s="167" t="s">
        <v>695</v>
      </c>
      <c r="I438" s="121"/>
      <c r="J438" s="403"/>
      <c r="K438" s="398"/>
      <c r="L438" s="403"/>
      <c r="M438" s="403"/>
      <c r="N438" s="403"/>
      <c r="O438" s="403"/>
      <c r="P438" s="403"/>
      <c r="Q438" s="403"/>
      <c r="R438" s="403"/>
      <c r="S438" s="403"/>
    </row>
    <row r="439" spans="5:19" x14ac:dyDescent="0.25">
      <c r="F439" s="167" t="s">
        <v>70</v>
      </c>
      <c r="G439" s="167" t="s">
        <v>137</v>
      </c>
      <c r="H439" s="167" t="s">
        <v>695</v>
      </c>
      <c r="I439" s="121"/>
      <c r="J439" s="403"/>
      <c r="K439" s="398"/>
      <c r="L439" s="403"/>
      <c r="M439" s="403"/>
      <c r="N439" s="403"/>
      <c r="O439" s="403"/>
      <c r="P439" s="403"/>
      <c r="Q439" s="403"/>
      <c r="R439" s="403"/>
      <c r="S439" s="403"/>
    </row>
    <row r="440" spans="5:19" x14ac:dyDescent="0.25">
      <c r="F440" s="167" t="s">
        <v>71</v>
      </c>
      <c r="G440" s="167" t="s">
        <v>137</v>
      </c>
      <c r="H440" s="167" t="s">
        <v>695</v>
      </c>
      <c r="I440" s="121"/>
      <c r="J440" s="403"/>
      <c r="K440" s="398"/>
      <c r="L440" s="403"/>
      <c r="M440" s="403"/>
      <c r="N440" s="403"/>
      <c r="O440" s="403"/>
      <c r="P440" s="403"/>
      <c r="Q440" s="403"/>
      <c r="R440" s="403"/>
      <c r="S440" s="403"/>
    </row>
    <row r="441" spans="5:19" x14ac:dyDescent="0.25">
      <c r="F441" s="167" t="s">
        <v>74</v>
      </c>
      <c r="G441" s="167" t="s">
        <v>137</v>
      </c>
      <c r="H441" s="167" t="s">
        <v>695</v>
      </c>
      <c r="I441" s="121"/>
      <c r="J441" s="403"/>
      <c r="K441" s="398"/>
      <c r="L441" s="403"/>
      <c r="M441" s="403"/>
      <c r="N441" s="403"/>
      <c r="O441" s="403"/>
      <c r="P441" s="403"/>
      <c r="Q441" s="403"/>
      <c r="R441" s="403"/>
      <c r="S441" s="403"/>
    </row>
    <row r="442" spans="5:19" x14ac:dyDescent="0.25">
      <c r="F442" s="167" t="s">
        <v>75</v>
      </c>
      <c r="G442" s="167" t="s">
        <v>137</v>
      </c>
      <c r="H442" s="167" t="s">
        <v>695</v>
      </c>
      <c r="I442" s="121"/>
      <c r="J442" s="403"/>
      <c r="K442" s="398"/>
      <c r="L442" s="403"/>
      <c r="M442" s="403"/>
      <c r="N442" s="403"/>
      <c r="O442" s="403"/>
      <c r="P442" s="403"/>
      <c r="Q442" s="403"/>
      <c r="R442" s="403"/>
      <c r="S442" s="403"/>
    </row>
    <row r="443" spans="5:19" x14ac:dyDescent="0.25">
      <c r="F443" s="167" t="s">
        <v>76</v>
      </c>
      <c r="G443" s="167" t="s">
        <v>137</v>
      </c>
      <c r="H443" s="167" t="s">
        <v>695</v>
      </c>
      <c r="I443" s="121"/>
      <c r="J443" s="403"/>
      <c r="K443" s="398"/>
      <c r="L443" s="403"/>
      <c r="M443" s="403"/>
      <c r="N443" s="403"/>
      <c r="O443" s="403"/>
      <c r="P443" s="403"/>
      <c r="Q443" s="403"/>
      <c r="R443" s="403"/>
      <c r="S443" s="403"/>
    </row>
    <row r="444" spans="5:19" x14ac:dyDescent="0.25">
      <c r="F444" s="168" t="s">
        <v>77</v>
      </c>
      <c r="G444" s="168" t="s">
        <v>137</v>
      </c>
      <c r="H444" s="168" t="s">
        <v>695</v>
      </c>
      <c r="I444" s="262"/>
      <c r="J444" s="404"/>
      <c r="K444" s="400"/>
      <c r="L444" s="404"/>
      <c r="M444" s="404"/>
      <c r="N444" s="404"/>
      <c r="O444" s="404"/>
      <c r="P444" s="404"/>
      <c r="Q444" s="404"/>
      <c r="R444" s="404"/>
      <c r="S444" s="404"/>
    </row>
    <row r="445" spans="5:19" x14ac:dyDescent="0.25">
      <c r="J445" s="401"/>
      <c r="K445" s="401"/>
      <c r="L445" s="401"/>
      <c r="M445" s="401"/>
      <c r="N445" s="401"/>
      <c r="O445" s="401"/>
      <c r="P445" s="401"/>
      <c r="Q445" s="401"/>
      <c r="R445" s="401"/>
      <c r="S445" s="401"/>
    </row>
    <row r="446" spans="5:19" x14ac:dyDescent="0.25">
      <c r="E446" s="261" t="s">
        <v>91</v>
      </c>
      <c r="J446" s="401"/>
      <c r="K446" s="401"/>
      <c r="L446" s="401"/>
      <c r="M446" s="401"/>
      <c r="N446" s="401"/>
      <c r="O446" s="401"/>
      <c r="P446" s="401"/>
      <c r="Q446" s="401"/>
      <c r="R446" s="401"/>
      <c r="S446" s="401"/>
    </row>
    <row r="447" spans="5:19" x14ac:dyDescent="0.25">
      <c r="F447" s="166" t="s">
        <v>52</v>
      </c>
      <c r="G447" s="166" t="s">
        <v>91</v>
      </c>
      <c r="H447" s="166" t="s">
        <v>695</v>
      </c>
      <c r="I447" s="201"/>
      <c r="J447" s="395">
        <f t="shared" ref="J447:J470" si="33">CHOOSE(year_selection, L447,M447,N447,O447,P447,Q447,R447,S447)</f>
        <v>18223.85019065559</v>
      </c>
      <c r="K447" s="396"/>
      <c r="L447" s="520">
        <v>13107.24324774299</v>
      </c>
      <c r="M447" s="520">
        <v>19150.420886949403</v>
      </c>
      <c r="N447" s="520">
        <v>12440.803422987246</v>
      </c>
      <c r="O447" s="520">
        <v>18223.85019065559</v>
      </c>
      <c r="P447" s="520">
        <v>20372.742682181761</v>
      </c>
      <c r="Q447" s="520">
        <v>22521.635155316631</v>
      </c>
      <c r="R447" s="520">
        <v>24670.527628434906</v>
      </c>
      <c r="S447" s="520">
        <v>26819.42010155318</v>
      </c>
    </row>
    <row r="448" spans="5:19" x14ac:dyDescent="0.25">
      <c r="F448" s="167" t="s">
        <v>53</v>
      </c>
      <c r="G448" s="167" t="s">
        <v>91</v>
      </c>
      <c r="H448" s="167" t="s">
        <v>695</v>
      </c>
      <c r="I448" s="121"/>
      <c r="J448" s="397">
        <f t="shared" si="33"/>
        <v>1459.6137124210763</v>
      </c>
      <c r="K448" s="398"/>
      <c r="L448" s="521">
        <v>1391.4183393124924</v>
      </c>
      <c r="M448" s="521">
        <v>1873.0133985544594</v>
      </c>
      <c r="N448" s="521">
        <v>721.35424473168348</v>
      </c>
      <c r="O448" s="521">
        <v>1459.6137124210763</v>
      </c>
      <c r="P448" s="521">
        <v>1746.7040322582925</v>
      </c>
      <c r="Q448" s="521">
        <v>2033.7943548387038</v>
      </c>
      <c r="R448" s="521">
        <v>2320.884677419353</v>
      </c>
      <c r="S448" s="521">
        <v>2607.9750000000022</v>
      </c>
    </row>
    <row r="449" spans="6:19" x14ac:dyDescent="0.25">
      <c r="F449" s="167" t="s">
        <v>84</v>
      </c>
      <c r="G449" s="167" t="s">
        <v>91</v>
      </c>
      <c r="H449" s="167" t="s">
        <v>695</v>
      </c>
      <c r="I449" s="121"/>
      <c r="J449" s="397">
        <f t="shared" si="33"/>
        <v>0</v>
      </c>
      <c r="K449" s="398"/>
      <c r="L449" s="521">
        <v>0</v>
      </c>
      <c r="M449" s="521">
        <v>0</v>
      </c>
      <c r="N449" s="521">
        <v>0</v>
      </c>
      <c r="O449" s="521">
        <v>0</v>
      </c>
      <c r="P449" s="521">
        <v>0</v>
      </c>
      <c r="Q449" s="521">
        <v>0</v>
      </c>
      <c r="R449" s="521">
        <v>0</v>
      </c>
      <c r="S449" s="521">
        <v>0</v>
      </c>
    </row>
    <row r="450" spans="6:19" x14ac:dyDescent="0.25">
      <c r="F450" s="167" t="s">
        <v>54</v>
      </c>
      <c r="G450" s="167" t="s">
        <v>91</v>
      </c>
      <c r="H450" s="167" t="s">
        <v>695</v>
      </c>
      <c r="I450" s="121"/>
      <c r="J450" s="397">
        <f t="shared" si="33"/>
        <v>1161.2699590843611</v>
      </c>
      <c r="K450" s="398"/>
      <c r="L450" s="521">
        <v>545.76777101259347</v>
      </c>
      <c r="M450" s="521">
        <v>817.87061009987701</v>
      </c>
      <c r="N450" s="521">
        <v>446.23524601218838</v>
      </c>
      <c r="O450" s="521">
        <v>1161.2699590843611</v>
      </c>
      <c r="P450" s="521">
        <v>1479.2871565208795</v>
      </c>
      <c r="Q450" s="521">
        <v>1797.3043608124253</v>
      </c>
      <c r="R450" s="521">
        <v>2115.321565113501</v>
      </c>
      <c r="S450" s="521">
        <v>2433.3387694145767</v>
      </c>
    </row>
    <row r="451" spans="6:19" x14ac:dyDescent="0.25">
      <c r="F451" s="167" t="s">
        <v>55</v>
      </c>
      <c r="G451" s="167" t="s">
        <v>91</v>
      </c>
      <c r="H451" s="167" t="s">
        <v>695</v>
      </c>
      <c r="I451" s="121"/>
      <c r="J451" s="397">
        <f t="shared" si="33"/>
        <v>7</v>
      </c>
      <c r="K451" s="398"/>
      <c r="L451" s="521">
        <v>39.883466036696475</v>
      </c>
      <c r="M451" s="521">
        <v>34.531079820775162</v>
      </c>
      <c r="N451" s="521">
        <v>7.7342690403070966</v>
      </c>
      <c r="O451" s="521">
        <v>7</v>
      </c>
      <c r="P451" s="521">
        <v>7</v>
      </c>
      <c r="Q451" s="521">
        <v>7</v>
      </c>
      <c r="R451" s="521">
        <v>7</v>
      </c>
      <c r="S451" s="521">
        <v>7</v>
      </c>
    </row>
    <row r="452" spans="6:19" x14ac:dyDescent="0.25">
      <c r="F452" s="167" t="s">
        <v>85</v>
      </c>
      <c r="G452" s="167" t="s">
        <v>91</v>
      </c>
      <c r="H452" s="167" t="s">
        <v>695</v>
      </c>
      <c r="I452" s="121"/>
      <c r="J452" s="397">
        <f t="shared" si="33"/>
        <v>0</v>
      </c>
      <c r="K452" s="398"/>
      <c r="L452" s="521">
        <v>0</v>
      </c>
      <c r="M452" s="521">
        <v>0</v>
      </c>
      <c r="N452" s="521">
        <v>0</v>
      </c>
      <c r="O452" s="521">
        <v>0</v>
      </c>
      <c r="P452" s="521">
        <v>0</v>
      </c>
      <c r="Q452" s="521">
        <v>0</v>
      </c>
      <c r="R452" s="521">
        <v>0</v>
      </c>
      <c r="S452" s="521">
        <v>0</v>
      </c>
    </row>
    <row r="453" spans="6:19" x14ac:dyDescent="0.25">
      <c r="F453" s="167" t="s">
        <v>56</v>
      </c>
      <c r="G453" s="167" t="s">
        <v>91</v>
      </c>
      <c r="H453" s="167" t="s">
        <v>695</v>
      </c>
      <c r="I453" s="121"/>
      <c r="J453" s="397">
        <f t="shared" si="33"/>
        <v>7</v>
      </c>
      <c r="K453" s="398"/>
      <c r="L453" s="521">
        <v>150.30087959939135</v>
      </c>
      <c r="M453" s="521">
        <v>0</v>
      </c>
      <c r="N453" s="521">
        <v>12.15385134905401</v>
      </c>
      <c r="O453" s="521">
        <v>7</v>
      </c>
      <c r="P453" s="521">
        <v>7</v>
      </c>
      <c r="Q453" s="521">
        <v>7</v>
      </c>
      <c r="R453" s="521">
        <v>7</v>
      </c>
      <c r="S453" s="521">
        <v>7</v>
      </c>
    </row>
    <row r="454" spans="6:19" x14ac:dyDescent="0.25">
      <c r="F454" s="167" t="s">
        <v>57</v>
      </c>
      <c r="G454" s="167" t="s">
        <v>91</v>
      </c>
      <c r="H454" s="167" t="s">
        <v>695</v>
      </c>
      <c r="I454" s="121"/>
      <c r="J454" s="403"/>
      <c r="K454" s="398"/>
      <c r="L454" s="403"/>
      <c r="M454" s="403"/>
      <c r="N454" s="403"/>
      <c r="O454" s="403"/>
      <c r="P454" s="403"/>
      <c r="Q454" s="403"/>
      <c r="R454" s="403"/>
      <c r="S454" s="403"/>
    </row>
    <row r="455" spans="6:19" x14ac:dyDescent="0.25">
      <c r="F455" s="167" t="s">
        <v>72</v>
      </c>
      <c r="G455" s="167" t="s">
        <v>91</v>
      </c>
      <c r="H455" s="167" t="s">
        <v>695</v>
      </c>
      <c r="I455" s="121"/>
      <c r="J455" s="403"/>
      <c r="K455" s="398"/>
      <c r="L455" s="403"/>
      <c r="M455" s="403"/>
      <c r="N455" s="403"/>
      <c r="O455" s="403"/>
      <c r="P455" s="403"/>
      <c r="Q455" s="403"/>
      <c r="R455" s="403"/>
      <c r="S455" s="403"/>
    </row>
    <row r="456" spans="6:19" x14ac:dyDescent="0.25">
      <c r="F456" s="167" t="s">
        <v>58</v>
      </c>
      <c r="G456" s="167" t="s">
        <v>91</v>
      </c>
      <c r="H456" s="167" t="s">
        <v>695</v>
      </c>
      <c r="I456" s="121"/>
      <c r="J456" s="397">
        <f t="shared" si="33"/>
        <v>1</v>
      </c>
      <c r="K456" s="398"/>
      <c r="L456" s="521">
        <v>0</v>
      </c>
      <c r="M456" s="521">
        <v>0</v>
      </c>
      <c r="N456" s="521">
        <v>0</v>
      </c>
      <c r="O456" s="521">
        <v>1</v>
      </c>
      <c r="P456" s="521">
        <v>1</v>
      </c>
      <c r="Q456" s="521">
        <v>1</v>
      </c>
      <c r="R456" s="521">
        <v>1</v>
      </c>
      <c r="S456" s="521">
        <v>1</v>
      </c>
    </row>
    <row r="457" spans="6:19" x14ac:dyDescent="0.25">
      <c r="F457" s="167" t="s">
        <v>59</v>
      </c>
      <c r="G457" s="167" t="s">
        <v>91</v>
      </c>
      <c r="H457" s="167" t="s">
        <v>695</v>
      </c>
      <c r="I457" s="121"/>
      <c r="J457" s="397">
        <f t="shared" si="33"/>
        <v>5</v>
      </c>
      <c r="K457" s="398"/>
      <c r="L457" s="521">
        <v>0</v>
      </c>
      <c r="M457" s="521">
        <v>194.76322836844108</v>
      </c>
      <c r="N457" s="521">
        <v>4.0275225878096874</v>
      </c>
      <c r="O457" s="521">
        <v>5</v>
      </c>
      <c r="P457" s="521">
        <v>5</v>
      </c>
      <c r="Q457" s="521">
        <v>5</v>
      </c>
      <c r="R457" s="521">
        <v>5</v>
      </c>
      <c r="S457" s="521">
        <v>5</v>
      </c>
    </row>
    <row r="458" spans="6:19" x14ac:dyDescent="0.25">
      <c r="F458" s="167" t="s">
        <v>60</v>
      </c>
      <c r="G458" s="167" t="s">
        <v>91</v>
      </c>
      <c r="H458" s="167" t="s">
        <v>695</v>
      </c>
      <c r="I458" s="121"/>
      <c r="J458" s="397">
        <f t="shared" si="33"/>
        <v>127.65171416270677</v>
      </c>
      <c r="K458" s="398"/>
      <c r="L458" s="521">
        <v>0</v>
      </c>
      <c r="M458" s="521">
        <v>22.623810917059593</v>
      </c>
      <c r="N458" s="521">
        <v>44.416802202906482</v>
      </c>
      <c r="O458" s="521">
        <v>127.65171416270677</v>
      </c>
      <c r="P458" s="521">
        <v>149.47630310851522</v>
      </c>
      <c r="Q458" s="521">
        <v>171.30088946845112</v>
      </c>
      <c r="R458" s="521">
        <v>193.12547582892594</v>
      </c>
      <c r="S458" s="521">
        <v>214.95006218940077</v>
      </c>
    </row>
    <row r="459" spans="6:19" x14ac:dyDescent="0.25">
      <c r="F459" s="167" t="s">
        <v>61</v>
      </c>
      <c r="G459" s="167" t="s">
        <v>91</v>
      </c>
      <c r="H459" s="167" t="s">
        <v>695</v>
      </c>
      <c r="I459" s="121"/>
      <c r="J459" s="403"/>
      <c r="K459" s="398"/>
      <c r="L459" s="403"/>
      <c r="M459" s="403"/>
      <c r="N459" s="403"/>
      <c r="O459" s="403"/>
      <c r="P459" s="403"/>
      <c r="Q459" s="403"/>
      <c r="R459" s="403"/>
      <c r="S459" s="403"/>
    </row>
    <row r="460" spans="6:19" x14ac:dyDescent="0.25">
      <c r="F460" s="167" t="s">
        <v>73</v>
      </c>
      <c r="G460" s="167" t="s">
        <v>91</v>
      </c>
      <c r="H460" s="167" t="s">
        <v>695</v>
      </c>
      <c r="I460" s="121"/>
      <c r="J460" s="403"/>
      <c r="K460" s="398"/>
      <c r="L460" s="403"/>
      <c r="M460" s="403"/>
      <c r="N460" s="403"/>
      <c r="O460" s="403"/>
      <c r="P460" s="403"/>
      <c r="Q460" s="403"/>
      <c r="R460" s="403"/>
      <c r="S460" s="403"/>
    </row>
    <row r="461" spans="6:19" x14ac:dyDescent="0.25">
      <c r="F461" s="167" t="s">
        <v>86</v>
      </c>
      <c r="G461" s="167" t="s">
        <v>91</v>
      </c>
      <c r="H461" s="167" t="s">
        <v>695</v>
      </c>
      <c r="I461" s="121"/>
      <c r="J461" s="397">
        <f t="shared" si="33"/>
        <v>38</v>
      </c>
      <c r="K461" s="398"/>
      <c r="L461" s="521">
        <v>0</v>
      </c>
      <c r="M461" s="521">
        <v>0</v>
      </c>
      <c r="N461" s="521">
        <v>35.356658469975308</v>
      </c>
      <c r="O461" s="521">
        <v>38</v>
      </c>
      <c r="P461" s="521">
        <v>38</v>
      </c>
      <c r="Q461" s="521">
        <v>38</v>
      </c>
      <c r="R461" s="521">
        <v>38</v>
      </c>
      <c r="S461" s="521">
        <v>38</v>
      </c>
    </row>
    <row r="462" spans="6:19" x14ac:dyDescent="0.25">
      <c r="F462" s="167" t="s">
        <v>87</v>
      </c>
      <c r="G462" s="167" t="s">
        <v>91</v>
      </c>
      <c r="H462" s="167" t="s">
        <v>695</v>
      </c>
      <c r="I462" s="121"/>
      <c r="J462" s="397">
        <f t="shared" si="33"/>
        <v>46</v>
      </c>
      <c r="K462" s="398"/>
      <c r="L462" s="521">
        <v>0</v>
      </c>
      <c r="M462" s="521"/>
      <c r="N462" s="521">
        <v>46.405614241842585</v>
      </c>
      <c r="O462" s="521">
        <v>46</v>
      </c>
      <c r="P462" s="521">
        <v>46</v>
      </c>
      <c r="Q462" s="521">
        <v>46</v>
      </c>
      <c r="R462" s="521">
        <v>46</v>
      </c>
      <c r="S462" s="521">
        <v>46</v>
      </c>
    </row>
    <row r="463" spans="6:19" x14ac:dyDescent="0.25">
      <c r="F463" s="167" t="s">
        <v>88</v>
      </c>
      <c r="G463" s="167" t="s">
        <v>91</v>
      </c>
      <c r="H463" s="167" t="s">
        <v>695</v>
      </c>
      <c r="I463" s="121"/>
      <c r="J463" s="397">
        <f t="shared" si="33"/>
        <v>2</v>
      </c>
      <c r="K463" s="398"/>
      <c r="L463" s="521">
        <v>0</v>
      </c>
      <c r="M463" s="521"/>
      <c r="N463" s="521">
        <v>2.2097911543734567</v>
      </c>
      <c r="O463" s="521">
        <v>2</v>
      </c>
      <c r="P463" s="521">
        <v>2</v>
      </c>
      <c r="Q463" s="521">
        <v>2</v>
      </c>
      <c r="R463" s="521">
        <v>2</v>
      </c>
      <c r="S463" s="521">
        <v>2</v>
      </c>
    </row>
    <row r="464" spans="6:19" x14ac:dyDescent="0.25">
      <c r="F464" s="167" t="s">
        <v>89</v>
      </c>
      <c r="G464" s="167" t="s">
        <v>91</v>
      </c>
      <c r="H464" s="167" t="s">
        <v>695</v>
      </c>
      <c r="I464" s="121"/>
      <c r="J464" s="397">
        <f t="shared" si="33"/>
        <v>0</v>
      </c>
      <c r="K464" s="398"/>
      <c r="L464" s="521">
        <v>0</v>
      </c>
      <c r="M464" s="521"/>
      <c r="N464" s="521">
        <v>0</v>
      </c>
      <c r="O464" s="521">
        <v>0</v>
      </c>
      <c r="P464" s="521">
        <v>0</v>
      </c>
      <c r="Q464" s="521">
        <v>0</v>
      </c>
      <c r="R464" s="521">
        <v>0</v>
      </c>
      <c r="S464" s="521">
        <v>0</v>
      </c>
    </row>
    <row r="465" spans="6:19" x14ac:dyDescent="0.25">
      <c r="F465" s="167" t="s">
        <v>90</v>
      </c>
      <c r="G465" s="167" t="s">
        <v>91</v>
      </c>
      <c r="H465" s="167" t="s">
        <v>695</v>
      </c>
      <c r="I465" s="121"/>
      <c r="J465" s="397">
        <f t="shared" si="33"/>
        <v>1.2962962962962961</v>
      </c>
      <c r="K465" s="398"/>
      <c r="L465" s="521">
        <v>0</v>
      </c>
      <c r="M465" s="521">
        <v>2.3933610496468289</v>
      </c>
      <c r="N465" s="521">
        <v>3.3312601652179854</v>
      </c>
      <c r="O465" s="521">
        <v>1.2962962962962961</v>
      </c>
      <c r="P465" s="521">
        <v>1.2962962962962961</v>
      </c>
      <c r="Q465" s="521">
        <v>1.2962962962962961</v>
      </c>
      <c r="R465" s="521">
        <v>1.2962962962962961</v>
      </c>
      <c r="S465" s="521">
        <v>1.2962962962962961</v>
      </c>
    </row>
    <row r="466" spans="6:19" x14ac:dyDescent="0.25">
      <c r="F466" s="167" t="s">
        <v>62</v>
      </c>
      <c r="G466" s="167" t="s">
        <v>91</v>
      </c>
      <c r="H466" s="167" t="s">
        <v>695</v>
      </c>
      <c r="I466" s="121"/>
      <c r="J466" s="397">
        <f t="shared" si="33"/>
        <v>50</v>
      </c>
      <c r="K466" s="398"/>
      <c r="L466" s="521">
        <v>0</v>
      </c>
      <c r="M466" s="521"/>
      <c r="N466" s="521"/>
      <c r="O466" s="521">
        <v>50</v>
      </c>
      <c r="P466" s="521">
        <v>50</v>
      </c>
      <c r="Q466" s="521">
        <v>50</v>
      </c>
      <c r="R466" s="521">
        <v>50</v>
      </c>
      <c r="S466" s="521">
        <v>50</v>
      </c>
    </row>
    <row r="467" spans="6:19" x14ac:dyDescent="0.25">
      <c r="F467" s="167" t="s">
        <v>63</v>
      </c>
      <c r="G467" s="167" t="s">
        <v>91</v>
      </c>
      <c r="H467" s="167" t="s">
        <v>695</v>
      </c>
      <c r="I467" s="121"/>
      <c r="J467" s="403"/>
      <c r="K467" s="398"/>
      <c r="L467" s="403"/>
      <c r="M467" s="403"/>
      <c r="N467" s="403"/>
      <c r="O467" s="403"/>
      <c r="P467" s="403"/>
      <c r="Q467" s="403"/>
      <c r="R467" s="403"/>
      <c r="S467" s="403"/>
    </row>
    <row r="468" spans="6:19" x14ac:dyDescent="0.25">
      <c r="F468" s="167" t="s">
        <v>64</v>
      </c>
      <c r="G468" s="167" t="s">
        <v>91</v>
      </c>
      <c r="H468" s="167" t="s">
        <v>695</v>
      </c>
      <c r="I468" s="121"/>
      <c r="J468" s="397">
        <f t="shared" si="33"/>
        <v>0</v>
      </c>
      <c r="K468" s="398"/>
      <c r="L468" s="521">
        <v>0</v>
      </c>
      <c r="M468" s="521">
        <v>0</v>
      </c>
      <c r="N468" s="521">
        <v>0</v>
      </c>
      <c r="O468" s="521">
        <v>0</v>
      </c>
      <c r="P468" s="521">
        <v>0</v>
      </c>
      <c r="Q468" s="521">
        <v>0</v>
      </c>
      <c r="R468" s="521">
        <v>0</v>
      </c>
      <c r="S468" s="521">
        <v>0</v>
      </c>
    </row>
    <row r="469" spans="6:19" x14ac:dyDescent="0.25">
      <c r="F469" s="167" t="s">
        <v>65</v>
      </c>
      <c r="G469" s="167" t="s">
        <v>91</v>
      </c>
      <c r="H469" s="167" t="s">
        <v>695</v>
      </c>
      <c r="I469" s="121"/>
      <c r="J469" s="403"/>
      <c r="K469" s="398"/>
      <c r="L469" s="403"/>
      <c r="M469" s="403"/>
      <c r="N469" s="403"/>
      <c r="O469" s="403"/>
      <c r="P469" s="403"/>
      <c r="Q469" s="403"/>
      <c r="R469" s="403"/>
      <c r="S469" s="403"/>
    </row>
    <row r="470" spans="6:19" x14ac:dyDescent="0.25">
      <c r="F470" s="167" t="s">
        <v>66</v>
      </c>
      <c r="G470" s="167" t="s">
        <v>91</v>
      </c>
      <c r="H470" s="167" t="s">
        <v>695</v>
      </c>
      <c r="I470" s="121"/>
      <c r="J470" s="397">
        <f t="shared" si="33"/>
        <v>0</v>
      </c>
      <c r="K470" s="398"/>
      <c r="L470" s="521">
        <v>0</v>
      </c>
      <c r="M470" s="521">
        <v>0</v>
      </c>
      <c r="N470" s="521">
        <v>0</v>
      </c>
      <c r="O470" s="521">
        <v>0</v>
      </c>
      <c r="P470" s="521">
        <v>0</v>
      </c>
      <c r="Q470" s="521">
        <v>0</v>
      </c>
      <c r="R470" s="521">
        <v>0</v>
      </c>
      <c r="S470" s="521">
        <v>0</v>
      </c>
    </row>
    <row r="471" spans="6:19" x14ac:dyDescent="0.25">
      <c r="F471" s="167" t="s">
        <v>67</v>
      </c>
      <c r="G471" s="167" t="s">
        <v>91</v>
      </c>
      <c r="H471" s="167" t="s">
        <v>695</v>
      </c>
      <c r="I471" s="121"/>
      <c r="J471" s="403"/>
      <c r="K471" s="398"/>
      <c r="L471" s="403"/>
      <c r="M471" s="403"/>
      <c r="N471" s="403"/>
      <c r="O471" s="403"/>
      <c r="P471" s="403"/>
      <c r="Q471" s="403"/>
      <c r="R471" s="403"/>
      <c r="S471" s="403"/>
    </row>
    <row r="472" spans="6:19" x14ac:dyDescent="0.25">
      <c r="F472" s="167" t="s">
        <v>68</v>
      </c>
      <c r="G472" s="167" t="s">
        <v>91</v>
      </c>
      <c r="H472" s="167" t="s">
        <v>695</v>
      </c>
      <c r="I472" s="121"/>
      <c r="J472" s="403"/>
      <c r="K472" s="398"/>
      <c r="L472" s="403"/>
      <c r="M472" s="403"/>
      <c r="N472" s="403"/>
      <c r="O472" s="403"/>
      <c r="P472" s="403"/>
      <c r="Q472" s="403"/>
      <c r="R472" s="403"/>
      <c r="S472" s="403"/>
    </row>
    <row r="473" spans="6:19" x14ac:dyDescent="0.25">
      <c r="F473" s="167" t="s">
        <v>69</v>
      </c>
      <c r="G473" s="167" t="s">
        <v>91</v>
      </c>
      <c r="H473" s="167" t="s">
        <v>695</v>
      </c>
      <c r="I473" s="121"/>
      <c r="J473" s="403"/>
      <c r="K473" s="398"/>
      <c r="L473" s="403"/>
      <c r="M473" s="403"/>
      <c r="N473" s="403"/>
      <c r="O473" s="403"/>
      <c r="P473" s="403"/>
      <c r="Q473" s="403"/>
      <c r="R473" s="403"/>
      <c r="S473" s="403"/>
    </row>
    <row r="474" spans="6:19" x14ac:dyDescent="0.25">
      <c r="F474" s="167" t="s">
        <v>70</v>
      </c>
      <c r="G474" s="167" t="s">
        <v>91</v>
      </c>
      <c r="H474" s="167" t="s">
        <v>695</v>
      </c>
      <c r="I474" s="121"/>
      <c r="J474" s="403"/>
      <c r="K474" s="398"/>
      <c r="L474" s="403"/>
      <c r="M474" s="403"/>
      <c r="N474" s="403"/>
      <c r="O474" s="403"/>
      <c r="P474" s="403"/>
      <c r="Q474" s="403"/>
      <c r="R474" s="403"/>
      <c r="S474" s="403"/>
    </row>
    <row r="475" spans="6:19" x14ac:dyDescent="0.25">
      <c r="F475" s="167" t="s">
        <v>71</v>
      </c>
      <c r="G475" s="167" t="s">
        <v>91</v>
      </c>
      <c r="H475" s="167" t="s">
        <v>695</v>
      </c>
      <c r="I475" s="121"/>
      <c r="J475" s="403"/>
      <c r="K475" s="398"/>
      <c r="L475" s="403"/>
      <c r="M475" s="403"/>
      <c r="N475" s="403"/>
      <c r="O475" s="403"/>
      <c r="P475" s="403"/>
      <c r="Q475" s="403"/>
      <c r="R475" s="403"/>
      <c r="S475" s="403"/>
    </row>
    <row r="476" spans="6:19" x14ac:dyDescent="0.25">
      <c r="F476" s="167" t="s">
        <v>74</v>
      </c>
      <c r="G476" s="167" t="s">
        <v>91</v>
      </c>
      <c r="H476" s="167" t="s">
        <v>695</v>
      </c>
      <c r="I476" s="121"/>
      <c r="J476" s="403"/>
      <c r="K476" s="398"/>
      <c r="L476" s="403"/>
      <c r="M476" s="403"/>
      <c r="N476" s="403"/>
      <c r="O476" s="403"/>
      <c r="P476" s="403"/>
      <c r="Q476" s="403"/>
      <c r="R476" s="403"/>
      <c r="S476" s="403"/>
    </row>
    <row r="477" spans="6:19" x14ac:dyDescent="0.25">
      <c r="F477" s="167" t="s">
        <v>75</v>
      </c>
      <c r="G477" s="167" t="s">
        <v>91</v>
      </c>
      <c r="H477" s="167" t="s">
        <v>695</v>
      </c>
      <c r="I477" s="121"/>
      <c r="J477" s="403"/>
      <c r="K477" s="398"/>
      <c r="L477" s="403"/>
      <c r="M477" s="403"/>
      <c r="N477" s="403"/>
      <c r="O477" s="403"/>
      <c r="P477" s="403"/>
      <c r="Q477" s="403"/>
      <c r="R477" s="403"/>
      <c r="S477" s="403"/>
    </row>
    <row r="478" spans="6:19" x14ac:dyDescent="0.25">
      <c r="F478" s="167" t="s">
        <v>76</v>
      </c>
      <c r="G478" s="167" t="s">
        <v>91</v>
      </c>
      <c r="H478" s="167" t="s">
        <v>695</v>
      </c>
      <c r="I478" s="121"/>
      <c r="J478" s="403"/>
      <c r="K478" s="398"/>
      <c r="L478" s="403"/>
      <c r="M478" s="403"/>
      <c r="N478" s="403"/>
      <c r="O478" s="403"/>
      <c r="P478" s="403"/>
      <c r="Q478" s="403"/>
      <c r="R478" s="403"/>
      <c r="S478" s="403"/>
    </row>
    <row r="479" spans="6:19" x14ac:dyDescent="0.25">
      <c r="F479" s="168" t="s">
        <v>77</v>
      </c>
      <c r="G479" s="168" t="s">
        <v>91</v>
      </c>
      <c r="H479" s="168" t="s">
        <v>695</v>
      </c>
      <c r="I479" s="262"/>
      <c r="J479" s="404"/>
      <c r="K479" s="400"/>
      <c r="L479" s="404"/>
      <c r="M479" s="404"/>
      <c r="N479" s="404"/>
      <c r="O479" s="404"/>
      <c r="P479" s="404"/>
      <c r="Q479" s="404"/>
      <c r="R479" s="404"/>
      <c r="S479" s="404"/>
    </row>
    <row r="480" spans="6:19" x14ac:dyDescent="0.25">
      <c r="J480" s="401"/>
      <c r="K480" s="401"/>
      <c r="L480" s="401"/>
      <c r="M480" s="401"/>
      <c r="N480" s="401"/>
      <c r="O480" s="401"/>
      <c r="P480" s="401"/>
      <c r="Q480" s="401"/>
      <c r="R480" s="401"/>
      <c r="S480" s="401"/>
    </row>
    <row r="481" spans="5:19" x14ac:dyDescent="0.25">
      <c r="E481" s="261" t="s">
        <v>330</v>
      </c>
      <c r="J481" s="401"/>
      <c r="K481" s="401"/>
      <c r="L481" s="401"/>
      <c r="M481" s="401"/>
      <c r="N481" s="401"/>
      <c r="O481" s="401"/>
      <c r="P481" s="401"/>
      <c r="Q481" s="401"/>
      <c r="R481" s="401"/>
      <c r="S481" s="401"/>
    </row>
    <row r="482" spans="5:19" x14ac:dyDescent="0.25">
      <c r="F482" s="166" t="s">
        <v>52</v>
      </c>
      <c r="G482" s="166" t="s">
        <v>186</v>
      </c>
      <c r="H482" s="166" t="s">
        <v>695</v>
      </c>
      <c r="I482" s="201"/>
      <c r="J482" s="402"/>
      <c r="K482" s="396"/>
      <c r="L482" s="402"/>
      <c r="M482" s="402"/>
      <c r="N482" s="402"/>
      <c r="O482" s="402"/>
      <c r="P482" s="402"/>
      <c r="Q482" s="402"/>
      <c r="R482" s="402"/>
      <c r="S482" s="402"/>
    </row>
    <row r="483" spans="5:19" x14ac:dyDescent="0.25">
      <c r="F483" s="167" t="s">
        <v>53</v>
      </c>
      <c r="G483" s="167" t="s">
        <v>186</v>
      </c>
      <c r="H483" s="167" t="s">
        <v>695</v>
      </c>
      <c r="I483" s="121"/>
      <c r="J483" s="403"/>
      <c r="K483" s="398"/>
      <c r="L483" s="403"/>
      <c r="M483" s="403"/>
      <c r="N483" s="403"/>
      <c r="O483" s="403"/>
      <c r="P483" s="403"/>
      <c r="Q483" s="403"/>
      <c r="R483" s="403"/>
      <c r="S483" s="403"/>
    </row>
    <row r="484" spans="5:19" x14ac:dyDescent="0.25">
      <c r="F484" s="167" t="s">
        <v>84</v>
      </c>
      <c r="G484" s="167" t="s">
        <v>186</v>
      </c>
      <c r="H484" s="167" t="s">
        <v>695</v>
      </c>
      <c r="I484" s="121"/>
      <c r="J484" s="403"/>
      <c r="K484" s="398"/>
      <c r="L484" s="403"/>
      <c r="M484" s="403"/>
      <c r="N484" s="403"/>
      <c r="O484" s="403"/>
      <c r="P484" s="403"/>
      <c r="Q484" s="403"/>
      <c r="R484" s="403"/>
      <c r="S484" s="403"/>
    </row>
    <row r="485" spans="5:19" x14ac:dyDescent="0.25">
      <c r="F485" s="167" t="s">
        <v>54</v>
      </c>
      <c r="G485" s="167" t="s">
        <v>186</v>
      </c>
      <c r="H485" s="167" t="s">
        <v>695</v>
      </c>
      <c r="I485" s="121"/>
      <c r="J485" s="403"/>
      <c r="K485" s="398"/>
      <c r="L485" s="403"/>
      <c r="M485" s="403"/>
      <c r="N485" s="403"/>
      <c r="O485" s="403"/>
      <c r="P485" s="403"/>
      <c r="Q485" s="403"/>
      <c r="R485" s="403"/>
      <c r="S485" s="403"/>
    </row>
    <row r="486" spans="5:19" x14ac:dyDescent="0.25">
      <c r="F486" s="167" t="s">
        <v>55</v>
      </c>
      <c r="G486" s="167" t="s">
        <v>186</v>
      </c>
      <c r="H486" s="167" t="s">
        <v>695</v>
      </c>
      <c r="I486" s="121"/>
      <c r="J486" s="403"/>
      <c r="K486" s="398"/>
      <c r="L486" s="403"/>
      <c r="M486" s="403"/>
      <c r="N486" s="403"/>
      <c r="O486" s="403"/>
      <c r="P486" s="403"/>
      <c r="Q486" s="403"/>
      <c r="R486" s="403"/>
      <c r="S486" s="403"/>
    </row>
    <row r="487" spans="5:19" x14ac:dyDescent="0.25">
      <c r="F487" s="167" t="s">
        <v>85</v>
      </c>
      <c r="G487" s="167" t="s">
        <v>186</v>
      </c>
      <c r="H487" s="167" t="s">
        <v>695</v>
      </c>
      <c r="I487" s="121"/>
      <c r="J487" s="403"/>
      <c r="K487" s="398"/>
      <c r="L487" s="403"/>
      <c r="M487" s="403"/>
      <c r="N487" s="403"/>
      <c r="O487" s="403"/>
      <c r="P487" s="403"/>
      <c r="Q487" s="403"/>
      <c r="R487" s="403"/>
      <c r="S487" s="403"/>
    </row>
    <row r="488" spans="5:19" x14ac:dyDescent="0.25">
      <c r="F488" s="167" t="s">
        <v>56</v>
      </c>
      <c r="G488" s="167" t="s">
        <v>186</v>
      </c>
      <c r="H488" s="167" t="s">
        <v>695</v>
      </c>
      <c r="I488" s="121"/>
      <c r="J488" s="403"/>
      <c r="K488" s="398"/>
      <c r="L488" s="403"/>
      <c r="M488" s="403"/>
      <c r="N488" s="403"/>
      <c r="O488" s="403"/>
      <c r="P488" s="403"/>
      <c r="Q488" s="403"/>
      <c r="R488" s="403"/>
      <c r="S488" s="403"/>
    </row>
    <row r="489" spans="5:19" x14ac:dyDescent="0.25">
      <c r="F489" s="167" t="s">
        <v>57</v>
      </c>
      <c r="G489" s="167" t="s">
        <v>186</v>
      </c>
      <c r="H489" s="167" t="s">
        <v>695</v>
      </c>
      <c r="I489" s="121"/>
      <c r="J489" s="403"/>
      <c r="K489" s="398"/>
      <c r="L489" s="403"/>
      <c r="M489" s="403"/>
      <c r="N489" s="403"/>
      <c r="O489" s="403"/>
      <c r="P489" s="403"/>
      <c r="Q489" s="403"/>
      <c r="R489" s="403"/>
      <c r="S489" s="403"/>
    </row>
    <row r="490" spans="5:19" x14ac:dyDescent="0.25">
      <c r="F490" s="167" t="s">
        <v>72</v>
      </c>
      <c r="G490" s="167" t="s">
        <v>186</v>
      </c>
      <c r="H490" s="167" t="s">
        <v>695</v>
      </c>
      <c r="I490" s="121"/>
      <c r="J490" s="403"/>
      <c r="K490" s="398"/>
      <c r="L490" s="403"/>
      <c r="M490" s="403"/>
      <c r="N490" s="403"/>
      <c r="O490" s="403"/>
      <c r="P490" s="403"/>
      <c r="Q490" s="403"/>
      <c r="R490" s="403"/>
      <c r="S490" s="403"/>
    </row>
    <row r="491" spans="5:19" x14ac:dyDescent="0.25">
      <c r="F491" s="167" t="s">
        <v>58</v>
      </c>
      <c r="G491" s="167" t="s">
        <v>186</v>
      </c>
      <c r="H491" s="167" t="s">
        <v>695</v>
      </c>
      <c r="I491" s="121"/>
      <c r="J491" s="403"/>
      <c r="K491" s="398"/>
      <c r="L491" s="403"/>
      <c r="M491" s="403"/>
      <c r="N491" s="403"/>
      <c r="O491" s="403"/>
      <c r="P491" s="403"/>
      <c r="Q491" s="403"/>
      <c r="R491" s="403"/>
      <c r="S491" s="403"/>
    </row>
    <row r="492" spans="5:19" x14ac:dyDescent="0.25">
      <c r="F492" s="167" t="s">
        <v>59</v>
      </c>
      <c r="G492" s="167" t="s">
        <v>186</v>
      </c>
      <c r="H492" s="167" t="s">
        <v>695</v>
      </c>
      <c r="I492" s="121"/>
      <c r="J492" s="403"/>
      <c r="K492" s="398"/>
      <c r="L492" s="403"/>
      <c r="M492" s="403"/>
      <c r="N492" s="403"/>
      <c r="O492" s="403"/>
      <c r="P492" s="403"/>
      <c r="Q492" s="403"/>
      <c r="R492" s="403"/>
      <c r="S492" s="403"/>
    </row>
    <row r="493" spans="5:19" x14ac:dyDescent="0.25">
      <c r="F493" s="167" t="s">
        <v>60</v>
      </c>
      <c r="G493" s="167" t="s">
        <v>186</v>
      </c>
      <c r="H493" s="167" t="s">
        <v>695</v>
      </c>
      <c r="I493" s="121"/>
      <c r="J493" s="397">
        <f t="shared" ref="J493" si="34">CHOOSE(year_selection, L493,M493,N493,O493,P493,Q493,R493,S493)</f>
        <v>20780.103419261635</v>
      </c>
      <c r="K493" s="398"/>
      <c r="L493" s="521">
        <v>0</v>
      </c>
      <c r="M493" s="521">
        <v>5711.5030094959584</v>
      </c>
      <c r="N493" s="521">
        <v>6650.6850576007309</v>
      </c>
      <c r="O493" s="521">
        <v>20780.103419261635</v>
      </c>
      <c r="P493" s="521">
        <v>24332.87369227743</v>
      </c>
      <c r="Q493" s="521">
        <v>27885.643544345494</v>
      </c>
      <c r="R493" s="521">
        <v>31438.413396501284</v>
      </c>
      <c r="S493" s="521">
        <v>34991.183248657078</v>
      </c>
    </row>
    <row r="494" spans="5:19" x14ac:dyDescent="0.25">
      <c r="F494" s="167" t="s">
        <v>61</v>
      </c>
      <c r="G494" s="167" t="s">
        <v>186</v>
      </c>
      <c r="H494" s="167" t="s">
        <v>695</v>
      </c>
      <c r="I494" s="121"/>
      <c r="J494" s="403"/>
      <c r="K494" s="398"/>
      <c r="L494" s="403"/>
      <c r="M494" s="403"/>
      <c r="N494" s="403"/>
      <c r="O494" s="403"/>
      <c r="P494" s="403"/>
      <c r="Q494" s="403"/>
      <c r="R494" s="403"/>
      <c r="S494" s="403"/>
    </row>
    <row r="495" spans="5:19" x14ac:dyDescent="0.25">
      <c r="F495" s="167" t="s">
        <v>73</v>
      </c>
      <c r="G495" s="167" t="s">
        <v>186</v>
      </c>
      <c r="H495" s="167" t="s">
        <v>695</v>
      </c>
      <c r="I495" s="121"/>
      <c r="J495" s="403"/>
      <c r="K495" s="398"/>
      <c r="L495" s="403"/>
      <c r="M495" s="403"/>
      <c r="N495" s="403"/>
      <c r="O495" s="403"/>
      <c r="P495" s="403"/>
      <c r="Q495" s="403"/>
      <c r="R495" s="403"/>
      <c r="S495" s="403"/>
    </row>
    <row r="496" spans="5:19" x14ac:dyDescent="0.25">
      <c r="F496" s="167" t="s">
        <v>86</v>
      </c>
      <c r="G496" s="167" t="s">
        <v>186</v>
      </c>
      <c r="H496" s="167" t="s">
        <v>695</v>
      </c>
      <c r="I496" s="121"/>
      <c r="J496" s="403"/>
      <c r="K496" s="398"/>
      <c r="L496" s="403"/>
      <c r="M496" s="403"/>
      <c r="N496" s="403"/>
      <c r="O496" s="403"/>
      <c r="P496" s="403"/>
      <c r="Q496" s="403"/>
      <c r="R496" s="403"/>
      <c r="S496" s="403"/>
    </row>
    <row r="497" spans="6:19" x14ac:dyDescent="0.25">
      <c r="F497" s="167" t="s">
        <v>87</v>
      </c>
      <c r="G497" s="167" t="s">
        <v>186</v>
      </c>
      <c r="H497" s="167" t="s">
        <v>695</v>
      </c>
      <c r="I497" s="121"/>
      <c r="J497" s="403"/>
      <c r="K497" s="398"/>
      <c r="L497" s="403"/>
      <c r="M497" s="403"/>
      <c r="N497" s="403"/>
      <c r="O497" s="403"/>
      <c r="P497" s="403"/>
      <c r="Q497" s="403"/>
      <c r="R497" s="403"/>
      <c r="S497" s="403"/>
    </row>
    <row r="498" spans="6:19" x14ac:dyDescent="0.25">
      <c r="F498" s="167" t="s">
        <v>88</v>
      </c>
      <c r="G498" s="167" t="s">
        <v>186</v>
      </c>
      <c r="H498" s="167" t="s">
        <v>695</v>
      </c>
      <c r="I498" s="121"/>
      <c r="J498" s="403"/>
      <c r="K498" s="398"/>
      <c r="L498" s="403"/>
      <c r="M498" s="403"/>
      <c r="N498" s="403"/>
      <c r="O498" s="403"/>
      <c r="P498" s="403"/>
      <c r="Q498" s="403"/>
      <c r="R498" s="403"/>
      <c r="S498" s="403"/>
    </row>
    <row r="499" spans="6:19" x14ac:dyDescent="0.25">
      <c r="F499" s="167" t="s">
        <v>89</v>
      </c>
      <c r="G499" s="167" t="s">
        <v>186</v>
      </c>
      <c r="H499" s="167" t="s">
        <v>695</v>
      </c>
      <c r="I499" s="121"/>
      <c r="J499" s="403"/>
      <c r="K499" s="398"/>
      <c r="L499" s="403"/>
      <c r="M499" s="403"/>
      <c r="N499" s="403"/>
      <c r="O499" s="403"/>
      <c r="P499" s="403"/>
      <c r="Q499" s="403"/>
      <c r="R499" s="403"/>
      <c r="S499" s="403"/>
    </row>
    <row r="500" spans="6:19" x14ac:dyDescent="0.25">
      <c r="F500" s="167" t="s">
        <v>90</v>
      </c>
      <c r="G500" s="167" t="s">
        <v>186</v>
      </c>
      <c r="H500" s="167" t="s">
        <v>695</v>
      </c>
      <c r="I500" s="121"/>
      <c r="J500" s="403"/>
      <c r="K500" s="398"/>
      <c r="L500" s="403"/>
      <c r="M500" s="403"/>
      <c r="N500" s="403"/>
      <c r="O500" s="403"/>
      <c r="P500" s="403"/>
      <c r="Q500" s="403"/>
      <c r="R500" s="403"/>
      <c r="S500" s="403"/>
    </row>
    <row r="501" spans="6:19" x14ac:dyDescent="0.25">
      <c r="F501" s="167" t="s">
        <v>62</v>
      </c>
      <c r="G501" s="167" t="s">
        <v>186</v>
      </c>
      <c r="H501" s="167" t="s">
        <v>695</v>
      </c>
      <c r="I501" s="121"/>
      <c r="J501" s="403"/>
      <c r="K501" s="398"/>
      <c r="L501" s="403"/>
      <c r="M501" s="403"/>
      <c r="N501" s="403"/>
      <c r="O501" s="403"/>
      <c r="P501" s="403"/>
      <c r="Q501" s="403"/>
      <c r="R501" s="403"/>
      <c r="S501" s="403"/>
    </row>
    <row r="502" spans="6:19" x14ac:dyDescent="0.25">
      <c r="F502" s="167" t="s">
        <v>63</v>
      </c>
      <c r="G502" s="167" t="s">
        <v>186</v>
      </c>
      <c r="H502" s="167" t="s">
        <v>695</v>
      </c>
      <c r="I502" s="121"/>
      <c r="J502" s="403"/>
      <c r="K502" s="398"/>
      <c r="L502" s="403"/>
      <c r="M502" s="403"/>
      <c r="N502" s="403"/>
      <c r="O502" s="403"/>
      <c r="P502" s="403"/>
      <c r="Q502" s="403"/>
      <c r="R502" s="403"/>
      <c r="S502" s="403"/>
    </row>
    <row r="503" spans="6:19" x14ac:dyDescent="0.25">
      <c r="F503" s="167" t="s">
        <v>64</v>
      </c>
      <c r="G503" s="167" t="s">
        <v>186</v>
      </c>
      <c r="H503" s="167" t="s">
        <v>695</v>
      </c>
      <c r="I503" s="121"/>
      <c r="J503" s="403"/>
      <c r="K503" s="398"/>
      <c r="L503" s="403"/>
      <c r="M503" s="403"/>
      <c r="N503" s="403"/>
      <c r="O503" s="403"/>
      <c r="P503" s="403"/>
      <c r="Q503" s="403"/>
      <c r="R503" s="403"/>
      <c r="S503" s="403"/>
    </row>
    <row r="504" spans="6:19" x14ac:dyDescent="0.25">
      <c r="F504" s="167" t="s">
        <v>65</v>
      </c>
      <c r="G504" s="167" t="s">
        <v>186</v>
      </c>
      <c r="H504" s="167" t="s">
        <v>695</v>
      </c>
      <c r="I504" s="121"/>
      <c r="J504" s="403"/>
      <c r="K504" s="398"/>
      <c r="L504" s="403"/>
      <c r="M504" s="403"/>
      <c r="N504" s="403"/>
      <c r="O504" s="403"/>
      <c r="P504" s="403"/>
      <c r="Q504" s="403"/>
      <c r="R504" s="403"/>
      <c r="S504" s="403"/>
    </row>
    <row r="505" spans="6:19" x14ac:dyDescent="0.25">
      <c r="F505" s="167" t="s">
        <v>66</v>
      </c>
      <c r="G505" s="167" t="s">
        <v>186</v>
      </c>
      <c r="H505" s="167" t="s">
        <v>695</v>
      </c>
      <c r="I505" s="121"/>
      <c r="J505" s="403"/>
      <c r="K505" s="398"/>
      <c r="L505" s="403"/>
      <c r="M505" s="403"/>
      <c r="N505" s="403"/>
      <c r="O505" s="403"/>
      <c r="P505" s="403"/>
      <c r="Q505" s="403"/>
      <c r="R505" s="403"/>
      <c r="S505" s="403"/>
    </row>
    <row r="506" spans="6:19" x14ac:dyDescent="0.25">
      <c r="F506" s="167" t="s">
        <v>67</v>
      </c>
      <c r="G506" s="167" t="s">
        <v>186</v>
      </c>
      <c r="H506" s="167" t="s">
        <v>695</v>
      </c>
      <c r="I506" s="121"/>
      <c r="J506" s="403"/>
      <c r="K506" s="398"/>
      <c r="L506" s="403"/>
      <c r="M506" s="403"/>
      <c r="N506" s="403"/>
      <c r="O506" s="403"/>
      <c r="P506" s="403"/>
      <c r="Q506" s="403"/>
      <c r="R506" s="403"/>
      <c r="S506" s="403"/>
    </row>
    <row r="507" spans="6:19" x14ac:dyDescent="0.25">
      <c r="F507" s="167" t="s">
        <v>68</v>
      </c>
      <c r="G507" s="167" t="s">
        <v>186</v>
      </c>
      <c r="H507" s="167" t="s">
        <v>695</v>
      </c>
      <c r="I507" s="121"/>
      <c r="J507" s="403"/>
      <c r="K507" s="398"/>
      <c r="L507" s="403"/>
      <c r="M507" s="403"/>
      <c r="N507" s="403"/>
      <c r="O507" s="403"/>
      <c r="P507" s="403"/>
      <c r="Q507" s="403"/>
      <c r="R507" s="403"/>
      <c r="S507" s="403"/>
    </row>
    <row r="508" spans="6:19" x14ac:dyDescent="0.25">
      <c r="F508" s="167" t="s">
        <v>69</v>
      </c>
      <c r="G508" s="167" t="s">
        <v>186</v>
      </c>
      <c r="H508" s="167" t="s">
        <v>695</v>
      </c>
      <c r="I508" s="121"/>
      <c r="J508" s="403"/>
      <c r="K508" s="398"/>
      <c r="L508" s="403"/>
      <c r="M508" s="403"/>
      <c r="N508" s="403"/>
      <c r="O508" s="403"/>
      <c r="P508" s="403"/>
      <c r="Q508" s="403"/>
      <c r="R508" s="403"/>
      <c r="S508" s="403"/>
    </row>
    <row r="509" spans="6:19" x14ac:dyDescent="0.25">
      <c r="F509" s="167" t="s">
        <v>70</v>
      </c>
      <c r="G509" s="167" t="s">
        <v>186</v>
      </c>
      <c r="H509" s="167" t="s">
        <v>695</v>
      </c>
      <c r="I509" s="121"/>
      <c r="J509" s="403"/>
      <c r="K509" s="398"/>
      <c r="L509" s="403"/>
      <c r="M509" s="403"/>
      <c r="N509" s="403"/>
      <c r="O509" s="403"/>
      <c r="P509" s="403"/>
      <c r="Q509" s="403"/>
      <c r="R509" s="403"/>
      <c r="S509" s="403"/>
    </row>
    <row r="510" spans="6:19" x14ac:dyDescent="0.25">
      <c r="F510" s="167" t="s">
        <v>71</v>
      </c>
      <c r="G510" s="167" t="s">
        <v>186</v>
      </c>
      <c r="H510" s="167" t="s">
        <v>695</v>
      </c>
      <c r="I510" s="121"/>
      <c r="J510" s="403"/>
      <c r="K510" s="398"/>
      <c r="L510" s="403"/>
      <c r="M510" s="403"/>
      <c r="N510" s="403"/>
      <c r="O510" s="403"/>
      <c r="P510" s="403"/>
      <c r="Q510" s="403"/>
      <c r="R510" s="403"/>
      <c r="S510" s="403"/>
    </row>
    <row r="511" spans="6:19" x14ac:dyDescent="0.25">
      <c r="F511" s="167" t="s">
        <v>74</v>
      </c>
      <c r="G511" s="167" t="s">
        <v>186</v>
      </c>
      <c r="H511" s="167" t="s">
        <v>695</v>
      </c>
      <c r="I511" s="121"/>
      <c r="J511" s="403"/>
      <c r="K511" s="398"/>
      <c r="L511" s="403"/>
      <c r="M511" s="403"/>
      <c r="N511" s="403"/>
      <c r="O511" s="403"/>
      <c r="P511" s="403"/>
      <c r="Q511" s="403"/>
      <c r="R511" s="403"/>
      <c r="S511" s="403"/>
    </row>
    <row r="512" spans="6:19" x14ac:dyDescent="0.25">
      <c r="F512" s="167" t="s">
        <v>75</v>
      </c>
      <c r="G512" s="167" t="s">
        <v>186</v>
      </c>
      <c r="H512" s="167" t="s">
        <v>695</v>
      </c>
      <c r="I512" s="121"/>
      <c r="J512" s="403"/>
      <c r="K512" s="398"/>
      <c r="L512" s="403"/>
      <c r="M512" s="403"/>
      <c r="N512" s="403"/>
      <c r="O512" s="403"/>
      <c r="P512" s="403"/>
      <c r="Q512" s="403"/>
      <c r="R512" s="403"/>
      <c r="S512" s="403"/>
    </row>
    <row r="513" spans="5:19" x14ac:dyDescent="0.25">
      <c r="F513" s="167" t="s">
        <v>76</v>
      </c>
      <c r="G513" s="167" t="s">
        <v>186</v>
      </c>
      <c r="H513" s="167" t="s">
        <v>695</v>
      </c>
      <c r="I513" s="121"/>
      <c r="J513" s="403"/>
      <c r="K513" s="398"/>
      <c r="L513" s="403"/>
      <c r="M513" s="403"/>
      <c r="N513" s="403"/>
      <c r="O513" s="403"/>
      <c r="P513" s="403"/>
      <c r="Q513" s="403"/>
      <c r="R513" s="403"/>
      <c r="S513" s="403"/>
    </row>
    <row r="514" spans="5:19" x14ac:dyDescent="0.25">
      <c r="F514" s="168" t="s">
        <v>77</v>
      </c>
      <c r="G514" s="168" t="s">
        <v>186</v>
      </c>
      <c r="H514" s="168" t="s">
        <v>695</v>
      </c>
      <c r="I514" s="262"/>
      <c r="J514" s="404"/>
      <c r="K514" s="400"/>
      <c r="L514" s="404"/>
      <c r="M514" s="404"/>
      <c r="N514" s="404"/>
      <c r="O514" s="404"/>
      <c r="P514" s="404"/>
      <c r="Q514" s="404"/>
      <c r="R514" s="404"/>
      <c r="S514" s="404"/>
    </row>
    <row r="515" spans="5:19" x14ac:dyDescent="0.25">
      <c r="J515" s="401"/>
      <c r="K515" s="401"/>
      <c r="L515" s="401"/>
      <c r="M515" s="401"/>
      <c r="N515" s="401"/>
      <c r="O515" s="401"/>
      <c r="P515" s="401"/>
      <c r="Q515" s="401"/>
      <c r="R515" s="401"/>
      <c r="S515" s="401"/>
    </row>
    <row r="516" spans="5:19" x14ac:dyDescent="0.25">
      <c r="E516" s="261" t="s">
        <v>331</v>
      </c>
      <c r="J516" s="401"/>
      <c r="K516" s="401"/>
      <c r="L516" s="401"/>
      <c r="M516" s="401"/>
      <c r="N516" s="401"/>
      <c r="O516" s="401"/>
      <c r="P516" s="401"/>
      <c r="Q516" s="401"/>
      <c r="R516" s="401"/>
      <c r="S516" s="401"/>
    </row>
    <row r="517" spans="5:19" x14ac:dyDescent="0.25">
      <c r="F517" s="166" t="s">
        <v>52</v>
      </c>
      <c r="G517" s="166" t="s">
        <v>186</v>
      </c>
      <c r="H517" s="166" t="s">
        <v>695</v>
      </c>
      <c r="I517" s="201"/>
      <c r="J517" s="402"/>
      <c r="K517" s="396"/>
      <c r="L517" s="402"/>
      <c r="M517" s="402"/>
      <c r="N517" s="402"/>
      <c r="O517" s="402"/>
      <c r="P517" s="402"/>
      <c r="Q517" s="402"/>
      <c r="R517" s="402"/>
      <c r="S517" s="402"/>
    </row>
    <row r="518" spans="5:19" x14ac:dyDescent="0.25">
      <c r="F518" s="167" t="s">
        <v>53</v>
      </c>
      <c r="G518" s="167" t="s">
        <v>186</v>
      </c>
      <c r="H518" s="167" t="s">
        <v>695</v>
      </c>
      <c r="I518" s="121"/>
      <c r="J518" s="403"/>
      <c r="K518" s="398"/>
      <c r="L518" s="403"/>
      <c r="M518" s="403"/>
      <c r="N518" s="403"/>
      <c r="O518" s="403"/>
      <c r="P518" s="403"/>
      <c r="Q518" s="403"/>
      <c r="R518" s="403"/>
      <c r="S518" s="403"/>
    </row>
    <row r="519" spans="5:19" x14ac:dyDescent="0.25">
      <c r="F519" s="167" t="s">
        <v>84</v>
      </c>
      <c r="G519" s="167" t="s">
        <v>186</v>
      </c>
      <c r="H519" s="167" t="s">
        <v>695</v>
      </c>
      <c r="I519" s="121"/>
      <c r="J519" s="403"/>
      <c r="K519" s="398"/>
      <c r="L519" s="403"/>
      <c r="M519" s="403"/>
      <c r="N519" s="403"/>
      <c r="O519" s="403"/>
      <c r="P519" s="403"/>
      <c r="Q519" s="403"/>
      <c r="R519" s="403"/>
      <c r="S519" s="403"/>
    </row>
    <row r="520" spans="5:19" x14ac:dyDescent="0.25">
      <c r="F520" s="167" t="s">
        <v>54</v>
      </c>
      <c r="G520" s="167" t="s">
        <v>186</v>
      </c>
      <c r="H520" s="167" t="s">
        <v>695</v>
      </c>
      <c r="I520" s="121"/>
      <c r="J520" s="403"/>
      <c r="K520" s="398"/>
      <c r="L520" s="403"/>
      <c r="M520" s="403"/>
      <c r="N520" s="403"/>
      <c r="O520" s="403"/>
      <c r="P520" s="403"/>
      <c r="Q520" s="403"/>
      <c r="R520" s="403"/>
      <c r="S520" s="403"/>
    </row>
    <row r="521" spans="5:19" x14ac:dyDescent="0.25">
      <c r="F521" s="167" t="s">
        <v>55</v>
      </c>
      <c r="G521" s="167" t="s">
        <v>186</v>
      </c>
      <c r="H521" s="167" t="s">
        <v>695</v>
      </c>
      <c r="I521" s="121"/>
      <c r="J521" s="403"/>
      <c r="K521" s="398"/>
      <c r="L521" s="403"/>
      <c r="M521" s="403"/>
      <c r="N521" s="403"/>
      <c r="O521" s="403"/>
      <c r="P521" s="403"/>
      <c r="Q521" s="403"/>
      <c r="R521" s="403"/>
      <c r="S521" s="403"/>
    </row>
    <row r="522" spans="5:19" x14ac:dyDescent="0.25">
      <c r="F522" s="167" t="s">
        <v>85</v>
      </c>
      <c r="G522" s="167" t="s">
        <v>186</v>
      </c>
      <c r="H522" s="167" t="s">
        <v>695</v>
      </c>
      <c r="I522" s="121"/>
      <c r="J522" s="403"/>
      <c r="K522" s="398"/>
      <c r="L522" s="403"/>
      <c r="M522" s="403"/>
      <c r="N522" s="403"/>
      <c r="O522" s="403"/>
      <c r="P522" s="403"/>
      <c r="Q522" s="403"/>
      <c r="R522" s="403"/>
      <c r="S522" s="403"/>
    </row>
    <row r="523" spans="5:19" x14ac:dyDescent="0.25">
      <c r="F523" s="167" t="s">
        <v>56</v>
      </c>
      <c r="G523" s="167" t="s">
        <v>186</v>
      </c>
      <c r="H523" s="167" t="s">
        <v>695</v>
      </c>
      <c r="I523" s="121"/>
      <c r="J523" s="403"/>
      <c r="K523" s="398"/>
      <c r="L523" s="403"/>
      <c r="M523" s="403"/>
      <c r="N523" s="403"/>
      <c r="O523" s="403"/>
      <c r="P523" s="403"/>
      <c r="Q523" s="403"/>
      <c r="R523" s="403"/>
      <c r="S523" s="403"/>
    </row>
    <row r="524" spans="5:19" x14ac:dyDescent="0.25">
      <c r="F524" s="167" t="s">
        <v>57</v>
      </c>
      <c r="G524" s="167" t="s">
        <v>186</v>
      </c>
      <c r="H524" s="167" t="s">
        <v>695</v>
      </c>
      <c r="I524" s="121"/>
      <c r="J524" s="403"/>
      <c r="K524" s="398"/>
      <c r="L524" s="403"/>
      <c r="M524" s="403"/>
      <c r="N524" s="403"/>
      <c r="O524" s="403"/>
      <c r="P524" s="403"/>
      <c r="Q524" s="403"/>
      <c r="R524" s="403"/>
      <c r="S524" s="403"/>
    </row>
    <row r="525" spans="5:19" x14ac:dyDescent="0.25">
      <c r="F525" s="167" t="s">
        <v>72</v>
      </c>
      <c r="G525" s="167" t="s">
        <v>186</v>
      </c>
      <c r="H525" s="167" t="s">
        <v>695</v>
      </c>
      <c r="I525" s="121"/>
      <c r="J525" s="403"/>
      <c r="K525" s="398"/>
      <c r="L525" s="403"/>
      <c r="M525" s="403"/>
      <c r="N525" s="403"/>
      <c r="O525" s="403"/>
      <c r="P525" s="403"/>
      <c r="Q525" s="403"/>
      <c r="R525" s="403"/>
      <c r="S525" s="403"/>
    </row>
    <row r="526" spans="5:19" x14ac:dyDescent="0.25">
      <c r="F526" s="167" t="s">
        <v>58</v>
      </c>
      <c r="G526" s="167" t="s">
        <v>186</v>
      </c>
      <c r="H526" s="167" t="s">
        <v>695</v>
      </c>
      <c r="I526" s="121"/>
      <c r="J526" s="403"/>
      <c r="K526" s="398"/>
      <c r="L526" s="403"/>
      <c r="M526" s="403"/>
      <c r="N526" s="403"/>
      <c r="O526" s="403"/>
      <c r="P526" s="403"/>
      <c r="Q526" s="403"/>
      <c r="R526" s="403"/>
      <c r="S526" s="403"/>
    </row>
    <row r="527" spans="5:19" x14ac:dyDescent="0.25">
      <c r="F527" s="167" t="s">
        <v>59</v>
      </c>
      <c r="G527" s="167" t="s">
        <v>186</v>
      </c>
      <c r="H527" s="167" t="s">
        <v>695</v>
      </c>
      <c r="I527" s="121"/>
      <c r="J527" s="403"/>
      <c r="K527" s="398"/>
      <c r="L527" s="403"/>
      <c r="M527" s="403"/>
      <c r="N527" s="403"/>
      <c r="O527" s="403"/>
      <c r="P527" s="403"/>
      <c r="Q527" s="403"/>
      <c r="R527" s="403"/>
      <c r="S527" s="403"/>
    </row>
    <row r="528" spans="5:19" x14ac:dyDescent="0.25">
      <c r="F528" s="167" t="s">
        <v>60</v>
      </c>
      <c r="G528" s="167" t="s">
        <v>186</v>
      </c>
      <c r="H528" s="167" t="s">
        <v>695</v>
      </c>
      <c r="I528" s="121"/>
      <c r="J528" s="397">
        <f t="shared" ref="J528" si="35">CHOOSE(year_selection, L528,M528,N528,O528,P528,Q528,R528,S528)</f>
        <v>123</v>
      </c>
      <c r="K528" s="398"/>
      <c r="L528" s="521">
        <v>0</v>
      </c>
      <c r="M528" s="521">
        <v>0</v>
      </c>
      <c r="N528" s="521">
        <v>0</v>
      </c>
      <c r="O528" s="521">
        <v>123</v>
      </c>
      <c r="P528" s="521">
        <v>123</v>
      </c>
      <c r="Q528" s="521">
        <v>123</v>
      </c>
      <c r="R528" s="521">
        <v>123</v>
      </c>
      <c r="S528" s="521">
        <v>123</v>
      </c>
    </row>
    <row r="529" spans="6:19" x14ac:dyDescent="0.25">
      <c r="F529" s="167" t="s">
        <v>61</v>
      </c>
      <c r="G529" s="167" t="s">
        <v>186</v>
      </c>
      <c r="H529" s="167" t="s">
        <v>695</v>
      </c>
      <c r="I529" s="121"/>
      <c r="J529" s="403"/>
      <c r="K529" s="398"/>
      <c r="L529" s="403"/>
      <c r="M529" s="403"/>
      <c r="N529" s="403"/>
      <c r="O529" s="403"/>
      <c r="P529" s="403"/>
      <c r="Q529" s="403"/>
      <c r="R529" s="403"/>
      <c r="S529" s="403"/>
    </row>
    <row r="530" spans="6:19" x14ac:dyDescent="0.25">
      <c r="F530" s="167" t="s">
        <v>73</v>
      </c>
      <c r="G530" s="167" t="s">
        <v>186</v>
      </c>
      <c r="H530" s="167" t="s">
        <v>695</v>
      </c>
      <c r="I530" s="121"/>
      <c r="J530" s="403"/>
      <c r="K530" s="398"/>
      <c r="L530" s="403"/>
      <c r="M530" s="403"/>
      <c r="N530" s="403"/>
      <c r="O530" s="403"/>
      <c r="P530" s="403"/>
      <c r="Q530" s="403"/>
      <c r="R530" s="403"/>
      <c r="S530" s="403"/>
    </row>
    <row r="531" spans="6:19" x14ac:dyDescent="0.25">
      <c r="F531" s="167" t="s">
        <v>86</v>
      </c>
      <c r="G531" s="167" t="s">
        <v>186</v>
      </c>
      <c r="H531" s="167" t="s">
        <v>695</v>
      </c>
      <c r="I531" s="121"/>
      <c r="J531" s="403"/>
      <c r="K531" s="398"/>
      <c r="L531" s="403"/>
      <c r="M531" s="403"/>
      <c r="N531" s="403"/>
      <c r="O531" s="403"/>
      <c r="P531" s="403"/>
      <c r="Q531" s="403"/>
      <c r="R531" s="403"/>
      <c r="S531" s="403"/>
    </row>
    <row r="532" spans="6:19" x14ac:dyDescent="0.25">
      <c r="F532" s="167" t="s">
        <v>87</v>
      </c>
      <c r="G532" s="167" t="s">
        <v>186</v>
      </c>
      <c r="H532" s="167" t="s">
        <v>695</v>
      </c>
      <c r="I532" s="121"/>
      <c r="J532" s="403"/>
      <c r="K532" s="398"/>
      <c r="L532" s="403"/>
      <c r="M532" s="403"/>
      <c r="N532" s="403"/>
      <c r="O532" s="403"/>
      <c r="P532" s="403"/>
      <c r="Q532" s="403"/>
      <c r="R532" s="403"/>
      <c r="S532" s="403"/>
    </row>
    <row r="533" spans="6:19" x14ac:dyDescent="0.25">
      <c r="F533" s="167" t="s">
        <v>88</v>
      </c>
      <c r="G533" s="167" t="s">
        <v>186</v>
      </c>
      <c r="H533" s="167" t="s">
        <v>695</v>
      </c>
      <c r="I533" s="121"/>
      <c r="J533" s="403"/>
      <c r="K533" s="398"/>
      <c r="L533" s="403"/>
      <c r="M533" s="403"/>
      <c r="N533" s="403"/>
      <c r="O533" s="403"/>
      <c r="P533" s="403"/>
      <c r="Q533" s="403"/>
      <c r="R533" s="403"/>
      <c r="S533" s="403"/>
    </row>
    <row r="534" spans="6:19" x14ac:dyDescent="0.25">
      <c r="F534" s="167" t="s">
        <v>89</v>
      </c>
      <c r="G534" s="167" t="s">
        <v>186</v>
      </c>
      <c r="H534" s="167" t="s">
        <v>695</v>
      </c>
      <c r="I534" s="121"/>
      <c r="J534" s="403"/>
      <c r="K534" s="398"/>
      <c r="L534" s="403"/>
      <c r="M534" s="403"/>
      <c r="N534" s="403"/>
      <c r="O534" s="403"/>
      <c r="P534" s="403"/>
      <c r="Q534" s="403"/>
      <c r="R534" s="403"/>
      <c r="S534" s="403"/>
    </row>
    <row r="535" spans="6:19" x14ac:dyDescent="0.25">
      <c r="F535" s="167" t="s">
        <v>90</v>
      </c>
      <c r="G535" s="167" t="s">
        <v>186</v>
      </c>
      <c r="H535" s="167" t="s">
        <v>695</v>
      </c>
      <c r="I535" s="121"/>
      <c r="J535" s="403"/>
      <c r="K535" s="398"/>
      <c r="L535" s="403"/>
      <c r="M535" s="403"/>
      <c r="N535" s="403"/>
      <c r="O535" s="403"/>
      <c r="P535" s="403"/>
      <c r="Q535" s="403"/>
      <c r="R535" s="403"/>
      <c r="S535" s="403"/>
    </row>
    <row r="536" spans="6:19" x14ac:dyDescent="0.25">
      <c r="F536" s="167" t="s">
        <v>62</v>
      </c>
      <c r="G536" s="167" t="s">
        <v>186</v>
      </c>
      <c r="H536" s="167" t="s">
        <v>695</v>
      </c>
      <c r="I536" s="121"/>
      <c r="J536" s="403"/>
      <c r="K536" s="398"/>
      <c r="L536" s="403"/>
      <c r="M536" s="403"/>
      <c r="N536" s="403"/>
      <c r="O536" s="403"/>
      <c r="P536" s="403"/>
      <c r="Q536" s="403"/>
      <c r="R536" s="403"/>
      <c r="S536" s="403"/>
    </row>
    <row r="537" spans="6:19" x14ac:dyDescent="0.25">
      <c r="F537" s="167" t="s">
        <v>63</v>
      </c>
      <c r="G537" s="167" t="s">
        <v>186</v>
      </c>
      <c r="H537" s="167" t="s">
        <v>695</v>
      </c>
      <c r="I537" s="121"/>
      <c r="J537" s="403"/>
      <c r="K537" s="398"/>
      <c r="L537" s="403"/>
      <c r="M537" s="403"/>
      <c r="N537" s="403"/>
      <c r="O537" s="403"/>
      <c r="P537" s="403"/>
      <c r="Q537" s="403"/>
      <c r="R537" s="403"/>
      <c r="S537" s="403"/>
    </row>
    <row r="538" spans="6:19" x14ac:dyDescent="0.25">
      <c r="F538" s="167" t="s">
        <v>64</v>
      </c>
      <c r="G538" s="167" t="s">
        <v>186</v>
      </c>
      <c r="H538" s="167" t="s">
        <v>695</v>
      </c>
      <c r="I538" s="121"/>
      <c r="J538" s="403"/>
      <c r="K538" s="398"/>
      <c r="L538" s="403"/>
      <c r="M538" s="403"/>
      <c r="N538" s="403"/>
      <c r="O538" s="403"/>
      <c r="P538" s="403"/>
      <c r="Q538" s="403"/>
      <c r="R538" s="403"/>
      <c r="S538" s="403"/>
    </row>
    <row r="539" spans="6:19" x14ac:dyDescent="0.25">
      <c r="F539" s="167" t="s">
        <v>65</v>
      </c>
      <c r="G539" s="167" t="s">
        <v>186</v>
      </c>
      <c r="H539" s="167" t="s">
        <v>695</v>
      </c>
      <c r="I539" s="121"/>
      <c r="J539" s="403"/>
      <c r="K539" s="398"/>
      <c r="L539" s="403"/>
      <c r="M539" s="403"/>
      <c r="N539" s="403"/>
      <c r="O539" s="403"/>
      <c r="P539" s="403"/>
      <c r="Q539" s="403"/>
      <c r="R539" s="403"/>
      <c r="S539" s="403"/>
    </row>
    <row r="540" spans="6:19" x14ac:dyDescent="0.25">
      <c r="F540" s="167" t="s">
        <v>66</v>
      </c>
      <c r="G540" s="167" t="s">
        <v>186</v>
      </c>
      <c r="H540" s="167" t="s">
        <v>695</v>
      </c>
      <c r="I540" s="121"/>
      <c r="J540" s="403"/>
      <c r="K540" s="398"/>
      <c r="L540" s="403"/>
      <c r="M540" s="403"/>
      <c r="N540" s="403"/>
      <c r="O540" s="403"/>
      <c r="P540" s="403"/>
      <c r="Q540" s="403"/>
      <c r="R540" s="403"/>
      <c r="S540" s="403"/>
    </row>
    <row r="541" spans="6:19" x14ac:dyDescent="0.25">
      <c r="F541" s="167" t="s">
        <v>67</v>
      </c>
      <c r="G541" s="167" t="s">
        <v>186</v>
      </c>
      <c r="H541" s="167" t="s">
        <v>695</v>
      </c>
      <c r="I541" s="121"/>
      <c r="J541" s="403"/>
      <c r="K541" s="398"/>
      <c r="L541" s="403"/>
      <c r="M541" s="403"/>
      <c r="N541" s="403"/>
      <c r="O541" s="403"/>
      <c r="P541" s="403"/>
      <c r="Q541" s="403"/>
      <c r="R541" s="403"/>
      <c r="S541" s="403"/>
    </row>
    <row r="542" spans="6:19" x14ac:dyDescent="0.25">
      <c r="F542" s="167" t="s">
        <v>68</v>
      </c>
      <c r="G542" s="167" t="s">
        <v>186</v>
      </c>
      <c r="H542" s="167" t="s">
        <v>695</v>
      </c>
      <c r="I542" s="121"/>
      <c r="J542" s="403"/>
      <c r="K542" s="398"/>
      <c r="L542" s="403"/>
      <c r="M542" s="403"/>
      <c r="N542" s="403"/>
      <c r="O542" s="403"/>
      <c r="P542" s="403"/>
      <c r="Q542" s="403"/>
      <c r="R542" s="403"/>
      <c r="S542" s="403"/>
    </row>
    <row r="543" spans="6:19" x14ac:dyDescent="0.25">
      <c r="F543" s="167" t="s">
        <v>69</v>
      </c>
      <c r="G543" s="167" t="s">
        <v>186</v>
      </c>
      <c r="H543" s="167" t="s">
        <v>695</v>
      </c>
      <c r="I543" s="121"/>
      <c r="J543" s="403"/>
      <c r="K543" s="398"/>
      <c r="L543" s="403"/>
      <c r="M543" s="403"/>
      <c r="N543" s="403"/>
      <c r="O543" s="403"/>
      <c r="P543" s="403"/>
      <c r="Q543" s="403"/>
      <c r="R543" s="403"/>
      <c r="S543" s="403"/>
    </row>
    <row r="544" spans="6:19" x14ac:dyDescent="0.25">
      <c r="F544" s="167" t="s">
        <v>70</v>
      </c>
      <c r="G544" s="167" t="s">
        <v>186</v>
      </c>
      <c r="H544" s="167" t="s">
        <v>695</v>
      </c>
      <c r="I544" s="121"/>
      <c r="J544" s="403"/>
      <c r="K544" s="398"/>
      <c r="L544" s="403"/>
      <c r="M544" s="403"/>
      <c r="N544" s="403"/>
      <c r="O544" s="403"/>
      <c r="P544" s="403"/>
      <c r="Q544" s="403"/>
      <c r="R544" s="403"/>
      <c r="S544" s="403"/>
    </row>
    <row r="545" spans="5:19" x14ac:dyDescent="0.25">
      <c r="F545" s="167" t="s">
        <v>71</v>
      </c>
      <c r="G545" s="167" t="s">
        <v>186</v>
      </c>
      <c r="H545" s="167" t="s">
        <v>695</v>
      </c>
      <c r="I545" s="121"/>
      <c r="J545" s="403"/>
      <c r="K545" s="398"/>
      <c r="L545" s="403"/>
      <c r="M545" s="403"/>
      <c r="N545" s="403"/>
      <c r="O545" s="403"/>
      <c r="P545" s="403"/>
      <c r="Q545" s="403"/>
      <c r="R545" s="403"/>
      <c r="S545" s="403"/>
    </row>
    <row r="546" spans="5:19" x14ac:dyDescent="0.25">
      <c r="F546" s="167" t="s">
        <v>74</v>
      </c>
      <c r="G546" s="167" t="s">
        <v>186</v>
      </c>
      <c r="H546" s="167" t="s">
        <v>695</v>
      </c>
      <c r="I546" s="121"/>
      <c r="J546" s="403"/>
      <c r="K546" s="398"/>
      <c r="L546" s="403"/>
      <c r="M546" s="403"/>
      <c r="N546" s="403"/>
      <c r="O546" s="403"/>
      <c r="P546" s="403"/>
      <c r="Q546" s="403"/>
      <c r="R546" s="403"/>
      <c r="S546" s="403"/>
    </row>
    <row r="547" spans="5:19" x14ac:dyDescent="0.25">
      <c r="F547" s="167" t="s">
        <v>75</v>
      </c>
      <c r="G547" s="167" t="s">
        <v>186</v>
      </c>
      <c r="H547" s="167" t="s">
        <v>695</v>
      </c>
      <c r="I547" s="121"/>
      <c r="J547" s="403"/>
      <c r="K547" s="398"/>
      <c r="L547" s="403"/>
      <c r="M547" s="403"/>
      <c r="N547" s="403"/>
      <c r="O547" s="403"/>
      <c r="P547" s="403"/>
      <c r="Q547" s="403"/>
      <c r="R547" s="403"/>
      <c r="S547" s="403"/>
    </row>
    <row r="548" spans="5:19" x14ac:dyDescent="0.25">
      <c r="F548" s="167" t="s">
        <v>76</v>
      </c>
      <c r="G548" s="167" t="s">
        <v>186</v>
      </c>
      <c r="H548" s="167" t="s">
        <v>695</v>
      </c>
      <c r="I548" s="121"/>
      <c r="J548" s="403"/>
      <c r="K548" s="398"/>
      <c r="L548" s="403"/>
      <c r="M548" s="403"/>
      <c r="N548" s="403"/>
      <c r="O548" s="403"/>
      <c r="P548" s="403"/>
      <c r="Q548" s="403"/>
      <c r="R548" s="403"/>
      <c r="S548" s="403"/>
    </row>
    <row r="549" spans="5:19" x14ac:dyDescent="0.25">
      <c r="F549" s="168" t="s">
        <v>77</v>
      </c>
      <c r="G549" s="168" t="s">
        <v>186</v>
      </c>
      <c r="H549" s="168" t="s">
        <v>695</v>
      </c>
      <c r="I549" s="262"/>
      <c r="J549" s="404"/>
      <c r="K549" s="400"/>
      <c r="L549" s="404"/>
      <c r="M549" s="404"/>
      <c r="N549" s="404"/>
      <c r="O549" s="404"/>
      <c r="P549" s="404"/>
      <c r="Q549" s="404"/>
      <c r="R549" s="404"/>
      <c r="S549" s="404"/>
    </row>
    <row r="550" spans="5:19" x14ac:dyDescent="0.25">
      <c r="J550" s="401"/>
      <c r="K550" s="401"/>
      <c r="L550" s="401"/>
      <c r="M550" s="401"/>
      <c r="N550" s="401"/>
      <c r="O550" s="401"/>
      <c r="P550" s="401"/>
      <c r="Q550" s="401"/>
      <c r="R550" s="401"/>
      <c r="S550" s="401"/>
    </row>
    <row r="551" spans="5:19" x14ac:dyDescent="0.25">
      <c r="E551" s="261" t="s">
        <v>332</v>
      </c>
      <c r="J551" s="401"/>
      <c r="K551" s="401"/>
      <c r="L551" s="401"/>
      <c r="M551" s="401"/>
      <c r="N551" s="401"/>
      <c r="O551" s="401"/>
      <c r="P551" s="401"/>
      <c r="Q551" s="401"/>
      <c r="R551" s="401"/>
      <c r="S551" s="401"/>
    </row>
    <row r="552" spans="5:19" x14ac:dyDescent="0.25">
      <c r="F552" s="166" t="s">
        <v>52</v>
      </c>
      <c r="G552" s="166" t="s">
        <v>187</v>
      </c>
      <c r="H552" s="166" t="s">
        <v>695</v>
      </c>
      <c r="I552" s="201"/>
      <c r="J552" s="402"/>
      <c r="K552" s="396"/>
      <c r="L552" s="402"/>
      <c r="M552" s="402"/>
      <c r="N552" s="402"/>
      <c r="O552" s="402"/>
      <c r="P552" s="402"/>
      <c r="Q552" s="402"/>
      <c r="R552" s="402"/>
      <c r="S552" s="402"/>
    </row>
    <row r="553" spans="5:19" x14ac:dyDescent="0.25">
      <c r="F553" s="167" t="s">
        <v>53</v>
      </c>
      <c r="G553" s="167" t="s">
        <v>187</v>
      </c>
      <c r="H553" s="167" t="s">
        <v>695</v>
      </c>
      <c r="I553" s="121"/>
      <c r="J553" s="403"/>
      <c r="K553" s="398"/>
      <c r="L553" s="403"/>
      <c r="M553" s="403"/>
      <c r="N553" s="403"/>
      <c r="O553" s="403"/>
      <c r="P553" s="403"/>
      <c r="Q553" s="403"/>
      <c r="R553" s="403"/>
      <c r="S553" s="403"/>
    </row>
    <row r="554" spans="5:19" x14ac:dyDescent="0.25">
      <c r="F554" s="167" t="s">
        <v>84</v>
      </c>
      <c r="G554" s="167" t="s">
        <v>187</v>
      </c>
      <c r="H554" s="167" t="s">
        <v>695</v>
      </c>
      <c r="I554" s="121"/>
      <c r="J554" s="403"/>
      <c r="K554" s="398"/>
      <c r="L554" s="403"/>
      <c r="M554" s="403"/>
      <c r="N554" s="403"/>
      <c r="O554" s="403"/>
      <c r="P554" s="403"/>
      <c r="Q554" s="403"/>
      <c r="R554" s="403"/>
      <c r="S554" s="403"/>
    </row>
    <row r="555" spans="5:19" x14ac:dyDescent="0.25">
      <c r="F555" s="167" t="s">
        <v>54</v>
      </c>
      <c r="G555" s="167" t="s">
        <v>187</v>
      </c>
      <c r="H555" s="167" t="s">
        <v>695</v>
      </c>
      <c r="I555" s="121"/>
      <c r="J555" s="403"/>
      <c r="K555" s="398"/>
      <c r="L555" s="403"/>
      <c r="M555" s="403"/>
      <c r="N555" s="403"/>
      <c r="O555" s="403"/>
      <c r="P555" s="403"/>
      <c r="Q555" s="403"/>
      <c r="R555" s="403"/>
      <c r="S555" s="403"/>
    </row>
    <row r="556" spans="5:19" x14ac:dyDescent="0.25">
      <c r="F556" s="167" t="s">
        <v>55</v>
      </c>
      <c r="G556" s="167" t="s">
        <v>187</v>
      </c>
      <c r="H556" s="167" t="s">
        <v>695</v>
      </c>
      <c r="I556" s="121"/>
      <c r="J556" s="403"/>
      <c r="K556" s="398"/>
      <c r="L556" s="403"/>
      <c r="M556" s="403"/>
      <c r="N556" s="403"/>
      <c r="O556" s="403"/>
      <c r="P556" s="403"/>
      <c r="Q556" s="403"/>
      <c r="R556" s="403"/>
      <c r="S556" s="403"/>
    </row>
    <row r="557" spans="5:19" x14ac:dyDescent="0.25">
      <c r="F557" s="167" t="s">
        <v>85</v>
      </c>
      <c r="G557" s="167" t="s">
        <v>187</v>
      </c>
      <c r="H557" s="167" t="s">
        <v>695</v>
      </c>
      <c r="I557" s="121"/>
      <c r="J557" s="403"/>
      <c r="K557" s="398"/>
      <c r="L557" s="403"/>
      <c r="M557" s="403"/>
      <c r="N557" s="403"/>
      <c r="O557" s="403"/>
      <c r="P557" s="403"/>
      <c r="Q557" s="403"/>
      <c r="R557" s="403"/>
      <c r="S557" s="403"/>
    </row>
    <row r="558" spans="5:19" x14ac:dyDescent="0.25">
      <c r="F558" s="167" t="s">
        <v>56</v>
      </c>
      <c r="G558" s="167" t="s">
        <v>187</v>
      </c>
      <c r="H558" s="167" t="s">
        <v>695</v>
      </c>
      <c r="I558" s="121"/>
      <c r="J558" s="403"/>
      <c r="K558" s="398"/>
      <c r="L558" s="403"/>
      <c r="M558" s="403"/>
      <c r="N558" s="403"/>
      <c r="O558" s="403"/>
      <c r="P558" s="403"/>
      <c r="Q558" s="403"/>
      <c r="R558" s="403"/>
      <c r="S558" s="403"/>
    </row>
    <row r="559" spans="5:19" x14ac:dyDescent="0.25">
      <c r="F559" s="167" t="s">
        <v>57</v>
      </c>
      <c r="G559" s="167" t="s">
        <v>187</v>
      </c>
      <c r="H559" s="167" t="s">
        <v>695</v>
      </c>
      <c r="I559" s="121"/>
      <c r="J559" s="403"/>
      <c r="K559" s="398"/>
      <c r="L559" s="403"/>
      <c r="M559" s="403"/>
      <c r="N559" s="403"/>
      <c r="O559" s="403"/>
      <c r="P559" s="403"/>
      <c r="Q559" s="403"/>
      <c r="R559" s="403"/>
      <c r="S559" s="403"/>
    </row>
    <row r="560" spans="5:19" x14ac:dyDescent="0.25">
      <c r="F560" s="167" t="s">
        <v>72</v>
      </c>
      <c r="G560" s="167" t="s">
        <v>187</v>
      </c>
      <c r="H560" s="167" t="s">
        <v>695</v>
      </c>
      <c r="I560" s="121"/>
      <c r="J560" s="403"/>
      <c r="K560" s="398"/>
      <c r="L560" s="403"/>
      <c r="M560" s="403"/>
      <c r="N560" s="403"/>
      <c r="O560" s="403"/>
      <c r="P560" s="403"/>
      <c r="Q560" s="403"/>
      <c r="R560" s="403"/>
      <c r="S560" s="403"/>
    </row>
    <row r="561" spans="6:19" x14ac:dyDescent="0.25">
      <c r="F561" s="167" t="s">
        <v>58</v>
      </c>
      <c r="G561" s="167" t="s">
        <v>187</v>
      </c>
      <c r="H561" s="167" t="s">
        <v>695</v>
      </c>
      <c r="I561" s="121"/>
      <c r="J561" s="403"/>
      <c r="K561" s="398"/>
      <c r="L561" s="403"/>
      <c r="M561" s="403"/>
      <c r="N561" s="403"/>
      <c r="O561" s="403"/>
      <c r="P561" s="403"/>
      <c r="Q561" s="403"/>
      <c r="R561" s="403"/>
      <c r="S561" s="403"/>
    </row>
    <row r="562" spans="6:19" x14ac:dyDescent="0.25">
      <c r="F562" s="167" t="s">
        <v>59</v>
      </c>
      <c r="G562" s="167" t="s">
        <v>187</v>
      </c>
      <c r="H562" s="167" t="s">
        <v>695</v>
      </c>
      <c r="I562" s="121"/>
      <c r="J562" s="403"/>
      <c r="K562" s="398"/>
      <c r="L562" s="403"/>
      <c r="M562" s="403"/>
      <c r="N562" s="403"/>
      <c r="O562" s="403"/>
      <c r="P562" s="403"/>
      <c r="Q562" s="403"/>
      <c r="R562" s="403"/>
      <c r="S562" s="403"/>
    </row>
    <row r="563" spans="6:19" x14ac:dyDescent="0.25">
      <c r="F563" s="167" t="s">
        <v>60</v>
      </c>
      <c r="G563" s="167" t="s">
        <v>187</v>
      </c>
      <c r="H563" s="167" t="s">
        <v>695</v>
      </c>
      <c r="I563" s="121"/>
      <c r="J563" s="397">
        <f t="shared" ref="J563" si="36">CHOOSE(year_selection, L563,M563,N563,O563,P563,Q563,R563,S563)</f>
        <v>2049.8358140473201</v>
      </c>
      <c r="K563" s="398"/>
      <c r="L563" s="521">
        <v>0</v>
      </c>
      <c r="M563" s="521">
        <v>0</v>
      </c>
      <c r="N563" s="521">
        <v>278.12419342618222</v>
      </c>
      <c r="O563" s="521">
        <v>2049.8358140473201</v>
      </c>
      <c r="P563" s="521">
        <v>2397.98061866645</v>
      </c>
      <c r="Q563" s="521">
        <v>2746.1253832406123</v>
      </c>
      <c r="R563" s="521">
        <v>3094.2701478289969</v>
      </c>
      <c r="S563" s="521">
        <v>3442.4149124173814</v>
      </c>
    </row>
    <row r="564" spans="6:19" x14ac:dyDescent="0.25">
      <c r="F564" s="167" t="s">
        <v>61</v>
      </c>
      <c r="G564" s="167" t="s">
        <v>187</v>
      </c>
      <c r="H564" s="167" t="s">
        <v>695</v>
      </c>
      <c r="I564" s="121"/>
      <c r="J564" s="403"/>
      <c r="K564" s="398"/>
      <c r="L564" s="403"/>
      <c r="M564" s="403"/>
      <c r="N564" s="403"/>
      <c r="O564" s="403"/>
      <c r="P564" s="403"/>
      <c r="Q564" s="403"/>
      <c r="R564" s="403"/>
      <c r="S564" s="403"/>
    </row>
    <row r="565" spans="6:19" x14ac:dyDescent="0.25">
      <c r="F565" s="167" t="s">
        <v>73</v>
      </c>
      <c r="G565" s="167" t="s">
        <v>187</v>
      </c>
      <c r="H565" s="167" t="s">
        <v>695</v>
      </c>
      <c r="I565" s="121"/>
      <c r="J565" s="403"/>
      <c r="K565" s="398"/>
      <c r="L565" s="403"/>
      <c r="M565" s="403"/>
      <c r="N565" s="403"/>
      <c r="O565" s="403"/>
      <c r="P565" s="403"/>
      <c r="Q565" s="403"/>
      <c r="R565" s="403"/>
      <c r="S565" s="403"/>
    </row>
    <row r="566" spans="6:19" x14ac:dyDescent="0.25">
      <c r="F566" s="167" t="s">
        <v>86</v>
      </c>
      <c r="G566" s="167" t="s">
        <v>187</v>
      </c>
      <c r="H566" s="167" t="s">
        <v>695</v>
      </c>
      <c r="I566" s="121"/>
      <c r="J566" s="403"/>
      <c r="K566" s="398"/>
      <c r="L566" s="403"/>
      <c r="M566" s="403"/>
      <c r="N566" s="403"/>
      <c r="O566" s="403"/>
      <c r="P566" s="403"/>
      <c r="Q566" s="403"/>
      <c r="R566" s="403"/>
      <c r="S566" s="403"/>
    </row>
    <row r="567" spans="6:19" x14ac:dyDescent="0.25">
      <c r="F567" s="167" t="s">
        <v>87</v>
      </c>
      <c r="G567" s="167" t="s">
        <v>187</v>
      </c>
      <c r="H567" s="167" t="s">
        <v>695</v>
      </c>
      <c r="I567" s="121"/>
      <c r="J567" s="403"/>
      <c r="K567" s="398"/>
      <c r="L567" s="403"/>
      <c r="M567" s="403"/>
      <c r="N567" s="403"/>
      <c r="O567" s="403"/>
      <c r="P567" s="403"/>
      <c r="Q567" s="403"/>
      <c r="R567" s="403"/>
      <c r="S567" s="403"/>
    </row>
    <row r="568" spans="6:19" x14ac:dyDescent="0.25">
      <c r="F568" s="167" t="s">
        <v>88</v>
      </c>
      <c r="G568" s="167" t="s">
        <v>187</v>
      </c>
      <c r="H568" s="167" t="s">
        <v>695</v>
      </c>
      <c r="I568" s="121"/>
      <c r="J568" s="403"/>
      <c r="K568" s="398"/>
      <c r="L568" s="403"/>
      <c r="M568" s="403"/>
      <c r="N568" s="403"/>
      <c r="O568" s="403"/>
      <c r="P568" s="403"/>
      <c r="Q568" s="403"/>
      <c r="R568" s="403"/>
      <c r="S568" s="403"/>
    </row>
    <row r="569" spans="6:19" x14ac:dyDescent="0.25">
      <c r="F569" s="167" t="s">
        <v>89</v>
      </c>
      <c r="G569" s="167" t="s">
        <v>187</v>
      </c>
      <c r="H569" s="167" t="s">
        <v>695</v>
      </c>
      <c r="I569" s="121"/>
      <c r="J569" s="403"/>
      <c r="K569" s="398"/>
      <c r="L569" s="403"/>
      <c r="M569" s="403"/>
      <c r="N569" s="403"/>
      <c r="O569" s="403"/>
      <c r="P569" s="403"/>
      <c r="Q569" s="403"/>
      <c r="R569" s="403"/>
      <c r="S569" s="403"/>
    </row>
    <row r="570" spans="6:19" x14ac:dyDescent="0.25">
      <c r="F570" s="167" t="s">
        <v>90</v>
      </c>
      <c r="G570" s="167" t="s">
        <v>187</v>
      </c>
      <c r="H570" s="167" t="s">
        <v>695</v>
      </c>
      <c r="I570" s="121"/>
      <c r="J570" s="403"/>
      <c r="K570" s="398"/>
      <c r="L570" s="403"/>
      <c r="M570" s="403"/>
      <c r="N570" s="403"/>
      <c r="O570" s="403"/>
      <c r="P570" s="403"/>
      <c r="Q570" s="403"/>
      <c r="R570" s="403"/>
      <c r="S570" s="403"/>
    </row>
    <row r="571" spans="6:19" x14ac:dyDescent="0.25">
      <c r="F571" s="167" t="s">
        <v>62</v>
      </c>
      <c r="G571" s="167" t="s">
        <v>187</v>
      </c>
      <c r="H571" s="167" t="s">
        <v>695</v>
      </c>
      <c r="I571" s="121"/>
      <c r="J571" s="403"/>
      <c r="K571" s="398"/>
      <c r="L571" s="403"/>
      <c r="M571" s="403"/>
      <c r="N571" s="403"/>
      <c r="O571" s="403"/>
      <c r="P571" s="403"/>
      <c r="Q571" s="403"/>
      <c r="R571" s="403"/>
      <c r="S571" s="403"/>
    </row>
    <row r="572" spans="6:19" x14ac:dyDescent="0.25">
      <c r="F572" s="167" t="s">
        <v>63</v>
      </c>
      <c r="G572" s="167" t="s">
        <v>187</v>
      </c>
      <c r="H572" s="167" t="s">
        <v>695</v>
      </c>
      <c r="I572" s="121"/>
      <c r="J572" s="403"/>
      <c r="K572" s="398"/>
      <c r="L572" s="403"/>
      <c r="M572" s="403"/>
      <c r="N572" s="403"/>
      <c r="O572" s="403"/>
      <c r="P572" s="403"/>
      <c r="Q572" s="403"/>
      <c r="R572" s="403"/>
      <c r="S572" s="403"/>
    </row>
    <row r="573" spans="6:19" x14ac:dyDescent="0.25">
      <c r="F573" s="167" t="s">
        <v>64</v>
      </c>
      <c r="G573" s="167" t="s">
        <v>187</v>
      </c>
      <c r="H573" s="167" t="s">
        <v>695</v>
      </c>
      <c r="I573" s="121"/>
      <c r="J573" s="397">
        <f t="shared" ref="J573" si="37">CHOOSE(year_selection, L573,M573,N573,O573,P573,Q573,R573,S573)</f>
        <v>0</v>
      </c>
      <c r="K573" s="398"/>
      <c r="L573" s="521">
        <v>0</v>
      </c>
      <c r="M573" s="521">
        <v>0</v>
      </c>
      <c r="N573" s="521">
        <v>0</v>
      </c>
      <c r="O573" s="521">
        <v>0</v>
      </c>
      <c r="P573" s="521">
        <v>0</v>
      </c>
      <c r="Q573" s="521">
        <v>0</v>
      </c>
      <c r="R573" s="521">
        <v>0</v>
      </c>
      <c r="S573" s="521">
        <v>0</v>
      </c>
    </row>
    <row r="574" spans="6:19" x14ac:dyDescent="0.25">
      <c r="F574" s="167" t="s">
        <v>65</v>
      </c>
      <c r="G574" s="167" t="s">
        <v>187</v>
      </c>
      <c r="H574" s="167" t="s">
        <v>695</v>
      </c>
      <c r="I574" s="121"/>
      <c r="J574" s="403"/>
      <c r="K574" s="398"/>
      <c r="L574" s="403"/>
      <c r="M574" s="403"/>
      <c r="N574" s="403"/>
      <c r="O574" s="403"/>
      <c r="P574" s="403"/>
      <c r="Q574" s="403"/>
      <c r="R574" s="403"/>
      <c r="S574" s="403"/>
    </row>
    <row r="575" spans="6:19" x14ac:dyDescent="0.25">
      <c r="F575" s="167" t="s">
        <v>66</v>
      </c>
      <c r="G575" s="167" t="s">
        <v>187</v>
      </c>
      <c r="H575" s="167" t="s">
        <v>695</v>
      </c>
      <c r="I575" s="121"/>
      <c r="J575" s="397">
        <f t="shared" ref="J575" si="38">CHOOSE(year_selection, L575,M575,N575,O575,P575,Q575,R575,S575)</f>
        <v>0</v>
      </c>
      <c r="K575" s="398"/>
      <c r="L575" s="521">
        <v>0</v>
      </c>
      <c r="M575" s="521">
        <v>0</v>
      </c>
      <c r="N575" s="521">
        <v>0</v>
      </c>
      <c r="O575" s="521">
        <v>0</v>
      </c>
      <c r="P575" s="521">
        <v>0</v>
      </c>
      <c r="Q575" s="521">
        <v>0</v>
      </c>
      <c r="R575" s="521">
        <v>0</v>
      </c>
      <c r="S575" s="521">
        <v>0</v>
      </c>
    </row>
    <row r="576" spans="6:19" x14ac:dyDescent="0.25">
      <c r="F576" s="167" t="s">
        <v>67</v>
      </c>
      <c r="G576" s="167" t="s">
        <v>187</v>
      </c>
      <c r="H576" s="167" t="s">
        <v>695</v>
      </c>
      <c r="I576" s="121"/>
      <c r="J576" s="403"/>
      <c r="K576" s="398"/>
      <c r="L576" s="403"/>
      <c r="M576" s="403"/>
      <c r="N576" s="403"/>
      <c r="O576" s="403"/>
      <c r="P576" s="403"/>
      <c r="Q576" s="403"/>
      <c r="R576" s="403"/>
      <c r="S576" s="403"/>
    </row>
    <row r="577" spans="3:21" x14ac:dyDescent="0.25">
      <c r="F577" s="167" t="s">
        <v>68</v>
      </c>
      <c r="G577" s="167" t="s">
        <v>187</v>
      </c>
      <c r="H577" s="167" t="s">
        <v>695</v>
      </c>
      <c r="I577" s="121"/>
      <c r="J577" s="403"/>
      <c r="K577" s="398"/>
      <c r="L577" s="403"/>
      <c r="M577" s="403"/>
      <c r="N577" s="403"/>
      <c r="O577" s="403"/>
      <c r="P577" s="403"/>
      <c r="Q577" s="403"/>
      <c r="R577" s="403"/>
      <c r="S577" s="403"/>
    </row>
    <row r="578" spans="3:21" x14ac:dyDescent="0.25">
      <c r="F578" s="167" t="s">
        <v>69</v>
      </c>
      <c r="G578" s="167" t="s">
        <v>187</v>
      </c>
      <c r="H578" s="167" t="s">
        <v>695</v>
      </c>
      <c r="I578" s="121"/>
      <c r="J578" s="403"/>
      <c r="K578" s="398"/>
      <c r="L578" s="403"/>
      <c r="M578" s="403"/>
      <c r="N578" s="403"/>
      <c r="O578" s="403"/>
      <c r="P578" s="403"/>
      <c r="Q578" s="403"/>
      <c r="R578" s="403"/>
      <c r="S578" s="403"/>
    </row>
    <row r="579" spans="3:21" x14ac:dyDescent="0.25">
      <c r="F579" s="167" t="s">
        <v>70</v>
      </c>
      <c r="G579" s="167" t="s">
        <v>187</v>
      </c>
      <c r="H579" s="167" t="s">
        <v>695</v>
      </c>
      <c r="I579" s="121"/>
      <c r="J579" s="403"/>
      <c r="K579" s="398"/>
      <c r="L579" s="403"/>
      <c r="M579" s="403"/>
      <c r="N579" s="403"/>
      <c r="O579" s="403"/>
      <c r="P579" s="403"/>
      <c r="Q579" s="403"/>
      <c r="R579" s="403"/>
      <c r="S579" s="403"/>
    </row>
    <row r="580" spans="3:21" x14ac:dyDescent="0.25">
      <c r="F580" s="167" t="s">
        <v>71</v>
      </c>
      <c r="G580" s="167" t="s">
        <v>187</v>
      </c>
      <c r="H580" s="167" t="s">
        <v>695</v>
      </c>
      <c r="I580" s="121"/>
      <c r="J580" s="403"/>
      <c r="K580" s="398"/>
      <c r="L580" s="403"/>
      <c r="M580" s="403"/>
      <c r="N580" s="403"/>
      <c r="O580" s="403"/>
      <c r="P580" s="403"/>
      <c r="Q580" s="403"/>
      <c r="R580" s="403"/>
      <c r="S580" s="403"/>
    </row>
    <row r="581" spans="3:21" x14ac:dyDescent="0.25">
      <c r="F581" s="167" t="s">
        <v>74</v>
      </c>
      <c r="G581" s="167" t="s">
        <v>187</v>
      </c>
      <c r="H581" s="167" t="s">
        <v>695</v>
      </c>
      <c r="I581" s="121"/>
      <c r="J581" s="403"/>
      <c r="K581" s="398"/>
      <c r="L581" s="403"/>
      <c r="M581" s="403"/>
      <c r="N581" s="403"/>
      <c r="O581" s="403"/>
      <c r="P581" s="403"/>
      <c r="Q581" s="403"/>
      <c r="R581" s="403"/>
      <c r="S581" s="403"/>
    </row>
    <row r="582" spans="3:21" x14ac:dyDescent="0.25">
      <c r="F582" s="167" t="s">
        <v>75</v>
      </c>
      <c r="G582" s="167" t="s">
        <v>187</v>
      </c>
      <c r="H582" s="167" t="s">
        <v>695</v>
      </c>
      <c r="I582" s="121"/>
      <c r="J582" s="403"/>
      <c r="K582" s="398"/>
      <c r="L582" s="403"/>
      <c r="M582" s="403"/>
      <c r="N582" s="403"/>
      <c r="O582" s="403"/>
      <c r="P582" s="403"/>
      <c r="Q582" s="403"/>
      <c r="R582" s="403"/>
      <c r="S582" s="403"/>
    </row>
    <row r="583" spans="3:21" x14ac:dyDescent="0.25">
      <c r="F583" s="167" t="s">
        <v>76</v>
      </c>
      <c r="G583" s="167" t="s">
        <v>187</v>
      </c>
      <c r="H583" s="167" t="s">
        <v>695</v>
      </c>
      <c r="I583" s="121"/>
      <c r="J583" s="403"/>
      <c r="K583" s="398"/>
      <c r="L583" s="403"/>
      <c r="M583" s="403"/>
      <c r="N583" s="403"/>
      <c r="O583" s="403"/>
      <c r="P583" s="403"/>
      <c r="Q583" s="403"/>
      <c r="R583" s="403"/>
      <c r="S583" s="403"/>
    </row>
    <row r="584" spans="3:21" x14ac:dyDescent="0.25">
      <c r="F584" s="168" t="s">
        <v>77</v>
      </c>
      <c r="G584" s="168" t="s">
        <v>187</v>
      </c>
      <c r="H584" s="168" t="s">
        <v>695</v>
      </c>
      <c r="I584" s="262"/>
      <c r="J584" s="404"/>
      <c r="K584" s="400"/>
      <c r="L584" s="404"/>
      <c r="M584" s="404"/>
      <c r="N584" s="404"/>
      <c r="O584" s="404"/>
      <c r="P584" s="404"/>
      <c r="Q584" s="404"/>
      <c r="R584" s="404"/>
      <c r="S584" s="404"/>
    </row>
    <row r="585" spans="3:21" x14ac:dyDescent="0.25">
      <c r="J585" s="401"/>
      <c r="K585" s="401"/>
      <c r="L585" s="401"/>
      <c r="M585" s="401"/>
      <c r="N585" s="401"/>
      <c r="O585" s="401"/>
      <c r="P585" s="401"/>
      <c r="Q585" s="401"/>
      <c r="R585" s="401"/>
      <c r="S585" s="401"/>
    </row>
    <row r="586" spans="3:21" x14ac:dyDescent="0.25">
      <c r="C586" s="22" t="str">
        <f ca="1">INDEX('Version control'!$H$34:$H$59,MATCH($A$1,'Version control'!$F$34:$F$59,0),1)&amp;"-E: LDNO HV volumes"</f>
        <v>Input 501-E: LDNO HV volumes</v>
      </c>
      <c r="D586" s="22"/>
      <c r="E586" s="22"/>
      <c r="F586" s="22"/>
      <c r="G586" s="22"/>
      <c r="H586" s="22"/>
      <c r="I586" s="296"/>
      <c r="J586" s="406"/>
      <c r="K586" s="406"/>
      <c r="L586" s="406"/>
      <c r="M586" s="406"/>
      <c r="N586" s="406"/>
      <c r="O586" s="406"/>
      <c r="P586" s="406"/>
      <c r="Q586" s="406"/>
      <c r="R586" s="406"/>
      <c r="S586" s="406"/>
      <c r="T586" s="22"/>
      <c r="U586" s="22"/>
    </row>
    <row r="587" spans="3:21" x14ac:dyDescent="0.25">
      <c r="D587" s="172"/>
    </row>
    <row r="588" spans="3:21" x14ac:dyDescent="0.25">
      <c r="E588" s="261" t="s">
        <v>327</v>
      </c>
      <c r="I588" s="200" t="s">
        <v>525</v>
      </c>
      <c r="J588" s="401"/>
      <c r="K588" s="401"/>
      <c r="L588" s="401"/>
      <c r="M588" s="401"/>
      <c r="N588" s="401"/>
      <c r="O588" s="401"/>
      <c r="P588" s="401"/>
      <c r="Q588" s="401"/>
      <c r="R588" s="401"/>
      <c r="S588" s="401"/>
      <c r="U588" s="160" t="s">
        <v>939</v>
      </c>
    </row>
    <row r="589" spans="3:21" x14ac:dyDescent="0.25">
      <c r="F589" s="166" t="s">
        <v>52</v>
      </c>
      <c r="G589" s="166" t="s">
        <v>137</v>
      </c>
      <c r="H589" s="166" t="s">
        <v>696</v>
      </c>
      <c r="I589" s="201"/>
      <c r="J589" s="395">
        <f t="shared" ref="J589:J620" si="39">CHOOSE(year_selection, L589,M589,N589,O589,P589,Q589,R589,S589)</f>
        <v>128042.06247445293</v>
      </c>
      <c r="K589" s="396"/>
      <c r="L589" s="520">
        <v>39256.70590186245</v>
      </c>
      <c r="M589" s="520">
        <v>45455.43694004431</v>
      </c>
      <c r="N589" s="520">
        <v>90061.084266956866</v>
      </c>
      <c r="O589" s="520">
        <v>128042.06247445293</v>
      </c>
      <c r="P589" s="520">
        <v>132467.95434755532</v>
      </c>
      <c r="Q589" s="520">
        <v>136041.40003969462</v>
      </c>
      <c r="R589" s="520">
        <v>139369.51909665181</v>
      </c>
      <c r="S589" s="520">
        <v>142697.63815360898</v>
      </c>
    </row>
    <row r="590" spans="3:21" x14ac:dyDescent="0.25">
      <c r="F590" s="167" t="s">
        <v>53</v>
      </c>
      <c r="G590" s="167" t="s">
        <v>137</v>
      </c>
      <c r="H590" s="167" t="s">
        <v>696</v>
      </c>
      <c r="I590" s="121"/>
      <c r="J590" s="397">
        <f t="shared" si="39"/>
        <v>9961.5917488090909</v>
      </c>
      <c r="K590" s="398"/>
      <c r="L590" s="521">
        <v>1696.1648784074382</v>
      </c>
      <c r="M590" s="521">
        <v>1523.7278305179584</v>
      </c>
      <c r="N590" s="521">
        <v>2878.5152682712942</v>
      </c>
      <c r="O590" s="521">
        <v>9961.5917488090909</v>
      </c>
      <c r="P590" s="521">
        <v>12839.976279648617</v>
      </c>
      <c r="Q590" s="521">
        <v>15718.360805124168</v>
      </c>
      <c r="R590" s="521">
        <v>18596.745330576076</v>
      </c>
      <c r="S590" s="521">
        <v>21475.129856027983</v>
      </c>
    </row>
    <row r="591" spans="3:21" x14ac:dyDescent="0.25">
      <c r="F591" s="167" t="s">
        <v>84</v>
      </c>
      <c r="G591" s="167" t="s">
        <v>137</v>
      </c>
      <c r="H591" s="167" t="s">
        <v>696</v>
      </c>
      <c r="I591" s="121"/>
      <c r="J591" s="397">
        <f t="shared" si="39"/>
        <v>1642.8229351986647</v>
      </c>
      <c r="K591" s="398"/>
      <c r="L591" s="521">
        <v>0</v>
      </c>
      <c r="M591" s="521">
        <v>0</v>
      </c>
      <c r="N591" s="521">
        <v>1859.4475581862614</v>
      </c>
      <c r="O591" s="521">
        <v>1642.8229351986647</v>
      </c>
      <c r="P591" s="521">
        <v>1643.2313783927532</v>
      </c>
      <c r="Q591" s="521">
        <v>1643.6398215949737</v>
      </c>
      <c r="R591" s="521">
        <v>1644.0482647971521</v>
      </c>
      <c r="S591" s="521">
        <v>1644.4567079993305</v>
      </c>
    </row>
    <row r="592" spans="3:21" x14ac:dyDescent="0.25">
      <c r="F592" s="167" t="s">
        <v>54</v>
      </c>
      <c r="G592" s="167" t="s">
        <v>137</v>
      </c>
      <c r="H592" s="167" t="s">
        <v>696</v>
      </c>
      <c r="I592" s="121"/>
      <c r="J592" s="397">
        <f t="shared" si="39"/>
        <v>25404.549211144709</v>
      </c>
      <c r="K592" s="398"/>
      <c r="L592" s="521">
        <v>4689.6847886399883</v>
      </c>
      <c r="M592" s="521">
        <v>5439.2107604684898</v>
      </c>
      <c r="N592" s="521">
        <v>10960.531783306285</v>
      </c>
      <c r="O592" s="521">
        <v>25404.549211144709</v>
      </c>
      <c r="P592" s="521">
        <v>30579.91449433281</v>
      </c>
      <c r="Q592" s="521">
        <v>35755.279679791034</v>
      </c>
      <c r="R592" s="521">
        <v>40930.64486514857</v>
      </c>
      <c r="S592" s="521">
        <v>46106.010050506105</v>
      </c>
    </row>
    <row r="593" spans="6:19" x14ac:dyDescent="0.25">
      <c r="F593" s="167" t="s">
        <v>55</v>
      </c>
      <c r="G593" s="167" t="s">
        <v>137</v>
      </c>
      <c r="H593" s="167" t="s">
        <v>696</v>
      </c>
      <c r="I593" s="121"/>
      <c r="J593" s="397">
        <f t="shared" si="39"/>
        <v>587.8029452604552</v>
      </c>
      <c r="K593" s="398"/>
      <c r="L593" s="521">
        <v>85.118220738107567</v>
      </c>
      <c r="M593" s="521">
        <v>187.47112356599456</v>
      </c>
      <c r="N593" s="521">
        <v>389.21707121494558</v>
      </c>
      <c r="O593" s="521">
        <v>587.8029452604552</v>
      </c>
      <c r="P593" s="521">
        <v>622.71741129999077</v>
      </c>
      <c r="Q593" s="521">
        <v>657.63187710546265</v>
      </c>
      <c r="R593" s="521">
        <v>692.54634291181867</v>
      </c>
      <c r="S593" s="521">
        <v>727.4608087181748</v>
      </c>
    </row>
    <row r="594" spans="6:19" x14ac:dyDescent="0.25">
      <c r="F594" s="167" t="s">
        <v>85</v>
      </c>
      <c r="G594" s="167" t="s">
        <v>137</v>
      </c>
      <c r="H594" s="167" t="s">
        <v>696</v>
      </c>
      <c r="I594" s="121"/>
      <c r="J594" s="397">
        <f t="shared" si="39"/>
        <v>0</v>
      </c>
      <c r="K594" s="398"/>
      <c r="L594" s="521">
        <v>0</v>
      </c>
      <c r="M594" s="521">
        <v>0</v>
      </c>
      <c r="N594" s="521">
        <v>0</v>
      </c>
      <c r="O594" s="521">
        <v>0</v>
      </c>
      <c r="P594" s="521">
        <v>0</v>
      </c>
      <c r="Q594" s="521">
        <v>0</v>
      </c>
      <c r="R594" s="521">
        <v>0</v>
      </c>
      <c r="S594" s="521">
        <v>0</v>
      </c>
    </row>
    <row r="595" spans="6:19" x14ac:dyDescent="0.25">
      <c r="F595" s="167" t="s">
        <v>56</v>
      </c>
      <c r="G595" s="167" t="s">
        <v>137</v>
      </c>
      <c r="H595" s="167" t="s">
        <v>696</v>
      </c>
      <c r="I595" s="121"/>
      <c r="J595" s="397">
        <f t="shared" si="39"/>
        <v>1375.6596426496874</v>
      </c>
      <c r="K595" s="398"/>
      <c r="L595" s="521">
        <v>2376.5646895005279</v>
      </c>
      <c r="M595" s="521">
        <v>0</v>
      </c>
      <c r="N595" s="521">
        <v>1891.0499646111512</v>
      </c>
      <c r="O595" s="521">
        <v>1375.6596426496874</v>
      </c>
      <c r="P595" s="521">
        <v>1375.6596426496874</v>
      </c>
      <c r="Q595" s="521">
        <v>1375.6596426496874</v>
      </c>
      <c r="R595" s="521">
        <v>1375.6596426496874</v>
      </c>
      <c r="S595" s="521">
        <v>1375.6596426496874</v>
      </c>
    </row>
    <row r="596" spans="6:19" x14ac:dyDescent="0.25">
      <c r="F596" s="167" t="s">
        <v>57</v>
      </c>
      <c r="G596" s="167" t="s">
        <v>137</v>
      </c>
      <c r="H596" s="167" t="s">
        <v>696</v>
      </c>
      <c r="I596" s="121"/>
      <c r="J596" s="403"/>
      <c r="K596" s="398"/>
      <c r="L596" s="403"/>
      <c r="M596" s="403"/>
      <c r="N596" s="403"/>
      <c r="O596" s="403"/>
      <c r="P596" s="403"/>
      <c r="Q596" s="403"/>
      <c r="R596" s="403"/>
      <c r="S596" s="403"/>
    </row>
    <row r="597" spans="6:19" x14ac:dyDescent="0.25">
      <c r="F597" s="167" t="s">
        <v>72</v>
      </c>
      <c r="G597" s="167" t="s">
        <v>137</v>
      </c>
      <c r="H597" s="167" t="s">
        <v>696</v>
      </c>
      <c r="I597" s="121"/>
      <c r="J597" s="403"/>
      <c r="K597" s="398"/>
      <c r="L597" s="403"/>
      <c r="M597" s="403"/>
      <c r="N597" s="403"/>
      <c r="O597" s="403"/>
      <c r="P597" s="403"/>
      <c r="Q597" s="403"/>
      <c r="R597" s="403"/>
      <c r="S597" s="403"/>
    </row>
    <row r="598" spans="6:19" x14ac:dyDescent="0.25">
      <c r="F598" s="167" t="s">
        <v>58</v>
      </c>
      <c r="G598" s="167" t="s">
        <v>137</v>
      </c>
      <c r="H598" s="167" t="s">
        <v>696</v>
      </c>
      <c r="I598" s="121"/>
      <c r="J598" s="397">
        <f t="shared" si="39"/>
        <v>0.22114678626725176</v>
      </c>
      <c r="K598" s="398"/>
      <c r="L598" s="521">
        <v>0</v>
      </c>
      <c r="M598" s="521">
        <v>0</v>
      </c>
      <c r="N598" s="521">
        <v>0</v>
      </c>
      <c r="O598" s="521">
        <v>0.22114678626725176</v>
      </c>
      <c r="P598" s="521">
        <v>0.22114678626725176</v>
      </c>
      <c r="Q598" s="521">
        <v>0.22114678626725176</v>
      </c>
      <c r="R598" s="521">
        <v>0.22114678626725176</v>
      </c>
      <c r="S598" s="521">
        <v>0.22114678626725176</v>
      </c>
    </row>
    <row r="599" spans="6:19" x14ac:dyDescent="0.25">
      <c r="F599" s="167" t="s">
        <v>59</v>
      </c>
      <c r="G599" s="167" t="s">
        <v>137</v>
      </c>
      <c r="H599" s="167" t="s">
        <v>696</v>
      </c>
      <c r="I599" s="121"/>
      <c r="J599" s="397">
        <f t="shared" si="39"/>
        <v>59.804498599573854</v>
      </c>
      <c r="K599" s="398"/>
      <c r="L599" s="521">
        <v>0</v>
      </c>
      <c r="M599" s="521">
        <v>239.8023864965387</v>
      </c>
      <c r="N599" s="521">
        <v>81.206508734286999</v>
      </c>
      <c r="O599" s="521">
        <v>59.804498599573854</v>
      </c>
      <c r="P599" s="521">
        <v>59.804498599573854</v>
      </c>
      <c r="Q599" s="521">
        <v>59.804498599573854</v>
      </c>
      <c r="R599" s="521">
        <v>59.804498599573854</v>
      </c>
      <c r="S599" s="521">
        <v>59.804498599573854</v>
      </c>
    </row>
    <row r="600" spans="6:19" x14ac:dyDescent="0.25">
      <c r="F600" s="167" t="s">
        <v>60</v>
      </c>
      <c r="G600" s="167" t="s">
        <v>137</v>
      </c>
      <c r="H600" s="167" t="s">
        <v>696</v>
      </c>
      <c r="I600" s="121"/>
      <c r="J600" s="397">
        <f t="shared" si="39"/>
        <v>8301.7540976715045</v>
      </c>
      <c r="K600" s="398"/>
      <c r="L600" s="521">
        <v>1992.8170123972645</v>
      </c>
      <c r="M600" s="521">
        <v>5254.5885226687051</v>
      </c>
      <c r="N600" s="521">
        <v>1392.8886042287181</v>
      </c>
      <c r="O600" s="521">
        <v>8301.7540976715045</v>
      </c>
      <c r="P600" s="521">
        <v>8301.7540976715045</v>
      </c>
      <c r="Q600" s="521">
        <v>8301.7540976715045</v>
      </c>
      <c r="R600" s="521">
        <v>8301.7540976715045</v>
      </c>
      <c r="S600" s="521">
        <v>8301.7540976715045</v>
      </c>
    </row>
    <row r="601" spans="6:19" x14ac:dyDescent="0.25">
      <c r="F601" s="167" t="s">
        <v>61</v>
      </c>
      <c r="G601" s="167" t="s">
        <v>137</v>
      </c>
      <c r="H601" s="167" t="s">
        <v>696</v>
      </c>
      <c r="I601" s="121"/>
      <c r="J601" s="397">
        <f t="shared" si="39"/>
        <v>8741.990979795848</v>
      </c>
      <c r="K601" s="398"/>
      <c r="L601" s="521">
        <v>0</v>
      </c>
      <c r="M601" s="521">
        <v>226.86288772029178</v>
      </c>
      <c r="N601" s="521">
        <v>819.5154802890321</v>
      </c>
      <c r="O601" s="521">
        <v>8741.990979795848</v>
      </c>
      <c r="P601" s="521">
        <v>12197.932650216024</v>
      </c>
      <c r="Q601" s="521">
        <v>15653.874424211042</v>
      </c>
      <c r="R601" s="521">
        <v>19109.816198360841</v>
      </c>
      <c r="S601" s="521">
        <v>22565.757972510633</v>
      </c>
    </row>
    <row r="602" spans="6:19" x14ac:dyDescent="0.25">
      <c r="F602" s="167" t="s">
        <v>73</v>
      </c>
      <c r="G602" s="167" t="s">
        <v>137</v>
      </c>
      <c r="H602" s="167" t="s">
        <v>696</v>
      </c>
      <c r="I602" s="121"/>
      <c r="J602" s="397">
        <f t="shared" si="39"/>
        <v>903.32747033353644</v>
      </c>
      <c r="K602" s="398"/>
      <c r="L602" s="521">
        <v>0</v>
      </c>
      <c r="M602" s="521">
        <v>917.77538205094356</v>
      </c>
      <c r="N602" s="521">
        <v>1694.0568790967047</v>
      </c>
      <c r="O602" s="521">
        <v>903.32747033353644</v>
      </c>
      <c r="P602" s="521">
        <v>920.34605334400578</v>
      </c>
      <c r="Q602" s="521">
        <v>935.41203615560266</v>
      </c>
      <c r="R602" s="521">
        <v>950.47801896719955</v>
      </c>
      <c r="S602" s="521">
        <v>965.54400177879643</v>
      </c>
    </row>
    <row r="603" spans="6:19" x14ac:dyDescent="0.25">
      <c r="F603" s="167" t="s">
        <v>86</v>
      </c>
      <c r="G603" s="167" t="s">
        <v>137</v>
      </c>
      <c r="H603" s="167" t="s">
        <v>696</v>
      </c>
      <c r="I603" s="121"/>
      <c r="J603" s="397">
        <f t="shared" si="39"/>
        <v>60.28171039388527</v>
      </c>
      <c r="K603" s="398"/>
      <c r="L603" s="521">
        <v>0</v>
      </c>
      <c r="M603" s="521">
        <v>0</v>
      </c>
      <c r="N603" s="521">
        <v>579.47326648031981</v>
      </c>
      <c r="O603" s="521">
        <v>60.28171039388527</v>
      </c>
      <c r="P603" s="521">
        <v>68.696461660119112</v>
      </c>
      <c r="Q603" s="521">
        <v>77.111212990874037</v>
      </c>
      <c r="R603" s="521">
        <v>85.52596432164782</v>
      </c>
      <c r="S603" s="521">
        <v>93.940715652421602</v>
      </c>
    </row>
    <row r="604" spans="6:19" x14ac:dyDescent="0.25">
      <c r="F604" s="167" t="s">
        <v>87</v>
      </c>
      <c r="G604" s="167" t="s">
        <v>137</v>
      </c>
      <c r="H604" s="167" t="s">
        <v>696</v>
      </c>
      <c r="I604" s="121"/>
      <c r="J604" s="397">
        <f t="shared" si="39"/>
        <v>558.33750802365216</v>
      </c>
      <c r="K604" s="398"/>
      <c r="L604" s="521">
        <v>0</v>
      </c>
      <c r="M604" s="521">
        <v>0</v>
      </c>
      <c r="N604" s="521">
        <v>561.91923591803322</v>
      </c>
      <c r="O604" s="521">
        <v>558.33750802365216</v>
      </c>
      <c r="P604" s="521">
        <v>599.24699734750197</v>
      </c>
      <c r="Q604" s="521">
        <v>640.15648769250538</v>
      </c>
      <c r="R604" s="521">
        <v>681.0659780387507</v>
      </c>
      <c r="S604" s="521">
        <v>721.97546838499602</v>
      </c>
    </row>
    <row r="605" spans="6:19" x14ac:dyDescent="0.25">
      <c r="F605" s="167" t="s">
        <v>88</v>
      </c>
      <c r="G605" s="167" t="s">
        <v>137</v>
      </c>
      <c r="H605" s="167" t="s">
        <v>696</v>
      </c>
      <c r="I605" s="121"/>
      <c r="J605" s="397">
        <f t="shared" si="39"/>
        <v>1.028</v>
      </c>
      <c r="K605" s="398"/>
      <c r="L605" s="521">
        <v>0</v>
      </c>
      <c r="M605" s="521">
        <v>0</v>
      </c>
      <c r="N605" s="521">
        <v>0.99757804242740011</v>
      </c>
      <c r="O605" s="521">
        <v>1.028</v>
      </c>
      <c r="P605" s="521">
        <v>1.028</v>
      </c>
      <c r="Q605" s="521">
        <v>1.028</v>
      </c>
      <c r="R605" s="521">
        <v>1.028</v>
      </c>
      <c r="S605" s="521">
        <v>1.028</v>
      </c>
    </row>
    <row r="606" spans="6:19" x14ac:dyDescent="0.25">
      <c r="F606" s="167" t="s">
        <v>89</v>
      </c>
      <c r="G606" s="167" t="s">
        <v>137</v>
      </c>
      <c r="H606" s="167" t="s">
        <v>696</v>
      </c>
      <c r="I606" s="121"/>
      <c r="J606" s="397">
        <f t="shared" si="39"/>
        <v>0</v>
      </c>
      <c r="K606" s="398"/>
      <c r="L606" s="521">
        <v>0</v>
      </c>
      <c r="M606" s="521">
        <v>0</v>
      </c>
      <c r="N606" s="521">
        <v>0</v>
      </c>
      <c r="O606" s="521">
        <v>0</v>
      </c>
      <c r="P606" s="521">
        <v>0</v>
      </c>
      <c r="Q606" s="521">
        <v>0</v>
      </c>
      <c r="R606" s="521">
        <v>0</v>
      </c>
      <c r="S606" s="521">
        <v>0</v>
      </c>
    </row>
    <row r="607" spans="6:19" x14ac:dyDescent="0.25">
      <c r="F607" s="167" t="s">
        <v>90</v>
      </c>
      <c r="G607" s="167" t="s">
        <v>137</v>
      </c>
      <c r="H607" s="167" t="s">
        <v>696</v>
      </c>
      <c r="I607" s="121"/>
      <c r="J607" s="397">
        <f t="shared" si="39"/>
        <v>0</v>
      </c>
      <c r="K607" s="398"/>
      <c r="L607" s="521">
        <v>0</v>
      </c>
      <c r="M607" s="521">
        <v>0</v>
      </c>
      <c r="N607" s="521">
        <v>0</v>
      </c>
      <c r="O607" s="521">
        <v>0</v>
      </c>
      <c r="P607" s="521">
        <v>0</v>
      </c>
      <c r="Q607" s="521">
        <v>0</v>
      </c>
      <c r="R607" s="521">
        <v>0</v>
      </c>
      <c r="S607" s="521">
        <v>0</v>
      </c>
    </row>
    <row r="608" spans="6:19" x14ac:dyDescent="0.25">
      <c r="F608" s="167" t="s">
        <v>62</v>
      </c>
      <c r="G608" s="167" t="s">
        <v>137</v>
      </c>
      <c r="H608" s="167" t="s">
        <v>696</v>
      </c>
      <c r="I608" s="121"/>
      <c r="J608" s="397">
        <f t="shared" si="39"/>
        <v>0</v>
      </c>
      <c r="K608" s="398"/>
      <c r="L608" s="521">
        <v>0</v>
      </c>
      <c r="M608" s="521">
        <v>0</v>
      </c>
      <c r="N608" s="521">
        <v>0</v>
      </c>
      <c r="O608" s="521">
        <v>0</v>
      </c>
      <c r="P608" s="521">
        <v>0</v>
      </c>
      <c r="Q608" s="521">
        <v>0</v>
      </c>
      <c r="R608" s="521">
        <v>0</v>
      </c>
      <c r="S608" s="521">
        <v>0</v>
      </c>
    </row>
    <row r="609" spans="5:19" x14ac:dyDescent="0.25">
      <c r="F609" s="167" t="s">
        <v>63</v>
      </c>
      <c r="G609" s="167" t="s">
        <v>137</v>
      </c>
      <c r="H609" s="167" t="s">
        <v>696</v>
      </c>
      <c r="I609" s="121"/>
      <c r="J609" s="397">
        <f t="shared" si="39"/>
        <v>0</v>
      </c>
      <c r="K609" s="398"/>
      <c r="L609" s="521">
        <v>0</v>
      </c>
      <c r="M609" s="521">
        <v>0</v>
      </c>
      <c r="N609" s="521">
        <v>0</v>
      </c>
      <c r="O609" s="521">
        <v>0</v>
      </c>
      <c r="P609" s="521">
        <v>0</v>
      </c>
      <c r="Q609" s="521">
        <v>0</v>
      </c>
      <c r="R609" s="521">
        <v>0</v>
      </c>
      <c r="S609" s="521">
        <v>0</v>
      </c>
    </row>
    <row r="610" spans="5:19" x14ac:dyDescent="0.25">
      <c r="F610" s="167" t="s">
        <v>64</v>
      </c>
      <c r="G610" s="167" t="s">
        <v>137</v>
      </c>
      <c r="H610" s="167" t="s">
        <v>696</v>
      </c>
      <c r="I610" s="121"/>
      <c r="J610" s="397">
        <f t="shared" si="39"/>
        <v>10.962686666666666</v>
      </c>
      <c r="K610" s="398"/>
      <c r="L610" s="521">
        <v>0</v>
      </c>
      <c r="M610" s="521">
        <v>0</v>
      </c>
      <c r="N610" s="521">
        <v>0</v>
      </c>
      <c r="O610" s="521">
        <v>10.962686666666666</v>
      </c>
      <c r="P610" s="521">
        <v>10.962686666666666</v>
      </c>
      <c r="Q610" s="521">
        <v>10.962686666666666</v>
      </c>
      <c r="R610" s="521">
        <v>10.962686666666666</v>
      </c>
      <c r="S610" s="521">
        <v>10.962686666666666</v>
      </c>
    </row>
    <row r="611" spans="5:19" x14ac:dyDescent="0.25">
      <c r="F611" s="167" t="s">
        <v>65</v>
      </c>
      <c r="G611" s="167" t="s">
        <v>137</v>
      </c>
      <c r="H611" s="167" t="s">
        <v>696</v>
      </c>
      <c r="I611" s="121"/>
      <c r="J611" s="403"/>
      <c r="K611" s="398"/>
      <c r="L611" s="403"/>
      <c r="M611" s="403"/>
      <c r="N611" s="403"/>
      <c r="O611" s="403"/>
      <c r="P611" s="403"/>
      <c r="Q611" s="403"/>
      <c r="R611" s="403"/>
      <c r="S611" s="403"/>
    </row>
    <row r="612" spans="5:19" x14ac:dyDescent="0.25">
      <c r="F612" s="167" t="s">
        <v>66</v>
      </c>
      <c r="G612" s="167" t="s">
        <v>137</v>
      </c>
      <c r="H612" s="167" t="s">
        <v>696</v>
      </c>
      <c r="I612" s="121"/>
      <c r="J612" s="397">
        <f t="shared" si="39"/>
        <v>1354.6776029105479</v>
      </c>
      <c r="K612" s="398"/>
      <c r="L612" s="521">
        <v>0</v>
      </c>
      <c r="M612" s="521">
        <v>0</v>
      </c>
      <c r="N612" s="521">
        <v>0</v>
      </c>
      <c r="O612" s="521">
        <v>1354.6776029105479</v>
      </c>
      <c r="P612" s="521">
        <v>1865.5493445546601</v>
      </c>
      <c r="Q612" s="521">
        <v>2376.4211557773815</v>
      </c>
      <c r="R612" s="521">
        <v>2887.292967086657</v>
      </c>
      <c r="S612" s="521">
        <v>3398.1647783959324</v>
      </c>
    </row>
    <row r="613" spans="5:19" x14ac:dyDescent="0.25">
      <c r="F613" s="167" t="s">
        <v>67</v>
      </c>
      <c r="G613" s="167" t="s">
        <v>137</v>
      </c>
      <c r="H613" s="167" t="s">
        <v>696</v>
      </c>
      <c r="I613" s="121"/>
      <c r="J613" s="403"/>
      <c r="K613" s="398"/>
      <c r="L613" s="403"/>
      <c r="M613" s="403"/>
      <c r="N613" s="403"/>
      <c r="O613" s="403"/>
      <c r="P613" s="403"/>
      <c r="Q613" s="403"/>
      <c r="R613" s="403"/>
      <c r="S613" s="403"/>
    </row>
    <row r="614" spans="5:19" x14ac:dyDescent="0.25">
      <c r="F614" s="167" t="s">
        <v>68</v>
      </c>
      <c r="G614" s="167" t="s">
        <v>137</v>
      </c>
      <c r="H614" s="167" t="s">
        <v>696</v>
      </c>
      <c r="I614" s="121"/>
      <c r="J614" s="397">
        <f t="shared" si="39"/>
        <v>0</v>
      </c>
      <c r="K614" s="398"/>
      <c r="L614" s="521">
        <v>0</v>
      </c>
      <c r="M614" s="521">
        <v>0</v>
      </c>
      <c r="N614" s="521">
        <v>0</v>
      </c>
      <c r="O614" s="521">
        <v>0</v>
      </c>
      <c r="P614" s="521">
        <v>0</v>
      </c>
      <c r="Q614" s="521">
        <v>0</v>
      </c>
      <c r="R614" s="521">
        <v>0</v>
      </c>
      <c r="S614" s="521">
        <v>0</v>
      </c>
    </row>
    <row r="615" spans="5:19" x14ac:dyDescent="0.25">
      <c r="F615" s="167" t="s">
        <v>69</v>
      </c>
      <c r="G615" s="167" t="s">
        <v>137</v>
      </c>
      <c r="H615" s="167" t="s">
        <v>696</v>
      </c>
      <c r="I615" s="121"/>
      <c r="J615" s="403"/>
      <c r="K615" s="398"/>
      <c r="L615" s="403"/>
      <c r="M615" s="403"/>
      <c r="N615" s="403"/>
      <c r="O615" s="403"/>
      <c r="P615" s="403"/>
      <c r="Q615" s="403"/>
      <c r="R615" s="403"/>
      <c r="S615" s="403"/>
    </row>
    <row r="616" spans="5:19" x14ac:dyDescent="0.25">
      <c r="F616" s="167" t="s">
        <v>70</v>
      </c>
      <c r="G616" s="167" t="s">
        <v>137</v>
      </c>
      <c r="H616" s="167" t="s">
        <v>696</v>
      </c>
      <c r="I616" s="121"/>
      <c r="J616" s="397">
        <f t="shared" si="39"/>
        <v>0</v>
      </c>
      <c r="K616" s="398"/>
      <c r="L616" s="521">
        <v>0</v>
      </c>
      <c r="M616" s="521">
        <v>0</v>
      </c>
      <c r="N616" s="521">
        <v>0</v>
      </c>
      <c r="O616" s="521">
        <v>0</v>
      </c>
      <c r="P616" s="521">
        <v>0</v>
      </c>
      <c r="Q616" s="521">
        <v>0</v>
      </c>
      <c r="R616" s="521">
        <v>0</v>
      </c>
      <c r="S616" s="521">
        <v>0</v>
      </c>
    </row>
    <row r="617" spans="5:19" x14ac:dyDescent="0.25">
      <c r="F617" s="167" t="s">
        <v>71</v>
      </c>
      <c r="G617" s="167" t="s">
        <v>137</v>
      </c>
      <c r="H617" s="167" t="s">
        <v>696</v>
      </c>
      <c r="I617" s="121"/>
      <c r="J617" s="403"/>
      <c r="K617" s="398"/>
      <c r="L617" s="403"/>
      <c r="M617" s="403"/>
      <c r="N617" s="403"/>
      <c r="O617" s="403"/>
      <c r="P617" s="403"/>
      <c r="Q617" s="403"/>
      <c r="R617" s="403"/>
      <c r="S617" s="403"/>
    </row>
    <row r="618" spans="5:19" x14ac:dyDescent="0.25">
      <c r="F618" s="167" t="s">
        <v>74</v>
      </c>
      <c r="G618" s="167" t="s">
        <v>137</v>
      </c>
      <c r="H618" s="167" t="s">
        <v>696</v>
      </c>
      <c r="I618" s="121"/>
      <c r="J618" s="397">
        <f t="shared" si="39"/>
        <v>0</v>
      </c>
      <c r="K618" s="398"/>
      <c r="L618" s="521">
        <v>0</v>
      </c>
      <c r="M618" s="521">
        <v>0</v>
      </c>
      <c r="N618" s="521">
        <v>0</v>
      </c>
      <c r="O618" s="521">
        <v>0</v>
      </c>
      <c r="P618" s="521">
        <v>0</v>
      </c>
      <c r="Q618" s="521">
        <v>0</v>
      </c>
      <c r="R618" s="521">
        <v>0</v>
      </c>
      <c r="S618" s="521">
        <v>0</v>
      </c>
    </row>
    <row r="619" spans="5:19" x14ac:dyDescent="0.25">
      <c r="F619" s="167" t="s">
        <v>75</v>
      </c>
      <c r="G619" s="167" t="s">
        <v>137</v>
      </c>
      <c r="H619" s="167" t="s">
        <v>696</v>
      </c>
      <c r="I619" s="121"/>
      <c r="J619" s="403"/>
      <c r="K619" s="398"/>
      <c r="L619" s="403"/>
      <c r="M619" s="403"/>
      <c r="N619" s="403"/>
      <c r="O619" s="403"/>
      <c r="P619" s="403"/>
      <c r="Q619" s="403"/>
      <c r="R619" s="403"/>
      <c r="S619" s="403"/>
    </row>
    <row r="620" spans="5:19" x14ac:dyDescent="0.25">
      <c r="F620" s="167" t="s">
        <v>76</v>
      </c>
      <c r="G620" s="167" t="s">
        <v>137</v>
      </c>
      <c r="H620" s="167" t="s">
        <v>696</v>
      </c>
      <c r="I620" s="121"/>
      <c r="J620" s="397">
        <f t="shared" si="39"/>
        <v>0</v>
      </c>
      <c r="K620" s="398"/>
      <c r="L620" s="521">
        <v>0</v>
      </c>
      <c r="M620" s="521">
        <v>0</v>
      </c>
      <c r="N620" s="521">
        <v>0</v>
      </c>
      <c r="O620" s="521">
        <v>0</v>
      </c>
      <c r="P620" s="521">
        <v>0</v>
      </c>
      <c r="Q620" s="521">
        <v>0</v>
      </c>
      <c r="R620" s="521">
        <v>0</v>
      </c>
      <c r="S620" s="521">
        <v>0</v>
      </c>
    </row>
    <row r="621" spans="5:19" x14ac:dyDescent="0.25">
      <c r="F621" s="168" t="s">
        <v>77</v>
      </c>
      <c r="G621" s="168" t="s">
        <v>137</v>
      </c>
      <c r="H621" s="168" t="s">
        <v>696</v>
      </c>
      <c r="I621" s="262"/>
      <c r="J621" s="404"/>
      <c r="K621" s="400"/>
      <c r="L621" s="404"/>
      <c r="M621" s="404"/>
      <c r="N621" s="404"/>
      <c r="O621" s="404"/>
      <c r="P621" s="404"/>
      <c r="Q621" s="404"/>
      <c r="R621" s="404"/>
      <c r="S621" s="404"/>
    </row>
    <row r="622" spans="5:19" x14ac:dyDescent="0.25">
      <c r="J622" s="401"/>
      <c r="K622" s="401"/>
      <c r="L622" s="401"/>
      <c r="M622" s="401"/>
      <c r="N622" s="401"/>
      <c r="O622" s="401"/>
      <c r="P622" s="401"/>
      <c r="Q622" s="401"/>
      <c r="R622" s="401"/>
      <c r="S622" s="401"/>
    </row>
    <row r="623" spans="5:19" x14ac:dyDescent="0.25">
      <c r="E623" s="261" t="s">
        <v>328</v>
      </c>
      <c r="J623" s="401"/>
      <c r="K623" s="401"/>
      <c r="L623" s="401"/>
      <c r="M623" s="401"/>
      <c r="N623" s="401"/>
      <c r="O623" s="401"/>
      <c r="P623" s="401"/>
      <c r="Q623" s="401"/>
      <c r="R623" s="401"/>
      <c r="S623" s="401"/>
    </row>
    <row r="624" spans="5:19" x14ac:dyDescent="0.25">
      <c r="F624" s="166" t="s">
        <v>52</v>
      </c>
      <c r="G624" s="166" t="s">
        <v>137</v>
      </c>
      <c r="H624" s="166" t="s">
        <v>696</v>
      </c>
      <c r="I624" s="201"/>
      <c r="J624" s="402"/>
      <c r="K624" s="396"/>
      <c r="L624" s="402"/>
      <c r="M624" s="402"/>
      <c r="N624" s="402"/>
      <c r="O624" s="402"/>
      <c r="P624" s="402"/>
      <c r="Q624" s="402"/>
      <c r="R624" s="402"/>
      <c r="S624" s="402"/>
    </row>
    <row r="625" spans="6:19" x14ac:dyDescent="0.25">
      <c r="F625" s="167" t="s">
        <v>53</v>
      </c>
      <c r="G625" s="167" t="s">
        <v>137</v>
      </c>
      <c r="H625" s="167" t="s">
        <v>696</v>
      </c>
      <c r="I625" s="121"/>
      <c r="J625" s="397">
        <f t="shared" ref="J625" si="40">CHOOSE(year_selection, L625,M625,N625,O625,P625,Q625,R625,S625)</f>
        <v>7275.4295652110532</v>
      </c>
      <c r="K625" s="398"/>
      <c r="L625" s="521">
        <v>1051.0688090292385</v>
      </c>
      <c r="M625" s="521">
        <v>937.65003932156242</v>
      </c>
      <c r="N625" s="521">
        <v>2044.7942296353458</v>
      </c>
      <c r="O625" s="521">
        <v>7275.4295652110532</v>
      </c>
      <c r="P625" s="521">
        <v>9359.6121296919737</v>
      </c>
      <c r="Q625" s="521">
        <v>11443.794690292667</v>
      </c>
      <c r="R625" s="521">
        <v>13527.977250876158</v>
      </c>
      <c r="S625" s="521">
        <v>15612.159811459647</v>
      </c>
    </row>
    <row r="626" spans="6:19" x14ac:dyDescent="0.25">
      <c r="F626" s="167" t="s">
        <v>84</v>
      </c>
      <c r="G626" s="167" t="s">
        <v>137</v>
      </c>
      <c r="H626" s="167" t="s">
        <v>696</v>
      </c>
      <c r="I626" s="121"/>
      <c r="J626" s="403"/>
      <c r="K626" s="398"/>
      <c r="L626" s="403"/>
      <c r="M626" s="403"/>
      <c r="N626" s="403"/>
      <c r="O626" s="403"/>
      <c r="P626" s="403"/>
      <c r="Q626" s="403"/>
      <c r="R626" s="403"/>
      <c r="S626" s="403"/>
    </row>
    <row r="627" spans="6:19" x14ac:dyDescent="0.25">
      <c r="F627" s="167" t="s">
        <v>54</v>
      </c>
      <c r="G627" s="167" t="s">
        <v>137</v>
      </c>
      <c r="H627" s="167" t="s">
        <v>696</v>
      </c>
      <c r="I627" s="121"/>
      <c r="J627" s="403"/>
      <c r="K627" s="398"/>
      <c r="L627" s="403"/>
      <c r="M627" s="403"/>
      <c r="N627" s="403"/>
      <c r="O627" s="403"/>
      <c r="P627" s="403"/>
      <c r="Q627" s="403"/>
      <c r="R627" s="403"/>
      <c r="S627" s="403"/>
    </row>
    <row r="628" spans="6:19" x14ac:dyDescent="0.25">
      <c r="F628" s="167" t="s">
        <v>55</v>
      </c>
      <c r="G628" s="167" t="s">
        <v>137</v>
      </c>
      <c r="H628" s="167" t="s">
        <v>696</v>
      </c>
      <c r="I628" s="121"/>
      <c r="J628" s="397">
        <f t="shared" ref="J628" si="41">CHOOSE(year_selection, L628,M628,N628,O628,P628,Q628,R628,S628)</f>
        <v>157.93286889862742</v>
      </c>
      <c r="K628" s="398"/>
      <c r="L628" s="521">
        <v>76.782631498815562</v>
      </c>
      <c r="M628" s="521">
        <v>39.400367932874346</v>
      </c>
      <c r="N628" s="521">
        <v>110.43424024616209</v>
      </c>
      <c r="O628" s="521">
        <v>157.93286889862742</v>
      </c>
      <c r="P628" s="521">
        <v>167.29726473177124</v>
      </c>
      <c r="Q628" s="521">
        <v>176.66166049081738</v>
      </c>
      <c r="R628" s="521">
        <v>186.02605625007422</v>
      </c>
      <c r="S628" s="521">
        <v>195.39045200933103</v>
      </c>
    </row>
    <row r="629" spans="6:19" x14ac:dyDescent="0.25">
      <c r="F629" s="167" t="s">
        <v>85</v>
      </c>
      <c r="G629" s="167" t="s">
        <v>137</v>
      </c>
      <c r="H629" s="167" t="s">
        <v>696</v>
      </c>
      <c r="I629" s="121"/>
      <c r="J629" s="403"/>
      <c r="K629" s="398"/>
      <c r="L629" s="403"/>
      <c r="M629" s="403"/>
      <c r="N629" s="403"/>
      <c r="O629" s="403"/>
      <c r="P629" s="403"/>
      <c r="Q629" s="403"/>
      <c r="R629" s="403"/>
      <c r="S629" s="403"/>
    </row>
    <row r="630" spans="6:19" x14ac:dyDescent="0.25">
      <c r="F630" s="167" t="s">
        <v>56</v>
      </c>
      <c r="G630" s="167" t="s">
        <v>137</v>
      </c>
      <c r="H630" s="167" t="s">
        <v>696</v>
      </c>
      <c r="I630" s="121"/>
      <c r="J630" s="397">
        <f t="shared" ref="J630:J637" si="42">CHOOSE(year_selection, L630,M630,N630,O630,P630,Q630,R630,S630)</f>
        <v>465.18908808089174</v>
      </c>
      <c r="K630" s="398"/>
      <c r="L630" s="521">
        <v>0</v>
      </c>
      <c r="M630" s="521">
        <v>0</v>
      </c>
      <c r="N630" s="521">
        <v>0</v>
      </c>
      <c r="O630" s="521">
        <v>465.18908808089174</v>
      </c>
      <c r="P630" s="521">
        <v>465.18908808089174</v>
      </c>
      <c r="Q630" s="521">
        <v>465.18908808089174</v>
      </c>
      <c r="R630" s="521">
        <v>465.18908808089174</v>
      </c>
      <c r="S630" s="521">
        <v>465.18908808089174</v>
      </c>
    </row>
    <row r="631" spans="6:19" x14ac:dyDescent="0.25">
      <c r="F631" s="167" t="s">
        <v>57</v>
      </c>
      <c r="G631" s="167" t="s">
        <v>137</v>
      </c>
      <c r="H631" s="167" t="s">
        <v>696</v>
      </c>
      <c r="I631" s="121"/>
      <c r="J631" s="403"/>
      <c r="K631" s="398"/>
      <c r="L631" s="403"/>
      <c r="M631" s="403"/>
      <c r="N631" s="403"/>
      <c r="O631" s="403"/>
      <c r="P631" s="403"/>
      <c r="Q631" s="403"/>
      <c r="R631" s="403"/>
      <c r="S631" s="403"/>
    </row>
    <row r="632" spans="6:19" x14ac:dyDescent="0.25">
      <c r="F632" s="167" t="s">
        <v>72</v>
      </c>
      <c r="G632" s="167" t="s">
        <v>137</v>
      </c>
      <c r="H632" s="167" t="s">
        <v>696</v>
      </c>
      <c r="I632" s="121"/>
      <c r="J632" s="403"/>
      <c r="K632" s="398"/>
      <c r="L632" s="403"/>
      <c r="M632" s="403"/>
      <c r="N632" s="403"/>
      <c r="O632" s="403"/>
      <c r="P632" s="403"/>
      <c r="Q632" s="403"/>
      <c r="R632" s="403"/>
      <c r="S632" s="403"/>
    </row>
    <row r="633" spans="6:19" x14ac:dyDescent="0.25">
      <c r="F633" s="167" t="s">
        <v>58</v>
      </c>
      <c r="G633" s="167" t="s">
        <v>137</v>
      </c>
      <c r="H633" s="167" t="s">
        <v>696</v>
      </c>
      <c r="I633" s="121"/>
      <c r="J633" s="397">
        <f t="shared" si="42"/>
        <v>1.0391097254883945</v>
      </c>
      <c r="K633" s="398"/>
      <c r="L633" s="521">
        <v>0</v>
      </c>
      <c r="M633" s="521">
        <v>0</v>
      </c>
      <c r="N633" s="521">
        <v>0</v>
      </c>
      <c r="O633" s="521">
        <v>1.0391097254883945</v>
      </c>
      <c r="P633" s="521">
        <v>1.0391097254883945</v>
      </c>
      <c r="Q633" s="521">
        <v>1.0391097254883945</v>
      </c>
      <c r="R633" s="521">
        <v>1.0391097254883945</v>
      </c>
      <c r="S633" s="521">
        <v>1.0391097254883945</v>
      </c>
    </row>
    <row r="634" spans="6:19" x14ac:dyDescent="0.25">
      <c r="F634" s="167" t="s">
        <v>59</v>
      </c>
      <c r="G634" s="167" t="s">
        <v>137</v>
      </c>
      <c r="H634" s="167" t="s">
        <v>696</v>
      </c>
      <c r="I634" s="121"/>
      <c r="J634" s="397">
        <f t="shared" si="42"/>
        <v>416.1951696043169</v>
      </c>
      <c r="K634" s="398"/>
      <c r="L634" s="521">
        <v>0</v>
      </c>
      <c r="M634" s="521">
        <v>879.27541715397524</v>
      </c>
      <c r="N634" s="521">
        <v>297.75719869238571</v>
      </c>
      <c r="O634" s="521">
        <v>416.1951696043169</v>
      </c>
      <c r="P634" s="521">
        <v>416.1951696043169</v>
      </c>
      <c r="Q634" s="521">
        <v>416.1951696043169</v>
      </c>
      <c r="R634" s="521">
        <v>416.1951696043169</v>
      </c>
      <c r="S634" s="521">
        <v>416.1951696043169</v>
      </c>
    </row>
    <row r="635" spans="6:19" x14ac:dyDescent="0.25">
      <c r="F635" s="167" t="s">
        <v>60</v>
      </c>
      <c r="G635" s="167" t="s">
        <v>137</v>
      </c>
      <c r="H635" s="167" t="s">
        <v>696</v>
      </c>
      <c r="I635" s="121"/>
      <c r="J635" s="397">
        <f t="shared" si="42"/>
        <v>44810.252998318196</v>
      </c>
      <c r="K635" s="398"/>
      <c r="L635" s="521">
        <v>11211.686157880422</v>
      </c>
      <c r="M635" s="521">
        <v>29562.57249836138</v>
      </c>
      <c r="N635" s="521">
        <v>1392.8886042287181</v>
      </c>
      <c r="O635" s="521">
        <v>44810.252998318196</v>
      </c>
      <c r="P635" s="521">
        <v>44810.252998318196</v>
      </c>
      <c r="Q635" s="521">
        <v>44810.252998318196</v>
      </c>
      <c r="R635" s="521">
        <v>44810.252998318196</v>
      </c>
      <c r="S635" s="521">
        <v>44810.252998318196</v>
      </c>
    </row>
    <row r="636" spans="6:19" x14ac:dyDescent="0.25">
      <c r="F636" s="167" t="s">
        <v>61</v>
      </c>
      <c r="G636" s="167" t="s">
        <v>137</v>
      </c>
      <c r="H636" s="167" t="s">
        <v>696</v>
      </c>
      <c r="I636" s="121"/>
      <c r="J636" s="397">
        <f t="shared" si="42"/>
        <v>48732.247052773768</v>
      </c>
      <c r="K636" s="398"/>
      <c r="L636" s="521">
        <v>0</v>
      </c>
      <c r="M636" s="521">
        <v>1129.8039324311208</v>
      </c>
      <c r="N636" s="521">
        <v>819.5154802890321</v>
      </c>
      <c r="O636" s="521">
        <v>48732.247052773768</v>
      </c>
      <c r="P636" s="521">
        <v>67999.870364546878</v>
      </c>
      <c r="Q636" s="521">
        <v>87267.494260011968</v>
      </c>
      <c r="R636" s="521">
        <v>106535.11815642208</v>
      </c>
      <c r="S636" s="521">
        <v>125802.74205283217</v>
      </c>
    </row>
    <row r="637" spans="6:19" x14ac:dyDescent="0.25">
      <c r="F637" s="167" t="s">
        <v>73</v>
      </c>
      <c r="G637" s="167" t="s">
        <v>137</v>
      </c>
      <c r="H637" s="167" t="s">
        <v>696</v>
      </c>
      <c r="I637" s="121"/>
      <c r="J637" s="397">
        <f t="shared" si="42"/>
        <v>4887.221980112171</v>
      </c>
      <c r="K637" s="398"/>
      <c r="L637" s="521">
        <v>0</v>
      </c>
      <c r="M637" s="521">
        <v>3363.3609823712159</v>
      </c>
      <c r="N637" s="521">
        <v>9157.9265473321993</v>
      </c>
      <c r="O637" s="521">
        <v>4887.221980112171</v>
      </c>
      <c r="P637" s="521">
        <v>4958.1327426557937</v>
      </c>
      <c r="Q637" s="521">
        <v>5020.9076710374484</v>
      </c>
      <c r="R637" s="521">
        <v>5083.6825994191004</v>
      </c>
      <c r="S637" s="521">
        <v>5146.4575278007533</v>
      </c>
    </row>
    <row r="638" spans="6:19" x14ac:dyDescent="0.25">
      <c r="F638" s="167" t="s">
        <v>86</v>
      </c>
      <c r="G638" s="167" t="s">
        <v>137</v>
      </c>
      <c r="H638" s="167" t="s">
        <v>696</v>
      </c>
      <c r="I638" s="121"/>
      <c r="J638" s="403"/>
      <c r="K638" s="398"/>
      <c r="L638" s="403"/>
      <c r="M638" s="403"/>
      <c r="N638" s="403"/>
      <c r="O638" s="403"/>
      <c r="P638" s="403"/>
      <c r="Q638" s="403"/>
      <c r="R638" s="403"/>
      <c r="S638" s="403"/>
    </row>
    <row r="639" spans="6:19" x14ac:dyDescent="0.25">
      <c r="F639" s="167" t="s">
        <v>87</v>
      </c>
      <c r="G639" s="167" t="s">
        <v>137</v>
      </c>
      <c r="H639" s="167" t="s">
        <v>696</v>
      </c>
      <c r="I639" s="121"/>
      <c r="J639" s="403"/>
      <c r="K639" s="398"/>
      <c r="L639" s="403"/>
      <c r="M639" s="403"/>
      <c r="N639" s="403"/>
      <c r="O639" s="403"/>
      <c r="P639" s="403"/>
      <c r="Q639" s="403"/>
      <c r="R639" s="403"/>
      <c r="S639" s="403"/>
    </row>
    <row r="640" spans="6:19" x14ac:dyDescent="0.25">
      <c r="F640" s="167" t="s">
        <v>88</v>
      </c>
      <c r="G640" s="167" t="s">
        <v>137</v>
      </c>
      <c r="H640" s="167" t="s">
        <v>696</v>
      </c>
      <c r="I640" s="121"/>
      <c r="J640" s="403"/>
      <c r="K640" s="398"/>
      <c r="L640" s="403"/>
      <c r="M640" s="403"/>
      <c r="N640" s="403"/>
      <c r="O640" s="403"/>
      <c r="P640" s="403"/>
      <c r="Q640" s="403"/>
      <c r="R640" s="403"/>
      <c r="S640" s="403"/>
    </row>
    <row r="641" spans="6:19" x14ac:dyDescent="0.25">
      <c r="F641" s="167" t="s">
        <v>89</v>
      </c>
      <c r="G641" s="167" t="s">
        <v>137</v>
      </c>
      <c r="H641" s="167" t="s">
        <v>696</v>
      </c>
      <c r="I641" s="121"/>
      <c r="J641" s="403"/>
      <c r="K641" s="398"/>
      <c r="L641" s="403"/>
      <c r="M641" s="403"/>
      <c r="N641" s="403"/>
      <c r="O641" s="403"/>
      <c r="P641" s="403"/>
      <c r="Q641" s="403"/>
      <c r="R641" s="403"/>
      <c r="S641" s="403"/>
    </row>
    <row r="642" spans="6:19" x14ac:dyDescent="0.25">
      <c r="F642" s="167" t="s">
        <v>90</v>
      </c>
      <c r="G642" s="167" t="s">
        <v>137</v>
      </c>
      <c r="H642" s="167" t="s">
        <v>696</v>
      </c>
      <c r="I642" s="121"/>
      <c r="J642" s="397">
        <f t="shared" ref="J642" si="43">CHOOSE(year_selection, L642,M642,N642,O642,P642,Q642,R642,S642)</f>
        <v>0</v>
      </c>
      <c r="K642" s="398"/>
      <c r="L642" s="521">
        <v>0</v>
      </c>
      <c r="M642" s="521">
        <v>0</v>
      </c>
      <c r="N642" s="521">
        <v>0</v>
      </c>
      <c r="O642" s="521">
        <v>0</v>
      </c>
      <c r="P642" s="521">
        <v>0</v>
      </c>
      <c r="Q642" s="521">
        <v>0</v>
      </c>
      <c r="R642" s="521">
        <v>0</v>
      </c>
      <c r="S642" s="521">
        <v>0</v>
      </c>
    </row>
    <row r="643" spans="6:19" x14ac:dyDescent="0.25">
      <c r="F643" s="167" t="s">
        <v>62</v>
      </c>
      <c r="G643" s="167" t="s">
        <v>137</v>
      </c>
      <c r="H643" s="167" t="s">
        <v>696</v>
      </c>
      <c r="I643" s="121"/>
      <c r="J643" s="403"/>
      <c r="K643" s="398"/>
      <c r="L643" s="403"/>
      <c r="M643" s="403"/>
      <c r="N643" s="403"/>
      <c r="O643" s="403"/>
      <c r="P643" s="403"/>
      <c r="Q643" s="403"/>
      <c r="R643" s="403"/>
      <c r="S643" s="403"/>
    </row>
    <row r="644" spans="6:19" x14ac:dyDescent="0.25">
      <c r="F644" s="167" t="s">
        <v>63</v>
      </c>
      <c r="G644" s="167" t="s">
        <v>137</v>
      </c>
      <c r="H644" s="167" t="s">
        <v>696</v>
      </c>
      <c r="I644" s="121"/>
      <c r="J644" s="403"/>
      <c r="K644" s="398"/>
      <c r="L644" s="403"/>
      <c r="M644" s="403"/>
      <c r="N644" s="403"/>
      <c r="O644" s="403"/>
      <c r="P644" s="403"/>
      <c r="Q644" s="403"/>
      <c r="R644" s="403"/>
      <c r="S644" s="403"/>
    </row>
    <row r="645" spans="6:19" x14ac:dyDescent="0.25">
      <c r="F645" s="167" t="s">
        <v>64</v>
      </c>
      <c r="G645" s="167" t="s">
        <v>137</v>
      </c>
      <c r="H645" s="167" t="s">
        <v>696</v>
      </c>
      <c r="I645" s="121"/>
      <c r="J645" s="403"/>
      <c r="K645" s="398"/>
      <c r="L645" s="403"/>
      <c r="M645" s="403"/>
      <c r="N645" s="403"/>
      <c r="O645" s="403"/>
      <c r="P645" s="403"/>
      <c r="Q645" s="403"/>
      <c r="R645" s="403"/>
      <c r="S645" s="403"/>
    </row>
    <row r="646" spans="6:19" x14ac:dyDescent="0.25">
      <c r="F646" s="167" t="s">
        <v>65</v>
      </c>
      <c r="G646" s="167" t="s">
        <v>137</v>
      </c>
      <c r="H646" s="167" t="s">
        <v>696</v>
      </c>
      <c r="I646" s="121"/>
      <c r="J646" s="403"/>
      <c r="K646" s="398"/>
      <c r="L646" s="403"/>
      <c r="M646" s="403"/>
      <c r="N646" s="403"/>
      <c r="O646" s="403"/>
      <c r="P646" s="403"/>
      <c r="Q646" s="403"/>
      <c r="R646" s="403"/>
      <c r="S646" s="403"/>
    </row>
    <row r="647" spans="6:19" x14ac:dyDescent="0.25">
      <c r="F647" s="167" t="s">
        <v>66</v>
      </c>
      <c r="G647" s="167" t="s">
        <v>137</v>
      </c>
      <c r="H647" s="167" t="s">
        <v>696</v>
      </c>
      <c r="I647" s="121"/>
      <c r="J647" s="397">
        <f t="shared" ref="J647" si="44">CHOOSE(year_selection, L647,M647,N647,O647,P647,Q647,R647,S647)</f>
        <v>7448.517500130537</v>
      </c>
      <c r="K647" s="398"/>
      <c r="L647" s="521">
        <v>0</v>
      </c>
      <c r="M647" s="521">
        <v>0</v>
      </c>
      <c r="N647" s="521">
        <v>0</v>
      </c>
      <c r="O647" s="521">
        <v>7448.517500130537</v>
      </c>
      <c r="P647" s="521">
        <v>10256.616466437536</v>
      </c>
      <c r="Q647" s="521">
        <v>13064.715773366157</v>
      </c>
      <c r="R647" s="521">
        <v>15872.815080788838</v>
      </c>
      <c r="S647" s="521">
        <v>18680.91438821152</v>
      </c>
    </row>
    <row r="648" spans="6:19" x14ac:dyDescent="0.25">
      <c r="F648" s="167" t="s">
        <v>67</v>
      </c>
      <c r="G648" s="167" t="s">
        <v>137</v>
      </c>
      <c r="H648" s="167" t="s">
        <v>696</v>
      </c>
      <c r="I648" s="121"/>
      <c r="J648" s="403"/>
      <c r="K648" s="398"/>
      <c r="L648" s="403"/>
      <c r="M648" s="403"/>
      <c r="N648" s="403"/>
      <c r="O648" s="403"/>
      <c r="P648" s="403"/>
      <c r="Q648" s="403"/>
      <c r="R648" s="403"/>
      <c r="S648" s="403"/>
    </row>
    <row r="649" spans="6:19" x14ac:dyDescent="0.25">
      <c r="F649" s="167" t="s">
        <v>68</v>
      </c>
      <c r="G649" s="167" t="s">
        <v>137</v>
      </c>
      <c r="H649" s="167" t="s">
        <v>696</v>
      </c>
      <c r="I649" s="121"/>
      <c r="J649" s="403"/>
      <c r="K649" s="398"/>
      <c r="L649" s="403"/>
      <c r="M649" s="403"/>
      <c r="N649" s="403"/>
      <c r="O649" s="403"/>
      <c r="P649" s="403"/>
      <c r="Q649" s="403"/>
      <c r="R649" s="403"/>
      <c r="S649" s="403"/>
    </row>
    <row r="650" spans="6:19" x14ac:dyDescent="0.25">
      <c r="F650" s="167" t="s">
        <v>69</v>
      </c>
      <c r="G650" s="167" t="s">
        <v>137</v>
      </c>
      <c r="H650" s="167" t="s">
        <v>696</v>
      </c>
      <c r="I650" s="121"/>
      <c r="J650" s="403"/>
      <c r="K650" s="398"/>
      <c r="L650" s="403"/>
      <c r="M650" s="403"/>
      <c r="N650" s="403"/>
      <c r="O650" s="403"/>
      <c r="P650" s="403"/>
      <c r="Q650" s="403"/>
      <c r="R650" s="403"/>
      <c r="S650" s="403"/>
    </row>
    <row r="651" spans="6:19" x14ac:dyDescent="0.25">
      <c r="F651" s="167" t="s">
        <v>70</v>
      </c>
      <c r="G651" s="167" t="s">
        <v>137</v>
      </c>
      <c r="H651" s="167" t="s">
        <v>696</v>
      </c>
      <c r="I651" s="121"/>
      <c r="J651" s="397">
        <f t="shared" ref="J651" si="45">CHOOSE(year_selection, L651,M651,N651,O651,P651,Q651,R651,S651)</f>
        <v>0</v>
      </c>
      <c r="K651" s="398"/>
      <c r="L651" s="521">
        <v>0</v>
      </c>
      <c r="M651" s="521">
        <v>0</v>
      </c>
      <c r="N651" s="521">
        <v>0</v>
      </c>
      <c r="O651" s="521">
        <v>0</v>
      </c>
      <c r="P651" s="521">
        <v>0</v>
      </c>
      <c r="Q651" s="521">
        <v>0</v>
      </c>
      <c r="R651" s="521">
        <v>0</v>
      </c>
      <c r="S651" s="521">
        <v>0</v>
      </c>
    </row>
    <row r="652" spans="6:19" x14ac:dyDescent="0.25">
      <c r="F652" s="167" t="s">
        <v>71</v>
      </c>
      <c r="G652" s="167" t="s">
        <v>137</v>
      </c>
      <c r="H652" s="167" t="s">
        <v>696</v>
      </c>
      <c r="I652" s="121"/>
      <c r="J652" s="403"/>
      <c r="K652" s="398"/>
      <c r="L652" s="403"/>
      <c r="M652" s="403"/>
      <c r="N652" s="403"/>
      <c r="O652" s="403"/>
      <c r="P652" s="403"/>
      <c r="Q652" s="403"/>
      <c r="R652" s="403"/>
      <c r="S652" s="403"/>
    </row>
    <row r="653" spans="6:19" x14ac:dyDescent="0.25">
      <c r="F653" s="167" t="s">
        <v>74</v>
      </c>
      <c r="G653" s="167" t="s">
        <v>137</v>
      </c>
      <c r="H653" s="167" t="s">
        <v>696</v>
      </c>
      <c r="I653" s="121"/>
      <c r="J653" s="403"/>
      <c r="K653" s="398"/>
      <c r="L653" s="403"/>
      <c r="M653" s="403"/>
      <c r="N653" s="403"/>
      <c r="O653" s="403"/>
      <c r="P653" s="403"/>
      <c r="Q653" s="403"/>
      <c r="R653" s="403"/>
      <c r="S653" s="403"/>
    </row>
    <row r="654" spans="6:19" x14ac:dyDescent="0.25">
      <c r="F654" s="167" t="s">
        <v>75</v>
      </c>
      <c r="G654" s="167" t="s">
        <v>137</v>
      </c>
      <c r="H654" s="167" t="s">
        <v>696</v>
      </c>
      <c r="I654" s="121"/>
      <c r="J654" s="403"/>
      <c r="K654" s="398"/>
      <c r="L654" s="403"/>
      <c r="M654" s="403"/>
      <c r="N654" s="403"/>
      <c r="O654" s="403"/>
      <c r="P654" s="403"/>
      <c r="Q654" s="403"/>
      <c r="R654" s="403"/>
      <c r="S654" s="403"/>
    </row>
    <row r="655" spans="6:19" x14ac:dyDescent="0.25">
      <c r="F655" s="167" t="s">
        <v>76</v>
      </c>
      <c r="G655" s="167" t="s">
        <v>137</v>
      </c>
      <c r="H655" s="167" t="s">
        <v>696</v>
      </c>
      <c r="I655" s="121"/>
      <c r="J655" s="397">
        <f t="shared" ref="J655" si="46">CHOOSE(year_selection, L655,M655,N655,O655,P655,Q655,R655,S655)</f>
        <v>0</v>
      </c>
      <c r="K655" s="398"/>
      <c r="L655" s="521">
        <v>0</v>
      </c>
      <c r="M655" s="521">
        <v>0</v>
      </c>
      <c r="N655" s="521">
        <v>0</v>
      </c>
      <c r="O655" s="521">
        <v>0</v>
      </c>
      <c r="P655" s="521">
        <v>0</v>
      </c>
      <c r="Q655" s="521">
        <v>0</v>
      </c>
      <c r="R655" s="521">
        <v>0</v>
      </c>
      <c r="S655" s="521">
        <v>0</v>
      </c>
    </row>
    <row r="656" spans="6:19" x14ac:dyDescent="0.25">
      <c r="F656" s="168" t="s">
        <v>77</v>
      </c>
      <c r="G656" s="168" t="s">
        <v>137</v>
      </c>
      <c r="H656" s="168" t="s">
        <v>696</v>
      </c>
      <c r="I656" s="262"/>
      <c r="J656" s="404"/>
      <c r="K656" s="400"/>
      <c r="L656" s="404"/>
      <c r="M656" s="404"/>
      <c r="N656" s="404"/>
      <c r="O656" s="404"/>
      <c r="P656" s="404"/>
      <c r="Q656" s="404"/>
      <c r="R656" s="404"/>
      <c r="S656" s="404"/>
    </row>
    <row r="657" spans="5:19" x14ac:dyDescent="0.25">
      <c r="J657" s="401"/>
      <c r="K657" s="401"/>
      <c r="L657" s="401"/>
      <c r="M657" s="401"/>
      <c r="N657" s="401"/>
      <c r="O657" s="401"/>
      <c r="P657" s="401"/>
      <c r="Q657" s="401"/>
      <c r="R657" s="401"/>
      <c r="S657" s="401"/>
    </row>
    <row r="658" spans="5:19" x14ac:dyDescent="0.25">
      <c r="E658" s="261" t="s">
        <v>329</v>
      </c>
      <c r="J658" s="401"/>
      <c r="K658" s="401"/>
      <c r="L658" s="401"/>
      <c r="M658" s="401"/>
      <c r="N658" s="401"/>
      <c r="O658" s="401"/>
      <c r="P658" s="401"/>
      <c r="Q658" s="401"/>
      <c r="R658" s="401"/>
      <c r="S658" s="401"/>
    </row>
    <row r="659" spans="5:19" x14ac:dyDescent="0.25">
      <c r="F659" s="166" t="s">
        <v>52</v>
      </c>
      <c r="G659" s="166" t="s">
        <v>137</v>
      </c>
      <c r="H659" s="166" t="s">
        <v>696</v>
      </c>
      <c r="I659" s="201"/>
      <c r="J659" s="402"/>
      <c r="K659" s="396"/>
      <c r="L659" s="402"/>
      <c r="M659" s="402"/>
      <c r="N659" s="402"/>
      <c r="O659" s="402"/>
      <c r="P659" s="402"/>
      <c r="Q659" s="402"/>
      <c r="R659" s="402"/>
      <c r="S659" s="402"/>
    </row>
    <row r="660" spans="5:19" x14ac:dyDescent="0.25">
      <c r="F660" s="167" t="s">
        <v>53</v>
      </c>
      <c r="G660" s="167" t="s">
        <v>137</v>
      </c>
      <c r="H660" s="167" t="s">
        <v>696</v>
      </c>
      <c r="I660" s="121"/>
      <c r="J660" s="403"/>
      <c r="K660" s="398"/>
      <c r="L660" s="403"/>
      <c r="M660" s="403"/>
      <c r="N660" s="403"/>
      <c r="O660" s="403"/>
      <c r="P660" s="403"/>
      <c r="Q660" s="403"/>
      <c r="R660" s="403"/>
      <c r="S660" s="403"/>
    </row>
    <row r="661" spans="5:19" x14ac:dyDescent="0.25">
      <c r="F661" s="167" t="s">
        <v>84</v>
      </c>
      <c r="G661" s="167" t="s">
        <v>137</v>
      </c>
      <c r="H661" s="167" t="s">
        <v>696</v>
      </c>
      <c r="I661" s="121"/>
      <c r="J661" s="403"/>
      <c r="K661" s="398"/>
      <c r="L661" s="403"/>
      <c r="M661" s="403"/>
      <c r="N661" s="403"/>
      <c r="O661" s="403"/>
      <c r="P661" s="403"/>
      <c r="Q661" s="403"/>
      <c r="R661" s="403"/>
      <c r="S661" s="403"/>
    </row>
    <row r="662" spans="5:19" x14ac:dyDescent="0.25">
      <c r="F662" s="167" t="s">
        <v>54</v>
      </c>
      <c r="G662" s="167" t="s">
        <v>137</v>
      </c>
      <c r="H662" s="167" t="s">
        <v>696</v>
      </c>
      <c r="I662" s="121"/>
      <c r="J662" s="403"/>
      <c r="K662" s="398"/>
      <c r="L662" s="403"/>
      <c r="M662" s="403"/>
      <c r="N662" s="403"/>
      <c r="O662" s="403"/>
      <c r="P662" s="403"/>
      <c r="Q662" s="403"/>
      <c r="R662" s="403"/>
      <c r="S662" s="403"/>
    </row>
    <row r="663" spans="5:19" x14ac:dyDescent="0.25">
      <c r="F663" s="167" t="s">
        <v>55</v>
      </c>
      <c r="G663" s="167" t="s">
        <v>137</v>
      </c>
      <c r="H663" s="167" t="s">
        <v>696</v>
      </c>
      <c r="I663" s="121"/>
      <c r="J663" s="403"/>
      <c r="K663" s="398"/>
      <c r="L663" s="403"/>
      <c r="M663" s="403"/>
      <c r="N663" s="403"/>
      <c r="O663" s="403"/>
      <c r="P663" s="403"/>
      <c r="Q663" s="403"/>
      <c r="R663" s="403"/>
      <c r="S663" s="403"/>
    </row>
    <row r="664" spans="5:19" x14ac:dyDescent="0.25">
      <c r="F664" s="167" t="s">
        <v>85</v>
      </c>
      <c r="G664" s="167" t="s">
        <v>137</v>
      </c>
      <c r="H664" s="167" t="s">
        <v>696</v>
      </c>
      <c r="I664" s="121"/>
      <c r="J664" s="403"/>
      <c r="K664" s="398"/>
      <c r="L664" s="403"/>
      <c r="M664" s="403"/>
      <c r="N664" s="403"/>
      <c r="O664" s="403"/>
      <c r="P664" s="403"/>
      <c r="Q664" s="403"/>
      <c r="R664" s="403"/>
      <c r="S664" s="403"/>
    </row>
    <row r="665" spans="5:19" x14ac:dyDescent="0.25">
      <c r="F665" s="167" t="s">
        <v>56</v>
      </c>
      <c r="G665" s="167" t="s">
        <v>137</v>
      </c>
      <c r="H665" s="167" t="s">
        <v>696</v>
      </c>
      <c r="I665" s="121"/>
      <c r="J665" s="403"/>
      <c r="K665" s="398"/>
      <c r="L665" s="403"/>
      <c r="M665" s="403"/>
      <c r="N665" s="403"/>
      <c r="O665" s="403"/>
      <c r="P665" s="403"/>
      <c r="Q665" s="403"/>
      <c r="R665" s="403"/>
      <c r="S665" s="403"/>
    </row>
    <row r="666" spans="5:19" x14ac:dyDescent="0.25">
      <c r="F666" s="167" t="s">
        <v>57</v>
      </c>
      <c r="G666" s="167" t="s">
        <v>137</v>
      </c>
      <c r="H666" s="167" t="s">
        <v>696</v>
      </c>
      <c r="I666" s="121"/>
      <c r="J666" s="403"/>
      <c r="K666" s="398"/>
      <c r="L666" s="403"/>
      <c r="M666" s="403"/>
      <c r="N666" s="403"/>
      <c r="O666" s="403"/>
      <c r="P666" s="403"/>
      <c r="Q666" s="403"/>
      <c r="R666" s="403"/>
      <c r="S666" s="403"/>
    </row>
    <row r="667" spans="5:19" x14ac:dyDescent="0.25">
      <c r="F667" s="167" t="s">
        <v>72</v>
      </c>
      <c r="G667" s="167" t="s">
        <v>137</v>
      </c>
      <c r="H667" s="167" t="s">
        <v>696</v>
      </c>
      <c r="I667" s="121"/>
      <c r="J667" s="403"/>
      <c r="K667" s="398"/>
      <c r="L667" s="403"/>
      <c r="M667" s="403"/>
      <c r="N667" s="403"/>
      <c r="O667" s="403"/>
      <c r="P667" s="403"/>
      <c r="Q667" s="403"/>
      <c r="R667" s="403"/>
      <c r="S667" s="403"/>
    </row>
    <row r="668" spans="5:19" x14ac:dyDescent="0.25">
      <c r="F668" s="167" t="s">
        <v>58</v>
      </c>
      <c r="G668" s="167" t="s">
        <v>137</v>
      </c>
      <c r="H668" s="167" t="s">
        <v>696</v>
      </c>
      <c r="I668" s="121"/>
      <c r="J668" s="397">
        <f t="shared" ref="J668:J672" si="47">CHOOSE(year_selection, L668,M668,N668,O668,P668,Q668,R668,S668)</f>
        <v>3.4553003774553748</v>
      </c>
      <c r="K668" s="398"/>
      <c r="L668" s="521">
        <v>0</v>
      </c>
      <c r="M668" s="521">
        <v>0</v>
      </c>
      <c r="N668" s="521">
        <v>0</v>
      </c>
      <c r="O668" s="521">
        <v>3.4553003774553748</v>
      </c>
      <c r="P668" s="521">
        <v>3.4553003774553748</v>
      </c>
      <c r="Q668" s="521">
        <v>3.4553003774553748</v>
      </c>
      <c r="R668" s="521">
        <v>3.4553003774553748</v>
      </c>
      <c r="S668" s="521">
        <v>3.4553003774553748</v>
      </c>
    </row>
    <row r="669" spans="5:19" x14ac:dyDescent="0.25">
      <c r="F669" s="167" t="s">
        <v>59</v>
      </c>
      <c r="G669" s="167" t="s">
        <v>137</v>
      </c>
      <c r="H669" s="167" t="s">
        <v>696</v>
      </c>
      <c r="I669" s="121"/>
      <c r="J669" s="397">
        <f t="shared" si="47"/>
        <v>142.96120727923861</v>
      </c>
      <c r="K669" s="398"/>
      <c r="L669" s="521">
        <v>0</v>
      </c>
      <c r="M669" s="521">
        <v>1385.5248997577792</v>
      </c>
      <c r="N669" s="521">
        <v>469.19316157588042</v>
      </c>
      <c r="O669" s="521">
        <v>142.96120727923861</v>
      </c>
      <c r="P669" s="521">
        <v>142.96120727923861</v>
      </c>
      <c r="Q669" s="521">
        <v>142.96120727923861</v>
      </c>
      <c r="R669" s="521">
        <v>142.96120727923861</v>
      </c>
      <c r="S669" s="521">
        <v>142.96120727923861</v>
      </c>
    </row>
    <row r="670" spans="5:19" x14ac:dyDescent="0.25">
      <c r="F670" s="167" t="s">
        <v>60</v>
      </c>
      <c r="G670" s="167" t="s">
        <v>137</v>
      </c>
      <c r="H670" s="167" t="s">
        <v>696</v>
      </c>
      <c r="I670" s="121"/>
      <c r="J670" s="397">
        <f t="shared" si="47"/>
        <v>22437.37026037119</v>
      </c>
      <c r="K670" s="398"/>
      <c r="L670" s="521">
        <v>6059.2682139118961</v>
      </c>
      <c r="M670" s="521">
        <v>15976.861404997737</v>
      </c>
      <c r="N670" s="521">
        <v>1392.8886042287181</v>
      </c>
      <c r="O670" s="521">
        <v>22437.37026037119</v>
      </c>
      <c r="P670" s="521">
        <v>22437.37026037119</v>
      </c>
      <c r="Q670" s="521">
        <v>22437.37026037119</v>
      </c>
      <c r="R670" s="521">
        <v>22437.37026037119</v>
      </c>
      <c r="S670" s="521">
        <v>22437.37026037119</v>
      </c>
    </row>
    <row r="671" spans="5:19" x14ac:dyDescent="0.25">
      <c r="F671" s="167" t="s">
        <v>61</v>
      </c>
      <c r="G671" s="167" t="s">
        <v>137</v>
      </c>
      <c r="H671" s="167" t="s">
        <v>696</v>
      </c>
      <c r="I671" s="121"/>
      <c r="J671" s="397">
        <f t="shared" si="47"/>
        <v>26827.416415695428</v>
      </c>
      <c r="K671" s="398"/>
      <c r="L671" s="521">
        <v>0</v>
      </c>
      <c r="M671" s="521">
        <v>1687.905379016865</v>
      </c>
      <c r="N671" s="521">
        <v>819.5154802890321</v>
      </c>
      <c r="O671" s="521">
        <v>26827.416415695428</v>
      </c>
      <c r="P671" s="521">
        <v>37487.131312430341</v>
      </c>
      <c r="Q671" s="521">
        <v>48146.846539705577</v>
      </c>
      <c r="R671" s="521">
        <v>58806.561767526677</v>
      </c>
      <c r="S671" s="521">
        <v>69466.276995347769</v>
      </c>
    </row>
    <row r="672" spans="5:19" x14ac:dyDescent="0.25">
      <c r="F672" s="167" t="s">
        <v>73</v>
      </c>
      <c r="G672" s="167" t="s">
        <v>137</v>
      </c>
      <c r="H672" s="167" t="s">
        <v>696</v>
      </c>
      <c r="I672" s="121"/>
      <c r="J672" s="397">
        <f t="shared" si="47"/>
        <v>4039.9979659290289</v>
      </c>
      <c r="K672" s="398"/>
      <c r="L672" s="521">
        <v>0</v>
      </c>
      <c r="M672" s="521">
        <v>7763.9757053683143</v>
      </c>
      <c r="N672" s="521">
        <v>6919.1925009030092</v>
      </c>
      <c r="O672" s="521">
        <v>4039.9979659290289</v>
      </c>
      <c r="P672" s="521">
        <v>4110.9087284726493</v>
      </c>
      <c r="Q672" s="521">
        <v>4173.6836568543031</v>
      </c>
      <c r="R672" s="521">
        <v>4236.458585235956</v>
      </c>
      <c r="S672" s="521">
        <v>4299.2335136176098</v>
      </c>
    </row>
    <row r="673" spans="6:19" x14ac:dyDescent="0.25">
      <c r="F673" s="167" t="s">
        <v>86</v>
      </c>
      <c r="G673" s="167" t="s">
        <v>137</v>
      </c>
      <c r="H673" s="167" t="s">
        <v>696</v>
      </c>
      <c r="I673" s="121"/>
      <c r="J673" s="403"/>
      <c r="K673" s="398"/>
      <c r="L673" s="403"/>
      <c r="M673" s="403"/>
      <c r="N673" s="403"/>
      <c r="O673" s="403"/>
      <c r="P673" s="403"/>
      <c r="Q673" s="403"/>
      <c r="R673" s="403"/>
      <c r="S673" s="403"/>
    </row>
    <row r="674" spans="6:19" x14ac:dyDescent="0.25">
      <c r="F674" s="167" t="s">
        <v>87</v>
      </c>
      <c r="G674" s="167" t="s">
        <v>137</v>
      </c>
      <c r="H674" s="167" t="s">
        <v>696</v>
      </c>
      <c r="I674" s="121"/>
      <c r="J674" s="403"/>
      <c r="K674" s="398"/>
      <c r="L674" s="403"/>
      <c r="M674" s="403"/>
      <c r="N674" s="403"/>
      <c r="O674" s="403"/>
      <c r="P674" s="403"/>
      <c r="Q674" s="403"/>
      <c r="R674" s="403"/>
      <c r="S674" s="403"/>
    </row>
    <row r="675" spans="6:19" x14ac:dyDescent="0.25">
      <c r="F675" s="167" t="s">
        <v>88</v>
      </c>
      <c r="G675" s="167" t="s">
        <v>137</v>
      </c>
      <c r="H675" s="167" t="s">
        <v>696</v>
      </c>
      <c r="I675" s="121"/>
      <c r="J675" s="403"/>
      <c r="K675" s="398"/>
      <c r="L675" s="403"/>
      <c r="M675" s="403"/>
      <c r="N675" s="403"/>
      <c r="O675" s="403"/>
      <c r="P675" s="403"/>
      <c r="Q675" s="403"/>
      <c r="R675" s="403"/>
      <c r="S675" s="403"/>
    </row>
    <row r="676" spans="6:19" x14ac:dyDescent="0.25">
      <c r="F676" s="167" t="s">
        <v>89</v>
      </c>
      <c r="G676" s="167" t="s">
        <v>137</v>
      </c>
      <c r="H676" s="167" t="s">
        <v>696</v>
      </c>
      <c r="I676" s="121"/>
      <c r="J676" s="403"/>
      <c r="K676" s="398"/>
      <c r="L676" s="403"/>
      <c r="M676" s="403"/>
      <c r="N676" s="403"/>
      <c r="O676" s="403"/>
      <c r="P676" s="403"/>
      <c r="Q676" s="403"/>
      <c r="R676" s="403"/>
      <c r="S676" s="403"/>
    </row>
    <row r="677" spans="6:19" x14ac:dyDescent="0.25">
      <c r="F677" s="167" t="s">
        <v>90</v>
      </c>
      <c r="G677" s="167" t="s">
        <v>137</v>
      </c>
      <c r="H677" s="167" t="s">
        <v>696</v>
      </c>
      <c r="I677" s="121"/>
      <c r="J677" s="397">
        <f t="shared" ref="J677" si="48">CHOOSE(year_selection, L677,M677,N677,O677,P677,Q677,R677,S677)</f>
        <v>0</v>
      </c>
      <c r="K677" s="398"/>
      <c r="L677" s="521">
        <v>0</v>
      </c>
      <c r="M677" s="521">
        <v>0</v>
      </c>
      <c r="N677" s="521">
        <v>0</v>
      </c>
      <c r="O677" s="521">
        <v>0</v>
      </c>
      <c r="P677" s="521">
        <v>0</v>
      </c>
      <c r="Q677" s="521">
        <v>0</v>
      </c>
      <c r="R677" s="521">
        <v>0</v>
      </c>
      <c r="S677" s="521">
        <v>0</v>
      </c>
    </row>
    <row r="678" spans="6:19" x14ac:dyDescent="0.25">
      <c r="F678" s="167" t="s">
        <v>62</v>
      </c>
      <c r="G678" s="167" t="s">
        <v>137</v>
      </c>
      <c r="H678" s="167" t="s">
        <v>696</v>
      </c>
      <c r="I678" s="121"/>
      <c r="J678" s="403"/>
      <c r="K678" s="398"/>
      <c r="L678" s="403"/>
      <c r="M678" s="403"/>
      <c r="N678" s="403"/>
      <c r="O678" s="403"/>
      <c r="P678" s="403"/>
      <c r="Q678" s="403"/>
      <c r="R678" s="403"/>
      <c r="S678" s="403"/>
    </row>
    <row r="679" spans="6:19" x14ac:dyDescent="0.25">
      <c r="F679" s="167" t="s">
        <v>63</v>
      </c>
      <c r="G679" s="167" t="s">
        <v>137</v>
      </c>
      <c r="H679" s="167" t="s">
        <v>696</v>
      </c>
      <c r="I679" s="121"/>
      <c r="J679" s="403"/>
      <c r="K679" s="398"/>
      <c r="L679" s="403"/>
      <c r="M679" s="403"/>
      <c r="N679" s="403"/>
      <c r="O679" s="403"/>
      <c r="P679" s="403"/>
      <c r="Q679" s="403"/>
      <c r="R679" s="403"/>
      <c r="S679" s="403"/>
    </row>
    <row r="680" spans="6:19" x14ac:dyDescent="0.25">
      <c r="F680" s="167" t="s">
        <v>64</v>
      </c>
      <c r="G680" s="167" t="s">
        <v>137</v>
      </c>
      <c r="H680" s="167" t="s">
        <v>696</v>
      </c>
      <c r="I680" s="121"/>
      <c r="J680" s="403"/>
      <c r="K680" s="398"/>
      <c r="L680" s="403"/>
      <c r="M680" s="403"/>
      <c r="N680" s="403"/>
      <c r="O680" s="403"/>
      <c r="P680" s="403"/>
      <c r="Q680" s="403"/>
      <c r="R680" s="403"/>
      <c r="S680" s="403"/>
    </row>
    <row r="681" spans="6:19" x14ac:dyDescent="0.25">
      <c r="F681" s="167" t="s">
        <v>65</v>
      </c>
      <c r="G681" s="167" t="s">
        <v>137</v>
      </c>
      <c r="H681" s="167" t="s">
        <v>696</v>
      </c>
      <c r="I681" s="121"/>
      <c r="J681" s="403"/>
      <c r="K681" s="398"/>
      <c r="L681" s="403"/>
      <c r="M681" s="403"/>
      <c r="N681" s="403"/>
      <c r="O681" s="403"/>
      <c r="P681" s="403"/>
      <c r="Q681" s="403"/>
      <c r="R681" s="403"/>
      <c r="S681" s="403"/>
    </row>
    <row r="682" spans="6:19" x14ac:dyDescent="0.25">
      <c r="F682" s="167" t="s">
        <v>66</v>
      </c>
      <c r="G682" s="167" t="s">
        <v>137</v>
      </c>
      <c r="H682" s="167" t="s">
        <v>696</v>
      </c>
      <c r="I682" s="121"/>
      <c r="J682" s="397">
        <f t="shared" ref="J682" si="49">CHOOSE(year_selection, L682,M682,N682,O682,P682,Q682,R682,S682)</f>
        <v>6068.5133861525028</v>
      </c>
      <c r="K682" s="398"/>
      <c r="L682" s="521">
        <v>0</v>
      </c>
      <c r="M682" s="521">
        <v>0</v>
      </c>
      <c r="N682" s="521">
        <v>0</v>
      </c>
      <c r="O682" s="521">
        <v>6068.5133861525028</v>
      </c>
      <c r="P682" s="521">
        <v>8360.5206560120751</v>
      </c>
      <c r="Q682" s="521">
        <v>10652.528194846656</v>
      </c>
      <c r="R682" s="521">
        <v>12944.535734093721</v>
      </c>
      <c r="S682" s="521">
        <v>15236.543273340785</v>
      </c>
    </row>
    <row r="683" spans="6:19" x14ac:dyDescent="0.25">
      <c r="F683" s="167" t="s">
        <v>67</v>
      </c>
      <c r="G683" s="167" t="s">
        <v>137</v>
      </c>
      <c r="H683" s="167" t="s">
        <v>696</v>
      </c>
      <c r="I683" s="121"/>
      <c r="J683" s="403"/>
      <c r="K683" s="398"/>
      <c r="L683" s="403"/>
      <c r="M683" s="403"/>
      <c r="N683" s="403"/>
      <c r="O683" s="403"/>
      <c r="P683" s="403"/>
      <c r="Q683" s="403"/>
      <c r="R683" s="403"/>
      <c r="S683" s="403"/>
    </row>
    <row r="684" spans="6:19" x14ac:dyDescent="0.25">
      <c r="F684" s="167" t="s">
        <v>68</v>
      </c>
      <c r="G684" s="167" t="s">
        <v>137</v>
      </c>
      <c r="H684" s="167" t="s">
        <v>696</v>
      </c>
      <c r="I684" s="121"/>
      <c r="J684" s="403"/>
      <c r="K684" s="398"/>
      <c r="L684" s="403"/>
      <c r="M684" s="403"/>
      <c r="N684" s="403"/>
      <c r="O684" s="403"/>
      <c r="P684" s="403"/>
      <c r="Q684" s="403"/>
      <c r="R684" s="403"/>
      <c r="S684" s="403"/>
    </row>
    <row r="685" spans="6:19" x14ac:dyDescent="0.25">
      <c r="F685" s="167" t="s">
        <v>69</v>
      </c>
      <c r="G685" s="167" t="s">
        <v>137</v>
      </c>
      <c r="H685" s="167" t="s">
        <v>696</v>
      </c>
      <c r="I685" s="121"/>
      <c r="J685" s="403"/>
      <c r="K685" s="398"/>
      <c r="L685" s="403"/>
      <c r="M685" s="403"/>
      <c r="N685" s="403"/>
      <c r="O685" s="403"/>
      <c r="P685" s="403"/>
      <c r="Q685" s="403"/>
      <c r="R685" s="403"/>
      <c r="S685" s="403"/>
    </row>
    <row r="686" spans="6:19" x14ac:dyDescent="0.25">
      <c r="F686" s="167" t="s">
        <v>70</v>
      </c>
      <c r="G686" s="167" t="s">
        <v>137</v>
      </c>
      <c r="H686" s="167" t="s">
        <v>696</v>
      </c>
      <c r="I686" s="121"/>
      <c r="J686" s="397">
        <f t="shared" ref="J686" si="50">CHOOSE(year_selection, L686,M686,N686,O686,P686,Q686,R686,S686)</f>
        <v>0</v>
      </c>
      <c r="K686" s="398"/>
      <c r="L686" s="521">
        <v>0</v>
      </c>
      <c r="M686" s="521">
        <v>0</v>
      </c>
      <c r="N686" s="521">
        <v>0</v>
      </c>
      <c r="O686" s="521">
        <v>0</v>
      </c>
      <c r="P686" s="521">
        <v>0</v>
      </c>
      <c r="Q686" s="521">
        <v>0</v>
      </c>
      <c r="R686" s="521">
        <v>0</v>
      </c>
      <c r="S686" s="521">
        <v>0</v>
      </c>
    </row>
    <row r="687" spans="6:19" x14ac:dyDescent="0.25">
      <c r="F687" s="167" t="s">
        <v>71</v>
      </c>
      <c r="G687" s="167" t="s">
        <v>137</v>
      </c>
      <c r="H687" s="167" t="s">
        <v>696</v>
      </c>
      <c r="I687" s="121"/>
      <c r="J687" s="403"/>
      <c r="K687" s="398"/>
      <c r="L687" s="403"/>
      <c r="M687" s="403"/>
      <c r="N687" s="403"/>
      <c r="O687" s="403"/>
      <c r="P687" s="403"/>
      <c r="Q687" s="403"/>
      <c r="R687" s="403"/>
      <c r="S687" s="403"/>
    </row>
    <row r="688" spans="6:19" x14ac:dyDescent="0.25">
      <c r="F688" s="167" t="s">
        <v>74</v>
      </c>
      <c r="G688" s="167" t="s">
        <v>137</v>
      </c>
      <c r="H688" s="167" t="s">
        <v>696</v>
      </c>
      <c r="I688" s="121"/>
      <c r="J688" s="403"/>
      <c r="K688" s="398"/>
      <c r="L688" s="403"/>
      <c r="M688" s="403"/>
      <c r="N688" s="403"/>
      <c r="O688" s="403"/>
      <c r="P688" s="403"/>
      <c r="Q688" s="403"/>
      <c r="R688" s="403"/>
      <c r="S688" s="403"/>
    </row>
    <row r="689" spans="5:19" x14ac:dyDescent="0.25">
      <c r="F689" s="167" t="s">
        <v>75</v>
      </c>
      <c r="G689" s="167" t="s">
        <v>137</v>
      </c>
      <c r="H689" s="167" t="s">
        <v>696</v>
      </c>
      <c r="I689" s="121"/>
      <c r="J689" s="403"/>
      <c r="K689" s="398"/>
      <c r="L689" s="403"/>
      <c r="M689" s="403"/>
      <c r="N689" s="403"/>
      <c r="O689" s="403"/>
      <c r="P689" s="403"/>
      <c r="Q689" s="403"/>
      <c r="R689" s="403"/>
      <c r="S689" s="403"/>
    </row>
    <row r="690" spans="5:19" x14ac:dyDescent="0.25">
      <c r="F690" s="167" t="s">
        <v>76</v>
      </c>
      <c r="G690" s="167" t="s">
        <v>137</v>
      </c>
      <c r="H690" s="167" t="s">
        <v>696</v>
      </c>
      <c r="I690" s="121"/>
      <c r="J690" s="397">
        <f t="shared" ref="J690" si="51">CHOOSE(year_selection, L690,M690,N690,O690,P690,Q690,R690,S690)</f>
        <v>0</v>
      </c>
      <c r="K690" s="398"/>
      <c r="L690" s="521">
        <v>0</v>
      </c>
      <c r="M690" s="521">
        <v>0</v>
      </c>
      <c r="N690" s="521">
        <v>0</v>
      </c>
      <c r="O690" s="521">
        <v>0</v>
      </c>
      <c r="P690" s="521">
        <v>0</v>
      </c>
      <c r="Q690" s="521">
        <v>0</v>
      </c>
      <c r="R690" s="521">
        <v>0</v>
      </c>
      <c r="S690" s="521">
        <v>0</v>
      </c>
    </row>
    <row r="691" spans="5:19" x14ac:dyDescent="0.25">
      <c r="F691" s="168" t="s">
        <v>77</v>
      </c>
      <c r="G691" s="168" t="s">
        <v>137</v>
      </c>
      <c r="H691" s="168" t="s">
        <v>696</v>
      </c>
      <c r="I691" s="262"/>
      <c r="J691" s="404"/>
      <c r="K691" s="400"/>
      <c r="L691" s="404"/>
      <c r="M691" s="404"/>
      <c r="N691" s="404"/>
      <c r="O691" s="404"/>
      <c r="P691" s="404"/>
      <c r="Q691" s="404"/>
      <c r="R691" s="404"/>
      <c r="S691" s="404"/>
    </row>
    <row r="692" spans="5:19" x14ac:dyDescent="0.25">
      <c r="J692" s="401"/>
      <c r="K692" s="401"/>
      <c r="L692" s="401"/>
      <c r="M692" s="401"/>
      <c r="N692" s="401"/>
      <c r="O692" s="401"/>
      <c r="P692" s="401"/>
      <c r="Q692" s="401"/>
      <c r="R692" s="401"/>
      <c r="S692" s="401"/>
    </row>
    <row r="693" spans="5:19" x14ac:dyDescent="0.25">
      <c r="E693" s="261" t="s">
        <v>91</v>
      </c>
      <c r="J693" s="401"/>
      <c r="K693" s="401"/>
      <c r="L693" s="401"/>
      <c r="M693" s="401"/>
      <c r="N693" s="401"/>
      <c r="O693" s="401"/>
      <c r="P693" s="401"/>
      <c r="Q693" s="401"/>
      <c r="R693" s="401"/>
      <c r="S693" s="401"/>
    </row>
    <row r="694" spans="5:19" x14ac:dyDescent="0.25">
      <c r="F694" s="166" t="s">
        <v>52</v>
      </c>
      <c r="G694" s="166" t="s">
        <v>91</v>
      </c>
      <c r="H694" s="166" t="s">
        <v>696</v>
      </c>
      <c r="I694" s="201"/>
      <c r="J694" s="395">
        <f t="shared" ref="J694:J725" si="52">CHOOSE(year_selection, L694,M694,N694,O694,P694,Q694,R694,S694)</f>
        <v>49309.356739824492</v>
      </c>
      <c r="K694" s="396"/>
      <c r="L694" s="520">
        <v>12724.528470233368</v>
      </c>
      <c r="M694" s="520">
        <v>15284.448201083729</v>
      </c>
      <c r="N694" s="520">
        <v>33137.172747956858</v>
      </c>
      <c r="O694" s="520">
        <v>49309.356739824492</v>
      </c>
      <c r="P694" s="520">
        <v>51030.328396443947</v>
      </c>
      <c r="Q694" s="520">
        <v>52415.394438240757</v>
      </c>
      <c r="R694" s="520">
        <v>53698.64228969036</v>
      </c>
      <c r="S694" s="520">
        <v>54981.890141139964</v>
      </c>
    </row>
    <row r="695" spans="5:19" x14ac:dyDescent="0.25">
      <c r="F695" s="167" t="s">
        <v>53</v>
      </c>
      <c r="G695" s="167" t="s">
        <v>91</v>
      </c>
      <c r="H695" s="167" t="s">
        <v>696</v>
      </c>
      <c r="I695" s="121"/>
      <c r="J695" s="397">
        <f t="shared" si="52"/>
        <v>3797.6520885792729</v>
      </c>
      <c r="K695" s="398"/>
      <c r="L695" s="521">
        <v>587.39188167707732</v>
      </c>
      <c r="M695" s="521">
        <v>620.1702554018525</v>
      </c>
      <c r="N695" s="521">
        <v>1152.6555795554448</v>
      </c>
      <c r="O695" s="521">
        <v>3797.6520885792729</v>
      </c>
      <c r="P695" s="521">
        <v>4908.989725200011</v>
      </c>
      <c r="Q695" s="521">
        <v>6020.3273596176705</v>
      </c>
      <c r="R695" s="521">
        <v>7131.6649940262796</v>
      </c>
      <c r="S695" s="521">
        <v>8243.0026284348896</v>
      </c>
    </row>
    <row r="696" spans="5:19" x14ac:dyDescent="0.25">
      <c r="F696" s="167" t="s">
        <v>84</v>
      </c>
      <c r="G696" s="167" t="s">
        <v>91</v>
      </c>
      <c r="H696" s="167" t="s">
        <v>696</v>
      </c>
      <c r="I696" s="121"/>
      <c r="J696" s="397">
        <f t="shared" si="52"/>
        <v>536.27962963224388</v>
      </c>
      <c r="K696" s="398"/>
      <c r="L696" s="521">
        <v>0</v>
      </c>
      <c r="M696" s="521">
        <v>0</v>
      </c>
      <c r="N696" s="521">
        <v>591.43990993021191</v>
      </c>
      <c r="O696" s="521">
        <v>536.27962963224388</v>
      </c>
      <c r="P696" s="521">
        <v>536.41296296294888</v>
      </c>
      <c r="Q696" s="521">
        <v>536.54629629629699</v>
      </c>
      <c r="R696" s="521">
        <v>536.67962962963054</v>
      </c>
      <c r="S696" s="521">
        <v>536.81296296296409</v>
      </c>
    </row>
    <row r="697" spans="5:19" x14ac:dyDescent="0.25">
      <c r="F697" s="167" t="s">
        <v>54</v>
      </c>
      <c r="G697" s="167" t="s">
        <v>91</v>
      </c>
      <c r="H697" s="167" t="s">
        <v>696</v>
      </c>
      <c r="I697" s="121"/>
      <c r="J697" s="397">
        <f t="shared" si="52"/>
        <v>2173.8834441108206</v>
      </c>
      <c r="K697" s="398"/>
      <c r="L697" s="521">
        <v>500.1704497846813</v>
      </c>
      <c r="M697" s="521">
        <v>558.60967516964297</v>
      </c>
      <c r="N697" s="521">
        <v>1076.239575765499</v>
      </c>
      <c r="O697" s="521">
        <v>2173.8834441108206</v>
      </c>
      <c r="P697" s="521">
        <v>2619.4275388197907</v>
      </c>
      <c r="Q697" s="521">
        <v>3064.9716248506643</v>
      </c>
      <c r="R697" s="521">
        <v>3510.5157108721646</v>
      </c>
      <c r="S697" s="521">
        <v>3956.059796893665</v>
      </c>
    </row>
    <row r="698" spans="5:19" x14ac:dyDescent="0.25">
      <c r="F698" s="167" t="s">
        <v>55</v>
      </c>
      <c r="G698" s="167" t="s">
        <v>91</v>
      </c>
      <c r="H698" s="167" t="s">
        <v>696</v>
      </c>
      <c r="I698" s="121"/>
      <c r="J698" s="397">
        <f t="shared" si="52"/>
        <v>74.916666636388058</v>
      </c>
      <c r="K698" s="398"/>
      <c r="L698" s="521">
        <v>34.018250443064666</v>
      </c>
      <c r="M698" s="521">
        <v>41.675441163004479</v>
      </c>
      <c r="N698" s="521">
        <v>69.608421362763877</v>
      </c>
      <c r="O698" s="521">
        <v>74.916666636388058</v>
      </c>
      <c r="P698" s="521">
        <v>79.368279569983983</v>
      </c>
      <c r="Q698" s="521">
        <v>83.819892473118628</v>
      </c>
      <c r="R698" s="521">
        <v>88.271505376344336</v>
      </c>
      <c r="S698" s="521">
        <v>92.723118279570045</v>
      </c>
    </row>
    <row r="699" spans="5:19" x14ac:dyDescent="0.25">
      <c r="F699" s="167" t="s">
        <v>85</v>
      </c>
      <c r="G699" s="167" t="s">
        <v>91</v>
      </c>
      <c r="H699" s="167" t="s">
        <v>696</v>
      </c>
      <c r="I699" s="121"/>
      <c r="J699" s="397">
        <f t="shared" si="52"/>
        <v>0</v>
      </c>
      <c r="K699" s="398"/>
      <c r="L699" s="521">
        <v>0</v>
      </c>
      <c r="M699" s="521">
        <v>0</v>
      </c>
      <c r="N699" s="521">
        <v>0</v>
      </c>
      <c r="O699" s="521">
        <v>0</v>
      </c>
      <c r="P699" s="521">
        <v>0</v>
      </c>
      <c r="Q699" s="521">
        <v>0</v>
      </c>
      <c r="R699" s="521">
        <v>0</v>
      </c>
      <c r="S699" s="521">
        <v>0</v>
      </c>
    </row>
    <row r="700" spans="5:19" x14ac:dyDescent="0.25">
      <c r="F700" s="167" t="s">
        <v>56</v>
      </c>
      <c r="G700" s="167" t="s">
        <v>91</v>
      </c>
      <c r="H700" s="167" t="s">
        <v>696</v>
      </c>
      <c r="I700" s="121"/>
      <c r="J700" s="397">
        <f t="shared" si="52"/>
        <v>19.806451612903228</v>
      </c>
      <c r="K700" s="398"/>
      <c r="L700" s="521">
        <v>39.883466036696475</v>
      </c>
      <c r="M700" s="521">
        <v>0</v>
      </c>
      <c r="N700" s="521">
        <v>25.163105725607416</v>
      </c>
      <c r="O700" s="521">
        <v>19.806451612903228</v>
      </c>
      <c r="P700" s="521">
        <v>19.806451612903228</v>
      </c>
      <c r="Q700" s="521">
        <v>19.806451612903228</v>
      </c>
      <c r="R700" s="521">
        <v>19.806451612903228</v>
      </c>
      <c r="S700" s="521">
        <v>19.806451612903228</v>
      </c>
    </row>
    <row r="701" spans="5:19" x14ac:dyDescent="0.25">
      <c r="F701" s="167" t="s">
        <v>57</v>
      </c>
      <c r="G701" s="167" t="s">
        <v>91</v>
      </c>
      <c r="H701" s="167" t="s">
        <v>696</v>
      </c>
      <c r="I701" s="121"/>
      <c r="J701" s="403"/>
      <c r="K701" s="398"/>
      <c r="L701" s="403"/>
      <c r="M701" s="403"/>
      <c r="N701" s="403"/>
      <c r="O701" s="403"/>
      <c r="P701" s="403"/>
      <c r="Q701" s="403"/>
      <c r="R701" s="403"/>
      <c r="S701" s="403"/>
    </row>
    <row r="702" spans="5:19" x14ac:dyDescent="0.25">
      <c r="F702" s="167" t="s">
        <v>72</v>
      </c>
      <c r="G702" s="167" t="s">
        <v>91</v>
      </c>
      <c r="H702" s="167" t="s">
        <v>696</v>
      </c>
      <c r="I702" s="121"/>
      <c r="J702" s="403"/>
      <c r="K702" s="398"/>
      <c r="L702" s="403"/>
      <c r="M702" s="403"/>
      <c r="N702" s="403"/>
      <c r="O702" s="403"/>
      <c r="P702" s="403"/>
      <c r="Q702" s="403"/>
      <c r="R702" s="403"/>
      <c r="S702" s="403"/>
    </row>
    <row r="703" spans="5:19" x14ac:dyDescent="0.25">
      <c r="F703" s="167" t="s">
        <v>58</v>
      </c>
      <c r="G703" s="167" t="s">
        <v>91</v>
      </c>
      <c r="H703" s="167" t="s">
        <v>696</v>
      </c>
      <c r="I703" s="121"/>
      <c r="J703" s="397">
        <f t="shared" si="52"/>
        <v>1</v>
      </c>
      <c r="K703" s="398"/>
      <c r="L703" s="521">
        <v>0</v>
      </c>
      <c r="M703" s="521">
        <v>0</v>
      </c>
      <c r="N703" s="521">
        <v>0</v>
      </c>
      <c r="O703" s="521">
        <v>1</v>
      </c>
      <c r="P703" s="521">
        <v>1</v>
      </c>
      <c r="Q703" s="521">
        <v>1</v>
      </c>
      <c r="R703" s="521">
        <v>1</v>
      </c>
      <c r="S703" s="521">
        <v>1</v>
      </c>
    </row>
    <row r="704" spans="5:19" x14ac:dyDescent="0.25">
      <c r="F704" s="167" t="s">
        <v>59</v>
      </c>
      <c r="G704" s="167" t="s">
        <v>91</v>
      </c>
      <c r="H704" s="167" t="s">
        <v>696</v>
      </c>
      <c r="I704" s="121"/>
      <c r="J704" s="397">
        <f t="shared" si="52"/>
        <v>12</v>
      </c>
      <c r="K704" s="398"/>
      <c r="L704" s="521">
        <v>0</v>
      </c>
      <c r="M704" s="521">
        <v>48.303820852739491</v>
      </c>
      <c r="N704" s="521">
        <v>9.9440601946805582</v>
      </c>
      <c r="O704" s="521">
        <v>12</v>
      </c>
      <c r="P704" s="521">
        <v>12</v>
      </c>
      <c r="Q704" s="521">
        <v>12</v>
      </c>
      <c r="R704" s="521">
        <v>12</v>
      </c>
      <c r="S704" s="521">
        <v>12</v>
      </c>
    </row>
    <row r="705" spans="6:19" x14ac:dyDescent="0.25">
      <c r="F705" s="167" t="s">
        <v>60</v>
      </c>
      <c r="G705" s="167" t="s">
        <v>91</v>
      </c>
      <c r="H705" s="167" t="s">
        <v>696</v>
      </c>
      <c r="I705" s="121"/>
      <c r="J705" s="397">
        <f t="shared" si="52"/>
        <v>323</v>
      </c>
      <c r="K705" s="398"/>
      <c r="L705" s="521">
        <v>49</v>
      </c>
      <c r="M705" s="521">
        <v>169.08321843276113</v>
      </c>
      <c r="N705" s="521">
        <v>721.35424473168348</v>
      </c>
      <c r="O705" s="521">
        <v>323</v>
      </c>
      <c r="P705" s="521">
        <v>323</v>
      </c>
      <c r="Q705" s="521">
        <v>323</v>
      </c>
      <c r="R705" s="521">
        <v>323</v>
      </c>
      <c r="S705" s="521">
        <v>323</v>
      </c>
    </row>
    <row r="706" spans="6:19" x14ac:dyDescent="0.25">
      <c r="F706" s="167" t="s">
        <v>61</v>
      </c>
      <c r="G706" s="167" t="s">
        <v>91</v>
      </c>
      <c r="H706" s="167" t="s">
        <v>696</v>
      </c>
      <c r="I706" s="121"/>
      <c r="J706" s="397">
        <f t="shared" si="52"/>
        <v>123.02347193221176</v>
      </c>
      <c r="K706" s="398"/>
      <c r="L706" s="521">
        <v>0</v>
      </c>
      <c r="M706" s="521">
        <v>3.5721806711146709</v>
      </c>
      <c r="N706" s="521">
        <v>6.6625203304359708</v>
      </c>
      <c r="O706" s="521">
        <v>123.02347193221176</v>
      </c>
      <c r="P706" s="521">
        <v>172.28537175584552</v>
      </c>
      <c r="Q706" s="521">
        <v>221.54727288636047</v>
      </c>
      <c r="R706" s="521">
        <v>270.80917401931731</v>
      </c>
      <c r="S706" s="521">
        <v>320.07107515227415</v>
      </c>
    </row>
    <row r="707" spans="6:19" x14ac:dyDescent="0.25">
      <c r="F707" s="167" t="s">
        <v>73</v>
      </c>
      <c r="G707" s="167" t="s">
        <v>91</v>
      </c>
      <c r="H707" s="167" t="s">
        <v>696</v>
      </c>
      <c r="I707" s="121"/>
      <c r="J707" s="397">
        <f t="shared" si="52"/>
        <v>2</v>
      </c>
      <c r="K707" s="398"/>
      <c r="L707" s="521">
        <v>0</v>
      </c>
      <c r="M707" s="521">
        <v>3.5721806711146709</v>
      </c>
      <c r="N707" s="521">
        <v>4.4416802202906478</v>
      </c>
      <c r="O707" s="521">
        <v>2</v>
      </c>
      <c r="P707" s="521">
        <v>2</v>
      </c>
      <c r="Q707" s="521">
        <v>2</v>
      </c>
      <c r="R707" s="521">
        <v>2</v>
      </c>
      <c r="S707" s="521">
        <v>2</v>
      </c>
    </row>
    <row r="708" spans="6:19" x14ac:dyDescent="0.25">
      <c r="F708" s="167" t="s">
        <v>86</v>
      </c>
      <c r="G708" s="167" t="s">
        <v>91</v>
      </c>
      <c r="H708" s="167" t="s">
        <v>696</v>
      </c>
      <c r="I708" s="121"/>
      <c r="J708" s="397">
        <f t="shared" si="52"/>
        <v>179.26290356628354</v>
      </c>
      <c r="K708" s="398"/>
      <c r="L708" s="521">
        <v>0</v>
      </c>
      <c r="M708" s="521">
        <v>0</v>
      </c>
      <c r="N708" s="521">
        <v>104.57302011180195</v>
      </c>
      <c r="O708" s="521">
        <v>179.26290356628354</v>
      </c>
      <c r="P708" s="521">
        <v>203.99838709710468</v>
      </c>
      <c r="Q708" s="521">
        <v>228.73387096774195</v>
      </c>
      <c r="R708" s="521">
        <v>253.46935483870993</v>
      </c>
      <c r="S708" s="521">
        <v>278.20483870967792</v>
      </c>
    </row>
    <row r="709" spans="6:19" x14ac:dyDescent="0.25">
      <c r="F709" s="167" t="s">
        <v>87</v>
      </c>
      <c r="G709" s="167" t="s">
        <v>91</v>
      </c>
      <c r="H709" s="167" t="s">
        <v>696</v>
      </c>
      <c r="I709" s="121"/>
      <c r="J709" s="397">
        <f t="shared" si="52"/>
        <v>249.50734817815297</v>
      </c>
      <c r="K709" s="398"/>
      <c r="L709" s="521">
        <v>0</v>
      </c>
      <c r="M709" s="521">
        <v>0</v>
      </c>
      <c r="N709" s="521">
        <v>208.43320436735442</v>
      </c>
      <c r="O709" s="521">
        <v>249.50734817815297</v>
      </c>
      <c r="P709" s="521">
        <v>267.84283154182793</v>
      </c>
      <c r="Q709" s="521">
        <v>286.17831541218567</v>
      </c>
      <c r="R709" s="521">
        <v>304.51379928315339</v>
      </c>
      <c r="S709" s="521">
        <v>322.84928315412111</v>
      </c>
    </row>
    <row r="710" spans="6:19" x14ac:dyDescent="0.25">
      <c r="F710" s="167" t="s">
        <v>88</v>
      </c>
      <c r="G710" s="167" t="s">
        <v>91</v>
      </c>
      <c r="H710" s="167" t="s">
        <v>696</v>
      </c>
      <c r="I710" s="121"/>
      <c r="J710" s="397">
        <f t="shared" si="52"/>
        <v>2</v>
      </c>
      <c r="K710" s="398"/>
      <c r="L710" s="521">
        <v>0</v>
      </c>
      <c r="M710" s="521">
        <v>0</v>
      </c>
      <c r="N710" s="521">
        <v>2.2097911543734567</v>
      </c>
      <c r="O710" s="521">
        <v>2</v>
      </c>
      <c r="P710" s="521">
        <v>2</v>
      </c>
      <c r="Q710" s="521">
        <v>2</v>
      </c>
      <c r="R710" s="521">
        <v>2</v>
      </c>
      <c r="S710" s="521">
        <v>2</v>
      </c>
    </row>
    <row r="711" spans="6:19" x14ac:dyDescent="0.25">
      <c r="F711" s="167" t="s">
        <v>89</v>
      </c>
      <c r="G711" s="167" t="s">
        <v>91</v>
      </c>
      <c r="H711" s="167" t="s">
        <v>696</v>
      </c>
      <c r="I711" s="121"/>
      <c r="J711" s="397">
        <f t="shared" si="52"/>
        <v>2</v>
      </c>
      <c r="K711" s="398"/>
      <c r="L711" s="521">
        <v>0</v>
      </c>
      <c r="M711" s="521">
        <v>0</v>
      </c>
      <c r="N711" s="521">
        <v>2.2097911543734567</v>
      </c>
      <c r="O711" s="521">
        <v>2</v>
      </c>
      <c r="P711" s="521">
        <v>2</v>
      </c>
      <c r="Q711" s="521">
        <v>2</v>
      </c>
      <c r="R711" s="521">
        <v>2</v>
      </c>
      <c r="S711" s="521">
        <v>2</v>
      </c>
    </row>
    <row r="712" spans="6:19" x14ac:dyDescent="0.25">
      <c r="F712" s="167" t="s">
        <v>90</v>
      </c>
      <c r="G712" s="167" t="s">
        <v>91</v>
      </c>
      <c r="H712" s="167" t="s">
        <v>696</v>
      </c>
      <c r="I712" s="121"/>
      <c r="J712" s="397">
        <f t="shared" si="52"/>
        <v>0</v>
      </c>
      <c r="K712" s="398"/>
      <c r="L712" s="521">
        <v>0</v>
      </c>
      <c r="M712" s="521">
        <v>0</v>
      </c>
      <c r="N712" s="521">
        <v>0</v>
      </c>
      <c r="O712" s="521">
        <v>0</v>
      </c>
      <c r="P712" s="521">
        <v>0</v>
      </c>
      <c r="Q712" s="521">
        <v>0</v>
      </c>
      <c r="R712" s="521">
        <v>0</v>
      </c>
      <c r="S712" s="521">
        <v>0</v>
      </c>
    </row>
    <row r="713" spans="6:19" x14ac:dyDescent="0.25">
      <c r="F713" s="167" t="s">
        <v>62</v>
      </c>
      <c r="G713" s="167" t="s">
        <v>91</v>
      </c>
      <c r="H713" s="167" t="s">
        <v>696</v>
      </c>
      <c r="I713" s="121"/>
      <c r="J713" s="397">
        <f t="shared" si="52"/>
        <v>0</v>
      </c>
      <c r="K713" s="398"/>
      <c r="L713" s="521">
        <v>0</v>
      </c>
      <c r="M713" s="521">
        <v>0</v>
      </c>
      <c r="N713" s="521">
        <v>0</v>
      </c>
      <c r="O713" s="521">
        <v>0</v>
      </c>
      <c r="P713" s="521">
        <v>0.64516129032258074</v>
      </c>
      <c r="Q713" s="521">
        <v>0.64516129032258074</v>
      </c>
      <c r="R713" s="521">
        <v>0.64516129032258074</v>
      </c>
      <c r="S713" s="521">
        <v>0.64516129032258074</v>
      </c>
    </row>
    <row r="714" spans="6:19" x14ac:dyDescent="0.25">
      <c r="F714" s="167" t="s">
        <v>63</v>
      </c>
      <c r="G714" s="167" t="s">
        <v>91</v>
      </c>
      <c r="H714" s="167" t="s">
        <v>696</v>
      </c>
      <c r="I714" s="121"/>
      <c r="J714" s="397">
        <f t="shared" si="52"/>
        <v>0</v>
      </c>
      <c r="K714" s="398"/>
      <c r="L714" s="521">
        <v>0</v>
      </c>
      <c r="M714" s="521">
        <v>0</v>
      </c>
      <c r="N714" s="521">
        <v>0</v>
      </c>
      <c r="O714" s="521">
        <v>0</v>
      </c>
      <c r="P714" s="521">
        <v>0</v>
      </c>
      <c r="Q714" s="521">
        <v>0</v>
      </c>
      <c r="R714" s="521">
        <v>0</v>
      </c>
      <c r="S714" s="521">
        <v>0</v>
      </c>
    </row>
    <row r="715" spans="6:19" x14ac:dyDescent="0.25">
      <c r="F715" s="167" t="s">
        <v>64</v>
      </c>
      <c r="G715" s="167" t="s">
        <v>91</v>
      </c>
      <c r="H715" s="167" t="s">
        <v>696</v>
      </c>
      <c r="I715" s="121"/>
      <c r="J715" s="397">
        <f t="shared" si="52"/>
        <v>2</v>
      </c>
      <c r="K715" s="398"/>
      <c r="L715" s="521">
        <v>0</v>
      </c>
      <c r="M715" s="521">
        <v>0</v>
      </c>
      <c r="N715" s="521">
        <v>0</v>
      </c>
      <c r="O715" s="521">
        <v>2</v>
      </c>
      <c r="P715" s="521">
        <v>2</v>
      </c>
      <c r="Q715" s="521">
        <v>2</v>
      </c>
      <c r="R715" s="521">
        <v>2</v>
      </c>
      <c r="S715" s="521">
        <v>2</v>
      </c>
    </row>
    <row r="716" spans="6:19" x14ac:dyDescent="0.25">
      <c r="F716" s="167" t="s">
        <v>65</v>
      </c>
      <c r="G716" s="167" t="s">
        <v>91</v>
      </c>
      <c r="H716" s="167" t="s">
        <v>696</v>
      </c>
      <c r="I716" s="121"/>
      <c r="J716" s="403"/>
      <c r="K716" s="398"/>
      <c r="L716" s="403"/>
      <c r="M716" s="403"/>
      <c r="N716" s="403"/>
      <c r="O716" s="403"/>
      <c r="P716" s="403"/>
      <c r="Q716" s="403"/>
      <c r="R716" s="403"/>
      <c r="S716" s="403"/>
    </row>
    <row r="717" spans="6:19" x14ac:dyDescent="0.25">
      <c r="F717" s="167" t="s">
        <v>66</v>
      </c>
      <c r="G717" s="167" t="s">
        <v>91</v>
      </c>
      <c r="H717" s="167" t="s">
        <v>696</v>
      </c>
      <c r="I717" s="121"/>
      <c r="J717" s="397">
        <f t="shared" si="52"/>
        <v>26.305665645125487</v>
      </c>
      <c r="K717" s="398"/>
      <c r="L717" s="521">
        <v>0</v>
      </c>
      <c r="M717" s="521">
        <v>0</v>
      </c>
      <c r="N717" s="521">
        <v>0</v>
      </c>
      <c r="O717" s="521">
        <v>26.305665645125487</v>
      </c>
      <c r="P717" s="521">
        <v>35.805132179576411</v>
      </c>
      <c r="Q717" s="521">
        <v>45.304598723095864</v>
      </c>
      <c r="R717" s="521">
        <v>54.804065267828427</v>
      </c>
      <c r="S717" s="521">
        <v>64.30353181256099</v>
      </c>
    </row>
    <row r="718" spans="6:19" x14ac:dyDescent="0.25">
      <c r="F718" s="167" t="s">
        <v>67</v>
      </c>
      <c r="G718" s="167" t="s">
        <v>91</v>
      </c>
      <c r="H718" s="167" t="s">
        <v>696</v>
      </c>
      <c r="I718" s="121"/>
      <c r="J718" s="403"/>
      <c r="K718" s="398"/>
      <c r="L718" s="403"/>
      <c r="M718" s="403"/>
      <c r="N718" s="403"/>
      <c r="O718" s="403"/>
      <c r="P718" s="403"/>
      <c r="Q718" s="403"/>
      <c r="R718" s="403"/>
      <c r="S718" s="403"/>
    </row>
    <row r="719" spans="6:19" x14ac:dyDescent="0.25">
      <c r="F719" s="167" t="s">
        <v>68</v>
      </c>
      <c r="G719" s="167" t="s">
        <v>91</v>
      </c>
      <c r="H719" s="167" t="s">
        <v>696</v>
      </c>
      <c r="I719" s="121"/>
      <c r="J719" s="397">
        <f t="shared" si="52"/>
        <v>0</v>
      </c>
      <c r="K719" s="398"/>
      <c r="L719" s="521">
        <v>0</v>
      </c>
      <c r="M719" s="521">
        <v>0</v>
      </c>
      <c r="N719" s="521">
        <v>0</v>
      </c>
      <c r="O719" s="521">
        <v>0</v>
      </c>
      <c r="P719" s="521">
        <v>0</v>
      </c>
      <c r="Q719" s="521">
        <v>0</v>
      </c>
      <c r="R719" s="521">
        <v>0</v>
      </c>
      <c r="S719" s="521">
        <v>0</v>
      </c>
    </row>
    <row r="720" spans="6:19" x14ac:dyDescent="0.25">
      <c r="F720" s="167" t="s">
        <v>69</v>
      </c>
      <c r="G720" s="167" t="s">
        <v>91</v>
      </c>
      <c r="H720" s="167" t="s">
        <v>696</v>
      </c>
      <c r="I720" s="121"/>
      <c r="J720" s="403"/>
      <c r="K720" s="398"/>
      <c r="L720" s="403"/>
      <c r="M720" s="403"/>
      <c r="N720" s="403"/>
      <c r="O720" s="403"/>
      <c r="P720" s="403"/>
      <c r="Q720" s="403"/>
      <c r="R720" s="403"/>
      <c r="S720" s="403"/>
    </row>
    <row r="721" spans="5:19" x14ac:dyDescent="0.25">
      <c r="F721" s="167" t="s">
        <v>70</v>
      </c>
      <c r="G721" s="167" t="s">
        <v>91</v>
      </c>
      <c r="H721" s="167" t="s">
        <v>696</v>
      </c>
      <c r="I721" s="121"/>
      <c r="J721" s="397">
        <f t="shared" si="52"/>
        <v>0</v>
      </c>
      <c r="K721" s="398"/>
      <c r="L721" s="521">
        <v>0</v>
      </c>
      <c r="M721" s="521">
        <v>0</v>
      </c>
      <c r="N721" s="521">
        <v>0</v>
      </c>
      <c r="O721" s="521">
        <v>0</v>
      </c>
      <c r="P721" s="521">
        <v>0</v>
      </c>
      <c r="Q721" s="521">
        <v>0</v>
      </c>
      <c r="R721" s="521">
        <v>0</v>
      </c>
      <c r="S721" s="521">
        <v>0</v>
      </c>
    </row>
    <row r="722" spans="5:19" x14ac:dyDescent="0.25">
      <c r="F722" s="167" t="s">
        <v>71</v>
      </c>
      <c r="G722" s="167" t="s">
        <v>91</v>
      </c>
      <c r="H722" s="167" t="s">
        <v>696</v>
      </c>
      <c r="I722" s="121"/>
      <c r="J722" s="403"/>
      <c r="K722" s="398"/>
      <c r="L722" s="403"/>
      <c r="M722" s="403"/>
      <c r="N722" s="403"/>
      <c r="O722" s="403"/>
      <c r="P722" s="403"/>
      <c r="Q722" s="403"/>
      <c r="R722" s="403"/>
      <c r="S722" s="403"/>
    </row>
    <row r="723" spans="5:19" x14ac:dyDescent="0.25">
      <c r="F723" s="167" t="s">
        <v>74</v>
      </c>
      <c r="G723" s="167" t="s">
        <v>91</v>
      </c>
      <c r="H723" s="167" t="s">
        <v>696</v>
      </c>
      <c r="I723" s="121"/>
      <c r="J723" s="397">
        <f t="shared" si="52"/>
        <v>0</v>
      </c>
      <c r="K723" s="398"/>
      <c r="L723" s="521">
        <v>0</v>
      </c>
      <c r="M723" s="521">
        <v>0</v>
      </c>
      <c r="N723" s="521">
        <v>0</v>
      </c>
      <c r="O723" s="521">
        <v>0</v>
      </c>
      <c r="P723" s="521">
        <v>0</v>
      </c>
      <c r="Q723" s="521">
        <v>0</v>
      </c>
      <c r="R723" s="521">
        <v>0</v>
      </c>
      <c r="S723" s="521">
        <v>0</v>
      </c>
    </row>
    <row r="724" spans="5:19" x14ac:dyDescent="0.25">
      <c r="F724" s="167" t="s">
        <v>75</v>
      </c>
      <c r="G724" s="167" t="s">
        <v>91</v>
      </c>
      <c r="H724" s="167" t="s">
        <v>696</v>
      </c>
      <c r="I724" s="121"/>
      <c r="J724" s="403"/>
      <c r="K724" s="398"/>
      <c r="L724" s="403"/>
      <c r="M724" s="403"/>
      <c r="N724" s="403"/>
      <c r="O724" s="403"/>
      <c r="P724" s="403"/>
      <c r="Q724" s="403"/>
      <c r="R724" s="403"/>
      <c r="S724" s="403"/>
    </row>
    <row r="725" spans="5:19" x14ac:dyDescent="0.25">
      <c r="F725" s="167" t="s">
        <v>76</v>
      </c>
      <c r="G725" s="167" t="s">
        <v>91</v>
      </c>
      <c r="H725" s="167" t="s">
        <v>696</v>
      </c>
      <c r="I725" s="121"/>
      <c r="J725" s="397">
        <f t="shared" si="52"/>
        <v>0</v>
      </c>
      <c r="K725" s="398"/>
      <c r="L725" s="521">
        <v>0</v>
      </c>
      <c r="M725" s="521">
        <v>0</v>
      </c>
      <c r="N725" s="521">
        <v>0</v>
      </c>
      <c r="O725" s="521">
        <v>0</v>
      </c>
      <c r="P725" s="521">
        <v>0</v>
      </c>
      <c r="Q725" s="521">
        <v>0</v>
      </c>
      <c r="R725" s="521">
        <v>0</v>
      </c>
      <c r="S725" s="521">
        <v>0</v>
      </c>
    </row>
    <row r="726" spans="5:19" x14ac:dyDescent="0.25">
      <c r="F726" s="168" t="s">
        <v>77</v>
      </c>
      <c r="G726" s="168" t="s">
        <v>91</v>
      </c>
      <c r="H726" s="168" t="s">
        <v>696</v>
      </c>
      <c r="I726" s="262"/>
      <c r="J726" s="404"/>
      <c r="K726" s="400"/>
      <c r="L726" s="404"/>
      <c r="M726" s="404"/>
      <c r="N726" s="404"/>
      <c r="O726" s="404"/>
      <c r="P726" s="404"/>
      <c r="Q726" s="404"/>
      <c r="R726" s="404"/>
      <c r="S726" s="404"/>
    </row>
    <row r="727" spans="5:19" x14ac:dyDescent="0.25">
      <c r="J727" s="401"/>
      <c r="K727" s="401"/>
      <c r="L727" s="401"/>
      <c r="M727" s="401"/>
      <c r="N727" s="401"/>
      <c r="O727" s="401"/>
      <c r="P727" s="401"/>
      <c r="Q727" s="401"/>
      <c r="R727" s="401"/>
      <c r="S727" s="401"/>
    </row>
    <row r="728" spans="5:19" x14ac:dyDescent="0.25">
      <c r="E728" s="261" t="s">
        <v>330</v>
      </c>
      <c r="J728" s="401"/>
      <c r="K728" s="401"/>
      <c r="L728" s="401"/>
      <c r="M728" s="401"/>
      <c r="N728" s="401"/>
      <c r="O728" s="401"/>
      <c r="P728" s="401"/>
      <c r="Q728" s="401"/>
      <c r="R728" s="401"/>
      <c r="S728" s="401"/>
    </row>
    <row r="729" spans="5:19" x14ac:dyDescent="0.25">
      <c r="F729" s="166" t="s">
        <v>52</v>
      </c>
      <c r="G729" s="166" t="s">
        <v>186</v>
      </c>
      <c r="H729" s="166" t="s">
        <v>696</v>
      </c>
      <c r="I729" s="201"/>
      <c r="J729" s="402"/>
      <c r="K729" s="396"/>
      <c r="L729" s="402"/>
      <c r="M729" s="402"/>
      <c r="N729" s="402"/>
      <c r="O729" s="402"/>
      <c r="P729" s="402"/>
      <c r="Q729" s="402"/>
      <c r="R729" s="402"/>
      <c r="S729" s="402"/>
    </row>
    <row r="730" spans="5:19" x14ac:dyDescent="0.25">
      <c r="F730" s="167" t="s">
        <v>53</v>
      </c>
      <c r="G730" s="167" t="s">
        <v>186</v>
      </c>
      <c r="H730" s="167" t="s">
        <v>696</v>
      </c>
      <c r="I730" s="121"/>
      <c r="J730" s="403"/>
      <c r="K730" s="398"/>
      <c r="L730" s="403"/>
      <c r="M730" s="403"/>
      <c r="N730" s="403"/>
      <c r="O730" s="403"/>
      <c r="P730" s="403"/>
      <c r="Q730" s="403"/>
      <c r="R730" s="403"/>
      <c r="S730" s="403"/>
    </row>
    <row r="731" spans="5:19" x14ac:dyDescent="0.25">
      <c r="F731" s="167" t="s">
        <v>84</v>
      </c>
      <c r="G731" s="167" t="s">
        <v>186</v>
      </c>
      <c r="H731" s="167" t="s">
        <v>696</v>
      </c>
      <c r="I731" s="121"/>
      <c r="J731" s="403"/>
      <c r="K731" s="398"/>
      <c r="L731" s="403"/>
      <c r="M731" s="403"/>
      <c r="N731" s="403"/>
      <c r="O731" s="403"/>
      <c r="P731" s="403"/>
      <c r="Q731" s="403"/>
      <c r="R731" s="403"/>
      <c r="S731" s="403"/>
    </row>
    <row r="732" spans="5:19" x14ac:dyDescent="0.25">
      <c r="F732" s="167" t="s">
        <v>54</v>
      </c>
      <c r="G732" s="167" t="s">
        <v>186</v>
      </c>
      <c r="H732" s="167" t="s">
        <v>696</v>
      </c>
      <c r="I732" s="121"/>
      <c r="J732" s="403"/>
      <c r="K732" s="398"/>
      <c r="L732" s="403"/>
      <c r="M732" s="403"/>
      <c r="N732" s="403"/>
      <c r="O732" s="403"/>
      <c r="P732" s="403"/>
      <c r="Q732" s="403"/>
      <c r="R732" s="403"/>
      <c r="S732" s="403"/>
    </row>
    <row r="733" spans="5:19" x14ac:dyDescent="0.25">
      <c r="F733" s="167" t="s">
        <v>55</v>
      </c>
      <c r="G733" s="167" t="s">
        <v>186</v>
      </c>
      <c r="H733" s="167" t="s">
        <v>696</v>
      </c>
      <c r="I733" s="121"/>
      <c r="J733" s="403"/>
      <c r="K733" s="398"/>
      <c r="L733" s="403"/>
      <c r="M733" s="403"/>
      <c r="N733" s="403"/>
      <c r="O733" s="403"/>
      <c r="P733" s="403"/>
      <c r="Q733" s="403"/>
      <c r="R733" s="403"/>
      <c r="S733" s="403"/>
    </row>
    <row r="734" spans="5:19" x14ac:dyDescent="0.25">
      <c r="F734" s="167" t="s">
        <v>85</v>
      </c>
      <c r="G734" s="167" t="s">
        <v>186</v>
      </c>
      <c r="H734" s="167" t="s">
        <v>696</v>
      </c>
      <c r="I734" s="121"/>
      <c r="J734" s="403"/>
      <c r="K734" s="398"/>
      <c r="L734" s="403"/>
      <c r="M734" s="403"/>
      <c r="N734" s="403"/>
      <c r="O734" s="403"/>
      <c r="P734" s="403"/>
      <c r="Q734" s="403"/>
      <c r="R734" s="403"/>
      <c r="S734" s="403"/>
    </row>
    <row r="735" spans="5:19" x14ac:dyDescent="0.25">
      <c r="F735" s="167" t="s">
        <v>56</v>
      </c>
      <c r="G735" s="167" t="s">
        <v>186</v>
      </c>
      <c r="H735" s="167" t="s">
        <v>696</v>
      </c>
      <c r="I735" s="121"/>
      <c r="J735" s="403"/>
      <c r="K735" s="398"/>
      <c r="L735" s="403"/>
      <c r="M735" s="403"/>
      <c r="N735" s="403"/>
      <c r="O735" s="403"/>
      <c r="P735" s="403"/>
      <c r="Q735" s="403"/>
      <c r="R735" s="403"/>
      <c r="S735" s="403"/>
    </row>
    <row r="736" spans="5:19" x14ac:dyDescent="0.25">
      <c r="F736" s="167" t="s">
        <v>57</v>
      </c>
      <c r="G736" s="167" t="s">
        <v>186</v>
      </c>
      <c r="H736" s="167" t="s">
        <v>696</v>
      </c>
      <c r="I736" s="121"/>
      <c r="J736" s="403"/>
      <c r="K736" s="398"/>
      <c r="L736" s="403"/>
      <c r="M736" s="403"/>
      <c r="N736" s="403"/>
      <c r="O736" s="403"/>
      <c r="P736" s="403"/>
      <c r="Q736" s="403"/>
      <c r="R736" s="403"/>
      <c r="S736" s="403"/>
    </row>
    <row r="737" spans="6:19" x14ac:dyDescent="0.25">
      <c r="F737" s="167" t="s">
        <v>72</v>
      </c>
      <c r="G737" s="167" t="s">
        <v>186</v>
      </c>
      <c r="H737" s="167" t="s">
        <v>696</v>
      </c>
      <c r="I737" s="121"/>
      <c r="J737" s="403"/>
      <c r="K737" s="398"/>
      <c r="L737" s="403"/>
      <c r="M737" s="403"/>
      <c r="N737" s="403"/>
      <c r="O737" s="403"/>
      <c r="P737" s="403"/>
      <c r="Q737" s="403"/>
      <c r="R737" s="403"/>
      <c r="S737" s="403"/>
    </row>
    <row r="738" spans="6:19" x14ac:dyDescent="0.25">
      <c r="F738" s="167" t="s">
        <v>58</v>
      </c>
      <c r="G738" s="167" t="s">
        <v>186</v>
      </c>
      <c r="H738" s="167" t="s">
        <v>696</v>
      </c>
      <c r="I738" s="121"/>
      <c r="J738" s="403"/>
      <c r="K738" s="398"/>
      <c r="L738" s="403"/>
      <c r="M738" s="403"/>
      <c r="N738" s="403"/>
      <c r="O738" s="403"/>
      <c r="P738" s="403"/>
      <c r="Q738" s="403"/>
      <c r="R738" s="403"/>
      <c r="S738" s="403"/>
    </row>
    <row r="739" spans="6:19" x14ac:dyDescent="0.25">
      <c r="F739" s="167" t="s">
        <v>59</v>
      </c>
      <c r="G739" s="167" t="s">
        <v>186</v>
      </c>
      <c r="H739" s="167" t="s">
        <v>696</v>
      </c>
      <c r="I739" s="121"/>
      <c r="J739" s="403"/>
      <c r="K739" s="398"/>
      <c r="L739" s="403"/>
      <c r="M739" s="403"/>
      <c r="N739" s="403"/>
      <c r="O739" s="403"/>
      <c r="P739" s="403"/>
      <c r="Q739" s="403"/>
      <c r="R739" s="403"/>
      <c r="S739" s="403"/>
    </row>
    <row r="740" spans="6:19" x14ac:dyDescent="0.25">
      <c r="F740" s="167" t="s">
        <v>60</v>
      </c>
      <c r="G740" s="167" t="s">
        <v>186</v>
      </c>
      <c r="H740" s="167" t="s">
        <v>696</v>
      </c>
      <c r="I740" s="121"/>
      <c r="J740" s="397">
        <f t="shared" ref="J740:J742" si="53">CHOOSE(year_selection, L740,M740,N740,O740,P740,Q740,R740,S740)</f>
        <v>84322.897330595457</v>
      </c>
      <c r="K740" s="398"/>
      <c r="L740" s="521">
        <v>15468.346774193551</v>
      </c>
      <c r="M740" s="521">
        <v>48073.934250079074</v>
      </c>
      <c r="N740" s="521">
        <v>159071.69871682531</v>
      </c>
      <c r="O740" s="521">
        <v>84322.897330595457</v>
      </c>
      <c r="P740" s="521">
        <v>84322.897330595471</v>
      </c>
      <c r="Q740" s="521">
        <v>84322.897330595471</v>
      </c>
      <c r="R740" s="521">
        <v>84322.897330595471</v>
      </c>
      <c r="S740" s="521">
        <v>84322.897330595471</v>
      </c>
    </row>
    <row r="741" spans="6:19" x14ac:dyDescent="0.25">
      <c r="F741" s="167" t="s">
        <v>61</v>
      </c>
      <c r="G741" s="167" t="s">
        <v>186</v>
      </c>
      <c r="H741" s="167" t="s">
        <v>696</v>
      </c>
      <c r="I741" s="121"/>
      <c r="J741" s="397">
        <f t="shared" si="53"/>
        <v>79573.818436153335</v>
      </c>
      <c r="K741" s="398"/>
      <c r="L741" s="521">
        <v>0</v>
      </c>
      <c r="M741" s="521">
        <v>2445.4277787543847</v>
      </c>
      <c r="N741" s="521">
        <v>4384.8058430127967</v>
      </c>
      <c r="O741" s="521">
        <v>79573.818436153335</v>
      </c>
      <c r="P741" s="521">
        <v>111437.31091298553</v>
      </c>
      <c r="Q741" s="521">
        <v>143300.80423513224</v>
      </c>
      <c r="R741" s="521">
        <v>175164.29755885841</v>
      </c>
      <c r="S741" s="521">
        <v>207027.79088258458</v>
      </c>
    </row>
    <row r="742" spans="6:19" x14ac:dyDescent="0.25">
      <c r="F742" s="167" t="s">
        <v>73</v>
      </c>
      <c r="G742" s="167" t="s">
        <v>186</v>
      </c>
      <c r="H742" s="167" t="s">
        <v>696</v>
      </c>
      <c r="I742" s="121"/>
      <c r="J742" s="397">
        <f t="shared" si="53"/>
        <v>4375</v>
      </c>
      <c r="K742" s="398"/>
      <c r="L742" s="521">
        <v>0</v>
      </c>
      <c r="M742" s="521">
        <v>6186.6146922253756</v>
      </c>
      <c r="N742" s="521">
        <v>6807.3624472598867</v>
      </c>
      <c r="O742" s="521">
        <v>4375</v>
      </c>
      <c r="P742" s="521">
        <v>4375</v>
      </c>
      <c r="Q742" s="521">
        <v>4375</v>
      </c>
      <c r="R742" s="521">
        <v>4375</v>
      </c>
      <c r="S742" s="521">
        <v>4375</v>
      </c>
    </row>
    <row r="743" spans="6:19" x14ac:dyDescent="0.25">
      <c r="F743" s="167" t="s">
        <v>86</v>
      </c>
      <c r="G743" s="167" t="s">
        <v>186</v>
      </c>
      <c r="H743" s="167" t="s">
        <v>696</v>
      </c>
      <c r="I743" s="121"/>
      <c r="J743" s="403"/>
      <c r="K743" s="398"/>
      <c r="L743" s="403"/>
      <c r="M743" s="403"/>
      <c r="N743" s="403"/>
      <c r="O743" s="403"/>
      <c r="P743" s="403"/>
      <c r="Q743" s="403"/>
      <c r="R743" s="403"/>
      <c r="S743" s="403"/>
    </row>
    <row r="744" spans="6:19" x14ac:dyDescent="0.25">
      <c r="F744" s="167" t="s">
        <v>87</v>
      </c>
      <c r="G744" s="167" t="s">
        <v>186</v>
      </c>
      <c r="H744" s="167" t="s">
        <v>696</v>
      </c>
      <c r="I744" s="121"/>
      <c r="J744" s="403"/>
      <c r="K744" s="398"/>
      <c r="L744" s="403"/>
      <c r="M744" s="403"/>
      <c r="N744" s="403"/>
      <c r="O744" s="403"/>
      <c r="P744" s="403"/>
      <c r="Q744" s="403"/>
      <c r="R744" s="403"/>
      <c r="S744" s="403"/>
    </row>
    <row r="745" spans="6:19" x14ac:dyDescent="0.25">
      <c r="F745" s="167" t="s">
        <v>88</v>
      </c>
      <c r="G745" s="167" t="s">
        <v>186</v>
      </c>
      <c r="H745" s="167" t="s">
        <v>696</v>
      </c>
      <c r="I745" s="121"/>
      <c r="J745" s="403"/>
      <c r="K745" s="398"/>
      <c r="L745" s="403"/>
      <c r="M745" s="403"/>
      <c r="N745" s="403"/>
      <c r="O745" s="403"/>
      <c r="P745" s="403"/>
      <c r="Q745" s="403"/>
      <c r="R745" s="403"/>
      <c r="S745" s="403"/>
    </row>
    <row r="746" spans="6:19" x14ac:dyDescent="0.25">
      <c r="F746" s="167" t="s">
        <v>89</v>
      </c>
      <c r="G746" s="167" t="s">
        <v>186</v>
      </c>
      <c r="H746" s="167" t="s">
        <v>696</v>
      </c>
      <c r="I746" s="121"/>
      <c r="J746" s="403"/>
      <c r="K746" s="398"/>
      <c r="L746" s="403"/>
      <c r="M746" s="403"/>
      <c r="N746" s="403"/>
      <c r="O746" s="403"/>
      <c r="P746" s="403"/>
      <c r="Q746" s="403"/>
      <c r="R746" s="403"/>
      <c r="S746" s="403"/>
    </row>
    <row r="747" spans="6:19" x14ac:dyDescent="0.25">
      <c r="F747" s="167" t="s">
        <v>90</v>
      </c>
      <c r="G747" s="167" t="s">
        <v>186</v>
      </c>
      <c r="H747" s="167" t="s">
        <v>696</v>
      </c>
      <c r="I747" s="121"/>
      <c r="J747" s="403"/>
      <c r="K747" s="398"/>
      <c r="L747" s="403"/>
      <c r="M747" s="403"/>
      <c r="N747" s="403"/>
      <c r="O747" s="403"/>
      <c r="P747" s="403"/>
      <c r="Q747" s="403"/>
      <c r="R747" s="403"/>
      <c r="S747" s="403"/>
    </row>
    <row r="748" spans="6:19" x14ac:dyDescent="0.25">
      <c r="F748" s="167" t="s">
        <v>62</v>
      </c>
      <c r="G748" s="167" t="s">
        <v>186</v>
      </c>
      <c r="H748" s="167" t="s">
        <v>696</v>
      </c>
      <c r="I748" s="121"/>
      <c r="J748" s="403"/>
      <c r="K748" s="398"/>
      <c r="L748" s="403"/>
      <c r="M748" s="403"/>
      <c r="N748" s="403"/>
      <c r="O748" s="403"/>
      <c r="P748" s="403"/>
      <c r="Q748" s="403"/>
      <c r="R748" s="403"/>
      <c r="S748" s="403"/>
    </row>
    <row r="749" spans="6:19" x14ac:dyDescent="0.25">
      <c r="F749" s="167" t="s">
        <v>63</v>
      </c>
      <c r="G749" s="167" t="s">
        <v>186</v>
      </c>
      <c r="H749" s="167" t="s">
        <v>696</v>
      </c>
      <c r="I749" s="121"/>
      <c r="J749" s="403"/>
      <c r="K749" s="398"/>
      <c r="L749" s="403"/>
      <c r="M749" s="403"/>
      <c r="N749" s="403"/>
      <c r="O749" s="403"/>
      <c r="P749" s="403"/>
      <c r="Q749" s="403"/>
      <c r="R749" s="403"/>
      <c r="S749" s="403"/>
    </row>
    <row r="750" spans="6:19" x14ac:dyDescent="0.25">
      <c r="F750" s="167" t="s">
        <v>64</v>
      </c>
      <c r="G750" s="167" t="s">
        <v>186</v>
      </c>
      <c r="H750" s="167" t="s">
        <v>696</v>
      </c>
      <c r="I750" s="121"/>
      <c r="J750" s="403"/>
      <c r="K750" s="398"/>
      <c r="L750" s="403"/>
      <c r="M750" s="403"/>
      <c r="N750" s="403"/>
      <c r="O750" s="403"/>
      <c r="P750" s="403"/>
      <c r="Q750" s="403"/>
      <c r="R750" s="403"/>
      <c r="S750" s="403"/>
    </row>
    <row r="751" spans="6:19" x14ac:dyDescent="0.25">
      <c r="F751" s="167" t="s">
        <v>65</v>
      </c>
      <c r="G751" s="167" t="s">
        <v>186</v>
      </c>
      <c r="H751" s="167" t="s">
        <v>696</v>
      </c>
      <c r="I751" s="121"/>
      <c r="J751" s="403"/>
      <c r="K751" s="398"/>
      <c r="L751" s="403"/>
      <c r="M751" s="403"/>
      <c r="N751" s="403"/>
      <c r="O751" s="403"/>
      <c r="P751" s="403"/>
      <c r="Q751" s="403"/>
      <c r="R751" s="403"/>
      <c r="S751" s="403"/>
    </row>
    <row r="752" spans="6:19" x14ac:dyDescent="0.25">
      <c r="F752" s="167" t="s">
        <v>66</v>
      </c>
      <c r="G752" s="167" t="s">
        <v>186</v>
      </c>
      <c r="H752" s="167" t="s">
        <v>696</v>
      </c>
      <c r="I752" s="121"/>
      <c r="J752" s="403"/>
      <c r="K752" s="398"/>
      <c r="L752" s="403"/>
      <c r="M752" s="403"/>
      <c r="N752" s="403"/>
      <c r="O752" s="403"/>
      <c r="P752" s="403"/>
      <c r="Q752" s="403"/>
      <c r="R752" s="403"/>
      <c r="S752" s="403"/>
    </row>
    <row r="753" spans="5:19" x14ac:dyDescent="0.25">
      <c r="F753" s="167" t="s">
        <v>67</v>
      </c>
      <c r="G753" s="167" t="s">
        <v>186</v>
      </c>
      <c r="H753" s="167" t="s">
        <v>696</v>
      </c>
      <c r="I753" s="121"/>
      <c r="J753" s="403"/>
      <c r="K753" s="398"/>
      <c r="L753" s="403"/>
      <c r="M753" s="403"/>
      <c r="N753" s="403"/>
      <c r="O753" s="403"/>
      <c r="P753" s="403"/>
      <c r="Q753" s="403"/>
      <c r="R753" s="403"/>
      <c r="S753" s="403"/>
    </row>
    <row r="754" spans="5:19" x14ac:dyDescent="0.25">
      <c r="F754" s="167" t="s">
        <v>68</v>
      </c>
      <c r="G754" s="167" t="s">
        <v>186</v>
      </c>
      <c r="H754" s="167" t="s">
        <v>696</v>
      </c>
      <c r="I754" s="121"/>
      <c r="J754" s="403"/>
      <c r="K754" s="398"/>
      <c r="L754" s="403"/>
      <c r="M754" s="403"/>
      <c r="N754" s="403"/>
      <c r="O754" s="403"/>
      <c r="P754" s="403"/>
      <c r="Q754" s="403"/>
      <c r="R754" s="403"/>
      <c r="S754" s="403"/>
    </row>
    <row r="755" spans="5:19" x14ac:dyDescent="0.25">
      <c r="F755" s="167" t="s">
        <v>69</v>
      </c>
      <c r="G755" s="167" t="s">
        <v>186</v>
      </c>
      <c r="H755" s="167" t="s">
        <v>696</v>
      </c>
      <c r="I755" s="121"/>
      <c r="J755" s="403"/>
      <c r="K755" s="398"/>
      <c r="L755" s="403"/>
      <c r="M755" s="403"/>
      <c r="N755" s="403"/>
      <c r="O755" s="403"/>
      <c r="P755" s="403"/>
      <c r="Q755" s="403"/>
      <c r="R755" s="403"/>
      <c r="S755" s="403"/>
    </row>
    <row r="756" spans="5:19" x14ac:dyDescent="0.25">
      <c r="F756" s="167" t="s">
        <v>70</v>
      </c>
      <c r="G756" s="167" t="s">
        <v>186</v>
      </c>
      <c r="H756" s="167" t="s">
        <v>696</v>
      </c>
      <c r="I756" s="121"/>
      <c r="J756" s="403"/>
      <c r="K756" s="398"/>
      <c r="L756" s="403"/>
      <c r="M756" s="403"/>
      <c r="N756" s="403"/>
      <c r="O756" s="403"/>
      <c r="P756" s="403"/>
      <c r="Q756" s="403"/>
      <c r="R756" s="403"/>
      <c r="S756" s="403"/>
    </row>
    <row r="757" spans="5:19" x14ac:dyDescent="0.25">
      <c r="F757" s="167" t="s">
        <v>71</v>
      </c>
      <c r="G757" s="167" t="s">
        <v>186</v>
      </c>
      <c r="H757" s="167" t="s">
        <v>696</v>
      </c>
      <c r="I757" s="121"/>
      <c r="J757" s="403"/>
      <c r="K757" s="398"/>
      <c r="L757" s="403"/>
      <c r="M757" s="403"/>
      <c r="N757" s="403"/>
      <c r="O757" s="403"/>
      <c r="P757" s="403"/>
      <c r="Q757" s="403"/>
      <c r="R757" s="403"/>
      <c r="S757" s="403"/>
    </row>
    <row r="758" spans="5:19" x14ac:dyDescent="0.25">
      <c r="F758" s="167" t="s">
        <v>74</v>
      </c>
      <c r="G758" s="167" t="s">
        <v>186</v>
      </c>
      <c r="H758" s="167" t="s">
        <v>696</v>
      </c>
      <c r="I758" s="121"/>
      <c r="J758" s="403"/>
      <c r="K758" s="398"/>
      <c r="L758" s="403"/>
      <c r="M758" s="403"/>
      <c r="N758" s="403"/>
      <c r="O758" s="403"/>
      <c r="P758" s="403"/>
      <c r="Q758" s="403"/>
      <c r="R758" s="403"/>
      <c r="S758" s="403"/>
    </row>
    <row r="759" spans="5:19" x14ac:dyDescent="0.25">
      <c r="F759" s="167" t="s">
        <v>75</v>
      </c>
      <c r="G759" s="167" t="s">
        <v>186</v>
      </c>
      <c r="H759" s="167" t="s">
        <v>696</v>
      </c>
      <c r="I759" s="121"/>
      <c r="J759" s="403"/>
      <c r="K759" s="398"/>
      <c r="L759" s="403"/>
      <c r="M759" s="403"/>
      <c r="N759" s="403"/>
      <c r="O759" s="403"/>
      <c r="P759" s="403"/>
      <c r="Q759" s="403"/>
      <c r="R759" s="403"/>
      <c r="S759" s="403"/>
    </row>
    <row r="760" spans="5:19" x14ac:dyDescent="0.25">
      <c r="F760" s="167" t="s">
        <v>76</v>
      </c>
      <c r="G760" s="167" t="s">
        <v>186</v>
      </c>
      <c r="H760" s="167" t="s">
        <v>696</v>
      </c>
      <c r="I760" s="121"/>
      <c r="J760" s="403"/>
      <c r="K760" s="398"/>
      <c r="L760" s="403"/>
      <c r="M760" s="403"/>
      <c r="N760" s="403"/>
      <c r="O760" s="403"/>
      <c r="P760" s="403"/>
      <c r="Q760" s="403"/>
      <c r="R760" s="403"/>
      <c r="S760" s="403"/>
    </row>
    <row r="761" spans="5:19" x14ac:dyDescent="0.25">
      <c r="F761" s="168" t="s">
        <v>77</v>
      </c>
      <c r="G761" s="168" t="s">
        <v>186</v>
      </c>
      <c r="H761" s="168" t="s">
        <v>696</v>
      </c>
      <c r="I761" s="262"/>
      <c r="J761" s="404"/>
      <c r="K761" s="400"/>
      <c r="L761" s="404"/>
      <c r="M761" s="404"/>
      <c r="N761" s="404"/>
      <c r="O761" s="404"/>
      <c r="P761" s="404"/>
      <c r="Q761" s="404"/>
      <c r="R761" s="404"/>
      <c r="S761" s="404"/>
    </row>
    <row r="762" spans="5:19" x14ac:dyDescent="0.25">
      <c r="J762" s="401"/>
      <c r="K762" s="401"/>
      <c r="L762" s="401"/>
      <c r="M762" s="401"/>
      <c r="N762" s="401"/>
      <c r="O762" s="401"/>
      <c r="P762" s="401"/>
      <c r="Q762" s="401"/>
      <c r="R762" s="401"/>
      <c r="S762" s="401"/>
    </row>
    <row r="763" spans="5:19" x14ac:dyDescent="0.25">
      <c r="E763" s="261" t="s">
        <v>331</v>
      </c>
      <c r="J763" s="401"/>
      <c r="K763" s="401"/>
      <c r="L763" s="401"/>
      <c r="M763" s="401"/>
      <c r="N763" s="401"/>
      <c r="O763" s="401"/>
      <c r="P763" s="401"/>
      <c r="Q763" s="401"/>
      <c r="R763" s="401"/>
      <c r="S763" s="401"/>
    </row>
    <row r="764" spans="5:19" x14ac:dyDescent="0.25">
      <c r="F764" s="166" t="s">
        <v>52</v>
      </c>
      <c r="G764" s="166" t="s">
        <v>186</v>
      </c>
      <c r="H764" s="166" t="s">
        <v>696</v>
      </c>
      <c r="I764" s="201"/>
      <c r="J764" s="402"/>
      <c r="K764" s="396"/>
      <c r="L764" s="402"/>
      <c r="M764" s="402"/>
      <c r="N764" s="402"/>
      <c r="O764" s="402"/>
      <c r="P764" s="402"/>
      <c r="Q764" s="402"/>
      <c r="R764" s="402"/>
      <c r="S764" s="402"/>
    </row>
    <row r="765" spans="5:19" x14ac:dyDescent="0.25">
      <c r="F765" s="167" t="s">
        <v>53</v>
      </c>
      <c r="G765" s="167" t="s">
        <v>186</v>
      </c>
      <c r="H765" s="167" t="s">
        <v>696</v>
      </c>
      <c r="I765" s="121"/>
      <c r="J765" s="403"/>
      <c r="K765" s="398"/>
      <c r="L765" s="403"/>
      <c r="M765" s="403"/>
      <c r="N765" s="403"/>
      <c r="O765" s="403"/>
      <c r="P765" s="403"/>
      <c r="Q765" s="403"/>
      <c r="R765" s="403"/>
      <c r="S765" s="403"/>
    </row>
    <row r="766" spans="5:19" x14ac:dyDescent="0.25">
      <c r="F766" s="167" t="s">
        <v>84</v>
      </c>
      <c r="G766" s="167" t="s">
        <v>186</v>
      </c>
      <c r="H766" s="167" t="s">
        <v>696</v>
      </c>
      <c r="I766" s="121"/>
      <c r="J766" s="403"/>
      <c r="K766" s="398"/>
      <c r="L766" s="403"/>
      <c r="M766" s="403"/>
      <c r="N766" s="403"/>
      <c r="O766" s="403"/>
      <c r="P766" s="403"/>
      <c r="Q766" s="403"/>
      <c r="R766" s="403"/>
      <c r="S766" s="403"/>
    </row>
    <row r="767" spans="5:19" x14ac:dyDescent="0.25">
      <c r="F767" s="167" t="s">
        <v>54</v>
      </c>
      <c r="G767" s="167" t="s">
        <v>186</v>
      </c>
      <c r="H767" s="167" t="s">
        <v>696</v>
      </c>
      <c r="I767" s="121"/>
      <c r="J767" s="403"/>
      <c r="K767" s="398"/>
      <c r="L767" s="403"/>
      <c r="M767" s="403"/>
      <c r="N767" s="403"/>
      <c r="O767" s="403"/>
      <c r="P767" s="403"/>
      <c r="Q767" s="403"/>
      <c r="R767" s="403"/>
      <c r="S767" s="403"/>
    </row>
    <row r="768" spans="5:19" x14ac:dyDescent="0.25">
      <c r="F768" s="167" t="s">
        <v>55</v>
      </c>
      <c r="G768" s="167" t="s">
        <v>186</v>
      </c>
      <c r="H768" s="167" t="s">
        <v>696</v>
      </c>
      <c r="I768" s="121"/>
      <c r="J768" s="403"/>
      <c r="K768" s="398"/>
      <c r="L768" s="403"/>
      <c r="M768" s="403"/>
      <c r="N768" s="403"/>
      <c r="O768" s="403"/>
      <c r="P768" s="403"/>
      <c r="Q768" s="403"/>
      <c r="R768" s="403"/>
      <c r="S768" s="403"/>
    </row>
    <row r="769" spans="6:19" x14ac:dyDescent="0.25">
      <c r="F769" s="167" t="s">
        <v>85</v>
      </c>
      <c r="G769" s="167" t="s">
        <v>186</v>
      </c>
      <c r="H769" s="167" t="s">
        <v>696</v>
      </c>
      <c r="I769" s="121"/>
      <c r="J769" s="403"/>
      <c r="K769" s="398"/>
      <c r="L769" s="403"/>
      <c r="M769" s="403"/>
      <c r="N769" s="403"/>
      <c r="O769" s="403"/>
      <c r="P769" s="403"/>
      <c r="Q769" s="403"/>
      <c r="R769" s="403"/>
      <c r="S769" s="403"/>
    </row>
    <row r="770" spans="6:19" x14ac:dyDescent="0.25">
      <c r="F770" s="167" t="s">
        <v>56</v>
      </c>
      <c r="G770" s="167" t="s">
        <v>186</v>
      </c>
      <c r="H770" s="167" t="s">
        <v>696</v>
      </c>
      <c r="I770" s="121"/>
      <c r="J770" s="403"/>
      <c r="K770" s="398"/>
      <c r="L770" s="403"/>
      <c r="M770" s="403"/>
      <c r="N770" s="403"/>
      <c r="O770" s="403"/>
      <c r="P770" s="403"/>
      <c r="Q770" s="403"/>
      <c r="R770" s="403"/>
      <c r="S770" s="403"/>
    </row>
    <row r="771" spans="6:19" x14ac:dyDescent="0.25">
      <c r="F771" s="167" t="s">
        <v>57</v>
      </c>
      <c r="G771" s="167" t="s">
        <v>186</v>
      </c>
      <c r="H771" s="167" t="s">
        <v>696</v>
      </c>
      <c r="I771" s="121"/>
      <c r="J771" s="403"/>
      <c r="K771" s="398"/>
      <c r="L771" s="403"/>
      <c r="M771" s="403"/>
      <c r="N771" s="403"/>
      <c r="O771" s="403"/>
      <c r="P771" s="403"/>
      <c r="Q771" s="403"/>
      <c r="R771" s="403"/>
      <c r="S771" s="403"/>
    </row>
    <row r="772" spans="6:19" x14ac:dyDescent="0.25">
      <c r="F772" s="167" t="s">
        <v>72</v>
      </c>
      <c r="G772" s="167" t="s">
        <v>186</v>
      </c>
      <c r="H772" s="167" t="s">
        <v>696</v>
      </c>
      <c r="I772" s="121"/>
      <c r="J772" s="403"/>
      <c r="K772" s="398"/>
      <c r="L772" s="403"/>
      <c r="M772" s="403"/>
      <c r="N772" s="403"/>
      <c r="O772" s="403"/>
      <c r="P772" s="403"/>
      <c r="Q772" s="403"/>
      <c r="R772" s="403"/>
      <c r="S772" s="403"/>
    </row>
    <row r="773" spans="6:19" x14ac:dyDescent="0.25">
      <c r="F773" s="167" t="s">
        <v>58</v>
      </c>
      <c r="G773" s="167" t="s">
        <v>186</v>
      </c>
      <c r="H773" s="167" t="s">
        <v>696</v>
      </c>
      <c r="I773" s="121"/>
      <c r="J773" s="403"/>
      <c r="K773" s="398"/>
      <c r="L773" s="403"/>
      <c r="M773" s="403"/>
      <c r="N773" s="403"/>
      <c r="O773" s="403"/>
      <c r="P773" s="403"/>
      <c r="Q773" s="403"/>
      <c r="R773" s="403"/>
      <c r="S773" s="403"/>
    </row>
    <row r="774" spans="6:19" x14ac:dyDescent="0.25">
      <c r="F774" s="167" t="s">
        <v>59</v>
      </c>
      <c r="G774" s="167" t="s">
        <v>186</v>
      </c>
      <c r="H774" s="167" t="s">
        <v>696</v>
      </c>
      <c r="I774" s="121"/>
      <c r="J774" s="403"/>
      <c r="K774" s="398"/>
      <c r="L774" s="403"/>
      <c r="M774" s="403"/>
      <c r="N774" s="403"/>
      <c r="O774" s="403"/>
      <c r="P774" s="403"/>
      <c r="Q774" s="403"/>
      <c r="R774" s="403"/>
      <c r="S774" s="403"/>
    </row>
    <row r="775" spans="6:19" x14ac:dyDescent="0.25">
      <c r="F775" s="167" t="s">
        <v>60</v>
      </c>
      <c r="G775" s="167" t="s">
        <v>186</v>
      </c>
      <c r="H775" s="167" t="s">
        <v>696</v>
      </c>
      <c r="I775" s="121"/>
      <c r="J775" s="397">
        <f t="shared" ref="J775:J777" si="54">CHOOSE(year_selection, L775,M775,N775,O775,P775,Q775,R775,S775)</f>
        <v>62.000000000000021</v>
      </c>
      <c r="K775" s="398"/>
      <c r="L775" s="521">
        <v>0</v>
      </c>
      <c r="M775" s="521">
        <v>0</v>
      </c>
      <c r="N775" s="521">
        <v>0</v>
      </c>
      <c r="O775" s="521">
        <v>62.000000000000021</v>
      </c>
      <c r="P775" s="521">
        <v>62.000000000000021</v>
      </c>
      <c r="Q775" s="521">
        <v>62.000000000000021</v>
      </c>
      <c r="R775" s="521">
        <v>62.000000000000021</v>
      </c>
      <c r="S775" s="521">
        <v>62.000000000000021</v>
      </c>
    </row>
    <row r="776" spans="6:19" x14ac:dyDescent="0.25">
      <c r="F776" s="167" t="s">
        <v>61</v>
      </c>
      <c r="G776" s="167" t="s">
        <v>186</v>
      </c>
      <c r="H776" s="167" t="s">
        <v>696</v>
      </c>
      <c r="I776" s="121"/>
      <c r="J776" s="397">
        <f t="shared" si="54"/>
        <v>0</v>
      </c>
      <c r="K776" s="398"/>
      <c r="L776" s="521">
        <v>0</v>
      </c>
      <c r="M776" s="521">
        <v>0</v>
      </c>
      <c r="N776" s="521">
        <v>0</v>
      </c>
      <c r="O776" s="521">
        <v>0</v>
      </c>
      <c r="P776" s="521">
        <v>0</v>
      </c>
      <c r="Q776" s="521">
        <v>0</v>
      </c>
      <c r="R776" s="521">
        <v>0</v>
      </c>
      <c r="S776" s="521">
        <v>0</v>
      </c>
    </row>
    <row r="777" spans="6:19" x14ac:dyDescent="0.25">
      <c r="F777" s="167" t="s">
        <v>73</v>
      </c>
      <c r="G777" s="167" t="s">
        <v>186</v>
      </c>
      <c r="H777" s="167" t="s">
        <v>696</v>
      </c>
      <c r="I777" s="121"/>
      <c r="J777" s="397">
        <f t="shared" si="54"/>
        <v>0</v>
      </c>
      <c r="K777" s="398"/>
      <c r="L777" s="521">
        <v>0</v>
      </c>
      <c r="M777" s="521">
        <v>0</v>
      </c>
      <c r="N777" s="521">
        <v>0</v>
      </c>
      <c r="O777" s="521">
        <v>0</v>
      </c>
      <c r="P777" s="521">
        <v>0</v>
      </c>
      <c r="Q777" s="521">
        <v>0</v>
      </c>
      <c r="R777" s="521">
        <v>0</v>
      </c>
      <c r="S777" s="521">
        <v>0</v>
      </c>
    </row>
    <row r="778" spans="6:19" x14ac:dyDescent="0.25">
      <c r="F778" s="167" t="s">
        <v>86</v>
      </c>
      <c r="G778" s="167" t="s">
        <v>186</v>
      </c>
      <c r="H778" s="167" t="s">
        <v>696</v>
      </c>
      <c r="I778" s="121"/>
      <c r="J778" s="403"/>
      <c r="K778" s="398"/>
      <c r="L778" s="403"/>
      <c r="M778" s="403"/>
      <c r="N778" s="403"/>
      <c r="O778" s="403"/>
      <c r="P778" s="403"/>
      <c r="Q778" s="403"/>
      <c r="R778" s="403"/>
      <c r="S778" s="403"/>
    </row>
    <row r="779" spans="6:19" x14ac:dyDescent="0.25">
      <c r="F779" s="167" t="s">
        <v>87</v>
      </c>
      <c r="G779" s="167" t="s">
        <v>186</v>
      </c>
      <c r="H779" s="167" t="s">
        <v>696</v>
      </c>
      <c r="I779" s="121"/>
      <c r="J779" s="403"/>
      <c r="K779" s="398"/>
      <c r="L779" s="403"/>
      <c r="M779" s="403"/>
      <c r="N779" s="403"/>
      <c r="O779" s="403"/>
      <c r="P779" s="403"/>
      <c r="Q779" s="403"/>
      <c r="R779" s="403"/>
      <c r="S779" s="403"/>
    </row>
    <row r="780" spans="6:19" x14ac:dyDescent="0.25">
      <c r="F780" s="167" t="s">
        <v>88</v>
      </c>
      <c r="G780" s="167" t="s">
        <v>186</v>
      </c>
      <c r="H780" s="167" t="s">
        <v>696</v>
      </c>
      <c r="I780" s="121"/>
      <c r="J780" s="403"/>
      <c r="K780" s="398"/>
      <c r="L780" s="403"/>
      <c r="M780" s="403"/>
      <c r="N780" s="403"/>
      <c r="O780" s="403"/>
      <c r="P780" s="403"/>
      <c r="Q780" s="403"/>
      <c r="R780" s="403"/>
      <c r="S780" s="403"/>
    </row>
    <row r="781" spans="6:19" x14ac:dyDescent="0.25">
      <c r="F781" s="167" t="s">
        <v>89</v>
      </c>
      <c r="G781" s="167" t="s">
        <v>186</v>
      </c>
      <c r="H781" s="167" t="s">
        <v>696</v>
      </c>
      <c r="I781" s="121"/>
      <c r="J781" s="403"/>
      <c r="K781" s="398"/>
      <c r="L781" s="403"/>
      <c r="M781" s="403"/>
      <c r="N781" s="403"/>
      <c r="O781" s="403"/>
      <c r="P781" s="403"/>
      <c r="Q781" s="403"/>
      <c r="R781" s="403"/>
      <c r="S781" s="403"/>
    </row>
    <row r="782" spans="6:19" x14ac:dyDescent="0.25">
      <c r="F782" s="167" t="s">
        <v>90</v>
      </c>
      <c r="G782" s="167" t="s">
        <v>186</v>
      </c>
      <c r="H782" s="167" t="s">
        <v>696</v>
      </c>
      <c r="I782" s="121"/>
      <c r="J782" s="403"/>
      <c r="K782" s="398"/>
      <c r="L782" s="403"/>
      <c r="M782" s="403"/>
      <c r="N782" s="403"/>
      <c r="O782" s="403"/>
      <c r="P782" s="403"/>
      <c r="Q782" s="403"/>
      <c r="R782" s="403"/>
      <c r="S782" s="403"/>
    </row>
    <row r="783" spans="6:19" x14ac:dyDescent="0.25">
      <c r="F783" s="167" t="s">
        <v>62</v>
      </c>
      <c r="G783" s="167" t="s">
        <v>186</v>
      </c>
      <c r="H783" s="167" t="s">
        <v>696</v>
      </c>
      <c r="I783" s="121"/>
      <c r="J783" s="403"/>
      <c r="K783" s="398"/>
      <c r="L783" s="403"/>
      <c r="M783" s="403"/>
      <c r="N783" s="403"/>
      <c r="O783" s="403"/>
      <c r="P783" s="403"/>
      <c r="Q783" s="403"/>
      <c r="R783" s="403"/>
      <c r="S783" s="403"/>
    </row>
    <row r="784" spans="6:19" x14ac:dyDescent="0.25">
      <c r="F784" s="167" t="s">
        <v>63</v>
      </c>
      <c r="G784" s="167" t="s">
        <v>186</v>
      </c>
      <c r="H784" s="167" t="s">
        <v>696</v>
      </c>
      <c r="I784" s="121"/>
      <c r="J784" s="403"/>
      <c r="K784" s="398"/>
      <c r="L784" s="403"/>
      <c r="M784" s="403"/>
      <c r="N784" s="403"/>
      <c r="O784" s="403"/>
      <c r="P784" s="403"/>
      <c r="Q784" s="403"/>
      <c r="R784" s="403"/>
      <c r="S784" s="403"/>
    </row>
    <row r="785" spans="5:19" x14ac:dyDescent="0.25">
      <c r="F785" s="167" t="s">
        <v>64</v>
      </c>
      <c r="G785" s="167" t="s">
        <v>186</v>
      </c>
      <c r="H785" s="167" t="s">
        <v>696</v>
      </c>
      <c r="I785" s="121"/>
      <c r="J785" s="403"/>
      <c r="K785" s="398"/>
      <c r="L785" s="403"/>
      <c r="M785" s="403"/>
      <c r="N785" s="403"/>
      <c r="O785" s="403"/>
      <c r="P785" s="403"/>
      <c r="Q785" s="403"/>
      <c r="R785" s="403"/>
      <c r="S785" s="403"/>
    </row>
    <row r="786" spans="5:19" x14ac:dyDescent="0.25">
      <c r="F786" s="167" t="s">
        <v>65</v>
      </c>
      <c r="G786" s="167" t="s">
        <v>186</v>
      </c>
      <c r="H786" s="167" t="s">
        <v>696</v>
      </c>
      <c r="I786" s="121"/>
      <c r="J786" s="403"/>
      <c r="K786" s="398"/>
      <c r="L786" s="403"/>
      <c r="M786" s="403"/>
      <c r="N786" s="403"/>
      <c r="O786" s="403"/>
      <c r="P786" s="403"/>
      <c r="Q786" s="403"/>
      <c r="R786" s="403"/>
      <c r="S786" s="403"/>
    </row>
    <row r="787" spans="5:19" x14ac:dyDescent="0.25">
      <c r="F787" s="167" t="s">
        <v>66</v>
      </c>
      <c r="G787" s="167" t="s">
        <v>186</v>
      </c>
      <c r="H787" s="167" t="s">
        <v>696</v>
      </c>
      <c r="I787" s="121"/>
      <c r="J787" s="403"/>
      <c r="K787" s="398"/>
      <c r="L787" s="403"/>
      <c r="M787" s="403"/>
      <c r="N787" s="403"/>
      <c r="O787" s="403"/>
      <c r="P787" s="403"/>
      <c r="Q787" s="403"/>
      <c r="R787" s="403"/>
      <c r="S787" s="403"/>
    </row>
    <row r="788" spans="5:19" x14ac:dyDescent="0.25">
      <c r="F788" s="167" t="s">
        <v>67</v>
      </c>
      <c r="G788" s="167" t="s">
        <v>186</v>
      </c>
      <c r="H788" s="167" t="s">
        <v>696</v>
      </c>
      <c r="I788" s="121"/>
      <c r="J788" s="403"/>
      <c r="K788" s="398"/>
      <c r="L788" s="403"/>
      <c r="M788" s="403"/>
      <c r="N788" s="403"/>
      <c r="O788" s="403"/>
      <c r="P788" s="403"/>
      <c r="Q788" s="403"/>
      <c r="R788" s="403"/>
      <c r="S788" s="403"/>
    </row>
    <row r="789" spans="5:19" x14ac:dyDescent="0.25">
      <c r="F789" s="167" t="s">
        <v>68</v>
      </c>
      <c r="G789" s="167" t="s">
        <v>186</v>
      </c>
      <c r="H789" s="167" t="s">
        <v>696</v>
      </c>
      <c r="I789" s="121"/>
      <c r="J789" s="403"/>
      <c r="K789" s="398"/>
      <c r="L789" s="403"/>
      <c r="M789" s="403"/>
      <c r="N789" s="403"/>
      <c r="O789" s="403"/>
      <c r="P789" s="403"/>
      <c r="Q789" s="403"/>
      <c r="R789" s="403"/>
      <c r="S789" s="403"/>
    </row>
    <row r="790" spans="5:19" x14ac:dyDescent="0.25">
      <c r="F790" s="167" t="s">
        <v>69</v>
      </c>
      <c r="G790" s="167" t="s">
        <v>186</v>
      </c>
      <c r="H790" s="167" t="s">
        <v>696</v>
      </c>
      <c r="I790" s="121"/>
      <c r="J790" s="403"/>
      <c r="K790" s="398"/>
      <c r="L790" s="403"/>
      <c r="M790" s="403"/>
      <c r="N790" s="403"/>
      <c r="O790" s="403"/>
      <c r="P790" s="403"/>
      <c r="Q790" s="403"/>
      <c r="R790" s="403"/>
      <c r="S790" s="403"/>
    </row>
    <row r="791" spans="5:19" x14ac:dyDescent="0.25">
      <c r="F791" s="167" t="s">
        <v>70</v>
      </c>
      <c r="G791" s="167" t="s">
        <v>186</v>
      </c>
      <c r="H791" s="167" t="s">
        <v>696</v>
      </c>
      <c r="I791" s="121"/>
      <c r="J791" s="403"/>
      <c r="K791" s="398"/>
      <c r="L791" s="403"/>
      <c r="M791" s="403"/>
      <c r="N791" s="403"/>
      <c r="O791" s="403"/>
      <c r="P791" s="403"/>
      <c r="Q791" s="403"/>
      <c r="R791" s="403"/>
      <c r="S791" s="403"/>
    </row>
    <row r="792" spans="5:19" x14ac:dyDescent="0.25">
      <c r="F792" s="167" t="s">
        <v>71</v>
      </c>
      <c r="G792" s="167" t="s">
        <v>186</v>
      </c>
      <c r="H792" s="167" t="s">
        <v>696</v>
      </c>
      <c r="I792" s="121"/>
      <c r="J792" s="403"/>
      <c r="K792" s="398"/>
      <c r="L792" s="403"/>
      <c r="M792" s="403"/>
      <c r="N792" s="403"/>
      <c r="O792" s="403"/>
      <c r="P792" s="403"/>
      <c r="Q792" s="403"/>
      <c r="R792" s="403"/>
      <c r="S792" s="403"/>
    </row>
    <row r="793" spans="5:19" x14ac:dyDescent="0.25">
      <c r="F793" s="167" t="s">
        <v>74</v>
      </c>
      <c r="G793" s="167" t="s">
        <v>186</v>
      </c>
      <c r="H793" s="167" t="s">
        <v>696</v>
      </c>
      <c r="I793" s="121"/>
      <c r="J793" s="403"/>
      <c r="K793" s="398"/>
      <c r="L793" s="403"/>
      <c r="M793" s="403"/>
      <c r="N793" s="403"/>
      <c r="O793" s="403"/>
      <c r="P793" s="403"/>
      <c r="Q793" s="403"/>
      <c r="R793" s="403"/>
      <c r="S793" s="403"/>
    </row>
    <row r="794" spans="5:19" x14ac:dyDescent="0.25">
      <c r="F794" s="167" t="s">
        <v>75</v>
      </c>
      <c r="G794" s="167" t="s">
        <v>186</v>
      </c>
      <c r="H794" s="167" t="s">
        <v>696</v>
      </c>
      <c r="I794" s="121"/>
      <c r="J794" s="403"/>
      <c r="K794" s="398"/>
      <c r="L794" s="403"/>
      <c r="M794" s="403"/>
      <c r="N794" s="403"/>
      <c r="O794" s="403"/>
      <c r="P794" s="403"/>
      <c r="Q794" s="403"/>
      <c r="R794" s="403"/>
      <c r="S794" s="403"/>
    </row>
    <row r="795" spans="5:19" x14ac:dyDescent="0.25">
      <c r="F795" s="167" t="s">
        <v>76</v>
      </c>
      <c r="G795" s="167" t="s">
        <v>186</v>
      </c>
      <c r="H795" s="167" t="s">
        <v>696</v>
      </c>
      <c r="I795" s="121"/>
      <c r="J795" s="403"/>
      <c r="K795" s="398"/>
      <c r="L795" s="403"/>
      <c r="M795" s="403"/>
      <c r="N795" s="403"/>
      <c r="O795" s="403"/>
      <c r="P795" s="403"/>
      <c r="Q795" s="403"/>
      <c r="R795" s="403"/>
      <c r="S795" s="403"/>
    </row>
    <row r="796" spans="5:19" x14ac:dyDescent="0.25">
      <c r="F796" s="168" t="s">
        <v>77</v>
      </c>
      <c r="G796" s="168" t="s">
        <v>186</v>
      </c>
      <c r="H796" s="168" t="s">
        <v>696</v>
      </c>
      <c r="I796" s="262"/>
      <c r="J796" s="404"/>
      <c r="K796" s="400"/>
      <c r="L796" s="404"/>
      <c r="M796" s="404"/>
      <c r="N796" s="404"/>
      <c r="O796" s="404"/>
      <c r="P796" s="404"/>
      <c r="Q796" s="404"/>
      <c r="R796" s="404"/>
      <c r="S796" s="404"/>
    </row>
    <row r="797" spans="5:19" x14ac:dyDescent="0.25">
      <c r="J797" s="401"/>
      <c r="K797" s="401"/>
      <c r="L797" s="401"/>
      <c r="M797" s="401"/>
      <c r="N797" s="401"/>
      <c r="O797" s="401"/>
      <c r="P797" s="401"/>
      <c r="Q797" s="401"/>
      <c r="R797" s="401"/>
      <c r="S797" s="401"/>
    </row>
    <row r="798" spans="5:19" x14ac:dyDescent="0.25">
      <c r="E798" s="261" t="s">
        <v>332</v>
      </c>
      <c r="J798" s="401"/>
      <c r="K798" s="401"/>
      <c r="L798" s="401"/>
      <c r="M798" s="401"/>
      <c r="N798" s="401"/>
      <c r="O798" s="401"/>
      <c r="P798" s="401"/>
      <c r="Q798" s="401"/>
      <c r="R798" s="401"/>
      <c r="S798" s="401"/>
    </row>
    <row r="799" spans="5:19" x14ac:dyDescent="0.25">
      <c r="F799" s="166" t="s">
        <v>52</v>
      </c>
      <c r="G799" s="166" t="s">
        <v>187</v>
      </c>
      <c r="H799" s="166" t="s">
        <v>696</v>
      </c>
      <c r="I799" s="201"/>
      <c r="J799" s="402"/>
      <c r="K799" s="396"/>
      <c r="L799" s="402"/>
      <c r="M799" s="402"/>
      <c r="N799" s="402"/>
      <c r="O799" s="402"/>
      <c r="P799" s="402"/>
      <c r="Q799" s="402"/>
      <c r="R799" s="402"/>
      <c r="S799" s="402"/>
    </row>
    <row r="800" spans="5:19" x14ac:dyDescent="0.25">
      <c r="F800" s="167" t="s">
        <v>53</v>
      </c>
      <c r="G800" s="167" t="s">
        <v>187</v>
      </c>
      <c r="H800" s="167" t="s">
        <v>696</v>
      </c>
      <c r="I800" s="121"/>
      <c r="J800" s="403"/>
      <c r="K800" s="398"/>
      <c r="L800" s="403"/>
      <c r="M800" s="403"/>
      <c r="N800" s="403"/>
      <c r="O800" s="403"/>
      <c r="P800" s="403"/>
      <c r="Q800" s="403"/>
      <c r="R800" s="403"/>
      <c r="S800" s="403"/>
    </row>
    <row r="801" spans="6:19" x14ac:dyDescent="0.25">
      <c r="F801" s="167" t="s">
        <v>84</v>
      </c>
      <c r="G801" s="167" t="s">
        <v>187</v>
      </c>
      <c r="H801" s="167" t="s">
        <v>696</v>
      </c>
      <c r="I801" s="121"/>
      <c r="J801" s="403"/>
      <c r="K801" s="398"/>
      <c r="L801" s="403"/>
      <c r="M801" s="403"/>
      <c r="N801" s="403"/>
      <c r="O801" s="403"/>
      <c r="P801" s="403"/>
      <c r="Q801" s="403"/>
      <c r="R801" s="403"/>
      <c r="S801" s="403"/>
    </row>
    <row r="802" spans="6:19" x14ac:dyDescent="0.25">
      <c r="F802" s="167" t="s">
        <v>54</v>
      </c>
      <c r="G802" s="167" t="s">
        <v>187</v>
      </c>
      <c r="H802" s="167" t="s">
        <v>696</v>
      </c>
      <c r="I802" s="121"/>
      <c r="J802" s="403"/>
      <c r="K802" s="398"/>
      <c r="L802" s="403"/>
      <c r="M802" s="403"/>
      <c r="N802" s="403"/>
      <c r="O802" s="403"/>
      <c r="P802" s="403"/>
      <c r="Q802" s="403"/>
      <c r="R802" s="403"/>
      <c r="S802" s="403"/>
    </row>
    <row r="803" spans="6:19" x14ac:dyDescent="0.25">
      <c r="F803" s="167" t="s">
        <v>55</v>
      </c>
      <c r="G803" s="167" t="s">
        <v>187</v>
      </c>
      <c r="H803" s="167" t="s">
        <v>696</v>
      </c>
      <c r="I803" s="121"/>
      <c r="J803" s="403"/>
      <c r="K803" s="398"/>
      <c r="L803" s="403"/>
      <c r="M803" s="403"/>
      <c r="N803" s="403"/>
      <c r="O803" s="403"/>
      <c r="P803" s="403"/>
      <c r="Q803" s="403"/>
      <c r="R803" s="403"/>
      <c r="S803" s="403"/>
    </row>
    <row r="804" spans="6:19" x14ac:dyDescent="0.25">
      <c r="F804" s="167" t="s">
        <v>85</v>
      </c>
      <c r="G804" s="167" t="s">
        <v>187</v>
      </c>
      <c r="H804" s="167" t="s">
        <v>696</v>
      </c>
      <c r="I804" s="121"/>
      <c r="J804" s="403"/>
      <c r="K804" s="398"/>
      <c r="L804" s="403"/>
      <c r="M804" s="403"/>
      <c r="N804" s="403"/>
      <c r="O804" s="403"/>
      <c r="P804" s="403"/>
      <c r="Q804" s="403"/>
      <c r="R804" s="403"/>
      <c r="S804" s="403"/>
    </row>
    <row r="805" spans="6:19" x14ac:dyDescent="0.25">
      <c r="F805" s="167" t="s">
        <v>56</v>
      </c>
      <c r="G805" s="167" t="s">
        <v>187</v>
      </c>
      <c r="H805" s="167" t="s">
        <v>696</v>
      </c>
      <c r="I805" s="121"/>
      <c r="J805" s="403"/>
      <c r="K805" s="398"/>
      <c r="L805" s="403"/>
      <c r="M805" s="403"/>
      <c r="N805" s="403"/>
      <c r="O805" s="403"/>
      <c r="P805" s="403"/>
      <c r="Q805" s="403"/>
      <c r="R805" s="403"/>
      <c r="S805" s="403"/>
    </row>
    <row r="806" spans="6:19" x14ac:dyDescent="0.25">
      <c r="F806" s="167" t="s">
        <v>57</v>
      </c>
      <c r="G806" s="167" t="s">
        <v>187</v>
      </c>
      <c r="H806" s="167" t="s">
        <v>696</v>
      </c>
      <c r="I806" s="121"/>
      <c r="J806" s="403"/>
      <c r="K806" s="398"/>
      <c r="L806" s="403"/>
      <c r="M806" s="403"/>
      <c r="N806" s="403"/>
      <c r="O806" s="403"/>
      <c r="P806" s="403"/>
      <c r="Q806" s="403"/>
      <c r="R806" s="403"/>
      <c r="S806" s="403"/>
    </row>
    <row r="807" spans="6:19" x14ac:dyDescent="0.25">
      <c r="F807" s="167" t="s">
        <v>72</v>
      </c>
      <c r="G807" s="167" t="s">
        <v>187</v>
      </c>
      <c r="H807" s="167" t="s">
        <v>696</v>
      </c>
      <c r="I807" s="121"/>
      <c r="J807" s="403"/>
      <c r="K807" s="398"/>
      <c r="L807" s="403"/>
      <c r="M807" s="403"/>
      <c r="N807" s="403"/>
      <c r="O807" s="403"/>
      <c r="P807" s="403"/>
      <c r="Q807" s="403"/>
      <c r="R807" s="403"/>
      <c r="S807" s="403"/>
    </row>
    <row r="808" spans="6:19" x14ac:dyDescent="0.25">
      <c r="F808" s="167" t="s">
        <v>58</v>
      </c>
      <c r="G808" s="167" t="s">
        <v>187</v>
      </c>
      <c r="H808" s="167" t="s">
        <v>696</v>
      </c>
      <c r="I808" s="121"/>
      <c r="J808" s="403"/>
      <c r="K808" s="398"/>
      <c r="L808" s="403"/>
      <c r="M808" s="403"/>
      <c r="N808" s="403"/>
      <c r="O808" s="403"/>
      <c r="P808" s="403"/>
      <c r="Q808" s="403"/>
      <c r="R808" s="403"/>
      <c r="S808" s="403"/>
    </row>
    <row r="809" spans="6:19" x14ac:dyDescent="0.25">
      <c r="F809" s="167" t="s">
        <v>59</v>
      </c>
      <c r="G809" s="167" t="s">
        <v>187</v>
      </c>
      <c r="H809" s="167" t="s">
        <v>696</v>
      </c>
      <c r="I809" s="121"/>
      <c r="J809" s="403"/>
      <c r="K809" s="398"/>
      <c r="L809" s="403"/>
      <c r="M809" s="403"/>
      <c r="N809" s="403"/>
      <c r="O809" s="403"/>
      <c r="P809" s="403"/>
      <c r="Q809" s="403"/>
      <c r="R809" s="403"/>
      <c r="S809" s="403"/>
    </row>
    <row r="810" spans="6:19" x14ac:dyDescent="0.25">
      <c r="F810" s="167" t="s">
        <v>60</v>
      </c>
      <c r="G810" s="167" t="s">
        <v>187</v>
      </c>
      <c r="H810" s="167" t="s">
        <v>696</v>
      </c>
      <c r="I810" s="121"/>
      <c r="J810" s="397">
        <f t="shared" ref="J810:J812" si="55">CHOOSE(year_selection, L810,M810,N810,O810,P810,Q810,R810,S810)</f>
        <v>4751.2714203241194</v>
      </c>
      <c r="K810" s="398"/>
      <c r="L810" s="521">
        <v>3677.7341129032266</v>
      </c>
      <c r="M810" s="521">
        <v>0.122</v>
      </c>
      <c r="N810" s="521">
        <v>0.122</v>
      </c>
      <c r="O810" s="521">
        <v>4751.2714203241194</v>
      </c>
      <c r="P810" s="521">
        <v>4751.2714203241194</v>
      </c>
      <c r="Q810" s="521">
        <v>4751.2714203241194</v>
      </c>
      <c r="R810" s="521">
        <v>4751.2714203241194</v>
      </c>
      <c r="S810" s="521">
        <v>4751.2714203241194</v>
      </c>
    </row>
    <row r="811" spans="6:19" x14ac:dyDescent="0.25">
      <c r="F811" s="167" t="s">
        <v>61</v>
      </c>
      <c r="G811" s="167" t="s">
        <v>187</v>
      </c>
      <c r="H811" s="167" t="s">
        <v>696</v>
      </c>
      <c r="I811" s="121"/>
      <c r="J811" s="397">
        <f t="shared" si="55"/>
        <v>6522.9622123524096</v>
      </c>
      <c r="K811" s="398"/>
      <c r="L811" s="521">
        <v>0</v>
      </c>
      <c r="M811" s="521">
        <v>0.16500000000000001</v>
      </c>
      <c r="N811" s="521">
        <v>0.16500000000000001</v>
      </c>
      <c r="O811" s="521">
        <v>6522.9622123524096</v>
      </c>
      <c r="P811" s="521">
        <v>9106.0416857009259</v>
      </c>
      <c r="Q811" s="521">
        <v>11689.121237803742</v>
      </c>
      <c r="R811" s="521">
        <v>14272.200790033887</v>
      </c>
      <c r="S811" s="521">
        <v>16855.280342264032</v>
      </c>
    </row>
    <row r="812" spans="6:19" x14ac:dyDescent="0.25">
      <c r="F812" s="167" t="s">
        <v>73</v>
      </c>
      <c r="G812" s="167" t="s">
        <v>187</v>
      </c>
      <c r="H812" s="167" t="s">
        <v>696</v>
      </c>
      <c r="I812" s="121"/>
      <c r="J812" s="397">
        <f t="shared" si="55"/>
        <v>0</v>
      </c>
      <c r="K812" s="398"/>
      <c r="L812" s="521">
        <v>0</v>
      </c>
      <c r="M812" s="521">
        <v>0.127</v>
      </c>
      <c r="N812" s="521">
        <v>0.127</v>
      </c>
      <c r="O812" s="521">
        <v>0</v>
      </c>
      <c r="P812" s="521">
        <v>0</v>
      </c>
      <c r="Q812" s="521">
        <v>0</v>
      </c>
      <c r="R812" s="521">
        <v>0</v>
      </c>
      <c r="S812" s="521">
        <v>0</v>
      </c>
    </row>
    <row r="813" spans="6:19" x14ac:dyDescent="0.25">
      <c r="F813" s="167" t="s">
        <v>86</v>
      </c>
      <c r="G813" s="167" t="s">
        <v>187</v>
      </c>
      <c r="H813" s="167" t="s">
        <v>696</v>
      </c>
      <c r="I813" s="121"/>
      <c r="J813" s="403"/>
      <c r="K813" s="398"/>
      <c r="L813" s="403"/>
      <c r="M813" s="403"/>
      <c r="N813" s="403"/>
      <c r="O813" s="403"/>
      <c r="P813" s="403"/>
      <c r="Q813" s="403"/>
      <c r="R813" s="403"/>
      <c r="S813" s="403"/>
    </row>
    <row r="814" spans="6:19" x14ac:dyDescent="0.25">
      <c r="F814" s="167" t="s">
        <v>87</v>
      </c>
      <c r="G814" s="167" t="s">
        <v>187</v>
      </c>
      <c r="H814" s="167" t="s">
        <v>696</v>
      </c>
      <c r="I814" s="121"/>
      <c r="J814" s="403"/>
      <c r="K814" s="398"/>
      <c r="L814" s="403"/>
      <c r="M814" s="403"/>
      <c r="N814" s="403"/>
      <c r="O814" s="403"/>
      <c r="P814" s="403"/>
      <c r="Q814" s="403"/>
      <c r="R814" s="403"/>
      <c r="S814" s="403"/>
    </row>
    <row r="815" spans="6:19" x14ac:dyDescent="0.25">
      <c r="F815" s="167" t="s">
        <v>88</v>
      </c>
      <c r="G815" s="167" t="s">
        <v>187</v>
      </c>
      <c r="H815" s="167" t="s">
        <v>696</v>
      </c>
      <c r="I815" s="121"/>
      <c r="J815" s="403"/>
      <c r="K815" s="398"/>
      <c r="L815" s="403"/>
      <c r="M815" s="403"/>
      <c r="N815" s="403"/>
      <c r="O815" s="403"/>
      <c r="P815" s="403"/>
      <c r="Q815" s="403"/>
      <c r="R815" s="403"/>
      <c r="S815" s="403"/>
    </row>
    <row r="816" spans="6:19" x14ac:dyDescent="0.25">
      <c r="F816" s="167" t="s">
        <v>89</v>
      </c>
      <c r="G816" s="167" t="s">
        <v>187</v>
      </c>
      <c r="H816" s="167" t="s">
        <v>696</v>
      </c>
      <c r="I816" s="121"/>
      <c r="J816" s="403"/>
      <c r="K816" s="398"/>
      <c r="L816" s="403"/>
      <c r="M816" s="403"/>
      <c r="N816" s="403"/>
      <c r="O816" s="403"/>
      <c r="P816" s="403"/>
      <c r="Q816" s="403"/>
      <c r="R816" s="403"/>
      <c r="S816" s="403"/>
    </row>
    <row r="817" spans="6:19" x14ac:dyDescent="0.25">
      <c r="F817" s="167" t="s">
        <v>90</v>
      </c>
      <c r="G817" s="167" t="s">
        <v>187</v>
      </c>
      <c r="H817" s="167" t="s">
        <v>696</v>
      </c>
      <c r="I817" s="121"/>
      <c r="J817" s="403"/>
      <c r="K817" s="398"/>
      <c r="L817" s="403"/>
      <c r="M817" s="403"/>
      <c r="N817" s="403"/>
      <c r="O817" s="403"/>
      <c r="P817" s="403"/>
      <c r="Q817" s="403"/>
      <c r="R817" s="403"/>
      <c r="S817" s="403"/>
    </row>
    <row r="818" spans="6:19" x14ac:dyDescent="0.25">
      <c r="F818" s="167" t="s">
        <v>62</v>
      </c>
      <c r="G818" s="167" t="s">
        <v>187</v>
      </c>
      <c r="H818" s="167" t="s">
        <v>696</v>
      </c>
      <c r="I818" s="121"/>
      <c r="J818" s="403"/>
      <c r="K818" s="398"/>
      <c r="L818" s="403"/>
      <c r="M818" s="403"/>
      <c r="N818" s="403"/>
      <c r="O818" s="403"/>
      <c r="P818" s="403"/>
      <c r="Q818" s="403"/>
      <c r="R818" s="403"/>
      <c r="S818" s="403"/>
    </row>
    <row r="819" spans="6:19" x14ac:dyDescent="0.25">
      <c r="F819" s="167" t="s">
        <v>63</v>
      </c>
      <c r="G819" s="167" t="s">
        <v>187</v>
      </c>
      <c r="H819" s="167" t="s">
        <v>696</v>
      </c>
      <c r="I819" s="121"/>
      <c r="J819" s="403"/>
      <c r="K819" s="398"/>
      <c r="L819" s="403"/>
      <c r="M819" s="403"/>
      <c r="N819" s="403"/>
      <c r="O819" s="403"/>
      <c r="P819" s="403"/>
      <c r="Q819" s="403"/>
      <c r="R819" s="403"/>
      <c r="S819" s="403"/>
    </row>
    <row r="820" spans="6:19" x14ac:dyDescent="0.25">
      <c r="F820" s="167" t="s">
        <v>64</v>
      </c>
      <c r="G820" s="167" t="s">
        <v>187</v>
      </c>
      <c r="H820" s="167" t="s">
        <v>696</v>
      </c>
      <c r="I820" s="121"/>
      <c r="J820" s="397">
        <f t="shared" ref="J820" si="56">CHOOSE(year_selection, L820,M820,N820,O820,P820,Q820,R820,S820)</f>
        <v>0</v>
      </c>
      <c r="K820" s="398"/>
      <c r="L820" s="521">
        <v>0</v>
      </c>
      <c r="M820" s="521">
        <v>0</v>
      </c>
      <c r="N820" s="521">
        <v>0</v>
      </c>
      <c r="O820" s="521">
        <v>0</v>
      </c>
      <c r="P820" s="521">
        <v>0</v>
      </c>
      <c r="Q820" s="521">
        <v>0</v>
      </c>
      <c r="R820" s="521">
        <v>0</v>
      </c>
      <c r="S820" s="521">
        <v>0</v>
      </c>
    </row>
    <row r="821" spans="6:19" x14ac:dyDescent="0.25">
      <c r="F821" s="167" t="s">
        <v>65</v>
      </c>
      <c r="G821" s="167" t="s">
        <v>187</v>
      </c>
      <c r="H821" s="167" t="s">
        <v>696</v>
      </c>
      <c r="I821" s="121"/>
      <c r="J821" s="403"/>
      <c r="K821" s="398"/>
      <c r="L821" s="403"/>
      <c r="M821" s="403"/>
      <c r="N821" s="403"/>
      <c r="O821" s="403"/>
      <c r="P821" s="403"/>
      <c r="Q821" s="403"/>
      <c r="R821" s="403"/>
      <c r="S821" s="403"/>
    </row>
    <row r="822" spans="6:19" x14ac:dyDescent="0.25">
      <c r="F822" s="167" t="s">
        <v>66</v>
      </c>
      <c r="G822" s="167" t="s">
        <v>187</v>
      </c>
      <c r="H822" s="167" t="s">
        <v>696</v>
      </c>
      <c r="I822" s="121"/>
      <c r="J822" s="397">
        <f t="shared" ref="J822" si="57">CHOOSE(year_selection, L822,M822,N822,O822,P822,Q822,R822,S822)</f>
        <v>0</v>
      </c>
      <c r="K822" s="398"/>
      <c r="L822" s="521">
        <v>0</v>
      </c>
      <c r="M822" s="521">
        <v>0</v>
      </c>
      <c r="N822" s="521">
        <v>0</v>
      </c>
      <c r="O822" s="521">
        <v>0</v>
      </c>
      <c r="P822" s="521">
        <v>0</v>
      </c>
      <c r="Q822" s="521">
        <v>0</v>
      </c>
      <c r="R822" s="521">
        <v>0</v>
      </c>
      <c r="S822" s="521">
        <v>0</v>
      </c>
    </row>
    <row r="823" spans="6:19" x14ac:dyDescent="0.25">
      <c r="F823" s="167" t="s">
        <v>67</v>
      </c>
      <c r="G823" s="167" t="s">
        <v>187</v>
      </c>
      <c r="H823" s="167" t="s">
        <v>696</v>
      </c>
      <c r="I823" s="121"/>
      <c r="J823" s="403"/>
      <c r="K823" s="398"/>
      <c r="L823" s="403"/>
      <c r="M823" s="403"/>
      <c r="N823" s="403"/>
      <c r="O823" s="403"/>
      <c r="P823" s="403"/>
      <c r="Q823" s="403"/>
      <c r="R823" s="403"/>
      <c r="S823" s="403"/>
    </row>
    <row r="824" spans="6:19" x14ac:dyDescent="0.25">
      <c r="F824" s="167" t="s">
        <v>68</v>
      </c>
      <c r="G824" s="167" t="s">
        <v>187</v>
      </c>
      <c r="H824" s="167" t="s">
        <v>696</v>
      </c>
      <c r="I824" s="121"/>
      <c r="J824" s="397">
        <f t="shared" ref="J824" si="58">CHOOSE(year_selection, L824,M824,N824,O824,P824,Q824,R824,S824)</f>
        <v>0</v>
      </c>
      <c r="K824" s="398"/>
      <c r="L824" s="521">
        <v>0</v>
      </c>
      <c r="M824" s="521">
        <v>0</v>
      </c>
      <c r="N824" s="521">
        <v>0</v>
      </c>
      <c r="O824" s="521">
        <v>0</v>
      </c>
      <c r="P824" s="521">
        <v>0</v>
      </c>
      <c r="Q824" s="521">
        <v>0</v>
      </c>
      <c r="R824" s="521">
        <v>0</v>
      </c>
      <c r="S824" s="521">
        <v>0</v>
      </c>
    </row>
    <row r="825" spans="6:19" x14ac:dyDescent="0.25">
      <c r="F825" s="167" t="s">
        <v>69</v>
      </c>
      <c r="G825" s="167" t="s">
        <v>187</v>
      </c>
      <c r="H825" s="167" t="s">
        <v>696</v>
      </c>
      <c r="I825" s="121"/>
      <c r="J825" s="403"/>
      <c r="K825" s="398"/>
      <c r="L825" s="403"/>
      <c r="M825" s="403"/>
      <c r="N825" s="403"/>
      <c r="O825" s="403"/>
      <c r="P825" s="403"/>
      <c r="Q825" s="403"/>
      <c r="R825" s="403"/>
      <c r="S825" s="403"/>
    </row>
    <row r="826" spans="6:19" x14ac:dyDescent="0.25">
      <c r="F826" s="167" t="s">
        <v>70</v>
      </c>
      <c r="G826" s="167" t="s">
        <v>187</v>
      </c>
      <c r="H826" s="167" t="s">
        <v>696</v>
      </c>
      <c r="I826" s="121"/>
      <c r="J826" s="397">
        <f t="shared" ref="J826" si="59">CHOOSE(year_selection, L826,M826,N826,O826,P826,Q826,R826,S826)</f>
        <v>0</v>
      </c>
      <c r="K826" s="398"/>
      <c r="L826" s="521">
        <v>0</v>
      </c>
      <c r="M826" s="521">
        <v>0</v>
      </c>
      <c r="N826" s="521">
        <v>0</v>
      </c>
      <c r="O826" s="521">
        <v>0</v>
      </c>
      <c r="P826" s="521">
        <v>0</v>
      </c>
      <c r="Q826" s="521">
        <v>0</v>
      </c>
      <c r="R826" s="521">
        <v>0</v>
      </c>
      <c r="S826" s="521">
        <v>0</v>
      </c>
    </row>
    <row r="827" spans="6:19" x14ac:dyDescent="0.25">
      <c r="F827" s="167" t="s">
        <v>71</v>
      </c>
      <c r="G827" s="167" t="s">
        <v>187</v>
      </c>
      <c r="H827" s="167" t="s">
        <v>696</v>
      </c>
      <c r="I827" s="121"/>
      <c r="J827" s="403"/>
      <c r="K827" s="398"/>
      <c r="L827" s="403"/>
      <c r="M827" s="403"/>
      <c r="N827" s="403"/>
      <c r="O827" s="403"/>
      <c r="P827" s="403"/>
      <c r="Q827" s="403"/>
      <c r="R827" s="403"/>
      <c r="S827" s="403"/>
    </row>
    <row r="828" spans="6:19" x14ac:dyDescent="0.25">
      <c r="F828" s="167" t="s">
        <v>74</v>
      </c>
      <c r="G828" s="167" t="s">
        <v>187</v>
      </c>
      <c r="H828" s="167" t="s">
        <v>696</v>
      </c>
      <c r="I828" s="121"/>
      <c r="J828" s="397">
        <f t="shared" ref="J828" si="60">CHOOSE(year_selection, L828,M828,N828,O828,P828,Q828,R828,S828)</f>
        <v>0</v>
      </c>
      <c r="K828" s="398"/>
      <c r="L828" s="521">
        <v>0</v>
      </c>
      <c r="M828" s="521">
        <v>0</v>
      </c>
      <c r="N828" s="521">
        <v>0</v>
      </c>
      <c r="O828" s="521">
        <v>0</v>
      </c>
      <c r="P828" s="521">
        <v>0</v>
      </c>
      <c r="Q828" s="521">
        <v>0</v>
      </c>
      <c r="R828" s="521">
        <v>0</v>
      </c>
      <c r="S828" s="521">
        <v>0</v>
      </c>
    </row>
    <row r="829" spans="6:19" x14ac:dyDescent="0.25">
      <c r="F829" s="167" t="s">
        <v>75</v>
      </c>
      <c r="G829" s="167" t="s">
        <v>187</v>
      </c>
      <c r="H829" s="167" t="s">
        <v>696</v>
      </c>
      <c r="I829" s="121"/>
      <c r="J829" s="403"/>
      <c r="K829" s="398"/>
      <c r="L829" s="403"/>
      <c r="M829" s="403"/>
      <c r="N829" s="403"/>
      <c r="O829" s="403"/>
      <c r="P829" s="403"/>
      <c r="Q829" s="403"/>
      <c r="R829" s="403"/>
      <c r="S829" s="403"/>
    </row>
    <row r="830" spans="6:19" x14ac:dyDescent="0.25">
      <c r="F830" s="167" t="s">
        <v>76</v>
      </c>
      <c r="G830" s="167" t="s">
        <v>187</v>
      </c>
      <c r="H830" s="167" t="s">
        <v>696</v>
      </c>
      <c r="I830" s="121"/>
      <c r="J830" s="397">
        <f t="shared" ref="J830" si="61">CHOOSE(year_selection, L830,M830,N830,O830,P830,Q830,R830,S830)</f>
        <v>0</v>
      </c>
      <c r="K830" s="398"/>
      <c r="L830" s="521">
        <v>0</v>
      </c>
      <c r="M830" s="521">
        <v>0</v>
      </c>
      <c r="N830" s="521">
        <v>0</v>
      </c>
      <c r="O830" s="521">
        <v>0</v>
      </c>
      <c r="P830" s="521">
        <v>0</v>
      </c>
      <c r="Q830" s="521">
        <v>0</v>
      </c>
      <c r="R830" s="521">
        <v>0</v>
      </c>
      <c r="S830" s="521">
        <v>0</v>
      </c>
    </row>
    <row r="831" spans="6:19" x14ac:dyDescent="0.25">
      <c r="F831" s="168" t="s">
        <v>77</v>
      </c>
      <c r="G831" s="168" t="s">
        <v>187</v>
      </c>
      <c r="H831" s="168" t="s">
        <v>696</v>
      </c>
      <c r="I831" s="262"/>
      <c r="J831" s="311"/>
      <c r="K831" s="286"/>
      <c r="L831" s="311"/>
      <c r="M831" s="311"/>
      <c r="N831" s="311"/>
      <c r="O831" s="311"/>
      <c r="P831" s="311"/>
      <c r="Q831" s="311"/>
      <c r="R831" s="311"/>
      <c r="S831" s="311"/>
    </row>
    <row r="832" spans="6:19" x14ac:dyDescent="0.25">
      <c r="J832" s="200"/>
      <c r="K832" s="200"/>
      <c r="L832" s="200"/>
      <c r="M832" s="200"/>
      <c r="N832" s="200"/>
      <c r="O832" s="200"/>
      <c r="P832" s="200"/>
      <c r="Q832" s="200"/>
      <c r="R832" s="200"/>
      <c r="S832" s="200"/>
    </row>
    <row r="833" spans="2:49" x14ac:dyDescent="0.25">
      <c r="B833" s="171" t="s">
        <v>430</v>
      </c>
      <c r="C833" s="171"/>
      <c r="D833" s="171"/>
      <c r="E833" s="171"/>
      <c r="F833" s="171"/>
      <c r="G833" s="171"/>
      <c r="H833" s="171"/>
      <c r="I833" s="278"/>
      <c r="J833" s="278"/>
      <c r="K833" s="278"/>
      <c r="L833" s="278"/>
      <c r="M833" s="278"/>
      <c r="N833" s="278"/>
      <c r="O833" s="278"/>
      <c r="P833" s="278"/>
      <c r="Q833" s="278"/>
      <c r="R833" s="278"/>
      <c r="S833" s="278"/>
      <c r="T833" s="171"/>
      <c r="U833" s="171"/>
      <c r="W833" s="171"/>
      <c r="X833" s="171"/>
      <c r="Y833" s="171"/>
      <c r="Z833" s="171"/>
      <c r="AA833" s="171"/>
      <c r="AB833" s="171"/>
      <c r="AC833" s="171"/>
      <c r="AD833" s="171"/>
      <c r="AE833" s="171"/>
      <c r="AF833" s="171"/>
      <c r="AG833" s="171"/>
      <c r="AH833" s="171"/>
      <c r="AI833" s="171"/>
      <c r="AJ833" s="171"/>
      <c r="AK833" s="171"/>
      <c r="AL833" s="171"/>
      <c r="AM833" s="171"/>
      <c r="AN833" s="171"/>
      <c r="AO833" s="171"/>
      <c r="AP833" s="171"/>
      <c r="AQ833" s="171"/>
      <c r="AR833" s="171"/>
      <c r="AS833" s="171"/>
      <c r="AT833" s="171"/>
      <c r="AU833" s="171"/>
      <c r="AV833" s="171"/>
      <c r="AW833" s="171"/>
    </row>
    <row r="834" spans="2:49" x14ac:dyDescent="0.25">
      <c r="D834" s="35"/>
      <c r="J834" s="200"/>
      <c r="K834" s="200"/>
      <c r="L834" s="200"/>
      <c r="M834" s="200"/>
      <c r="N834" s="200"/>
      <c r="O834" s="200"/>
      <c r="P834" s="200"/>
      <c r="Q834" s="200"/>
      <c r="R834" s="200"/>
      <c r="S834" s="200"/>
    </row>
    <row r="835" spans="2:49" x14ac:dyDescent="0.25">
      <c r="D835" s="152" t="s">
        <v>646</v>
      </c>
      <c r="J835" s="200"/>
      <c r="K835" s="200"/>
      <c r="L835" s="200"/>
      <c r="M835" s="200"/>
      <c r="N835" s="200"/>
      <c r="O835" s="200"/>
      <c r="P835" s="200"/>
      <c r="Q835" s="200"/>
      <c r="R835" s="200"/>
      <c r="S835" s="200"/>
    </row>
    <row r="836" spans="2:49" x14ac:dyDescent="0.25">
      <c r="D836" s="152" t="s">
        <v>647</v>
      </c>
      <c r="J836" s="200"/>
      <c r="K836" s="200"/>
      <c r="L836" s="200"/>
      <c r="M836" s="200"/>
      <c r="N836" s="200"/>
      <c r="O836" s="200"/>
      <c r="P836" s="200"/>
      <c r="Q836" s="200"/>
      <c r="R836" s="200"/>
      <c r="S836" s="200"/>
    </row>
    <row r="837" spans="2:49" x14ac:dyDescent="0.25">
      <c r="D837" s="35"/>
      <c r="J837" s="200"/>
      <c r="K837" s="200"/>
      <c r="L837" s="200"/>
      <c r="M837" s="200"/>
      <c r="N837" s="200"/>
      <c r="O837" s="200"/>
      <c r="P837" s="200"/>
      <c r="Q837" s="200"/>
      <c r="R837" s="200"/>
      <c r="S837" s="200"/>
    </row>
    <row r="838" spans="2:49" x14ac:dyDescent="0.25">
      <c r="C838" s="22" t="str">
        <f ca="1">INDEX('Version control'!$H$34:$H$59,MATCH($A$1,'Version control'!$F$34:$F$59,0),1)&amp;"-F: Split of units by distribution timeband - Unit rate 1"</f>
        <v>Input 501-F: Split of units by distribution timeband - Unit rate 1</v>
      </c>
      <c r="D838" s="22"/>
      <c r="E838" s="22"/>
      <c r="F838" s="22"/>
      <c r="G838" s="22"/>
      <c r="H838" s="22"/>
      <c r="I838" s="296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</row>
    <row r="839" spans="2:49" x14ac:dyDescent="0.25">
      <c r="D839" s="172"/>
      <c r="J839" s="338"/>
      <c r="K839" s="338"/>
      <c r="L839" s="338"/>
      <c r="M839" s="338"/>
      <c r="N839" s="338"/>
      <c r="O839" s="338"/>
      <c r="P839" s="338"/>
      <c r="Q839" s="338"/>
      <c r="R839" s="338"/>
      <c r="S839" s="338"/>
    </row>
    <row r="840" spans="2:49" x14ac:dyDescent="0.25">
      <c r="E840" s="261" t="s">
        <v>630</v>
      </c>
      <c r="I840" s="200" t="s">
        <v>525</v>
      </c>
      <c r="J840" s="200"/>
      <c r="K840" s="200"/>
      <c r="L840" s="200"/>
      <c r="M840" s="200"/>
      <c r="N840" s="200"/>
      <c r="O840" s="200"/>
      <c r="P840" s="200"/>
      <c r="Q840" s="200"/>
      <c r="R840" s="200"/>
      <c r="S840" s="200"/>
      <c r="U840" s="160" t="s">
        <v>1005</v>
      </c>
    </row>
    <row r="841" spans="2:49" x14ac:dyDescent="0.25">
      <c r="F841" s="166" t="s">
        <v>52</v>
      </c>
      <c r="G841" s="166" t="s">
        <v>111</v>
      </c>
      <c r="H841" s="166"/>
      <c r="I841" s="201"/>
      <c r="J841" s="327">
        <f t="shared" ref="J841:J859" si="62">CHOOSE(year_selection, L841,M841,N841,O841,P841,Q841,R841,S841)</f>
        <v>0.1303605823800672</v>
      </c>
      <c r="K841" s="283"/>
      <c r="L841" s="511">
        <v>0.13118512869665999</v>
      </c>
      <c r="M841" s="511">
        <v>0.13136648917911312</v>
      </c>
      <c r="N841" s="511">
        <v>0.13086511004330215</v>
      </c>
      <c r="O841" s="511">
        <v>0.1303605823800672</v>
      </c>
      <c r="P841" s="511">
        <f>O841</f>
        <v>0.1303605823800672</v>
      </c>
      <c r="Q841" s="511">
        <f t="shared" ref="Q841:S841" si="63">P841</f>
        <v>0.1303605823800672</v>
      </c>
      <c r="R841" s="511">
        <f t="shared" si="63"/>
        <v>0.1303605823800672</v>
      </c>
      <c r="S841" s="511">
        <f t="shared" si="63"/>
        <v>0.1303605823800672</v>
      </c>
    </row>
    <row r="842" spans="2:49" x14ac:dyDescent="0.25">
      <c r="F842" s="167" t="s">
        <v>53</v>
      </c>
      <c r="G842" s="160" t="s">
        <v>111</v>
      </c>
      <c r="J842" s="328">
        <f t="shared" si="62"/>
        <v>0.16008647654669095</v>
      </c>
      <c r="K842" s="285"/>
      <c r="L842" s="512">
        <v>0.15936938311554735</v>
      </c>
      <c r="M842" s="512">
        <v>0.16078131946421037</v>
      </c>
      <c r="N842" s="512">
        <v>0.16066164627172971</v>
      </c>
      <c r="O842" s="512">
        <v>0.16008647654669095</v>
      </c>
      <c r="P842" s="512">
        <f t="shared" ref="P842:S849" si="64">O842</f>
        <v>0.16008647654669095</v>
      </c>
      <c r="Q842" s="512">
        <f t="shared" si="64"/>
        <v>0.16008647654669095</v>
      </c>
      <c r="R842" s="512">
        <f t="shared" si="64"/>
        <v>0.16008647654669095</v>
      </c>
      <c r="S842" s="512">
        <f t="shared" si="64"/>
        <v>0.16008647654669095</v>
      </c>
    </row>
    <row r="843" spans="2:49" x14ac:dyDescent="0.25">
      <c r="F843" s="167" t="s">
        <v>84</v>
      </c>
      <c r="G843" s="160" t="s">
        <v>111</v>
      </c>
      <c r="J843" s="328">
        <f t="shared" si="62"/>
        <v>2.9506091257322565E-3</v>
      </c>
      <c r="K843" s="285"/>
      <c r="L843" s="512">
        <v>2.5608029472113368E-3</v>
      </c>
      <c r="M843" s="512">
        <v>2.6062779470752413E-3</v>
      </c>
      <c r="N843" s="512">
        <v>2.7037365400463891E-3</v>
      </c>
      <c r="O843" s="512">
        <v>2.9506091257322565E-3</v>
      </c>
      <c r="P843" s="512">
        <f t="shared" si="64"/>
        <v>2.9506091257322565E-3</v>
      </c>
      <c r="Q843" s="512">
        <f t="shared" si="64"/>
        <v>2.9506091257322565E-3</v>
      </c>
      <c r="R843" s="512">
        <f t="shared" si="64"/>
        <v>2.9506091257322565E-3</v>
      </c>
      <c r="S843" s="512">
        <f t="shared" si="64"/>
        <v>2.9506091257322565E-3</v>
      </c>
    </row>
    <row r="844" spans="2:49" x14ac:dyDescent="0.25">
      <c r="F844" s="167" t="s">
        <v>54</v>
      </c>
      <c r="G844" s="160" t="s">
        <v>111</v>
      </c>
      <c r="J844" s="328">
        <f t="shared" si="62"/>
        <v>9.9931866294903748E-2</v>
      </c>
      <c r="K844" s="285"/>
      <c r="L844" s="512">
        <v>9.5437445533610776E-2</v>
      </c>
      <c r="M844" s="512">
        <v>9.7102218522259684E-2</v>
      </c>
      <c r="N844" s="512">
        <v>9.8448745215959796E-2</v>
      </c>
      <c r="O844" s="512">
        <v>9.9931866294903748E-2</v>
      </c>
      <c r="P844" s="512">
        <f t="shared" si="64"/>
        <v>9.9931866294903748E-2</v>
      </c>
      <c r="Q844" s="512">
        <f t="shared" si="64"/>
        <v>9.9931866294903748E-2</v>
      </c>
      <c r="R844" s="512">
        <f t="shared" si="64"/>
        <v>9.9931866294903748E-2</v>
      </c>
      <c r="S844" s="512">
        <f t="shared" si="64"/>
        <v>9.9931866294903748E-2</v>
      </c>
    </row>
    <row r="845" spans="2:49" x14ac:dyDescent="0.25">
      <c r="F845" s="167" t="s">
        <v>55</v>
      </c>
      <c r="G845" s="160" t="s">
        <v>111</v>
      </c>
      <c r="J845" s="328">
        <f t="shared" si="62"/>
        <v>0.14414104148275755</v>
      </c>
      <c r="K845" s="285"/>
      <c r="L845" s="512">
        <v>0.14040621469923698</v>
      </c>
      <c r="M845" s="512">
        <v>0.14162485372648784</v>
      </c>
      <c r="N845" s="512">
        <v>0.14311204591449103</v>
      </c>
      <c r="O845" s="512">
        <v>0.14414104148275755</v>
      </c>
      <c r="P845" s="512">
        <f t="shared" si="64"/>
        <v>0.14414104148275755</v>
      </c>
      <c r="Q845" s="512">
        <f t="shared" si="64"/>
        <v>0.14414104148275755</v>
      </c>
      <c r="R845" s="512">
        <f t="shared" si="64"/>
        <v>0.14414104148275755</v>
      </c>
      <c r="S845" s="512">
        <f t="shared" si="64"/>
        <v>0.14414104148275755</v>
      </c>
    </row>
    <row r="846" spans="2:49" x14ac:dyDescent="0.25">
      <c r="F846" s="167" t="s">
        <v>85</v>
      </c>
      <c r="G846" s="160" t="s">
        <v>111</v>
      </c>
      <c r="J846" s="328">
        <f t="shared" si="62"/>
        <v>2.688688288418364E-2</v>
      </c>
      <c r="K846" s="285"/>
      <c r="L846" s="512">
        <v>1.8245022184109335E-2</v>
      </c>
      <c r="M846" s="512">
        <v>2.2375353042995431E-2</v>
      </c>
      <c r="N846" s="512">
        <v>2.6523952342434643E-2</v>
      </c>
      <c r="O846" s="512">
        <v>2.688688288418364E-2</v>
      </c>
      <c r="P846" s="512">
        <f t="shared" si="64"/>
        <v>2.688688288418364E-2</v>
      </c>
      <c r="Q846" s="512">
        <f t="shared" si="64"/>
        <v>2.688688288418364E-2</v>
      </c>
      <c r="R846" s="512">
        <f t="shared" si="64"/>
        <v>2.688688288418364E-2</v>
      </c>
      <c r="S846" s="512">
        <f t="shared" si="64"/>
        <v>2.688688288418364E-2</v>
      </c>
    </row>
    <row r="847" spans="2:49" x14ac:dyDescent="0.25">
      <c r="F847" s="167" t="s">
        <v>56</v>
      </c>
      <c r="G847" s="160" t="s">
        <v>111</v>
      </c>
      <c r="J847" s="328">
        <f t="shared" si="62"/>
        <v>0.11093714578366191</v>
      </c>
      <c r="K847" s="285"/>
      <c r="L847" s="512">
        <v>0.11047712405258132</v>
      </c>
      <c r="M847" s="512">
        <v>0.11098924287805889</v>
      </c>
      <c r="N847" s="512">
        <v>0.11120615311435271</v>
      </c>
      <c r="O847" s="512">
        <v>0.11093714578366191</v>
      </c>
      <c r="P847" s="512">
        <f t="shared" si="64"/>
        <v>0.11093714578366191</v>
      </c>
      <c r="Q847" s="512">
        <f t="shared" si="64"/>
        <v>0.11093714578366191</v>
      </c>
      <c r="R847" s="512">
        <f t="shared" si="64"/>
        <v>0.11093714578366191</v>
      </c>
      <c r="S847" s="512">
        <f t="shared" si="64"/>
        <v>0.11093714578366191</v>
      </c>
    </row>
    <row r="848" spans="2:49" x14ac:dyDescent="0.25">
      <c r="F848" s="167" t="s">
        <v>57</v>
      </c>
      <c r="G848" s="160" t="s">
        <v>111</v>
      </c>
      <c r="J848" s="328">
        <f t="shared" si="62"/>
        <v>0.12003021517947027</v>
      </c>
      <c r="K848" s="285"/>
      <c r="L848" s="512">
        <v>0.124726544131173</v>
      </c>
      <c r="M848" s="512">
        <v>0.12526502350073951</v>
      </c>
      <c r="N848" s="512">
        <v>0.12494979305579401</v>
      </c>
      <c r="O848" s="512">
        <v>0.12003021517947027</v>
      </c>
      <c r="P848" s="512">
        <f t="shared" si="64"/>
        <v>0.12003021517947027</v>
      </c>
      <c r="Q848" s="512">
        <f t="shared" si="64"/>
        <v>0.12003021517947027</v>
      </c>
      <c r="R848" s="512">
        <f t="shared" si="64"/>
        <v>0.12003021517947027</v>
      </c>
      <c r="S848" s="512">
        <f t="shared" si="64"/>
        <v>0.12003021517947027</v>
      </c>
    </row>
    <row r="849" spans="6:19" x14ac:dyDescent="0.25">
      <c r="F849" s="167" t="s">
        <v>72</v>
      </c>
      <c r="G849" s="160" t="s">
        <v>111</v>
      </c>
      <c r="J849" s="328">
        <f t="shared" si="62"/>
        <v>0.10289839145399236</v>
      </c>
      <c r="K849" s="285"/>
      <c r="L849" s="512">
        <v>0.10455616994388132</v>
      </c>
      <c r="M849" s="512">
        <v>0.10449985279739542</v>
      </c>
      <c r="N849" s="512">
        <v>0.10374741733651038</v>
      </c>
      <c r="O849" s="512">
        <v>0.10289839145399236</v>
      </c>
      <c r="P849" s="512">
        <f t="shared" si="64"/>
        <v>0.10289839145399236</v>
      </c>
      <c r="Q849" s="512">
        <f t="shared" si="64"/>
        <v>0.10289839145399236</v>
      </c>
      <c r="R849" s="512">
        <f t="shared" si="64"/>
        <v>0.10289839145399236</v>
      </c>
      <c r="S849" s="512">
        <f t="shared" si="64"/>
        <v>0.10289839145399236</v>
      </c>
    </row>
    <row r="850" spans="6:19" x14ac:dyDescent="0.25">
      <c r="F850" s="167" t="s">
        <v>58</v>
      </c>
      <c r="G850" s="160" t="s">
        <v>111</v>
      </c>
      <c r="J850" s="328">
        <f t="shared" si="62"/>
        <v>1</v>
      </c>
      <c r="K850" s="285"/>
      <c r="L850" s="523">
        <v>1</v>
      </c>
      <c r="M850" s="523">
        <v>1</v>
      </c>
      <c r="N850" s="523">
        <v>1</v>
      </c>
      <c r="O850" s="523">
        <v>1</v>
      </c>
      <c r="P850" s="523">
        <v>1</v>
      </c>
      <c r="Q850" s="523">
        <v>1</v>
      </c>
      <c r="R850" s="523">
        <v>1</v>
      </c>
      <c r="S850" s="523">
        <v>1</v>
      </c>
    </row>
    <row r="851" spans="6:19" x14ac:dyDescent="0.25">
      <c r="F851" s="167" t="s">
        <v>59</v>
      </c>
      <c r="G851" s="160" t="s">
        <v>111</v>
      </c>
      <c r="J851" s="328">
        <f t="shared" si="62"/>
        <v>1</v>
      </c>
      <c r="K851" s="285"/>
      <c r="L851" s="523">
        <v>1</v>
      </c>
      <c r="M851" s="523">
        <v>1</v>
      </c>
      <c r="N851" s="523">
        <v>1</v>
      </c>
      <c r="O851" s="523">
        <v>1</v>
      </c>
      <c r="P851" s="523">
        <v>1</v>
      </c>
      <c r="Q851" s="523">
        <v>1</v>
      </c>
      <c r="R851" s="523">
        <v>1</v>
      </c>
      <c r="S851" s="523">
        <v>1</v>
      </c>
    </row>
    <row r="852" spans="6:19" x14ac:dyDescent="0.25">
      <c r="F852" s="167" t="s">
        <v>60</v>
      </c>
      <c r="G852" s="160" t="s">
        <v>111</v>
      </c>
      <c r="J852" s="328">
        <f t="shared" si="62"/>
        <v>1</v>
      </c>
      <c r="K852" s="285"/>
      <c r="L852" s="523">
        <v>1</v>
      </c>
      <c r="M852" s="523">
        <v>1</v>
      </c>
      <c r="N852" s="523">
        <v>1</v>
      </c>
      <c r="O852" s="523">
        <v>1</v>
      </c>
      <c r="P852" s="523">
        <v>1</v>
      </c>
      <c r="Q852" s="523">
        <v>1</v>
      </c>
      <c r="R852" s="523">
        <v>1</v>
      </c>
      <c r="S852" s="523">
        <v>1</v>
      </c>
    </row>
    <row r="853" spans="6:19" x14ac:dyDescent="0.25">
      <c r="F853" s="167" t="s">
        <v>61</v>
      </c>
      <c r="G853" s="160" t="s">
        <v>111</v>
      </c>
      <c r="J853" s="328">
        <f t="shared" si="62"/>
        <v>1</v>
      </c>
      <c r="K853" s="285"/>
      <c r="L853" s="523">
        <v>1</v>
      </c>
      <c r="M853" s="523">
        <v>1</v>
      </c>
      <c r="N853" s="523">
        <v>1</v>
      </c>
      <c r="O853" s="523">
        <v>1</v>
      </c>
      <c r="P853" s="523">
        <v>1</v>
      </c>
      <c r="Q853" s="523">
        <v>1</v>
      </c>
      <c r="R853" s="523">
        <v>1</v>
      </c>
      <c r="S853" s="523">
        <v>1</v>
      </c>
    </row>
    <row r="854" spans="6:19" x14ac:dyDescent="0.25">
      <c r="F854" s="167" t="s">
        <v>73</v>
      </c>
      <c r="G854" s="160" t="s">
        <v>111</v>
      </c>
      <c r="J854" s="328">
        <f t="shared" si="62"/>
        <v>1</v>
      </c>
      <c r="K854" s="285"/>
      <c r="L854" s="523">
        <v>1</v>
      </c>
      <c r="M854" s="523">
        <v>1</v>
      </c>
      <c r="N854" s="523">
        <v>1</v>
      </c>
      <c r="O854" s="523">
        <v>1</v>
      </c>
      <c r="P854" s="523">
        <v>1</v>
      </c>
      <c r="Q854" s="523">
        <v>1</v>
      </c>
      <c r="R854" s="523">
        <v>1</v>
      </c>
      <c r="S854" s="523">
        <v>1</v>
      </c>
    </row>
    <row r="855" spans="6:19" x14ac:dyDescent="0.25">
      <c r="F855" s="167" t="s">
        <v>86</v>
      </c>
      <c r="G855" s="160" t="s">
        <v>111</v>
      </c>
      <c r="J855" s="328">
        <f t="shared" si="62"/>
        <v>2.9428587803320194E-2</v>
      </c>
      <c r="K855" s="285"/>
      <c r="L855" s="512">
        <v>2.9337899543378967E-2</v>
      </c>
      <c r="M855" s="512">
        <v>2.9312190891806863E-2</v>
      </c>
      <c r="N855" s="512">
        <v>2.9313311721992755E-2</v>
      </c>
      <c r="O855" s="512">
        <v>2.9428587803320194E-2</v>
      </c>
      <c r="P855" s="512">
        <f t="shared" ref="P855:S858" si="65">O855</f>
        <v>2.9428587803320194E-2</v>
      </c>
      <c r="Q855" s="512">
        <f t="shared" si="65"/>
        <v>2.9428587803320194E-2</v>
      </c>
      <c r="R855" s="512">
        <f t="shared" si="65"/>
        <v>2.9428587803320194E-2</v>
      </c>
      <c r="S855" s="512">
        <f t="shared" si="65"/>
        <v>2.9428587803320194E-2</v>
      </c>
    </row>
    <row r="856" spans="6:19" x14ac:dyDescent="0.25">
      <c r="F856" s="167" t="s">
        <v>87</v>
      </c>
      <c r="G856" s="160" t="s">
        <v>111</v>
      </c>
      <c r="J856" s="328">
        <f t="shared" si="62"/>
        <v>5.5860763375114579E-2</v>
      </c>
      <c r="K856" s="285"/>
      <c r="L856" s="512">
        <v>5.5621134377241165E-2</v>
      </c>
      <c r="M856" s="512">
        <v>5.5583199440592201E-2</v>
      </c>
      <c r="N856" s="512">
        <v>5.5658489327734206E-2</v>
      </c>
      <c r="O856" s="512">
        <v>5.5860763375114579E-2</v>
      </c>
      <c r="P856" s="512">
        <f t="shared" si="65"/>
        <v>5.5860763375114579E-2</v>
      </c>
      <c r="Q856" s="512">
        <f t="shared" si="65"/>
        <v>5.5860763375114579E-2</v>
      </c>
      <c r="R856" s="512">
        <f t="shared" si="65"/>
        <v>5.5860763375114579E-2</v>
      </c>
      <c r="S856" s="512">
        <f t="shared" si="65"/>
        <v>5.5860763375114579E-2</v>
      </c>
    </row>
    <row r="857" spans="6:19" x14ac:dyDescent="0.25">
      <c r="F857" s="167" t="s">
        <v>88</v>
      </c>
      <c r="G857" s="160" t="s">
        <v>111</v>
      </c>
      <c r="J857" s="328">
        <f t="shared" si="62"/>
        <v>0.10584620906454333</v>
      </c>
      <c r="K857" s="285"/>
      <c r="L857" s="512">
        <v>0.105357548101724</v>
      </c>
      <c r="M857" s="512">
        <v>0.105292999017828</v>
      </c>
      <c r="N857" s="512">
        <v>0.10543940657451316</v>
      </c>
      <c r="O857" s="512">
        <v>0.10584620906454333</v>
      </c>
      <c r="P857" s="512">
        <f t="shared" si="65"/>
        <v>0.10584620906454333</v>
      </c>
      <c r="Q857" s="512">
        <f t="shared" si="65"/>
        <v>0.10584620906454333</v>
      </c>
      <c r="R857" s="512">
        <f t="shared" si="65"/>
        <v>0.10584620906454333</v>
      </c>
      <c r="S857" s="512">
        <f t="shared" si="65"/>
        <v>0.10584620906454333</v>
      </c>
    </row>
    <row r="858" spans="6:19" x14ac:dyDescent="0.25">
      <c r="F858" s="167" t="s">
        <v>89</v>
      </c>
      <c r="G858" s="160" t="s">
        <v>111</v>
      </c>
      <c r="J858" s="328">
        <f t="shared" si="62"/>
        <v>9.7435031980501897E-3</v>
      </c>
      <c r="K858" s="285"/>
      <c r="L858" s="512">
        <v>9.2636436522132558E-3</v>
      </c>
      <c r="M858" s="512">
        <v>9.2414249105734793E-3</v>
      </c>
      <c r="N858" s="512">
        <v>9.4305714927502577E-3</v>
      </c>
      <c r="O858" s="512">
        <v>9.7435031980501897E-3</v>
      </c>
      <c r="P858" s="512">
        <f t="shared" si="65"/>
        <v>9.7435031980501897E-3</v>
      </c>
      <c r="Q858" s="512">
        <f t="shared" si="65"/>
        <v>9.7435031980501897E-3</v>
      </c>
      <c r="R858" s="512">
        <f t="shared" si="65"/>
        <v>9.7435031980501897E-3</v>
      </c>
      <c r="S858" s="512">
        <f t="shared" si="65"/>
        <v>9.7435031980501897E-3</v>
      </c>
    </row>
    <row r="859" spans="6:19" x14ac:dyDescent="0.25">
      <c r="F859" s="167" t="s">
        <v>90</v>
      </c>
      <c r="G859" s="160" t="s">
        <v>111</v>
      </c>
      <c r="J859" s="328">
        <f t="shared" si="62"/>
        <v>1</v>
      </c>
      <c r="K859" s="285"/>
      <c r="L859" s="523">
        <v>1</v>
      </c>
      <c r="M859" s="523">
        <v>1</v>
      </c>
      <c r="N859" s="523">
        <v>1</v>
      </c>
      <c r="O859" s="523">
        <v>1</v>
      </c>
      <c r="P859" s="523">
        <v>1</v>
      </c>
      <c r="Q859" s="523">
        <v>1</v>
      </c>
      <c r="R859" s="523">
        <v>1</v>
      </c>
      <c r="S859" s="523">
        <v>1</v>
      </c>
    </row>
    <row r="860" spans="6:19" x14ac:dyDescent="0.25">
      <c r="F860" s="167" t="s">
        <v>62</v>
      </c>
      <c r="G860" s="160" t="s">
        <v>111</v>
      </c>
      <c r="J860" s="81"/>
      <c r="K860" s="285"/>
      <c r="L860" s="81"/>
      <c r="M860" s="81"/>
      <c r="N860" s="81"/>
      <c r="O860" s="81"/>
      <c r="P860" s="81"/>
      <c r="Q860" s="81"/>
      <c r="R860" s="81"/>
      <c r="S860" s="81"/>
    </row>
    <row r="861" spans="6:19" x14ac:dyDescent="0.25">
      <c r="F861" s="167" t="s">
        <v>63</v>
      </c>
      <c r="G861" s="160" t="s">
        <v>111</v>
      </c>
      <c r="J861" s="81"/>
      <c r="K861" s="285"/>
      <c r="L861" s="81"/>
      <c r="M861" s="81"/>
      <c r="N861" s="81"/>
      <c r="O861" s="81"/>
      <c r="P861" s="81"/>
      <c r="Q861" s="81"/>
      <c r="R861" s="81"/>
      <c r="S861" s="81"/>
    </row>
    <row r="862" spans="6:19" x14ac:dyDescent="0.25">
      <c r="F862" s="167" t="s">
        <v>64</v>
      </c>
      <c r="G862" s="160" t="s">
        <v>111</v>
      </c>
      <c r="J862" s="81"/>
      <c r="K862" s="285"/>
      <c r="L862" s="81"/>
      <c r="M862" s="81"/>
      <c r="N862" s="81"/>
      <c r="O862" s="81"/>
      <c r="P862" s="81"/>
      <c r="Q862" s="81"/>
      <c r="R862" s="81"/>
      <c r="S862" s="81"/>
    </row>
    <row r="863" spans="6:19" x14ac:dyDescent="0.25">
      <c r="F863" s="167" t="s">
        <v>65</v>
      </c>
      <c r="G863" s="160" t="s">
        <v>111</v>
      </c>
      <c r="J863" s="81"/>
      <c r="K863" s="285"/>
      <c r="L863" s="81"/>
      <c r="M863" s="81"/>
      <c r="N863" s="81"/>
      <c r="O863" s="81"/>
      <c r="P863" s="81"/>
      <c r="Q863" s="81"/>
      <c r="R863" s="81"/>
      <c r="S863" s="81"/>
    </row>
    <row r="864" spans="6:19" x14ac:dyDescent="0.25">
      <c r="F864" s="167" t="s">
        <v>66</v>
      </c>
      <c r="G864" s="160" t="s">
        <v>111</v>
      </c>
      <c r="J864" s="328">
        <f>CHOOSE(year_selection, L864,M864,N864,O864,P864,Q864,R864,S864)</f>
        <v>1</v>
      </c>
      <c r="K864" s="285"/>
      <c r="L864" s="523">
        <v>1</v>
      </c>
      <c r="M864" s="523">
        <v>1</v>
      </c>
      <c r="N864" s="523">
        <v>1</v>
      </c>
      <c r="O864" s="523">
        <v>1</v>
      </c>
      <c r="P864" s="523">
        <v>1</v>
      </c>
      <c r="Q864" s="523">
        <v>1</v>
      </c>
      <c r="R864" s="523">
        <v>1</v>
      </c>
      <c r="S864" s="523">
        <v>1</v>
      </c>
    </row>
    <row r="865" spans="5:19" x14ac:dyDescent="0.25">
      <c r="F865" s="167" t="s">
        <v>67</v>
      </c>
      <c r="G865" s="160" t="s">
        <v>111</v>
      </c>
      <c r="J865" s="328">
        <f>CHOOSE(year_selection, L865,M865,N865,O865,P865,Q865,R865,S865)</f>
        <v>1</v>
      </c>
      <c r="K865" s="285"/>
      <c r="L865" s="523">
        <v>1</v>
      </c>
      <c r="M865" s="523">
        <v>1</v>
      </c>
      <c r="N865" s="523">
        <v>1</v>
      </c>
      <c r="O865" s="523">
        <v>1</v>
      </c>
      <c r="P865" s="523">
        <v>1</v>
      </c>
      <c r="Q865" s="523">
        <v>1</v>
      </c>
      <c r="R865" s="523">
        <v>1</v>
      </c>
      <c r="S865" s="523">
        <v>1</v>
      </c>
    </row>
    <row r="866" spans="5:19" x14ac:dyDescent="0.25">
      <c r="F866" s="167" t="s">
        <v>68</v>
      </c>
      <c r="G866" s="160" t="s">
        <v>111</v>
      </c>
      <c r="J866" s="81"/>
      <c r="K866" s="285"/>
      <c r="L866" s="81"/>
      <c r="M866" s="81"/>
      <c r="N866" s="81"/>
      <c r="O866" s="81"/>
      <c r="P866" s="81"/>
      <c r="Q866" s="81"/>
      <c r="R866" s="81"/>
      <c r="S866" s="81"/>
    </row>
    <row r="867" spans="5:19" x14ac:dyDescent="0.25">
      <c r="F867" s="167" t="s">
        <v>69</v>
      </c>
      <c r="G867" s="160" t="s">
        <v>111</v>
      </c>
      <c r="J867" s="81"/>
      <c r="K867" s="285"/>
      <c r="L867" s="81"/>
      <c r="M867" s="81"/>
      <c r="N867" s="81"/>
      <c r="O867" s="81"/>
      <c r="P867" s="81"/>
      <c r="Q867" s="81"/>
      <c r="R867" s="81"/>
      <c r="S867" s="81"/>
    </row>
    <row r="868" spans="5:19" x14ac:dyDescent="0.25">
      <c r="F868" s="167" t="s">
        <v>70</v>
      </c>
      <c r="G868" s="160" t="s">
        <v>111</v>
      </c>
      <c r="J868" s="328">
        <f>CHOOSE(year_selection, L868,M868,N868,O868,P868,Q868,R868,S868)</f>
        <v>1</v>
      </c>
      <c r="K868" s="285"/>
      <c r="L868" s="523">
        <v>1</v>
      </c>
      <c r="M868" s="523">
        <v>1</v>
      </c>
      <c r="N868" s="523">
        <v>1</v>
      </c>
      <c r="O868" s="523">
        <v>1</v>
      </c>
      <c r="P868" s="523">
        <v>1</v>
      </c>
      <c r="Q868" s="523">
        <v>1</v>
      </c>
      <c r="R868" s="523">
        <v>1</v>
      </c>
      <c r="S868" s="523">
        <v>1</v>
      </c>
    </row>
    <row r="869" spans="5:19" x14ac:dyDescent="0.25">
      <c r="F869" s="167" t="s">
        <v>71</v>
      </c>
      <c r="G869" s="160" t="s">
        <v>111</v>
      </c>
      <c r="J869" s="328">
        <f>CHOOSE(year_selection, L869,M869,N869,O869,P869,Q869,R869,S869)</f>
        <v>1</v>
      </c>
      <c r="K869" s="285"/>
      <c r="L869" s="523">
        <v>1</v>
      </c>
      <c r="M869" s="523">
        <v>1</v>
      </c>
      <c r="N869" s="523">
        <v>1</v>
      </c>
      <c r="O869" s="523">
        <v>1</v>
      </c>
      <c r="P869" s="523">
        <v>1</v>
      </c>
      <c r="Q869" s="523">
        <v>1</v>
      </c>
      <c r="R869" s="523">
        <v>1</v>
      </c>
      <c r="S869" s="523">
        <v>1</v>
      </c>
    </row>
    <row r="870" spans="5:19" x14ac:dyDescent="0.25">
      <c r="F870" s="167" t="s">
        <v>74</v>
      </c>
      <c r="G870" s="160" t="s">
        <v>111</v>
      </c>
      <c r="J870" s="81"/>
      <c r="K870" s="285"/>
      <c r="L870" s="81"/>
      <c r="M870" s="81"/>
      <c r="N870" s="81"/>
      <c r="O870" s="81"/>
      <c r="P870" s="81"/>
      <c r="Q870" s="81"/>
      <c r="R870" s="81"/>
      <c r="S870" s="81"/>
    </row>
    <row r="871" spans="5:19" x14ac:dyDescent="0.25">
      <c r="F871" s="167" t="s">
        <v>75</v>
      </c>
      <c r="G871" s="160" t="s">
        <v>111</v>
      </c>
      <c r="J871" s="81"/>
      <c r="K871" s="285"/>
      <c r="L871" s="81"/>
      <c r="M871" s="81"/>
      <c r="N871" s="81"/>
      <c r="O871" s="81"/>
      <c r="P871" s="81"/>
      <c r="Q871" s="81"/>
      <c r="R871" s="81"/>
      <c r="S871" s="81"/>
    </row>
    <row r="872" spans="5:19" x14ac:dyDescent="0.25">
      <c r="F872" s="167" t="s">
        <v>76</v>
      </c>
      <c r="G872" s="160" t="s">
        <v>111</v>
      </c>
      <c r="J872" s="328">
        <f>CHOOSE(year_selection, L872,M872,N872,O872,P872,Q872,R872,S872)</f>
        <v>1</v>
      </c>
      <c r="K872" s="285"/>
      <c r="L872" s="523">
        <v>1</v>
      </c>
      <c r="M872" s="523">
        <v>1</v>
      </c>
      <c r="N872" s="523">
        <v>1</v>
      </c>
      <c r="O872" s="523">
        <v>1</v>
      </c>
      <c r="P872" s="523">
        <v>1</v>
      </c>
      <c r="Q872" s="523">
        <v>1</v>
      </c>
      <c r="R872" s="523">
        <v>1</v>
      </c>
      <c r="S872" s="523">
        <v>1</v>
      </c>
    </row>
    <row r="873" spans="5:19" x14ac:dyDescent="0.25">
      <c r="F873" s="168" t="s">
        <v>77</v>
      </c>
      <c r="G873" s="168" t="s">
        <v>111</v>
      </c>
      <c r="H873" s="168"/>
      <c r="I873" s="262"/>
      <c r="J873" s="329">
        <f>CHOOSE(year_selection, L873,M873,N873,O873,P873,Q873,R873,S873)</f>
        <v>1</v>
      </c>
      <c r="K873" s="286"/>
      <c r="L873" s="524">
        <v>1</v>
      </c>
      <c r="M873" s="524">
        <v>1</v>
      </c>
      <c r="N873" s="524">
        <v>1</v>
      </c>
      <c r="O873" s="524">
        <v>1</v>
      </c>
      <c r="P873" s="524">
        <v>1</v>
      </c>
      <c r="Q873" s="524">
        <v>1</v>
      </c>
      <c r="R873" s="524">
        <v>1</v>
      </c>
      <c r="S873" s="524">
        <v>1</v>
      </c>
    </row>
    <row r="874" spans="5:19" x14ac:dyDescent="0.25">
      <c r="E874" s="261"/>
      <c r="J874" s="285"/>
      <c r="K874" s="285"/>
      <c r="L874" s="285"/>
      <c r="M874" s="285"/>
      <c r="N874" s="285"/>
      <c r="O874" s="285"/>
      <c r="P874" s="285"/>
      <c r="Q874" s="285"/>
      <c r="R874" s="285"/>
      <c r="S874" s="285"/>
    </row>
    <row r="875" spans="5:19" x14ac:dyDescent="0.25">
      <c r="E875" s="261" t="s">
        <v>631</v>
      </c>
      <c r="J875" s="285"/>
      <c r="K875" s="285"/>
      <c r="L875" s="285"/>
      <c r="M875" s="285"/>
      <c r="N875" s="285"/>
      <c r="O875" s="285"/>
      <c r="P875" s="285"/>
      <c r="Q875" s="285"/>
      <c r="R875" s="285"/>
      <c r="S875" s="285"/>
    </row>
    <row r="876" spans="5:19" x14ac:dyDescent="0.25">
      <c r="F876" s="166" t="s">
        <v>52</v>
      </c>
      <c r="G876" s="166" t="s">
        <v>111</v>
      </c>
      <c r="H876" s="166"/>
      <c r="I876" s="201"/>
      <c r="J876" s="327">
        <f t="shared" ref="J876:J884" si="66">CHOOSE(year_selection, L876,M876,N876,O876,P876,Q876,R876,S876)</f>
        <v>0.58094170869760264</v>
      </c>
      <c r="K876" s="283"/>
      <c r="L876" s="511">
        <v>0.58212258515589499</v>
      </c>
      <c r="M876" s="511">
        <v>0.58074463457277858</v>
      </c>
      <c r="N876" s="511">
        <v>0.57986691848196825</v>
      </c>
      <c r="O876" s="511">
        <v>0.58094170869760264</v>
      </c>
      <c r="P876" s="511">
        <f>O876</f>
        <v>0.58094170869760264</v>
      </c>
      <c r="Q876" s="511">
        <f t="shared" ref="Q876:S876" si="67">P876</f>
        <v>0.58094170869760264</v>
      </c>
      <c r="R876" s="511">
        <f t="shared" si="67"/>
        <v>0.58094170869760264</v>
      </c>
      <c r="S876" s="511">
        <f t="shared" si="67"/>
        <v>0.58094170869760264</v>
      </c>
    </row>
    <row r="877" spans="5:19" x14ac:dyDescent="0.25">
      <c r="F877" s="167" t="s">
        <v>53</v>
      </c>
      <c r="G877" s="160" t="s">
        <v>111</v>
      </c>
      <c r="J877" s="328">
        <f t="shared" si="66"/>
        <v>0.67699311166510778</v>
      </c>
      <c r="K877" s="285"/>
      <c r="L877" s="512">
        <v>0.67155666229528543</v>
      </c>
      <c r="M877" s="512">
        <v>0.67371618644783027</v>
      </c>
      <c r="N877" s="512">
        <v>0.67643651043954289</v>
      </c>
      <c r="O877" s="512">
        <v>0.67699311166510778</v>
      </c>
      <c r="P877" s="512">
        <f t="shared" ref="P877:S884" si="68">O877</f>
        <v>0.67699311166510778</v>
      </c>
      <c r="Q877" s="512">
        <f t="shared" si="68"/>
        <v>0.67699311166510778</v>
      </c>
      <c r="R877" s="512">
        <f t="shared" si="68"/>
        <v>0.67699311166510778</v>
      </c>
      <c r="S877" s="512">
        <f t="shared" si="68"/>
        <v>0.67699311166510778</v>
      </c>
    </row>
    <row r="878" spans="5:19" x14ac:dyDescent="0.25">
      <c r="F878" s="167" t="s">
        <v>84</v>
      </c>
      <c r="G878" s="160" t="s">
        <v>111</v>
      </c>
      <c r="J878" s="328">
        <f t="shared" si="66"/>
        <v>0.28029730923812485</v>
      </c>
      <c r="K878" s="285"/>
      <c r="L878" s="512">
        <v>0.28479143861221801</v>
      </c>
      <c r="M878" s="512">
        <v>0.28004875627241765</v>
      </c>
      <c r="N878" s="512">
        <v>0.27945206179040782</v>
      </c>
      <c r="O878" s="512">
        <v>0.28029730923812485</v>
      </c>
      <c r="P878" s="512">
        <f t="shared" si="68"/>
        <v>0.28029730923812485</v>
      </c>
      <c r="Q878" s="512">
        <f t="shared" si="68"/>
        <v>0.28029730923812485</v>
      </c>
      <c r="R878" s="512">
        <f t="shared" si="68"/>
        <v>0.28029730923812485</v>
      </c>
      <c r="S878" s="512">
        <f t="shared" si="68"/>
        <v>0.28029730923812485</v>
      </c>
    </row>
    <row r="879" spans="5:19" x14ac:dyDescent="0.25">
      <c r="F879" s="167" t="s">
        <v>54</v>
      </c>
      <c r="G879" s="160" t="s">
        <v>111</v>
      </c>
      <c r="J879" s="328">
        <f t="shared" si="66"/>
        <v>0.6551851950794213</v>
      </c>
      <c r="K879" s="285"/>
      <c r="L879" s="512">
        <v>0.65245185346183732</v>
      </c>
      <c r="M879" s="512">
        <v>0.65319318958458539</v>
      </c>
      <c r="N879" s="512">
        <v>0.65378251059190962</v>
      </c>
      <c r="O879" s="512">
        <v>0.6551851950794213</v>
      </c>
      <c r="P879" s="512">
        <f t="shared" si="68"/>
        <v>0.6551851950794213</v>
      </c>
      <c r="Q879" s="512">
        <f t="shared" si="68"/>
        <v>0.6551851950794213</v>
      </c>
      <c r="R879" s="512">
        <f t="shared" si="68"/>
        <v>0.6551851950794213</v>
      </c>
      <c r="S879" s="512">
        <f t="shared" si="68"/>
        <v>0.6551851950794213</v>
      </c>
    </row>
    <row r="880" spans="5:19" x14ac:dyDescent="0.25">
      <c r="F880" s="167" t="s">
        <v>55</v>
      </c>
      <c r="G880" s="160" t="s">
        <v>111</v>
      </c>
      <c r="J880" s="328">
        <f t="shared" si="66"/>
        <v>0.73387072809578857</v>
      </c>
      <c r="K880" s="285"/>
      <c r="L880" s="512">
        <v>0.7401111484598859</v>
      </c>
      <c r="M880" s="512">
        <v>0.73882575001322637</v>
      </c>
      <c r="N880" s="512">
        <v>0.73672396345206914</v>
      </c>
      <c r="O880" s="512">
        <v>0.73387072809578857</v>
      </c>
      <c r="P880" s="512">
        <f t="shared" si="68"/>
        <v>0.73387072809578857</v>
      </c>
      <c r="Q880" s="512">
        <f t="shared" si="68"/>
        <v>0.73387072809578857</v>
      </c>
      <c r="R880" s="512">
        <f t="shared" si="68"/>
        <v>0.73387072809578857</v>
      </c>
      <c r="S880" s="512">
        <f t="shared" si="68"/>
        <v>0.73387072809578857</v>
      </c>
    </row>
    <row r="881" spans="6:19" x14ac:dyDescent="0.25">
      <c r="F881" s="167" t="s">
        <v>85</v>
      </c>
      <c r="G881" s="160" t="s">
        <v>111</v>
      </c>
      <c r="J881" s="328">
        <f t="shared" si="66"/>
        <v>0.2809791198951575</v>
      </c>
      <c r="K881" s="285"/>
      <c r="L881" s="512">
        <v>0.22445779027226168</v>
      </c>
      <c r="M881" s="512">
        <v>0.25226267951418785</v>
      </c>
      <c r="N881" s="512">
        <v>0.27930410106169967</v>
      </c>
      <c r="O881" s="512">
        <v>0.2809791198951575</v>
      </c>
      <c r="P881" s="512">
        <f t="shared" si="68"/>
        <v>0.2809791198951575</v>
      </c>
      <c r="Q881" s="512">
        <f t="shared" si="68"/>
        <v>0.2809791198951575</v>
      </c>
      <c r="R881" s="512">
        <f t="shared" si="68"/>
        <v>0.2809791198951575</v>
      </c>
      <c r="S881" s="512">
        <f t="shared" si="68"/>
        <v>0.2809791198951575</v>
      </c>
    </row>
    <row r="882" spans="6:19" x14ac:dyDescent="0.25">
      <c r="F882" s="167" t="s">
        <v>56</v>
      </c>
      <c r="G882" s="160" t="s">
        <v>111</v>
      </c>
      <c r="J882" s="328">
        <f t="shared" si="66"/>
        <v>0.64059184444015715</v>
      </c>
      <c r="K882" s="285"/>
      <c r="L882" s="512">
        <v>0.64206678576875065</v>
      </c>
      <c r="M882" s="512">
        <v>0.64065390352553542</v>
      </c>
      <c r="N882" s="512">
        <v>0.64006332542173372</v>
      </c>
      <c r="O882" s="512">
        <v>0.64059184444015715</v>
      </c>
      <c r="P882" s="512">
        <f t="shared" si="68"/>
        <v>0.64059184444015715</v>
      </c>
      <c r="Q882" s="512">
        <f t="shared" si="68"/>
        <v>0.64059184444015715</v>
      </c>
      <c r="R882" s="512">
        <f t="shared" si="68"/>
        <v>0.64059184444015715</v>
      </c>
      <c r="S882" s="512">
        <f t="shared" si="68"/>
        <v>0.64059184444015715</v>
      </c>
    </row>
    <row r="883" spans="6:19" x14ac:dyDescent="0.25">
      <c r="F883" s="167" t="s">
        <v>57</v>
      </c>
      <c r="G883" s="160" t="s">
        <v>111</v>
      </c>
      <c r="J883" s="328">
        <f t="shared" si="66"/>
        <v>0.70532419066470131</v>
      </c>
      <c r="K883" s="285"/>
      <c r="L883" s="512">
        <v>0.73845351761363398</v>
      </c>
      <c r="M883" s="512">
        <v>0.74110507245631063</v>
      </c>
      <c r="N883" s="512">
        <v>0.73775113193539499</v>
      </c>
      <c r="O883" s="512">
        <v>0.70532419066470131</v>
      </c>
      <c r="P883" s="512">
        <f t="shared" si="68"/>
        <v>0.70532419066470131</v>
      </c>
      <c r="Q883" s="512">
        <f t="shared" si="68"/>
        <v>0.70532419066470131</v>
      </c>
      <c r="R883" s="512">
        <f t="shared" si="68"/>
        <v>0.70532419066470131</v>
      </c>
      <c r="S883" s="512">
        <f t="shared" si="68"/>
        <v>0.70532419066470131</v>
      </c>
    </row>
    <row r="884" spans="6:19" x14ac:dyDescent="0.25">
      <c r="F884" s="167" t="s">
        <v>72</v>
      </c>
      <c r="G884" s="160" t="s">
        <v>111</v>
      </c>
      <c r="J884" s="328">
        <f t="shared" si="66"/>
        <v>0.62301547465112572</v>
      </c>
      <c r="K884" s="285"/>
      <c r="L884" s="512">
        <v>0.61948125087565609</v>
      </c>
      <c r="M884" s="512">
        <v>0.62319482327439457</v>
      </c>
      <c r="N884" s="512">
        <v>0.62113233939452095</v>
      </c>
      <c r="O884" s="512">
        <v>0.62301547465112572</v>
      </c>
      <c r="P884" s="512">
        <f t="shared" si="68"/>
        <v>0.62301547465112572</v>
      </c>
      <c r="Q884" s="512">
        <f t="shared" si="68"/>
        <v>0.62301547465112572</v>
      </c>
      <c r="R884" s="512">
        <f t="shared" si="68"/>
        <v>0.62301547465112572</v>
      </c>
      <c r="S884" s="512">
        <f t="shared" si="68"/>
        <v>0.62301547465112572</v>
      </c>
    </row>
    <row r="885" spans="6:19" x14ac:dyDescent="0.25">
      <c r="F885" s="167" t="s">
        <v>58</v>
      </c>
      <c r="G885" s="160" t="s">
        <v>111</v>
      </c>
      <c r="J885" s="81"/>
      <c r="K885" s="285"/>
      <c r="L885" s="81"/>
      <c r="M885" s="81"/>
      <c r="N885" s="81"/>
      <c r="O885" s="81"/>
      <c r="P885" s="81"/>
      <c r="Q885" s="81"/>
      <c r="R885" s="81"/>
      <c r="S885" s="81"/>
    </row>
    <row r="886" spans="6:19" x14ac:dyDescent="0.25">
      <c r="F886" s="167" t="s">
        <v>59</v>
      </c>
      <c r="G886" s="160" t="s">
        <v>111</v>
      </c>
      <c r="J886" s="81"/>
      <c r="K886" s="285"/>
      <c r="L886" s="81"/>
      <c r="M886" s="81"/>
      <c r="N886" s="81"/>
      <c r="O886" s="81"/>
      <c r="P886" s="81"/>
      <c r="Q886" s="81"/>
      <c r="R886" s="81"/>
      <c r="S886" s="81"/>
    </row>
    <row r="887" spans="6:19" x14ac:dyDescent="0.25">
      <c r="F887" s="167" t="s">
        <v>60</v>
      </c>
      <c r="G887" s="160" t="s">
        <v>111</v>
      </c>
      <c r="J887" s="81"/>
      <c r="K887" s="285"/>
      <c r="L887" s="81"/>
      <c r="M887" s="81"/>
      <c r="N887" s="81"/>
      <c r="O887" s="81"/>
      <c r="P887" s="81"/>
      <c r="Q887" s="81"/>
      <c r="R887" s="81"/>
      <c r="S887" s="81"/>
    </row>
    <row r="888" spans="6:19" x14ac:dyDescent="0.25">
      <c r="F888" s="167" t="s">
        <v>61</v>
      </c>
      <c r="G888" s="160" t="s">
        <v>111</v>
      </c>
      <c r="J888" s="81"/>
      <c r="K888" s="285"/>
      <c r="L888" s="81"/>
      <c r="M888" s="81"/>
      <c r="N888" s="81"/>
      <c r="O888" s="81"/>
      <c r="P888" s="81"/>
      <c r="Q888" s="81"/>
      <c r="R888" s="81"/>
      <c r="S888" s="81"/>
    </row>
    <row r="889" spans="6:19" x14ac:dyDescent="0.25">
      <c r="F889" s="167" t="s">
        <v>73</v>
      </c>
      <c r="G889" s="160" t="s">
        <v>111</v>
      </c>
      <c r="J889" s="81"/>
      <c r="K889" s="285"/>
      <c r="L889" s="81"/>
      <c r="M889" s="81"/>
      <c r="N889" s="81"/>
      <c r="O889" s="81"/>
      <c r="P889" s="81"/>
      <c r="Q889" s="81"/>
      <c r="R889" s="81"/>
      <c r="S889" s="81"/>
    </row>
    <row r="890" spans="6:19" x14ac:dyDescent="0.25">
      <c r="F890" s="167" t="s">
        <v>86</v>
      </c>
      <c r="G890" s="160" t="s">
        <v>111</v>
      </c>
      <c r="J890" s="328">
        <f>CHOOSE(year_selection, L890,M890,N890,O890,P890,Q890,R890,S890)</f>
        <v>0.5599404744271298</v>
      </c>
      <c r="K890" s="285"/>
      <c r="L890" s="512">
        <v>0.55993150684931503</v>
      </c>
      <c r="M890" s="512">
        <v>0.56012618034944028</v>
      </c>
      <c r="N890" s="512">
        <v>0.5601474891558812</v>
      </c>
      <c r="O890" s="512">
        <v>0.5599404744271298</v>
      </c>
      <c r="P890" s="512">
        <f>O890</f>
        <v>0.5599404744271298</v>
      </c>
      <c r="Q890" s="512">
        <f t="shared" ref="Q890:S890" si="69">P890</f>
        <v>0.5599404744271298</v>
      </c>
      <c r="R890" s="512">
        <f t="shared" si="69"/>
        <v>0.5599404744271298</v>
      </c>
      <c r="S890" s="512">
        <f t="shared" si="69"/>
        <v>0.5599404744271298</v>
      </c>
    </row>
    <row r="891" spans="6:19" x14ac:dyDescent="0.25">
      <c r="F891" s="167" t="s">
        <v>87</v>
      </c>
      <c r="G891" s="160" t="s">
        <v>111</v>
      </c>
      <c r="J891" s="328">
        <f>CHOOSE(year_selection, L891,M891,N891,O891,P891,Q891,R891,S891)</f>
        <v>0.20873973314202976</v>
      </c>
      <c r="K891" s="285"/>
      <c r="L891" s="512">
        <v>0.20993981316720767</v>
      </c>
      <c r="M891" s="512">
        <v>0.20991619341544998</v>
      </c>
      <c r="N891" s="512">
        <v>0.20941712978685081</v>
      </c>
      <c r="O891" s="512">
        <v>0.20873973314202976</v>
      </c>
      <c r="P891" s="512">
        <f t="shared" ref="P891:S893" si="70">O891</f>
        <v>0.20873973314202976</v>
      </c>
      <c r="Q891" s="512">
        <f t="shared" si="70"/>
        <v>0.20873973314202976</v>
      </c>
      <c r="R891" s="512">
        <f t="shared" si="70"/>
        <v>0.20873973314202976</v>
      </c>
      <c r="S891" s="512">
        <f t="shared" si="70"/>
        <v>0.20873973314202976</v>
      </c>
    </row>
    <row r="892" spans="6:19" x14ac:dyDescent="0.25">
      <c r="F892" s="167" t="s">
        <v>88</v>
      </c>
      <c r="G892" s="160" t="s">
        <v>111</v>
      </c>
      <c r="J892" s="328">
        <f>CHOOSE(year_selection, L892,M892,N892,O892,P892,Q892,R892,S892)</f>
        <v>0.41289080391564775</v>
      </c>
      <c r="K892" s="285"/>
      <c r="L892" s="512">
        <v>0.41284441054431231</v>
      </c>
      <c r="M892" s="512">
        <v>0.41374771816195505</v>
      </c>
      <c r="N892" s="512">
        <v>0.41352144195428969</v>
      </c>
      <c r="O892" s="512">
        <v>0.41289080391564775</v>
      </c>
      <c r="P892" s="512">
        <f t="shared" si="70"/>
        <v>0.41289080391564775</v>
      </c>
      <c r="Q892" s="512">
        <f t="shared" si="70"/>
        <v>0.41289080391564775</v>
      </c>
      <c r="R892" s="512">
        <f t="shared" si="70"/>
        <v>0.41289080391564775</v>
      </c>
      <c r="S892" s="512">
        <f t="shared" si="70"/>
        <v>0.41289080391564775</v>
      </c>
    </row>
    <row r="893" spans="6:19" x14ac:dyDescent="0.25">
      <c r="F893" s="167" t="s">
        <v>89</v>
      </c>
      <c r="G893" s="160" t="s">
        <v>111</v>
      </c>
      <c r="J893" s="328">
        <f>CHOOSE(year_selection, L893,M893,N893,O893,P893,Q893,R893,S893)</f>
        <v>0.89013509641497368</v>
      </c>
      <c r="K893" s="285"/>
      <c r="L893" s="512">
        <v>0.85383147781809032</v>
      </c>
      <c r="M893" s="512">
        <v>0.85565999447830288</v>
      </c>
      <c r="N893" s="512">
        <v>0.87304827047601741</v>
      </c>
      <c r="O893" s="512">
        <v>0.89013509641497368</v>
      </c>
      <c r="P893" s="512">
        <f t="shared" si="70"/>
        <v>0.89013509641497368</v>
      </c>
      <c r="Q893" s="512">
        <f t="shared" si="70"/>
        <v>0.89013509641497368</v>
      </c>
      <c r="R893" s="512">
        <f t="shared" si="70"/>
        <v>0.89013509641497368</v>
      </c>
      <c r="S893" s="512">
        <f t="shared" si="70"/>
        <v>0.89013509641497368</v>
      </c>
    </row>
    <row r="894" spans="6:19" x14ac:dyDescent="0.25">
      <c r="F894" s="167" t="s">
        <v>90</v>
      </c>
      <c r="G894" s="160" t="s">
        <v>111</v>
      </c>
      <c r="J894" s="81"/>
      <c r="K894" s="285"/>
      <c r="L894" s="81"/>
      <c r="M894" s="81"/>
      <c r="N894" s="81"/>
      <c r="O894" s="81"/>
      <c r="P894" s="81"/>
      <c r="Q894" s="81"/>
      <c r="R894" s="81"/>
      <c r="S894" s="81"/>
    </row>
    <row r="895" spans="6:19" x14ac:dyDescent="0.25">
      <c r="F895" s="167" t="s">
        <v>62</v>
      </c>
      <c r="G895" s="160" t="s">
        <v>111</v>
      </c>
      <c r="J895" s="81"/>
      <c r="K895" s="285"/>
      <c r="L895" s="81"/>
      <c r="M895" s="81"/>
      <c r="N895" s="81"/>
      <c r="O895" s="81"/>
      <c r="P895" s="81"/>
      <c r="Q895" s="81"/>
      <c r="R895" s="81"/>
      <c r="S895" s="81"/>
    </row>
    <row r="896" spans="6:19" x14ac:dyDescent="0.25">
      <c r="F896" s="167" t="s">
        <v>63</v>
      </c>
      <c r="G896" s="160" t="s">
        <v>111</v>
      </c>
      <c r="J896" s="81"/>
      <c r="K896" s="285"/>
      <c r="L896" s="81"/>
      <c r="M896" s="81"/>
      <c r="N896" s="81"/>
      <c r="O896" s="81"/>
      <c r="P896" s="81"/>
      <c r="Q896" s="81"/>
      <c r="R896" s="81"/>
      <c r="S896" s="81"/>
    </row>
    <row r="897" spans="5:19" x14ac:dyDescent="0.25">
      <c r="F897" s="167" t="s">
        <v>64</v>
      </c>
      <c r="G897" s="160" t="s">
        <v>111</v>
      </c>
      <c r="J897" s="81"/>
      <c r="K897" s="285"/>
      <c r="L897" s="81"/>
      <c r="M897" s="81"/>
      <c r="N897" s="81"/>
      <c r="O897" s="81"/>
      <c r="P897" s="81"/>
      <c r="Q897" s="81"/>
      <c r="R897" s="81"/>
      <c r="S897" s="81"/>
    </row>
    <row r="898" spans="5:19" x14ac:dyDescent="0.25">
      <c r="F898" s="167" t="s">
        <v>65</v>
      </c>
      <c r="G898" s="160" t="s">
        <v>111</v>
      </c>
      <c r="J898" s="81"/>
      <c r="K898" s="285"/>
      <c r="L898" s="81"/>
      <c r="M898" s="81"/>
      <c r="N898" s="81"/>
      <c r="O898" s="81"/>
      <c r="P898" s="81"/>
      <c r="Q898" s="81"/>
      <c r="R898" s="81"/>
      <c r="S898" s="81"/>
    </row>
    <row r="899" spans="5:19" x14ac:dyDescent="0.25">
      <c r="F899" s="167" t="s">
        <v>66</v>
      </c>
      <c r="G899" s="160" t="s">
        <v>111</v>
      </c>
      <c r="J899" s="81"/>
      <c r="K899" s="285"/>
      <c r="L899" s="81"/>
      <c r="M899" s="81"/>
      <c r="N899" s="81"/>
      <c r="O899" s="81"/>
      <c r="P899" s="81"/>
      <c r="Q899" s="81"/>
      <c r="R899" s="81"/>
      <c r="S899" s="81"/>
    </row>
    <row r="900" spans="5:19" x14ac:dyDescent="0.25">
      <c r="F900" s="167" t="s">
        <v>67</v>
      </c>
      <c r="G900" s="160" t="s">
        <v>111</v>
      </c>
      <c r="J900" s="81"/>
      <c r="K900" s="285"/>
      <c r="L900" s="81"/>
      <c r="M900" s="81"/>
      <c r="N900" s="81"/>
      <c r="O900" s="81"/>
      <c r="P900" s="81"/>
      <c r="Q900" s="81"/>
      <c r="R900" s="81"/>
      <c r="S900" s="81"/>
    </row>
    <row r="901" spans="5:19" x14ac:dyDescent="0.25">
      <c r="F901" s="167" t="s">
        <v>68</v>
      </c>
      <c r="G901" s="160" t="s">
        <v>111</v>
      </c>
      <c r="J901" s="81"/>
      <c r="K901" s="285"/>
      <c r="L901" s="81"/>
      <c r="M901" s="81"/>
      <c r="N901" s="81"/>
      <c r="O901" s="81"/>
      <c r="P901" s="81"/>
      <c r="Q901" s="81"/>
      <c r="R901" s="81"/>
      <c r="S901" s="81"/>
    </row>
    <row r="902" spans="5:19" x14ac:dyDescent="0.25">
      <c r="F902" s="167" t="s">
        <v>69</v>
      </c>
      <c r="G902" s="160" t="s">
        <v>111</v>
      </c>
      <c r="J902" s="81"/>
      <c r="K902" s="285"/>
      <c r="L902" s="81"/>
      <c r="M902" s="81"/>
      <c r="N902" s="81"/>
      <c r="O902" s="81"/>
      <c r="P902" s="81"/>
      <c r="Q902" s="81"/>
      <c r="R902" s="81"/>
      <c r="S902" s="81"/>
    </row>
    <row r="903" spans="5:19" x14ac:dyDescent="0.25">
      <c r="F903" s="167" t="s">
        <v>70</v>
      </c>
      <c r="G903" s="160" t="s">
        <v>111</v>
      </c>
      <c r="J903" s="81"/>
      <c r="K903" s="285"/>
      <c r="L903" s="81"/>
      <c r="M903" s="81"/>
      <c r="N903" s="81"/>
      <c r="O903" s="81"/>
      <c r="P903" s="81"/>
      <c r="Q903" s="81"/>
      <c r="R903" s="81"/>
      <c r="S903" s="81"/>
    </row>
    <row r="904" spans="5:19" x14ac:dyDescent="0.25">
      <c r="F904" s="167" t="s">
        <v>71</v>
      </c>
      <c r="G904" s="160" t="s">
        <v>111</v>
      </c>
      <c r="J904" s="81"/>
      <c r="K904" s="285"/>
      <c r="L904" s="81"/>
      <c r="M904" s="81"/>
      <c r="N904" s="81"/>
      <c r="O904" s="81"/>
      <c r="P904" s="81"/>
      <c r="Q904" s="81"/>
      <c r="R904" s="81"/>
      <c r="S904" s="81"/>
    </row>
    <row r="905" spans="5:19" x14ac:dyDescent="0.25">
      <c r="F905" s="167" t="s">
        <v>74</v>
      </c>
      <c r="G905" s="160" t="s">
        <v>111</v>
      </c>
      <c r="J905" s="81"/>
      <c r="K905" s="285"/>
      <c r="L905" s="81"/>
      <c r="M905" s="81"/>
      <c r="N905" s="81"/>
      <c r="O905" s="81"/>
      <c r="P905" s="81"/>
      <c r="Q905" s="81"/>
      <c r="R905" s="81"/>
      <c r="S905" s="81"/>
    </row>
    <row r="906" spans="5:19" x14ac:dyDescent="0.25">
      <c r="F906" s="167" t="s">
        <v>75</v>
      </c>
      <c r="G906" s="160" t="s">
        <v>111</v>
      </c>
      <c r="J906" s="81"/>
      <c r="K906" s="285"/>
      <c r="L906" s="81"/>
      <c r="M906" s="81"/>
      <c r="N906" s="81"/>
      <c r="O906" s="81"/>
      <c r="P906" s="81"/>
      <c r="Q906" s="81"/>
      <c r="R906" s="81"/>
      <c r="S906" s="81"/>
    </row>
    <row r="907" spans="5:19" x14ac:dyDescent="0.25">
      <c r="F907" s="167" t="s">
        <v>76</v>
      </c>
      <c r="G907" s="160" t="s">
        <v>111</v>
      </c>
      <c r="J907" s="81"/>
      <c r="K907" s="285"/>
      <c r="L907" s="81"/>
      <c r="M907" s="81"/>
      <c r="N907" s="81"/>
      <c r="O907" s="81"/>
      <c r="P907" s="81"/>
      <c r="Q907" s="81"/>
      <c r="R907" s="81"/>
      <c r="S907" s="81"/>
    </row>
    <row r="908" spans="5:19" x14ac:dyDescent="0.25">
      <c r="F908" s="168" t="s">
        <v>77</v>
      </c>
      <c r="G908" s="168" t="s">
        <v>111</v>
      </c>
      <c r="H908" s="168"/>
      <c r="I908" s="262"/>
      <c r="J908" s="83"/>
      <c r="K908" s="286"/>
      <c r="L908" s="83"/>
      <c r="M908" s="83"/>
      <c r="N908" s="83"/>
      <c r="O908" s="83"/>
      <c r="P908" s="83"/>
      <c r="Q908" s="83"/>
      <c r="R908" s="83"/>
      <c r="S908" s="83"/>
    </row>
    <row r="909" spans="5:19" x14ac:dyDescent="0.25">
      <c r="E909" s="261"/>
      <c r="J909" s="285"/>
      <c r="K909" s="285"/>
      <c r="L909" s="285"/>
      <c r="M909" s="285"/>
      <c r="N909" s="285"/>
      <c r="O909" s="285"/>
      <c r="P909" s="285"/>
      <c r="Q909" s="285"/>
      <c r="R909" s="285"/>
      <c r="S909" s="285"/>
    </row>
    <row r="910" spans="5:19" x14ac:dyDescent="0.25">
      <c r="E910" s="261" t="s">
        <v>103</v>
      </c>
      <c r="J910" s="285"/>
      <c r="K910" s="285"/>
      <c r="L910" s="285"/>
      <c r="M910" s="285"/>
      <c r="N910" s="285"/>
      <c r="O910" s="285"/>
      <c r="P910" s="285"/>
      <c r="Q910" s="285"/>
      <c r="R910" s="285"/>
      <c r="S910" s="285"/>
    </row>
    <row r="911" spans="5:19" x14ac:dyDescent="0.25">
      <c r="F911" s="166" t="s">
        <v>52</v>
      </c>
      <c r="G911" s="166" t="s">
        <v>111</v>
      </c>
      <c r="H911" s="166"/>
      <c r="I911" s="201"/>
      <c r="J911" s="327">
        <f t="shared" ref="J911:J919" si="71">CHOOSE(year_selection, L911,M911,N911,O911,P911,Q911,R911,S911)</f>
        <v>0.28869770892233015</v>
      </c>
      <c r="K911" s="283"/>
      <c r="L911" s="511">
        <v>0.2866922861474453</v>
      </c>
      <c r="M911" s="511">
        <v>0.28788887624810838</v>
      </c>
      <c r="N911" s="511">
        <v>0.28926797147472966</v>
      </c>
      <c r="O911" s="511">
        <v>0.28869770892233015</v>
      </c>
      <c r="P911" s="511">
        <f>O911</f>
        <v>0.28869770892233015</v>
      </c>
      <c r="Q911" s="511">
        <f t="shared" ref="Q911:S911" si="72">P911</f>
        <v>0.28869770892233015</v>
      </c>
      <c r="R911" s="511">
        <f t="shared" si="72"/>
        <v>0.28869770892233015</v>
      </c>
      <c r="S911" s="511">
        <f t="shared" si="72"/>
        <v>0.28869770892233015</v>
      </c>
    </row>
    <row r="912" spans="5:19" x14ac:dyDescent="0.25">
      <c r="F912" s="167" t="s">
        <v>53</v>
      </c>
      <c r="G912" s="160" t="s">
        <v>111</v>
      </c>
      <c r="J912" s="328">
        <f t="shared" si="71"/>
        <v>0.16292041178820132</v>
      </c>
      <c r="K912" s="285"/>
      <c r="L912" s="512">
        <v>0.16907395458916699</v>
      </c>
      <c r="M912" s="512">
        <v>0.16550249408795936</v>
      </c>
      <c r="N912" s="512">
        <v>0.16290184328872745</v>
      </c>
      <c r="O912" s="512">
        <v>0.16292041178820132</v>
      </c>
      <c r="P912" s="512">
        <f t="shared" ref="P912:S918" si="73">O912</f>
        <v>0.16292041178820132</v>
      </c>
      <c r="Q912" s="512">
        <f t="shared" si="73"/>
        <v>0.16292041178820132</v>
      </c>
      <c r="R912" s="512">
        <f t="shared" si="73"/>
        <v>0.16292041178820132</v>
      </c>
      <c r="S912" s="512">
        <f t="shared" si="73"/>
        <v>0.16292041178820132</v>
      </c>
    </row>
    <row r="913" spans="6:19" x14ac:dyDescent="0.25">
      <c r="F913" s="167" t="s">
        <v>84</v>
      </c>
      <c r="G913" s="160" t="s">
        <v>111</v>
      </c>
      <c r="J913" s="328">
        <f t="shared" si="71"/>
        <v>0.71675208163614279</v>
      </c>
      <c r="K913" s="285"/>
      <c r="L913" s="512">
        <v>0.71264775844057071</v>
      </c>
      <c r="M913" s="512">
        <v>0.71734496578050722</v>
      </c>
      <c r="N913" s="512">
        <v>0.71784420166954577</v>
      </c>
      <c r="O913" s="512">
        <v>0.71675208163614279</v>
      </c>
      <c r="P913" s="512">
        <f t="shared" si="73"/>
        <v>0.71675208163614279</v>
      </c>
      <c r="Q913" s="512">
        <f t="shared" si="73"/>
        <v>0.71675208163614279</v>
      </c>
      <c r="R913" s="512">
        <f t="shared" si="73"/>
        <v>0.71675208163614279</v>
      </c>
      <c r="S913" s="512">
        <f t="shared" si="73"/>
        <v>0.71675208163614279</v>
      </c>
    </row>
    <row r="914" spans="6:19" x14ac:dyDescent="0.25">
      <c r="F914" s="167" t="s">
        <v>54</v>
      </c>
      <c r="G914" s="160" t="s">
        <v>111</v>
      </c>
      <c r="J914" s="328">
        <f t="shared" si="71"/>
        <v>0.24488293862567501</v>
      </c>
      <c r="K914" s="285"/>
      <c r="L914" s="512">
        <v>0.25211070100455163</v>
      </c>
      <c r="M914" s="512">
        <v>0.24970459189315494</v>
      </c>
      <c r="N914" s="512">
        <v>0.2477687441921306</v>
      </c>
      <c r="O914" s="512">
        <v>0.24488293862567501</v>
      </c>
      <c r="P914" s="512">
        <f t="shared" si="73"/>
        <v>0.24488293862567501</v>
      </c>
      <c r="Q914" s="512">
        <f t="shared" si="73"/>
        <v>0.24488293862567501</v>
      </c>
      <c r="R914" s="512">
        <f t="shared" si="73"/>
        <v>0.24488293862567501</v>
      </c>
      <c r="S914" s="512">
        <f t="shared" si="73"/>
        <v>0.24488293862567501</v>
      </c>
    </row>
    <row r="915" spans="6:19" x14ac:dyDescent="0.25">
      <c r="F915" s="167" t="s">
        <v>55</v>
      </c>
      <c r="G915" s="160" t="s">
        <v>111</v>
      </c>
      <c r="J915" s="328">
        <f t="shared" si="71"/>
        <v>0.12198823042145396</v>
      </c>
      <c r="K915" s="285"/>
      <c r="L915" s="512">
        <v>0.11948263684087734</v>
      </c>
      <c r="M915" s="512">
        <v>0.11954939626028598</v>
      </c>
      <c r="N915" s="512">
        <v>0.12016399063343997</v>
      </c>
      <c r="O915" s="512">
        <v>0.12198823042145396</v>
      </c>
      <c r="P915" s="512">
        <f t="shared" si="73"/>
        <v>0.12198823042145396</v>
      </c>
      <c r="Q915" s="512">
        <f t="shared" si="73"/>
        <v>0.12198823042145396</v>
      </c>
      <c r="R915" s="512">
        <f t="shared" si="73"/>
        <v>0.12198823042145396</v>
      </c>
      <c r="S915" s="512">
        <f t="shared" si="73"/>
        <v>0.12198823042145396</v>
      </c>
    </row>
    <row r="916" spans="6:19" x14ac:dyDescent="0.25">
      <c r="F916" s="167" t="s">
        <v>85</v>
      </c>
      <c r="G916" s="160" t="s">
        <v>111</v>
      </c>
      <c r="J916" s="328">
        <f t="shared" si="71"/>
        <v>0.69213399722065871</v>
      </c>
      <c r="K916" s="285"/>
      <c r="L916" s="512">
        <v>0.7572971875436294</v>
      </c>
      <c r="M916" s="512">
        <v>0.72536196744281656</v>
      </c>
      <c r="N916" s="512">
        <v>0.69417194659586567</v>
      </c>
      <c r="O916" s="512">
        <v>0.69213399722065871</v>
      </c>
      <c r="P916" s="512">
        <f t="shared" si="73"/>
        <v>0.69213399722065871</v>
      </c>
      <c r="Q916" s="512">
        <f t="shared" si="73"/>
        <v>0.69213399722065871</v>
      </c>
      <c r="R916" s="512">
        <f t="shared" si="73"/>
        <v>0.69213399722065871</v>
      </c>
      <c r="S916" s="512">
        <f t="shared" si="73"/>
        <v>0.69213399722065871</v>
      </c>
    </row>
    <row r="917" spans="6:19" x14ac:dyDescent="0.25">
      <c r="F917" s="167" t="s">
        <v>56</v>
      </c>
      <c r="G917" s="160" t="s">
        <v>111</v>
      </c>
      <c r="J917" s="328">
        <f t="shared" si="71"/>
        <v>0.24847100977618095</v>
      </c>
      <c r="K917" s="285"/>
      <c r="L917" s="512">
        <v>0.24745609017866732</v>
      </c>
      <c r="M917" s="512">
        <v>0.24835685359640572</v>
      </c>
      <c r="N917" s="512">
        <v>0.2487305214639135</v>
      </c>
      <c r="O917" s="512">
        <v>0.24847100977618095</v>
      </c>
      <c r="P917" s="512">
        <f t="shared" si="73"/>
        <v>0.24847100977618095</v>
      </c>
      <c r="Q917" s="512">
        <f t="shared" si="73"/>
        <v>0.24847100977618095</v>
      </c>
      <c r="R917" s="512">
        <f t="shared" si="73"/>
        <v>0.24847100977618095</v>
      </c>
      <c r="S917" s="512">
        <f t="shared" si="73"/>
        <v>0.24847100977618095</v>
      </c>
    </row>
    <row r="918" spans="6:19" x14ac:dyDescent="0.25">
      <c r="F918" s="167" t="s">
        <v>57</v>
      </c>
      <c r="G918" s="160" t="s">
        <v>111</v>
      </c>
      <c r="J918" s="328">
        <f t="shared" si="71"/>
        <v>0.17464559415582845</v>
      </c>
      <c r="K918" s="285"/>
      <c r="L918" s="512">
        <v>0.13681993825519301</v>
      </c>
      <c r="M918" s="512">
        <v>0.13362990404294989</v>
      </c>
      <c r="N918" s="512">
        <v>0.13729907500881092</v>
      </c>
      <c r="O918" s="512">
        <v>0.17464559415582845</v>
      </c>
      <c r="P918" s="512">
        <f t="shared" si="73"/>
        <v>0.17464559415582845</v>
      </c>
      <c r="Q918" s="512">
        <f t="shared" si="73"/>
        <v>0.17464559415582845</v>
      </c>
      <c r="R918" s="512">
        <f t="shared" si="73"/>
        <v>0.17464559415582845</v>
      </c>
      <c r="S918" s="512">
        <f t="shared" si="73"/>
        <v>0.17464559415582845</v>
      </c>
    </row>
    <row r="919" spans="6:19" x14ac:dyDescent="0.25">
      <c r="F919" s="167" t="s">
        <v>72</v>
      </c>
      <c r="G919" s="160" t="s">
        <v>111</v>
      </c>
      <c r="J919" s="328">
        <f t="shared" si="71"/>
        <v>0.2740861338948819</v>
      </c>
      <c r="K919" s="285"/>
      <c r="L919" s="512">
        <v>0.27596257918046269</v>
      </c>
      <c r="M919" s="512">
        <v>0.27230532392821005</v>
      </c>
      <c r="N919" s="512">
        <v>0.27512024326896872</v>
      </c>
      <c r="O919" s="512">
        <v>0.2740861338948819</v>
      </c>
      <c r="P919" s="512">
        <f>O919</f>
        <v>0.2740861338948819</v>
      </c>
      <c r="Q919" s="512">
        <f t="shared" ref="Q919:S919" si="74">P919</f>
        <v>0.2740861338948819</v>
      </c>
      <c r="R919" s="512">
        <f t="shared" si="74"/>
        <v>0.2740861338948819</v>
      </c>
      <c r="S919" s="512">
        <f t="shared" si="74"/>
        <v>0.2740861338948819</v>
      </c>
    </row>
    <row r="920" spans="6:19" x14ac:dyDescent="0.25">
      <c r="F920" s="167" t="s">
        <v>58</v>
      </c>
      <c r="G920" s="160" t="s">
        <v>111</v>
      </c>
      <c r="J920" s="81"/>
      <c r="K920" s="285"/>
      <c r="L920" s="81"/>
      <c r="M920" s="81"/>
      <c r="N920" s="81"/>
      <c r="O920" s="81"/>
      <c r="P920" s="81"/>
      <c r="Q920" s="81"/>
      <c r="R920" s="81"/>
      <c r="S920" s="81"/>
    </row>
    <row r="921" spans="6:19" x14ac:dyDescent="0.25">
      <c r="F921" s="167" t="s">
        <v>59</v>
      </c>
      <c r="G921" s="160" t="s">
        <v>111</v>
      </c>
      <c r="J921" s="81"/>
      <c r="K921" s="285"/>
      <c r="L921" s="81"/>
      <c r="M921" s="81"/>
      <c r="N921" s="81"/>
      <c r="O921" s="81"/>
      <c r="P921" s="81"/>
      <c r="Q921" s="81"/>
      <c r="R921" s="81"/>
      <c r="S921" s="81"/>
    </row>
    <row r="922" spans="6:19" x14ac:dyDescent="0.25">
      <c r="F922" s="167" t="s">
        <v>60</v>
      </c>
      <c r="G922" s="160" t="s">
        <v>111</v>
      </c>
      <c r="J922" s="81"/>
      <c r="K922" s="285"/>
      <c r="L922" s="81"/>
      <c r="M922" s="81"/>
      <c r="N922" s="81"/>
      <c r="O922" s="81"/>
      <c r="P922" s="81"/>
      <c r="Q922" s="81"/>
      <c r="R922" s="81"/>
      <c r="S922" s="81"/>
    </row>
    <row r="923" spans="6:19" x14ac:dyDescent="0.25">
      <c r="F923" s="167" t="s">
        <v>61</v>
      </c>
      <c r="G923" s="160" t="s">
        <v>111</v>
      </c>
      <c r="J923" s="81"/>
      <c r="K923" s="285"/>
      <c r="L923" s="81"/>
      <c r="M923" s="81"/>
      <c r="N923" s="81"/>
      <c r="O923" s="81"/>
      <c r="P923" s="81"/>
      <c r="Q923" s="81"/>
      <c r="R923" s="81"/>
      <c r="S923" s="81"/>
    </row>
    <row r="924" spans="6:19" x14ac:dyDescent="0.25">
      <c r="F924" s="167" t="s">
        <v>73</v>
      </c>
      <c r="G924" s="160" t="s">
        <v>111</v>
      </c>
      <c r="J924" s="81"/>
      <c r="K924" s="285"/>
      <c r="L924" s="81"/>
      <c r="M924" s="81"/>
      <c r="N924" s="81"/>
      <c r="O924" s="81"/>
      <c r="P924" s="81"/>
      <c r="Q924" s="81"/>
      <c r="R924" s="81"/>
      <c r="S924" s="81"/>
    </row>
    <row r="925" spans="6:19" x14ac:dyDescent="0.25">
      <c r="F925" s="167" t="s">
        <v>86</v>
      </c>
      <c r="G925" s="160" t="s">
        <v>111</v>
      </c>
      <c r="J925" s="328">
        <f>CHOOSE(year_selection, L925,M925,N925,O925,P925,Q925,R925,S925)</f>
        <v>0.41063093776955001</v>
      </c>
      <c r="K925" s="285"/>
      <c r="L925" s="512">
        <v>0.41073059360730574</v>
      </c>
      <c r="M925" s="512">
        <v>0.41056162875875285</v>
      </c>
      <c r="N925" s="512">
        <v>0.41053919912212605</v>
      </c>
      <c r="O925" s="512">
        <v>0.41063093776955001</v>
      </c>
      <c r="P925" s="512">
        <f>O925</f>
        <v>0.41063093776955001</v>
      </c>
      <c r="Q925" s="512">
        <f t="shared" ref="Q925:S925" si="75">P925</f>
        <v>0.41063093776955001</v>
      </c>
      <c r="R925" s="512">
        <f t="shared" si="75"/>
        <v>0.41063093776955001</v>
      </c>
      <c r="S925" s="512">
        <f t="shared" si="75"/>
        <v>0.41063093776955001</v>
      </c>
    </row>
    <row r="926" spans="6:19" x14ac:dyDescent="0.25">
      <c r="F926" s="167" t="s">
        <v>87</v>
      </c>
      <c r="G926" s="160" t="s">
        <v>111</v>
      </c>
      <c r="J926" s="328">
        <f>CHOOSE(year_selection, L926,M926,N926,O926,P926,Q926,R926,S926)</f>
        <v>0.73539950348285554</v>
      </c>
      <c r="K926" s="285"/>
      <c r="L926" s="512">
        <v>0.73443905245555108</v>
      </c>
      <c r="M926" s="512">
        <v>0.73450060714395782</v>
      </c>
      <c r="N926" s="512">
        <v>0.73492438088541512</v>
      </c>
      <c r="O926" s="512">
        <v>0.73539950348285554</v>
      </c>
      <c r="P926" s="512">
        <f t="shared" ref="P926:S928" si="76">O926</f>
        <v>0.73539950348285554</v>
      </c>
      <c r="Q926" s="512">
        <f t="shared" si="76"/>
        <v>0.73539950348285554</v>
      </c>
      <c r="R926" s="512">
        <f t="shared" si="76"/>
        <v>0.73539950348285554</v>
      </c>
      <c r="S926" s="512">
        <f t="shared" si="76"/>
        <v>0.73539950348285554</v>
      </c>
    </row>
    <row r="927" spans="6:19" x14ac:dyDescent="0.25">
      <c r="F927" s="167" t="s">
        <v>88</v>
      </c>
      <c r="G927" s="160" t="s">
        <v>111</v>
      </c>
      <c r="J927" s="328">
        <f>CHOOSE(year_selection, L927,M927,N927,O927,P927,Q927,R927,S927)</f>
        <v>0.48126298701980891</v>
      </c>
      <c r="K927" s="285"/>
      <c r="L927" s="512">
        <v>0.48179804135396331</v>
      </c>
      <c r="M927" s="512">
        <v>0.48095928282021694</v>
      </c>
      <c r="N927" s="512">
        <v>0.48103915147119719</v>
      </c>
      <c r="O927" s="512">
        <v>0.48126298701980891</v>
      </c>
      <c r="P927" s="512">
        <f t="shared" si="76"/>
        <v>0.48126298701980891</v>
      </c>
      <c r="Q927" s="512">
        <f t="shared" si="76"/>
        <v>0.48126298701980891</v>
      </c>
      <c r="R927" s="512">
        <f t="shared" si="76"/>
        <v>0.48126298701980891</v>
      </c>
      <c r="S927" s="512">
        <f t="shared" si="76"/>
        <v>0.48126298701980891</v>
      </c>
    </row>
    <row r="928" spans="6:19" x14ac:dyDescent="0.25">
      <c r="F928" s="167" t="s">
        <v>89</v>
      </c>
      <c r="G928" s="160" t="s">
        <v>111</v>
      </c>
      <c r="J928" s="328">
        <f>CHOOSE(year_selection, L928,M928,N928,O928,P928,Q928,R928,S928)</f>
        <v>0.10012140038697619</v>
      </c>
      <c r="K928" s="285"/>
      <c r="L928" s="512">
        <v>0.13690487852969635</v>
      </c>
      <c r="M928" s="512">
        <v>0.13509858061112365</v>
      </c>
      <c r="N928" s="512">
        <v>0.1175211580312323</v>
      </c>
      <c r="O928" s="512">
        <v>0.10012140038697619</v>
      </c>
      <c r="P928" s="512">
        <f t="shared" si="76"/>
        <v>0.10012140038697619</v>
      </c>
      <c r="Q928" s="512">
        <f t="shared" si="76"/>
        <v>0.10012140038697619</v>
      </c>
      <c r="R928" s="512">
        <f t="shared" si="76"/>
        <v>0.10012140038697619</v>
      </c>
      <c r="S928" s="512">
        <f t="shared" si="76"/>
        <v>0.10012140038697619</v>
      </c>
    </row>
    <row r="929" spans="6:19" x14ac:dyDescent="0.25">
      <c r="F929" s="167" t="s">
        <v>90</v>
      </c>
      <c r="G929" s="160" t="s">
        <v>111</v>
      </c>
      <c r="J929" s="81"/>
      <c r="K929" s="284"/>
      <c r="L929" s="81"/>
      <c r="M929" s="81"/>
      <c r="N929" s="81"/>
      <c r="O929" s="81"/>
      <c r="P929" s="81"/>
      <c r="Q929" s="81"/>
      <c r="R929" s="81"/>
      <c r="S929" s="81"/>
    </row>
    <row r="930" spans="6:19" x14ac:dyDescent="0.25">
      <c r="F930" s="167" t="s">
        <v>62</v>
      </c>
      <c r="G930" s="160" t="s">
        <v>111</v>
      </c>
      <c r="J930" s="81"/>
      <c r="K930" s="284"/>
      <c r="L930" s="81"/>
      <c r="M930" s="81"/>
      <c r="N930" s="81"/>
      <c r="O930" s="81"/>
      <c r="P930" s="81"/>
      <c r="Q930" s="81"/>
      <c r="R930" s="81"/>
      <c r="S930" s="81"/>
    </row>
    <row r="931" spans="6:19" x14ac:dyDescent="0.25">
      <c r="F931" s="167" t="s">
        <v>63</v>
      </c>
      <c r="G931" s="160" t="s">
        <v>111</v>
      </c>
      <c r="J931" s="81"/>
      <c r="K931" s="284"/>
      <c r="L931" s="81"/>
      <c r="M931" s="81"/>
      <c r="N931" s="81"/>
      <c r="O931" s="81"/>
      <c r="P931" s="81"/>
      <c r="Q931" s="81"/>
      <c r="R931" s="81"/>
      <c r="S931" s="81"/>
    </row>
    <row r="932" spans="6:19" x14ac:dyDescent="0.25">
      <c r="F932" s="167" t="s">
        <v>64</v>
      </c>
      <c r="G932" s="160" t="s">
        <v>111</v>
      </c>
      <c r="J932" s="81"/>
      <c r="K932" s="284"/>
      <c r="L932" s="81"/>
      <c r="M932" s="81"/>
      <c r="N932" s="81"/>
      <c r="O932" s="81"/>
      <c r="P932" s="81"/>
      <c r="Q932" s="81"/>
      <c r="R932" s="81"/>
      <c r="S932" s="81"/>
    </row>
    <row r="933" spans="6:19" x14ac:dyDescent="0.25">
      <c r="F933" s="167" t="s">
        <v>65</v>
      </c>
      <c r="G933" s="160" t="s">
        <v>111</v>
      </c>
      <c r="J933" s="81"/>
      <c r="K933" s="284"/>
      <c r="L933" s="81"/>
      <c r="M933" s="81"/>
      <c r="N933" s="81"/>
      <c r="O933" s="81"/>
      <c r="P933" s="81"/>
      <c r="Q933" s="81"/>
      <c r="R933" s="81"/>
      <c r="S933" s="81"/>
    </row>
    <row r="934" spans="6:19" x14ac:dyDescent="0.25">
      <c r="F934" s="167" t="s">
        <v>66</v>
      </c>
      <c r="G934" s="160" t="s">
        <v>111</v>
      </c>
      <c r="J934" s="81"/>
      <c r="K934" s="284"/>
      <c r="L934" s="81"/>
      <c r="M934" s="81"/>
      <c r="N934" s="81"/>
      <c r="O934" s="81"/>
      <c r="P934" s="81"/>
      <c r="Q934" s="81"/>
      <c r="R934" s="81"/>
      <c r="S934" s="81"/>
    </row>
    <row r="935" spans="6:19" x14ac:dyDescent="0.25">
      <c r="F935" s="167" t="s">
        <v>67</v>
      </c>
      <c r="G935" s="160" t="s">
        <v>111</v>
      </c>
      <c r="J935" s="81"/>
      <c r="K935" s="284"/>
      <c r="L935" s="81"/>
      <c r="M935" s="81"/>
      <c r="N935" s="81"/>
      <c r="O935" s="81"/>
      <c r="P935" s="81"/>
      <c r="Q935" s="81"/>
      <c r="R935" s="81"/>
      <c r="S935" s="81"/>
    </row>
    <row r="936" spans="6:19" x14ac:dyDescent="0.25">
      <c r="F936" s="167" t="s">
        <v>68</v>
      </c>
      <c r="G936" s="160" t="s">
        <v>111</v>
      </c>
      <c r="J936" s="81"/>
      <c r="K936" s="284"/>
      <c r="L936" s="81"/>
      <c r="M936" s="81"/>
      <c r="N936" s="81"/>
      <c r="O936" s="81"/>
      <c r="P936" s="81"/>
      <c r="Q936" s="81"/>
      <c r="R936" s="81"/>
      <c r="S936" s="81"/>
    </row>
    <row r="937" spans="6:19" x14ac:dyDescent="0.25">
      <c r="F937" s="167" t="s">
        <v>69</v>
      </c>
      <c r="G937" s="160" t="s">
        <v>111</v>
      </c>
      <c r="J937" s="81"/>
      <c r="K937" s="284"/>
      <c r="L937" s="81"/>
      <c r="M937" s="81"/>
      <c r="N937" s="81"/>
      <c r="O937" s="81"/>
      <c r="P937" s="81"/>
      <c r="Q937" s="81"/>
      <c r="R937" s="81"/>
      <c r="S937" s="81"/>
    </row>
    <row r="938" spans="6:19" x14ac:dyDescent="0.25">
      <c r="F938" s="167" t="s">
        <v>70</v>
      </c>
      <c r="G938" s="160" t="s">
        <v>111</v>
      </c>
      <c r="J938" s="81"/>
      <c r="K938" s="284"/>
      <c r="L938" s="81"/>
      <c r="M938" s="81"/>
      <c r="N938" s="81"/>
      <c r="O938" s="81"/>
      <c r="P938" s="81"/>
      <c r="Q938" s="81"/>
      <c r="R938" s="81"/>
      <c r="S938" s="81"/>
    </row>
    <row r="939" spans="6:19" x14ac:dyDescent="0.25">
      <c r="F939" s="167" t="s">
        <v>71</v>
      </c>
      <c r="G939" s="160" t="s">
        <v>111</v>
      </c>
      <c r="J939" s="81"/>
      <c r="K939" s="284"/>
      <c r="L939" s="81"/>
      <c r="M939" s="81"/>
      <c r="N939" s="81"/>
      <c r="O939" s="81"/>
      <c r="P939" s="81"/>
      <c r="Q939" s="81"/>
      <c r="R939" s="81"/>
      <c r="S939" s="81"/>
    </row>
    <row r="940" spans="6:19" x14ac:dyDescent="0.25">
      <c r="F940" s="167" t="s">
        <v>74</v>
      </c>
      <c r="G940" s="160" t="s">
        <v>111</v>
      </c>
      <c r="J940" s="81"/>
      <c r="K940" s="284"/>
      <c r="L940" s="81"/>
      <c r="M940" s="81"/>
      <c r="N940" s="81"/>
      <c r="O940" s="81"/>
      <c r="P940" s="81"/>
      <c r="Q940" s="81"/>
      <c r="R940" s="81"/>
      <c r="S940" s="81"/>
    </row>
    <row r="941" spans="6:19" x14ac:dyDescent="0.25">
      <c r="F941" s="167" t="s">
        <v>75</v>
      </c>
      <c r="G941" s="160" t="s">
        <v>111</v>
      </c>
      <c r="J941" s="81"/>
      <c r="K941" s="284"/>
      <c r="L941" s="81"/>
      <c r="M941" s="81"/>
      <c r="N941" s="81"/>
      <c r="O941" s="81"/>
      <c r="P941" s="81"/>
      <c r="Q941" s="81"/>
      <c r="R941" s="81"/>
      <c r="S941" s="81"/>
    </row>
    <row r="942" spans="6:19" x14ac:dyDescent="0.25">
      <c r="F942" s="167" t="s">
        <v>76</v>
      </c>
      <c r="G942" s="160" t="s">
        <v>111</v>
      </c>
      <c r="J942" s="81"/>
      <c r="K942" s="284"/>
      <c r="L942" s="81"/>
      <c r="M942" s="81"/>
      <c r="N942" s="81"/>
      <c r="O942" s="81"/>
      <c r="P942" s="81"/>
      <c r="Q942" s="81"/>
      <c r="R942" s="81"/>
      <c r="S942" s="81"/>
    </row>
    <row r="943" spans="6:19" x14ac:dyDescent="0.25">
      <c r="F943" s="168" t="s">
        <v>77</v>
      </c>
      <c r="G943" s="168" t="s">
        <v>111</v>
      </c>
      <c r="H943" s="168"/>
      <c r="I943" s="262"/>
      <c r="J943" s="83"/>
      <c r="K943" s="286"/>
      <c r="L943" s="83"/>
      <c r="M943" s="83"/>
      <c r="N943" s="83"/>
      <c r="O943" s="83"/>
      <c r="P943" s="83"/>
      <c r="Q943" s="83"/>
      <c r="R943" s="83"/>
      <c r="S943" s="83"/>
    </row>
    <row r="944" spans="6:19" x14ac:dyDescent="0.25">
      <c r="J944" s="285"/>
      <c r="K944" s="285"/>
      <c r="L944" s="285"/>
      <c r="M944" s="285"/>
      <c r="N944" s="285"/>
      <c r="O944" s="285"/>
      <c r="P944" s="285"/>
      <c r="Q944" s="285"/>
      <c r="R944" s="285"/>
      <c r="S944" s="285"/>
    </row>
    <row r="945" spans="3:21" x14ac:dyDescent="0.25">
      <c r="C945" s="22" t="str">
        <f ca="1">INDEX('Version control'!$H$34:$H$59,MATCH($A$1,'Version control'!$F$34:$F$59,0),1)&amp;"-G: Split of units by distribution timeband - Unit rate 2"</f>
        <v>Input 501-G: Split of units by distribution timeband - Unit rate 2</v>
      </c>
      <c r="D945" s="22"/>
      <c r="E945" s="22"/>
      <c r="F945" s="22"/>
      <c r="G945" s="22"/>
      <c r="H945" s="22"/>
      <c r="I945" s="296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</row>
    <row r="946" spans="3:21" x14ac:dyDescent="0.25">
      <c r="C946" s="172"/>
    </row>
    <row r="947" spans="3:21" x14ac:dyDescent="0.25">
      <c r="E947" s="172" t="s">
        <v>630</v>
      </c>
      <c r="I947" s="200" t="s">
        <v>525</v>
      </c>
      <c r="J947" s="285"/>
      <c r="K947" s="285"/>
      <c r="L947" s="285"/>
      <c r="M947" s="285"/>
      <c r="N947" s="285"/>
      <c r="O947" s="285"/>
      <c r="P947" s="285"/>
      <c r="Q947" s="285"/>
      <c r="R947" s="285"/>
      <c r="S947" s="285"/>
      <c r="U947" s="474" t="s">
        <v>1005</v>
      </c>
    </row>
    <row r="948" spans="3:21" x14ac:dyDescent="0.25">
      <c r="F948" s="166" t="s">
        <v>52</v>
      </c>
      <c r="G948" s="166" t="s">
        <v>111</v>
      </c>
      <c r="H948" s="166"/>
      <c r="I948" s="201"/>
      <c r="J948" s="242"/>
      <c r="K948" s="283"/>
      <c r="L948" s="242"/>
      <c r="M948" s="242"/>
      <c r="N948" s="242"/>
      <c r="O948" s="242"/>
      <c r="P948" s="242"/>
      <c r="Q948" s="242"/>
      <c r="R948" s="242"/>
      <c r="S948" s="242"/>
    </row>
    <row r="949" spans="3:21" x14ac:dyDescent="0.25">
      <c r="F949" s="167" t="s">
        <v>53</v>
      </c>
      <c r="G949" s="160" t="s">
        <v>111</v>
      </c>
      <c r="J949" s="328">
        <f>CHOOSE(year_selection, L949,M949,N949,O949,P949,Q949,R949,S949)</f>
        <v>1.0730539724235065E-3</v>
      </c>
      <c r="K949" s="285"/>
      <c r="L949" s="512">
        <v>8.0016997985717434E-4</v>
      </c>
      <c r="M949" s="512">
        <v>9.2435524839460032E-4</v>
      </c>
      <c r="N949" s="512">
        <v>1.0072189545338947E-3</v>
      </c>
      <c r="O949" s="512">
        <v>1.0730539724235065E-3</v>
      </c>
      <c r="P949" s="512">
        <f>O949</f>
        <v>1.0730539724235065E-3</v>
      </c>
      <c r="Q949" s="512">
        <f t="shared" ref="Q949:S949" si="77">P949</f>
        <v>1.0730539724235065E-3</v>
      </c>
      <c r="R949" s="512">
        <f t="shared" si="77"/>
        <v>1.0730539724235065E-3</v>
      </c>
      <c r="S949" s="512">
        <f t="shared" si="77"/>
        <v>1.0730539724235065E-3</v>
      </c>
    </row>
    <row r="950" spans="3:21" x14ac:dyDescent="0.25">
      <c r="F950" s="167" t="s">
        <v>84</v>
      </c>
      <c r="G950" s="160" t="s">
        <v>111</v>
      </c>
      <c r="J950" s="81"/>
      <c r="K950" s="284"/>
      <c r="L950" s="81"/>
      <c r="M950" s="81"/>
      <c r="N950" s="81"/>
      <c r="O950" s="81"/>
      <c r="P950" s="81"/>
      <c r="Q950" s="81"/>
      <c r="R950" s="81"/>
      <c r="S950" s="81"/>
    </row>
    <row r="951" spans="3:21" x14ac:dyDescent="0.25">
      <c r="F951" s="167" t="s">
        <v>54</v>
      </c>
      <c r="G951" s="160" t="s">
        <v>111</v>
      </c>
      <c r="J951" s="81"/>
      <c r="K951" s="284"/>
      <c r="L951" s="81"/>
      <c r="M951" s="81"/>
      <c r="N951" s="81"/>
      <c r="O951" s="81"/>
      <c r="P951" s="81"/>
      <c r="Q951" s="81"/>
      <c r="R951" s="81"/>
      <c r="S951" s="81"/>
    </row>
    <row r="952" spans="3:21" x14ac:dyDescent="0.25">
      <c r="F952" s="167" t="s">
        <v>55</v>
      </c>
      <c r="G952" s="160" t="s">
        <v>111</v>
      </c>
      <c r="J952" s="328">
        <f>CHOOSE(year_selection, L952,M952,N952,O952,P952,Q952,R952,S952)</f>
        <v>1.6702709398729626E-5</v>
      </c>
      <c r="K952" s="285"/>
      <c r="L952" s="512">
        <v>2.4740989288631233E-6</v>
      </c>
      <c r="M952" s="512">
        <v>2.5380293378000562E-6</v>
      </c>
      <c r="N952" s="512">
        <v>2.1195762396079091E-6</v>
      </c>
      <c r="O952" s="512">
        <v>1.6702709398729626E-5</v>
      </c>
      <c r="P952" s="512">
        <f>O952</f>
        <v>1.6702709398729626E-5</v>
      </c>
      <c r="Q952" s="512">
        <f t="shared" ref="Q952:S952" si="78">P952</f>
        <v>1.6702709398729626E-5</v>
      </c>
      <c r="R952" s="512">
        <f t="shared" si="78"/>
        <v>1.6702709398729626E-5</v>
      </c>
      <c r="S952" s="512">
        <f t="shared" si="78"/>
        <v>1.6702709398729626E-5</v>
      </c>
    </row>
    <row r="953" spans="3:21" x14ac:dyDescent="0.25">
      <c r="F953" s="167" t="s">
        <v>85</v>
      </c>
      <c r="G953" s="160" t="s">
        <v>111</v>
      </c>
      <c r="J953" s="81"/>
      <c r="K953" s="284"/>
      <c r="L953" s="81"/>
      <c r="M953" s="81"/>
      <c r="N953" s="81"/>
      <c r="O953" s="81"/>
      <c r="P953" s="81"/>
      <c r="Q953" s="81"/>
      <c r="R953" s="81"/>
      <c r="S953" s="81"/>
    </row>
    <row r="954" spans="3:21" x14ac:dyDescent="0.25">
      <c r="F954" s="167" t="s">
        <v>56</v>
      </c>
      <c r="G954" s="160" t="s">
        <v>111</v>
      </c>
      <c r="J954" s="328">
        <f>CHOOSE(year_selection, L954,M954,N954,O954,P954,Q954,R954,S954)</f>
        <v>0</v>
      </c>
      <c r="K954" s="285"/>
      <c r="L954" s="512">
        <v>0</v>
      </c>
      <c r="M954" s="512">
        <v>0</v>
      </c>
      <c r="N954" s="512">
        <v>0</v>
      </c>
      <c r="O954" s="512">
        <v>0</v>
      </c>
      <c r="P954" s="512">
        <f>O954</f>
        <v>0</v>
      </c>
      <c r="Q954" s="512">
        <f t="shared" ref="Q954:S954" si="79">P954</f>
        <v>0</v>
      </c>
      <c r="R954" s="512">
        <f t="shared" si="79"/>
        <v>0</v>
      </c>
      <c r="S954" s="512">
        <f t="shared" si="79"/>
        <v>0</v>
      </c>
    </row>
    <row r="955" spans="3:21" x14ac:dyDescent="0.25">
      <c r="F955" s="167" t="s">
        <v>57</v>
      </c>
      <c r="G955" s="160" t="s">
        <v>111</v>
      </c>
      <c r="J955" s="328">
        <f>CHOOSE(year_selection, L955,M955,N955,O955,P955,Q955,R955,S955)</f>
        <v>0</v>
      </c>
      <c r="K955" s="285"/>
      <c r="L955" s="512">
        <v>0</v>
      </c>
      <c r="M955" s="512">
        <v>0</v>
      </c>
      <c r="N955" s="512">
        <v>0</v>
      </c>
      <c r="O955" s="512">
        <v>0</v>
      </c>
      <c r="P955" s="512">
        <f t="shared" ref="P955:S956" si="80">O955</f>
        <v>0</v>
      </c>
      <c r="Q955" s="512">
        <f t="shared" si="80"/>
        <v>0</v>
      </c>
      <c r="R955" s="512">
        <f t="shared" si="80"/>
        <v>0</v>
      </c>
      <c r="S955" s="512">
        <f t="shared" si="80"/>
        <v>0</v>
      </c>
    </row>
    <row r="956" spans="3:21" x14ac:dyDescent="0.25">
      <c r="F956" s="167" t="s">
        <v>72</v>
      </c>
      <c r="G956" s="160" t="s">
        <v>111</v>
      </c>
      <c r="J956" s="328">
        <f>CHOOSE(year_selection, L956,M956,N956,O956,P956,Q956,R956,S956)</f>
        <v>0</v>
      </c>
      <c r="K956" s="285"/>
      <c r="L956" s="512">
        <v>0</v>
      </c>
      <c r="M956" s="512">
        <v>0</v>
      </c>
      <c r="N956" s="512">
        <v>0</v>
      </c>
      <c r="O956" s="512">
        <v>0</v>
      </c>
      <c r="P956" s="512">
        <f t="shared" si="80"/>
        <v>0</v>
      </c>
      <c r="Q956" s="512">
        <f t="shared" si="80"/>
        <v>0</v>
      </c>
      <c r="R956" s="512">
        <f t="shared" si="80"/>
        <v>0</v>
      </c>
      <c r="S956" s="512">
        <f t="shared" si="80"/>
        <v>0</v>
      </c>
    </row>
    <row r="957" spans="3:21" x14ac:dyDescent="0.25">
      <c r="F957" s="167" t="s">
        <v>58</v>
      </c>
      <c r="G957" s="160" t="s">
        <v>111</v>
      </c>
      <c r="J957" s="81"/>
      <c r="K957" s="284"/>
      <c r="L957" s="81"/>
      <c r="M957" s="81"/>
      <c r="N957" s="81"/>
      <c r="O957" s="81"/>
      <c r="P957" s="81"/>
      <c r="Q957" s="81"/>
      <c r="R957" s="81"/>
      <c r="S957" s="81"/>
    </row>
    <row r="958" spans="3:21" x14ac:dyDescent="0.25">
      <c r="F958" s="167" t="s">
        <v>59</v>
      </c>
      <c r="G958" s="160" t="s">
        <v>111</v>
      </c>
      <c r="J958" s="81"/>
      <c r="K958" s="284"/>
      <c r="L958" s="81"/>
      <c r="M958" s="81"/>
      <c r="N958" s="81"/>
      <c r="O958" s="81"/>
      <c r="P958" s="81"/>
      <c r="Q958" s="81"/>
      <c r="R958" s="81"/>
      <c r="S958" s="81"/>
    </row>
    <row r="959" spans="3:21" x14ac:dyDescent="0.25">
      <c r="F959" s="167" t="s">
        <v>60</v>
      </c>
      <c r="G959" s="160" t="s">
        <v>111</v>
      </c>
      <c r="J959" s="81"/>
      <c r="K959" s="284"/>
      <c r="L959" s="81"/>
      <c r="M959" s="81"/>
      <c r="N959" s="81"/>
      <c r="O959" s="81"/>
      <c r="P959" s="81"/>
      <c r="Q959" s="81"/>
      <c r="R959" s="81"/>
      <c r="S959" s="81"/>
    </row>
    <row r="960" spans="3:21" x14ac:dyDescent="0.25">
      <c r="F960" s="167" t="s">
        <v>61</v>
      </c>
      <c r="G960" s="160" t="s">
        <v>111</v>
      </c>
      <c r="J960" s="81"/>
      <c r="K960" s="284"/>
      <c r="L960" s="81"/>
      <c r="M960" s="81"/>
      <c r="N960" s="81"/>
      <c r="O960" s="81"/>
      <c r="P960" s="81"/>
      <c r="Q960" s="81"/>
      <c r="R960" s="81"/>
      <c r="S960" s="81"/>
    </row>
    <row r="961" spans="6:19" x14ac:dyDescent="0.25">
      <c r="F961" s="167" t="s">
        <v>73</v>
      </c>
      <c r="G961" s="160" t="s">
        <v>111</v>
      </c>
      <c r="J961" s="81"/>
      <c r="K961" s="284"/>
      <c r="L961" s="81"/>
      <c r="M961" s="81"/>
      <c r="N961" s="81"/>
      <c r="O961" s="81"/>
      <c r="P961" s="81"/>
      <c r="Q961" s="81"/>
      <c r="R961" s="81"/>
      <c r="S961" s="81"/>
    </row>
    <row r="962" spans="6:19" x14ac:dyDescent="0.25">
      <c r="F962" s="167" t="s">
        <v>86</v>
      </c>
      <c r="G962" s="160" t="s">
        <v>111</v>
      </c>
      <c r="J962" s="81"/>
      <c r="K962" s="284"/>
      <c r="L962" s="81"/>
      <c r="M962" s="81"/>
      <c r="N962" s="81"/>
      <c r="O962" s="81"/>
      <c r="P962" s="81"/>
      <c r="Q962" s="81"/>
      <c r="R962" s="81"/>
      <c r="S962" s="81"/>
    </row>
    <row r="963" spans="6:19" x14ac:dyDescent="0.25">
      <c r="F963" s="167" t="s">
        <v>87</v>
      </c>
      <c r="G963" s="160" t="s">
        <v>111</v>
      </c>
      <c r="J963" s="81"/>
      <c r="K963" s="284"/>
      <c r="L963" s="81"/>
      <c r="M963" s="81"/>
      <c r="N963" s="81"/>
      <c r="O963" s="81"/>
      <c r="P963" s="81"/>
      <c r="Q963" s="81"/>
      <c r="R963" s="81"/>
      <c r="S963" s="81"/>
    </row>
    <row r="964" spans="6:19" x14ac:dyDescent="0.25">
      <c r="F964" s="167" t="s">
        <v>88</v>
      </c>
      <c r="G964" s="160" t="s">
        <v>111</v>
      </c>
      <c r="J964" s="81"/>
      <c r="K964" s="284"/>
      <c r="L964" s="81"/>
      <c r="M964" s="81"/>
      <c r="N964" s="81"/>
      <c r="O964" s="81"/>
      <c r="P964" s="81"/>
      <c r="Q964" s="81"/>
      <c r="R964" s="81"/>
      <c r="S964" s="81"/>
    </row>
    <row r="965" spans="6:19" x14ac:dyDescent="0.25">
      <c r="F965" s="167" t="s">
        <v>89</v>
      </c>
      <c r="G965" s="160" t="s">
        <v>111</v>
      </c>
      <c r="J965" s="81"/>
      <c r="K965" s="284"/>
      <c r="L965" s="81"/>
      <c r="M965" s="81"/>
      <c r="N965" s="81"/>
      <c r="O965" s="81"/>
      <c r="P965" s="81"/>
      <c r="Q965" s="81"/>
      <c r="R965" s="81"/>
      <c r="S965" s="81"/>
    </row>
    <row r="966" spans="6:19" x14ac:dyDescent="0.25">
      <c r="F966" s="167" t="s">
        <v>90</v>
      </c>
      <c r="G966" s="160" t="s">
        <v>111</v>
      </c>
      <c r="J966" s="81"/>
      <c r="K966" s="284"/>
      <c r="L966" s="81"/>
      <c r="M966" s="81"/>
      <c r="N966" s="81"/>
      <c r="O966" s="81"/>
      <c r="P966" s="81"/>
      <c r="Q966" s="81"/>
      <c r="R966" s="81"/>
      <c r="S966" s="81"/>
    </row>
    <row r="967" spans="6:19" x14ac:dyDescent="0.25">
      <c r="F967" s="167" t="s">
        <v>62</v>
      </c>
      <c r="G967" s="160" t="s">
        <v>111</v>
      </c>
      <c r="J967" s="81"/>
      <c r="K967" s="284"/>
      <c r="L967" s="81"/>
      <c r="M967" s="81"/>
      <c r="N967" s="81"/>
      <c r="O967" s="81"/>
      <c r="P967" s="81"/>
      <c r="Q967" s="81"/>
      <c r="R967" s="81"/>
      <c r="S967" s="81"/>
    </row>
    <row r="968" spans="6:19" x14ac:dyDescent="0.25">
      <c r="F968" s="167" t="s">
        <v>63</v>
      </c>
      <c r="G968" s="160" t="s">
        <v>111</v>
      </c>
      <c r="J968" s="81"/>
      <c r="K968" s="284"/>
      <c r="L968" s="81"/>
      <c r="M968" s="81"/>
      <c r="N968" s="81"/>
      <c r="O968" s="81"/>
      <c r="P968" s="81"/>
      <c r="Q968" s="81"/>
      <c r="R968" s="81"/>
      <c r="S968" s="81"/>
    </row>
    <row r="969" spans="6:19" x14ac:dyDescent="0.25">
      <c r="F969" s="167" t="s">
        <v>64</v>
      </c>
      <c r="G969" s="160" t="s">
        <v>111</v>
      </c>
      <c r="J969" s="81"/>
      <c r="K969" s="284"/>
      <c r="L969" s="81"/>
      <c r="M969" s="81"/>
      <c r="N969" s="81"/>
      <c r="O969" s="81"/>
      <c r="P969" s="81"/>
      <c r="Q969" s="81"/>
      <c r="R969" s="81"/>
      <c r="S969" s="81"/>
    </row>
    <row r="970" spans="6:19" x14ac:dyDescent="0.25">
      <c r="F970" s="167" t="s">
        <v>65</v>
      </c>
      <c r="G970" s="160" t="s">
        <v>111</v>
      </c>
      <c r="J970" s="81"/>
      <c r="K970" s="284"/>
      <c r="L970" s="81"/>
      <c r="M970" s="81"/>
      <c r="N970" s="81"/>
      <c r="O970" s="81"/>
      <c r="P970" s="81"/>
      <c r="Q970" s="81"/>
      <c r="R970" s="81"/>
      <c r="S970" s="81"/>
    </row>
    <row r="971" spans="6:19" x14ac:dyDescent="0.25">
      <c r="F971" s="167" t="s">
        <v>66</v>
      </c>
      <c r="G971" s="160" t="s">
        <v>111</v>
      </c>
      <c r="J971" s="81"/>
      <c r="K971" s="284"/>
      <c r="L971" s="81"/>
      <c r="M971" s="81"/>
      <c r="N971" s="81"/>
      <c r="O971" s="81"/>
      <c r="P971" s="81"/>
      <c r="Q971" s="81"/>
      <c r="R971" s="81"/>
      <c r="S971" s="81"/>
    </row>
    <row r="972" spans="6:19" x14ac:dyDescent="0.25">
      <c r="F972" s="167" t="s">
        <v>67</v>
      </c>
      <c r="G972" s="160" t="s">
        <v>111</v>
      </c>
      <c r="J972" s="81"/>
      <c r="K972" s="284"/>
      <c r="L972" s="81"/>
      <c r="M972" s="81"/>
      <c r="N972" s="81"/>
      <c r="O972" s="81"/>
      <c r="P972" s="81"/>
      <c r="Q972" s="81"/>
      <c r="R972" s="81"/>
      <c r="S972" s="81"/>
    </row>
    <row r="973" spans="6:19" x14ac:dyDescent="0.25">
      <c r="F973" s="167" t="s">
        <v>68</v>
      </c>
      <c r="G973" s="160" t="s">
        <v>111</v>
      </c>
      <c r="J973" s="81"/>
      <c r="K973" s="284"/>
      <c r="L973" s="81"/>
      <c r="M973" s="81"/>
      <c r="N973" s="81"/>
      <c r="O973" s="81"/>
      <c r="P973" s="81"/>
      <c r="Q973" s="81"/>
      <c r="R973" s="81"/>
      <c r="S973" s="81"/>
    </row>
    <row r="974" spans="6:19" x14ac:dyDescent="0.25">
      <c r="F974" s="167" t="s">
        <v>69</v>
      </c>
      <c r="G974" s="160" t="s">
        <v>111</v>
      </c>
      <c r="J974" s="81"/>
      <c r="K974" s="284"/>
      <c r="L974" s="81"/>
      <c r="M974" s="81"/>
      <c r="N974" s="81"/>
      <c r="O974" s="81"/>
      <c r="P974" s="81"/>
      <c r="Q974" s="81"/>
      <c r="R974" s="81"/>
      <c r="S974" s="81"/>
    </row>
    <row r="975" spans="6:19" x14ac:dyDescent="0.25">
      <c r="F975" s="167" t="s">
        <v>70</v>
      </c>
      <c r="G975" s="160" t="s">
        <v>111</v>
      </c>
      <c r="J975" s="81"/>
      <c r="K975" s="284"/>
      <c r="L975" s="81"/>
      <c r="M975" s="81"/>
      <c r="N975" s="81"/>
      <c r="O975" s="81"/>
      <c r="P975" s="81"/>
      <c r="Q975" s="81"/>
      <c r="R975" s="81"/>
      <c r="S975" s="81"/>
    </row>
    <row r="976" spans="6:19" x14ac:dyDescent="0.25">
      <c r="F976" s="167" t="s">
        <v>71</v>
      </c>
      <c r="G976" s="160" t="s">
        <v>111</v>
      </c>
      <c r="J976" s="81"/>
      <c r="K976" s="284"/>
      <c r="L976" s="81"/>
      <c r="M976" s="81"/>
      <c r="N976" s="81"/>
      <c r="O976" s="81"/>
      <c r="P976" s="81"/>
      <c r="Q976" s="81"/>
      <c r="R976" s="81"/>
      <c r="S976" s="81"/>
    </row>
    <row r="977" spans="5:19" x14ac:dyDescent="0.25">
      <c r="F977" s="167" t="s">
        <v>74</v>
      </c>
      <c r="G977" s="160" t="s">
        <v>111</v>
      </c>
      <c r="J977" s="81"/>
      <c r="K977" s="284"/>
      <c r="L977" s="81"/>
      <c r="M977" s="81"/>
      <c r="N977" s="81"/>
      <c r="O977" s="81"/>
      <c r="P977" s="81"/>
      <c r="Q977" s="81"/>
      <c r="R977" s="81"/>
      <c r="S977" s="81"/>
    </row>
    <row r="978" spans="5:19" x14ac:dyDescent="0.25">
      <c r="F978" s="167" t="s">
        <v>75</v>
      </c>
      <c r="G978" s="160" t="s">
        <v>111</v>
      </c>
      <c r="J978" s="81"/>
      <c r="K978" s="284"/>
      <c r="L978" s="81"/>
      <c r="M978" s="81"/>
      <c r="N978" s="81"/>
      <c r="O978" s="81"/>
      <c r="P978" s="81"/>
      <c r="Q978" s="81"/>
      <c r="R978" s="81"/>
      <c r="S978" s="81"/>
    </row>
    <row r="979" spans="5:19" x14ac:dyDescent="0.25">
      <c r="F979" s="167" t="s">
        <v>76</v>
      </c>
      <c r="G979" s="160" t="s">
        <v>111</v>
      </c>
      <c r="J979" s="81"/>
      <c r="K979" s="284"/>
      <c r="L979" s="81"/>
      <c r="M979" s="81"/>
      <c r="N979" s="81"/>
      <c r="O979" s="81"/>
      <c r="P979" s="81"/>
      <c r="Q979" s="81"/>
      <c r="R979" s="81"/>
      <c r="S979" s="81"/>
    </row>
    <row r="980" spans="5:19" x14ac:dyDescent="0.25">
      <c r="F980" s="168" t="s">
        <v>77</v>
      </c>
      <c r="G980" s="168" t="s">
        <v>111</v>
      </c>
      <c r="H980" s="168"/>
      <c r="I980" s="262"/>
      <c r="J980" s="83"/>
      <c r="K980" s="286"/>
      <c r="L980" s="83"/>
      <c r="M980" s="83"/>
      <c r="N980" s="83"/>
      <c r="O980" s="83"/>
      <c r="P980" s="83"/>
      <c r="Q980" s="83"/>
      <c r="R980" s="83"/>
      <c r="S980" s="83"/>
    </row>
    <row r="981" spans="5:19" x14ac:dyDescent="0.25">
      <c r="J981" s="285"/>
      <c r="K981" s="285"/>
      <c r="L981" s="285"/>
      <c r="M981" s="285"/>
      <c r="N981" s="285"/>
      <c r="O981" s="285"/>
      <c r="P981" s="285"/>
      <c r="Q981" s="285"/>
      <c r="R981" s="285"/>
      <c r="S981" s="285"/>
    </row>
    <row r="982" spans="5:19" x14ac:dyDescent="0.25">
      <c r="E982" s="172" t="s">
        <v>631</v>
      </c>
      <c r="J982" s="285"/>
      <c r="K982" s="285"/>
      <c r="L982" s="285"/>
      <c r="M982" s="285"/>
      <c r="N982" s="285"/>
      <c r="O982" s="285"/>
      <c r="P982" s="285"/>
      <c r="Q982" s="285"/>
      <c r="R982" s="285"/>
      <c r="S982" s="285"/>
    </row>
    <row r="983" spans="5:19" x14ac:dyDescent="0.25">
      <c r="F983" s="166" t="s">
        <v>52</v>
      </c>
      <c r="G983" s="166" t="s">
        <v>111</v>
      </c>
      <c r="H983" s="166"/>
      <c r="I983" s="201"/>
      <c r="J983" s="242"/>
      <c r="K983" s="283"/>
      <c r="L983" s="242"/>
      <c r="M983" s="242"/>
      <c r="N983" s="242"/>
      <c r="O983" s="242"/>
      <c r="P983" s="242"/>
      <c r="Q983" s="242"/>
      <c r="R983" s="242"/>
      <c r="S983" s="242"/>
    </row>
    <row r="984" spans="5:19" x14ac:dyDescent="0.25">
      <c r="F984" s="167" t="s">
        <v>53</v>
      </c>
      <c r="G984" s="160" t="s">
        <v>111</v>
      </c>
      <c r="J984" s="328">
        <f>CHOOSE(year_selection, L984,M984,N984,O984,P984,Q984,R984,S984)</f>
        <v>4.91052063984165E-2</v>
      </c>
      <c r="K984" s="285"/>
      <c r="L984" s="512">
        <v>4.9023498046330966E-2</v>
      </c>
      <c r="M984" s="512">
        <v>4.8819281201464594E-2</v>
      </c>
      <c r="N984" s="512">
        <v>4.7691835867761316E-2</v>
      </c>
      <c r="O984" s="512">
        <v>4.91052063984165E-2</v>
      </c>
      <c r="P984" s="512">
        <f>O984</f>
        <v>4.91052063984165E-2</v>
      </c>
      <c r="Q984" s="512">
        <f t="shared" ref="Q984:S984" si="81">P984</f>
        <v>4.91052063984165E-2</v>
      </c>
      <c r="R984" s="512">
        <f t="shared" si="81"/>
        <v>4.91052063984165E-2</v>
      </c>
      <c r="S984" s="512">
        <f t="shared" si="81"/>
        <v>4.91052063984165E-2</v>
      </c>
    </row>
    <row r="985" spans="5:19" x14ac:dyDescent="0.25">
      <c r="F985" s="167" t="s">
        <v>84</v>
      </c>
      <c r="G985" s="160" t="s">
        <v>111</v>
      </c>
      <c r="J985" s="81"/>
      <c r="K985" s="284"/>
      <c r="L985" s="81"/>
      <c r="M985" s="81"/>
      <c r="N985" s="81"/>
      <c r="O985" s="81"/>
      <c r="P985" s="81"/>
      <c r="Q985" s="81"/>
      <c r="R985" s="81"/>
      <c r="S985" s="81"/>
    </row>
    <row r="986" spans="5:19" x14ac:dyDescent="0.25">
      <c r="F986" s="167" t="s">
        <v>54</v>
      </c>
      <c r="G986" s="160" t="s">
        <v>111</v>
      </c>
      <c r="J986" s="81"/>
      <c r="K986" s="284"/>
      <c r="L986" s="81"/>
      <c r="M986" s="81"/>
      <c r="N986" s="81"/>
      <c r="O986" s="81"/>
      <c r="P986" s="81"/>
      <c r="Q986" s="81"/>
      <c r="R986" s="81"/>
      <c r="S986" s="81"/>
    </row>
    <row r="987" spans="5:19" x14ac:dyDescent="0.25">
      <c r="F987" s="167" t="s">
        <v>55</v>
      </c>
      <c r="G987" s="160" t="s">
        <v>111</v>
      </c>
      <c r="J987" s="328">
        <f>CHOOSE(year_selection, L987,M987,N987,O987,P987,Q987,R987,S987)</f>
        <v>0.19562792568850473</v>
      </c>
      <c r="K987" s="285"/>
      <c r="L987" s="512">
        <v>0.24994718963031529</v>
      </c>
      <c r="M987" s="512">
        <v>0.22481454895924705</v>
      </c>
      <c r="N987" s="512">
        <v>0.19687814642672749</v>
      </c>
      <c r="O987" s="512">
        <v>0.19562792568850473</v>
      </c>
      <c r="P987" s="512">
        <f>O987</f>
        <v>0.19562792568850473</v>
      </c>
      <c r="Q987" s="512">
        <f t="shared" ref="Q987:S987" si="82">P987</f>
        <v>0.19562792568850473</v>
      </c>
      <c r="R987" s="512">
        <f t="shared" si="82"/>
        <v>0.19562792568850473</v>
      </c>
      <c r="S987" s="512">
        <f t="shared" si="82"/>
        <v>0.19562792568850473</v>
      </c>
    </row>
    <row r="988" spans="5:19" x14ac:dyDescent="0.25">
      <c r="F988" s="167" t="s">
        <v>85</v>
      </c>
      <c r="G988" s="160" t="s">
        <v>111</v>
      </c>
      <c r="J988" s="81"/>
      <c r="K988" s="284"/>
      <c r="L988" s="81"/>
      <c r="M988" s="81"/>
      <c r="N988" s="81"/>
      <c r="O988" s="81"/>
      <c r="P988" s="81"/>
      <c r="Q988" s="81"/>
      <c r="R988" s="81"/>
      <c r="S988" s="81"/>
    </row>
    <row r="989" spans="5:19" x14ac:dyDescent="0.25">
      <c r="F989" s="167" t="s">
        <v>56</v>
      </c>
      <c r="G989" s="160" t="s">
        <v>111</v>
      </c>
      <c r="J989" s="328">
        <f t="shared" ref="J989:J996" si="83">CHOOSE(year_selection, L989,M989,N989,O989,P989,Q989,R989,S989)</f>
        <v>8.9100856244802462E-2</v>
      </c>
      <c r="K989" s="285"/>
      <c r="L989" s="512">
        <v>7.6310440901290702E-2</v>
      </c>
      <c r="M989" s="512">
        <v>7.695735966792748E-2</v>
      </c>
      <c r="N989" s="512">
        <v>8.3843977286815252E-2</v>
      </c>
      <c r="O989" s="512">
        <v>8.9100856244802462E-2</v>
      </c>
      <c r="P989" s="512">
        <f t="shared" ref="P989:S991" si="84">O989</f>
        <v>8.9100856244802462E-2</v>
      </c>
      <c r="Q989" s="512">
        <f t="shared" si="84"/>
        <v>8.9100856244802462E-2</v>
      </c>
      <c r="R989" s="512">
        <f t="shared" si="84"/>
        <v>8.9100856244802462E-2</v>
      </c>
      <c r="S989" s="512">
        <f t="shared" si="84"/>
        <v>8.9100856244802462E-2</v>
      </c>
    </row>
    <row r="990" spans="5:19" x14ac:dyDescent="0.25">
      <c r="F990" s="167" t="s">
        <v>57</v>
      </c>
      <c r="G990" s="160" t="s">
        <v>111</v>
      </c>
      <c r="J990" s="328">
        <f t="shared" si="83"/>
        <v>0.10316143216377743</v>
      </c>
      <c r="K990" s="285"/>
      <c r="L990" s="512">
        <v>7.2135014971416805E-2</v>
      </c>
      <c r="M990" s="512">
        <v>7.603676190538558E-2</v>
      </c>
      <c r="N990" s="512">
        <v>9.6472589271000955E-2</v>
      </c>
      <c r="O990" s="512">
        <v>0.10316143216377743</v>
      </c>
      <c r="P990" s="512">
        <f t="shared" si="84"/>
        <v>0.10316143216377743</v>
      </c>
      <c r="Q990" s="512">
        <f t="shared" si="84"/>
        <v>0.10316143216377743</v>
      </c>
      <c r="R990" s="512">
        <f t="shared" si="84"/>
        <v>0.10316143216377743</v>
      </c>
      <c r="S990" s="512">
        <f t="shared" si="84"/>
        <v>0.10316143216377743</v>
      </c>
    </row>
    <row r="991" spans="5:19" x14ac:dyDescent="0.25">
      <c r="F991" s="167" t="s">
        <v>72</v>
      </c>
      <c r="G991" s="160" t="s">
        <v>111</v>
      </c>
      <c r="J991" s="328">
        <f t="shared" si="83"/>
        <v>0.13496625843539115</v>
      </c>
      <c r="K991" s="285"/>
      <c r="L991" s="512">
        <v>6.5898273551936629E-2</v>
      </c>
      <c r="M991" s="512">
        <v>8.9523980244687482E-2</v>
      </c>
      <c r="N991" s="512">
        <v>0.10106716086293427</v>
      </c>
      <c r="O991" s="512">
        <v>0.13496625843539115</v>
      </c>
      <c r="P991" s="512">
        <f t="shared" si="84"/>
        <v>0.13496625843539115</v>
      </c>
      <c r="Q991" s="512">
        <f t="shared" si="84"/>
        <v>0.13496625843539115</v>
      </c>
      <c r="R991" s="512">
        <f t="shared" si="84"/>
        <v>0.13496625843539115</v>
      </c>
      <c r="S991" s="512">
        <f t="shared" si="84"/>
        <v>0.13496625843539115</v>
      </c>
    </row>
    <row r="992" spans="5:19" x14ac:dyDescent="0.25">
      <c r="F992" s="167" t="s">
        <v>58</v>
      </c>
      <c r="G992" s="160" t="s">
        <v>111</v>
      </c>
      <c r="J992" s="328">
        <f t="shared" si="83"/>
        <v>1</v>
      </c>
      <c r="K992" s="285"/>
      <c r="L992" s="523">
        <v>1</v>
      </c>
      <c r="M992" s="523">
        <v>1</v>
      </c>
      <c r="N992" s="523">
        <v>1</v>
      </c>
      <c r="O992" s="523">
        <v>1</v>
      </c>
      <c r="P992" s="523">
        <v>1</v>
      </c>
      <c r="Q992" s="523">
        <v>1</v>
      </c>
      <c r="R992" s="523">
        <v>1</v>
      </c>
      <c r="S992" s="523">
        <v>1</v>
      </c>
    </row>
    <row r="993" spans="6:19" x14ac:dyDescent="0.25">
      <c r="F993" s="167" t="s">
        <v>59</v>
      </c>
      <c r="G993" s="160" t="s">
        <v>111</v>
      </c>
      <c r="J993" s="328">
        <f t="shared" si="83"/>
        <v>1</v>
      </c>
      <c r="K993" s="285"/>
      <c r="L993" s="523">
        <v>1</v>
      </c>
      <c r="M993" s="523">
        <v>1</v>
      </c>
      <c r="N993" s="523">
        <v>1</v>
      </c>
      <c r="O993" s="523">
        <v>1</v>
      </c>
      <c r="P993" s="523">
        <v>1</v>
      </c>
      <c r="Q993" s="523">
        <v>1</v>
      </c>
      <c r="R993" s="523">
        <v>1</v>
      </c>
      <c r="S993" s="523">
        <v>1</v>
      </c>
    </row>
    <row r="994" spans="6:19" x14ac:dyDescent="0.25">
      <c r="F994" s="167" t="s">
        <v>60</v>
      </c>
      <c r="G994" s="160" t="s">
        <v>111</v>
      </c>
      <c r="J994" s="328">
        <f t="shared" si="83"/>
        <v>1</v>
      </c>
      <c r="K994" s="285"/>
      <c r="L994" s="523">
        <v>1</v>
      </c>
      <c r="M994" s="523">
        <v>1</v>
      </c>
      <c r="N994" s="523">
        <v>1</v>
      </c>
      <c r="O994" s="523">
        <v>1</v>
      </c>
      <c r="P994" s="523">
        <v>1</v>
      </c>
      <c r="Q994" s="523">
        <v>1</v>
      </c>
      <c r="R994" s="523">
        <v>1</v>
      </c>
      <c r="S994" s="523">
        <v>1</v>
      </c>
    </row>
    <row r="995" spans="6:19" x14ac:dyDescent="0.25">
      <c r="F995" s="167" t="s">
        <v>61</v>
      </c>
      <c r="G995" s="160" t="s">
        <v>111</v>
      </c>
      <c r="J995" s="328">
        <f t="shared" si="83"/>
        <v>1</v>
      </c>
      <c r="K995" s="285"/>
      <c r="L995" s="523">
        <v>1</v>
      </c>
      <c r="M995" s="523">
        <v>1</v>
      </c>
      <c r="N995" s="523">
        <v>1</v>
      </c>
      <c r="O995" s="523">
        <v>1</v>
      </c>
      <c r="P995" s="523">
        <v>1</v>
      </c>
      <c r="Q995" s="523">
        <v>1</v>
      </c>
      <c r="R995" s="523">
        <v>1</v>
      </c>
      <c r="S995" s="523">
        <v>1</v>
      </c>
    </row>
    <row r="996" spans="6:19" x14ac:dyDescent="0.25">
      <c r="F996" s="167" t="s">
        <v>73</v>
      </c>
      <c r="G996" s="160" t="s">
        <v>111</v>
      </c>
      <c r="J996" s="328">
        <f t="shared" si="83"/>
        <v>1</v>
      </c>
      <c r="K996" s="285"/>
      <c r="L996" s="523">
        <v>1</v>
      </c>
      <c r="M996" s="523">
        <v>1</v>
      </c>
      <c r="N996" s="523">
        <v>1</v>
      </c>
      <c r="O996" s="523">
        <v>1</v>
      </c>
      <c r="P996" s="523">
        <v>1</v>
      </c>
      <c r="Q996" s="523">
        <v>1</v>
      </c>
      <c r="R996" s="523">
        <v>1</v>
      </c>
      <c r="S996" s="523">
        <v>1</v>
      </c>
    </row>
    <row r="997" spans="6:19" x14ac:dyDescent="0.25">
      <c r="F997" s="167" t="s">
        <v>86</v>
      </c>
      <c r="G997" s="160" t="s">
        <v>111</v>
      </c>
      <c r="J997" s="81"/>
      <c r="K997" s="284"/>
      <c r="L997" s="81"/>
      <c r="M997" s="81"/>
      <c r="N997" s="81"/>
      <c r="O997" s="81"/>
      <c r="P997" s="81"/>
      <c r="Q997" s="81"/>
      <c r="R997" s="81"/>
      <c r="S997" s="81"/>
    </row>
    <row r="998" spans="6:19" x14ac:dyDescent="0.25">
      <c r="F998" s="167" t="s">
        <v>87</v>
      </c>
      <c r="G998" s="160" t="s">
        <v>111</v>
      </c>
      <c r="J998" s="81"/>
      <c r="K998" s="284"/>
      <c r="L998" s="81"/>
      <c r="M998" s="81"/>
      <c r="N998" s="81"/>
      <c r="O998" s="81"/>
      <c r="P998" s="81"/>
      <c r="Q998" s="81"/>
      <c r="R998" s="81"/>
      <c r="S998" s="81"/>
    </row>
    <row r="999" spans="6:19" x14ac:dyDescent="0.25">
      <c r="F999" s="167" t="s">
        <v>88</v>
      </c>
      <c r="G999" s="160" t="s">
        <v>111</v>
      </c>
      <c r="J999" s="81"/>
      <c r="K999" s="284"/>
      <c r="L999" s="81"/>
      <c r="M999" s="81"/>
      <c r="N999" s="81"/>
      <c r="O999" s="81"/>
      <c r="P999" s="81"/>
      <c r="Q999" s="81"/>
      <c r="R999" s="81"/>
      <c r="S999" s="81"/>
    </row>
    <row r="1000" spans="6:19" x14ac:dyDescent="0.25">
      <c r="F1000" s="167" t="s">
        <v>89</v>
      </c>
      <c r="G1000" s="160" t="s">
        <v>111</v>
      </c>
      <c r="J1000" s="81"/>
      <c r="K1000" s="284"/>
      <c r="L1000" s="81"/>
      <c r="M1000" s="81"/>
      <c r="N1000" s="81"/>
      <c r="O1000" s="81"/>
      <c r="P1000" s="81"/>
      <c r="Q1000" s="81"/>
      <c r="R1000" s="81"/>
      <c r="S1000" s="81"/>
    </row>
    <row r="1001" spans="6:19" x14ac:dyDescent="0.25">
      <c r="F1001" s="167" t="s">
        <v>90</v>
      </c>
      <c r="G1001" s="160" t="s">
        <v>111</v>
      </c>
      <c r="J1001" s="328">
        <f>CHOOSE(year_selection, L1001,M1001,N1001,O1001,P1001,Q1001,R1001,S1001)</f>
        <v>1</v>
      </c>
      <c r="K1001" s="285"/>
      <c r="L1001" s="523">
        <v>1</v>
      </c>
      <c r="M1001" s="523">
        <v>1</v>
      </c>
      <c r="N1001" s="523">
        <v>1</v>
      </c>
      <c r="O1001" s="523">
        <v>1</v>
      </c>
      <c r="P1001" s="523">
        <v>1</v>
      </c>
      <c r="Q1001" s="523">
        <v>1</v>
      </c>
      <c r="R1001" s="523">
        <v>1</v>
      </c>
      <c r="S1001" s="523">
        <v>1</v>
      </c>
    </row>
    <row r="1002" spans="6:19" x14ac:dyDescent="0.25">
      <c r="F1002" s="167" t="s">
        <v>62</v>
      </c>
      <c r="G1002" s="160" t="s">
        <v>111</v>
      </c>
      <c r="J1002" s="81"/>
      <c r="K1002" s="284"/>
      <c r="L1002" s="81"/>
      <c r="M1002" s="81"/>
      <c r="N1002" s="81"/>
      <c r="O1002" s="81"/>
      <c r="P1002" s="81"/>
      <c r="Q1002" s="81"/>
      <c r="R1002" s="81"/>
      <c r="S1002" s="81"/>
    </row>
    <row r="1003" spans="6:19" x14ac:dyDescent="0.25">
      <c r="F1003" s="167" t="s">
        <v>63</v>
      </c>
      <c r="G1003" s="160" t="s">
        <v>111</v>
      </c>
      <c r="J1003" s="81"/>
      <c r="K1003" s="284"/>
      <c r="L1003" s="81"/>
      <c r="M1003" s="81"/>
      <c r="N1003" s="81"/>
      <c r="O1003" s="81"/>
      <c r="P1003" s="81"/>
      <c r="Q1003" s="81"/>
      <c r="R1003" s="81"/>
      <c r="S1003" s="81"/>
    </row>
    <row r="1004" spans="6:19" x14ac:dyDescent="0.25">
      <c r="F1004" s="167" t="s">
        <v>64</v>
      </c>
      <c r="G1004" s="160" t="s">
        <v>111</v>
      </c>
      <c r="J1004" s="81"/>
      <c r="K1004" s="284"/>
      <c r="L1004" s="81"/>
      <c r="M1004" s="81"/>
      <c r="N1004" s="81"/>
      <c r="O1004" s="81"/>
      <c r="P1004" s="81"/>
      <c r="Q1004" s="81"/>
      <c r="R1004" s="81"/>
      <c r="S1004" s="81"/>
    </row>
    <row r="1005" spans="6:19" x14ac:dyDescent="0.25">
      <c r="F1005" s="167" t="s">
        <v>65</v>
      </c>
      <c r="G1005" s="160" t="s">
        <v>111</v>
      </c>
      <c r="J1005" s="81"/>
      <c r="K1005" s="284"/>
      <c r="L1005" s="81"/>
      <c r="M1005" s="81"/>
      <c r="N1005" s="81"/>
      <c r="O1005" s="81"/>
      <c r="P1005" s="81"/>
      <c r="Q1005" s="81"/>
      <c r="R1005" s="81"/>
      <c r="S1005" s="81"/>
    </row>
    <row r="1006" spans="6:19" x14ac:dyDescent="0.25">
      <c r="F1006" s="167" t="s">
        <v>66</v>
      </c>
      <c r="G1006" s="160" t="s">
        <v>111</v>
      </c>
      <c r="J1006" s="328">
        <f>CHOOSE(year_selection, L1006,M1006,N1006,O1006,P1006,Q1006,R1006,S1006)</f>
        <v>1</v>
      </c>
      <c r="K1006" s="285"/>
      <c r="L1006" s="523">
        <v>1</v>
      </c>
      <c r="M1006" s="523">
        <v>1</v>
      </c>
      <c r="N1006" s="523">
        <v>1</v>
      </c>
      <c r="O1006" s="523">
        <v>1</v>
      </c>
      <c r="P1006" s="523">
        <v>1</v>
      </c>
      <c r="Q1006" s="523">
        <v>1</v>
      </c>
      <c r="R1006" s="523">
        <v>1</v>
      </c>
      <c r="S1006" s="523">
        <v>1</v>
      </c>
    </row>
    <row r="1007" spans="6:19" x14ac:dyDescent="0.25">
      <c r="F1007" s="167" t="s">
        <v>67</v>
      </c>
      <c r="G1007" s="160" t="s">
        <v>111</v>
      </c>
      <c r="J1007" s="328">
        <f>CHOOSE(year_selection, L1007,M1007,N1007,O1007,P1007,Q1007,R1007,S1007)</f>
        <v>1</v>
      </c>
      <c r="K1007" s="285"/>
      <c r="L1007" s="523">
        <v>1</v>
      </c>
      <c r="M1007" s="523">
        <v>1</v>
      </c>
      <c r="N1007" s="523">
        <v>1</v>
      </c>
      <c r="O1007" s="523">
        <v>1</v>
      </c>
      <c r="P1007" s="523">
        <v>1</v>
      </c>
      <c r="Q1007" s="523">
        <v>1</v>
      </c>
      <c r="R1007" s="523">
        <v>1</v>
      </c>
      <c r="S1007" s="523">
        <v>1</v>
      </c>
    </row>
    <row r="1008" spans="6:19" x14ac:dyDescent="0.25">
      <c r="F1008" s="167" t="s">
        <v>68</v>
      </c>
      <c r="G1008" s="160" t="s">
        <v>111</v>
      </c>
      <c r="J1008" s="81"/>
      <c r="K1008" s="284"/>
      <c r="L1008" s="81"/>
      <c r="M1008" s="81"/>
      <c r="N1008" s="81"/>
      <c r="O1008" s="81"/>
      <c r="P1008" s="81"/>
      <c r="Q1008" s="81"/>
      <c r="R1008" s="81"/>
      <c r="S1008" s="81"/>
    </row>
    <row r="1009" spans="5:19" x14ac:dyDescent="0.25">
      <c r="F1009" s="167" t="s">
        <v>69</v>
      </c>
      <c r="G1009" s="160" t="s">
        <v>111</v>
      </c>
      <c r="J1009" s="81"/>
      <c r="K1009" s="284"/>
      <c r="L1009" s="81"/>
      <c r="M1009" s="81"/>
      <c r="N1009" s="81"/>
      <c r="O1009" s="81"/>
      <c r="P1009" s="81"/>
      <c r="Q1009" s="81"/>
      <c r="R1009" s="81"/>
      <c r="S1009" s="81"/>
    </row>
    <row r="1010" spans="5:19" x14ac:dyDescent="0.25">
      <c r="F1010" s="167" t="s">
        <v>70</v>
      </c>
      <c r="G1010" s="160" t="s">
        <v>111</v>
      </c>
      <c r="J1010" s="328">
        <f>CHOOSE(year_selection, L1010,M1010,N1010,O1010,P1010,Q1010,R1010,S1010)</f>
        <v>1</v>
      </c>
      <c r="K1010" s="285"/>
      <c r="L1010" s="523">
        <v>1</v>
      </c>
      <c r="M1010" s="523">
        <v>1</v>
      </c>
      <c r="N1010" s="523">
        <v>1</v>
      </c>
      <c r="O1010" s="523">
        <v>1</v>
      </c>
      <c r="P1010" s="523">
        <v>1</v>
      </c>
      <c r="Q1010" s="523">
        <v>1</v>
      </c>
      <c r="R1010" s="523">
        <v>1</v>
      </c>
      <c r="S1010" s="523">
        <v>1</v>
      </c>
    </row>
    <row r="1011" spans="5:19" x14ac:dyDescent="0.25">
      <c r="F1011" s="167" t="s">
        <v>71</v>
      </c>
      <c r="G1011" s="160" t="s">
        <v>111</v>
      </c>
      <c r="J1011" s="328">
        <f>CHOOSE(year_selection, L1011,M1011,N1011,O1011,P1011,Q1011,R1011,S1011)</f>
        <v>1</v>
      </c>
      <c r="K1011" s="285"/>
      <c r="L1011" s="523">
        <v>1</v>
      </c>
      <c r="M1011" s="523">
        <v>1</v>
      </c>
      <c r="N1011" s="523">
        <v>1</v>
      </c>
      <c r="O1011" s="523">
        <v>1</v>
      </c>
      <c r="P1011" s="523">
        <v>1</v>
      </c>
      <c r="Q1011" s="523">
        <v>1</v>
      </c>
      <c r="R1011" s="523">
        <v>1</v>
      </c>
      <c r="S1011" s="523">
        <v>1</v>
      </c>
    </row>
    <row r="1012" spans="5:19" x14ac:dyDescent="0.25">
      <c r="F1012" s="167" t="s">
        <v>74</v>
      </c>
      <c r="G1012" s="160" t="s">
        <v>111</v>
      </c>
      <c r="J1012" s="81"/>
      <c r="K1012" s="284"/>
      <c r="L1012" s="81"/>
      <c r="M1012" s="81"/>
      <c r="N1012" s="81"/>
      <c r="O1012" s="81"/>
      <c r="P1012" s="81"/>
      <c r="Q1012" s="81"/>
      <c r="R1012" s="81"/>
      <c r="S1012" s="81"/>
    </row>
    <row r="1013" spans="5:19" x14ac:dyDescent="0.25">
      <c r="F1013" s="167" t="s">
        <v>75</v>
      </c>
      <c r="G1013" s="160" t="s">
        <v>111</v>
      </c>
      <c r="J1013" s="81"/>
      <c r="K1013" s="284"/>
      <c r="L1013" s="81"/>
      <c r="M1013" s="81"/>
      <c r="N1013" s="81"/>
      <c r="O1013" s="81"/>
      <c r="P1013" s="81"/>
      <c r="Q1013" s="81"/>
      <c r="R1013" s="81"/>
      <c r="S1013" s="81"/>
    </row>
    <row r="1014" spans="5:19" x14ac:dyDescent="0.25">
      <c r="F1014" s="167" t="s">
        <v>76</v>
      </c>
      <c r="G1014" s="160" t="s">
        <v>111</v>
      </c>
      <c r="J1014" s="328">
        <f>CHOOSE(year_selection, L1014,M1014,N1014,O1014,P1014,Q1014,R1014,S1014)</f>
        <v>1</v>
      </c>
      <c r="K1014" s="285"/>
      <c r="L1014" s="523">
        <v>1</v>
      </c>
      <c r="M1014" s="523">
        <v>1</v>
      </c>
      <c r="N1014" s="523">
        <v>1</v>
      </c>
      <c r="O1014" s="523">
        <v>1</v>
      </c>
      <c r="P1014" s="523">
        <v>1</v>
      </c>
      <c r="Q1014" s="523">
        <v>1</v>
      </c>
      <c r="R1014" s="523">
        <v>1</v>
      </c>
      <c r="S1014" s="523">
        <v>1</v>
      </c>
    </row>
    <row r="1015" spans="5:19" x14ac:dyDescent="0.25">
      <c r="F1015" s="168" t="s">
        <v>77</v>
      </c>
      <c r="G1015" s="168" t="s">
        <v>111</v>
      </c>
      <c r="H1015" s="168"/>
      <c r="I1015" s="262"/>
      <c r="J1015" s="329">
        <f>CHOOSE(year_selection, L1015,M1015,N1015,O1015,P1015,Q1015,R1015,S1015)</f>
        <v>1</v>
      </c>
      <c r="K1015" s="286"/>
      <c r="L1015" s="524">
        <v>1</v>
      </c>
      <c r="M1015" s="524">
        <v>1</v>
      </c>
      <c r="N1015" s="524">
        <v>1</v>
      </c>
      <c r="O1015" s="524">
        <v>1</v>
      </c>
      <c r="P1015" s="524">
        <v>1</v>
      </c>
      <c r="Q1015" s="524">
        <v>1</v>
      </c>
      <c r="R1015" s="524">
        <v>1</v>
      </c>
      <c r="S1015" s="524">
        <v>1</v>
      </c>
    </row>
    <row r="1016" spans="5:19" x14ac:dyDescent="0.25">
      <c r="J1016" s="285"/>
      <c r="K1016" s="285"/>
      <c r="L1016" s="285"/>
      <c r="M1016" s="285"/>
      <c r="N1016" s="285"/>
      <c r="O1016" s="285"/>
      <c r="P1016" s="285"/>
      <c r="Q1016" s="285"/>
      <c r="R1016" s="285"/>
      <c r="S1016" s="285"/>
    </row>
    <row r="1017" spans="5:19" x14ac:dyDescent="0.25">
      <c r="E1017" s="172" t="s">
        <v>103</v>
      </c>
      <c r="J1017" s="285"/>
      <c r="K1017" s="285"/>
      <c r="L1017" s="285"/>
      <c r="M1017" s="285"/>
      <c r="N1017" s="285"/>
      <c r="O1017" s="285"/>
      <c r="P1017" s="285"/>
      <c r="Q1017" s="285"/>
      <c r="R1017" s="285"/>
      <c r="S1017" s="285"/>
    </row>
    <row r="1018" spans="5:19" x14ac:dyDescent="0.25">
      <c r="F1018" s="166" t="s">
        <v>52</v>
      </c>
      <c r="G1018" s="166" t="s">
        <v>111</v>
      </c>
      <c r="H1018" s="166"/>
      <c r="I1018" s="201"/>
      <c r="J1018" s="242"/>
      <c r="K1018" s="283"/>
      <c r="L1018" s="242"/>
      <c r="M1018" s="242"/>
      <c r="N1018" s="242"/>
      <c r="O1018" s="242"/>
      <c r="P1018" s="242"/>
      <c r="Q1018" s="242"/>
      <c r="R1018" s="242"/>
      <c r="S1018" s="242"/>
    </row>
    <row r="1019" spans="5:19" x14ac:dyDescent="0.25">
      <c r="F1019" s="167" t="s">
        <v>53</v>
      </c>
      <c r="G1019" s="160" t="s">
        <v>111</v>
      </c>
      <c r="J1019" s="328">
        <f>CHOOSE(year_selection, L1019,M1019,N1019,O1019,P1019,Q1019,R1019,S1019)</f>
        <v>0.94982173962916006</v>
      </c>
      <c r="K1019" s="285"/>
      <c r="L1019" s="512">
        <v>0.95017633197381157</v>
      </c>
      <c r="M1019" s="512">
        <v>0.95025636355014076</v>
      </c>
      <c r="N1019" s="512">
        <v>0.9513009451777048</v>
      </c>
      <c r="O1019" s="512">
        <v>0.94982173962916006</v>
      </c>
      <c r="P1019" s="512">
        <f>O1019</f>
        <v>0.94982173962916006</v>
      </c>
      <c r="Q1019" s="512">
        <f t="shared" ref="Q1019:S1019" si="85">P1019</f>
        <v>0.94982173962916006</v>
      </c>
      <c r="R1019" s="512">
        <f t="shared" si="85"/>
        <v>0.94982173962916006</v>
      </c>
      <c r="S1019" s="512">
        <f t="shared" si="85"/>
        <v>0.94982173962916006</v>
      </c>
    </row>
    <row r="1020" spans="5:19" x14ac:dyDescent="0.25">
      <c r="F1020" s="167" t="s">
        <v>84</v>
      </c>
      <c r="G1020" s="160" t="s">
        <v>111</v>
      </c>
      <c r="J1020" s="81"/>
      <c r="K1020" s="284"/>
      <c r="L1020" s="81"/>
      <c r="M1020" s="81"/>
      <c r="N1020" s="81"/>
      <c r="O1020" s="81"/>
      <c r="P1020" s="81"/>
      <c r="Q1020" s="81"/>
      <c r="R1020" s="81"/>
      <c r="S1020" s="81"/>
    </row>
    <row r="1021" spans="5:19" x14ac:dyDescent="0.25">
      <c r="F1021" s="167" t="s">
        <v>54</v>
      </c>
      <c r="G1021" s="160" t="s">
        <v>111</v>
      </c>
      <c r="J1021" s="81"/>
      <c r="K1021" s="284"/>
      <c r="L1021" s="81"/>
      <c r="M1021" s="81"/>
      <c r="N1021" s="81"/>
      <c r="O1021" s="81"/>
      <c r="P1021" s="81"/>
      <c r="Q1021" s="81"/>
      <c r="R1021" s="81"/>
      <c r="S1021" s="81"/>
    </row>
    <row r="1022" spans="5:19" x14ac:dyDescent="0.25">
      <c r="F1022" s="167" t="s">
        <v>55</v>
      </c>
      <c r="G1022" s="160" t="s">
        <v>111</v>
      </c>
      <c r="J1022" s="328">
        <f>CHOOSE(year_selection, L1022,M1022,N1022,O1022,P1022,Q1022,R1022,S1022)</f>
        <v>0.80435537160209647</v>
      </c>
      <c r="K1022" s="285"/>
      <c r="L1022" s="512">
        <v>0.75005033627075601</v>
      </c>
      <c r="M1022" s="512">
        <v>0.77518291301141506</v>
      </c>
      <c r="N1022" s="512">
        <v>0.80311973399703296</v>
      </c>
      <c r="O1022" s="512">
        <v>0.80435537160209647</v>
      </c>
      <c r="P1022" s="512">
        <f>O1022</f>
        <v>0.80435537160209647</v>
      </c>
      <c r="Q1022" s="512">
        <f t="shared" ref="Q1022:S1022" si="86">P1022</f>
        <v>0.80435537160209647</v>
      </c>
      <c r="R1022" s="512">
        <f t="shared" si="86"/>
        <v>0.80435537160209647</v>
      </c>
      <c r="S1022" s="512">
        <f t="shared" si="86"/>
        <v>0.80435537160209647</v>
      </c>
    </row>
    <row r="1023" spans="5:19" x14ac:dyDescent="0.25">
      <c r="F1023" s="167" t="s">
        <v>85</v>
      </c>
      <c r="G1023" s="160" t="s">
        <v>111</v>
      </c>
      <c r="J1023" s="81"/>
      <c r="K1023" s="284"/>
      <c r="L1023" s="81"/>
      <c r="M1023" s="81"/>
      <c r="N1023" s="81"/>
      <c r="O1023" s="81"/>
      <c r="P1023" s="81"/>
      <c r="Q1023" s="81"/>
      <c r="R1023" s="81"/>
      <c r="S1023" s="81"/>
    </row>
    <row r="1024" spans="5:19" x14ac:dyDescent="0.25">
      <c r="F1024" s="167" t="s">
        <v>56</v>
      </c>
      <c r="G1024" s="160" t="s">
        <v>111</v>
      </c>
      <c r="J1024" s="328">
        <f>CHOOSE(year_selection, L1024,M1024,N1024,O1024,P1024,Q1024,R1024,S1024)</f>
        <v>0.91089914375519754</v>
      </c>
      <c r="K1024" s="285"/>
      <c r="L1024" s="512">
        <v>0.92368955909870942</v>
      </c>
      <c r="M1024" s="512">
        <v>0.92304264033207251</v>
      </c>
      <c r="N1024" s="512">
        <v>0.91615602271318475</v>
      </c>
      <c r="O1024" s="512">
        <v>0.91089914375519754</v>
      </c>
      <c r="P1024" s="512">
        <f t="shared" ref="P1024:S1026" si="87">O1024</f>
        <v>0.91089914375519754</v>
      </c>
      <c r="Q1024" s="512">
        <f t="shared" si="87"/>
        <v>0.91089914375519754</v>
      </c>
      <c r="R1024" s="512">
        <f t="shared" si="87"/>
        <v>0.91089914375519754</v>
      </c>
      <c r="S1024" s="512">
        <f t="shared" si="87"/>
        <v>0.91089914375519754</v>
      </c>
    </row>
    <row r="1025" spans="6:19" x14ac:dyDescent="0.25">
      <c r="F1025" s="167" t="s">
        <v>57</v>
      </c>
      <c r="G1025" s="160" t="s">
        <v>111</v>
      </c>
      <c r="J1025" s="328">
        <f>CHOOSE(year_selection, L1025,M1025,N1025,O1025,P1025,Q1025,R1025,S1025)</f>
        <v>0.89683856783622262</v>
      </c>
      <c r="K1025" s="285"/>
      <c r="L1025" s="512">
        <v>0.92786498502858294</v>
      </c>
      <c r="M1025" s="512">
        <v>0.92396323809461434</v>
      </c>
      <c r="N1025" s="512">
        <v>0.90352741072899889</v>
      </c>
      <c r="O1025" s="512">
        <v>0.89683856783622262</v>
      </c>
      <c r="P1025" s="512">
        <f t="shared" si="87"/>
        <v>0.89683856783622262</v>
      </c>
      <c r="Q1025" s="512">
        <f t="shared" si="87"/>
        <v>0.89683856783622262</v>
      </c>
      <c r="R1025" s="512">
        <f t="shared" si="87"/>
        <v>0.89683856783622262</v>
      </c>
      <c r="S1025" s="512">
        <f t="shared" si="87"/>
        <v>0.89683856783622262</v>
      </c>
    </row>
    <row r="1026" spans="6:19" x14ac:dyDescent="0.25">
      <c r="F1026" s="167" t="s">
        <v>72</v>
      </c>
      <c r="G1026" s="160" t="s">
        <v>111</v>
      </c>
      <c r="J1026" s="328">
        <f>CHOOSE(year_selection, L1026,M1026,N1026,O1026,P1026,Q1026,R1026,S1026)</f>
        <v>0.86503374156460888</v>
      </c>
      <c r="K1026" s="285"/>
      <c r="L1026" s="512">
        <v>0.93410172644806322</v>
      </c>
      <c r="M1026" s="512">
        <v>0.91047601975531256</v>
      </c>
      <c r="N1026" s="512">
        <v>0.89893283913706568</v>
      </c>
      <c r="O1026" s="512">
        <v>0.86503374156460888</v>
      </c>
      <c r="P1026" s="512">
        <f t="shared" si="87"/>
        <v>0.86503374156460888</v>
      </c>
      <c r="Q1026" s="512">
        <f t="shared" si="87"/>
        <v>0.86503374156460888</v>
      </c>
      <c r="R1026" s="512">
        <f t="shared" si="87"/>
        <v>0.86503374156460888</v>
      </c>
      <c r="S1026" s="512">
        <f t="shared" si="87"/>
        <v>0.86503374156460888</v>
      </c>
    </row>
    <row r="1027" spans="6:19" x14ac:dyDescent="0.25">
      <c r="F1027" s="167" t="s">
        <v>58</v>
      </c>
      <c r="G1027" s="160" t="s">
        <v>111</v>
      </c>
      <c r="J1027" s="81"/>
      <c r="K1027" s="284"/>
      <c r="L1027" s="81"/>
      <c r="M1027" s="81"/>
      <c r="N1027" s="81"/>
      <c r="O1027" s="81"/>
      <c r="P1027" s="81"/>
      <c r="Q1027" s="81"/>
      <c r="R1027" s="81"/>
      <c r="S1027" s="81"/>
    </row>
    <row r="1028" spans="6:19" x14ac:dyDescent="0.25">
      <c r="F1028" s="167" t="s">
        <v>59</v>
      </c>
      <c r="G1028" s="160" t="s">
        <v>111</v>
      </c>
      <c r="J1028" s="81"/>
      <c r="K1028" s="284"/>
      <c r="L1028" s="81"/>
      <c r="M1028" s="81"/>
      <c r="N1028" s="81"/>
      <c r="O1028" s="81"/>
      <c r="P1028" s="81"/>
      <c r="Q1028" s="81"/>
      <c r="R1028" s="81"/>
      <c r="S1028" s="81"/>
    </row>
    <row r="1029" spans="6:19" x14ac:dyDescent="0.25">
      <c r="F1029" s="167" t="s">
        <v>60</v>
      </c>
      <c r="G1029" s="160" t="s">
        <v>111</v>
      </c>
      <c r="J1029" s="81"/>
      <c r="K1029" s="284"/>
      <c r="L1029" s="81"/>
      <c r="M1029" s="81"/>
      <c r="N1029" s="81"/>
      <c r="O1029" s="81"/>
      <c r="P1029" s="81"/>
      <c r="Q1029" s="81"/>
      <c r="R1029" s="81"/>
      <c r="S1029" s="81"/>
    </row>
    <row r="1030" spans="6:19" x14ac:dyDescent="0.25">
      <c r="F1030" s="167" t="s">
        <v>61</v>
      </c>
      <c r="G1030" s="160" t="s">
        <v>111</v>
      </c>
      <c r="J1030" s="81"/>
      <c r="K1030" s="284"/>
      <c r="L1030" s="81"/>
      <c r="M1030" s="81"/>
      <c r="N1030" s="81"/>
      <c r="O1030" s="81"/>
      <c r="P1030" s="81"/>
      <c r="Q1030" s="81"/>
      <c r="R1030" s="81"/>
      <c r="S1030" s="81"/>
    </row>
    <row r="1031" spans="6:19" x14ac:dyDescent="0.25">
      <c r="F1031" s="167" t="s">
        <v>73</v>
      </c>
      <c r="G1031" s="160" t="s">
        <v>111</v>
      </c>
      <c r="J1031" s="81"/>
      <c r="K1031" s="284"/>
      <c r="L1031" s="81"/>
      <c r="M1031" s="81"/>
      <c r="N1031" s="81"/>
      <c r="O1031" s="81"/>
      <c r="P1031" s="81"/>
      <c r="Q1031" s="81"/>
      <c r="R1031" s="81"/>
      <c r="S1031" s="81"/>
    </row>
    <row r="1032" spans="6:19" x14ac:dyDescent="0.25">
      <c r="F1032" s="167" t="s">
        <v>86</v>
      </c>
      <c r="G1032" s="160" t="s">
        <v>111</v>
      </c>
      <c r="J1032" s="81"/>
      <c r="K1032" s="284"/>
      <c r="L1032" s="81"/>
      <c r="M1032" s="81"/>
      <c r="N1032" s="81"/>
      <c r="O1032" s="81"/>
      <c r="P1032" s="81"/>
      <c r="Q1032" s="81"/>
      <c r="R1032" s="81"/>
      <c r="S1032" s="81"/>
    </row>
    <row r="1033" spans="6:19" x14ac:dyDescent="0.25">
      <c r="F1033" s="167" t="s">
        <v>87</v>
      </c>
      <c r="G1033" s="160" t="s">
        <v>111</v>
      </c>
      <c r="J1033" s="81"/>
      <c r="K1033" s="284"/>
      <c r="L1033" s="81"/>
      <c r="M1033" s="81"/>
      <c r="N1033" s="81"/>
      <c r="O1033" s="81"/>
      <c r="P1033" s="81"/>
      <c r="Q1033" s="81"/>
      <c r="R1033" s="81"/>
      <c r="S1033" s="81"/>
    </row>
    <row r="1034" spans="6:19" x14ac:dyDescent="0.25">
      <c r="F1034" s="167" t="s">
        <v>88</v>
      </c>
      <c r="G1034" s="160" t="s">
        <v>111</v>
      </c>
      <c r="J1034" s="81"/>
      <c r="K1034" s="284"/>
      <c r="L1034" s="81"/>
      <c r="M1034" s="81"/>
      <c r="N1034" s="81"/>
      <c r="O1034" s="81"/>
      <c r="P1034" s="81"/>
      <c r="Q1034" s="81"/>
      <c r="R1034" s="81"/>
      <c r="S1034" s="81"/>
    </row>
    <row r="1035" spans="6:19" x14ac:dyDescent="0.25">
      <c r="F1035" s="167" t="s">
        <v>89</v>
      </c>
      <c r="G1035" s="160" t="s">
        <v>111</v>
      </c>
      <c r="J1035" s="81"/>
      <c r="K1035" s="284"/>
      <c r="L1035" s="81"/>
      <c r="M1035" s="81"/>
      <c r="N1035" s="81"/>
      <c r="O1035" s="81"/>
      <c r="P1035" s="81"/>
      <c r="Q1035" s="81"/>
      <c r="R1035" s="81"/>
      <c r="S1035" s="81"/>
    </row>
    <row r="1036" spans="6:19" x14ac:dyDescent="0.25">
      <c r="F1036" s="167" t="s">
        <v>90</v>
      </c>
      <c r="G1036" s="160" t="s">
        <v>111</v>
      </c>
      <c r="J1036" s="81"/>
      <c r="K1036" s="284"/>
      <c r="L1036" s="81"/>
      <c r="M1036" s="81"/>
      <c r="N1036" s="81"/>
      <c r="O1036" s="81"/>
      <c r="P1036" s="81"/>
      <c r="Q1036" s="81"/>
      <c r="R1036" s="81"/>
      <c r="S1036" s="81"/>
    </row>
    <row r="1037" spans="6:19" x14ac:dyDescent="0.25">
      <c r="F1037" s="167" t="s">
        <v>62</v>
      </c>
      <c r="G1037" s="160" t="s">
        <v>111</v>
      </c>
      <c r="J1037" s="81"/>
      <c r="K1037" s="284"/>
      <c r="L1037" s="81"/>
      <c r="M1037" s="81"/>
      <c r="N1037" s="81"/>
      <c r="O1037" s="81"/>
      <c r="P1037" s="81"/>
      <c r="Q1037" s="81"/>
      <c r="R1037" s="81"/>
      <c r="S1037" s="81"/>
    </row>
    <row r="1038" spans="6:19" x14ac:dyDescent="0.25">
      <c r="F1038" s="167" t="s">
        <v>63</v>
      </c>
      <c r="G1038" s="160" t="s">
        <v>111</v>
      </c>
      <c r="J1038" s="81"/>
      <c r="K1038" s="284"/>
      <c r="L1038" s="81"/>
      <c r="M1038" s="81"/>
      <c r="N1038" s="81"/>
      <c r="O1038" s="81"/>
      <c r="P1038" s="81"/>
      <c r="Q1038" s="81"/>
      <c r="R1038" s="81"/>
      <c r="S1038" s="81"/>
    </row>
    <row r="1039" spans="6:19" x14ac:dyDescent="0.25">
      <c r="F1039" s="167" t="s">
        <v>64</v>
      </c>
      <c r="G1039" s="160" t="s">
        <v>111</v>
      </c>
      <c r="J1039" s="81"/>
      <c r="K1039" s="284"/>
      <c r="L1039" s="81"/>
      <c r="M1039" s="81"/>
      <c r="N1039" s="81"/>
      <c r="O1039" s="81"/>
      <c r="P1039" s="81"/>
      <c r="Q1039" s="81"/>
      <c r="R1039" s="81"/>
      <c r="S1039" s="81"/>
    </row>
    <row r="1040" spans="6:19" x14ac:dyDescent="0.25">
      <c r="F1040" s="167" t="s">
        <v>65</v>
      </c>
      <c r="G1040" s="160" t="s">
        <v>111</v>
      </c>
      <c r="J1040" s="81"/>
      <c r="K1040" s="284"/>
      <c r="L1040" s="81"/>
      <c r="M1040" s="81"/>
      <c r="N1040" s="81"/>
      <c r="O1040" s="81"/>
      <c r="P1040" s="81"/>
      <c r="Q1040" s="81"/>
      <c r="R1040" s="81"/>
      <c r="S1040" s="81"/>
    </row>
    <row r="1041" spans="3:21" x14ac:dyDescent="0.25">
      <c r="F1041" s="167" t="s">
        <v>66</v>
      </c>
      <c r="G1041" s="160" t="s">
        <v>111</v>
      </c>
      <c r="J1041" s="81"/>
      <c r="K1041" s="284"/>
      <c r="L1041" s="81"/>
      <c r="M1041" s="81"/>
      <c r="N1041" s="81"/>
      <c r="O1041" s="81"/>
      <c r="P1041" s="81"/>
      <c r="Q1041" s="81"/>
      <c r="R1041" s="81"/>
      <c r="S1041" s="81"/>
    </row>
    <row r="1042" spans="3:21" x14ac:dyDescent="0.25">
      <c r="F1042" s="167" t="s">
        <v>67</v>
      </c>
      <c r="G1042" s="160" t="s">
        <v>111</v>
      </c>
      <c r="J1042" s="81"/>
      <c r="K1042" s="284"/>
      <c r="L1042" s="81"/>
      <c r="M1042" s="81"/>
      <c r="N1042" s="81"/>
      <c r="O1042" s="81"/>
      <c r="P1042" s="81"/>
      <c r="Q1042" s="81"/>
      <c r="R1042" s="81"/>
      <c r="S1042" s="81"/>
    </row>
    <row r="1043" spans="3:21" x14ac:dyDescent="0.25">
      <c r="F1043" s="167" t="s">
        <v>68</v>
      </c>
      <c r="G1043" s="160" t="s">
        <v>111</v>
      </c>
      <c r="J1043" s="81"/>
      <c r="K1043" s="284"/>
      <c r="L1043" s="81"/>
      <c r="M1043" s="81"/>
      <c r="N1043" s="81"/>
      <c r="O1043" s="81"/>
      <c r="P1043" s="81"/>
      <c r="Q1043" s="81"/>
      <c r="R1043" s="81"/>
      <c r="S1043" s="81"/>
    </row>
    <row r="1044" spans="3:21" x14ac:dyDescent="0.25">
      <c r="F1044" s="167" t="s">
        <v>69</v>
      </c>
      <c r="G1044" s="160" t="s">
        <v>111</v>
      </c>
      <c r="J1044" s="81"/>
      <c r="K1044" s="284"/>
      <c r="L1044" s="81"/>
      <c r="M1044" s="81"/>
      <c r="N1044" s="81"/>
      <c r="O1044" s="81"/>
      <c r="P1044" s="81"/>
      <c r="Q1044" s="81"/>
      <c r="R1044" s="81"/>
      <c r="S1044" s="81"/>
    </row>
    <row r="1045" spans="3:21" x14ac:dyDescent="0.25">
      <c r="F1045" s="167" t="s">
        <v>70</v>
      </c>
      <c r="G1045" s="160" t="s">
        <v>111</v>
      </c>
      <c r="J1045" s="81"/>
      <c r="K1045" s="284"/>
      <c r="L1045" s="81"/>
      <c r="M1045" s="81"/>
      <c r="N1045" s="81"/>
      <c r="O1045" s="81"/>
      <c r="P1045" s="81"/>
      <c r="Q1045" s="81"/>
      <c r="R1045" s="81"/>
      <c r="S1045" s="81"/>
    </row>
    <row r="1046" spans="3:21" x14ac:dyDescent="0.25">
      <c r="F1046" s="167" t="s">
        <v>71</v>
      </c>
      <c r="G1046" s="160" t="s">
        <v>111</v>
      </c>
      <c r="J1046" s="81"/>
      <c r="K1046" s="284"/>
      <c r="L1046" s="81"/>
      <c r="M1046" s="81"/>
      <c r="N1046" s="81"/>
      <c r="O1046" s="81"/>
      <c r="P1046" s="81"/>
      <c r="Q1046" s="81"/>
      <c r="R1046" s="81"/>
      <c r="S1046" s="81"/>
    </row>
    <row r="1047" spans="3:21" x14ac:dyDescent="0.25">
      <c r="F1047" s="167" t="s">
        <v>74</v>
      </c>
      <c r="G1047" s="160" t="s">
        <v>111</v>
      </c>
      <c r="J1047" s="81"/>
      <c r="K1047" s="284"/>
      <c r="L1047" s="81"/>
      <c r="M1047" s="81"/>
      <c r="N1047" s="81"/>
      <c r="O1047" s="81"/>
      <c r="P1047" s="81"/>
      <c r="Q1047" s="81"/>
      <c r="R1047" s="81"/>
      <c r="S1047" s="81"/>
    </row>
    <row r="1048" spans="3:21" x14ac:dyDescent="0.25">
      <c r="F1048" s="167" t="s">
        <v>75</v>
      </c>
      <c r="G1048" s="160" t="s">
        <v>111</v>
      </c>
      <c r="J1048" s="81"/>
      <c r="K1048" s="284"/>
      <c r="L1048" s="81"/>
      <c r="M1048" s="81"/>
      <c r="N1048" s="81"/>
      <c r="O1048" s="81"/>
      <c r="P1048" s="81"/>
      <c r="Q1048" s="81"/>
      <c r="R1048" s="81"/>
      <c r="S1048" s="81"/>
    </row>
    <row r="1049" spans="3:21" x14ac:dyDescent="0.25">
      <c r="F1049" s="167" t="s">
        <v>76</v>
      </c>
      <c r="G1049" s="160" t="s">
        <v>111</v>
      </c>
      <c r="J1049" s="81"/>
      <c r="K1049" s="284"/>
      <c r="L1049" s="81"/>
      <c r="M1049" s="81"/>
      <c r="N1049" s="81"/>
      <c r="O1049" s="81"/>
      <c r="P1049" s="81"/>
      <c r="Q1049" s="81"/>
      <c r="R1049" s="81"/>
      <c r="S1049" s="81"/>
    </row>
    <row r="1050" spans="3:21" x14ac:dyDescent="0.25">
      <c r="F1050" s="168" t="s">
        <v>77</v>
      </c>
      <c r="G1050" s="168" t="s">
        <v>111</v>
      </c>
      <c r="H1050" s="168"/>
      <c r="I1050" s="262"/>
      <c r="J1050" s="83"/>
      <c r="K1050" s="286"/>
      <c r="L1050" s="83"/>
      <c r="M1050" s="83"/>
      <c r="N1050" s="83"/>
      <c r="O1050" s="83"/>
      <c r="P1050" s="83"/>
      <c r="Q1050" s="83"/>
      <c r="R1050" s="83"/>
      <c r="S1050" s="83"/>
    </row>
    <row r="1051" spans="3:21" x14ac:dyDescent="0.25">
      <c r="J1051" s="285"/>
      <c r="K1051" s="285"/>
      <c r="L1051" s="285"/>
      <c r="M1051" s="285"/>
      <c r="N1051" s="285"/>
      <c r="O1051" s="285"/>
      <c r="P1051" s="285"/>
      <c r="Q1051" s="285"/>
      <c r="R1051" s="285"/>
      <c r="S1051" s="285"/>
    </row>
    <row r="1052" spans="3:21" x14ac:dyDescent="0.25">
      <c r="C1052" s="22" t="str">
        <f ca="1">INDEX('Version control'!$H$34:$H$59,MATCH($A$1,'Version control'!$F$34:$F$59,0),1)&amp;"-H: Split of units by distribution timeband - Unit rate 3"</f>
        <v>Input 501-H: Split of units by distribution timeband - Unit rate 3</v>
      </c>
      <c r="D1052" s="22"/>
      <c r="E1052" s="22"/>
      <c r="F1052" s="22"/>
      <c r="G1052" s="22"/>
      <c r="H1052" s="22"/>
      <c r="I1052" s="296"/>
      <c r="J1052" s="22"/>
      <c r="K1052" s="22"/>
      <c r="L1052" s="22"/>
      <c r="M1052" s="22"/>
      <c r="N1052" s="22"/>
      <c r="O1052" s="22"/>
      <c r="P1052" s="22"/>
      <c r="Q1052" s="22"/>
      <c r="R1052" s="22"/>
      <c r="S1052" s="22"/>
      <c r="T1052" s="22"/>
      <c r="U1052" s="22"/>
    </row>
    <row r="1053" spans="3:21" x14ac:dyDescent="0.25">
      <c r="C1053" s="172"/>
    </row>
    <row r="1054" spans="3:21" x14ac:dyDescent="0.25">
      <c r="E1054" s="172" t="s">
        <v>630</v>
      </c>
      <c r="I1054" s="200" t="s">
        <v>525</v>
      </c>
      <c r="J1054" s="285"/>
      <c r="K1054" s="285"/>
      <c r="L1054" s="285"/>
      <c r="M1054" s="285"/>
      <c r="N1054" s="285"/>
      <c r="O1054" s="285"/>
      <c r="P1054" s="285"/>
      <c r="Q1054" s="285"/>
      <c r="R1054" s="285"/>
      <c r="S1054" s="285"/>
      <c r="U1054" s="474" t="s">
        <v>1005</v>
      </c>
    </row>
    <row r="1055" spans="3:21" x14ac:dyDescent="0.25">
      <c r="F1055" s="166" t="s">
        <v>52</v>
      </c>
      <c r="G1055" s="166" t="s">
        <v>111</v>
      </c>
      <c r="H1055" s="166"/>
      <c r="I1055" s="201"/>
      <c r="J1055" s="242"/>
      <c r="K1055" s="283"/>
      <c r="L1055" s="242"/>
      <c r="M1055" s="242"/>
      <c r="N1055" s="242"/>
      <c r="O1055" s="242"/>
      <c r="P1055" s="242"/>
      <c r="Q1055" s="242"/>
      <c r="R1055" s="242"/>
      <c r="S1055" s="242"/>
    </row>
    <row r="1056" spans="3:21" x14ac:dyDescent="0.25">
      <c r="F1056" s="167" t="s">
        <v>53</v>
      </c>
      <c r="G1056" s="160" t="s">
        <v>111</v>
      </c>
      <c r="J1056" s="81"/>
      <c r="K1056" s="284"/>
      <c r="L1056" s="81"/>
      <c r="M1056" s="81"/>
      <c r="N1056" s="81"/>
      <c r="O1056" s="81"/>
      <c r="P1056" s="81"/>
      <c r="Q1056" s="81"/>
      <c r="R1056" s="81"/>
      <c r="S1056" s="81"/>
    </row>
    <row r="1057" spans="6:19" x14ac:dyDescent="0.25">
      <c r="F1057" s="167" t="s">
        <v>84</v>
      </c>
      <c r="G1057" s="160" t="s">
        <v>111</v>
      </c>
      <c r="J1057" s="81"/>
      <c r="K1057" s="284"/>
      <c r="L1057" s="81"/>
      <c r="M1057" s="81"/>
      <c r="N1057" s="81"/>
      <c r="O1057" s="81"/>
      <c r="P1057" s="81"/>
      <c r="Q1057" s="81"/>
      <c r="R1057" s="81"/>
      <c r="S1057" s="81"/>
    </row>
    <row r="1058" spans="6:19" x14ac:dyDescent="0.25">
      <c r="F1058" s="167" t="s">
        <v>54</v>
      </c>
      <c r="G1058" s="160" t="s">
        <v>111</v>
      </c>
      <c r="J1058" s="81"/>
      <c r="K1058" s="284"/>
      <c r="L1058" s="81"/>
      <c r="M1058" s="81"/>
      <c r="N1058" s="81"/>
      <c r="O1058" s="81"/>
      <c r="P1058" s="81"/>
      <c r="Q1058" s="81"/>
      <c r="R1058" s="81"/>
      <c r="S1058" s="81"/>
    </row>
    <row r="1059" spans="6:19" x14ac:dyDescent="0.25">
      <c r="F1059" s="167" t="s">
        <v>55</v>
      </c>
      <c r="G1059" s="160" t="s">
        <v>111</v>
      </c>
      <c r="J1059" s="81"/>
      <c r="K1059" s="284"/>
      <c r="L1059" s="81"/>
      <c r="M1059" s="81"/>
      <c r="N1059" s="81"/>
      <c r="O1059" s="81"/>
      <c r="P1059" s="81"/>
      <c r="Q1059" s="81"/>
      <c r="R1059" s="81"/>
      <c r="S1059" s="81"/>
    </row>
    <row r="1060" spans="6:19" x14ac:dyDescent="0.25">
      <c r="F1060" s="167" t="s">
        <v>85</v>
      </c>
      <c r="G1060" s="160" t="s">
        <v>111</v>
      </c>
      <c r="J1060" s="81"/>
      <c r="K1060" s="284"/>
      <c r="L1060" s="81"/>
      <c r="M1060" s="81"/>
      <c r="N1060" s="81"/>
      <c r="O1060" s="81"/>
      <c r="P1060" s="81"/>
      <c r="Q1060" s="81"/>
      <c r="R1060" s="81"/>
      <c r="S1060" s="81"/>
    </row>
    <row r="1061" spans="6:19" x14ac:dyDescent="0.25">
      <c r="F1061" s="167" t="s">
        <v>56</v>
      </c>
      <c r="G1061" s="160" t="s">
        <v>111</v>
      </c>
      <c r="J1061" s="81"/>
      <c r="K1061" s="284"/>
      <c r="L1061" s="81"/>
      <c r="M1061" s="81"/>
      <c r="N1061" s="81"/>
      <c r="O1061" s="81"/>
      <c r="P1061" s="81"/>
      <c r="Q1061" s="81"/>
      <c r="R1061" s="81"/>
      <c r="S1061" s="81"/>
    </row>
    <row r="1062" spans="6:19" x14ac:dyDescent="0.25">
      <c r="F1062" s="167" t="s">
        <v>57</v>
      </c>
      <c r="G1062" s="160" t="s">
        <v>111</v>
      </c>
      <c r="J1062" s="81"/>
      <c r="K1062" s="284"/>
      <c r="L1062" s="81"/>
      <c r="M1062" s="81"/>
      <c r="N1062" s="81"/>
      <c r="O1062" s="81"/>
      <c r="P1062" s="81"/>
      <c r="Q1062" s="81"/>
      <c r="R1062" s="81"/>
      <c r="S1062" s="81"/>
    </row>
    <row r="1063" spans="6:19" x14ac:dyDescent="0.25">
      <c r="F1063" s="167" t="s">
        <v>72</v>
      </c>
      <c r="G1063" s="160" t="s">
        <v>111</v>
      </c>
      <c r="J1063" s="81"/>
      <c r="K1063" s="284"/>
      <c r="L1063" s="81"/>
      <c r="M1063" s="81"/>
      <c r="N1063" s="81"/>
      <c r="O1063" s="81"/>
      <c r="P1063" s="81"/>
      <c r="Q1063" s="81"/>
      <c r="R1063" s="81"/>
      <c r="S1063" s="81"/>
    </row>
    <row r="1064" spans="6:19" x14ac:dyDescent="0.25">
      <c r="F1064" s="167" t="s">
        <v>58</v>
      </c>
      <c r="G1064" s="160" t="s">
        <v>111</v>
      </c>
      <c r="J1064" s="81"/>
      <c r="K1064" s="284"/>
      <c r="L1064" s="81"/>
      <c r="M1064" s="81"/>
      <c r="N1064" s="81"/>
      <c r="O1064" s="81"/>
      <c r="P1064" s="81"/>
      <c r="Q1064" s="81"/>
      <c r="R1064" s="81"/>
      <c r="S1064" s="81"/>
    </row>
    <row r="1065" spans="6:19" x14ac:dyDescent="0.25">
      <c r="F1065" s="167" t="s">
        <v>59</v>
      </c>
      <c r="G1065" s="160" t="s">
        <v>111</v>
      </c>
      <c r="J1065" s="81"/>
      <c r="K1065" s="284"/>
      <c r="L1065" s="81"/>
      <c r="M1065" s="81"/>
      <c r="N1065" s="81"/>
      <c r="O1065" s="81"/>
      <c r="P1065" s="81"/>
      <c r="Q1065" s="81"/>
      <c r="R1065" s="81"/>
      <c r="S1065" s="81"/>
    </row>
    <row r="1066" spans="6:19" x14ac:dyDescent="0.25">
      <c r="F1066" s="167" t="s">
        <v>60</v>
      </c>
      <c r="G1066" s="160" t="s">
        <v>111</v>
      </c>
      <c r="J1066" s="81"/>
      <c r="K1066" s="284"/>
      <c r="L1066" s="81"/>
      <c r="M1066" s="81"/>
      <c r="N1066" s="81"/>
      <c r="O1066" s="81"/>
      <c r="P1066" s="81"/>
      <c r="Q1066" s="81"/>
      <c r="R1066" s="81"/>
      <c r="S1066" s="81"/>
    </row>
    <row r="1067" spans="6:19" x14ac:dyDescent="0.25">
      <c r="F1067" s="167" t="s">
        <v>61</v>
      </c>
      <c r="G1067" s="160" t="s">
        <v>111</v>
      </c>
      <c r="J1067" s="81"/>
      <c r="K1067" s="284"/>
      <c r="L1067" s="81"/>
      <c r="M1067" s="81"/>
      <c r="N1067" s="81"/>
      <c r="O1067" s="81"/>
      <c r="P1067" s="81"/>
      <c r="Q1067" s="81"/>
      <c r="R1067" s="81"/>
      <c r="S1067" s="81"/>
    </row>
    <row r="1068" spans="6:19" x14ac:dyDescent="0.25">
      <c r="F1068" s="167" t="s">
        <v>73</v>
      </c>
      <c r="G1068" s="160" t="s">
        <v>111</v>
      </c>
      <c r="J1068" s="81"/>
      <c r="K1068" s="284"/>
      <c r="L1068" s="81"/>
      <c r="M1068" s="81"/>
      <c r="N1068" s="81"/>
      <c r="O1068" s="81"/>
      <c r="P1068" s="81"/>
      <c r="Q1068" s="81"/>
      <c r="R1068" s="81"/>
      <c r="S1068" s="81"/>
    </row>
    <row r="1069" spans="6:19" x14ac:dyDescent="0.25">
      <c r="F1069" s="167" t="s">
        <v>86</v>
      </c>
      <c r="G1069" s="160" t="s">
        <v>111</v>
      </c>
      <c r="J1069" s="81"/>
      <c r="K1069" s="284"/>
      <c r="L1069" s="81"/>
      <c r="M1069" s="81"/>
      <c r="N1069" s="81"/>
      <c r="O1069" s="81"/>
      <c r="P1069" s="81"/>
      <c r="Q1069" s="81"/>
      <c r="R1069" s="81"/>
      <c r="S1069" s="81"/>
    </row>
    <row r="1070" spans="6:19" x14ac:dyDescent="0.25">
      <c r="F1070" s="167" t="s">
        <v>87</v>
      </c>
      <c r="G1070" s="160" t="s">
        <v>111</v>
      </c>
      <c r="J1070" s="81"/>
      <c r="K1070" s="284"/>
      <c r="L1070" s="81"/>
      <c r="M1070" s="81"/>
      <c r="N1070" s="81"/>
      <c r="O1070" s="81"/>
      <c r="P1070" s="81"/>
      <c r="Q1070" s="81"/>
      <c r="R1070" s="81"/>
      <c r="S1070" s="81"/>
    </row>
    <row r="1071" spans="6:19" x14ac:dyDescent="0.25">
      <c r="F1071" s="167" t="s">
        <v>88</v>
      </c>
      <c r="G1071" s="160" t="s">
        <v>111</v>
      </c>
      <c r="J1071" s="81"/>
      <c r="K1071" s="284"/>
      <c r="L1071" s="81"/>
      <c r="M1071" s="81"/>
      <c r="N1071" s="81"/>
      <c r="O1071" s="81"/>
      <c r="P1071" s="81"/>
      <c r="Q1071" s="81"/>
      <c r="R1071" s="81"/>
      <c r="S1071" s="81"/>
    </row>
    <row r="1072" spans="6:19" x14ac:dyDescent="0.25">
      <c r="F1072" s="167" t="s">
        <v>89</v>
      </c>
      <c r="G1072" s="160" t="s">
        <v>111</v>
      </c>
      <c r="J1072" s="81"/>
      <c r="K1072" s="284"/>
      <c r="L1072" s="81"/>
      <c r="M1072" s="81"/>
      <c r="N1072" s="81"/>
      <c r="O1072" s="81"/>
      <c r="P1072" s="81"/>
      <c r="Q1072" s="81"/>
      <c r="R1072" s="81"/>
      <c r="S1072" s="81"/>
    </row>
    <row r="1073" spans="5:19" x14ac:dyDescent="0.25">
      <c r="F1073" s="167" t="s">
        <v>90</v>
      </c>
      <c r="G1073" s="160" t="s">
        <v>111</v>
      </c>
      <c r="J1073" s="81"/>
      <c r="K1073" s="284"/>
      <c r="L1073" s="81"/>
      <c r="M1073" s="81"/>
      <c r="N1073" s="81"/>
      <c r="O1073" s="81"/>
      <c r="P1073" s="81"/>
      <c r="Q1073" s="81"/>
      <c r="R1073" s="81"/>
      <c r="S1073" s="81"/>
    </row>
    <row r="1074" spans="5:19" x14ac:dyDescent="0.25">
      <c r="F1074" s="167" t="s">
        <v>62</v>
      </c>
      <c r="G1074" s="160" t="s">
        <v>111</v>
      </c>
      <c r="J1074" s="81"/>
      <c r="K1074" s="284"/>
      <c r="L1074" s="81"/>
      <c r="M1074" s="81"/>
      <c r="N1074" s="81"/>
      <c r="O1074" s="81"/>
      <c r="P1074" s="81"/>
      <c r="Q1074" s="81"/>
      <c r="R1074" s="81"/>
      <c r="S1074" s="81"/>
    </row>
    <row r="1075" spans="5:19" x14ac:dyDescent="0.25">
      <c r="F1075" s="167" t="s">
        <v>63</v>
      </c>
      <c r="G1075" s="160" t="s">
        <v>111</v>
      </c>
      <c r="J1075" s="81"/>
      <c r="K1075" s="284"/>
      <c r="L1075" s="81"/>
      <c r="M1075" s="81"/>
      <c r="N1075" s="81"/>
      <c r="O1075" s="81"/>
      <c r="P1075" s="81"/>
      <c r="Q1075" s="81"/>
      <c r="R1075" s="81"/>
      <c r="S1075" s="81"/>
    </row>
    <row r="1076" spans="5:19" x14ac:dyDescent="0.25">
      <c r="F1076" s="167" t="s">
        <v>64</v>
      </c>
      <c r="G1076" s="160" t="s">
        <v>111</v>
      </c>
      <c r="J1076" s="81"/>
      <c r="K1076" s="284"/>
      <c r="L1076" s="81"/>
      <c r="M1076" s="81"/>
      <c r="N1076" s="81"/>
      <c r="O1076" s="81"/>
      <c r="P1076" s="81"/>
      <c r="Q1076" s="81"/>
      <c r="R1076" s="81"/>
      <c r="S1076" s="81"/>
    </row>
    <row r="1077" spans="5:19" x14ac:dyDescent="0.25">
      <c r="F1077" s="167" t="s">
        <v>65</v>
      </c>
      <c r="G1077" s="160" t="s">
        <v>111</v>
      </c>
      <c r="J1077" s="81"/>
      <c r="K1077" s="284"/>
      <c r="L1077" s="81"/>
      <c r="M1077" s="81"/>
      <c r="N1077" s="81"/>
      <c r="O1077" s="81"/>
      <c r="P1077" s="81"/>
      <c r="Q1077" s="81"/>
      <c r="R1077" s="81"/>
      <c r="S1077" s="81"/>
    </row>
    <row r="1078" spans="5:19" x14ac:dyDescent="0.25">
      <c r="F1078" s="167" t="s">
        <v>66</v>
      </c>
      <c r="G1078" s="160" t="s">
        <v>111</v>
      </c>
      <c r="J1078" s="81"/>
      <c r="K1078" s="284"/>
      <c r="L1078" s="81"/>
      <c r="M1078" s="81"/>
      <c r="N1078" s="81"/>
      <c r="O1078" s="81"/>
      <c r="P1078" s="81"/>
      <c r="Q1078" s="81"/>
      <c r="R1078" s="81"/>
      <c r="S1078" s="81"/>
    </row>
    <row r="1079" spans="5:19" x14ac:dyDescent="0.25">
      <c r="F1079" s="167" t="s">
        <v>67</v>
      </c>
      <c r="G1079" s="160" t="s">
        <v>111</v>
      </c>
      <c r="J1079" s="81"/>
      <c r="K1079" s="284"/>
      <c r="L1079" s="81"/>
      <c r="M1079" s="81"/>
      <c r="N1079" s="81"/>
      <c r="O1079" s="81"/>
      <c r="P1079" s="81"/>
      <c r="Q1079" s="81"/>
      <c r="R1079" s="81"/>
      <c r="S1079" s="81"/>
    </row>
    <row r="1080" spans="5:19" x14ac:dyDescent="0.25">
      <c r="F1080" s="167" t="s">
        <v>68</v>
      </c>
      <c r="G1080" s="160" t="s">
        <v>111</v>
      </c>
      <c r="J1080" s="81"/>
      <c r="K1080" s="284"/>
      <c r="L1080" s="81"/>
      <c r="M1080" s="81"/>
      <c r="N1080" s="81"/>
      <c r="O1080" s="81"/>
      <c r="P1080" s="81"/>
      <c r="Q1080" s="81"/>
      <c r="R1080" s="81"/>
      <c r="S1080" s="81"/>
    </row>
    <row r="1081" spans="5:19" x14ac:dyDescent="0.25">
      <c r="F1081" s="167" t="s">
        <v>69</v>
      </c>
      <c r="G1081" s="160" t="s">
        <v>111</v>
      </c>
      <c r="J1081" s="81"/>
      <c r="K1081" s="284"/>
      <c r="L1081" s="81"/>
      <c r="M1081" s="81"/>
      <c r="N1081" s="81"/>
      <c r="O1081" s="81"/>
      <c r="P1081" s="81"/>
      <c r="Q1081" s="81"/>
      <c r="R1081" s="81"/>
      <c r="S1081" s="81"/>
    </row>
    <row r="1082" spans="5:19" x14ac:dyDescent="0.25">
      <c r="F1082" s="167" t="s">
        <v>70</v>
      </c>
      <c r="G1082" s="160" t="s">
        <v>111</v>
      </c>
      <c r="J1082" s="81"/>
      <c r="K1082" s="284"/>
      <c r="L1082" s="81"/>
      <c r="M1082" s="81"/>
      <c r="N1082" s="81"/>
      <c r="O1082" s="81"/>
      <c r="P1082" s="81"/>
      <c r="Q1082" s="81"/>
      <c r="R1082" s="81"/>
      <c r="S1082" s="81"/>
    </row>
    <row r="1083" spans="5:19" x14ac:dyDescent="0.25">
      <c r="F1083" s="167" t="s">
        <v>71</v>
      </c>
      <c r="G1083" s="160" t="s">
        <v>111</v>
      </c>
      <c r="J1083" s="81"/>
      <c r="K1083" s="284"/>
      <c r="L1083" s="81"/>
      <c r="M1083" s="81"/>
      <c r="N1083" s="81"/>
      <c r="O1083" s="81"/>
      <c r="P1083" s="81"/>
      <c r="Q1083" s="81"/>
      <c r="R1083" s="81"/>
      <c r="S1083" s="81"/>
    </row>
    <row r="1084" spans="5:19" x14ac:dyDescent="0.25">
      <c r="F1084" s="167" t="s">
        <v>74</v>
      </c>
      <c r="G1084" s="160" t="s">
        <v>111</v>
      </c>
      <c r="J1084" s="81"/>
      <c r="K1084" s="284"/>
      <c r="L1084" s="81"/>
      <c r="M1084" s="81"/>
      <c r="N1084" s="81"/>
      <c r="O1084" s="81"/>
      <c r="P1084" s="81"/>
      <c r="Q1084" s="81"/>
      <c r="R1084" s="81"/>
      <c r="S1084" s="81"/>
    </row>
    <row r="1085" spans="5:19" x14ac:dyDescent="0.25">
      <c r="F1085" s="167" t="s">
        <v>75</v>
      </c>
      <c r="G1085" s="160" t="s">
        <v>111</v>
      </c>
      <c r="J1085" s="81"/>
      <c r="K1085" s="284"/>
      <c r="L1085" s="81"/>
      <c r="M1085" s="81"/>
      <c r="N1085" s="81"/>
      <c r="O1085" s="81"/>
      <c r="P1085" s="81"/>
      <c r="Q1085" s="81"/>
      <c r="R1085" s="81"/>
      <c r="S1085" s="81"/>
    </row>
    <row r="1086" spans="5:19" x14ac:dyDescent="0.25">
      <c r="F1086" s="167" t="s">
        <v>76</v>
      </c>
      <c r="G1086" s="160" t="s">
        <v>111</v>
      </c>
      <c r="J1086" s="81"/>
      <c r="K1086" s="284"/>
      <c r="L1086" s="81"/>
      <c r="M1086" s="81"/>
      <c r="N1086" s="81"/>
      <c r="O1086" s="81"/>
      <c r="P1086" s="81"/>
      <c r="Q1086" s="81"/>
      <c r="R1086" s="81"/>
      <c r="S1086" s="81"/>
    </row>
    <row r="1087" spans="5:19" x14ac:dyDescent="0.25">
      <c r="F1087" s="168" t="s">
        <v>77</v>
      </c>
      <c r="G1087" s="168" t="s">
        <v>111</v>
      </c>
      <c r="H1087" s="168"/>
      <c r="I1087" s="262"/>
      <c r="J1087" s="83"/>
      <c r="K1087" s="286"/>
      <c r="L1087" s="83"/>
      <c r="M1087" s="83"/>
      <c r="N1087" s="83"/>
      <c r="O1087" s="83"/>
      <c r="P1087" s="83"/>
      <c r="Q1087" s="83"/>
      <c r="R1087" s="83"/>
      <c r="S1087" s="83"/>
    </row>
    <row r="1088" spans="5:19" x14ac:dyDescent="0.25">
      <c r="E1088" s="172"/>
      <c r="J1088" s="285"/>
      <c r="K1088" s="285"/>
      <c r="L1088" s="285"/>
      <c r="M1088" s="285"/>
      <c r="N1088" s="285"/>
      <c r="O1088" s="285"/>
      <c r="P1088" s="285"/>
      <c r="Q1088" s="285"/>
      <c r="R1088" s="285"/>
      <c r="S1088" s="285"/>
    </row>
    <row r="1089" spans="5:19" x14ac:dyDescent="0.25">
      <c r="E1089" s="172" t="s">
        <v>631</v>
      </c>
      <c r="J1089" s="285"/>
      <c r="K1089" s="285"/>
      <c r="L1089" s="285"/>
      <c r="M1089" s="285"/>
      <c r="N1089" s="285"/>
      <c r="O1089" s="285"/>
      <c r="P1089" s="285"/>
      <c r="Q1089" s="285"/>
      <c r="R1089" s="285"/>
      <c r="S1089" s="285"/>
    </row>
    <row r="1090" spans="5:19" x14ac:dyDescent="0.25">
      <c r="F1090" s="166" t="s">
        <v>52</v>
      </c>
      <c r="G1090" s="166" t="s">
        <v>111</v>
      </c>
      <c r="H1090" s="166"/>
      <c r="I1090" s="201"/>
      <c r="J1090" s="242"/>
      <c r="K1090" s="283"/>
      <c r="L1090" s="242"/>
      <c r="M1090" s="242"/>
      <c r="N1090" s="242"/>
      <c r="O1090" s="242"/>
      <c r="P1090" s="242"/>
      <c r="Q1090" s="242"/>
      <c r="R1090" s="242"/>
      <c r="S1090" s="242"/>
    </row>
    <row r="1091" spans="5:19" x14ac:dyDescent="0.25">
      <c r="F1091" s="167" t="s">
        <v>53</v>
      </c>
      <c r="G1091" s="160" t="s">
        <v>111</v>
      </c>
      <c r="J1091" s="81"/>
      <c r="K1091" s="284"/>
      <c r="L1091" s="81"/>
      <c r="M1091" s="81"/>
      <c r="N1091" s="81"/>
      <c r="O1091" s="81"/>
      <c r="P1091" s="81"/>
      <c r="Q1091" s="81"/>
      <c r="R1091" s="81"/>
      <c r="S1091" s="81"/>
    </row>
    <row r="1092" spans="5:19" x14ac:dyDescent="0.25">
      <c r="F1092" s="167" t="s">
        <v>84</v>
      </c>
      <c r="G1092" s="160" t="s">
        <v>111</v>
      </c>
      <c r="J1092" s="81"/>
      <c r="K1092" s="284"/>
      <c r="L1092" s="81"/>
      <c r="M1092" s="81"/>
      <c r="N1092" s="81"/>
      <c r="O1092" s="81"/>
      <c r="P1092" s="81"/>
      <c r="Q1092" s="81"/>
      <c r="R1092" s="81"/>
      <c r="S1092" s="81"/>
    </row>
    <row r="1093" spans="5:19" x14ac:dyDescent="0.25">
      <c r="F1093" s="167" t="s">
        <v>54</v>
      </c>
      <c r="G1093" s="160" t="s">
        <v>111</v>
      </c>
      <c r="J1093" s="81"/>
      <c r="K1093" s="284"/>
      <c r="L1093" s="81"/>
      <c r="M1093" s="81"/>
      <c r="N1093" s="81"/>
      <c r="O1093" s="81"/>
      <c r="P1093" s="81"/>
      <c r="Q1093" s="81"/>
      <c r="R1093" s="81"/>
      <c r="S1093" s="81"/>
    </row>
    <row r="1094" spans="5:19" x14ac:dyDescent="0.25">
      <c r="F1094" s="167" t="s">
        <v>55</v>
      </c>
      <c r="G1094" s="160" t="s">
        <v>111</v>
      </c>
      <c r="J1094" s="81"/>
      <c r="K1094" s="284"/>
      <c r="L1094" s="81"/>
      <c r="M1094" s="81"/>
      <c r="N1094" s="81"/>
      <c r="O1094" s="81"/>
      <c r="P1094" s="81"/>
      <c r="Q1094" s="81"/>
      <c r="R1094" s="81"/>
      <c r="S1094" s="81"/>
    </row>
    <row r="1095" spans="5:19" x14ac:dyDescent="0.25">
      <c r="F1095" s="167" t="s">
        <v>85</v>
      </c>
      <c r="G1095" s="160" t="s">
        <v>111</v>
      </c>
      <c r="J1095" s="81"/>
      <c r="K1095" s="284"/>
      <c r="L1095" s="81"/>
      <c r="M1095" s="81"/>
      <c r="N1095" s="81"/>
      <c r="O1095" s="81"/>
      <c r="P1095" s="81"/>
      <c r="Q1095" s="81"/>
      <c r="R1095" s="81"/>
      <c r="S1095" s="81"/>
    </row>
    <row r="1096" spans="5:19" x14ac:dyDescent="0.25">
      <c r="F1096" s="167" t="s">
        <v>56</v>
      </c>
      <c r="G1096" s="160" t="s">
        <v>111</v>
      </c>
      <c r="J1096" s="81"/>
      <c r="K1096" s="284"/>
      <c r="L1096" s="81"/>
      <c r="M1096" s="81"/>
      <c r="N1096" s="81"/>
      <c r="O1096" s="81"/>
      <c r="P1096" s="81"/>
      <c r="Q1096" s="81"/>
      <c r="R1096" s="81"/>
      <c r="S1096" s="81"/>
    </row>
    <row r="1097" spans="5:19" x14ac:dyDescent="0.25">
      <c r="F1097" s="167" t="s">
        <v>57</v>
      </c>
      <c r="G1097" s="160" t="s">
        <v>111</v>
      </c>
      <c r="J1097" s="81"/>
      <c r="K1097" s="284"/>
      <c r="L1097" s="81"/>
      <c r="M1097" s="81"/>
      <c r="N1097" s="81"/>
      <c r="O1097" s="81"/>
      <c r="P1097" s="81"/>
      <c r="Q1097" s="81"/>
      <c r="R1097" s="81"/>
      <c r="S1097" s="81"/>
    </row>
    <row r="1098" spans="5:19" x14ac:dyDescent="0.25">
      <c r="F1098" s="167" t="s">
        <v>72</v>
      </c>
      <c r="G1098" s="160" t="s">
        <v>111</v>
      </c>
      <c r="J1098" s="81"/>
      <c r="K1098" s="284"/>
      <c r="L1098" s="81"/>
      <c r="M1098" s="81"/>
      <c r="N1098" s="81"/>
      <c r="O1098" s="81"/>
      <c r="P1098" s="81"/>
      <c r="Q1098" s="81"/>
      <c r="R1098" s="81"/>
      <c r="S1098" s="81"/>
    </row>
    <row r="1099" spans="5:19" x14ac:dyDescent="0.25">
      <c r="F1099" s="167" t="s">
        <v>58</v>
      </c>
      <c r="G1099" s="160" t="s">
        <v>111</v>
      </c>
      <c r="J1099" s="81"/>
      <c r="K1099" s="284"/>
      <c r="L1099" s="81"/>
      <c r="M1099" s="81"/>
      <c r="N1099" s="81"/>
      <c r="O1099" s="81"/>
      <c r="P1099" s="81"/>
      <c r="Q1099" s="81"/>
      <c r="R1099" s="81"/>
      <c r="S1099" s="81"/>
    </row>
    <row r="1100" spans="5:19" x14ac:dyDescent="0.25">
      <c r="F1100" s="167" t="s">
        <v>59</v>
      </c>
      <c r="G1100" s="160" t="s">
        <v>111</v>
      </c>
      <c r="J1100" s="81"/>
      <c r="K1100" s="284"/>
      <c r="L1100" s="81"/>
      <c r="M1100" s="81"/>
      <c r="N1100" s="81"/>
      <c r="O1100" s="81"/>
      <c r="P1100" s="81"/>
      <c r="Q1100" s="81"/>
      <c r="R1100" s="81"/>
      <c r="S1100" s="81"/>
    </row>
    <row r="1101" spans="5:19" x14ac:dyDescent="0.25">
      <c r="F1101" s="167" t="s">
        <v>60</v>
      </c>
      <c r="G1101" s="160" t="s">
        <v>111</v>
      </c>
      <c r="J1101" s="81"/>
      <c r="K1101" s="284"/>
      <c r="L1101" s="81"/>
      <c r="M1101" s="81"/>
      <c r="N1101" s="81"/>
      <c r="O1101" s="81"/>
      <c r="P1101" s="81"/>
      <c r="Q1101" s="81"/>
      <c r="R1101" s="81"/>
      <c r="S1101" s="81"/>
    </row>
    <row r="1102" spans="5:19" x14ac:dyDescent="0.25">
      <c r="F1102" s="167" t="s">
        <v>61</v>
      </c>
      <c r="G1102" s="160" t="s">
        <v>111</v>
      </c>
      <c r="J1102" s="81"/>
      <c r="K1102" s="284"/>
      <c r="L1102" s="81"/>
      <c r="M1102" s="81"/>
      <c r="N1102" s="81"/>
      <c r="O1102" s="81"/>
      <c r="P1102" s="81"/>
      <c r="Q1102" s="81"/>
      <c r="R1102" s="81"/>
      <c r="S1102" s="81"/>
    </row>
    <row r="1103" spans="5:19" x14ac:dyDescent="0.25">
      <c r="F1103" s="167" t="s">
        <v>73</v>
      </c>
      <c r="G1103" s="160" t="s">
        <v>111</v>
      </c>
      <c r="J1103" s="81"/>
      <c r="K1103" s="284"/>
      <c r="L1103" s="81"/>
      <c r="M1103" s="81"/>
      <c r="N1103" s="81"/>
      <c r="O1103" s="81"/>
      <c r="P1103" s="81"/>
      <c r="Q1103" s="81"/>
      <c r="R1103" s="81"/>
      <c r="S1103" s="81"/>
    </row>
    <row r="1104" spans="5:19" x14ac:dyDescent="0.25">
      <c r="F1104" s="167" t="s">
        <v>86</v>
      </c>
      <c r="G1104" s="160" t="s">
        <v>111</v>
      </c>
      <c r="J1104" s="81"/>
      <c r="K1104" s="284"/>
      <c r="L1104" s="81"/>
      <c r="M1104" s="81"/>
      <c r="N1104" s="81"/>
      <c r="O1104" s="81"/>
      <c r="P1104" s="81"/>
      <c r="Q1104" s="81"/>
      <c r="R1104" s="81"/>
      <c r="S1104" s="81"/>
    </row>
    <row r="1105" spans="6:19" x14ac:dyDescent="0.25">
      <c r="F1105" s="167" t="s">
        <v>87</v>
      </c>
      <c r="G1105" s="160" t="s">
        <v>111</v>
      </c>
      <c r="J1105" s="81"/>
      <c r="K1105" s="284"/>
      <c r="L1105" s="81"/>
      <c r="M1105" s="81"/>
      <c r="N1105" s="81"/>
      <c r="O1105" s="81"/>
      <c r="P1105" s="81"/>
      <c r="Q1105" s="81"/>
      <c r="R1105" s="81"/>
      <c r="S1105" s="81"/>
    </row>
    <row r="1106" spans="6:19" x14ac:dyDescent="0.25">
      <c r="F1106" s="167" t="s">
        <v>88</v>
      </c>
      <c r="G1106" s="160" t="s">
        <v>111</v>
      </c>
      <c r="J1106" s="81"/>
      <c r="K1106" s="284"/>
      <c r="L1106" s="81"/>
      <c r="M1106" s="81"/>
      <c r="N1106" s="81"/>
      <c r="O1106" s="81"/>
      <c r="P1106" s="81"/>
      <c r="Q1106" s="81"/>
      <c r="R1106" s="81"/>
      <c r="S1106" s="81"/>
    </row>
    <row r="1107" spans="6:19" x14ac:dyDescent="0.25">
      <c r="F1107" s="167" t="s">
        <v>89</v>
      </c>
      <c r="G1107" s="160" t="s">
        <v>111</v>
      </c>
      <c r="J1107" s="81"/>
      <c r="K1107" s="284"/>
      <c r="L1107" s="81"/>
      <c r="M1107" s="81"/>
      <c r="N1107" s="81"/>
      <c r="O1107" s="81"/>
      <c r="P1107" s="81"/>
      <c r="Q1107" s="81"/>
      <c r="R1107" s="81"/>
      <c r="S1107" s="81"/>
    </row>
    <row r="1108" spans="6:19" x14ac:dyDescent="0.25">
      <c r="F1108" s="167" t="s">
        <v>90</v>
      </c>
      <c r="G1108" s="160" t="s">
        <v>111</v>
      </c>
      <c r="J1108" s="81"/>
      <c r="K1108" s="284"/>
      <c r="L1108" s="81"/>
      <c r="M1108" s="81"/>
      <c r="N1108" s="81"/>
      <c r="O1108" s="81"/>
      <c r="P1108" s="81"/>
      <c r="Q1108" s="81"/>
      <c r="R1108" s="81"/>
      <c r="S1108" s="81"/>
    </row>
    <row r="1109" spans="6:19" x14ac:dyDescent="0.25">
      <c r="F1109" s="167" t="s">
        <v>62</v>
      </c>
      <c r="G1109" s="160" t="s">
        <v>111</v>
      </c>
      <c r="J1109" s="81"/>
      <c r="K1109" s="284"/>
      <c r="L1109" s="81"/>
      <c r="M1109" s="81"/>
      <c r="N1109" s="81"/>
      <c r="O1109" s="81"/>
      <c r="P1109" s="81"/>
      <c r="Q1109" s="81"/>
      <c r="R1109" s="81"/>
      <c r="S1109" s="81"/>
    </row>
    <row r="1110" spans="6:19" x14ac:dyDescent="0.25">
      <c r="F1110" s="167" t="s">
        <v>63</v>
      </c>
      <c r="G1110" s="160" t="s">
        <v>111</v>
      </c>
      <c r="J1110" s="81"/>
      <c r="K1110" s="284"/>
      <c r="L1110" s="81"/>
      <c r="M1110" s="81"/>
      <c r="N1110" s="81"/>
      <c r="O1110" s="81"/>
      <c r="P1110" s="81"/>
      <c r="Q1110" s="81"/>
      <c r="R1110" s="81"/>
      <c r="S1110" s="81"/>
    </row>
    <row r="1111" spans="6:19" x14ac:dyDescent="0.25">
      <c r="F1111" s="167" t="s">
        <v>64</v>
      </c>
      <c r="G1111" s="160" t="s">
        <v>111</v>
      </c>
      <c r="J1111" s="81"/>
      <c r="K1111" s="284"/>
      <c r="L1111" s="81"/>
      <c r="M1111" s="81"/>
      <c r="N1111" s="81"/>
      <c r="O1111" s="81"/>
      <c r="P1111" s="81"/>
      <c r="Q1111" s="81"/>
      <c r="R1111" s="81"/>
      <c r="S1111" s="81"/>
    </row>
    <row r="1112" spans="6:19" x14ac:dyDescent="0.25">
      <c r="F1112" s="167" t="s">
        <v>65</v>
      </c>
      <c r="G1112" s="160" t="s">
        <v>111</v>
      </c>
      <c r="J1112" s="81"/>
      <c r="K1112" s="284"/>
      <c r="L1112" s="81"/>
      <c r="M1112" s="81"/>
      <c r="N1112" s="81"/>
      <c r="O1112" s="81"/>
      <c r="P1112" s="81"/>
      <c r="Q1112" s="81"/>
      <c r="R1112" s="81"/>
      <c r="S1112" s="81"/>
    </row>
    <row r="1113" spans="6:19" x14ac:dyDescent="0.25">
      <c r="F1113" s="167" t="s">
        <v>66</v>
      </c>
      <c r="G1113" s="160" t="s">
        <v>111</v>
      </c>
      <c r="J1113" s="81"/>
      <c r="K1113" s="284"/>
      <c r="L1113" s="81"/>
      <c r="M1113" s="81"/>
      <c r="N1113" s="81"/>
      <c r="O1113" s="81"/>
      <c r="P1113" s="81"/>
      <c r="Q1113" s="81"/>
      <c r="R1113" s="81"/>
      <c r="S1113" s="81"/>
    </row>
    <row r="1114" spans="6:19" x14ac:dyDescent="0.25">
      <c r="F1114" s="167" t="s">
        <v>67</v>
      </c>
      <c r="G1114" s="160" t="s">
        <v>111</v>
      </c>
      <c r="J1114" s="81"/>
      <c r="K1114" s="284"/>
      <c r="L1114" s="81"/>
      <c r="M1114" s="81"/>
      <c r="N1114" s="81"/>
      <c r="O1114" s="81"/>
      <c r="P1114" s="81"/>
      <c r="Q1114" s="81"/>
      <c r="R1114" s="81"/>
      <c r="S1114" s="81"/>
    </row>
    <row r="1115" spans="6:19" x14ac:dyDescent="0.25">
      <c r="F1115" s="167" t="s">
        <v>68</v>
      </c>
      <c r="G1115" s="160" t="s">
        <v>111</v>
      </c>
      <c r="J1115" s="81"/>
      <c r="K1115" s="284"/>
      <c r="L1115" s="81"/>
      <c r="M1115" s="81"/>
      <c r="N1115" s="81"/>
      <c r="O1115" s="81"/>
      <c r="P1115" s="81"/>
      <c r="Q1115" s="81"/>
      <c r="R1115" s="81"/>
      <c r="S1115" s="81"/>
    </row>
    <row r="1116" spans="6:19" x14ac:dyDescent="0.25">
      <c r="F1116" s="167" t="s">
        <v>69</v>
      </c>
      <c r="G1116" s="160" t="s">
        <v>111</v>
      </c>
      <c r="J1116" s="81"/>
      <c r="K1116" s="284"/>
      <c r="L1116" s="81"/>
      <c r="M1116" s="81"/>
      <c r="N1116" s="81"/>
      <c r="O1116" s="81"/>
      <c r="P1116" s="81"/>
      <c r="Q1116" s="81"/>
      <c r="R1116" s="81"/>
      <c r="S1116" s="81"/>
    </row>
    <row r="1117" spans="6:19" x14ac:dyDescent="0.25">
      <c r="F1117" s="167" t="s">
        <v>70</v>
      </c>
      <c r="G1117" s="160" t="s">
        <v>111</v>
      </c>
      <c r="J1117" s="81"/>
      <c r="K1117" s="284"/>
      <c r="L1117" s="81"/>
      <c r="M1117" s="81"/>
      <c r="N1117" s="81"/>
      <c r="O1117" s="81"/>
      <c r="P1117" s="81"/>
      <c r="Q1117" s="81"/>
      <c r="R1117" s="81"/>
      <c r="S1117" s="81"/>
    </row>
    <row r="1118" spans="6:19" x14ac:dyDescent="0.25">
      <c r="F1118" s="167" t="s">
        <v>71</v>
      </c>
      <c r="G1118" s="160" t="s">
        <v>111</v>
      </c>
      <c r="J1118" s="81"/>
      <c r="K1118" s="284"/>
      <c r="L1118" s="81"/>
      <c r="M1118" s="81"/>
      <c r="N1118" s="81"/>
      <c r="O1118" s="81"/>
      <c r="P1118" s="81"/>
      <c r="Q1118" s="81"/>
      <c r="R1118" s="81"/>
      <c r="S1118" s="81"/>
    </row>
    <row r="1119" spans="6:19" x14ac:dyDescent="0.25">
      <c r="F1119" s="167" t="s">
        <v>74</v>
      </c>
      <c r="G1119" s="160" t="s">
        <v>111</v>
      </c>
      <c r="J1119" s="81"/>
      <c r="K1119" s="284"/>
      <c r="L1119" s="81"/>
      <c r="M1119" s="81"/>
      <c r="N1119" s="81"/>
      <c r="O1119" s="81"/>
      <c r="P1119" s="81"/>
      <c r="Q1119" s="81"/>
      <c r="R1119" s="81"/>
      <c r="S1119" s="81"/>
    </row>
    <row r="1120" spans="6:19" x14ac:dyDescent="0.25">
      <c r="F1120" s="167" t="s">
        <v>75</v>
      </c>
      <c r="G1120" s="160" t="s">
        <v>111</v>
      </c>
      <c r="J1120" s="81"/>
      <c r="K1120" s="284"/>
      <c r="L1120" s="81"/>
      <c r="M1120" s="81"/>
      <c r="N1120" s="81"/>
      <c r="O1120" s="81"/>
      <c r="P1120" s="81"/>
      <c r="Q1120" s="81"/>
      <c r="R1120" s="81"/>
      <c r="S1120" s="81"/>
    </row>
    <row r="1121" spans="5:19" x14ac:dyDescent="0.25">
      <c r="F1121" s="167" t="s">
        <v>76</v>
      </c>
      <c r="G1121" s="160" t="s">
        <v>111</v>
      </c>
      <c r="J1121" s="81"/>
      <c r="K1121" s="284"/>
      <c r="L1121" s="81"/>
      <c r="M1121" s="81"/>
      <c r="N1121" s="81"/>
      <c r="O1121" s="81"/>
      <c r="P1121" s="81"/>
      <c r="Q1121" s="81"/>
      <c r="R1121" s="81"/>
      <c r="S1121" s="81"/>
    </row>
    <row r="1122" spans="5:19" x14ac:dyDescent="0.25">
      <c r="F1122" s="168" t="s">
        <v>77</v>
      </c>
      <c r="G1122" s="168" t="s">
        <v>111</v>
      </c>
      <c r="H1122" s="168"/>
      <c r="I1122" s="262"/>
      <c r="J1122" s="83"/>
      <c r="K1122" s="286"/>
      <c r="L1122" s="83"/>
      <c r="M1122" s="83"/>
      <c r="N1122" s="83"/>
      <c r="O1122" s="83"/>
      <c r="P1122" s="83"/>
      <c r="Q1122" s="83"/>
      <c r="R1122" s="83"/>
      <c r="S1122" s="83"/>
    </row>
    <row r="1123" spans="5:19" x14ac:dyDescent="0.25">
      <c r="E1123" s="172"/>
      <c r="J1123" s="285"/>
      <c r="K1123" s="285"/>
      <c r="L1123" s="285"/>
      <c r="M1123" s="285"/>
      <c r="N1123" s="285"/>
      <c r="O1123" s="285"/>
      <c r="P1123" s="285"/>
      <c r="Q1123" s="285"/>
      <c r="R1123" s="285"/>
      <c r="S1123" s="285"/>
    </row>
    <row r="1124" spans="5:19" x14ac:dyDescent="0.25">
      <c r="E1124" s="172" t="s">
        <v>103</v>
      </c>
      <c r="J1124" s="285"/>
      <c r="K1124" s="285"/>
      <c r="L1124" s="285"/>
      <c r="M1124" s="285"/>
      <c r="N1124" s="285"/>
      <c r="O1124" s="285"/>
      <c r="P1124" s="285"/>
      <c r="Q1124" s="285"/>
      <c r="R1124" s="285"/>
      <c r="S1124" s="285"/>
    </row>
    <row r="1125" spans="5:19" x14ac:dyDescent="0.25">
      <c r="F1125" s="166" t="s">
        <v>52</v>
      </c>
      <c r="G1125" s="166" t="s">
        <v>111</v>
      </c>
      <c r="H1125" s="166"/>
      <c r="I1125" s="201"/>
      <c r="J1125" s="242"/>
      <c r="K1125" s="283"/>
      <c r="L1125" s="242"/>
      <c r="M1125" s="242"/>
      <c r="N1125" s="242"/>
      <c r="O1125" s="242"/>
      <c r="P1125" s="242"/>
      <c r="Q1125" s="242"/>
      <c r="R1125" s="242"/>
      <c r="S1125" s="242"/>
    </row>
    <row r="1126" spans="5:19" x14ac:dyDescent="0.25">
      <c r="F1126" s="167" t="s">
        <v>53</v>
      </c>
      <c r="G1126" s="160" t="s">
        <v>111</v>
      </c>
      <c r="J1126" s="81"/>
      <c r="K1126" s="284"/>
      <c r="L1126" s="81"/>
      <c r="M1126" s="81"/>
      <c r="N1126" s="81"/>
      <c r="O1126" s="81"/>
      <c r="P1126" s="81"/>
      <c r="Q1126" s="81"/>
      <c r="R1126" s="81"/>
      <c r="S1126" s="81"/>
    </row>
    <row r="1127" spans="5:19" x14ac:dyDescent="0.25">
      <c r="F1127" s="167" t="s">
        <v>84</v>
      </c>
      <c r="G1127" s="160" t="s">
        <v>111</v>
      </c>
      <c r="J1127" s="81"/>
      <c r="K1127" s="284"/>
      <c r="L1127" s="81"/>
      <c r="M1127" s="81"/>
      <c r="N1127" s="81"/>
      <c r="O1127" s="81"/>
      <c r="P1127" s="81"/>
      <c r="Q1127" s="81"/>
      <c r="R1127" s="81"/>
      <c r="S1127" s="81"/>
    </row>
    <row r="1128" spans="5:19" x14ac:dyDescent="0.25">
      <c r="F1128" s="167" t="s">
        <v>54</v>
      </c>
      <c r="G1128" s="160" t="s">
        <v>111</v>
      </c>
      <c r="J1128" s="81"/>
      <c r="K1128" s="284"/>
      <c r="L1128" s="81"/>
      <c r="M1128" s="81"/>
      <c r="N1128" s="81"/>
      <c r="O1128" s="81"/>
      <c r="P1128" s="81"/>
      <c r="Q1128" s="81"/>
      <c r="R1128" s="81"/>
      <c r="S1128" s="81"/>
    </row>
    <row r="1129" spans="5:19" x14ac:dyDescent="0.25">
      <c r="F1129" s="167" t="s">
        <v>55</v>
      </c>
      <c r="G1129" s="160" t="s">
        <v>111</v>
      </c>
      <c r="J1129" s="81"/>
      <c r="K1129" s="284"/>
      <c r="L1129" s="81"/>
      <c r="M1129" s="81"/>
      <c r="N1129" s="81"/>
      <c r="O1129" s="81"/>
      <c r="P1129" s="81"/>
      <c r="Q1129" s="81"/>
      <c r="R1129" s="81"/>
      <c r="S1129" s="81"/>
    </row>
    <row r="1130" spans="5:19" x14ac:dyDescent="0.25">
      <c r="F1130" s="167" t="s">
        <v>85</v>
      </c>
      <c r="G1130" s="160" t="s">
        <v>111</v>
      </c>
      <c r="J1130" s="81"/>
      <c r="K1130" s="284"/>
      <c r="L1130" s="81"/>
      <c r="M1130" s="81"/>
      <c r="N1130" s="81"/>
      <c r="O1130" s="81"/>
      <c r="P1130" s="81"/>
      <c r="Q1130" s="81"/>
      <c r="R1130" s="81"/>
      <c r="S1130" s="81"/>
    </row>
    <row r="1131" spans="5:19" x14ac:dyDescent="0.25">
      <c r="F1131" s="167" t="s">
        <v>56</v>
      </c>
      <c r="G1131" s="160" t="s">
        <v>111</v>
      </c>
      <c r="J1131" s="81"/>
      <c r="K1131" s="284"/>
      <c r="L1131" s="81"/>
      <c r="M1131" s="81"/>
      <c r="N1131" s="81"/>
      <c r="O1131" s="81"/>
      <c r="P1131" s="81"/>
      <c r="Q1131" s="81"/>
      <c r="R1131" s="81"/>
      <c r="S1131" s="81"/>
    </row>
    <row r="1132" spans="5:19" x14ac:dyDescent="0.25">
      <c r="F1132" s="167" t="s">
        <v>57</v>
      </c>
      <c r="G1132" s="160" t="s">
        <v>111</v>
      </c>
      <c r="J1132" s="81"/>
      <c r="K1132" s="284"/>
      <c r="L1132" s="81"/>
      <c r="M1132" s="81"/>
      <c r="N1132" s="81"/>
      <c r="O1132" s="81"/>
      <c r="P1132" s="81"/>
      <c r="Q1132" s="81"/>
      <c r="R1132" s="81"/>
      <c r="S1132" s="81"/>
    </row>
    <row r="1133" spans="5:19" x14ac:dyDescent="0.25">
      <c r="F1133" s="167" t="s">
        <v>72</v>
      </c>
      <c r="G1133" s="160" t="s">
        <v>111</v>
      </c>
      <c r="J1133" s="81"/>
      <c r="K1133" s="284"/>
      <c r="L1133" s="81"/>
      <c r="M1133" s="81"/>
      <c r="N1133" s="81"/>
      <c r="O1133" s="81"/>
      <c r="P1133" s="81"/>
      <c r="Q1133" s="81"/>
      <c r="R1133" s="81"/>
      <c r="S1133" s="81"/>
    </row>
    <row r="1134" spans="5:19" x14ac:dyDescent="0.25">
      <c r="F1134" s="167" t="s">
        <v>58</v>
      </c>
      <c r="G1134" s="160" t="s">
        <v>111</v>
      </c>
      <c r="J1134" s="328">
        <f>CHOOSE(year_selection, L1134,M1134,N1134,O1134,P1134,Q1134,R1134,S1134)</f>
        <v>1</v>
      </c>
      <c r="K1134" s="285"/>
      <c r="L1134" s="523">
        <v>1</v>
      </c>
      <c r="M1134" s="523">
        <v>1</v>
      </c>
      <c r="N1134" s="523">
        <v>1</v>
      </c>
      <c r="O1134" s="523">
        <v>1</v>
      </c>
      <c r="P1134" s="523">
        <v>1</v>
      </c>
      <c r="Q1134" s="523">
        <v>1</v>
      </c>
      <c r="R1134" s="523">
        <v>1</v>
      </c>
      <c r="S1134" s="523">
        <v>1</v>
      </c>
    </row>
    <row r="1135" spans="5:19" x14ac:dyDescent="0.25">
      <c r="F1135" s="167" t="s">
        <v>59</v>
      </c>
      <c r="G1135" s="160" t="s">
        <v>111</v>
      </c>
      <c r="J1135" s="328">
        <f>CHOOSE(year_selection, L1135,M1135,N1135,O1135,P1135,Q1135,R1135,S1135)</f>
        <v>1</v>
      </c>
      <c r="K1135" s="285"/>
      <c r="L1135" s="523">
        <v>1</v>
      </c>
      <c r="M1135" s="523">
        <v>1</v>
      </c>
      <c r="N1135" s="523">
        <v>1</v>
      </c>
      <c r="O1135" s="523">
        <v>1</v>
      </c>
      <c r="P1135" s="523">
        <v>1</v>
      </c>
      <c r="Q1135" s="523">
        <v>1</v>
      </c>
      <c r="R1135" s="523">
        <v>1</v>
      </c>
      <c r="S1135" s="523">
        <v>1</v>
      </c>
    </row>
    <row r="1136" spans="5:19" x14ac:dyDescent="0.25">
      <c r="F1136" s="167" t="s">
        <v>60</v>
      </c>
      <c r="G1136" s="160" t="s">
        <v>111</v>
      </c>
      <c r="J1136" s="328">
        <f>CHOOSE(year_selection, L1136,M1136,N1136,O1136,P1136,Q1136,R1136,S1136)</f>
        <v>1</v>
      </c>
      <c r="K1136" s="285"/>
      <c r="L1136" s="523">
        <v>1</v>
      </c>
      <c r="M1136" s="523">
        <v>1</v>
      </c>
      <c r="N1136" s="523">
        <v>1</v>
      </c>
      <c r="O1136" s="523">
        <v>1</v>
      </c>
      <c r="P1136" s="523">
        <v>1</v>
      </c>
      <c r="Q1136" s="523">
        <v>1</v>
      </c>
      <c r="R1136" s="523">
        <v>1</v>
      </c>
      <c r="S1136" s="523">
        <v>1</v>
      </c>
    </row>
    <row r="1137" spans="6:19" x14ac:dyDescent="0.25">
      <c r="F1137" s="167" t="s">
        <v>61</v>
      </c>
      <c r="G1137" s="160" t="s">
        <v>111</v>
      </c>
      <c r="J1137" s="328">
        <f>CHOOSE(year_selection, L1137,M1137,N1137,O1137,P1137,Q1137,R1137,S1137)</f>
        <v>1</v>
      </c>
      <c r="K1137" s="285"/>
      <c r="L1137" s="523">
        <v>1</v>
      </c>
      <c r="M1137" s="523">
        <v>1</v>
      </c>
      <c r="N1137" s="523">
        <v>1</v>
      </c>
      <c r="O1137" s="523">
        <v>1</v>
      </c>
      <c r="P1137" s="523">
        <v>1</v>
      </c>
      <c r="Q1137" s="523">
        <v>1</v>
      </c>
      <c r="R1137" s="523">
        <v>1</v>
      </c>
      <c r="S1137" s="523">
        <v>1</v>
      </c>
    </row>
    <row r="1138" spans="6:19" x14ac:dyDescent="0.25">
      <c r="F1138" s="167" t="s">
        <v>73</v>
      </c>
      <c r="G1138" s="160" t="s">
        <v>111</v>
      </c>
      <c r="J1138" s="328">
        <f>CHOOSE(year_selection, L1138,M1138,N1138,O1138,P1138,Q1138,R1138,S1138)</f>
        <v>1</v>
      </c>
      <c r="K1138" s="285"/>
      <c r="L1138" s="523">
        <v>1</v>
      </c>
      <c r="M1138" s="523">
        <v>1</v>
      </c>
      <c r="N1138" s="523">
        <v>1</v>
      </c>
      <c r="O1138" s="523">
        <v>1</v>
      </c>
      <c r="P1138" s="523">
        <v>1</v>
      </c>
      <c r="Q1138" s="523">
        <v>1</v>
      </c>
      <c r="R1138" s="523">
        <v>1</v>
      </c>
      <c r="S1138" s="523">
        <v>1</v>
      </c>
    </row>
    <row r="1139" spans="6:19" x14ac:dyDescent="0.25">
      <c r="F1139" s="167" t="s">
        <v>86</v>
      </c>
      <c r="G1139" s="160" t="s">
        <v>111</v>
      </c>
      <c r="J1139" s="81"/>
      <c r="K1139" s="284"/>
      <c r="L1139" s="81"/>
      <c r="M1139" s="81"/>
      <c r="N1139" s="81"/>
      <c r="O1139" s="81"/>
      <c r="P1139" s="81"/>
      <c r="Q1139" s="81"/>
      <c r="R1139" s="81"/>
      <c r="S1139" s="81"/>
    </row>
    <row r="1140" spans="6:19" x14ac:dyDescent="0.25">
      <c r="F1140" s="167" t="s">
        <v>87</v>
      </c>
      <c r="G1140" s="160" t="s">
        <v>111</v>
      </c>
      <c r="J1140" s="81"/>
      <c r="K1140" s="284"/>
      <c r="L1140" s="81"/>
      <c r="M1140" s="81"/>
      <c r="N1140" s="81"/>
      <c r="O1140" s="81"/>
      <c r="P1140" s="81"/>
      <c r="Q1140" s="81"/>
      <c r="R1140" s="81"/>
      <c r="S1140" s="81"/>
    </row>
    <row r="1141" spans="6:19" x14ac:dyDescent="0.25">
      <c r="F1141" s="167" t="s">
        <v>88</v>
      </c>
      <c r="G1141" s="160" t="s">
        <v>111</v>
      </c>
      <c r="J1141" s="81"/>
      <c r="K1141" s="284"/>
      <c r="L1141" s="81"/>
      <c r="M1141" s="81"/>
      <c r="N1141" s="81"/>
      <c r="O1141" s="81"/>
      <c r="P1141" s="81"/>
      <c r="Q1141" s="81"/>
      <c r="R1141" s="81"/>
      <c r="S1141" s="81"/>
    </row>
    <row r="1142" spans="6:19" x14ac:dyDescent="0.25">
      <c r="F1142" s="167" t="s">
        <v>89</v>
      </c>
      <c r="G1142" s="160" t="s">
        <v>111</v>
      </c>
      <c r="J1142" s="81"/>
      <c r="K1142" s="284"/>
      <c r="L1142" s="81"/>
      <c r="M1142" s="81"/>
      <c r="N1142" s="81"/>
      <c r="O1142" s="81"/>
      <c r="P1142" s="81"/>
      <c r="Q1142" s="81"/>
      <c r="R1142" s="81"/>
      <c r="S1142" s="81"/>
    </row>
    <row r="1143" spans="6:19" x14ac:dyDescent="0.25">
      <c r="F1143" s="167" t="s">
        <v>90</v>
      </c>
      <c r="G1143" s="160" t="s">
        <v>111</v>
      </c>
      <c r="J1143" s="328">
        <f>CHOOSE(year_selection, L1143,M1143,N1143,O1143,P1143,Q1143,R1143,S1143)</f>
        <v>1</v>
      </c>
      <c r="K1143" s="285"/>
      <c r="L1143" s="523">
        <v>1</v>
      </c>
      <c r="M1143" s="523">
        <v>1</v>
      </c>
      <c r="N1143" s="523">
        <v>1</v>
      </c>
      <c r="O1143" s="523">
        <v>1</v>
      </c>
      <c r="P1143" s="523">
        <v>1</v>
      </c>
      <c r="Q1143" s="523">
        <v>1</v>
      </c>
      <c r="R1143" s="523">
        <v>1</v>
      </c>
      <c r="S1143" s="523">
        <v>1</v>
      </c>
    </row>
    <row r="1144" spans="6:19" x14ac:dyDescent="0.25">
      <c r="F1144" s="167" t="s">
        <v>62</v>
      </c>
      <c r="G1144" s="160" t="s">
        <v>111</v>
      </c>
      <c r="J1144" s="81"/>
      <c r="K1144" s="284"/>
      <c r="L1144" s="81"/>
      <c r="M1144" s="81"/>
      <c r="N1144" s="81"/>
      <c r="O1144" s="81"/>
      <c r="P1144" s="81"/>
      <c r="Q1144" s="81"/>
      <c r="R1144" s="81"/>
      <c r="S1144" s="81"/>
    </row>
    <row r="1145" spans="6:19" x14ac:dyDescent="0.25">
      <c r="F1145" s="167" t="s">
        <v>63</v>
      </c>
      <c r="G1145" s="160" t="s">
        <v>111</v>
      </c>
      <c r="J1145" s="81"/>
      <c r="K1145" s="284"/>
      <c r="L1145" s="81"/>
      <c r="M1145" s="81"/>
      <c r="N1145" s="81"/>
      <c r="O1145" s="81"/>
      <c r="P1145" s="81"/>
      <c r="Q1145" s="81"/>
      <c r="R1145" s="81"/>
      <c r="S1145" s="81"/>
    </row>
    <row r="1146" spans="6:19" x14ac:dyDescent="0.25">
      <c r="F1146" s="167" t="s">
        <v>64</v>
      </c>
      <c r="G1146" s="160" t="s">
        <v>111</v>
      </c>
      <c r="J1146" s="81"/>
      <c r="K1146" s="284"/>
      <c r="L1146" s="81"/>
      <c r="M1146" s="81"/>
      <c r="N1146" s="81"/>
      <c r="O1146" s="81"/>
      <c r="P1146" s="81"/>
      <c r="Q1146" s="81"/>
      <c r="R1146" s="81"/>
      <c r="S1146" s="81"/>
    </row>
    <row r="1147" spans="6:19" x14ac:dyDescent="0.25">
      <c r="F1147" s="167" t="s">
        <v>65</v>
      </c>
      <c r="G1147" s="160" t="s">
        <v>111</v>
      </c>
      <c r="J1147" s="81"/>
      <c r="K1147" s="284"/>
      <c r="L1147" s="81"/>
      <c r="M1147" s="81"/>
      <c r="N1147" s="81"/>
      <c r="O1147" s="81"/>
      <c r="P1147" s="81"/>
      <c r="Q1147" s="81"/>
      <c r="R1147" s="81"/>
      <c r="S1147" s="81"/>
    </row>
    <row r="1148" spans="6:19" x14ac:dyDescent="0.25">
      <c r="F1148" s="167" t="s">
        <v>66</v>
      </c>
      <c r="G1148" s="160" t="s">
        <v>111</v>
      </c>
      <c r="J1148" s="328">
        <f>CHOOSE(year_selection, L1148,M1148,N1148,O1148,P1148,Q1148,R1148,S1148)</f>
        <v>1</v>
      </c>
      <c r="K1148" s="285"/>
      <c r="L1148" s="523">
        <v>1</v>
      </c>
      <c r="M1148" s="523">
        <v>1</v>
      </c>
      <c r="N1148" s="523">
        <v>1</v>
      </c>
      <c r="O1148" s="523">
        <v>1</v>
      </c>
      <c r="P1148" s="523">
        <v>1</v>
      </c>
      <c r="Q1148" s="523">
        <v>1</v>
      </c>
      <c r="R1148" s="523">
        <v>1</v>
      </c>
      <c r="S1148" s="523">
        <v>1</v>
      </c>
    </row>
    <row r="1149" spans="6:19" x14ac:dyDescent="0.25">
      <c r="F1149" s="167" t="s">
        <v>67</v>
      </c>
      <c r="G1149" s="160" t="s">
        <v>111</v>
      </c>
      <c r="J1149" s="328">
        <f>CHOOSE(year_selection, L1149,M1149,N1149,O1149,P1149,Q1149,R1149,S1149)</f>
        <v>1</v>
      </c>
      <c r="K1149" s="285"/>
      <c r="L1149" s="523">
        <v>1</v>
      </c>
      <c r="M1149" s="523">
        <v>1</v>
      </c>
      <c r="N1149" s="523">
        <v>1</v>
      </c>
      <c r="O1149" s="523">
        <v>1</v>
      </c>
      <c r="P1149" s="523">
        <v>1</v>
      </c>
      <c r="Q1149" s="523">
        <v>1</v>
      </c>
      <c r="R1149" s="523">
        <v>1</v>
      </c>
      <c r="S1149" s="523">
        <v>1</v>
      </c>
    </row>
    <row r="1150" spans="6:19" x14ac:dyDescent="0.25">
      <c r="F1150" s="167" t="s">
        <v>68</v>
      </c>
      <c r="G1150" s="160" t="s">
        <v>111</v>
      </c>
      <c r="J1150" s="81"/>
      <c r="K1150" s="284"/>
      <c r="L1150" s="81"/>
      <c r="M1150" s="81"/>
      <c r="N1150" s="81"/>
      <c r="O1150" s="81"/>
      <c r="P1150" s="81"/>
      <c r="Q1150" s="81"/>
      <c r="R1150" s="81"/>
      <c r="S1150" s="81"/>
    </row>
    <row r="1151" spans="6:19" x14ac:dyDescent="0.25">
      <c r="F1151" s="167" t="s">
        <v>69</v>
      </c>
      <c r="G1151" s="160" t="s">
        <v>111</v>
      </c>
      <c r="J1151" s="81"/>
      <c r="K1151" s="284"/>
      <c r="L1151" s="81"/>
      <c r="M1151" s="81"/>
      <c r="N1151" s="81"/>
      <c r="O1151" s="81"/>
      <c r="P1151" s="81"/>
      <c r="Q1151" s="81"/>
      <c r="R1151" s="81"/>
      <c r="S1151" s="81"/>
    </row>
    <row r="1152" spans="6:19" x14ac:dyDescent="0.25">
      <c r="F1152" s="167" t="s">
        <v>70</v>
      </c>
      <c r="G1152" s="160" t="s">
        <v>111</v>
      </c>
      <c r="J1152" s="328">
        <f>CHOOSE(year_selection, L1152,M1152,N1152,O1152,P1152,Q1152,R1152,S1152)</f>
        <v>1</v>
      </c>
      <c r="K1152" s="285"/>
      <c r="L1152" s="523">
        <v>1</v>
      </c>
      <c r="M1152" s="523">
        <v>1</v>
      </c>
      <c r="N1152" s="523">
        <v>1</v>
      </c>
      <c r="O1152" s="523">
        <v>1</v>
      </c>
      <c r="P1152" s="523">
        <v>1</v>
      </c>
      <c r="Q1152" s="523">
        <v>1</v>
      </c>
      <c r="R1152" s="523">
        <v>1</v>
      </c>
      <c r="S1152" s="523">
        <v>1</v>
      </c>
    </row>
    <row r="1153" spans="1:49" x14ac:dyDescent="0.25">
      <c r="F1153" s="167" t="s">
        <v>71</v>
      </c>
      <c r="G1153" s="160" t="s">
        <v>111</v>
      </c>
      <c r="J1153" s="328">
        <f>CHOOSE(year_selection, L1153,M1153,N1153,O1153,P1153,Q1153,R1153,S1153)</f>
        <v>1</v>
      </c>
      <c r="K1153" s="285"/>
      <c r="L1153" s="523">
        <v>1</v>
      </c>
      <c r="M1153" s="523">
        <v>1</v>
      </c>
      <c r="N1153" s="523">
        <v>1</v>
      </c>
      <c r="O1153" s="523">
        <v>1</v>
      </c>
      <c r="P1153" s="523">
        <v>1</v>
      </c>
      <c r="Q1153" s="523">
        <v>1</v>
      </c>
      <c r="R1153" s="523">
        <v>1</v>
      </c>
      <c r="S1153" s="523">
        <v>1</v>
      </c>
    </row>
    <row r="1154" spans="1:49" x14ac:dyDescent="0.25">
      <c r="F1154" s="167" t="s">
        <v>74</v>
      </c>
      <c r="G1154" s="160" t="s">
        <v>111</v>
      </c>
      <c r="J1154" s="81"/>
      <c r="K1154" s="284"/>
      <c r="L1154" s="81"/>
      <c r="M1154" s="81"/>
      <c r="N1154" s="81"/>
      <c r="O1154" s="81"/>
      <c r="P1154" s="81"/>
      <c r="Q1154" s="81"/>
      <c r="R1154" s="81"/>
      <c r="S1154" s="81"/>
    </row>
    <row r="1155" spans="1:49" x14ac:dyDescent="0.25">
      <c r="F1155" s="167" t="s">
        <v>75</v>
      </c>
      <c r="G1155" s="160" t="s">
        <v>111</v>
      </c>
      <c r="J1155" s="81"/>
      <c r="K1155" s="284"/>
      <c r="L1155" s="81"/>
      <c r="M1155" s="81"/>
      <c r="N1155" s="81"/>
      <c r="O1155" s="81"/>
      <c r="P1155" s="81"/>
      <c r="Q1155" s="81"/>
      <c r="R1155" s="81"/>
      <c r="S1155" s="81"/>
    </row>
    <row r="1156" spans="1:49" x14ac:dyDescent="0.25">
      <c r="F1156" s="167" t="s">
        <v>76</v>
      </c>
      <c r="G1156" s="160" t="s">
        <v>111</v>
      </c>
      <c r="J1156" s="328">
        <f>CHOOSE(year_selection, L1156,M1156,N1156,O1156,P1156,Q1156,R1156,S1156)</f>
        <v>1</v>
      </c>
      <c r="K1156" s="285"/>
      <c r="L1156" s="523">
        <v>1</v>
      </c>
      <c r="M1156" s="523">
        <v>1</v>
      </c>
      <c r="N1156" s="523">
        <v>1</v>
      </c>
      <c r="O1156" s="523">
        <v>1</v>
      </c>
      <c r="P1156" s="523">
        <v>1</v>
      </c>
      <c r="Q1156" s="523">
        <v>1</v>
      </c>
      <c r="R1156" s="523">
        <v>1</v>
      </c>
      <c r="S1156" s="523">
        <v>1</v>
      </c>
    </row>
    <row r="1157" spans="1:49" x14ac:dyDescent="0.25">
      <c r="F1157" s="168" t="s">
        <v>77</v>
      </c>
      <c r="G1157" s="168" t="s">
        <v>111</v>
      </c>
      <c r="H1157" s="168"/>
      <c r="I1157" s="262"/>
      <c r="J1157" s="329">
        <f>CHOOSE(year_selection, L1157,M1157,N1157,O1157,P1157,Q1157,R1157,S1157)</f>
        <v>1</v>
      </c>
      <c r="K1157" s="286"/>
      <c r="L1157" s="524">
        <v>1</v>
      </c>
      <c r="M1157" s="524">
        <v>1</v>
      </c>
      <c r="N1157" s="524">
        <v>1</v>
      </c>
      <c r="O1157" s="524">
        <v>1</v>
      </c>
      <c r="P1157" s="524">
        <v>1</v>
      </c>
      <c r="Q1157" s="524">
        <v>1</v>
      </c>
      <c r="R1157" s="524">
        <v>1</v>
      </c>
      <c r="S1157" s="524">
        <v>1</v>
      </c>
    </row>
    <row r="1158" spans="1:49" x14ac:dyDescent="0.25">
      <c r="A1158" s="338"/>
      <c r="J1158" s="200"/>
      <c r="K1158" s="200"/>
      <c r="L1158" s="200"/>
      <c r="M1158" s="200"/>
      <c r="N1158" s="200"/>
      <c r="O1158" s="200"/>
      <c r="P1158" s="200"/>
      <c r="Q1158" s="200"/>
      <c r="R1158" s="200"/>
      <c r="S1158" s="200"/>
    </row>
    <row r="1159" spans="1:49" s="338" customFormat="1" x14ac:dyDescent="0.25">
      <c r="B1159" s="171" t="s">
        <v>560</v>
      </c>
      <c r="C1159" s="171"/>
      <c r="D1159" s="171"/>
      <c r="E1159" s="171"/>
      <c r="F1159" s="171"/>
      <c r="G1159" s="171"/>
      <c r="H1159" s="171"/>
      <c r="I1159" s="278"/>
      <c r="J1159" s="278"/>
      <c r="K1159" s="278"/>
      <c r="L1159" s="278"/>
      <c r="M1159" s="278"/>
      <c r="N1159" s="278"/>
      <c r="O1159" s="278"/>
      <c r="P1159" s="278"/>
      <c r="Q1159" s="278"/>
      <c r="R1159" s="278"/>
      <c r="S1159" s="278"/>
      <c r="T1159" s="171"/>
      <c r="U1159" s="171"/>
      <c r="W1159" s="171"/>
      <c r="X1159" s="171"/>
      <c r="Y1159" s="171"/>
      <c r="Z1159" s="171"/>
      <c r="AA1159" s="171"/>
      <c r="AB1159" s="171"/>
      <c r="AC1159" s="171"/>
      <c r="AD1159" s="171"/>
      <c r="AE1159" s="171"/>
      <c r="AF1159" s="171"/>
      <c r="AG1159" s="171"/>
      <c r="AH1159" s="171"/>
      <c r="AI1159" s="171"/>
      <c r="AJ1159" s="171"/>
      <c r="AK1159" s="171"/>
      <c r="AL1159" s="171"/>
      <c r="AM1159" s="171"/>
      <c r="AN1159" s="171"/>
      <c r="AO1159" s="171"/>
      <c r="AP1159" s="171"/>
      <c r="AQ1159" s="171"/>
      <c r="AR1159" s="171"/>
      <c r="AS1159" s="171"/>
      <c r="AT1159" s="171"/>
      <c r="AU1159" s="171"/>
      <c r="AV1159" s="171"/>
      <c r="AW1159" s="171"/>
    </row>
    <row r="1160" spans="1:49" s="338" customFormat="1" x14ac:dyDescent="0.25">
      <c r="D1160" s="35"/>
      <c r="I1160" s="200"/>
      <c r="J1160" s="200"/>
      <c r="K1160" s="200"/>
      <c r="L1160" s="200"/>
      <c r="M1160" s="200"/>
      <c r="N1160" s="200"/>
      <c r="O1160" s="200"/>
      <c r="P1160" s="200"/>
      <c r="Q1160" s="200"/>
      <c r="R1160" s="200"/>
      <c r="S1160" s="200"/>
    </row>
    <row r="1161" spans="1:49" s="338" customFormat="1" x14ac:dyDescent="0.25">
      <c r="C1161" s="152" t="s">
        <v>868</v>
      </c>
      <c r="I1161" s="200"/>
      <c r="J1161" s="200"/>
      <c r="K1161" s="200"/>
      <c r="L1161" s="200"/>
      <c r="M1161" s="200"/>
      <c r="N1161" s="200"/>
      <c r="O1161" s="200"/>
      <c r="P1161" s="200"/>
      <c r="Q1161" s="200"/>
      <c r="R1161" s="200"/>
      <c r="S1161" s="200"/>
    </row>
    <row r="1162" spans="1:49" s="338" customFormat="1" x14ac:dyDescent="0.25">
      <c r="D1162" s="35"/>
      <c r="I1162" s="200"/>
      <c r="J1162" s="200"/>
      <c r="K1162" s="200"/>
      <c r="L1162" s="200"/>
      <c r="M1162" s="200"/>
      <c r="N1162" s="200"/>
      <c r="O1162" s="200"/>
      <c r="P1162" s="200"/>
      <c r="Q1162" s="200"/>
      <c r="R1162" s="200"/>
      <c r="S1162" s="200"/>
    </row>
    <row r="1163" spans="1:49" s="338" customFormat="1" x14ac:dyDescent="0.25">
      <c r="C1163" s="22" t="str">
        <f ca="1">INDEX('Version control'!$H$34:$H$59,MATCH($A$1,'Version control'!$F$34:$F$59,0),1)&amp;"-I: LV customer service model asset values"</f>
        <v>Input 501-I: LV customer service model asset values</v>
      </c>
      <c r="D1163" s="22"/>
      <c r="E1163" s="22"/>
      <c r="F1163" s="22"/>
      <c r="G1163" s="22"/>
      <c r="H1163" s="22"/>
      <c r="I1163" s="296"/>
      <c r="J1163" s="22"/>
      <c r="K1163" s="22"/>
      <c r="L1163" s="22"/>
      <c r="M1163" s="22"/>
      <c r="N1163" s="22"/>
      <c r="O1163" s="22"/>
      <c r="P1163" s="22"/>
      <c r="Q1163" s="22"/>
      <c r="R1163" s="22"/>
      <c r="S1163" s="22"/>
      <c r="T1163" s="22"/>
      <c r="U1163" s="22"/>
    </row>
    <row r="1164" spans="1:49" s="338" customFormat="1" x14ac:dyDescent="0.25">
      <c r="I1164" s="200"/>
      <c r="J1164" s="285"/>
      <c r="K1164" s="285"/>
      <c r="L1164" s="285"/>
      <c r="M1164" s="285"/>
      <c r="N1164" s="285"/>
      <c r="O1164" s="285"/>
      <c r="P1164" s="285"/>
      <c r="Q1164" s="285"/>
      <c r="R1164" s="285"/>
      <c r="S1164" s="285"/>
    </row>
    <row r="1165" spans="1:49" s="338" customFormat="1" x14ac:dyDescent="0.25">
      <c r="E1165" s="172" t="s">
        <v>869</v>
      </c>
      <c r="I1165" s="200"/>
      <c r="J1165" s="200"/>
      <c r="K1165" s="200"/>
      <c r="L1165" s="200"/>
      <c r="M1165" s="200"/>
      <c r="N1165" s="200"/>
      <c r="O1165" s="200"/>
      <c r="P1165" s="200"/>
      <c r="Q1165" s="200"/>
      <c r="R1165" s="200"/>
      <c r="S1165" s="200"/>
    </row>
    <row r="1166" spans="1:49" s="338" customFormat="1" x14ac:dyDescent="0.25">
      <c r="F1166" s="166" t="s">
        <v>52</v>
      </c>
      <c r="G1166" s="166" t="s">
        <v>725</v>
      </c>
      <c r="H1166" s="166"/>
      <c r="I1166" s="201"/>
      <c r="J1166" s="395">
        <f t="shared" ref="J1166:J1178" si="88">CHOOSE(year_selection, L1166,M1166,N1166,O1166,P1166,Q1166,R1166,S1166)</f>
        <v>447.91694999999993</v>
      </c>
      <c r="K1166" s="396"/>
      <c r="L1166" s="525">
        <v>314.9975</v>
      </c>
      <c r="M1166" s="525">
        <v>324.44742499999995</v>
      </c>
      <c r="N1166" s="525">
        <v>356.99499999999995</v>
      </c>
      <c r="O1166" s="525">
        <v>447.91694999999993</v>
      </c>
      <c r="P1166" s="525">
        <f>O1166*1.033</f>
        <v>462.6982093499999</v>
      </c>
      <c r="Q1166" s="525">
        <f t="shared" ref="Q1166:S1166" si="89">P1166*1.033</f>
        <v>477.96725025854988</v>
      </c>
      <c r="R1166" s="525">
        <f t="shared" si="89"/>
        <v>493.74016951708199</v>
      </c>
      <c r="S1166" s="525">
        <f t="shared" si="89"/>
        <v>510.03359511114564</v>
      </c>
    </row>
    <row r="1167" spans="1:49" s="338" customFormat="1" x14ac:dyDescent="0.25">
      <c r="F1167" s="339" t="s">
        <v>53</v>
      </c>
      <c r="G1167" s="338" t="s">
        <v>725</v>
      </c>
      <c r="I1167" s="200"/>
      <c r="J1167" s="397">
        <f t="shared" si="88"/>
        <v>447.91694999999993</v>
      </c>
      <c r="K1167" s="407"/>
      <c r="L1167" s="526">
        <v>314.9975</v>
      </c>
      <c r="M1167" s="526">
        <v>324.44742499999995</v>
      </c>
      <c r="N1167" s="526">
        <v>356.99499999999995</v>
      </c>
      <c r="O1167" s="526">
        <v>447.91694999999993</v>
      </c>
      <c r="P1167" s="526">
        <f>O1167*1.033</f>
        <v>462.6982093499999</v>
      </c>
      <c r="Q1167" s="526">
        <f t="shared" ref="Q1167:S1167" si="90">P1167*1.033</f>
        <v>477.96725025854988</v>
      </c>
      <c r="R1167" s="526">
        <f t="shared" si="90"/>
        <v>493.74016951708199</v>
      </c>
      <c r="S1167" s="526">
        <f t="shared" si="90"/>
        <v>510.03359511114564</v>
      </c>
    </row>
    <row r="1168" spans="1:49" s="338" customFormat="1" x14ac:dyDescent="0.25">
      <c r="F1168" s="339" t="s">
        <v>84</v>
      </c>
      <c r="G1168" s="338" t="s">
        <v>725</v>
      </c>
      <c r="I1168" s="200"/>
      <c r="J1168" s="559"/>
      <c r="K1168" s="407"/>
      <c r="L1168" s="559"/>
      <c r="M1168" s="559"/>
      <c r="N1168" s="559"/>
      <c r="O1168" s="559"/>
      <c r="P1168" s="559"/>
      <c r="Q1168" s="559"/>
      <c r="R1168" s="559"/>
      <c r="S1168" s="559"/>
    </row>
    <row r="1169" spans="6:19" s="338" customFormat="1" x14ac:dyDescent="0.25">
      <c r="F1169" s="339" t="s">
        <v>54</v>
      </c>
      <c r="G1169" s="338" t="s">
        <v>725</v>
      </c>
      <c r="I1169" s="200"/>
      <c r="J1169" s="397">
        <f t="shared" si="88"/>
        <v>770.2</v>
      </c>
      <c r="K1169" s="407"/>
      <c r="L1169" s="526">
        <v>602</v>
      </c>
      <c r="M1169" s="526">
        <v>620.05999999999995</v>
      </c>
      <c r="N1169" s="526">
        <v>613</v>
      </c>
      <c r="O1169" s="526">
        <v>770.2</v>
      </c>
      <c r="P1169" s="526">
        <f>O1169*1.033</f>
        <v>795.61659999999995</v>
      </c>
      <c r="Q1169" s="526">
        <f t="shared" ref="Q1169:S1169" si="91">P1169*1.033</f>
        <v>821.87194779999993</v>
      </c>
      <c r="R1169" s="526">
        <f t="shared" si="91"/>
        <v>848.99372207739987</v>
      </c>
      <c r="S1169" s="526">
        <f t="shared" si="91"/>
        <v>877.01051490595398</v>
      </c>
    </row>
    <row r="1170" spans="6:19" s="338" customFormat="1" x14ac:dyDescent="0.25">
      <c r="F1170" s="339" t="s">
        <v>55</v>
      </c>
      <c r="G1170" s="338" t="s">
        <v>725</v>
      </c>
      <c r="I1170" s="200"/>
      <c r="J1170" s="397">
        <f t="shared" si="88"/>
        <v>770.2</v>
      </c>
      <c r="K1170" s="407"/>
      <c r="L1170" s="526">
        <v>602</v>
      </c>
      <c r="M1170" s="526">
        <v>620.05999999999995</v>
      </c>
      <c r="N1170" s="526">
        <v>613</v>
      </c>
      <c r="O1170" s="526">
        <v>770.2</v>
      </c>
      <c r="P1170" s="526">
        <f>O1170*1.033</f>
        <v>795.61659999999995</v>
      </c>
      <c r="Q1170" s="526">
        <f t="shared" ref="Q1170:S1170" si="92">P1170*1.033</f>
        <v>821.87194779999993</v>
      </c>
      <c r="R1170" s="526">
        <f t="shared" si="92"/>
        <v>848.99372207739987</v>
      </c>
      <c r="S1170" s="526">
        <f t="shared" si="92"/>
        <v>877.01051490595398</v>
      </c>
    </row>
    <row r="1171" spans="6:19" s="338" customFormat="1" x14ac:dyDescent="0.25">
      <c r="F1171" s="339" t="s">
        <v>85</v>
      </c>
      <c r="G1171" s="338" t="s">
        <v>725</v>
      </c>
      <c r="I1171" s="200"/>
      <c r="J1171" s="559"/>
      <c r="K1171" s="407"/>
      <c r="L1171" s="559"/>
      <c r="M1171" s="559"/>
      <c r="N1171" s="559"/>
      <c r="O1171" s="559"/>
      <c r="P1171" s="559"/>
      <c r="Q1171" s="559"/>
      <c r="R1171" s="559"/>
      <c r="S1171" s="559"/>
    </row>
    <row r="1172" spans="6:19" s="338" customFormat="1" x14ac:dyDescent="0.25">
      <c r="F1172" s="339" t="s">
        <v>56</v>
      </c>
      <c r="G1172" s="338" t="s">
        <v>725</v>
      </c>
      <c r="I1172" s="200"/>
      <c r="J1172" s="397">
        <f t="shared" si="88"/>
        <v>2955.57</v>
      </c>
      <c r="K1172" s="407"/>
      <c r="L1172" s="526">
        <v>1555</v>
      </c>
      <c r="M1172" s="526">
        <v>1601.65</v>
      </c>
      <c r="N1172" s="526">
        <v>2322</v>
      </c>
      <c r="O1172" s="526">
        <v>2955.57</v>
      </c>
      <c r="P1172" s="526">
        <f>O1172*1.033</f>
        <v>3053.1038100000001</v>
      </c>
      <c r="Q1172" s="526">
        <f t="shared" ref="Q1172:S1172" si="93">P1172*1.033</f>
        <v>3153.8562357299998</v>
      </c>
      <c r="R1172" s="526">
        <f t="shared" si="93"/>
        <v>3257.9334915090894</v>
      </c>
      <c r="S1172" s="526">
        <f t="shared" si="93"/>
        <v>3365.4452967288889</v>
      </c>
    </row>
    <row r="1173" spans="6:19" s="338" customFormat="1" x14ac:dyDescent="0.25">
      <c r="F1173" s="339" t="s">
        <v>57</v>
      </c>
      <c r="G1173" s="338" t="s">
        <v>725</v>
      </c>
      <c r="I1173" s="200"/>
      <c r="J1173" s="397">
        <f t="shared" si="88"/>
        <v>4756.22</v>
      </c>
      <c r="K1173" s="407"/>
      <c r="L1173" s="526">
        <v>642</v>
      </c>
      <c r="M1173" s="526">
        <v>661.26</v>
      </c>
      <c r="N1173" s="526">
        <v>4277</v>
      </c>
      <c r="O1173" s="526">
        <v>4756.22</v>
      </c>
      <c r="P1173" s="526">
        <f>O1173*1.033</f>
        <v>4913.17526</v>
      </c>
      <c r="Q1173" s="526">
        <f t="shared" ref="Q1173:S1173" si="94">P1173*1.033</f>
        <v>5075.3100435799997</v>
      </c>
      <c r="R1173" s="526">
        <f t="shared" si="94"/>
        <v>5242.7952750181394</v>
      </c>
      <c r="S1173" s="526">
        <f t="shared" si="94"/>
        <v>5415.8075190937379</v>
      </c>
    </row>
    <row r="1174" spans="6:19" s="338" customFormat="1" x14ac:dyDescent="0.25">
      <c r="F1174" s="339" t="s">
        <v>72</v>
      </c>
      <c r="G1174" s="338" t="s">
        <v>725</v>
      </c>
      <c r="I1174" s="200"/>
      <c r="J1174" s="559"/>
      <c r="K1174" s="407"/>
      <c r="L1174" s="559"/>
      <c r="M1174" s="559"/>
      <c r="N1174" s="559"/>
      <c r="O1174" s="559"/>
      <c r="P1174" s="559"/>
      <c r="Q1174" s="559"/>
      <c r="R1174" s="559"/>
      <c r="S1174" s="559"/>
    </row>
    <row r="1175" spans="6:19" s="338" customFormat="1" x14ac:dyDescent="0.25">
      <c r="F1175" s="339" t="s">
        <v>58</v>
      </c>
      <c r="G1175" s="338" t="s">
        <v>725</v>
      </c>
      <c r="I1175" s="200"/>
      <c r="J1175" s="397">
        <f t="shared" si="88"/>
        <v>447.91694999999993</v>
      </c>
      <c r="K1175" s="407"/>
      <c r="L1175" s="526">
        <v>314.9975</v>
      </c>
      <c r="M1175" s="526">
        <v>324.44742499999995</v>
      </c>
      <c r="N1175" s="526">
        <v>356.99499999999995</v>
      </c>
      <c r="O1175" s="526">
        <v>447.91694999999993</v>
      </c>
      <c r="P1175" s="526">
        <f>O1175*1.033</f>
        <v>462.6982093499999</v>
      </c>
      <c r="Q1175" s="526">
        <f t="shared" ref="Q1175:S1175" si="95">P1175*1.033</f>
        <v>477.96725025854988</v>
      </c>
      <c r="R1175" s="526">
        <f t="shared" si="95"/>
        <v>493.74016951708199</v>
      </c>
      <c r="S1175" s="526">
        <f t="shared" si="95"/>
        <v>510.03359511114564</v>
      </c>
    </row>
    <row r="1176" spans="6:19" s="338" customFormat="1" x14ac:dyDescent="0.25">
      <c r="F1176" s="339" t="s">
        <v>59</v>
      </c>
      <c r="G1176" s="338" t="s">
        <v>725</v>
      </c>
      <c r="I1176" s="200"/>
      <c r="J1176" s="397">
        <f t="shared" si="88"/>
        <v>770.2</v>
      </c>
      <c r="K1176" s="407"/>
      <c r="L1176" s="526">
        <v>602</v>
      </c>
      <c r="M1176" s="526">
        <v>620.05999999999995</v>
      </c>
      <c r="N1176" s="526">
        <v>613</v>
      </c>
      <c r="O1176" s="526">
        <v>770.2</v>
      </c>
      <c r="P1176" s="526">
        <f>O1176*1.033</f>
        <v>795.61659999999995</v>
      </c>
      <c r="Q1176" s="526">
        <f t="shared" ref="Q1176:S1176" si="96">P1176*1.033</f>
        <v>821.87194779999993</v>
      </c>
      <c r="R1176" s="526">
        <f t="shared" si="96"/>
        <v>848.99372207739987</v>
      </c>
      <c r="S1176" s="526">
        <f t="shared" si="96"/>
        <v>877.01051490595398</v>
      </c>
    </row>
    <row r="1177" spans="6:19" s="338" customFormat="1" x14ac:dyDescent="0.25">
      <c r="F1177" s="339" t="s">
        <v>60</v>
      </c>
      <c r="G1177" s="338" t="s">
        <v>725</v>
      </c>
      <c r="I1177" s="200"/>
      <c r="J1177" s="397">
        <f t="shared" si="88"/>
        <v>3041.5649999999996</v>
      </c>
      <c r="K1177" s="407"/>
      <c r="L1177" s="526">
        <v>1629.7</v>
      </c>
      <c r="M1177" s="526">
        <v>1678.5910000000001</v>
      </c>
      <c r="N1177" s="526">
        <v>2593.7999999999997</v>
      </c>
      <c r="O1177" s="526">
        <v>3041.5649999999996</v>
      </c>
      <c r="P1177" s="526">
        <f>O1177*1.033</f>
        <v>3141.9366449999993</v>
      </c>
      <c r="Q1177" s="526">
        <f t="shared" ref="Q1177:S1177" si="97">P1177*1.033</f>
        <v>3245.6205542849989</v>
      </c>
      <c r="R1177" s="526">
        <f t="shared" si="97"/>
        <v>3352.7260325764037</v>
      </c>
      <c r="S1177" s="526">
        <f t="shared" si="97"/>
        <v>3463.3659916514248</v>
      </c>
    </row>
    <row r="1178" spans="6:19" s="338" customFormat="1" x14ac:dyDescent="0.25">
      <c r="F1178" s="339" t="s">
        <v>61</v>
      </c>
      <c r="G1178" s="338" t="s">
        <v>725</v>
      </c>
      <c r="I1178" s="200"/>
      <c r="J1178" s="397">
        <f t="shared" si="88"/>
        <v>4756.22</v>
      </c>
      <c r="K1178" s="407"/>
      <c r="L1178" s="526">
        <v>642</v>
      </c>
      <c r="M1178" s="526">
        <v>661.26</v>
      </c>
      <c r="N1178" s="526">
        <v>4277</v>
      </c>
      <c r="O1178" s="526">
        <v>4756.22</v>
      </c>
      <c r="P1178" s="526">
        <f>O1178*1.033</f>
        <v>4913.17526</v>
      </c>
      <c r="Q1178" s="526">
        <f t="shared" ref="Q1178:S1178" si="98">P1178*1.033</f>
        <v>5075.3100435799997</v>
      </c>
      <c r="R1178" s="526">
        <f t="shared" si="98"/>
        <v>5242.7952750181394</v>
      </c>
      <c r="S1178" s="526">
        <f t="shared" si="98"/>
        <v>5415.8075190937379</v>
      </c>
    </row>
    <row r="1179" spans="6:19" s="338" customFormat="1" x14ac:dyDescent="0.25">
      <c r="F1179" s="339" t="s">
        <v>73</v>
      </c>
      <c r="G1179" s="338" t="s">
        <v>725</v>
      </c>
      <c r="I1179" s="200"/>
      <c r="J1179" s="559"/>
      <c r="K1179" s="407"/>
      <c r="L1179" s="559"/>
      <c r="M1179" s="559"/>
      <c r="N1179" s="559"/>
      <c r="O1179" s="559"/>
      <c r="P1179" s="559"/>
      <c r="Q1179" s="559"/>
      <c r="R1179" s="559"/>
      <c r="S1179" s="559"/>
    </row>
    <row r="1180" spans="6:19" s="338" customFormat="1" x14ac:dyDescent="0.25">
      <c r="F1180" s="339" t="s">
        <v>86</v>
      </c>
      <c r="G1180" s="338" t="s">
        <v>725</v>
      </c>
      <c r="I1180" s="200"/>
      <c r="J1180" s="403"/>
      <c r="K1180" s="407"/>
      <c r="L1180" s="403"/>
      <c r="M1180" s="403"/>
      <c r="N1180" s="403"/>
      <c r="O1180" s="403"/>
      <c r="P1180" s="403"/>
      <c r="Q1180" s="403"/>
      <c r="R1180" s="403"/>
      <c r="S1180" s="403"/>
    </row>
    <row r="1181" spans="6:19" s="338" customFormat="1" x14ac:dyDescent="0.25">
      <c r="F1181" s="339" t="s">
        <v>87</v>
      </c>
      <c r="G1181" s="338" t="s">
        <v>725</v>
      </c>
      <c r="I1181" s="200"/>
      <c r="J1181" s="403"/>
      <c r="K1181" s="407"/>
      <c r="L1181" s="403"/>
      <c r="M1181" s="403"/>
      <c r="N1181" s="403"/>
      <c r="O1181" s="403"/>
      <c r="P1181" s="403"/>
      <c r="Q1181" s="403"/>
      <c r="R1181" s="403"/>
      <c r="S1181" s="403"/>
    </row>
    <row r="1182" spans="6:19" s="338" customFormat="1" x14ac:dyDescent="0.25">
      <c r="F1182" s="339" t="s">
        <v>88</v>
      </c>
      <c r="G1182" s="338" t="s">
        <v>725</v>
      </c>
      <c r="I1182" s="200"/>
      <c r="J1182" s="403"/>
      <c r="K1182" s="407"/>
      <c r="L1182" s="403"/>
      <c r="M1182" s="403"/>
      <c r="N1182" s="403"/>
      <c r="O1182" s="403"/>
      <c r="P1182" s="403"/>
      <c r="Q1182" s="403"/>
      <c r="R1182" s="403"/>
      <c r="S1182" s="403"/>
    </row>
    <row r="1183" spans="6:19" s="338" customFormat="1" x14ac:dyDescent="0.25">
      <c r="F1183" s="339" t="s">
        <v>89</v>
      </c>
      <c r="G1183" s="338" t="s">
        <v>725</v>
      </c>
      <c r="I1183" s="200"/>
      <c r="J1183" s="403"/>
      <c r="K1183" s="407"/>
      <c r="L1183" s="403"/>
      <c r="M1183" s="403"/>
      <c r="N1183" s="403"/>
      <c r="O1183" s="403"/>
      <c r="P1183" s="403"/>
      <c r="Q1183" s="403"/>
      <c r="R1183" s="403"/>
      <c r="S1183" s="403"/>
    </row>
    <row r="1184" spans="6:19" s="338" customFormat="1" x14ac:dyDescent="0.25">
      <c r="F1184" s="339" t="s">
        <v>90</v>
      </c>
      <c r="G1184" s="338" t="s">
        <v>725</v>
      </c>
      <c r="I1184" s="200"/>
      <c r="J1184" s="403"/>
      <c r="K1184" s="407"/>
      <c r="L1184" s="403"/>
      <c r="M1184" s="403"/>
      <c r="N1184" s="403"/>
      <c r="O1184" s="403"/>
      <c r="P1184" s="403"/>
      <c r="Q1184" s="403"/>
      <c r="R1184" s="403"/>
      <c r="S1184" s="403"/>
    </row>
    <row r="1185" spans="3:21" s="338" customFormat="1" x14ac:dyDescent="0.25">
      <c r="F1185" s="339" t="s">
        <v>62</v>
      </c>
      <c r="G1185" s="338" t="s">
        <v>725</v>
      </c>
      <c r="I1185" s="200"/>
      <c r="J1185" s="397">
        <f t="shared" ref="J1185:J1194" si="99">CHOOSE(year_selection, L1185,M1185,N1185,O1185,P1185,Q1185,R1185,S1185)</f>
        <v>0</v>
      </c>
      <c r="K1185" s="407"/>
      <c r="L1185" s="526">
        <v>0</v>
      </c>
      <c r="M1185" s="526">
        <v>0</v>
      </c>
      <c r="N1185" s="526">
        <v>0</v>
      </c>
      <c r="O1185" s="526">
        <v>0</v>
      </c>
      <c r="P1185" s="526">
        <f>O1185</f>
        <v>0</v>
      </c>
      <c r="Q1185" s="526">
        <f t="shared" ref="Q1185:S1185" si="100">P1185</f>
        <v>0</v>
      </c>
      <c r="R1185" s="526">
        <f t="shared" si="100"/>
        <v>0</v>
      </c>
      <c r="S1185" s="526">
        <f t="shared" si="100"/>
        <v>0</v>
      </c>
    </row>
    <row r="1186" spans="3:21" s="338" customFormat="1" x14ac:dyDescent="0.25">
      <c r="F1186" s="339" t="s">
        <v>63</v>
      </c>
      <c r="G1186" s="338" t="s">
        <v>725</v>
      </c>
      <c r="I1186" s="200"/>
      <c r="J1186" s="397">
        <f t="shared" si="99"/>
        <v>0</v>
      </c>
      <c r="K1186" s="407"/>
      <c r="L1186" s="526">
        <v>0</v>
      </c>
      <c r="M1186" s="526">
        <v>0</v>
      </c>
      <c r="N1186" s="526">
        <v>0</v>
      </c>
      <c r="O1186" s="526">
        <v>0</v>
      </c>
      <c r="P1186" s="526">
        <f t="shared" ref="P1186:S1194" si="101">O1186</f>
        <v>0</v>
      </c>
      <c r="Q1186" s="526">
        <f t="shared" si="101"/>
        <v>0</v>
      </c>
      <c r="R1186" s="526">
        <f t="shared" si="101"/>
        <v>0</v>
      </c>
      <c r="S1186" s="526">
        <f t="shared" si="101"/>
        <v>0</v>
      </c>
    </row>
    <row r="1187" spans="3:21" s="338" customFormat="1" x14ac:dyDescent="0.25">
      <c r="F1187" s="339" t="s">
        <v>64</v>
      </c>
      <c r="G1187" s="338" t="s">
        <v>725</v>
      </c>
      <c r="I1187" s="200"/>
      <c r="J1187" s="397">
        <f t="shared" si="99"/>
        <v>0</v>
      </c>
      <c r="K1187" s="407"/>
      <c r="L1187" s="526">
        <v>0</v>
      </c>
      <c r="M1187" s="526">
        <v>0</v>
      </c>
      <c r="N1187" s="526">
        <v>0</v>
      </c>
      <c r="O1187" s="526">
        <v>0</v>
      </c>
      <c r="P1187" s="526">
        <f t="shared" si="101"/>
        <v>0</v>
      </c>
      <c r="Q1187" s="526">
        <f t="shared" si="101"/>
        <v>0</v>
      </c>
      <c r="R1187" s="526">
        <f t="shared" si="101"/>
        <v>0</v>
      </c>
      <c r="S1187" s="526">
        <f t="shared" si="101"/>
        <v>0</v>
      </c>
    </row>
    <row r="1188" spans="3:21" s="338" customFormat="1" x14ac:dyDescent="0.25">
      <c r="F1188" s="339" t="s">
        <v>65</v>
      </c>
      <c r="G1188" s="338" t="s">
        <v>725</v>
      </c>
      <c r="I1188" s="200"/>
      <c r="J1188" s="397">
        <f t="shared" si="99"/>
        <v>0</v>
      </c>
      <c r="K1188" s="407"/>
      <c r="L1188" s="526">
        <v>0</v>
      </c>
      <c r="M1188" s="526">
        <v>0</v>
      </c>
      <c r="N1188" s="526">
        <v>0</v>
      </c>
      <c r="O1188" s="526">
        <v>0</v>
      </c>
      <c r="P1188" s="526">
        <f t="shared" si="101"/>
        <v>0</v>
      </c>
      <c r="Q1188" s="526">
        <f t="shared" si="101"/>
        <v>0</v>
      </c>
      <c r="R1188" s="526">
        <f t="shared" si="101"/>
        <v>0</v>
      </c>
      <c r="S1188" s="526">
        <f t="shared" si="101"/>
        <v>0</v>
      </c>
    </row>
    <row r="1189" spans="3:21" s="338" customFormat="1" x14ac:dyDescent="0.25">
      <c r="F1189" s="339" t="s">
        <v>66</v>
      </c>
      <c r="G1189" s="338" t="s">
        <v>725</v>
      </c>
      <c r="I1189" s="200"/>
      <c r="J1189" s="397">
        <f t="shared" si="99"/>
        <v>0</v>
      </c>
      <c r="K1189" s="407"/>
      <c r="L1189" s="526">
        <v>0</v>
      </c>
      <c r="M1189" s="526">
        <v>0</v>
      </c>
      <c r="N1189" s="526">
        <v>0</v>
      </c>
      <c r="O1189" s="526">
        <v>0</v>
      </c>
      <c r="P1189" s="526">
        <f t="shared" si="101"/>
        <v>0</v>
      </c>
      <c r="Q1189" s="526">
        <f t="shared" si="101"/>
        <v>0</v>
      </c>
      <c r="R1189" s="526">
        <f t="shared" si="101"/>
        <v>0</v>
      </c>
      <c r="S1189" s="526">
        <f t="shared" si="101"/>
        <v>0</v>
      </c>
    </row>
    <row r="1190" spans="3:21" s="338" customFormat="1" x14ac:dyDescent="0.25">
      <c r="F1190" s="339" t="s">
        <v>67</v>
      </c>
      <c r="G1190" s="338" t="s">
        <v>725</v>
      </c>
      <c r="I1190" s="200"/>
      <c r="J1190" s="397">
        <f t="shared" si="99"/>
        <v>0</v>
      </c>
      <c r="K1190" s="407"/>
      <c r="L1190" s="526">
        <v>0</v>
      </c>
      <c r="M1190" s="526">
        <v>0</v>
      </c>
      <c r="N1190" s="526">
        <v>0</v>
      </c>
      <c r="O1190" s="526">
        <v>0</v>
      </c>
      <c r="P1190" s="526">
        <f t="shared" si="101"/>
        <v>0</v>
      </c>
      <c r="Q1190" s="526">
        <f t="shared" si="101"/>
        <v>0</v>
      </c>
      <c r="R1190" s="526">
        <f t="shared" si="101"/>
        <v>0</v>
      </c>
      <c r="S1190" s="526">
        <f t="shared" si="101"/>
        <v>0</v>
      </c>
    </row>
    <row r="1191" spans="3:21" s="338" customFormat="1" x14ac:dyDescent="0.25">
      <c r="F1191" s="339" t="s">
        <v>68</v>
      </c>
      <c r="G1191" s="338" t="s">
        <v>725</v>
      </c>
      <c r="I1191" s="200"/>
      <c r="J1191" s="397">
        <f t="shared" si="99"/>
        <v>0</v>
      </c>
      <c r="K1191" s="407"/>
      <c r="L1191" s="526">
        <v>0</v>
      </c>
      <c r="M1191" s="526">
        <v>0</v>
      </c>
      <c r="N1191" s="526">
        <v>0</v>
      </c>
      <c r="O1191" s="526">
        <v>0</v>
      </c>
      <c r="P1191" s="526">
        <f t="shared" si="101"/>
        <v>0</v>
      </c>
      <c r="Q1191" s="526">
        <f t="shared" si="101"/>
        <v>0</v>
      </c>
      <c r="R1191" s="526">
        <f t="shared" si="101"/>
        <v>0</v>
      </c>
      <c r="S1191" s="526">
        <f t="shared" si="101"/>
        <v>0</v>
      </c>
    </row>
    <row r="1192" spans="3:21" s="338" customFormat="1" x14ac:dyDescent="0.25">
      <c r="F1192" s="339" t="s">
        <v>69</v>
      </c>
      <c r="G1192" s="338" t="s">
        <v>725</v>
      </c>
      <c r="I1192" s="200"/>
      <c r="J1192" s="397">
        <f t="shared" si="99"/>
        <v>0</v>
      </c>
      <c r="K1192" s="407"/>
      <c r="L1192" s="526">
        <v>0</v>
      </c>
      <c r="M1192" s="526">
        <v>0</v>
      </c>
      <c r="N1192" s="526">
        <v>0</v>
      </c>
      <c r="O1192" s="526">
        <v>0</v>
      </c>
      <c r="P1192" s="526">
        <f t="shared" si="101"/>
        <v>0</v>
      </c>
      <c r="Q1192" s="526">
        <f t="shared" si="101"/>
        <v>0</v>
      </c>
      <c r="R1192" s="526">
        <f t="shared" si="101"/>
        <v>0</v>
      </c>
      <c r="S1192" s="526">
        <f t="shared" si="101"/>
        <v>0</v>
      </c>
    </row>
    <row r="1193" spans="3:21" s="338" customFormat="1" x14ac:dyDescent="0.25">
      <c r="F1193" s="339" t="s">
        <v>70</v>
      </c>
      <c r="G1193" s="338" t="s">
        <v>725</v>
      </c>
      <c r="I1193" s="200"/>
      <c r="J1193" s="397">
        <f t="shared" si="99"/>
        <v>0</v>
      </c>
      <c r="K1193" s="407"/>
      <c r="L1193" s="526">
        <v>0</v>
      </c>
      <c r="M1193" s="526">
        <v>0</v>
      </c>
      <c r="N1193" s="526">
        <v>0</v>
      </c>
      <c r="O1193" s="526">
        <v>0</v>
      </c>
      <c r="P1193" s="526">
        <f t="shared" si="101"/>
        <v>0</v>
      </c>
      <c r="Q1193" s="526">
        <f t="shared" si="101"/>
        <v>0</v>
      </c>
      <c r="R1193" s="526">
        <f t="shared" si="101"/>
        <v>0</v>
      </c>
      <c r="S1193" s="526">
        <f t="shared" si="101"/>
        <v>0</v>
      </c>
    </row>
    <row r="1194" spans="3:21" s="338" customFormat="1" x14ac:dyDescent="0.25">
      <c r="F1194" s="339" t="s">
        <v>71</v>
      </c>
      <c r="G1194" s="338" t="s">
        <v>725</v>
      </c>
      <c r="I1194" s="200"/>
      <c r="J1194" s="397">
        <f t="shared" si="99"/>
        <v>0</v>
      </c>
      <c r="K1194" s="407"/>
      <c r="L1194" s="526">
        <v>0</v>
      </c>
      <c r="M1194" s="526">
        <v>0</v>
      </c>
      <c r="N1194" s="526">
        <v>0</v>
      </c>
      <c r="O1194" s="526">
        <v>0</v>
      </c>
      <c r="P1194" s="526">
        <f t="shared" si="101"/>
        <v>0</v>
      </c>
      <c r="Q1194" s="526">
        <f t="shared" si="101"/>
        <v>0</v>
      </c>
      <c r="R1194" s="526">
        <f t="shared" si="101"/>
        <v>0</v>
      </c>
      <c r="S1194" s="526">
        <f t="shared" si="101"/>
        <v>0</v>
      </c>
    </row>
    <row r="1195" spans="3:21" s="338" customFormat="1" x14ac:dyDescent="0.25">
      <c r="F1195" s="339" t="s">
        <v>74</v>
      </c>
      <c r="G1195" s="338" t="s">
        <v>725</v>
      </c>
      <c r="I1195" s="200"/>
      <c r="J1195" s="559"/>
      <c r="K1195" s="407"/>
      <c r="L1195" s="559"/>
      <c r="M1195" s="559"/>
      <c r="N1195" s="559"/>
      <c r="O1195" s="559"/>
      <c r="P1195" s="559"/>
      <c r="Q1195" s="559"/>
      <c r="R1195" s="559"/>
      <c r="S1195" s="559"/>
    </row>
    <row r="1196" spans="3:21" s="338" customFormat="1" x14ac:dyDescent="0.25">
      <c r="F1196" s="339" t="s">
        <v>75</v>
      </c>
      <c r="G1196" s="338" t="s">
        <v>725</v>
      </c>
      <c r="I1196" s="200"/>
      <c r="J1196" s="559"/>
      <c r="K1196" s="407"/>
      <c r="L1196" s="559"/>
      <c r="M1196" s="559"/>
      <c r="N1196" s="559"/>
      <c r="O1196" s="559"/>
      <c r="P1196" s="559"/>
      <c r="Q1196" s="559"/>
      <c r="R1196" s="559"/>
      <c r="S1196" s="559"/>
    </row>
    <row r="1197" spans="3:21" s="338" customFormat="1" x14ac:dyDescent="0.25">
      <c r="F1197" s="339" t="s">
        <v>76</v>
      </c>
      <c r="G1197" s="338" t="s">
        <v>725</v>
      </c>
      <c r="I1197" s="200"/>
      <c r="J1197" s="559"/>
      <c r="K1197" s="407"/>
      <c r="L1197" s="559"/>
      <c r="M1197" s="559"/>
      <c r="N1197" s="559"/>
      <c r="O1197" s="559"/>
      <c r="P1197" s="559"/>
      <c r="Q1197" s="559"/>
      <c r="R1197" s="559"/>
      <c r="S1197" s="559"/>
    </row>
    <row r="1198" spans="3:21" s="338" customFormat="1" x14ac:dyDescent="0.25">
      <c r="F1198" s="168" t="s">
        <v>77</v>
      </c>
      <c r="G1198" s="168" t="s">
        <v>725</v>
      </c>
      <c r="H1198" s="168"/>
      <c r="I1198" s="262"/>
      <c r="J1198" s="560"/>
      <c r="K1198" s="400"/>
      <c r="L1198" s="560"/>
      <c r="M1198" s="560"/>
      <c r="N1198" s="560"/>
      <c r="O1198" s="560"/>
      <c r="P1198" s="560"/>
      <c r="Q1198" s="560"/>
      <c r="R1198" s="560"/>
      <c r="S1198" s="560"/>
    </row>
    <row r="1199" spans="3:21" s="338" customFormat="1" x14ac:dyDescent="0.25">
      <c r="D1199" s="35"/>
      <c r="I1199" s="200"/>
      <c r="J1199" s="401"/>
      <c r="K1199" s="401"/>
      <c r="L1199" s="401"/>
      <c r="M1199" s="401"/>
      <c r="N1199" s="401"/>
      <c r="O1199" s="401"/>
      <c r="P1199" s="401"/>
      <c r="Q1199" s="401"/>
      <c r="R1199" s="401"/>
      <c r="S1199" s="401"/>
    </row>
    <row r="1200" spans="3:21" s="338" customFormat="1" x14ac:dyDescent="0.25">
      <c r="C1200" s="22" t="str">
        <f ca="1">INDEX('Version control'!$H$34:$H$59,MATCH($A$1,'Version control'!$F$34:$F$59,0),1)&amp;"-J: HV customer service model asset values"</f>
        <v>Input 501-J: HV customer service model asset values</v>
      </c>
      <c r="D1200" s="22"/>
      <c r="E1200" s="22"/>
      <c r="F1200" s="22"/>
      <c r="G1200" s="22"/>
      <c r="H1200" s="22"/>
      <c r="I1200" s="296"/>
      <c r="J1200" s="406"/>
      <c r="K1200" s="406"/>
      <c r="L1200" s="406"/>
      <c r="M1200" s="406"/>
      <c r="N1200" s="406"/>
      <c r="O1200" s="406"/>
      <c r="P1200" s="406"/>
      <c r="Q1200" s="406"/>
      <c r="R1200" s="406"/>
      <c r="S1200" s="406"/>
      <c r="T1200" s="22"/>
      <c r="U1200" s="22"/>
    </row>
    <row r="1201" spans="5:19" s="338" customFormat="1" x14ac:dyDescent="0.25">
      <c r="I1201" s="200"/>
      <c r="J1201" s="407"/>
      <c r="K1201" s="407"/>
      <c r="L1201" s="407"/>
      <c r="M1201" s="407"/>
      <c r="N1201" s="407"/>
      <c r="O1201" s="407"/>
      <c r="P1201" s="407"/>
      <c r="Q1201" s="407"/>
      <c r="R1201" s="407"/>
      <c r="S1201" s="407"/>
    </row>
    <row r="1202" spans="5:19" s="338" customFormat="1" x14ac:dyDescent="0.25">
      <c r="E1202" s="172" t="s">
        <v>870</v>
      </c>
      <c r="I1202" s="200"/>
      <c r="J1202" s="401"/>
      <c r="K1202" s="401"/>
      <c r="L1202" s="401"/>
      <c r="M1202" s="401"/>
      <c r="N1202" s="401"/>
      <c r="O1202" s="401"/>
      <c r="P1202" s="401"/>
      <c r="Q1202" s="401"/>
      <c r="R1202" s="401"/>
      <c r="S1202" s="401"/>
    </row>
    <row r="1203" spans="5:19" s="338" customFormat="1" x14ac:dyDescent="0.25">
      <c r="F1203" s="166" t="s">
        <v>52</v>
      </c>
      <c r="G1203" s="166" t="s">
        <v>725</v>
      </c>
      <c r="H1203" s="166"/>
      <c r="I1203" s="201"/>
      <c r="J1203" s="561"/>
      <c r="K1203" s="396"/>
      <c r="L1203" s="561"/>
      <c r="M1203" s="561"/>
      <c r="N1203" s="561"/>
      <c r="O1203" s="561"/>
      <c r="P1203" s="561"/>
      <c r="Q1203" s="561"/>
      <c r="R1203" s="561"/>
      <c r="S1203" s="561"/>
    </row>
    <row r="1204" spans="5:19" s="338" customFormat="1" x14ac:dyDescent="0.25">
      <c r="F1204" s="339" t="s">
        <v>53</v>
      </c>
      <c r="G1204" s="338" t="s">
        <v>725</v>
      </c>
      <c r="I1204" s="200"/>
      <c r="J1204" s="559"/>
      <c r="K1204" s="407"/>
      <c r="L1204" s="559"/>
      <c r="M1204" s="559"/>
      <c r="N1204" s="559"/>
      <c r="O1204" s="559"/>
      <c r="P1204" s="559"/>
      <c r="Q1204" s="559"/>
      <c r="R1204" s="559"/>
      <c r="S1204" s="559"/>
    </row>
    <row r="1205" spans="5:19" s="338" customFormat="1" x14ac:dyDescent="0.25">
      <c r="F1205" s="339" t="s">
        <v>84</v>
      </c>
      <c r="G1205" s="338" t="s">
        <v>725</v>
      </c>
      <c r="I1205" s="200"/>
      <c r="J1205" s="559"/>
      <c r="K1205" s="407"/>
      <c r="L1205" s="559"/>
      <c r="M1205" s="559"/>
      <c r="N1205" s="559"/>
      <c r="O1205" s="559"/>
      <c r="P1205" s="559"/>
      <c r="Q1205" s="559"/>
      <c r="R1205" s="559"/>
      <c r="S1205" s="559"/>
    </row>
    <row r="1206" spans="5:19" s="338" customFormat="1" x14ac:dyDescent="0.25">
      <c r="F1206" s="339" t="s">
        <v>54</v>
      </c>
      <c r="G1206" s="338" t="s">
        <v>725</v>
      </c>
      <c r="I1206" s="200"/>
      <c r="J1206" s="559"/>
      <c r="K1206" s="407"/>
      <c r="L1206" s="559"/>
      <c r="M1206" s="559"/>
      <c r="N1206" s="559"/>
      <c r="O1206" s="559"/>
      <c r="P1206" s="559"/>
      <c r="Q1206" s="559"/>
      <c r="R1206" s="559"/>
      <c r="S1206" s="559"/>
    </row>
    <row r="1207" spans="5:19" s="338" customFormat="1" x14ac:dyDescent="0.25">
      <c r="F1207" s="339" t="s">
        <v>55</v>
      </c>
      <c r="G1207" s="338" t="s">
        <v>725</v>
      </c>
      <c r="I1207" s="200"/>
      <c r="J1207" s="559"/>
      <c r="K1207" s="407"/>
      <c r="L1207" s="559"/>
      <c r="M1207" s="559"/>
      <c r="N1207" s="559"/>
      <c r="O1207" s="559"/>
      <c r="P1207" s="559"/>
      <c r="Q1207" s="559"/>
      <c r="R1207" s="559"/>
      <c r="S1207" s="559"/>
    </row>
    <row r="1208" spans="5:19" s="338" customFormat="1" x14ac:dyDescent="0.25">
      <c r="F1208" s="339" t="s">
        <v>85</v>
      </c>
      <c r="G1208" s="338" t="s">
        <v>725</v>
      </c>
      <c r="I1208" s="200"/>
      <c r="J1208" s="559"/>
      <c r="K1208" s="407"/>
      <c r="L1208" s="559"/>
      <c r="M1208" s="559"/>
      <c r="N1208" s="559"/>
      <c r="O1208" s="559"/>
      <c r="P1208" s="559"/>
      <c r="Q1208" s="559"/>
      <c r="R1208" s="559"/>
      <c r="S1208" s="559"/>
    </row>
    <row r="1209" spans="5:19" s="338" customFormat="1" x14ac:dyDescent="0.25">
      <c r="F1209" s="339" t="s">
        <v>56</v>
      </c>
      <c r="G1209" s="338" t="s">
        <v>725</v>
      </c>
      <c r="I1209" s="200"/>
      <c r="J1209" s="559"/>
      <c r="K1209" s="407"/>
      <c r="L1209" s="559"/>
      <c r="M1209" s="559"/>
      <c r="N1209" s="559"/>
      <c r="O1209" s="559"/>
      <c r="P1209" s="559"/>
      <c r="Q1209" s="559"/>
      <c r="R1209" s="559"/>
      <c r="S1209" s="559"/>
    </row>
    <row r="1210" spans="5:19" s="338" customFormat="1" x14ac:dyDescent="0.25">
      <c r="F1210" s="339" t="s">
        <v>57</v>
      </c>
      <c r="G1210" s="338" t="s">
        <v>725</v>
      </c>
      <c r="I1210" s="200"/>
      <c r="J1210" s="559"/>
      <c r="K1210" s="407"/>
      <c r="L1210" s="559"/>
      <c r="M1210" s="559"/>
      <c r="N1210" s="559"/>
      <c r="O1210" s="559"/>
      <c r="P1210" s="559"/>
      <c r="Q1210" s="559"/>
      <c r="R1210" s="559"/>
      <c r="S1210" s="559"/>
    </row>
    <row r="1211" spans="5:19" s="338" customFormat="1" x14ac:dyDescent="0.25">
      <c r="F1211" s="339" t="s">
        <v>72</v>
      </c>
      <c r="G1211" s="338" t="s">
        <v>725</v>
      </c>
      <c r="I1211" s="200"/>
      <c r="J1211" s="397">
        <f t="shared" ref="J1211:J1216" si="102">CHOOSE(year_selection, L1211,M1211,N1211,O1211,P1211,Q1211,R1211,S1211)</f>
        <v>27188.11</v>
      </c>
      <c r="K1211" s="407"/>
      <c r="L1211" s="526">
        <v>15636</v>
      </c>
      <c r="M1211" s="526">
        <v>16105.08</v>
      </c>
      <c r="N1211" s="526">
        <v>25375</v>
      </c>
      <c r="O1211" s="526">
        <v>27188.11</v>
      </c>
      <c r="P1211" s="526">
        <f>O1211*1.033</f>
        <v>28085.317629999998</v>
      </c>
      <c r="Q1211" s="526">
        <f t="shared" ref="Q1211:S1211" si="103">P1211*1.033</f>
        <v>29012.133111789994</v>
      </c>
      <c r="R1211" s="526">
        <f t="shared" si="103"/>
        <v>29969.533504479063</v>
      </c>
      <c r="S1211" s="526">
        <f t="shared" si="103"/>
        <v>30958.52811012687</v>
      </c>
    </row>
    <row r="1212" spans="5:19" s="338" customFormat="1" x14ac:dyDescent="0.25">
      <c r="F1212" s="339" t="s">
        <v>58</v>
      </c>
      <c r="G1212" s="338" t="s">
        <v>725</v>
      </c>
      <c r="I1212" s="200"/>
      <c r="J1212" s="559"/>
      <c r="K1212" s="407"/>
      <c r="L1212" s="559"/>
      <c r="M1212" s="559"/>
      <c r="N1212" s="559"/>
      <c r="O1212" s="559"/>
      <c r="P1212" s="559"/>
      <c r="Q1212" s="559"/>
      <c r="R1212" s="559"/>
      <c r="S1212" s="559"/>
    </row>
    <row r="1213" spans="5:19" s="338" customFormat="1" x14ac:dyDescent="0.25">
      <c r="F1213" s="339" t="s">
        <v>59</v>
      </c>
      <c r="G1213" s="338" t="s">
        <v>725</v>
      </c>
      <c r="I1213" s="200"/>
      <c r="J1213" s="559"/>
      <c r="K1213" s="407"/>
      <c r="L1213" s="559"/>
      <c r="M1213" s="559"/>
      <c r="N1213" s="559"/>
      <c r="O1213" s="559"/>
      <c r="P1213" s="559"/>
      <c r="Q1213" s="559"/>
      <c r="R1213" s="559"/>
      <c r="S1213" s="559"/>
    </row>
    <row r="1214" spans="5:19" s="338" customFormat="1" x14ac:dyDescent="0.25">
      <c r="F1214" s="339" t="s">
        <v>60</v>
      </c>
      <c r="G1214" s="338" t="s">
        <v>725</v>
      </c>
      <c r="I1214" s="200"/>
      <c r="J1214" s="559"/>
      <c r="K1214" s="407"/>
      <c r="L1214" s="559"/>
      <c r="M1214" s="559"/>
      <c r="N1214" s="559"/>
      <c r="O1214" s="559"/>
      <c r="P1214" s="559"/>
      <c r="Q1214" s="559"/>
      <c r="R1214" s="559"/>
      <c r="S1214" s="559"/>
    </row>
    <row r="1215" spans="5:19" s="338" customFormat="1" x14ac:dyDescent="0.25">
      <c r="F1215" s="339" t="s">
        <v>61</v>
      </c>
      <c r="G1215" s="338" t="s">
        <v>725</v>
      </c>
      <c r="I1215" s="200"/>
      <c r="J1215" s="559"/>
      <c r="K1215" s="407"/>
      <c r="L1215" s="559"/>
      <c r="M1215" s="559"/>
      <c r="N1215" s="559"/>
      <c r="O1215" s="559"/>
      <c r="P1215" s="559"/>
      <c r="Q1215" s="559"/>
      <c r="R1215" s="559"/>
      <c r="S1215" s="559"/>
    </row>
    <row r="1216" spans="5:19" s="338" customFormat="1" x14ac:dyDescent="0.25">
      <c r="F1216" s="339" t="s">
        <v>73</v>
      </c>
      <c r="G1216" s="338" t="s">
        <v>725</v>
      </c>
      <c r="I1216" s="200"/>
      <c r="J1216" s="397">
        <f t="shared" si="102"/>
        <v>27188.11</v>
      </c>
      <c r="K1216" s="407"/>
      <c r="L1216" s="526">
        <v>15636</v>
      </c>
      <c r="M1216" s="526">
        <v>16105.08</v>
      </c>
      <c r="N1216" s="526">
        <v>25375</v>
      </c>
      <c r="O1216" s="526">
        <v>27188.11</v>
      </c>
      <c r="P1216" s="526">
        <f>O1216*1.033</f>
        <v>28085.317629999998</v>
      </c>
      <c r="Q1216" s="526">
        <f t="shared" ref="Q1216:S1216" si="104">P1216*1.033</f>
        <v>29012.133111789994</v>
      </c>
      <c r="R1216" s="526">
        <f t="shared" si="104"/>
        <v>29969.533504479063</v>
      </c>
      <c r="S1216" s="526">
        <f t="shared" si="104"/>
        <v>30958.52811012687</v>
      </c>
    </row>
    <row r="1217" spans="6:19" s="338" customFormat="1" x14ac:dyDescent="0.25">
      <c r="F1217" s="339" t="s">
        <v>86</v>
      </c>
      <c r="G1217" s="338" t="s">
        <v>725</v>
      </c>
      <c r="I1217" s="200"/>
      <c r="J1217" s="403"/>
      <c r="K1217" s="407"/>
      <c r="L1217" s="403"/>
      <c r="M1217" s="403"/>
      <c r="N1217" s="403"/>
      <c r="O1217" s="403"/>
      <c r="P1217" s="403"/>
      <c r="Q1217" s="403"/>
      <c r="R1217" s="403"/>
      <c r="S1217" s="403"/>
    </row>
    <row r="1218" spans="6:19" s="338" customFormat="1" x14ac:dyDescent="0.25">
      <c r="F1218" s="339" t="s">
        <v>87</v>
      </c>
      <c r="G1218" s="338" t="s">
        <v>725</v>
      </c>
      <c r="I1218" s="200"/>
      <c r="J1218" s="403"/>
      <c r="K1218" s="407"/>
      <c r="L1218" s="403"/>
      <c r="M1218" s="403"/>
      <c r="N1218" s="403"/>
      <c r="O1218" s="403"/>
      <c r="P1218" s="403"/>
      <c r="Q1218" s="403"/>
      <c r="R1218" s="403"/>
      <c r="S1218" s="403"/>
    </row>
    <row r="1219" spans="6:19" s="338" customFormat="1" x14ac:dyDescent="0.25">
      <c r="F1219" s="339" t="s">
        <v>88</v>
      </c>
      <c r="G1219" s="338" t="s">
        <v>725</v>
      </c>
      <c r="I1219" s="200"/>
      <c r="J1219" s="403"/>
      <c r="K1219" s="407"/>
      <c r="L1219" s="403"/>
      <c r="M1219" s="403"/>
      <c r="N1219" s="403"/>
      <c r="O1219" s="403"/>
      <c r="P1219" s="403"/>
      <c r="Q1219" s="403"/>
      <c r="R1219" s="403"/>
      <c r="S1219" s="403"/>
    </row>
    <row r="1220" spans="6:19" s="338" customFormat="1" x14ac:dyDescent="0.25">
      <c r="F1220" s="339" t="s">
        <v>89</v>
      </c>
      <c r="G1220" s="338" t="s">
        <v>725</v>
      </c>
      <c r="I1220" s="200"/>
      <c r="J1220" s="403"/>
      <c r="K1220" s="407"/>
      <c r="L1220" s="403"/>
      <c r="M1220" s="403"/>
      <c r="N1220" s="403"/>
      <c r="O1220" s="403"/>
      <c r="P1220" s="403"/>
      <c r="Q1220" s="403"/>
      <c r="R1220" s="403"/>
      <c r="S1220" s="403"/>
    </row>
    <row r="1221" spans="6:19" s="338" customFormat="1" x14ac:dyDescent="0.25">
      <c r="F1221" s="339" t="s">
        <v>90</v>
      </c>
      <c r="G1221" s="338" t="s">
        <v>725</v>
      </c>
      <c r="I1221" s="200"/>
      <c r="J1221" s="403"/>
      <c r="K1221" s="407"/>
      <c r="L1221" s="403"/>
      <c r="M1221" s="403"/>
      <c r="N1221" s="403"/>
      <c r="O1221" s="403"/>
      <c r="P1221" s="403"/>
      <c r="Q1221" s="403"/>
      <c r="R1221" s="403"/>
      <c r="S1221" s="403"/>
    </row>
    <row r="1222" spans="6:19" s="338" customFormat="1" x14ac:dyDescent="0.25">
      <c r="F1222" s="339" t="s">
        <v>62</v>
      </c>
      <c r="G1222" s="338" t="s">
        <v>725</v>
      </c>
      <c r="I1222" s="200"/>
      <c r="J1222" s="559"/>
      <c r="K1222" s="407"/>
      <c r="L1222" s="559"/>
      <c r="M1222" s="559"/>
      <c r="N1222" s="559"/>
      <c r="O1222" s="559"/>
      <c r="P1222" s="559"/>
      <c r="Q1222" s="559"/>
      <c r="R1222" s="559"/>
      <c r="S1222" s="559"/>
    </row>
    <row r="1223" spans="6:19" s="338" customFormat="1" x14ac:dyDescent="0.25">
      <c r="F1223" s="339" t="s">
        <v>63</v>
      </c>
      <c r="G1223" s="338" t="s">
        <v>725</v>
      </c>
      <c r="I1223" s="200"/>
      <c r="J1223" s="559"/>
      <c r="K1223" s="407"/>
      <c r="L1223" s="559"/>
      <c r="M1223" s="559"/>
      <c r="N1223" s="559"/>
      <c r="O1223" s="559"/>
      <c r="P1223" s="559"/>
      <c r="Q1223" s="559"/>
      <c r="R1223" s="559"/>
      <c r="S1223" s="559"/>
    </row>
    <row r="1224" spans="6:19" s="338" customFormat="1" x14ac:dyDescent="0.25">
      <c r="F1224" s="339" t="s">
        <v>64</v>
      </c>
      <c r="G1224" s="338" t="s">
        <v>725</v>
      </c>
      <c r="I1224" s="200"/>
      <c r="J1224" s="559"/>
      <c r="K1224" s="407"/>
      <c r="L1224" s="559"/>
      <c r="M1224" s="559"/>
      <c r="N1224" s="559"/>
      <c r="O1224" s="559"/>
      <c r="P1224" s="559"/>
      <c r="Q1224" s="559"/>
      <c r="R1224" s="559"/>
      <c r="S1224" s="559"/>
    </row>
    <row r="1225" spans="6:19" s="338" customFormat="1" x14ac:dyDescent="0.25">
      <c r="F1225" s="339" t="s">
        <v>65</v>
      </c>
      <c r="G1225" s="338" t="s">
        <v>725</v>
      </c>
      <c r="I1225" s="200"/>
      <c r="J1225" s="559"/>
      <c r="K1225" s="407"/>
      <c r="L1225" s="559"/>
      <c r="M1225" s="559"/>
      <c r="N1225" s="559"/>
      <c r="O1225" s="559"/>
      <c r="P1225" s="559"/>
      <c r="Q1225" s="559"/>
      <c r="R1225" s="559"/>
      <c r="S1225" s="559"/>
    </row>
    <row r="1226" spans="6:19" s="338" customFormat="1" x14ac:dyDescent="0.25">
      <c r="F1226" s="339" t="s">
        <v>66</v>
      </c>
      <c r="G1226" s="338" t="s">
        <v>725</v>
      </c>
      <c r="I1226" s="200"/>
      <c r="J1226" s="559"/>
      <c r="K1226" s="407"/>
      <c r="L1226" s="559"/>
      <c r="M1226" s="559"/>
      <c r="N1226" s="559"/>
      <c r="O1226" s="559"/>
      <c r="P1226" s="559"/>
      <c r="Q1226" s="559"/>
      <c r="R1226" s="559"/>
      <c r="S1226" s="559"/>
    </row>
    <row r="1227" spans="6:19" s="338" customFormat="1" x14ac:dyDescent="0.25">
      <c r="F1227" s="339" t="s">
        <v>67</v>
      </c>
      <c r="G1227" s="338" t="s">
        <v>725</v>
      </c>
      <c r="I1227" s="200"/>
      <c r="J1227" s="559"/>
      <c r="K1227" s="407"/>
      <c r="L1227" s="559"/>
      <c r="M1227" s="559"/>
      <c r="N1227" s="559"/>
      <c r="O1227" s="559"/>
      <c r="P1227" s="559"/>
      <c r="Q1227" s="559"/>
      <c r="R1227" s="559"/>
      <c r="S1227" s="559"/>
    </row>
    <row r="1228" spans="6:19" s="338" customFormat="1" x14ac:dyDescent="0.25">
      <c r="F1228" s="339" t="s">
        <v>68</v>
      </c>
      <c r="G1228" s="338" t="s">
        <v>725</v>
      </c>
      <c r="I1228" s="200"/>
      <c r="J1228" s="559"/>
      <c r="K1228" s="407"/>
      <c r="L1228" s="559"/>
      <c r="M1228" s="559"/>
      <c r="N1228" s="559"/>
      <c r="O1228" s="559"/>
      <c r="P1228" s="559"/>
      <c r="Q1228" s="559"/>
      <c r="R1228" s="559"/>
      <c r="S1228" s="559"/>
    </row>
    <row r="1229" spans="6:19" s="338" customFormat="1" x14ac:dyDescent="0.25">
      <c r="F1229" s="339" t="s">
        <v>69</v>
      </c>
      <c r="G1229" s="338" t="s">
        <v>725</v>
      </c>
      <c r="I1229" s="200"/>
      <c r="J1229" s="559"/>
      <c r="K1229" s="407"/>
      <c r="L1229" s="559"/>
      <c r="M1229" s="559"/>
      <c r="N1229" s="559"/>
      <c r="O1229" s="559"/>
      <c r="P1229" s="559"/>
      <c r="Q1229" s="559"/>
      <c r="R1229" s="559"/>
      <c r="S1229" s="559"/>
    </row>
    <row r="1230" spans="6:19" s="338" customFormat="1" x14ac:dyDescent="0.25">
      <c r="F1230" s="339" t="s">
        <v>70</v>
      </c>
      <c r="G1230" s="338" t="s">
        <v>725</v>
      </c>
      <c r="I1230" s="200"/>
      <c r="J1230" s="559"/>
      <c r="K1230" s="407"/>
      <c r="L1230" s="559"/>
      <c r="M1230" s="559"/>
      <c r="N1230" s="559"/>
      <c r="O1230" s="559"/>
      <c r="P1230" s="559"/>
      <c r="Q1230" s="559"/>
      <c r="R1230" s="559"/>
      <c r="S1230" s="559"/>
    </row>
    <row r="1231" spans="6:19" s="338" customFormat="1" x14ac:dyDescent="0.25">
      <c r="F1231" s="339" t="s">
        <v>71</v>
      </c>
      <c r="G1231" s="338" t="s">
        <v>725</v>
      </c>
      <c r="I1231" s="200"/>
      <c r="J1231" s="559"/>
      <c r="K1231" s="407"/>
      <c r="L1231" s="559"/>
      <c r="M1231" s="559"/>
      <c r="N1231" s="559"/>
      <c r="O1231" s="559"/>
      <c r="P1231" s="559"/>
      <c r="Q1231" s="559"/>
      <c r="R1231" s="559"/>
      <c r="S1231" s="559"/>
    </row>
    <row r="1232" spans="6:19" s="338" customFormat="1" x14ac:dyDescent="0.25">
      <c r="F1232" s="339" t="s">
        <v>74</v>
      </c>
      <c r="G1232" s="338" t="s">
        <v>725</v>
      </c>
      <c r="I1232" s="200"/>
      <c r="J1232" s="397">
        <f t="shared" ref="J1232:J1235" si="105">CHOOSE(year_selection, L1232,M1232,N1232,O1232,P1232,Q1232,R1232,S1232)</f>
        <v>44791.95</v>
      </c>
      <c r="K1232" s="407"/>
      <c r="L1232" s="526">
        <v>19365</v>
      </c>
      <c r="M1232" s="526">
        <v>19945.95</v>
      </c>
      <c r="N1232" s="526">
        <v>45110</v>
      </c>
      <c r="O1232" s="526">
        <v>44791.95</v>
      </c>
      <c r="P1232" s="526">
        <f>O1232*1.033</f>
        <v>46270.08434999999</v>
      </c>
      <c r="Q1232" s="526">
        <f t="shared" ref="Q1232:S1232" si="106">P1232*1.033</f>
        <v>47796.997133549987</v>
      </c>
      <c r="R1232" s="526">
        <f t="shared" si="106"/>
        <v>49374.298038957131</v>
      </c>
      <c r="S1232" s="526">
        <f t="shared" si="106"/>
        <v>51003.649874242714</v>
      </c>
    </row>
    <row r="1233" spans="3:21" s="338" customFormat="1" x14ac:dyDescent="0.25">
      <c r="F1233" s="339" t="s">
        <v>75</v>
      </c>
      <c r="G1233" s="338" t="s">
        <v>725</v>
      </c>
      <c r="I1233" s="200"/>
      <c r="J1233" s="397">
        <f t="shared" si="105"/>
        <v>44791.95</v>
      </c>
      <c r="K1233" s="407"/>
      <c r="L1233" s="526">
        <v>0</v>
      </c>
      <c r="M1233" s="526">
        <v>19945.95</v>
      </c>
      <c r="N1233" s="526">
        <v>45110</v>
      </c>
      <c r="O1233" s="526">
        <v>44791.95</v>
      </c>
      <c r="P1233" s="526">
        <f t="shared" ref="P1233:S1235" si="107">O1233*1.033</f>
        <v>46270.08434999999</v>
      </c>
      <c r="Q1233" s="526">
        <f t="shared" si="107"/>
        <v>47796.997133549987</v>
      </c>
      <c r="R1233" s="526">
        <f t="shared" si="107"/>
        <v>49374.298038957131</v>
      </c>
      <c r="S1233" s="526">
        <f t="shared" si="107"/>
        <v>51003.649874242714</v>
      </c>
    </row>
    <row r="1234" spans="3:21" s="338" customFormat="1" x14ac:dyDescent="0.25">
      <c r="F1234" s="339" t="s">
        <v>76</v>
      </c>
      <c r="G1234" s="338" t="s">
        <v>725</v>
      </c>
      <c r="I1234" s="200"/>
      <c r="J1234" s="397">
        <f t="shared" si="105"/>
        <v>44791.95</v>
      </c>
      <c r="K1234" s="407"/>
      <c r="L1234" s="526">
        <v>19365</v>
      </c>
      <c r="M1234" s="526">
        <v>19945.95</v>
      </c>
      <c r="N1234" s="526">
        <v>45110</v>
      </c>
      <c r="O1234" s="526">
        <v>44791.95</v>
      </c>
      <c r="P1234" s="526">
        <f t="shared" si="107"/>
        <v>46270.08434999999</v>
      </c>
      <c r="Q1234" s="526">
        <f t="shared" si="107"/>
        <v>47796.997133549987</v>
      </c>
      <c r="R1234" s="526">
        <f t="shared" si="107"/>
        <v>49374.298038957131</v>
      </c>
      <c r="S1234" s="526">
        <f t="shared" si="107"/>
        <v>51003.649874242714</v>
      </c>
    </row>
    <row r="1235" spans="3:21" s="338" customFormat="1" x14ac:dyDescent="0.25">
      <c r="F1235" s="168" t="s">
        <v>77</v>
      </c>
      <c r="G1235" s="168" t="s">
        <v>725</v>
      </c>
      <c r="H1235" s="168"/>
      <c r="I1235" s="262"/>
      <c r="J1235" s="399">
        <f t="shared" si="105"/>
        <v>44791.95</v>
      </c>
      <c r="K1235" s="400"/>
      <c r="L1235" s="527">
        <v>0</v>
      </c>
      <c r="M1235" s="527">
        <v>19945.95</v>
      </c>
      <c r="N1235" s="527">
        <v>45110</v>
      </c>
      <c r="O1235" s="527">
        <v>44791.95</v>
      </c>
      <c r="P1235" s="527">
        <f t="shared" si="107"/>
        <v>46270.08434999999</v>
      </c>
      <c r="Q1235" s="527">
        <f t="shared" si="107"/>
        <v>47796.997133549987</v>
      </c>
      <c r="R1235" s="527">
        <f t="shared" si="107"/>
        <v>49374.298038957131</v>
      </c>
      <c r="S1235" s="527">
        <f t="shared" si="107"/>
        <v>51003.649874242714</v>
      </c>
    </row>
    <row r="1236" spans="3:21" s="338" customFormat="1" x14ac:dyDescent="0.25">
      <c r="D1236" s="35"/>
      <c r="I1236" s="200"/>
      <c r="J1236" s="401"/>
      <c r="K1236" s="401"/>
      <c r="L1236" s="401"/>
      <c r="M1236" s="401"/>
      <c r="N1236" s="401"/>
      <c r="O1236" s="401"/>
      <c r="P1236" s="401"/>
      <c r="Q1236" s="401"/>
      <c r="R1236" s="401"/>
      <c r="S1236" s="401"/>
    </row>
    <row r="1237" spans="3:21" s="338" customFormat="1" x14ac:dyDescent="0.25">
      <c r="C1237" s="22" t="str">
        <f ca="1">INDEX('Version control'!$H$34:$H$59,MATCH($A$1,'Version control'!$F$34:$F$59,0),1)&amp;"-K: LV UMS customer service model asset values"</f>
        <v>Input 501-K: LV UMS customer service model asset values</v>
      </c>
      <c r="D1237" s="22"/>
      <c r="E1237" s="22"/>
      <c r="F1237" s="22"/>
      <c r="G1237" s="22"/>
      <c r="H1237" s="22"/>
      <c r="I1237" s="296"/>
      <c r="J1237" s="406"/>
      <c r="K1237" s="406"/>
      <c r="L1237" s="406"/>
      <c r="M1237" s="406"/>
      <c r="N1237" s="406"/>
      <c r="O1237" s="406"/>
      <c r="P1237" s="406"/>
      <c r="Q1237" s="406"/>
      <c r="R1237" s="406"/>
      <c r="S1237" s="406"/>
      <c r="T1237" s="22"/>
      <c r="U1237" s="22"/>
    </row>
    <row r="1238" spans="3:21" s="338" customFormat="1" x14ac:dyDescent="0.25">
      <c r="I1238" s="200"/>
      <c r="J1238" s="407"/>
      <c r="K1238" s="407"/>
      <c r="L1238" s="407"/>
      <c r="M1238" s="407"/>
      <c r="N1238" s="407"/>
      <c r="O1238" s="407"/>
      <c r="P1238" s="407"/>
      <c r="Q1238" s="407"/>
      <c r="R1238" s="407"/>
      <c r="S1238" s="407"/>
    </row>
    <row r="1239" spans="3:21" s="338" customFormat="1" x14ac:dyDescent="0.25">
      <c r="E1239" s="172" t="s">
        <v>871</v>
      </c>
      <c r="I1239" s="200"/>
      <c r="J1239" s="401"/>
      <c r="K1239" s="401"/>
      <c r="L1239" s="401"/>
      <c r="M1239" s="401"/>
      <c r="N1239" s="401"/>
      <c r="O1239" s="401"/>
      <c r="P1239" s="401"/>
      <c r="Q1239" s="401"/>
      <c r="R1239" s="401"/>
      <c r="S1239" s="401"/>
    </row>
    <row r="1240" spans="3:21" s="338" customFormat="1" x14ac:dyDescent="0.25">
      <c r="F1240" s="166" t="s">
        <v>52</v>
      </c>
      <c r="G1240" s="166" t="s">
        <v>401</v>
      </c>
      <c r="H1240" s="166"/>
      <c r="I1240" s="201"/>
      <c r="J1240" s="402"/>
      <c r="K1240" s="396"/>
      <c r="L1240" s="402"/>
      <c r="M1240" s="402"/>
      <c r="N1240" s="402"/>
      <c r="O1240" s="402"/>
      <c r="P1240" s="402"/>
      <c r="Q1240" s="402"/>
      <c r="R1240" s="402"/>
      <c r="S1240" s="402"/>
    </row>
    <row r="1241" spans="3:21" s="338" customFormat="1" x14ac:dyDescent="0.25">
      <c r="F1241" s="339" t="s">
        <v>53</v>
      </c>
      <c r="G1241" s="338" t="s">
        <v>401</v>
      </c>
      <c r="I1241" s="200"/>
      <c r="J1241" s="403"/>
      <c r="K1241" s="407"/>
      <c r="L1241" s="403"/>
      <c r="M1241" s="403"/>
      <c r="N1241" s="403"/>
      <c r="O1241" s="403"/>
      <c r="P1241" s="403"/>
      <c r="Q1241" s="403"/>
      <c r="R1241" s="403"/>
      <c r="S1241" s="403"/>
    </row>
    <row r="1242" spans="3:21" s="338" customFormat="1" x14ac:dyDescent="0.25">
      <c r="F1242" s="339" t="s">
        <v>84</v>
      </c>
      <c r="G1242" s="338" t="s">
        <v>401</v>
      </c>
      <c r="I1242" s="200"/>
      <c r="J1242" s="403"/>
      <c r="K1242" s="407"/>
      <c r="L1242" s="403"/>
      <c r="M1242" s="403"/>
      <c r="N1242" s="403"/>
      <c r="O1242" s="403"/>
      <c r="P1242" s="403"/>
      <c r="Q1242" s="403"/>
      <c r="R1242" s="403"/>
      <c r="S1242" s="403"/>
    </row>
    <row r="1243" spans="3:21" s="338" customFormat="1" x14ac:dyDescent="0.25">
      <c r="F1243" s="339" t="s">
        <v>54</v>
      </c>
      <c r="G1243" s="338" t="s">
        <v>401</v>
      </c>
      <c r="I1243" s="200"/>
      <c r="J1243" s="403"/>
      <c r="K1243" s="407"/>
      <c r="L1243" s="403"/>
      <c r="M1243" s="403"/>
      <c r="N1243" s="403"/>
      <c r="O1243" s="403"/>
      <c r="P1243" s="403"/>
      <c r="Q1243" s="403"/>
      <c r="R1243" s="403"/>
      <c r="S1243" s="403"/>
    </row>
    <row r="1244" spans="3:21" s="338" customFormat="1" x14ac:dyDescent="0.25">
      <c r="F1244" s="339" t="s">
        <v>55</v>
      </c>
      <c r="G1244" s="338" t="s">
        <v>401</v>
      </c>
      <c r="I1244" s="200"/>
      <c r="J1244" s="403"/>
      <c r="K1244" s="407"/>
      <c r="L1244" s="403"/>
      <c r="M1244" s="403"/>
      <c r="N1244" s="403"/>
      <c r="O1244" s="403"/>
      <c r="P1244" s="403"/>
      <c r="Q1244" s="403"/>
      <c r="R1244" s="403"/>
      <c r="S1244" s="403"/>
    </row>
    <row r="1245" spans="3:21" s="338" customFormat="1" x14ac:dyDescent="0.25">
      <c r="F1245" s="339" t="s">
        <v>85</v>
      </c>
      <c r="G1245" s="338" t="s">
        <v>401</v>
      </c>
      <c r="I1245" s="200"/>
      <c r="J1245" s="403"/>
      <c r="K1245" s="407"/>
      <c r="L1245" s="403"/>
      <c r="M1245" s="403"/>
      <c r="N1245" s="403"/>
      <c r="O1245" s="403"/>
      <c r="P1245" s="403"/>
      <c r="Q1245" s="403"/>
      <c r="R1245" s="403"/>
      <c r="S1245" s="403"/>
    </row>
    <row r="1246" spans="3:21" s="338" customFormat="1" x14ac:dyDescent="0.25">
      <c r="F1246" s="339" t="s">
        <v>56</v>
      </c>
      <c r="G1246" s="338" t="s">
        <v>401</v>
      </c>
      <c r="I1246" s="200"/>
      <c r="J1246" s="403"/>
      <c r="K1246" s="407"/>
      <c r="L1246" s="403"/>
      <c r="M1246" s="403"/>
      <c r="N1246" s="403"/>
      <c r="O1246" s="403"/>
      <c r="P1246" s="403"/>
      <c r="Q1246" s="403"/>
      <c r="R1246" s="403"/>
      <c r="S1246" s="403"/>
    </row>
    <row r="1247" spans="3:21" s="338" customFormat="1" x14ac:dyDescent="0.25">
      <c r="F1247" s="339" t="s">
        <v>57</v>
      </c>
      <c r="G1247" s="338" t="s">
        <v>401</v>
      </c>
      <c r="I1247" s="200"/>
      <c r="J1247" s="403"/>
      <c r="K1247" s="407"/>
      <c r="L1247" s="403"/>
      <c r="M1247" s="403"/>
      <c r="N1247" s="403"/>
      <c r="O1247" s="403"/>
      <c r="P1247" s="403"/>
      <c r="Q1247" s="403"/>
      <c r="R1247" s="403"/>
      <c r="S1247" s="403"/>
    </row>
    <row r="1248" spans="3:21" s="338" customFormat="1" x14ac:dyDescent="0.25">
      <c r="F1248" s="339" t="s">
        <v>72</v>
      </c>
      <c r="G1248" s="338" t="s">
        <v>401</v>
      </c>
      <c r="I1248" s="200"/>
      <c r="J1248" s="403"/>
      <c r="K1248" s="407"/>
      <c r="L1248" s="403"/>
      <c r="M1248" s="403"/>
      <c r="N1248" s="403"/>
      <c r="O1248" s="403"/>
      <c r="P1248" s="403"/>
      <c r="Q1248" s="403"/>
      <c r="R1248" s="403"/>
      <c r="S1248" s="403"/>
    </row>
    <row r="1249" spans="6:19" s="338" customFormat="1" x14ac:dyDescent="0.25">
      <c r="F1249" s="339" t="s">
        <v>58</v>
      </c>
      <c r="G1249" s="338" t="s">
        <v>401</v>
      </c>
      <c r="I1249" s="200"/>
      <c r="J1249" s="403"/>
      <c r="K1249" s="407"/>
      <c r="L1249" s="403"/>
      <c r="M1249" s="403"/>
      <c r="N1249" s="403"/>
      <c r="O1249" s="403"/>
      <c r="P1249" s="403"/>
      <c r="Q1249" s="403"/>
      <c r="R1249" s="403"/>
      <c r="S1249" s="403"/>
    </row>
    <row r="1250" spans="6:19" s="338" customFormat="1" x14ac:dyDescent="0.25">
      <c r="F1250" s="339" t="s">
        <v>59</v>
      </c>
      <c r="G1250" s="338" t="s">
        <v>401</v>
      </c>
      <c r="I1250" s="200"/>
      <c r="J1250" s="403"/>
      <c r="K1250" s="407"/>
      <c r="L1250" s="403"/>
      <c r="M1250" s="403"/>
      <c r="N1250" s="403"/>
      <c r="O1250" s="403"/>
      <c r="P1250" s="403"/>
      <c r="Q1250" s="403"/>
      <c r="R1250" s="403"/>
      <c r="S1250" s="403"/>
    </row>
    <row r="1251" spans="6:19" s="338" customFormat="1" x14ac:dyDescent="0.25">
      <c r="F1251" s="339" t="s">
        <v>60</v>
      </c>
      <c r="G1251" s="338" t="s">
        <v>401</v>
      </c>
      <c r="I1251" s="200"/>
      <c r="J1251" s="403"/>
      <c r="K1251" s="407"/>
      <c r="L1251" s="403"/>
      <c r="M1251" s="403"/>
      <c r="N1251" s="403"/>
      <c r="O1251" s="403"/>
      <c r="P1251" s="403"/>
      <c r="Q1251" s="403"/>
      <c r="R1251" s="403"/>
      <c r="S1251" s="403"/>
    </row>
    <row r="1252" spans="6:19" s="338" customFormat="1" x14ac:dyDescent="0.25">
      <c r="F1252" s="339" t="s">
        <v>61</v>
      </c>
      <c r="G1252" s="338" t="s">
        <v>401</v>
      </c>
      <c r="I1252" s="200"/>
      <c r="J1252" s="403"/>
      <c r="K1252" s="407"/>
      <c r="L1252" s="403"/>
      <c r="M1252" s="403"/>
      <c r="N1252" s="403"/>
      <c r="O1252" s="403"/>
      <c r="P1252" s="403"/>
      <c r="Q1252" s="403"/>
      <c r="R1252" s="403"/>
      <c r="S1252" s="403"/>
    </row>
    <row r="1253" spans="6:19" s="338" customFormat="1" x14ac:dyDescent="0.25">
      <c r="F1253" s="339" t="s">
        <v>73</v>
      </c>
      <c r="G1253" s="338" t="s">
        <v>401</v>
      </c>
      <c r="I1253" s="200"/>
      <c r="J1253" s="403"/>
      <c r="K1253" s="407"/>
      <c r="L1253" s="403"/>
      <c r="M1253" s="403"/>
      <c r="N1253" s="403"/>
      <c r="O1253" s="403"/>
      <c r="P1253" s="403"/>
      <c r="Q1253" s="403"/>
      <c r="R1253" s="403"/>
      <c r="S1253" s="403"/>
    </row>
    <row r="1254" spans="6:19" s="338" customFormat="1" x14ac:dyDescent="0.25">
      <c r="F1254" s="339" t="s">
        <v>86</v>
      </c>
      <c r="G1254" s="338" t="s">
        <v>401</v>
      </c>
      <c r="I1254" s="200"/>
      <c r="J1254" s="397">
        <f>CHOOSE(year_selection, L1254,M1254,N1254,O1254,P1254,Q1254,R1254,S1254)</f>
        <v>741.76333</v>
      </c>
      <c r="K1254" s="407"/>
      <c r="L1254" s="526">
        <v>186.29399999999998</v>
      </c>
      <c r="M1254" s="526">
        <v>191.88281999999998</v>
      </c>
      <c r="N1254" s="526">
        <v>564.00699999999995</v>
      </c>
      <c r="O1254" s="526">
        <v>741.76333</v>
      </c>
      <c r="P1254" s="526">
        <f>O1254*1.033</f>
        <v>766.24151988999995</v>
      </c>
      <c r="Q1254" s="526">
        <f t="shared" ref="Q1254:S1254" si="108">P1254*1.033</f>
        <v>791.52749004636985</v>
      </c>
      <c r="R1254" s="526">
        <f t="shared" si="108"/>
        <v>817.64789721789998</v>
      </c>
      <c r="S1254" s="526">
        <f t="shared" si="108"/>
        <v>844.63027782609061</v>
      </c>
    </row>
    <row r="1255" spans="6:19" s="338" customFormat="1" x14ac:dyDescent="0.25">
      <c r="F1255" s="339" t="s">
        <v>87</v>
      </c>
      <c r="G1255" s="338" t="s">
        <v>401</v>
      </c>
      <c r="I1255" s="200"/>
      <c r="J1255" s="397">
        <f>CHOOSE(year_selection, L1255,M1255,N1255,O1255,P1255,Q1255,R1255,S1255)</f>
        <v>741.76333</v>
      </c>
      <c r="K1255" s="407"/>
      <c r="L1255" s="526">
        <v>186.29399999999998</v>
      </c>
      <c r="M1255" s="526">
        <v>191.88281999999998</v>
      </c>
      <c r="N1255" s="526">
        <v>564.00699999999995</v>
      </c>
      <c r="O1255" s="526">
        <v>741.76333</v>
      </c>
      <c r="P1255" s="526">
        <f t="shared" ref="P1255:S1258" si="109">O1255*1.033</f>
        <v>766.24151988999995</v>
      </c>
      <c r="Q1255" s="526">
        <f t="shared" si="109"/>
        <v>791.52749004636985</v>
      </c>
      <c r="R1255" s="526">
        <f t="shared" si="109"/>
        <v>817.64789721789998</v>
      </c>
      <c r="S1255" s="526">
        <f t="shared" si="109"/>
        <v>844.63027782609061</v>
      </c>
    </row>
    <row r="1256" spans="6:19" s="338" customFormat="1" x14ac:dyDescent="0.25">
      <c r="F1256" s="339" t="s">
        <v>88</v>
      </c>
      <c r="G1256" s="338" t="s">
        <v>401</v>
      </c>
      <c r="I1256" s="200"/>
      <c r="J1256" s="397">
        <f>CHOOSE(year_selection, L1256,M1256,N1256,O1256,P1256,Q1256,R1256,S1256)</f>
        <v>741.76333</v>
      </c>
      <c r="K1256" s="407"/>
      <c r="L1256" s="526">
        <v>186.29399999999998</v>
      </c>
      <c r="M1256" s="526">
        <v>191.88281999999998</v>
      </c>
      <c r="N1256" s="526">
        <v>564.00699999999995</v>
      </c>
      <c r="O1256" s="526">
        <v>741.76333</v>
      </c>
      <c r="P1256" s="526">
        <f t="shared" si="109"/>
        <v>766.24151988999995</v>
      </c>
      <c r="Q1256" s="526">
        <f t="shared" si="109"/>
        <v>791.52749004636985</v>
      </c>
      <c r="R1256" s="526">
        <f t="shared" si="109"/>
        <v>817.64789721789998</v>
      </c>
      <c r="S1256" s="526">
        <f t="shared" si="109"/>
        <v>844.63027782609061</v>
      </c>
    </row>
    <row r="1257" spans="6:19" s="338" customFormat="1" x14ac:dyDescent="0.25">
      <c r="F1257" s="339" t="s">
        <v>89</v>
      </c>
      <c r="G1257" s="338" t="s">
        <v>401</v>
      </c>
      <c r="I1257" s="200"/>
      <c r="J1257" s="397">
        <f>CHOOSE(year_selection, L1257,M1257,N1257,O1257,P1257,Q1257,R1257,S1257)</f>
        <v>741.76333</v>
      </c>
      <c r="K1257" s="407"/>
      <c r="L1257" s="526">
        <v>186.29399999999998</v>
      </c>
      <c r="M1257" s="526">
        <v>191.88281999999998</v>
      </c>
      <c r="N1257" s="526">
        <v>564.00699999999995</v>
      </c>
      <c r="O1257" s="526">
        <v>741.76333</v>
      </c>
      <c r="P1257" s="526">
        <f t="shared" si="109"/>
        <v>766.24151988999995</v>
      </c>
      <c r="Q1257" s="526">
        <f t="shared" si="109"/>
        <v>791.52749004636985</v>
      </c>
      <c r="R1257" s="526">
        <f t="shared" si="109"/>
        <v>817.64789721789998</v>
      </c>
      <c r="S1257" s="526">
        <f t="shared" si="109"/>
        <v>844.63027782609061</v>
      </c>
    </row>
    <row r="1258" spans="6:19" s="338" customFormat="1" x14ac:dyDescent="0.25">
      <c r="F1258" s="339" t="s">
        <v>90</v>
      </c>
      <c r="G1258" s="338" t="s">
        <v>401</v>
      </c>
      <c r="I1258" s="200"/>
      <c r="J1258" s="397">
        <f>CHOOSE(year_selection, L1258,M1258,N1258,O1258,P1258,Q1258,R1258,S1258)</f>
        <v>741.76333</v>
      </c>
      <c r="K1258" s="407"/>
      <c r="L1258" s="526">
        <v>186.29399999999998</v>
      </c>
      <c r="M1258" s="526">
        <v>191.88281999999998</v>
      </c>
      <c r="N1258" s="526">
        <v>564.00699999999995</v>
      </c>
      <c r="O1258" s="526">
        <v>741.76333</v>
      </c>
      <c r="P1258" s="526">
        <f t="shared" si="109"/>
        <v>766.24151988999995</v>
      </c>
      <c r="Q1258" s="526">
        <f t="shared" si="109"/>
        <v>791.52749004636985</v>
      </c>
      <c r="R1258" s="526">
        <f t="shared" si="109"/>
        <v>817.64789721789998</v>
      </c>
      <c r="S1258" s="526">
        <f t="shared" si="109"/>
        <v>844.63027782609061</v>
      </c>
    </row>
    <row r="1259" spans="6:19" s="338" customFormat="1" x14ac:dyDescent="0.25">
      <c r="F1259" s="339" t="s">
        <v>62</v>
      </c>
      <c r="G1259" s="338" t="s">
        <v>401</v>
      </c>
      <c r="I1259" s="200"/>
      <c r="J1259" s="403"/>
      <c r="K1259" s="407"/>
      <c r="L1259" s="403"/>
      <c r="M1259" s="403"/>
      <c r="N1259" s="403"/>
      <c r="O1259" s="403"/>
      <c r="P1259" s="403"/>
      <c r="Q1259" s="403"/>
      <c r="R1259" s="403"/>
      <c r="S1259" s="403"/>
    </row>
    <row r="1260" spans="6:19" s="338" customFormat="1" x14ac:dyDescent="0.25">
      <c r="F1260" s="339" t="s">
        <v>63</v>
      </c>
      <c r="G1260" s="338" t="s">
        <v>401</v>
      </c>
      <c r="I1260" s="200"/>
      <c r="J1260" s="403"/>
      <c r="K1260" s="407"/>
      <c r="L1260" s="403"/>
      <c r="M1260" s="403"/>
      <c r="N1260" s="403"/>
      <c r="O1260" s="403"/>
      <c r="P1260" s="403"/>
      <c r="Q1260" s="403"/>
      <c r="R1260" s="403"/>
      <c r="S1260" s="403"/>
    </row>
    <row r="1261" spans="6:19" s="338" customFormat="1" x14ac:dyDescent="0.25">
      <c r="F1261" s="339" t="s">
        <v>64</v>
      </c>
      <c r="G1261" s="338" t="s">
        <v>401</v>
      </c>
      <c r="I1261" s="200"/>
      <c r="J1261" s="403"/>
      <c r="K1261" s="407"/>
      <c r="L1261" s="403"/>
      <c r="M1261" s="403"/>
      <c r="N1261" s="403"/>
      <c r="O1261" s="403"/>
      <c r="P1261" s="403"/>
      <c r="Q1261" s="403"/>
      <c r="R1261" s="403"/>
      <c r="S1261" s="403"/>
    </row>
    <row r="1262" spans="6:19" s="338" customFormat="1" x14ac:dyDescent="0.25">
      <c r="F1262" s="339" t="s">
        <v>65</v>
      </c>
      <c r="G1262" s="338" t="s">
        <v>401</v>
      </c>
      <c r="I1262" s="200"/>
      <c r="J1262" s="403"/>
      <c r="K1262" s="407"/>
      <c r="L1262" s="403"/>
      <c r="M1262" s="403"/>
      <c r="N1262" s="403"/>
      <c r="O1262" s="403"/>
      <c r="P1262" s="403"/>
      <c r="Q1262" s="403"/>
      <c r="R1262" s="403"/>
      <c r="S1262" s="403"/>
    </row>
    <row r="1263" spans="6:19" s="338" customFormat="1" x14ac:dyDescent="0.25">
      <c r="F1263" s="339" t="s">
        <v>66</v>
      </c>
      <c r="G1263" s="338" t="s">
        <v>401</v>
      </c>
      <c r="I1263" s="200"/>
      <c r="J1263" s="403"/>
      <c r="K1263" s="407"/>
      <c r="L1263" s="403"/>
      <c r="M1263" s="403"/>
      <c r="N1263" s="403"/>
      <c r="O1263" s="403"/>
      <c r="P1263" s="403"/>
      <c r="Q1263" s="403"/>
      <c r="R1263" s="403"/>
      <c r="S1263" s="403"/>
    </row>
    <row r="1264" spans="6:19" s="338" customFormat="1" x14ac:dyDescent="0.25">
      <c r="F1264" s="339" t="s">
        <v>67</v>
      </c>
      <c r="G1264" s="338" t="s">
        <v>401</v>
      </c>
      <c r="I1264" s="200"/>
      <c r="J1264" s="403"/>
      <c r="K1264" s="407"/>
      <c r="L1264" s="403"/>
      <c r="M1264" s="403"/>
      <c r="N1264" s="403"/>
      <c r="O1264" s="403"/>
      <c r="P1264" s="403"/>
      <c r="Q1264" s="403"/>
      <c r="R1264" s="403"/>
      <c r="S1264" s="403"/>
    </row>
    <row r="1265" spans="2:49" s="338" customFormat="1" x14ac:dyDescent="0.25">
      <c r="F1265" s="339" t="s">
        <v>68</v>
      </c>
      <c r="G1265" s="338" t="s">
        <v>401</v>
      </c>
      <c r="I1265" s="200"/>
      <c r="J1265" s="403"/>
      <c r="K1265" s="407"/>
      <c r="L1265" s="403"/>
      <c r="M1265" s="403"/>
      <c r="N1265" s="403"/>
      <c r="O1265" s="403"/>
      <c r="P1265" s="403"/>
      <c r="Q1265" s="403"/>
      <c r="R1265" s="403"/>
      <c r="S1265" s="403"/>
    </row>
    <row r="1266" spans="2:49" s="338" customFormat="1" x14ac:dyDescent="0.25">
      <c r="F1266" s="339" t="s">
        <v>69</v>
      </c>
      <c r="G1266" s="338" t="s">
        <v>401</v>
      </c>
      <c r="I1266" s="200"/>
      <c r="J1266" s="403"/>
      <c r="K1266" s="407"/>
      <c r="L1266" s="403"/>
      <c r="M1266" s="403"/>
      <c r="N1266" s="403"/>
      <c r="O1266" s="403"/>
      <c r="P1266" s="403"/>
      <c r="Q1266" s="403"/>
      <c r="R1266" s="403"/>
      <c r="S1266" s="403"/>
    </row>
    <row r="1267" spans="2:49" s="338" customFormat="1" x14ac:dyDescent="0.25">
      <c r="F1267" s="339" t="s">
        <v>70</v>
      </c>
      <c r="G1267" s="338" t="s">
        <v>401</v>
      </c>
      <c r="I1267" s="200"/>
      <c r="J1267" s="403"/>
      <c r="K1267" s="407"/>
      <c r="L1267" s="403"/>
      <c r="M1267" s="403"/>
      <c r="N1267" s="403"/>
      <c r="O1267" s="403"/>
      <c r="P1267" s="403"/>
      <c r="Q1267" s="403"/>
      <c r="R1267" s="403"/>
      <c r="S1267" s="403"/>
    </row>
    <row r="1268" spans="2:49" s="338" customFormat="1" x14ac:dyDescent="0.25">
      <c r="F1268" s="339" t="s">
        <v>71</v>
      </c>
      <c r="G1268" s="338" t="s">
        <v>401</v>
      </c>
      <c r="I1268" s="200"/>
      <c r="J1268" s="403"/>
      <c r="K1268" s="407"/>
      <c r="L1268" s="403"/>
      <c r="M1268" s="403"/>
      <c r="N1268" s="403"/>
      <c r="O1268" s="403"/>
      <c r="P1268" s="403"/>
      <c r="Q1268" s="403"/>
      <c r="R1268" s="403"/>
      <c r="S1268" s="403"/>
    </row>
    <row r="1269" spans="2:49" s="338" customFormat="1" x14ac:dyDescent="0.25">
      <c r="F1269" s="339" t="s">
        <v>74</v>
      </c>
      <c r="G1269" s="338" t="s">
        <v>401</v>
      </c>
      <c r="I1269" s="200"/>
      <c r="J1269" s="403"/>
      <c r="K1269" s="407"/>
      <c r="L1269" s="403"/>
      <c r="M1269" s="403"/>
      <c r="N1269" s="403"/>
      <c r="O1269" s="403"/>
      <c r="P1269" s="403"/>
      <c r="Q1269" s="403"/>
      <c r="R1269" s="403"/>
      <c r="S1269" s="403"/>
    </row>
    <row r="1270" spans="2:49" s="338" customFormat="1" x14ac:dyDescent="0.25">
      <c r="F1270" s="339" t="s">
        <v>75</v>
      </c>
      <c r="G1270" s="338" t="s">
        <v>401</v>
      </c>
      <c r="I1270" s="200"/>
      <c r="J1270" s="403"/>
      <c r="K1270" s="407"/>
      <c r="L1270" s="403"/>
      <c r="M1270" s="403"/>
      <c r="N1270" s="403"/>
      <c r="O1270" s="403"/>
      <c r="P1270" s="403"/>
      <c r="Q1270" s="403"/>
      <c r="R1270" s="403"/>
      <c r="S1270" s="403"/>
    </row>
    <row r="1271" spans="2:49" s="338" customFormat="1" x14ac:dyDescent="0.25">
      <c r="F1271" s="339" t="s">
        <v>76</v>
      </c>
      <c r="G1271" s="338" t="s">
        <v>401</v>
      </c>
      <c r="I1271" s="200"/>
      <c r="J1271" s="403"/>
      <c r="K1271" s="407"/>
      <c r="L1271" s="403"/>
      <c r="M1271" s="403"/>
      <c r="N1271" s="403"/>
      <c r="O1271" s="403"/>
      <c r="P1271" s="403"/>
      <c r="Q1271" s="403"/>
      <c r="R1271" s="403"/>
      <c r="S1271" s="403"/>
    </row>
    <row r="1272" spans="2:49" s="338" customFormat="1" x14ac:dyDescent="0.25">
      <c r="F1272" s="168" t="s">
        <v>77</v>
      </c>
      <c r="G1272" s="168" t="s">
        <v>401</v>
      </c>
      <c r="H1272" s="168"/>
      <c r="I1272" s="262"/>
      <c r="J1272" s="404"/>
      <c r="K1272" s="400"/>
      <c r="L1272" s="404"/>
      <c r="M1272" s="404"/>
      <c r="N1272" s="404"/>
      <c r="O1272" s="404"/>
      <c r="P1272" s="404"/>
      <c r="Q1272" s="404"/>
      <c r="R1272" s="404"/>
      <c r="S1272" s="404"/>
    </row>
    <row r="1273" spans="2:49" s="338" customFormat="1" x14ac:dyDescent="0.25">
      <c r="D1273" s="35"/>
      <c r="I1273" s="200"/>
      <c r="J1273" s="200"/>
      <c r="K1273" s="200"/>
      <c r="L1273" s="200"/>
      <c r="M1273" s="200"/>
      <c r="N1273" s="200"/>
      <c r="O1273" s="200"/>
      <c r="P1273" s="200"/>
      <c r="Q1273" s="200"/>
      <c r="R1273" s="200"/>
      <c r="S1273" s="200"/>
    </row>
    <row r="1274" spans="2:49" x14ac:dyDescent="0.25">
      <c r="B1274" s="171" t="s">
        <v>126</v>
      </c>
      <c r="C1274" s="171"/>
      <c r="D1274" s="171"/>
      <c r="E1274" s="171"/>
      <c r="F1274" s="171"/>
      <c r="G1274" s="171"/>
      <c r="H1274" s="171"/>
      <c r="I1274" s="278"/>
      <c r="J1274" s="278"/>
      <c r="K1274" s="278"/>
      <c r="L1274" s="278"/>
      <c r="M1274" s="278"/>
      <c r="N1274" s="278"/>
      <c r="O1274" s="278"/>
      <c r="P1274" s="278"/>
      <c r="Q1274" s="278"/>
      <c r="R1274" s="278"/>
      <c r="S1274" s="278"/>
      <c r="T1274" s="171"/>
      <c r="U1274" s="171"/>
      <c r="W1274" s="171"/>
      <c r="X1274" s="171"/>
      <c r="Y1274" s="171"/>
      <c r="Z1274" s="171"/>
      <c r="AA1274" s="171"/>
      <c r="AB1274" s="171"/>
      <c r="AC1274" s="171"/>
      <c r="AD1274" s="171"/>
      <c r="AE1274" s="171"/>
      <c r="AF1274" s="171"/>
      <c r="AG1274" s="171"/>
      <c r="AH1274" s="171"/>
      <c r="AI1274" s="171"/>
      <c r="AJ1274" s="171"/>
      <c r="AK1274" s="171"/>
      <c r="AL1274" s="171"/>
      <c r="AM1274" s="171"/>
      <c r="AN1274" s="171"/>
      <c r="AO1274" s="171"/>
      <c r="AP1274" s="171"/>
      <c r="AQ1274" s="171"/>
      <c r="AR1274" s="171"/>
      <c r="AS1274" s="171"/>
      <c r="AT1274" s="171"/>
      <c r="AU1274" s="171"/>
      <c r="AV1274" s="171"/>
      <c r="AW1274" s="171"/>
    </row>
    <row r="1275" spans="2:49" x14ac:dyDescent="0.25">
      <c r="H1275" s="200"/>
      <c r="J1275" s="200"/>
      <c r="K1275" s="200"/>
      <c r="L1275" s="200"/>
      <c r="M1275" s="200"/>
      <c r="N1275" s="200"/>
      <c r="O1275" s="200"/>
      <c r="P1275" s="200"/>
      <c r="Q1275" s="200"/>
      <c r="R1275" s="200"/>
      <c r="S1275" s="200"/>
    </row>
    <row r="1276" spans="2:49" s="474" customFormat="1" x14ac:dyDescent="0.25">
      <c r="C1276" s="152" t="s">
        <v>1014</v>
      </c>
      <c r="I1276" s="200"/>
      <c r="J1276" s="200"/>
      <c r="K1276" s="200"/>
      <c r="L1276" s="200"/>
      <c r="M1276" s="200"/>
      <c r="N1276" s="200"/>
      <c r="O1276" s="200"/>
      <c r="P1276" s="200"/>
      <c r="Q1276" s="200"/>
      <c r="R1276" s="200"/>
      <c r="S1276" s="200"/>
    </row>
    <row r="1277" spans="2:49" s="474" customFormat="1" x14ac:dyDescent="0.25">
      <c r="D1277" s="35"/>
      <c r="I1277" s="200"/>
      <c r="J1277" s="200"/>
      <c r="K1277" s="200"/>
      <c r="L1277" s="200"/>
      <c r="M1277" s="200"/>
      <c r="N1277" s="200"/>
      <c r="O1277" s="200"/>
      <c r="P1277" s="200"/>
      <c r="Q1277" s="200"/>
      <c r="R1277" s="200"/>
      <c r="S1277" s="200"/>
    </row>
    <row r="1278" spans="2:49" x14ac:dyDescent="0.25">
      <c r="D1278" s="160" t="s">
        <v>622</v>
      </c>
      <c r="G1278" s="111" t="s">
        <v>814</v>
      </c>
      <c r="H1278" s="316">
        <f t="array" ref="H1278">SUM(IF(ISERROR(H19:S1273), 1))</f>
        <v>0</v>
      </c>
      <c r="J1278" s="200"/>
      <c r="K1278" s="200"/>
      <c r="L1278" s="200"/>
      <c r="M1278" s="200"/>
      <c r="N1278" s="200"/>
      <c r="O1278" s="200"/>
      <c r="P1278" s="200"/>
      <c r="Q1278" s="200"/>
      <c r="R1278" s="200"/>
      <c r="S1278" s="200"/>
    </row>
    <row r="1279" spans="2:49" x14ac:dyDescent="0.25">
      <c r="H1279" s="200"/>
      <c r="J1279" s="200"/>
      <c r="K1279" s="200"/>
      <c r="L1279" s="200"/>
      <c r="M1279" s="200"/>
      <c r="N1279" s="200"/>
      <c r="O1279" s="200"/>
      <c r="P1279" s="200"/>
      <c r="Q1279" s="200"/>
      <c r="R1279" s="200"/>
      <c r="S1279" s="200"/>
    </row>
    <row r="1280" spans="2:49" x14ac:dyDescent="0.25">
      <c r="C1280" s="338"/>
      <c r="D1280" s="172" t="s">
        <v>919</v>
      </c>
      <c r="E1280" s="338"/>
      <c r="F1280" s="338"/>
      <c r="G1280" s="338"/>
      <c r="H1280" s="200"/>
      <c r="J1280" s="200"/>
      <c r="K1280" s="200"/>
      <c r="L1280" s="200"/>
      <c r="M1280" s="200"/>
      <c r="N1280" s="200"/>
      <c r="O1280" s="200"/>
      <c r="P1280" s="200"/>
      <c r="Q1280" s="200"/>
      <c r="R1280" s="200"/>
      <c r="S1280" s="200"/>
      <c r="T1280" s="338"/>
      <c r="U1280" s="338"/>
    </row>
    <row r="1281" spans="5:19" x14ac:dyDescent="0.25">
      <c r="E1281" s="172" t="s">
        <v>151</v>
      </c>
      <c r="H1281" s="200"/>
      <c r="J1281" s="200"/>
      <c r="K1281" s="200"/>
      <c r="L1281" s="200"/>
      <c r="M1281" s="200"/>
      <c r="N1281" s="200"/>
      <c r="O1281" s="200"/>
      <c r="P1281" s="200"/>
      <c r="Q1281" s="200"/>
      <c r="R1281" s="200"/>
      <c r="S1281" s="200"/>
    </row>
    <row r="1282" spans="5:19" x14ac:dyDescent="0.25">
      <c r="F1282" s="166" t="s">
        <v>52</v>
      </c>
      <c r="G1282" s="166" t="s">
        <v>814</v>
      </c>
      <c r="H1282" s="315">
        <f>SUM(L1282:S1282)</f>
        <v>0</v>
      </c>
      <c r="I1282" s="201"/>
      <c r="J1282" s="201"/>
      <c r="K1282" s="201"/>
      <c r="L1282" s="185"/>
      <c r="M1282" s="185"/>
      <c r="N1282" s="185"/>
      <c r="O1282" s="315">
        <f t="shared" ref="O1282:S1291" si="110">IF(ABS(SUM(O841,O876,O911)-1) &lt; 10^-check_decimals,0,1)</f>
        <v>0</v>
      </c>
      <c r="P1282" s="315">
        <f t="shared" si="110"/>
        <v>0</v>
      </c>
      <c r="Q1282" s="315">
        <f t="shared" si="110"/>
        <v>0</v>
      </c>
      <c r="R1282" s="315">
        <f t="shared" si="110"/>
        <v>0</v>
      </c>
      <c r="S1282" s="315">
        <f t="shared" si="110"/>
        <v>0</v>
      </c>
    </row>
    <row r="1283" spans="5:19" x14ac:dyDescent="0.25">
      <c r="F1283" s="167" t="s">
        <v>53</v>
      </c>
      <c r="G1283" s="167" t="s">
        <v>814</v>
      </c>
      <c r="H1283" s="316">
        <f t="shared" ref="H1283:H1314" si="111">SUM(L1283:S1283)</f>
        <v>0</v>
      </c>
      <c r="I1283" s="121"/>
      <c r="J1283" s="121"/>
      <c r="K1283" s="121"/>
      <c r="L1283" s="178"/>
      <c r="M1283" s="178"/>
      <c r="N1283" s="178"/>
      <c r="O1283" s="316">
        <f t="shared" si="110"/>
        <v>0</v>
      </c>
      <c r="P1283" s="316">
        <f t="shared" si="110"/>
        <v>0</v>
      </c>
      <c r="Q1283" s="316">
        <f t="shared" si="110"/>
        <v>0</v>
      </c>
      <c r="R1283" s="316">
        <f t="shared" si="110"/>
        <v>0</v>
      </c>
      <c r="S1283" s="316">
        <f t="shared" si="110"/>
        <v>0</v>
      </c>
    </row>
    <row r="1284" spans="5:19" x14ac:dyDescent="0.25">
      <c r="F1284" s="167" t="s">
        <v>84</v>
      </c>
      <c r="G1284" s="167" t="s">
        <v>814</v>
      </c>
      <c r="H1284" s="316">
        <f t="shared" si="111"/>
        <v>0</v>
      </c>
      <c r="I1284" s="121"/>
      <c r="J1284" s="121"/>
      <c r="K1284" s="121"/>
      <c r="L1284" s="178"/>
      <c r="M1284" s="178"/>
      <c r="N1284" s="178"/>
      <c r="O1284" s="316">
        <f t="shared" si="110"/>
        <v>0</v>
      </c>
      <c r="P1284" s="316">
        <f t="shared" si="110"/>
        <v>0</v>
      </c>
      <c r="Q1284" s="316">
        <f t="shared" si="110"/>
        <v>0</v>
      </c>
      <c r="R1284" s="316">
        <f t="shared" si="110"/>
        <v>0</v>
      </c>
      <c r="S1284" s="316">
        <f t="shared" si="110"/>
        <v>0</v>
      </c>
    </row>
    <row r="1285" spans="5:19" x14ac:dyDescent="0.25">
      <c r="F1285" s="167" t="s">
        <v>54</v>
      </c>
      <c r="G1285" s="167" t="s">
        <v>814</v>
      </c>
      <c r="H1285" s="316">
        <f t="shared" si="111"/>
        <v>0</v>
      </c>
      <c r="I1285" s="121"/>
      <c r="J1285" s="121"/>
      <c r="K1285" s="121"/>
      <c r="L1285" s="178"/>
      <c r="M1285" s="178"/>
      <c r="N1285" s="178"/>
      <c r="O1285" s="316">
        <f t="shared" si="110"/>
        <v>0</v>
      </c>
      <c r="P1285" s="316">
        <f t="shared" si="110"/>
        <v>0</v>
      </c>
      <c r="Q1285" s="316">
        <f t="shared" si="110"/>
        <v>0</v>
      </c>
      <c r="R1285" s="316">
        <f t="shared" si="110"/>
        <v>0</v>
      </c>
      <c r="S1285" s="316">
        <f t="shared" si="110"/>
        <v>0</v>
      </c>
    </row>
    <row r="1286" spans="5:19" x14ac:dyDescent="0.25">
      <c r="F1286" s="167" t="s">
        <v>55</v>
      </c>
      <c r="G1286" s="167" t="s">
        <v>814</v>
      </c>
      <c r="H1286" s="316">
        <f t="shared" si="111"/>
        <v>0</v>
      </c>
      <c r="I1286" s="121"/>
      <c r="J1286" s="121"/>
      <c r="K1286" s="121"/>
      <c r="L1286" s="178"/>
      <c r="M1286" s="178"/>
      <c r="N1286" s="178"/>
      <c r="O1286" s="316">
        <f t="shared" si="110"/>
        <v>0</v>
      </c>
      <c r="P1286" s="316">
        <f t="shared" si="110"/>
        <v>0</v>
      </c>
      <c r="Q1286" s="316">
        <f t="shared" si="110"/>
        <v>0</v>
      </c>
      <c r="R1286" s="316">
        <f t="shared" si="110"/>
        <v>0</v>
      </c>
      <c r="S1286" s="316">
        <f t="shared" si="110"/>
        <v>0</v>
      </c>
    </row>
    <row r="1287" spans="5:19" x14ac:dyDescent="0.25">
      <c r="F1287" s="167" t="s">
        <v>85</v>
      </c>
      <c r="G1287" s="167" t="s">
        <v>814</v>
      </c>
      <c r="H1287" s="316">
        <f t="shared" si="111"/>
        <v>0</v>
      </c>
      <c r="I1287" s="121"/>
      <c r="J1287" s="121"/>
      <c r="K1287" s="121"/>
      <c r="L1287" s="178"/>
      <c r="M1287" s="178"/>
      <c r="N1287" s="178"/>
      <c r="O1287" s="316">
        <f t="shared" si="110"/>
        <v>0</v>
      </c>
      <c r="P1287" s="316">
        <f t="shared" si="110"/>
        <v>0</v>
      </c>
      <c r="Q1287" s="316">
        <f t="shared" si="110"/>
        <v>0</v>
      </c>
      <c r="R1287" s="316">
        <f t="shared" si="110"/>
        <v>0</v>
      </c>
      <c r="S1287" s="316">
        <f t="shared" si="110"/>
        <v>0</v>
      </c>
    </row>
    <row r="1288" spans="5:19" x14ac:dyDescent="0.25">
      <c r="F1288" s="167" t="s">
        <v>56</v>
      </c>
      <c r="G1288" s="167" t="s">
        <v>814</v>
      </c>
      <c r="H1288" s="316">
        <f t="shared" si="111"/>
        <v>0</v>
      </c>
      <c r="I1288" s="121"/>
      <c r="J1288" s="121"/>
      <c r="K1288" s="121"/>
      <c r="L1288" s="178"/>
      <c r="M1288" s="178"/>
      <c r="N1288" s="178"/>
      <c r="O1288" s="316">
        <f t="shared" si="110"/>
        <v>0</v>
      </c>
      <c r="P1288" s="316">
        <f t="shared" si="110"/>
        <v>0</v>
      </c>
      <c r="Q1288" s="316">
        <f t="shared" si="110"/>
        <v>0</v>
      </c>
      <c r="R1288" s="316">
        <f t="shared" si="110"/>
        <v>0</v>
      </c>
      <c r="S1288" s="316">
        <f t="shared" si="110"/>
        <v>0</v>
      </c>
    </row>
    <row r="1289" spans="5:19" x14ac:dyDescent="0.25">
      <c r="F1289" s="167" t="s">
        <v>57</v>
      </c>
      <c r="G1289" s="167" t="s">
        <v>814</v>
      </c>
      <c r="H1289" s="316">
        <f t="shared" si="111"/>
        <v>0</v>
      </c>
      <c r="I1289" s="121"/>
      <c r="J1289" s="121"/>
      <c r="K1289" s="121"/>
      <c r="L1289" s="178"/>
      <c r="M1289" s="178"/>
      <c r="N1289" s="178"/>
      <c r="O1289" s="316">
        <f t="shared" si="110"/>
        <v>0</v>
      </c>
      <c r="P1289" s="316">
        <f t="shared" si="110"/>
        <v>0</v>
      </c>
      <c r="Q1289" s="316">
        <f t="shared" si="110"/>
        <v>0</v>
      </c>
      <c r="R1289" s="316">
        <f t="shared" si="110"/>
        <v>0</v>
      </c>
      <c r="S1289" s="316">
        <f t="shared" si="110"/>
        <v>0</v>
      </c>
    </row>
    <row r="1290" spans="5:19" x14ac:dyDescent="0.25">
      <c r="F1290" s="167" t="s">
        <v>72</v>
      </c>
      <c r="G1290" s="167" t="s">
        <v>814</v>
      </c>
      <c r="H1290" s="316">
        <f t="shared" si="111"/>
        <v>0</v>
      </c>
      <c r="I1290" s="121"/>
      <c r="J1290" s="121"/>
      <c r="K1290" s="121"/>
      <c r="L1290" s="178"/>
      <c r="M1290" s="178"/>
      <c r="N1290" s="178"/>
      <c r="O1290" s="316">
        <f t="shared" si="110"/>
        <v>0</v>
      </c>
      <c r="P1290" s="316">
        <f t="shared" si="110"/>
        <v>0</v>
      </c>
      <c r="Q1290" s="316">
        <f t="shared" si="110"/>
        <v>0</v>
      </c>
      <c r="R1290" s="316">
        <f t="shared" si="110"/>
        <v>0</v>
      </c>
      <c r="S1290" s="316">
        <f t="shared" si="110"/>
        <v>0</v>
      </c>
    </row>
    <row r="1291" spans="5:19" x14ac:dyDescent="0.25">
      <c r="F1291" s="167" t="s">
        <v>58</v>
      </c>
      <c r="G1291" s="167" t="s">
        <v>814</v>
      </c>
      <c r="H1291" s="316">
        <f t="shared" si="111"/>
        <v>0</v>
      </c>
      <c r="I1291" s="121"/>
      <c r="J1291" s="121"/>
      <c r="K1291" s="121"/>
      <c r="L1291" s="178"/>
      <c r="M1291" s="178"/>
      <c r="N1291" s="178"/>
      <c r="O1291" s="316">
        <f t="shared" si="110"/>
        <v>0</v>
      </c>
      <c r="P1291" s="316">
        <f t="shared" si="110"/>
        <v>0</v>
      </c>
      <c r="Q1291" s="316">
        <f t="shared" si="110"/>
        <v>0</v>
      </c>
      <c r="R1291" s="316">
        <f t="shared" si="110"/>
        <v>0</v>
      </c>
      <c r="S1291" s="316">
        <f t="shared" si="110"/>
        <v>0</v>
      </c>
    </row>
    <row r="1292" spans="5:19" x14ac:dyDescent="0.25">
      <c r="F1292" s="167" t="s">
        <v>59</v>
      </c>
      <c r="G1292" s="167" t="s">
        <v>814</v>
      </c>
      <c r="H1292" s="316">
        <f t="shared" si="111"/>
        <v>0</v>
      </c>
      <c r="I1292" s="121"/>
      <c r="J1292" s="121"/>
      <c r="K1292" s="121"/>
      <c r="L1292" s="178"/>
      <c r="M1292" s="178"/>
      <c r="N1292" s="178"/>
      <c r="O1292" s="316">
        <f t="shared" ref="O1292:S1300" si="112">IF(ABS(SUM(O851,O886,O921)-1) &lt; 10^-check_decimals,0,1)</f>
        <v>0</v>
      </c>
      <c r="P1292" s="316">
        <f t="shared" si="112"/>
        <v>0</v>
      </c>
      <c r="Q1292" s="316">
        <f t="shared" si="112"/>
        <v>0</v>
      </c>
      <c r="R1292" s="316">
        <f t="shared" si="112"/>
        <v>0</v>
      </c>
      <c r="S1292" s="316">
        <f t="shared" si="112"/>
        <v>0</v>
      </c>
    </row>
    <row r="1293" spans="5:19" x14ac:dyDescent="0.25">
      <c r="F1293" s="167" t="s">
        <v>60</v>
      </c>
      <c r="G1293" s="167" t="s">
        <v>814</v>
      </c>
      <c r="H1293" s="316">
        <f t="shared" si="111"/>
        <v>0</v>
      </c>
      <c r="I1293" s="121"/>
      <c r="J1293" s="121"/>
      <c r="K1293" s="121"/>
      <c r="L1293" s="178"/>
      <c r="M1293" s="178"/>
      <c r="N1293" s="178"/>
      <c r="O1293" s="316">
        <f t="shared" si="112"/>
        <v>0</v>
      </c>
      <c r="P1293" s="316">
        <f t="shared" si="112"/>
        <v>0</v>
      </c>
      <c r="Q1293" s="316">
        <f t="shared" si="112"/>
        <v>0</v>
      </c>
      <c r="R1293" s="316">
        <f t="shared" si="112"/>
        <v>0</v>
      </c>
      <c r="S1293" s="316">
        <f t="shared" si="112"/>
        <v>0</v>
      </c>
    </row>
    <row r="1294" spans="5:19" x14ac:dyDescent="0.25">
      <c r="F1294" s="167" t="s">
        <v>61</v>
      </c>
      <c r="G1294" s="167" t="s">
        <v>814</v>
      </c>
      <c r="H1294" s="316">
        <f t="shared" si="111"/>
        <v>0</v>
      </c>
      <c r="I1294" s="121"/>
      <c r="J1294" s="121"/>
      <c r="K1294" s="121"/>
      <c r="L1294" s="178"/>
      <c r="M1294" s="178"/>
      <c r="N1294" s="178"/>
      <c r="O1294" s="316">
        <f t="shared" si="112"/>
        <v>0</v>
      </c>
      <c r="P1294" s="316">
        <f t="shared" si="112"/>
        <v>0</v>
      </c>
      <c r="Q1294" s="316">
        <f t="shared" si="112"/>
        <v>0</v>
      </c>
      <c r="R1294" s="316">
        <f t="shared" si="112"/>
        <v>0</v>
      </c>
      <c r="S1294" s="316">
        <f t="shared" si="112"/>
        <v>0</v>
      </c>
    </row>
    <row r="1295" spans="5:19" x14ac:dyDescent="0.25">
      <c r="F1295" s="167" t="s">
        <v>73</v>
      </c>
      <c r="G1295" s="167" t="s">
        <v>814</v>
      </c>
      <c r="H1295" s="316">
        <f t="shared" si="111"/>
        <v>0</v>
      </c>
      <c r="I1295" s="121"/>
      <c r="J1295" s="121"/>
      <c r="K1295" s="121"/>
      <c r="L1295" s="178"/>
      <c r="M1295" s="178"/>
      <c r="N1295" s="178"/>
      <c r="O1295" s="316">
        <f t="shared" si="112"/>
        <v>0</v>
      </c>
      <c r="P1295" s="316">
        <f t="shared" si="112"/>
        <v>0</v>
      </c>
      <c r="Q1295" s="316">
        <f t="shared" si="112"/>
        <v>0</v>
      </c>
      <c r="R1295" s="316">
        <f t="shared" si="112"/>
        <v>0</v>
      </c>
      <c r="S1295" s="316">
        <f t="shared" si="112"/>
        <v>0</v>
      </c>
    </row>
    <row r="1296" spans="5:19" x14ac:dyDescent="0.25">
      <c r="F1296" s="167" t="s">
        <v>86</v>
      </c>
      <c r="G1296" s="167" t="s">
        <v>814</v>
      </c>
      <c r="H1296" s="316">
        <f t="shared" si="111"/>
        <v>0</v>
      </c>
      <c r="I1296" s="121"/>
      <c r="J1296" s="121"/>
      <c r="K1296" s="121"/>
      <c r="L1296" s="178"/>
      <c r="M1296" s="178"/>
      <c r="N1296" s="178"/>
      <c r="O1296" s="316">
        <f t="shared" si="112"/>
        <v>0</v>
      </c>
      <c r="P1296" s="316">
        <f t="shared" si="112"/>
        <v>0</v>
      </c>
      <c r="Q1296" s="316">
        <f t="shared" si="112"/>
        <v>0</v>
      </c>
      <c r="R1296" s="316">
        <f t="shared" si="112"/>
        <v>0</v>
      </c>
      <c r="S1296" s="316">
        <f t="shared" si="112"/>
        <v>0</v>
      </c>
    </row>
    <row r="1297" spans="6:19" x14ac:dyDescent="0.25">
      <c r="F1297" s="167" t="s">
        <v>87</v>
      </c>
      <c r="G1297" s="167" t="s">
        <v>814</v>
      </c>
      <c r="H1297" s="316">
        <f t="shared" si="111"/>
        <v>0</v>
      </c>
      <c r="I1297" s="121"/>
      <c r="J1297" s="121"/>
      <c r="K1297" s="121"/>
      <c r="L1297" s="178"/>
      <c r="M1297" s="178"/>
      <c r="N1297" s="178"/>
      <c r="O1297" s="316">
        <f t="shared" si="112"/>
        <v>0</v>
      </c>
      <c r="P1297" s="316">
        <f t="shared" si="112"/>
        <v>0</v>
      </c>
      <c r="Q1297" s="316">
        <f t="shared" si="112"/>
        <v>0</v>
      </c>
      <c r="R1297" s="316">
        <f t="shared" si="112"/>
        <v>0</v>
      </c>
      <c r="S1297" s="316">
        <f t="shared" si="112"/>
        <v>0</v>
      </c>
    </row>
    <row r="1298" spans="6:19" x14ac:dyDescent="0.25">
      <c r="F1298" s="167" t="s">
        <v>88</v>
      </c>
      <c r="G1298" s="167" t="s">
        <v>814</v>
      </c>
      <c r="H1298" s="316">
        <f t="shared" si="111"/>
        <v>0</v>
      </c>
      <c r="I1298" s="121"/>
      <c r="J1298" s="121"/>
      <c r="K1298" s="121"/>
      <c r="L1298" s="178"/>
      <c r="M1298" s="178"/>
      <c r="N1298" s="178"/>
      <c r="O1298" s="316">
        <f t="shared" si="112"/>
        <v>0</v>
      </c>
      <c r="P1298" s="316">
        <f t="shared" si="112"/>
        <v>0</v>
      </c>
      <c r="Q1298" s="316">
        <f t="shared" si="112"/>
        <v>0</v>
      </c>
      <c r="R1298" s="316">
        <f t="shared" si="112"/>
        <v>0</v>
      </c>
      <c r="S1298" s="316">
        <f t="shared" si="112"/>
        <v>0</v>
      </c>
    </row>
    <row r="1299" spans="6:19" x14ac:dyDescent="0.25">
      <c r="F1299" s="167" t="s">
        <v>89</v>
      </c>
      <c r="G1299" s="167" t="s">
        <v>814</v>
      </c>
      <c r="H1299" s="316">
        <f t="shared" si="111"/>
        <v>0</v>
      </c>
      <c r="I1299" s="121"/>
      <c r="J1299" s="121"/>
      <c r="K1299" s="121"/>
      <c r="L1299" s="178"/>
      <c r="M1299" s="178"/>
      <c r="N1299" s="178"/>
      <c r="O1299" s="316">
        <f t="shared" si="112"/>
        <v>0</v>
      </c>
      <c r="P1299" s="316">
        <f t="shared" si="112"/>
        <v>0</v>
      </c>
      <c r="Q1299" s="316">
        <f t="shared" si="112"/>
        <v>0</v>
      </c>
      <c r="R1299" s="316">
        <f t="shared" si="112"/>
        <v>0</v>
      </c>
      <c r="S1299" s="316">
        <f t="shared" si="112"/>
        <v>0</v>
      </c>
    </row>
    <row r="1300" spans="6:19" x14ac:dyDescent="0.25">
      <c r="F1300" s="167" t="s">
        <v>90</v>
      </c>
      <c r="G1300" s="167" t="s">
        <v>814</v>
      </c>
      <c r="H1300" s="316">
        <f t="shared" si="111"/>
        <v>0</v>
      </c>
      <c r="I1300" s="121"/>
      <c r="J1300" s="121"/>
      <c r="K1300" s="121"/>
      <c r="L1300" s="178"/>
      <c r="M1300" s="178"/>
      <c r="N1300" s="178"/>
      <c r="O1300" s="316">
        <f t="shared" si="112"/>
        <v>0</v>
      </c>
      <c r="P1300" s="316">
        <f t="shared" si="112"/>
        <v>0</v>
      </c>
      <c r="Q1300" s="316">
        <f t="shared" si="112"/>
        <v>0</v>
      </c>
      <c r="R1300" s="316">
        <f t="shared" si="112"/>
        <v>0</v>
      </c>
      <c r="S1300" s="316">
        <f t="shared" si="112"/>
        <v>0</v>
      </c>
    </row>
    <row r="1301" spans="6:19" x14ac:dyDescent="0.25">
      <c r="F1301" s="167" t="s">
        <v>62</v>
      </c>
      <c r="G1301" s="167" t="s">
        <v>814</v>
      </c>
      <c r="H1301" s="281"/>
      <c r="I1301" s="121"/>
      <c r="J1301" s="121"/>
      <c r="K1301" s="121"/>
      <c r="L1301" s="178"/>
      <c r="M1301" s="178"/>
      <c r="N1301" s="178"/>
      <c r="O1301" s="281"/>
      <c r="P1301" s="281"/>
      <c r="Q1301" s="281"/>
      <c r="R1301" s="281"/>
      <c r="S1301" s="281"/>
    </row>
    <row r="1302" spans="6:19" x14ac:dyDescent="0.25">
      <c r="F1302" s="167" t="s">
        <v>63</v>
      </c>
      <c r="G1302" s="167" t="s">
        <v>814</v>
      </c>
      <c r="H1302" s="281"/>
      <c r="I1302" s="121"/>
      <c r="J1302" s="121"/>
      <c r="K1302" s="121"/>
      <c r="L1302" s="178"/>
      <c r="M1302" s="178"/>
      <c r="N1302" s="178"/>
      <c r="O1302" s="281"/>
      <c r="P1302" s="281"/>
      <c r="Q1302" s="281"/>
      <c r="R1302" s="281"/>
      <c r="S1302" s="281"/>
    </row>
    <row r="1303" spans="6:19" x14ac:dyDescent="0.25">
      <c r="F1303" s="167" t="s">
        <v>64</v>
      </c>
      <c r="G1303" s="167" t="s">
        <v>814</v>
      </c>
      <c r="H1303" s="281"/>
      <c r="I1303" s="121"/>
      <c r="J1303" s="121"/>
      <c r="K1303" s="121"/>
      <c r="L1303" s="178"/>
      <c r="M1303" s="178"/>
      <c r="N1303" s="178"/>
      <c r="O1303" s="281"/>
      <c r="P1303" s="281"/>
      <c r="Q1303" s="281"/>
      <c r="R1303" s="281"/>
      <c r="S1303" s="281"/>
    </row>
    <row r="1304" spans="6:19" x14ac:dyDescent="0.25">
      <c r="F1304" s="167" t="s">
        <v>65</v>
      </c>
      <c r="G1304" s="167" t="s">
        <v>814</v>
      </c>
      <c r="H1304" s="281"/>
      <c r="I1304" s="121"/>
      <c r="J1304" s="121"/>
      <c r="K1304" s="121"/>
      <c r="L1304" s="178"/>
      <c r="M1304" s="178"/>
      <c r="N1304" s="178"/>
      <c r="O1304" s="281"/>
      <c r="P1304" s="281"/>
      <c r="Q1304" s="281"/>
      <c r="R1304" s="281"/>
      <c r="S1304" s="281"/>
    </row>
    <row r="1305" spans="6:19" x14ac:dyDescent="0.25">
      <c r="F1305" s="167" t="s">
        <v>66</v>
      </c>
      <c r="G1305" s="167" t="s">
        <v>814</v>
      </c>
      <c r="H1305" s="316">
        <f t="shared" si="111"/>
        <v>0</v>
      </c>
      <c r="I1305" s="121"/>
      <c r="J1305" s="121"/>
      <c r="K1305" s="121"/>
      <c r="L1305" s="178"/>
      <c r="M1305" s="178"/>
      <c r="N1305" s="178"/>
      <c r="O1305" s="316">
        <f t="shared" ref="O1305:S1306" si="113">IF(ABS(SUM(O864,O899,O934)-1) &lt; 10^-check_decimals,0,1)</f>
        <v>0</v>
      </c>
      <c r="P1305" s="316">
        <f t="shared" si="113"/>
        <v>0</v>
      </c>
      <c r="Q1305" s="316">
        <f t="shared" si="113"/>
        <v>0</v>
      </c>
      <c r="R1305" s="316">
        <f t="shared" si="113"/>
        <v>0</v>
      </c>
      <c r="S1305" s="316">
        <f t="shared" si="113"/>
        <v>0</v>
      </c>
    </row>
    <row r="1306" spans="6:19" x14ac:dyDescent="0.25">
      <c r="F1306" s="167" t="s">
        <v>67</v>
      </c>
      <c r="G1306" s="167" t="s">
        <v>814</v>
      </c>
      <c r="H1306" s="316">
        <f t="shared" si="111"/>
        <v>0</v>
      </c>
      <c r="I1306" s="121"/>
      <c r="J1306" s="121"/>
      <c r="K1306" s="121"/>
      <c r="L1306" s="178"/>
      <c r="M1306" s="178"/>
      <c r="N1306" s="178"/>
      <c r="O1306" s="316">
        <f t="shared" si="113"/>
        <v>0</v>
      </c>
      <c r="P1306" s="316">
        <f t="shared" si="113"/>
        <v>0</v>
      </c>
      <c r="Q1306" s="316">
        <f t="shared" si="113"/>
        <v>0</v>
      </c>
      <c r="R1306" s="316">
        <f t="shared" si="113"/>
        <v>0</v>
      </c>
      <c r="S1306" s="316">
        <f t="shared" si="113"/>
        <v>0</v>
      </c>
    </row>
    <row r="1307" spans="6:19" x14ac:dyDescent="0.25">
      <c r="F1307" s="167" t="s">
        <v>68</v>
      </c>
      <c r="G1307" s="167" t="s">
        <v>814</v>
      </c>
      <c r="H1307" s="281"/>
      <c r="I1307" s="121"/>
      <c r="J1307" s="121"/>
      <c r="K1307" s="121"/>
      <c r="L1307" s="178"/>
      <c r="M1307" s="178"/>
      <c r="N1307" s="178"/>
      <c r="O1307" s="281"/>
      <c r="P1307" s="281"/>
      <c r="Q1307" s="281"/>
      <c r="R1307" s="281"/>
      <c r="S1307" s="281"/>
    </row>
    <row r="1308" spans="6:19" x14ac:dyDescent="0.25">
      <c r="F1308" s="167" t="s">
        <v>69</v>
      </c>
      <c r="G1308" s="167" t="s">
        <v>814</v>
      </c>
      <c r="H1308" s="281"/>
      <c r="I1308" s="121"/>
      <c r="J1308" s="121"/>
      <c r="K1308" s="121"/>
      <c r="L1308" s="178"/>
      <c r="M1308" s="178"/>
      <c r="N1308" s="178"/>
      <c r="O1308" s="281"/>
      <c r="P1308" s="281"/>
      <c r="Q1308" s="281"/>
      <c r="R1308" s="281"/>
      <c r="S1308" s="281"/>
    </row>
    <row r="1309" spans="6:19" x14ac:dyDescent="0.25">
      <c r="F1309" s="167" t="s">
        <v>70</v>
      </c>
      <c r="G1309" s="167" t="s">
        <v>814</v>
      </c>
      <c r="H1309" s="316">
        <f t="shared" si="111"/>
        <v>0</v>
      </c>
      <c r="I1309" s="121"/>
      <c r="J1309" s="121"/>
      <c r="K1309" s="121"/>
      <c r="L1309" s="178"/>
      <c r="M1309" s="178"/>
      <c r="N1309" s="178"/>
      <c r="O1309" s="316">
        <f t="shared" ref="O1309:S1310" si="114">IF(ABS(SUM(O868,O903,O938)-1) &lt; 10^-check_decimals,0,1)</f>
        <v>0</v>
      </c>
      <c r="P1309" s="316">
        <f t="shared" si="114"/>
        <v>0</v>
      </c>
      <c r="Q1309" s="316">
        <f t="shared" si="114"/>
        <v>0</v>
      </c>
      <c r="R1309" s="316">
        <f t="shared" si="114"/>
        <v>0</v>
      </c>
      <c r="S1309" s="316">
        <f t="shared" si="114"/>
        <v>0</v>
      </c>
    </row>
    <row r="1310" spans="6:19" x14ac:dyDescent="0.25">
      <c r="F1310" s="167" t="s">
        <v>71</v>
      </c>
      <c r="G1310" s="167" t="s">
        <v>814</v>
      </c>
      <c r="H1310" s="316">
        <f t="shared" si="111"/>
        <v>0</v>
      </c>
      <c r="I1310" s="121"/>
      <c r="J1310" s="121"/>
      <c r="K1310" s="121"/>
      <c r="L1310" s="178"/>
      <c r="M1310" s="178"/>
      <c r="N1310" s="178"/>
      <c r="O1310" s="316">
        <f t="shared" si="114"/>
        <v>0</v>
      </c>
      <c r="P1310" s="316">
        <f t="shared" si="114"/>
        <v>0</v>
      </c>
      <c r="Q1310" s="316">
        <f t="shared" si="114"/>
        <v>0</v>
      </c>
      <c r="R1310" s="316">
        <f t="shared" si="114"/>
        <v>0</v>
      </c>
      <c r="S1310" s="316">
        <f t="shared" si="114"/>
        <v>0</v>
      </c>
    </row>
    <row r="1311" spans="6:19" x14ac:dyDescent="0.25">
      <c r="F1311" s="167" t="s">
        <v>74</v>
      </c>
      <c r="G1311" s="167" t="s">
        <v>814</v>
      </c>
      <c r="H1311" s="281"/>
      <c r="I1311" s="121"/>
      <c r="J1311" s="121"/>
      <c r="K1311" s="121"/>
      <c r="L1311" s="178"/>
      <c r="M1311" s="178"/>
      <c r="N1311" s="178"/>
      <c r="O1311" s="281"/>
      <c r="P1311" s="281"/>
      <c r="Q1311" s="281"/>
      <c r="R1311" s="281"/>
      <c r="S1311" s="281"/>
    </row>
    <row r="1312" spans="6:19" x14ac:dyDescent="0.25">
      <c r="F1312" s="167" t="s">
        <v>75</v>
      </c>
      <c r="G1312" s="167" t="s">
        <v>814</v>
      </c>
      <c r="H1312" s="281"/>
      <c r="I1312" s="121"/>
      <c r="J1312" s="121"/>
      <c r="K1312" s="121"/>
      <c r="L1312" s="178"/>
      <c r="M1312" s="178"/>
      <c r="N1312" s="178"/>
      <c r="O1312" s="281"/>
      <c r="P1312" s="281"/>
      <c r="Q1312" s="281"/>
      <c r="R1312" s="281"/>
      <c r="S1312" s="281"/>
    </row>
    <row r="1313" spans="5:19" x14ac:dyDescent="0.25">
      <c r="F1313" s="167" t="s">
        <v>76</v>
      </c>
      <c r="G1313" s="167" t="s">
        <v>814</v>
      </c>
      <c r="H1313" s="316">
        <f t="shared" si="111"/>
        <v>0</v>
      </c>
      <c r="I1313" s="121"/>
      <c r="J1313" s="121"/>
      <c r="K1313" s="121"/>
      <c r="L1313" s="178"/>
      <c r="M1313" s="178"/>
      <c r="N1313" s="178"/>
      <c r="O1313" s="316">
        <f t="shared" ref="O1313:S1314" si="115">IF(ABS(SUM(O872,O907,O942)-1) &lt; 10^-check_decimals,0,1)</f>
        <v>0</v>
      </c>
      <c r="P1313" s="316">
        <f t="shared" si="115"/>
        <v>0</v>
      </c>
      <c r="Q1313" s="316">
        <f t="shared" si="115"/>
        <v>0</v>
      </c>
      <c r="R1313" s="316">
        <f t="shared" si="115"/>
        <v>0</v>
      </c>
      <c r="S1313" s="316">
        <f t="shared" si="115"/>
        <v>0</v>
      </c>
    </row>
    <row r="1314" spans="5:19" x14ac:dyDescent="0.25">
      <c r="F1314" s="168" t="s">
        <v>77</v>
      </c>
      <c r="G1314" s="168" t="s">
        <v>814</v>
      </c>
      <c r="H1314" s="318">
        <f t="shared" si="111"/>
        <v>0</v>
      </c>
      <c r="I1314" s="262"/>
      <c r="J1314" s="262"/>
      <c r="K1314" s="262"/>
      <c r="L1314" s="179"/>
      <c r="M1314" s="179"/>
      <c r="N1314" s="179"/>
      <c r="O1314" s="318">
        <f t="shared" si="115"/>
        <v>0</v>
      </c>
      <c r="P1314" s="318">
        <f t="shared" si="115"/>
        <v>0</v>
      </c>
      <c r="Q1314" s="318">
        <f t="shared" si="115"/>
        <v>0</v>
      </c>
      <c r="R1314" s="318">
        <f t="shared" si="115"/>
        <v>0</v>
      </c>
      <c r="S1314" s="318">
        <f t="shared" si="115"/>
        <v>0</v>
      </c>
    </row>
    <row r="1315" spans="5:19" x14ac:dyDescent="0.25">
      <c r="E1315" s="172" t="s">
        <v>152</v>
      </c>
      <c r="H1315" s="287"/>
      <c r="J1315" s="200"/>
      <c r="K1315" s="200"/>
      <c r="L1315" s="287"/>
      <c r="M1315" s="287"/>
      <c r="N1315" s="287"/>
      <c r="O1315" s="287"/>
      <c r="P1315" s="287"/>
      <c r="Q1315" s="287"/>
      <c r="R1315" s="287"/>
      <c r="S1315" s="287"/>
    </row>
    <row r="1316" spans="5:19" x14ac:dyDescent="0.25">
      <c r="F1316" s="166" t="s">
        <v>52</v>
      </c>
      <c r="G1316" s="166" t="s">
        <v>814</v>
      </c>
      <c r="H1316" s="280"/>
      <c r="I1316" s="201"/>
      <c r="J1316" s="201"/>
      <c r="K1316" s="201"/>
      <c r="L1316" s="185"/>
      <c r="M1316" s="185"/>
      <c r="N1316" s="185"/>
      <c r="O1316" s="280"/>
      <c r="P1316" s="280"/>
      <c r="Q1316" s="280"/>
      <c r="R1316" s="280"/>
      <c r="S1316" s="280"/>
    </row>
    <row r="1317" spans="5:19" x14ac:dyDescent="0.25">
      <c r="F1317" s="167" t="s">
        <v>53</v>
      </c>
      <c r="G1317" s="167" t="s">
        <v>814</v>
      </c>
      <c r="H1317" s="316">
        <f t="shared" ref="H1317:H1348" si="116">SUM(L1317:S1317)</f>
        <v>0</v>
      </c>
      <c r="I1317" s="121"/>
      <c r="J1317" s="121"/>
      <c r="K1317" s="121"/>
      <c r="L1317" s="178"/>
      <c r="M1317" s="178"/>
      <c r="N1317" s="178"/>
      <c r="O1317" s="316">
        <f>IF(ABS(SUM(O949,O984,O1019)-1) &lt; 10^-check_decimals,0,1)</f>
        <v>0</v>
      </c>
      <c r="P1317" s="316">
        <f>IF(ABS(SUM(P949,P984,P1019)-1) &lt; 10^-check_decimals,0,1)</f>
        <v>0</v>
      </c>
      <c r="Q1317" s="316">
        <f>IF(ABS(SUM(Q949,Q984,Q1019)-1) &lt; 10^-check_decimals,0,1)</f>
        <v>0</v>
      </c>
      <c r="R1317" s="316">
        <f>IF(ABS(SUM(R949,R984,R1019)-1) &lt; 10^-check_decimals,0,1)</f>
        <v>0</v>
      </c>
      <c r="S1317" s="316">
        <f>IF(ABS(SUM(S949,S984,S1019)-1) &lt; 10^-check_decimals,0,1)</f>
        <v>0</v>
      </c>
    </row>
    <row r="1318" spans="5:19" x14ac:dyDescent="0.25">
      <c r="F1318" s="167" t="s">
        <v>84</v>
      </c>
      <c r="G1318" s="167" t="s">
        <v>814</v>
      </c>
      <c r="H1318" s="281"/>
      <c r="I1318" s="121"/>
      <c r="J1318" s="121"/>
      <c r="K1318" s="121"/>
      <c r="L1318" s="178"/>
      <c r="M1318" s="178"/>
      <c r="N1318" s="178"/>
      <c r="O1318" s="281"/>
      <c r="P1318" s="281"/>
      <c r="Q1318" s="281"/>
      <c r="R1318" s="281"/>
      <c r="S1318" s="281"/>
    </row>
    <row r="1319" spans="5:19" x14ac:dyDescent="0.25">
      <c r="F1319" s="167" t="s">
        <v>54</v>
      </c>
      <c r="G1319" s="167" t="s">
        <v>814</v>
      </c>
      <c r="H1319" s="281"/>
      <c r="I1319" s="121"/>
      <c r="J1319" s="121"/>
      <c r="K1319" s="121"/>
      <c r="L1319" s="178"/>
      <c r="M1319" s="178"/>
      <c r="N1319" s="178"/>
      <c r="O1319" s="281"/>
      <c r="P1319" s="281"/>
      <c r="Q1319" s="281"/>
      <c r="R1319" s="281"/>
      <c r="S1319" s="281"/>
    </row>
    <row r="1320" spans="5:19" x14ac:dyDescent="0.25">
      <c r="F1320" s="167" t="s">
        <v>55</v>
      </c>
      <c r="G1320" s="167" t="s">
        <v>814</v>
      </c>
      <c r="H1320" s="316">
        <f t="shared" si="116"/>
        <v>0</v>
      </c>
      <c r="I1320" s="121"/>
      <c r="J1320" s="121"/>
      <c r="K1320" s="121"/>
      <c r="L1320" s="178"/>
      <c r="M1320" s="178"/>
      <c r="N1320" s="178"/>
      <c r="O1320" s="316">
        <f>IF(ABS(SUM(O952,O987,O1022)-1) &lt; 10^-check_decimals,0,1)</f>
        <v>0</v>
      </c>
      <c r="P1320" s="316">
        <f>IF(ABS(SUM(P952,P987,P1022)-1) &lt; 10^-check_decimals,0,1)</f>
        <v>0</v>
      </c>
      <c r="Q1320" s="316">
        <f>IF(ABS(SUM(Q952,Q987,Q1022)-1) &lt; 10^-check_decimals,0,1)</f>
        <v>0</v>
      </c>
      <c r="R1320" s="316">
        <f>IF(ABS(SUM(R952,R987,R1022)-1) &lt; 10^-check_decimals,0,1)</f>
        <v>0</v>
      </c>
      <c r="S1320" s="316">
        <f>IF(ABS(SUM(S952,S987,S1022)-1) &lt; 10^-check_decimals,0,1)</f>
        <v>0</v>
      </c>
    </row>
    <row r="1321" spans="5:19" x14ac:dyDescent="0.25">
      <c r="F1321" s="167" t="s">
        <v>85</v>
      </c>
      <c r="G1321" s="167" t="s">
        <v>814</v>
      </c>
      <c r="H1321" s="281"/>
      <c r="I1321" s="121"/>
      <c r="J1321" s="121"/>
      <c r="K1321" s="121"/>
      <c r="L1321" s="178"/>
      <c r="M1321" s="178"/>
      <c r="N1321" s="178"/>
      <c r="O1321" s="281"/>
      <c r="P1321" s="281"/>
      <c r="Q1321" s="281"/>
      <c r="R1321" s="281"/>
      <c r="S1321" s="281"/>
    </row>
    <row r="1322" spans="5:19" x14ac:dyDescent="0.25">
      <c r="F1322" s="167" t="s">
        <v>56</v>
      </c>
      <c r="G1322" s="167" t="s">
        <v>814</v>
      </c>
      <c r="H1322" s="316">
        <f t="shared" si="116"/>
        <v>0</v>
      </c>
      <c r="I1322" s="121"/>
      <c r="J1322" s="121"/>
      <c r="K1322" s="121"/>
      <c r="L1322" s="178"/>
      <c r="M1322" s="178"/>
      <c r="N1322" s="178"/>
      <c r="O1322" s="316">
        <f t="shared" ref="O1322:S1329" si="117">IF(ABS(SUM(O954,O989,O1024)-1) &lt; 10^-check_decimals,0,1)</f>
        <v>0</v>
      </c>
      <c r="P1322" s="316">
        <f t="shared" si="117"/>
        <v>0</v>
      </c>
      <c r="Q1322" s="316">
        <f t="shared" si="117"/>
        <v>0</v>
      </c>
      <c r="R1322" s="316">
        <f t="shared" si="117"/>
        <v>0</v>
      </c>
      <c r="S1322" s="316">
        <f t="shared" si="117"/>
        <v>0</v>
      </c>
    </row>
    <row r="1323" spans="5:19" x14ac:dyDescent="0.25">
      <c r="F1323" s="167" t="s">
        <v>57</v>
      </c>
      <c r="G1323" s="167" t="s">
        <v>814</v>
      </c>
      <c r="H1323" s="316">
        <f t="shared" si="116"/>
        <v>0</v>
      </c>
      <c r="I1323" s="121"/>
      <c r="J1323" s="121"/>
      <c r="K1323" s="121"/>
      <c r="L1323" s="178"/>
      <c r="M1323" s="178"/>
      <c r="N1323" s="178"/>
      <c r="O1323" s="316">
        <f t="shared" si="117"/>
        <v>0</v>
      </c>
      <c r="P1323" s="316">
        <f t="shared" si="117"/>
        <v>0</v>
      </c>
      <c r="Q1323" s="316">
        <f t="shared" si="117"/>
        <v>0</v>
      </c>
      <c r="R1323" s="316">
        <f t="shared" si="117"/>
        <v>0</v>
      </c>
      <c r="S1323" s="316">
        <f t="shared" si="117"/>
        <v>0</v>
      </c>
    </row>
    <row r="1324" spans="5:19" x14ac:dyDescent="0.25">
      <c r="F1324" s="167" t="s">
        <v>72</v>
      </c>
      <c r="G1324" s="167" t="s">
        <v>814</v>
      </c>
      <c r="H1324" s="316">
        <f t="shared" si="116"/>
        <v>0</v>
      </c>
      <c r="I1324" s="121"/>
      <c r="J1324" s="121"/>
      <c r="K1324" s="121"/>
      <c r="L1324" s="178"/>
      <c r="M1324" s="178"/>
      <c r="N1324" s="178"/>
      <c r="O1324" s="316">
        <f t="shared" si="117"/>
        <v>0</v>
      </c>
      <c r="P1324" s="316">
        <f t="shared" si="117"/>
        <v>0</v>
      </c>
      <c r="Q1324" s="316">
        <f t="shared" si="117"/>
        <v>0</v>
      </c>
      <c r="R1324" s="316">
        <f t="shared" si="117"/>
        <v>0</v>
      </c>
      <c r="S1324" s="316">
        <f t="shared" si="117"/>
        <v>0</v>
      </c>
    </row>
    <row r="1325" spans="5:19" x14ac:dyDescent="0.25">
      <c r="F1325" s="167" t="s">
        <v>58</v>
      </c>
      <c r="G1325" s="167" t="s">
        <v>814</v>
      </c>
      <c r="H1325" s="316">
        <f t="shared" si="116"/>
        <v>0</v>
      </c>
      <c r="I1325" s="121"/>
      <c r="J1325" s="121"/>
      <c r="K1325" s="121"/>
      <c r="L1325" s="178"/>
      <c r="M1325" s="178"/>
      <c r="N1325" s="178"/>
      <c r="O1325" s="316">
        <f t="shared" si="117"/>
        <v>0</v>
      </c>
      <c r="P1325" s="316">
        <f t="shared" si="117"/>
        <v>0</v>
      </c>
      <c r="Q1325" s="316">
        <f t="shared" si="117"/>
        <v>0</v>
      </c>
      <c r="R1325" s="316">
        <f t="shared" si="117"/>
        <v>0</v>
      </c>
      <c r="S1325" s="316">
        <f t="shared" si="117"/>
        <v>0</v>
      </c>
    </row>
    <row r="1326" spans="5:19" x14ac:dyDescent="0.25">
      <c r="F1326" s="167" t="s">
        <v>59</v>
      </c>
      <c r="G1326" s="167" t="s">
        <v>814</v>
      </c>
      <c r="H1326" s="316">
        <f t="shared" si="116"/>
        <v>0</v>
      </c>
      <c r="I1326" s="121"/>
      <c r="J1326" s="121"/>
      <c r="K1326" s="121"/>
      <c r="L1326" s="178"/>
      <c r="M1326" s="178"/>
      <c r="N1326" s="178"/>
      <c r="O1326" s="316">
        <f t="shared" si="117"/>
        <v>0</v>
      </c>
      <c r="P1326" s="316">
        <f t="shared" si="117"/>
        <v>0</v>
      </c>
      <c r="Q1326" s="316">
        <f t="shared" si="117"/>
        <v>0</v>
      </c>
      <c r="R1326" s="316">
        <f t="shared" si="117"/>
        <v>0</v>
      </c>
      <c r="S1326" s="316">
        <f t="shared" si="117"/>
        <v>0</v>
      </c>
    </row>
    <row r="1327" spans="5:19" x14ac:dyDescent="0.25">
      <c r="F1327" s="167" t="s">
        <v>60</v>
      </c>
      <c r="G1327" s="167" t="s">
        <v>814</v>
      </c>
      <c r="H1327" s="316">
        <f t="shared" si="116"/>
        <v>0</v>
      </c>
      <c r="I1327" s="121"/>
      <c r="J1327" s="121"/>
      <c r="K1327" s="121"/>
      <c r="L1327" s="178"/>
      <c r="M1327" s="178"/>
      <c r="N1327" s="178"/>
      <c r="O1327" s="316">
        <f t="shared" si="117"/>
        <v>0</v>
      </c>
      <c r="P1327" s="316">
        <f t="shared" si="117"/>
        <v>0</v>
      </c>
      <c r="Q1327" s="316">
        <f t="shared" si="117"/>
        <v>0</v>
      </c>
      <c r="R1327" s="316">
        <f t="shared" si="117"/>
        <v>0</v>
      </c>
      <c r="S1327" s="316">
        <f t="shared" si="117"/>
        <v>0</v>
      </c>
    </row>
    <row r="1328" spans="5:19" x14ac:dyDescent="0.25">
      <c r="F1328" s="167" t="s">
        <v>61</v>
      </c>
      <c r="G1328" s="167" t="s">
        <v>814</v>
      </c>
      <c r="H1328" s="316">
        <f t="shared" si="116"/>
        <v>0</v>
      </c>
      <c r="I1328" s="121"/>
      <c r="J1328" s="121"/>
      <c r="K1328" s="121"/>
      <c r="L1328" s="178"/>
      <c r="M1328" s="178"/>
      <c r="N1328" s="178"/>
      <c r="O1328" s="316">
        <f t="shared" si="117"/>
        <v>0</v>
      </c>
      <c r="P1328" s="316">
        <f t="shared" si="117"/>
        <v>0</v>
      </c>
      <c r="Q1328" s="316">
        <f t="shared" si="117"/>
        <v>0</v>
      </c>
      <c r="R1328" s="316">
        <f t="shared" si="117"/>
        <v>0</v>
      </c>
      <c r="S1328" s="316">
        <f t="shared" si="117"/>
        <v>0</v>
      </c>
    </row>
    <row r="1329" spans="6:19" x14ac:dyDescent="0.25">
      <c r="F1329" s="167" t="s">
        <v>73</v>
      </c>
      <c r="G1329" s="167" t="s">
        <v>814</v>
      </c>
      <c r="H1329" s="316">
        <f t="shared" si="116"/>
        <v>0</v>
      </c>
      <c r="I1329" s="121"/>
      <c r="J1329" s="121"/>
      <c r="K1329" s="121"/>
      <c r="L1329" s="178"/>
      <c r="M1329" s="178"/>
      <c r="N1329" s="178"/>
      <c r="O1329" s="316">
        <f t="shared" si="117"/>
        <v>0</v>
      </c>
      <c r="P1329" s="316">
        <f t="shared" si="117"/>
        <v>0</v>
      </c>
      <c r="Q1329" s="316">
        <f t="shared" si="117"/>
        <v>0</v>
      </c>
      <c r="R1329" s="316">
        <f t="shared" si="117"/>
        <v>0</v>
      </c>
      <c r="S1329" s="316">
        <f t="shared" si="117"/>
        <v>0</v>
      </c>
    </row>
    <row r="1330" spans="6:19" x14ac:dyDescent="0.25">
      <c r="F1330" s="167" t="s">
        <v>86</v>
      </c>
      <c r="G1330" s="167" t="s">
        <v>814</v>
      </c>
      <c r="H1330" s="281"/>
      <c r="I1330" s="121"/>
      <c r="J1330" s="121"/>
      <c r="K1330" s="121"/>
      <c r="L1330" s="178"/>
      <c r="M1330" s="178"/>
      <c r="N1330" s="178"/>
      <c r="O1330" s="281"/>
      <c r="P1330" s="281"/>
      <c r="Q1330" s="281"/>
      <c r="R1330" s="281"/>
      <c r="S1330" s="281"/>
    </row>
    <row r="1331" spans="6:19" x14ac:dyDescent="0.25">
      <c r="F1331" s="167" t="s">
        <v>87</v>
      </c>
      <c r="G1331" s="167" t="s">
        <v>814</v>
      </c>
      <c r="H1331" s="281"/>
      <c r="I1331" s="121"/>
      <c r="J1331" s="121"/>
      <c r="K1331" s="121"/>
      <c r="L1331" s="178"/>
      <c r="M1331" s="178"/>
      <c r="N1331" s="178"/>
      <c r="O1331" s="281"/>
      <c r="P1331" s="281"/>
      <c r="Q1331" s="281"/>
      <c r="R1331" s="281"/>
      <c r="S1331" s="281"/>
    </row>
    <row r="1332" spans="6:19" x14ac:dyDescent="0.25">
      <c r="F1332" s="167" t="s">
        <v>88</v>
      </c>
      <c r="G1332" s="167" t="s">
        <v>814</v>
      </c>
      <c r="H1332" s="281"/>
      <c r="I1332" s="121"/>
      <c r="J1332" s="121"/>
      <c r="K1332" s="121"/>
      <c r="L1332" s="178"/>
      <c r="M1332" s="178"/>
      <c r="N1332" s="178"/>
      <c r="O1332" s="281"/>
      <c r="P1332" s="281"/>
      <c r="Q1332" s="281"/>
      <c r="R1332" s="281"/>
      <c r="S1332" s="281"/>
    </row>
    <row r="1333" spans="6:19" x14ac:dyDescent="0.25">
      <c r="F1333" s="167" t="s">
        <v>89</v>
      </c>
      <c r="G1333" s="167" t="s">
        <v>814</v>
      </c>
      <c r="H1333" s="281"/>
      <c r="I1333" s="121"/>
      <c r="J1333" s="121"/>
      <c r="K1333" s="121"/>
      <c r="L1333" s="178"/>
      <c r="M1333" s="178"/>
      <c r="N1333" s="178"/>
      <c r="O1333" s="281"/>
      <c r="P1333" s="281"/>
      <c r="Q1333" s="281"/>
      <c r="R1333" s="281"/>
      <c r="S1333" s="281"/>
    </row>
    <row r="1334" spans="6:19" x14ac:dyDescent="0.25">
      <c r="F1334" s="167" t="s">
        <v>90</v>
      </c>
      <c r="G1334" s="167" t="s">
        <v>814</v>
      </c>
      <c r="H1334" s="316">
        <f t="shared" si="116"/>
        <v>0</v>
      </c>
      <c r="I1334" s="121"/>
      <c r="J1334" s="121"/>
      <c r="K1334" s="121"/>
      <c r="L1334" s="178"/>
      <c r="M1334" s="178"/>
      <c r="N1334" s="178"/>
      <c r="O1334" s="316">
        <f>IF(ABS(SUM(O966,O1001,O1036)-1) &lt; 10^-check_decimals,0,1)</f>
        <v>0</v>
      </c>
      <c r="P1334" s="316">
        <f>IF(ABS(SUM(P966,P1001,P1036)-1) &lt; 10^-check_decimals,0,1)</f>
        <v>0</v>
      </c>
      <c r="Q1334" s="316">
        <f>IF(ABS(SUM(Q966,Q1001,Q1036)-1) &lt; 10^-check_decimals,0,1)</f>
        <v>0</v>
      </c>
      <c r="R1334" s="316">
        <f>IF(ABS(SUM(R966,R1001,R1036)-1) &lt; 10^-check_decimals,0,1)</f>
        <v>0</v>
      </c>
      <c r="S1334" s="316">
        <f>IF(ABS(SUM(S966,S1001,S1036)-1) &lt; 10^-check_decimals,0,1)</f>
        <v>0</v>
      </c>
    </row>
    <row r="1335" spans="6:19" x14ac:dyDescent="0.25">
      <c r="F1335" s="167" t="s">
        <v>62</v>
      </c>
      <c r="G1335" s="167" t="s">
        <v>814</v>
      </c>
      <c r="H1335" s="281"/>
      <c r="I1335" s="121"/>
      <c r="J1335" s="121"/>
      <c r="K1335" s="121"/>
      <c r="L1335" s="178"/>
      <c r="M1335" s="178"/>
      <c r="N1335" s="178"/>
      <c r="O1335" s="281"/>
      <c r="P1335" s="281"/>
      <c r="Q1335" s="281"/>
      <c r="R1335" s="281"/>
      <c r="S1335" s="281"/>
    </row>
    <row r="1336" spans="6:19" x14ac:dyDescent="0.25">
      <c r="F1336" s="167" t="s">
        <v>63</v>
      </c>
      <c r="G1336" s="167" t="s">
        <v>814</v>
      </c>
      <c r="H1336" s="281"/>
      <c r="I1336" s="121"/>
      <c r="J1336" s="121"/>
      <c r="K1336" s="121"/>
      <c r="L1336" s="178"/>
      <c r="M1336" s="178"/>
      <c r="N1336" s="178"/>
      <c r="O1336" s="281"/>
      <c r="P1336" s="281"/>
      <c r="Q1336" s="281"/>
      <c r="R1336" s="281"/>
      <c r="S1336" s="281"/>
    </row>
    <row r="1337" spans="6:19" x14ac:dyDescent="0.25">
      <c r="F1337" s="167" t="s">
        <v>64</v>
      </c>
      <c r="G1337" s="167" t="s">
        <v>814</v>
      </c>
      <c r="H1337" s="281"/>
      <c r="I1337" s="121"/>
      <c r="J1337" s="121"/>
      <c r="K1337" s="121"/>
      <c r="L1337" s="178"/>
      <c r="M1337" s="178"/>
      <c r="N1337" s="178"/>
      <c r="O1337" s="281"/>
      <c r="P1337" s="281"/>
      <c r="Q1337" s="281"/>
      <c r="R1337" s="281"/>
      <c r="S1337" s="281"/>
    </row>
    <row r="1338" spans="6:19" x14ac:dyDescent="0.25">
      <c r="F1338" s="167" t="s">
        <v>65</v>
      </c>
      <c r="G1338" s="167" t="s">
        <v>814</v>
      </c>
      <c r="H1338" s="281"/>
      <c r="I1338" s="121"/>
      <c r="J1338" s="121"/>
      <c r="K1338" s="121"/>
      <c r="L1338" s="178"/>
      <c r="M1338" s="178"/>
      <c r="N1338" s="178"/>
      <c r="O1338" s="281"/>
      <c r="P1338" s="281"/>
      <c r="Q1338" s="281"/>
      <c r="R1338" s="281"/>
      <c r="S1338" s="281"/>
    </row>
    <row r="1339" spans="6:19" x14ac:dyDescent="0.25">
      <c r="F1339" s="167" t="s">
        <v>66</v>
      </c>
      <c r="G1339" s="167" t="s">
        <v>814</v>
      </c>
      <c r="H1339" s="316">
        <f t="shared" si="116"/>
        <v>0</v>
      </c>
      <c r="I1339" s="121"/>
      <c r="J1339" s="121"/>
      <c r="K1339" s="121"/>
      <c r="L1339" s="178"/>
      <c r="M1339" s="178"/>
      <c r="N1339" s="178"/>
      <c r="O1339" s="316">
        <f t="shared" ref="O1339:S1340" si="118">IF(ABS(SUM(O971,O1006,O1041)-1) &lt; 10^-check_decimals,0,1)</f>
        <v>0</v>
      </c>
      <c r="P1339" s="316">
        <f t="shared" si="118"/>
        <v>0</v>
      </c>
      <c r="Q1339" s="316">
        <f t="shared" si="118"/>
        <v>0</v>
      </c>
      <c r="R1339" s="316">
        <f t="shared" si="118"/>
        <v>0</v>
      </c>
      <c r="S1339" s="316">
        <f t="shared" si="118"/>
        <v>0</v>
      </c>
    </row>
    <row r="1340" spans="6:19" x14ac:dyDescent="0.25">
      <c r="F1340" s="167" t="s">
        <v>67</v>
      </c>
      <c r="G1340" s="167" t="s">
        <v>814</v>
      </c>
      <c r="H1340" s="316">
        <f t="shared" si="116"/>
        <v>0</v>
      </c>
      <c r="I1340" s="121"/>
      <c r="J1340" s="121"/>
      <c r="K1340" s="121"/>
      <c r="L1340" s="178"/>
      <c r="M1340" s="178"/>
      <c r="N1340" s="178"/>
      <c r="O1340" s="316">
        <f t="shared" si="118"/>
        <v>0</v>
      </c>
      <c r="P1340" s="316">
        <f t="shared" si="118"/>
        <v>0</v>
      </c>
      <c r="Q1340" s="316">
        <f t="shared" si="118"/>
        <v>0</v>
      </c>
      <c r="R1340" s="316">
        <f t="shared" si="118"/>
        <v>0</v>
      </c>
      <c r="S1340" s="316">
        <f t="shared" si="118"/>
        <v>0</v>
      </c>
    </row>
    <row r="1341" spans="6:19" x14ac:dyDescent="0.25">
      <c r="F1341" s="167" t="s">
        <v>68</v>
      </c>
      <c r="G1341" s="167" t="s">
        <v>814</v>
      </c>
      <c r="H1341" s="281"/>
      <c r="I1341" s="121"/>
      <c r="J1341" s="121"/>
      <c r="K1341" s="121"/>
      <c r="L1341" s="178"/>
      <c r="M1341" s="178"/>
      <c r="N1341" s="178"/>
      <c r="O1341" s="281"/>
      <c r="P1341" s="281"/>
      <c r="Q1341" s="281"/>
      <c r="R1341" s="281"/>
      <c r="S1341" s="281"/>
    </row>
    <row r="1342" spans="6:19" x14ac:dyDescent="0.25">
      <c r="F1342" s="167" t="s">
        <v>69</v>
      </c>
      <c r="G1342" s="167" t="s">
        <v>814</v>
      </c>
      <c r="H1342" s="281"/>
      <c r="I1342" s="121"/>
      <c r="J1342" s="121"/>
      <c r="K1342" s="121"/>
      <c r="L1342" s="178"/>
      <c r="M1342" s="178"/>
      <c r="N1342" s="178"/>
      <c r="O1342" s="281"/>
      <c r="P1342" s="281"/>
      <c r="Q1342" s="281"/>
      <c r="R1342" s="281"/>
      <c r="S1342" s="281"/>
    </row>
    <row r="1343" spans="6:19" x14ac:dyDescent="0.25">
      <c r="F1343" s="167" t="s">
        <v>70</v>
      </c>
      <c r="G1343" s="167" t="s">
        <v>814</v>
      </c>
      <c r="H1343" s="316">
        <f t="shared" si="116"/>
        <v>0</v>
      </c>
      <c r="I1343" s="121"/>
      <c r="J1343" s="121"/>
      <c r="K1343" s="121"/>
      <c r="L1343" s="178"/>
      <c r="M1343" s="178"/>
      <c r="N1343" s="178"/>
      <c r="O1343" s="316">
        <f t="shared" ref="O1343:S1344" si="119">IF(ABS(SUM(O975,O1010,O1045)-1) &lt; 10^-check_decimals,0,1)</f>
        <v>0</v>
      </c>
      <c r="P1343" s="316">
        <f t="shared" si="119"/>
        <v>0</v>
      </c>
      <c r="Q1343" s="316">
        <f t="shared" si="119"/>
        <v>0</v>
      </c>
      <c r="R1343" s="316">
        <f t="shared" si="119"/>
        <v>0</v>
      </c>
      <c r="S1343" s="316">
        <f t="shared" si="119"/>
        <v>0</v>
      </c>
    </row>
    <row r="1344" spans="6:19" x14ac:dyDescent="0.25">
      <c r="F1344" s="167" t="s">
        <v>71</v>
      </c>
      <c r="G1344" s="167" t="s">
        <v>814</v>
      </c>
      <c r="H1344" s="316">
        <f t="shared" si="116"/>
        <v>0</v>
      </c>
      <c r="I1344" s="121"/>
      <c r="J1344" s="121"/>
      <c r="K1344" s="121"/>
      <c r="L1344" s="178"/>
      <c r="M1344" s="178"/>
      <c r="N1344" s="178"/>
      <c r="O1344" s="316">
        <f t="shared" si="119"/>
        <v>0</v>
      </c>
      <c r="P1344" s="316">
        <f t="shared" si="119"/>
        <v>0</v>
      </c>
      <c r="Q1344" s="316">
        <f t="shared" si="119"/>
        <v>0</v>
      </c>
      <c r="R1344" s="316">
        <f t="shared" si="119"/>
        <v>0</v>
      </c>
      <c r="S1344" s="316">
        <f t="shared" si="119"/>
        <v>0</v>
      </c>
    </row>
    <row r="1345" spans="5:19" x14ac:dyDescent="0.25">
      <c r="F1345" s="167" t="s">
        <v>74</v>
      </c>
      <c r="G1345" s="167" t="s">
        <v>814</v>
      </c>
      <c r="H1345" s="281"/>
      <c r="I1345" s="121"/>
      <c r="J1345" s="121"/>
      <c r="K1345" s="121"/>
      <c r="L1345" s="178"/>
      <c r="M1345" s="178"/>
      <c r="N1345" s="178"/>
      <c r="O1345" s="281"/>
      <c r="P1345" s="281"/>
      <c r="Q1345" s="281"/>
      <c r="R1345" s="281"/>
      <c r="S1345" s="281"/>
    </row>
    <row r="1346" spans="5:19" x14ac:dyDescent="0.25">
      <c r="F1346" s="167" t="s">
        <v>75</v>
      </c>
      <c r="G1346" s="167" t="s">
        <v>814</v>
      </c>
      <c r="H1346" s="281"/>
      <c r="I1346" s="121"/>
      <c r="J1346" s="121"/>
      <c r="K1346" s="121"/>
      <c r="L1346" s="178"/>
      <c r="M1346" s="178"/>
      <c r="N1346" s="178"/>
      <c r="O1346" s="281"/>
      <c r="P1346" s="281"/>
      <c r="Q1346" s="281"/>
      <c r="R1346" s="281"/>
      <c r="S1346" s="281"/>
    </row>
    <row r="1347" spans="5:19" x14ac:dyDescent="0.25">
      <c r="F1347" s="167" t="s">
        <v>76</v>
      </c>
      <c r="G1347" s="167" t="s">
        <v>814</v>
      </c>
      <c r="H1347" s="316">
        <f t="shared" si="116"/>
        <v>0</v>
      </c>
      <c r="I1347" s="121"/>
      <c r="J1347" s="121"/>
      <c r="K1347" s="121"/>
      <c r="L1347" s="178"/>
      <c r="M1347" s="178"/>
      <c r="N1347" s="178"/>
      <c r="O1347" s="316">
        <f t="shared" ref="O1347:S1348" si="120">IF(ABS(SUM(O979,O1014,O1049)-1) &lt; 10^-check_decimals,0,1)</f>
        <v>0</v>
      </c>
      <c r="P1347" s="316">
        <f t="shared" si="120"/>
        <v>0</v>
      </c>
      <c r="Q1347" s="316">
        <f t="shared" si="120"/>
        <v>0</v>
      </c>
      <c r="R1347" s="316">
        <f t="shared" si="120"/>
        <v>0</v>
      </c>
      <c r="S1347" s="316">
        <f t="shared" si="120"/>
        <v>0</v>
      </c>
    </row>
    <row r="1348" spans="5:19" x14ac:dyDescent="0.25">
      <c r="F1348" s="168" t="s">
        <v>77</v>
      </c>
      <c r="G1348" s="168" t="s">
        <v>814</v>
      </c>
      <c r="H1348" s="318">
        <f t="shared" si="116"/>
        <v>0</v>
      </c>
      <c r="I1348" s="262"/>
      <c r="J1348" s="262"/>
      <c r="K1348" s="262"/>
      <c r="L1348" s="179"/>
      <c r="M1348" s="179"/>
      <c r="N1348" s="179"/>
      <c r="O1348" s="318">
        <f t="shared" si="120"/>
        <v>0</v>
      </c>
      <c r="P1348" s="318">
        <f t="shared" si="120"/>
        <v>0</v>
      </c>
      <c r="Q1348" s="318">
        <f t="shared" si="120"/>
        <v>0</v>
      </c>
      <c r="R1348" s="318">
        <f t="shared" si="120"/>
        <v>0</v>
      </c>
      <c r="S1348" s="318">
        <f t="shared" si="120"/>
        <v>0</v>
      </c>
    </row>
    <row r="1349" spans="5:19" x14ac:dyDescent="0.25">
      <c r="E1349" s="172" t="s">
        <v>153</v>
      </c>
      <c r="H1349" s="287"/>
      <c r="J1349" s="200"/>
      <c r="K1349" s="200"/>
      <c r="L1349" s="287"/>
      <c r="M1349" s="287"/>
      <c r="N1349" s="287"/>
      <c r="O1349" s="287"/>
      <c r="P1349" s="287"/>
      <c r="Q1349" s="287"/>
      <c r="R1349" s="287"/>
      <c r="S1349" s="287"/>
    </row>
    <row r="1350" spans="5:19" x14ac:dyDescent="0.25">
      <c r="F1350" s="166" t="s">
        <v>52</v>
      </c>
      <c r="G1350" s="166" t="s">
        <v>814</v>
      </c>
      <c r="H1350" s="280"/>
      <c r="I1350" s="201"/>
      <c r="J1350" s="201"/>
      <c r="K1350" s="201"/>
      <c r="L1350" s="185"/>
      <c r="M1350" s="185"/>
      <c r="N1350" s="185"/>
      <c r="O1350" s="280"/>
      <c r="P1350" s="280"/>
      <c r="Q1350" s="280"/>
      <c r="R1350" s="280"/>
      <c r="S1350" s="280"/>
    </row>
    <row r="1351" spans="5:19" x14ac:dyDescent="0.25">
      <c r="F1351" s="167" t="s">
        <v>53</v>
      </c>
      <c r="G1351" s="167" t="s">
        <v>814</v>
      </c>
      <c r="H1351" s="281"/>
      <c r="I1351" s="121"/>
      <c r="J1351" s="121"/>
      <c r="K1351" s="121"/>
      <c r="L1351" s="178"/>
      <c r="M1351" s="178"/>
      <c r="N1351" s="178"/>
      <c r="O1351" s="281"/>
      <c r="P1351" s="281"/>
      <c r="Q1351" s="281"/>
      <c r="R1351" s="281"/>
      <c r="S1351" s="281"/>
    </row>
    <row r="1352" spans="5:19" x14ac:dyDescent="0.25">
      <c r="F1352" s="167" t="s">
        <v>84</v>
      </c>
      <c r="G1352" s="167" t="s">
        <v>814</v>
      </c>
      <c r="H1352" s="281"/>
      <c r="I1352" s="121"/>
      <c r="J1352" s="121"/>
      <c r="K1352" s="121"/>
      <c r="L1352" s="178"/>
      <c r="M1352" s="178"/>
      <c r="N1352" s="178"/>
      <c r="O1352" s="281"/>
      <c r="P1352" s="281"/>
      <c r="Q1352" s="281"/>
      <c r="R1352" s="281"/>
      <c r="S1352" s="281"/>
    </row>
    <row r="1353" spans="5:19" x14ac:dyDescent="0.25">
      <c r="F1353" s="167" t="s">
        <v>54</v>
      </c>
      <c r="G1353" s="167" t="s">
        <v>814</v>
      </c>
      <c r="H1353" s="281"/>
      <c r="I1353" s="121"/>
      <c r="J1353" s="121"/>
      <c r="K1353" s="121"/>
      <c r="L1353" s="178"/>
      <c r="M1353" s="178"/>
      <c r="N1353" s="178"/>
      <c r="O1353" s="281"/>
      <c r="P1353" s="281"/>
      <c r="Q1353" s="281"/>
      <c r="R1353" s="281"/>
      <c r="S1353" s="281"/>
    </row>
    <row r="1354" spans="5:19" x14ac:dyDescent="0.25">
      <c r="F1354" s="167" t="s">
        <v>55</v>
      </c>
      <c r="G1354" s="167" t="s">
        <v>814</v>
      </c>
      <c r="H1354" s="281"/>
      <c r="I1354" s="121"/>
      <c r="J1354" s="121"/>
      <c r="K1354" s="121"/>
      <c r="L1354" s="178"/>
      <c r="M1354" s="178"/>
      <c r="N1354" s="178"/>
      <c r="O1354" s="281"/>
      <c r="P1354" s="281"/>
      <c r="Q1354" s="281"/>
      <c r="R1354" s="281"/>
      <c r="S1354" s="281"/>
    </row>
    <row r="1355" spans="5:19" x14ac:dyDescent="0.25">
      <c r="F1355" s="167" t="s">
        <v>85</v>
      </c>
      <c r="G1355" s="167" t="s">
        <v>814</v>
      </c>
      <c r="H1355" s="281"/>
      <c r="I1355" s="121"/>
      <c r="J1355" s="121"/>
      <c r="K1355" s="121"/>
      <c r="L1355" s="178"/>
      <c r="M1355" s="178"/>
      <c r="N1355" s="178"/>
      <c r="O1355" s="281"/>
      <c r="P1355" s="281"/>
      <c r="Q1355" s="281"/>
      <c r="R1355" s="281"/>
      <c r="S1355" s="281"/>
    </row>
    <row r="1356" spans="5:19" x14ac:dyDescent="0.25">
      <c r="F1356" s="167" t="s">
        <v>56</v>
      </c>
      <c r="G1356" s="167" t="s">
        <v>814</v>
      </c>
      <c r="H1356" s="281"/>
      <c r="I1356" s="121"/>
      <c r="J1356" s="121"/>
      <c r="K1356" s="121"/>
      <c r="L1356" s="178"/>
      <c r="M1356" s="178"/>
      <c r="N1356" s="178"/>
      <c r="O1356" s="281"/>
      <c r="P1356" s="281"/>
      <c r="Q1356" s="281"/>
      <c r="R1356" s="281"/>
      <c r="S1356" s="281"/>
    </row>
    <row r="1357" spans="5:19" x14ac:dyDescent="0.25">
      <c r="F1357" s="167" t="s">
        <v>57</v>
      </c>
      <c r="G1357" s="167" t="s">
        <v>814</v>
      </c>
      <c r="H1357" s="281"/>
      <c r="I1357" s="121"/>
      <c r="J1357" s="121"/>
      <c r="K1357" s="121"/>
      <c r="L1357" s="178"/>
      <c r="M1357" s="178"/>
      <c r="N1357" s="178"/>
      <c r="O1357" s="281"/>
      <c r="P1357" s="281"/>
      <c r="Q1357" s="281"/>
      <c r="R1357" s="281"/>
      <c r="S1357" s="281"/>
    </row>
    <row r="1358" spans="5:19" x14ac:dyDescent="0.25">
      <c r="F1358" s="167" t="s">
        <v>72</v>
      </c>
      <c r="G1358" s="167" t="s">
        <v>814</v>
      </c>
      <c r="H1358" s="281"/>
      <c r="I1358" s="121"/>
      <c r="J1358" s="121"/>
      <c r="K1358" s="121"/>
      <c r="L1358" s="178"/>
      <c r="M1358" s="178"/>
      <c r="N1358" s="178"/>
      <c r="O1358" s="281"/>
      <c r="P1358" s="281"/>
      <c r="Q1358" s="281"/>
      <c r="R1358" s="281"/>
      <c r="S1358" s="281"/>
    </row>
    <row r="1359" spans="5:19" x14ac:dyDescent="0.25">
      <c r="F1359" s="167" t="s">
        <v>58</v>
      </c>
      <c r="G1359" s="167" t="s">
        <v>814</v>
      </c>
      <c r="H1359" s="316">
        <f t="shared" ref="H1359:H1381" si="121">SUM(L1359:S1359)</f>
        <v>0</v>
      </c>
      <c r="I1359" s="121"/>
      <c r="J1359" s="121"/>
      <c r="K1359" s="121"/>
      <c r="L1359" s="178"/>
      <c r="M1359" s="178"/>
      <c r="N1359" s="178"/>
      <c r="O1359" s="316">
        <f t="shared" ref="O1359:S1363" si="122">IF(ABS(SUM(O1064,O1099,O1134)-1) &lt; 10^-check_decimals,0,1)</f>
        <v>0</v>
      </c>
      <c r="P1359" s="316">
        <f t="shared" si="122"/>
        <v>0</v>
      </c>
      <c r="Q1359" s="316">
        <f t="shared" si="122"/>
        <v>0</v>
      </c>
      <c r="R1359" s="316">
        <f t="shared" si="122"/>
        <v>0</v>
      </c>
      <c r="S1359" s="316">
        <f t="shared" si="122"/>
        <v>0</v>
      </c>
    </row>
    <row r="1360" spans="5:19" x14ac:dyDescent="0.25">
      <c r="F1360" s="167" t="s">
        <v>59</v>
      </c>
      <c r="G1360" s="167" t="s">
        <v>814</v>
      </c>
      <c r="H1360" s="316">
        <f t="shared" si="121"/>
        <v>0</v>
      </c>
      <c r="I1360" s="121"/>
      <c r="J1360" s="121"/>
      <c r="K1360" s="121"/>
      <c r="L1360" s="178"/>
      <c r="M1360" s="178"/>
      <c r="N1360" s="178"/>
      <c r="O1360" s="316">
        <f t="shared" si="122"/>
        <v>0</v>
      </c>
      <c r="P1360" s="316">
        <f t="shared" si="122"/>
        <v>0</v>
      </c>
      <c r="Q1360" s="316">
        <f t="shared" si="122"/>
        <v>0</v>
      </c>
      <c r="R1360" s="316">
        <f t="shared" si="122"/>
        <v>0</v>
      </c>
      <c r="S1360" s="316">
        <f t="shared" si="122"/>
        <v>0</v>
      </c>
    </row>
    <row r="1361" spans="6:19" x14ac:dyDescent="0.25">
      <c r="F1361" s="167" t="s">
        <v>60</v>
      </c>
      <c r="G1361" s="167" t="s">
        <v>814</v>
      </c>
      <c r="H1361" s="316">
        <f t="shared" si="121"/>
        <v>0</v>
      </c>
      <c r="I1361" s="121"/>
      <c r="J1361" s="121"/>
      <c r="K1361" s="121"/>
      <c r="L1361" s="178"/>
      <c r="M1361" s="178"/>
      <c r="N1361" s="178"/>
      <c r="O1361" s="316">
        <f t="shared" si="122"/>
        <v>0</v>
      </c>
      <c r="P1361" s="316">
        <f t="shared" si="122"/>
        <v>0</v>
      </c>
      <c r="Q1361" s="316">
        <f t="shared" si="122"/>
        <v>0</v>
      </c>
      <c r="R1361" s="316">
        <f t="shared" si="122"/>
        <v>0</v>
      </c>
      <c r="S1361" s="316">
        <f t="shared" si="122"/>
        <v>0</v>
      </c>
    </row>
    <row r="1362" spans="6:19" x14ac:dyDescent="0.25">
      <c r="F1362" s="167" t="s">
        <v>61</v>
      </c>
      <c r="G1362" s="167" t="s">
        <v>814</v>
      </c>
      <c r="H1362" s="316">
        <f t="shared" si="121"/>
        <v>0</v>
      </c>
      <c r="I1362" s="121"/>
      <c r="J1362" s="121"/>
      <c r="K1362" s="121"/>
      <c r="L1362" s="178"/>
      <c r="M1362" s="178"/>
      <c r="N1362" s="178"/>
      <c r="O1362" s="316">
        <f t="shared" si="122"/>
        <v>0</v>
      </c>
      <c r="P1362" s="316">
        <f t="shared" si="122"/>
        <v>0</v>
      </c>
      <c r="Q1362" s="316">
        <f t="shared" si="122"/>
        <v>0</v>
      </c>
      <c r="R1362" s="316">
        <f t="shared" si="122"/>
        <v>0</v>
      </c>
      <c r="S1362" s="316">
        <f t="shared" si="122"/>
        <v>0</v>
      </c>
    </row>
    <row r="1363" spans="6:19" x14ac:dyDescent="0.25">
      <c r="F1363" s="167" t="s">
        <v>73</v>
      </c>
      <c r="G1363" s="167" t="s">
        <v>814</v>
      </c>
      <c r="H1363" s="316">
        <f t="shared" si="121"/>
        <v>0</v>
      </c>
      <c r="I1363" s="121"/>
      <c r="J1363" s="121"/>
      <c r="K1363" s="121"/>
      <c r="L1363" s="178"/>
      <c r="M1363" s="178"/>
      <c r="N1363" s="178"/>
      <c r="O1363" s="316">
        <f t="shared" si="122"/>
        <v>0</v>
      </c>
      <c r="P1363" s="316">
        <f t="shared" si="122"/>
        <v>0</v>
      </c>
      <c r="Q1363" s="316">
        <f t="shared" si="122"/>
        <v>0</v>
      </c>
      <c r="R1363" s="316">
        <f t="shared" si="122"/>
        <v>0</v>
      </c>
      <c r="S1363" s="316">
        <f t="shared" si="122"/>
        <v>0</v>
      </c>
    </row>
    <row r="1364" spans="6:19" x14ac:dyDescent="0.25">
      <c r="F1364" s="167" t="s">
        <v>86</v>
      </c>
      <c r="G1364" s="167" t="s">
        <v>814</v>
      </c>
      <c r="H1364" s="281"/>
      <c r="I1364" s="121"/>
      <c r="J1364" s="121"/>
      <c r="K1364" s="121"/>
      <c r="L1364" s="178"/>
      <c r="M1364" s="178"/>
      <c r="N1364" s="178"/>
      <c r="O1364" s="281"/>
      <c r="P1364" s="281"/>
      <c r="Q1364" s="281"/>
      <c r="R1364" s="281"/>
      <c r="S1364" s="281"/>
    </row>
    <row r="1365" spans="6:19" x14ac:dyDescent="0.25">
      <c r="F1365" s="167" t="s">
        <v>87</v>
      </c>
      <c r="G1365" s="167" t="s">
        <v>814</v>
      </c>
      <c r="H1365" s="281"/>
      <c r="I1365" s="121"/>
      <c r="J1365" s="121"/>
      <c r="K1365" s="121"/>
      <c r="L1365" s="178"/>
      <c r="M1365" s="178"/>
      <c r="N1365" s="178"/>
      <c r="O1365" s="281"/>
      <c r="P1365" s="281"/>
      <c r="Q1365" s="281"/>
      <c r="R1365" s="281"/>
      <c r="S1365" s="281"/>
    </row>
    <row r="1366" spans="6:19" x14ac:dyDescent="0.25">
      <c r="F1366" s="167" t="s">
        <v>88</v>
      </c>
      <c r="G1366" s="167" t="s">
        <v>814</v>
      </c>
      <c r="H1366" s="281"/>
      <c r="I1366" s="121"/>
      <c r="J1366" s="121"/>
      <c r="K1366" s="121"/>
      <c r="L1366" s="178"/>
      <c r="M1366" s="178"/>
      <c r="N1366" s="178"/>
      <c r="O1366" s="281"/>
      <c r="P1366" s="281"/>
      <c r="Q1366" s="281"/>
      <c r="R1366" s="281"/>
      <c r="S1366" s="281"/>
    </row>
    <row r="1367" spans="6:19" x14ac:dyDescent="0.25">
      <c r="F1367" s="167" t="s">
        <v>89</v>
      </c>
      <c r="G1367" s="167" t="s">
        <v>814</v>
      </c>
      <c r="H1367" s="281"/>
      <c r="I1367" s="121"/>
      <c r="J1367" s="121"/>
      <c r="K1367" s="121"/>
      <c r="L1367" s="178"/>
      <c r="M1367" s="178"/>
      <c r="N1367" s="178"/>
      <c r="O1367" s="281"/>
      <c r="P1367" s="281"/>
      <c r="Q1367" s="281"/>
      <c r="R1367" s="281"/>
      <c r="S1367" s="281"/>
    </row>
    <row r="1368" spans="6:19" x14ac:dyDescent="0.25">
      <c r="F1368" s="167" t="s">
        <v>90</v>
      </c>
      <c r="G1368" s="167" t="s">
        <v>814</v>
      </c>
      <c r="H1368" s="316">
        <f t="shared" si="121"/>
        <v>0</v>
      </c>
      <c r="I1368" s="121"/>
      <c r="J1368" s="121"/>
      <c r="K1368" s="121"/>
      <c r="L1368" s="178"/>
      <c r="M1368" s="178"/>
      <c r="N1368" s="178"/>
      <c r="O1368" s="316">
        <f>IF(ABS(SUM(O1073,O1108,O1143)-1) &lt; 10^-check_decimals,0,1)</f>
        <v>0</v>
      </c>
      <c r="P1368" s="316">
        <f>IF(ABS(SUM(P1073,P1108,P1143)-1) &lt; 10^-check_decimals,0,1)</f>
        <v>0</v>
      </c>
      <c r="Q1368" s="316">
        <f>IF(ABS(SUM(Q1073,Q1108,Q1143)-1) &lt; 10^-check_decimals,0,1)</f>
        <v>0</v>
      </c>
      <c r="R1368" s="316">
        <f>IF(ABS(SUM(R1073,R1108,R1143)-1) &lt; 10^-check_decimals,0,1)</f>
        <v>0</v>
      </c>
      <c r="S1368" s="316">
        <f>IF(ABS(SUM(S1073,S1108,S1143)-1) &lt; 10^-check_decimals,0,1)</f>
        <v>0</v>
      </c>
    </row>
    <row r="1369" spans="6:19" x14ac:dyDescent="0.25">
      <c r="F1369" s="167" t="s">
        <v>62</v>
      </c>
      <c r="G1369" s="167" t="s">
        <v>814</v>
      </c>
      <c r="H1369" s="281"/>
      <c r="I1369" s="121"/>
      <c r="J1369" s="121"/>
      <c r="K1369" s="121"/>
      <c r="L1369" s="178"/>
      <c r="M1369" s="178"/>
      <c r="N1369" s="178"/>
      <c r="O1369" s="281"/>
      <c r="P1369" s="281"/>
      <c r="Q1369" s="281"/>
      <c r="R1369" s="281"/>
      <c r="S1369" s="281"/>
    </row>
    <row r="1370" spans="6:19" x14ac:dyDescent="0.25">
      <c r="F1370" s="167" t="s">
        <v>63</v>
      </c>
      <c r="G1370" s="167" t="s">
        <v>814</v>
      </c>
      <c r="H1370" s="281"/>
      <c r="I1370" s="121"/>
      <c r="J1370" s="121"/>
      <c r="K1370" s="121"/>
      <c r="L1370" s="178"/>
      <c r="M1370" s="178"/>
      <c r="N1370" s="178"/>
      <c r="O1370" s="281"/>
      <c r="P1370" s="281"/>
      <c r="Q1370" s="281"/>
      <c r="R1370" s="281"/>
      <c r="S1370" s="281"/>
    </row>
    <row r="1371" spans="6:19" x14ac:dyDescent="0.25">
      <c r="F1371" s="167" t="s">
        <v>64</v>
      </c>
      <c r="G1371" s="167" t="s">
        <v>814</v>
      </c>
      <c r="H1371" s="281"/>
      <c r="I1371" s="121"/>
      <c r="J1371" s="121"/>
      <c r="K1371" s="121"/>
      <c r="L1371" s="178"/>
      <c r="M1371" s="178"/>
      <c r="N1371" s="178"/>
      <c r="O1371" s="281"/>
      <c r="P1371" s="281"/>
      <c r="Q1371" s="281"/>
      <c r="R1371" s="281"/>
      <c r="S1371" s="281"/>
    </row>
    <row r="1372" spans="6:19" x14ac:dyDescent="0.25">
      <c r="F1372" s="167" t="s">
        <v>65</v>
      </c>
      <c r="G1372" s="167" t="s">
        <v>814</v>
      </c>
      <c r="H1372" s="281"/>
      <c r="I1372" s="121"/>
      <c r="J1372" s="121"/>
      <c r="K1372" s="121"/>
      <c r="L1372" s="178"/>
      <c r="M1372" s="178"/>
      <c r="N1372" s="178"/>
      <c r="O1372" s="281"/>
      <c r="P1372" s="281"/>
      <c r="Q1372" s="281"/>
      <c r="R1372" s="281"/>
      <c r="S1372" s="281"/>
    </row>
    <row r="1373" spans="6:19" x14ac:dyDescent="0.25">
      <c r="F1373" s="167" t="s">
        <v>66</v>
      </c>
      <c r="G1373" s="167" t="s">
        <v>814</v>
      </c>
      <c r="H1373" s="316">
        <f t="shared" si="121"/>
        <v>0</v>
      </c>
      <c r="I1373" s="121"/>
      <c r="J1373" s="121"/>
      <c r="K1373" s="121"/>
      <c r="L1373" s="178"/>
      <c r="M1373" s="178"/>
      <c r="N1373" s="178"/>
      <c r="O1373" s="316">
        <f t="shared" ref="O1373:S1374" si="123">IF(ABS(SUM(O1078,O1113,O1148)-1) &lt; 10^-check_decimals,0,1)</f>
        <v>0</v>
      </c>
      <c r="P1373" s="316">
        <f t="shared" si="123"/>
        <v>0</v>
      </c>
      <c r="Q1373" s="316">
        <f t="shared" si="123"/>
        <v>0</v>
      </c>
      <c r="R1373" s="316">
        <f t="shared" si="123"/>
        <v>0</v>
      </c>
      <c r="S1373" s="316">
        <f t="shared" si="123"/>
        <v>0</v>
      </c>
    </row>
    <row r="1374" spans="6:19" x14ac:dyDescent="0.25">
      <c r="F1374" s="167" t="s">
        <v>67</v>
      </c>
      <c r="G1374" s="167" t="s">
        <v>814</v>
      </c>
      <c r="H1374" s="316">
        <f t="shared" si="121"/>
        <v>0</v>
      </c>
      <c r="I1374" s="121"/>
      <c r="J1374" s="121"/>
      <c r="K1374" s="121"/>
      <c r="L1374" s="178"/>
      <c r="M1374" s="178"/>
      <c r="N1374" s="178"/>
      <c r="O1374" s="316">
        <f t="shared" si="123"/>
        <v>0</v>
      </c>
      <c r="P1374" s="316">
        <f t="shared" si="123"/>
        <v>0</v>
      </c>
      <c r="Q1374" s="316">
        <f t="shared" si="123"/>
        <v>0</v>
      </c>
      <c r="R1374" s="316">
        <f t="shared" si="123"/>
        <v>0</v>
      </c>
      <c r="S1374" s="316">
        <f t="shared" si="123"/>
        <v>0</v>
      </c>
    </row>
    <row r="1375" spans="6:19" x14ac:dyDescent="0.25">
      <c r="F1375" s="167" t="s">
        <v>68</v>
      </c>
      <c r="G1375" s="167" t="s">
        <v>814</v>
      </c>
      <c r="H1375" s="281"/>
      <c r="I1375" s="121"/>
      <c r="J1375" s="121"/>
      <c r="K1375" s="121"/>
      <c r="L1375" s="178"/>
      <c r="M1375" s="178"/>
      <c r="N1375" s="178"/>
      <c r="O1375" s="281"/>
      <c r="P1375" s="281"/>
      <c r="Q1375" s="281"/>
      <c r="R1375" s="281"/>
      <c r="S1375" s="281"/>
    </row>
    <row r="1376" spans="6:19" x14ac:dyDescent="0.25">
      <c r="F1376" s="167" t="s">
        <v>69</v>
      </c>
      <c r="G1376" s="167" t="s">
        <v>814</v>
      </c>
      <c r="H1376" s="281"/>
      <c r="I1376" s="121"/>
      <c r="J1376" s="121"/>
      <c r="K1376" s="121"/>
      <c r="L1376" s="178"/>
      <c r="M1376" s="178"/>
      <c r="N1376" s="178"/>
      <c r="O1376" s="281"/>
      <c r="P1376" s="281"/>
      <c r="Q1376" s="281"/>
      <c r="R1376" s="281"/>
      <c r="S1376" s="281"/>
    </row>
    <row r="1377" spans="2:49" x14ac:dyDescent="0.25">
      <c r="F1377" s="167" t="s">
        <v>70</v>
      </c>
      <c r="G1377" s="167" t="s">
        <v>814</v>
      </c>
      <c r="H1377" s="316">
        <f t="shared" si="121"/>
        <v>0</v>
      </c>
      <c r="I1377" s="121"/>
      <c r="J1377" s="121"/>
      <c r="K1377" s="121"/>
      <c r="L1377" s="178"/>
      <c r="M1377" s="178"/>
      <c r="N1377" s="178"/>
      <c r="O1377" s="316">
        <f t="shared" ref="O1377:S1378" si="124">IF(ABS(SUM(O1082,O1117,O1152)-1) &lt; 10^-check_decimals,0,1)</f>
        <v>0</v>
      </c>
      <c r="P1377" s="316">
        <f t="shared" si="124"/>
        <v>0</v>
      </c>
      <c r="Q1377" s="316">
        <f t="shared" si="124"/>
        <v>0</v>
      </c>
      <c r="R1377" s="316">
        <f t="shared" si="124"/>
        <v>0</v>
      </c>
      <c r="S1377" s="316">
        <f t="shared" si="124"/>
        <v>0</v>
      </c>
    </row>
    <row r="1378" spans="2:49" x14ac:dyDescent="0.25">
      <c r="F1378" s="167" t="s">
        <v>71</v>
      </c>
      <c r="G1378" s="167" t="s">
        <v>814</v>
      </c>
      <c r="H1378" s="316">
        <f t="shared" si="121"/>
        <v>0</v>
      </c>
      <c r="I1378" s="121"/>
      <c r="J1378" s="121"/>
      <c r="K1378" s="121"/>
      <c r="L1378" s="178"/>
      <c r="M1378" s="178"/>
      <c r="N1378" s="178"/>
      <c r="O1378" s="316">
        <f t="shared" si="124"/>
        <v>0</v>
      </c>
      <c r="P1378" s="316">
        <f t="shared" si="124"/>
        <v>0</v>
      </c>
      <c r="Q1378" s="316">
        <f t="shared" si="124"/>
        <v>0</v>
      </c>
      <c r="R1378" s="316">
        <f t="shared" si="124"/>
        <v>0</v>
      </c>
      <c r="S1378" s="316">
        <f t="shared" si="124"/>
        <v>0</v>
      </c>
    </row>
    <row r="1379" spans="2:49" x14ac:dyDescent="0.25">
      <c r="F1379" s="167" t="s">
        <v>74</v>
      </c>
      <c r="G1379" s="167" t="s">
        <v>814</v>
      </c>
      <c r="H1379" s="281"/>
      <c r="I1379" s="121"/>
      <c r="J1379" s="121"/>
      <c r="K1379" s="121"/>
      <c r="L1379" s="178"/>
      <c r="M1379" s="178"/>
      <c r="N1379" s="178"/>
      <c r="O1379" s="281"/>
      <c r="P1379" s="281"/>
      <c r="Q1379" s="281"/>
      <c r="R1379" s="281"/>
      <c r="S1379" s="281"/>
    </row>
    <row r="1380" spans="2:49" x14ac:dyDescent="0.25">
      <c r="F1380" s="167" t="s">
        <v>75</v>
      </c>
      <c r="G1380" s="167" t="s">
        <v>814</v>
      </c>
      <c r="H1380" s="281"/>
      <c r="I1380" s="121"/>
      <c r="J1380" s="121"/>
      <c r="K1380" s="121"/>
      <c r="L1380" s="178"/>
      <c r="M1380" s="178"/>
      <c r="N1380" s="178"/>
      <c r="O1380" s="281"/>
      <c r="P1380" s="281"/>
      <c r="Q1380" s="281"/>
      <c r="R1380" s="281"/>
      <c r="S1380" s="281"/>
    </row>
    <row r="1381" spans="2:49" x14ac:dyDescent="0.25">
      <c r="F1381" s="167" t="s">
        <v>76</v>
      </c>
      <c r="G1381" s="167" t="s">
        <v>814</v>
      </c>
      <c r="H1381" s="316">
        <f t="shared" si="121"/>
        <v>0</v>
      </c>
      <c r="I1381" s="121"/>
      <c r="J1381" s="121"/>
      <c r="K1381" s="121"/>
      <c r="L1381" s="178"/>
      <c r="M1381" s="178"/>
      <c r="N1381" s="178"/>
      <c r="O1381" s="316">
        <f t="shared" ref="O1381:S1382" si="125">IF(ABS(SUM(O1086,O1121,O1156)-1) &lt; 10^-check_decimals,0,1)</f>
        <v>0</v>
      </c>
      <c r="P1381" s="316">
        <f t="shared" si="125"/>
        <v>0</v>
      </c>
      <c r="Q1381" s="316">
        <f t="shared" si="125"/>
        <v>0</v>
      </c>
      <c r="R1381" s="316">
        <f t="shared" si="125"/>
        <v>0</v>
      </c>
      <c r="S1381" s="316">
        <f t="shared" si="125"/>
        <v>0</v>
      </c>
    </row>
    <row r="1382" spans="2:49" x14ac:dyDescent="0.25">
      <c r="F1382" s="168" t="s">
        <v>77</v>
      </c>
      <c r="G1382" s="168" t="s">
        <v>814</v>
      </c>
      <c r="H1382" s="318">
        <f>SUM(L1382:S1382)</f>
        <v>0</v>
      </c>
      <c r="I1382" s="262"/>
      <c r="J1382" s="262"/>
      <c r="K1382" s="262"/>
      <c r="L1382" s="179"/>
      <c r="M1382" s="179"/>
      <c r="N1382" s="179"/>
      <c r="O1382" s="318">
        <f t="shared" si="125"/>
        <v>0</v>
      </c>
      <c r="P1382" s="318">
        <f t="shared" si="125"/>
        <v>0</v>
      </c>
      <c r="Q1382" s="318">
        <f t="shared" si="125"/>
        <v>0</v>
      </c>
      <c r="R1382" s="318">
        <f t="shared" si="125"/>
        <v>0</v>
      </c>
      <c r="S1382" s="318">
        <f t="shared" si="125"/>
        <v>0</v>
      </c>
    </row>
    <row r="1383" spans="2:49" x14ac:dyDescent="0.25">
      <c r="E1383" s="167"/>
      <c r="F1383" s="167"/>
      <c r="G1383" s="167"/>
      <c r="H1383" s="167"/>
    </row>
    <row r="1384" spans="2:49" x14ac:dyDescent="0.25">
      <c r="E1384" s="160" t="s">
        <v>546</v>
      </c>
      <c r="G1384" s="111" t="s">
        <v>814</v>
      </c>
      <c r="H1384" s="362">
        <f>SUM(H1278,H1282:H1382)</f>
        <v>0</v>
      </c>
      <c r="J1384" s="200"/>
      <c r="K1384" s="200"/>
      <c r="L1384" s="200"/>
      <c r="M1384" s="200"/>
      <c r="N1384" s="200"/>
      <c r="O1384" s="200"/>
      <c r="P1384" s="200"/>
      <c r="Q1384" s="200"/>
      <c r="R1384" s="200"/>
      <c r="S1384" s="200"/>
    </row>
    <row r="1385" spans="2:49" x14ac:dyDescent="0.25">
      <c r="J1385" s="200"/>
      <c r="K1385" s="200"/>
      <c r="L1385" s="200"/>
      <c r="M1385" s="200"/>
      <c r="N1385" s="200"/>
      <c r="O1385" s="200"/>
      <c r="P1385" s="200"/>
      <c r="Q1385" s="200"/>
      <c r="R1385" s="200"/>
      <c r="S1385" s="200"/>
    </row>
    <row r="1386" spans="2:49" x14ac:dyDescent="0.25">
      <c r="B1386" s="171" t="s">
        <v>127</v>
      </c>
      <c r="C1386" s="171"/>
      <c r="D1386" s="171"/>
      <c r="E1386" s="171"/>
      <c r="F1386" s="171"/>
      <c r="G1386" s="171"/>
      <c r="H1386" s="171"/>
      <c r="I1386" s="278"/>
      <c r="J1386" s="171"/>
      <c r="K1386" s="171"/>
      <c r="L1386" s="171"/>
      <c r="M1386" s="171"/>
      <c r="N1386" s="171"/>
      <c r="O1386" s="171"/>
      <c r="P1386" s="171"/>
      <c r="Q1386" s="171"/>
      <c r="R1386" s="171"/>
      <c r="S1386" s="171"/>
      <c r="T1386" s="171"/>
      <c r="U1386" s="171"/>
      <c r="W1386" s="171"/>
      <c r="X1386" s="171"/>
      <c r="Y1386" s="171"/>
      <c r="Z1386" s="171"/>
      <c r="AA1386" s="171"/>
      <c r="AB1386" s="171"/>
      <c r="AC1386" s="171"/>
      <c r="AD1386" s="171"/>
      <c r="AE1386" s="171"/>
      <c r="AF1386" s="171"/>
      <c r="AG1386" s="171"/>
      <c r="AH1386" s="171"/>
      <c r="AI1386" s="171"/>
      <c r="AJ1386" s="171"/>
      <c r="AK1386" s="171"/>
      <c r="AL1386" s="171"/>
      <c r="AM1386" s="171"/>
      <c r="AN1386" s="171"/>
      <c r="AO1386" s="171"/>
      <c r="AP1386" s="171"/>
      <c r="AQ1386" s="171"/>
      <c r="AR1386" s="171"/>
      <c r="AS1386" s="171"/>
      <c r="AT1386" s="171"/>
      <c r="AU1386" s="171"/>
      <c r="AV1386" s="171"/>
      <c r="AW1386" s="171"/>
    </row>
  </sheetData>
  <sheetProtection sheet="1" objects="1" formatCells="0" formatColumns="0" formatRows="0" sort="0" autoFilter="0"/>
  <conditionalFormatting sqref="H1278">
    <cfRule type="cellIs" dxfId="123" priority="3" operator="greaterThan">
      <formula>0</formula>
    </cfRule>
  </conditionalFormatting>
  <conditionalFormatting sqref="H1384">
    <cfRule type="cellIs" dxfId="122" priority="4" operator="greaterThan">
      <formula>0</formula>
    </cfRule>
  </conditionalFormatting>
  <conditionalFormatting sqref="H1381:H1382 H1377:H1378 H1373:H1374 H1368 H1359:H1363 H1347:H1348 H1343:H1344 H1339:H1340 H1334 H1322:H1329 H1320 H1317 H1313:H1314 H1309:H1310 H1305:H1306 H1282:H1300 L1381:S1382 L1377:S1378 L1373:S1374 L1368:S1368 L1359:S1363 L1347:S1348 L1343:S1344 L1339:S1340 L1334:S1334 L1322:S1329 L1320:S1320 L1317:S1317 L1313:S1314 L1309:S1310 L1305:S1306 L1282:S1300">
    <cfRule type="cellIs" dxfId="121" priority="2" operator="greaterThan">
      <formula>0</formula>
    </cfRule>
  </conditionalFormatting>
  <conditionalFormatting sqref="A4:XFD4">
    <cfRule type="expression" dxfId="120" priority="1">
      <formula>LEFT($A$4,1) &lt;&gt; "0"</formula>
    </cfRule>
  </conditionalFormatting>
  <dataValidations count="1">
    <dataValidation type="decimal" operator="greaterThanOrEqual" allowBlank="1" showInputMessage="1" showErrorMessage="1" errorTitle="Invalid volume data" error="Invalid volume data (negative number or unused cell)." sqref="O1186:O1198 O1222:O1235 O1205:O1216 O1254:O1258">
      <formula1>0</formula1>
    </dataValidation>
  </dataValidations>
  <hyperlinks>
    <hyperlink ref="B6:F6" location="'Model map'!A1" display="Click here to return to model map"/>
  </hyperlinks>
  <pageMargins left="0.7" right="0.7" top="0.75" bottom="0.75" header="0.3" footer="0.3"/>
  <pageSetup paperSize="9" fitToHeight="0" orientation="portrait" r:id="rId1"/>
  <headerFooter>
    <oddHeader>&amp;L&amp;A&amp;C&amp;R&amp;P of &amp;N</oddHeader>
    <oddFooter>&amp;F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tabColor theme="5" tint="0.59999389629810485"/>
    <pageSetUpPr fitToPage="1"/>
  </sheetPr>
  <dimension ref="A1:IV231"/>
  <sheetViews>
    <sheetView showGridLines="0" zoomScale="80" zoomScaleNormal="80" workbookViewId="0">
      <pane xSplit="9" ySplit="6" topLeftCell="J7" activePane="bottomRight" state="frozen"/>
      <selection activeCell="N50" sqref="N50"/>
      <selection pane="topRight" activeCell="N50" sqref="N50"/>
      <selection pane="bottomLeft" activeCell="N50" sqref="N50"/>
      <selection pane="bottomRight" activeCell="L11" sqref="L11"/>
    </sheetView>
  </sheetViews>
  <sheetFormatPr defaultColWidth="0" defaultRowHeight="15" x14ac:dyDescent="0.25"/>
  <cols>
    <col min="1" max="5" width="2.7109375" style="160" customWidth="1"/>
    <col min="6" max="6" width="59.5703125" style="160" customWidth="1"/>
    <col min="7" max="8" width="20.7109375" style="160" customWidth="1"/>
    <col min="9" max="9" width="2.28515625" style="160" customWidth="1"/>
    <col min="10" max="10" width="20.7109375" style="160" bestFit="1" customWidth="1"/>
    <col min="11" max="11" width="2.28515625" style="160" customWidth="1"/>
    <col min="12" max="19" width="14.85546875" style="160" bestFit="1" customWidth="1"/>
    <col min="20" max="20" width="2.28515625" style="160" customWidth="1"/>
    <col min="21" max="21" width="50.7109375" style="160" customWidth="1"/>
    <col min="22" max="22" width="2.28515625" style="160" customWidth="1"/>
    <col min="23" max="27" width="20.7109375" style="160" hidden="1" customWidth="1"/>
    <col min="28" max="28" width="2.7109375" style="160" hidden="1" customWidth="1"/>
    <col min="29" max="256" width="20.7109375" style="160" hidden="1" customWidth="1"/>
    <col min="257" max="16384" width="9.140625" style="160" hidden="1"/>
  </cols>
  <sheetData>
    <row r="1" spans="1:97" s="25" customFormat="1" x14ac:dyDescent="0.25">
      <c r="A1" s="25" t="str">
        <f ca="1">MID(CELL("filename",A1),FIND("]",CELL("filename",A1))+1,255)</f>
        <v>ARP_Inputs by network level</v>
      </c>
    </row>
    <row r="2" spans="1:97" s="25" customFormat="1" x14ac:dyDescent="0.25">
      <c r="A2" s="25" t="str">
        <f>Cover!D21&amp;" - "&amp;Cover!D23</f>
        <v>SEPD - Final</v>
      </c>
    </row>
    <row r="3" spans="1:97" s="97" customFormat="1" x14ac:dyDescent="0.25">
      <c r="A3" s="97" t="str">
        <f>Cover!D2&amp;" - "&amp;Cover!D8&amp;" v"&amp;Cover!D10&amp;" - "&amp;Cover!D19</f>
        <v>ARP model - Release for charge setting v3 - 2020/21</v>
      </c>
    </row>
    <row r="4" spans="1:97" s="338" customFormat="1" x14ac:dyDescent="0.25">
      <c r="A4" s="392" t="str">
        <f>H218 &amp; IF(H218 = 1, " issue", " issues") &amp;" identified in checks on this sheet"</f>
        <v>0 issues identified in checks on this sheet</v>
      </c>
      <c r="B4" s="393"/>
      <c r="C4" s="393"/>
      <c r="D4" s="393"/>
      <c r="E4" s="393"/>
      <c r="F4" s="393"/>
      <c r="G4" s="393"/>
      <c r="H4" s="394"/>
      <c r="I4" s="394"/>
      <c r="J4" s="393"/>
      <c r="K4" s="383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3"/>
      <c r="AD4" s="383"/>
      <c r="AE4" s="383"/>
      <c r="AF4" s="383"/>
      <c r="AG4" s="383"/>
      <c r="AH4" s="383"/>
      <c r="AI4" s="383"/>
      <c r="AJ4" s="383"/>
      <c r="AK4" s="383"/>
      <c r="AL4" s="383"/>
      <c r="AM4" s="383"/>
      <c r="AN4" s="383"/>
      <c r="AO4" s="383"/>
      <c r="AP4" s="383"/>
      <c r="AQ4" s="383"/>
      <c r="AR4" s="383"/>
      <c r="AS4" s="383"/>
      <c r="AT4" s="383"/>
      <c r="AU4" s="383"/>
      <c r="AV4" s="383"/>
      <c r="AW4" s="383"/>
      <c r="AX4" s="383"/>
      <c r="AY4" s="383"/>
      <c r="AZ4" s="383"/>
      <c r="BA4" s="383"/>
      <c r="BB4" s="383"/>
      <c r="BC4" s="383"/>
      <c r="BD4" s="383"/>
      <c r="BE4" s="383"/>
      <c r="BF4" s="383"/>
      <c r="BG4" s="383"/>
      <c r="BH4" s="383"/>
      <c r="BI4" s="383"/>
      <c r="BJ4" s="383"/>
      <c r="BK4" s="383"/>
      <c r="BL4" s="383"/>
      <c r="BM4" s="383"/>
      <c r="BN4" s="383"/>
      <c r="BO4" s="383"/>
      <c r="BP4" s="383"/>
      <c r="BQ4" s="383"/>
      <c r="BR4" s="383"/>
      <c r="BS4" s="383"/>
      <c r="BT4" s="383"/>
      <c r="BU4" s="383"/>
      <c r="BV4" s="383"/>
      <c r="BW4" s="383"/>
      <c r="BX4" s="383"/>
      <c r="BY4" s="383"/>
      <c r="BZ4" s="383"/>
      <c r="CA4" s="383"/>
      <c r="CB4" s="383"/>
      <c r="CC4" s="383"/>
      <c r="CD4" s="383"/>
      <c r="CE4" s="383"/>
      <c r="CF4" s="383"/>
      <c r="CG4" s="383"/>
      <c r="CH4" s="383"/>
      <c r="CI4" s="383"/>
      <c r="CJ4" s="383"/>
      <c r="CK4" s="383"/>
      <c r="CL4" s="383"/>
      <c r="CM4" s="383"/>
      <c r="CN4" s="383"/>
      <c r="CO4" s="383"/>
      <c r="CP4" s="383"/>
      <c r="CQ4" s="383"/>
      <c r="CR4" s="383"/>
      <c r="CS4" s="383"/>
    </row>
    <row r="5" spans="1:97" ht="30" x14ac:dyDescent="0.25">
      <c r="B5" s="244"/>
      <c r="C5" s="24"/>
      <c r="D5" s="24"/>
      <c r="E5" s="24"/>
      <c r="F5" s="24"/>
      <c r="G5" s="235"/>
      <c r="H5" s="76"/>
      <c r="J5" s="264" t="str">
        <f>"Year selected ("&amp; charging_year_selected &amp;")"</f>
        <v>Year selected (2020/21)</v>
      </c>
      <c r="L5" s="76" t="str">
        <f t="array" ref="L5:S6">TRANSPOSE('ARP_User control'!G28:H35)</f>
        <v>2017/18</v>
      </c>
      <c r="M5" s="76" t="str">
        <v>2018/19</v>
      </c>
      <c r="N5" s="76" t="str">
        <v>2019/20</v>
      </c>
      <c r="O5" s="76" t="str">
        <v>2020/21</v>
      </c>
      <c r="P5" s="76" t="str">
        <v>2021/22</v>
      </c>
      <c r="Q5" s="76" t="str">
        <v>2022/23</v>
      </c>
      <c r="R5" s="76" t="str">
        <v>2023/24</v>
      </c>
      <c r="S5" s="76" t="str">
        <v>2024/25</v>
      </c>
      <c r="U5" s="76"/>
    </row>
    <row r="6" spans="1:97" x14ac:dyDescent="0.25">
      <c r="B6" s="244" t="s">
        <v>667</v>
      </c>
      <c r="C6" s="24"/>
      <c r="D6" s="24"/>
      <c r="E6" s="24"/>
      <c r="F6" s="24"/>
      <c r="G6" s="235" t="s">
        <v>108</v>
      </c>
      <c r="H6" s="76" t="s">
        <v>109</v>
      </c>
      <c r="J6" s="266" t="str">
        <f>'ARP_User control'!$H$36</f>
        <v>Current</v>
      </c>
      <c r="L6" s="76" t="str">
        <v>Historic</v>
      </c>
      <c r="M6" s="76" t="str">
        <v>Historic</v>
      </c>
      <c r="N6" s="76" t="str">
        <v>Historic</v>
      </c>
      <c r="O6" s="76" t="str">
        <v>Current</v>
      </c>
      <c r="P6" s="76" t="str">
        <v>Forecast</v>
      </c>
      <c r="Q6" s="76" t="str">
        <v>Forecast</v>
      </c>
      <c r="R6" s="76" t="str">
        <v>Forecast</v>
      </c>
      <c r="S6" s="76" t="str">
        <v>Forecast</v>
      </c>
      <c r="U6" s="235" t="s">
        <v>110</v>
      </c>
    </row>
    <row r="8" spans="1:97" x14ac:dyDescent="0.25">
      <c r="B8" s="171" t="s">
        <v>107</v>
      </c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W8" s="171"/>
      <c r="X8" s="171"/>
      <c r="Y8" s="171"/>
      <c r="Z8" s="171"/>
      <c r="AA8" s="171"/>
    </row>
    <row r="10" spans="1:97" x14ac:dyDescent="0.25">
      <c r="C10" s="152" t="s">
        <v>937</v>
      </c>
    </row>
    <row r="11" spans="1:97" s="474" customFormat="1" x14ac:dyDescent="0.25">
      <c r="C11" s="152" t="s">
        <v>936</v>
      </c>
    </row>
    <row r="12" spans="1:97" s="474" customFormat="1" x14ac:dyDescent="0.25">
      <c r="C12" s="152" t="s">
        <v>1050</v>
      </c>
    </row>
    <row r="13" spans="1:97" x14ac:dyDescent="0.25">
      <c r="D13" s="35"/>
    </row>
    <row r="14" spans="1:97" x14ac:dyDescent="0.25">
      <c r="B14" s="171" t="s">
        <v>323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U14" s="171"/>
      <c r="W14" s="171"/>
      <c r="X14" s="171"/>
      <c r="Y14" s="171"/>
      <c r="Z14" s="171"/>
      <c r="AA14" s="171"/>
    </row>
    <row r="16" spans="1:97" s="338" customFormat="1" x14ac:dyDescent="0.25">
      <c r="C16" s="22" t="str">
        <f ca="1">INDEX('Version control'!$H$34:$H$59,MATCH($A$1,'Version control'!$F$34:$F$59,0),1)&amp;"-A: Diversity allowance between top and bottom of network level"</f>
        <v>Input 502-A: Diversity allowance between top and bottom of network level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</row>
    <row r="17" spans="3:21" s="338" customFormat="1" x14ac:dyDescent="0.25"/>
    <row r="18" spans="3:21" x14ac:dyDescent="0.25">
      <c r="E18" s="263" t="s">
        <v>42</v>
      </c>
      <c r="G18" s="145"/>
      <c r="H18" s="167"/>
      <c r="I18" s="160" t="s">
        <v>525</v>
      </c>
      <c r="U18" s="165" t="s">
        <v>1080</v>
      </c>
    </row>
    <row r="19" spans="3:21" x14ac:dyDescent="0.25">
      <c r="F19" s="40" t="s">
        <v>397</v>
      </c>
      <c r="G19" s="40" t="s">
        <v>111</v>
      </c>
      <c r="H19" s="166"/>
      <c r="I19" s="166"/>
      <c r="J19" s="408"/>
      <c r="K19" s="409"/>
      <c r="L19" s="408"/>
      <c r="M19" s="408"/>
      <c r="N19" s="408"/>
      <c r="O19" s="408"/>
      <c r="P19" s="408"/>
      <c r="Q19" s="408"/>
      <c r="R19" s="408"/>
      <c r="S19" s="408"/>
      <c r="U19" s="165"/>
    </row>
    <row r="20" spans="3:21" x14ac:dyDescent="0.25">
      <c r="F20" s="145" t="s">
        <v>43</v>
      </c>
      <c r="G20" s="145" t="s">
        <v>111</v>
      </c>
      <c r="H20" s="167"/>
      <c r="I20" s="167"/>
      <c r="J20" s="397">
        <f>CHOOSE(year_selection, L20,M20,N20,O20,P20,Q20,R20,S20)</f>
        <v>2.7451056800206652E-2</v>
      </c>
      <c r="K20" s="413"/>
      <c r="L20" s="521">
        <v>5.5363610675873698E-2</v>
      </c>
      <c r="M20" s="521">
        <v>5.1310324342614289E-2</v>
      </c>
      <c r="N20" s="521">
        <v>5.2808432165895036E-2</v>
      </c>
      <c r="O20" s="521">
        <v>2.7451056800206652E-2</v>
      </c>
      <c r="P20" s="521">
        <f>O20</f>
        <v>2.7451056800206652E-2</v>
      </c>
      <c r="Q20" s="521">
        <f t="shared" ref="Q20:S20" si="0">P20</f>
        <v>2.7451056800206652E-2</v>
      </c>
      <c r="R20" s="521">
        <f t="shared" si="0"/>
        <v>2.7451056800206652E-2</v>
      </c>
      <c r="S20" s="521">
        <f t="shared" si="0"/>
        <v>2.7451056800206652E-2</v>
      </c>
      <c r="U20" s="165"/>
    </row>
    <row r="21" spans="3:21" x14ac:dyDescent="0.25">
      <c r="F21" s="145" t="s">
        <v>44</v>
      </c>
      <c r="G21" s="145" t="s">
        <v>111</v>
      </c>
      <c r="H21" s="167"/>
      <c r="I21" s="167"/>
      <c r="J21" s="397">
        <f>CHOOSE(year_selection, L21,M21,N21,O21,P21,Q21,R21,S21)</f>
        <v>3.5668125491285174E-2</v>
      </c>
      <c r="K21" s="413"/>
      <c r="L21" s="521">
        <v>3.978295101222673E-2</v>
      </c>
      <c r="M21" s="521">
        <v>3.8817852772543397E-2</v>
      </c>
      <c r="N21" s="521">
        <v>2.7965709889360202E-2</v>
      </c>
      <c r="O21" s="521">
        <v>3.5668125491285174E-2</v>
      </c>
      <c r="P21" s="521">
        <f>O21</f>
        <v>3.5668125491285174E-2</v>
      </c>
      <c r="Q21" s="521">
        <f t="shared" ref="Q21:S21" si="1">P21</f>
        <v>3.5668125491285174E-2</v>
      </c>
      <c r="R21" s="521">
        <f t="shared" si="1"/>
        <v>3.5668125491285174E-2</v>
      </c>
      <c r="S21" s="521">
        <f t="shared" si="1"/>
        <v>3.5668125491285174E-2</v>
      </c>
      <c r="U21" s="165"/>
    </row>
    <row r="22" spans="3:21" x14ac:dyDescent="0.25">
      <c r="F22" s="145" t="s">
        <v>45</v>
      </c>
      <c r="G22" s="145" t="s">
        <v>111</v>
      </c>
      <c r="H22" s="167"/>
      <c r="I22" s="167"/>
      <c r="J22" s="410"/>
      <c r="K22" s="413"/>
      <c r="L22" s="410"/>
      <c r="M22" s="410"/>
      <c r="N22" s="410"/>
      <c r="O22" s="410"/>
      <c r="P22" s="410"/>
      <c r="Q22" s="410"/>
      <c r="R22" s="410"/>
      <c r="S22" s="410"/>
      <c r="U22" s="165"/>
    </row>
    <row r="23" spans="3:21" x14ac:dyDescent="0.25">
      <c r="F23" s="145" t="s">
        <v>46</v>
      </c>
      <c r="G23" s="145" t="s">
        <v>111</v>
      </c>
      <c r="H23" s="167"/>
      <c r="I23" s="167"/>
      <c r="J23" s="397">
        <f>CHOOSE(year_selection, L23,M23,N23,O23,P23,Q23,R23,S23)</f>
        <v>6.5335713438606557E-2</v>
      </c>
      <c r="K23" s="413"/>
      <c r="L23" s="521">
        <v>7.8685772252251374E-2</v>
      </c>
      <c r="M23" s="521">
        <v>7.2057598557162317E-2</v>
      </c>
      <c r="N23" s="521">
        <v>5.2947962384946035E-2</v>
      </c>
      <c r="O23" s="521">
        <v>6.5335713438606557E-2</v>
      </c>
      <c r="P23" s="521">
        <f>O23</f>
        <v>6.5335713438606557E-2</v>
      </c>
      <c r="Q23" s="521">
        <f t="shared" ref="Q23:S23" si="2">P23</f>
        <v>6.5335713438606557E-2</v>
      </c>
      <c r="R23" s="521">
        <f t="shared" si="2"/>
        <v>6.5335713438606557E-2</v>
      </c>
      <c r="S23" s="521">
        <f t="shared" si="2"/>
        <v>6.5335713438606557E-2</v>
      </c>
      <c r="U23" s="165"/>
    </row>
    <row r="24" spans="3:21" x14ac:dyDescent="0.25">
      <c r="F24" s="145" t="s">
        <v>47</v>
      </c>
      <c r="G24" s="145" t="s">
        <v>111</v>
      </c>
      <c r="H24" s="167"/>
      <c r="I24" s="167"/>
      <c r="J24" s="410"/>
      <c r="K24" s="413"/>
      <c r="L24" s="410"/>
      <c r="M24" s="410"/>
      <c r="N24" s="410"/>
      <c r="O24" s="410"/>
      <c r="P24" s="410"/>
      <c r="Q24" s="410"/>
      <c r="R24" s="410"/>
      <c r="S24" s="410"/>
      <c r="U24" s="165"/>
    </row>
    <row r="25" spans="3:21" x14ac:dyDescent="0.25">
      <c r="F25" s="145" t="s">
        <v>51</v>
      </c>
      <c r="G25" s="145" t="s">
        <v>111</v>
      </c>
      <c r="H25" s="167"/>
      <c r="I25" s="167"/>
      <c r="J25" s="410"/>
      <c r="K25" s="413"/>
      <c r="L25" s="410"/>
      <c r="M25" s="410"/>
      <c r="N25" s="410"/>
      <c r="O25" s="410"/>
      <c r="P25" s="410"/>
      <c r="Q25" s="410"/>
      <c r="R25" s="410"/>
      <c r="S25" s="410"/>
      <c r="U25" s="165"/>
    </row>
    <row r="26" spans="3:21" x14ac:dyDescent="0.25">
      <c r="F26" s="145" t="s">
        <v>48</v>
      </c>
      <c r="G26" s="145" t="s">
        <v>111</v>
      </c>
      <c r="H26" s="167"/>
      <c r="I26" s="167"/>
      <c r="J26" s="397">
        <f>CHOOSE(year_selection, L26,M26,N26,O26,P26,Q26,R26,S26)</f>
        <v>0.37</v>
      </c>
      <c r="K26" s="413"/>
      <c r="L26" s="521">
        <v>0.37</v>
      </c>
      <c r="M26" s="521">
        <v>0.37</v>
      </c>
      <c r="N26" s="521">
        <v>0.37</v>
      </c>
      <c r="O26" s="521">
        <v>0.37</v>
      </c>
      <c r="P26" s="521">
        <f>O26</f>
        <v>0.37</v>
      </c>
      <c r="Q26" s="521">
        <f t="shared" ref="Q26:S26" si="3">P26</f>
        <v>0.37</v>
      </c>
      <c r="R26" s="521">
        <f t="shared" si="3"/>
        <v>0.37</v>
      </c>
      <c r="S26" s="521">
        <f t="shared" si="3"/>
        <v>0.37</v>
      </c>
      <c r="U26" s="165"/>
    </row>
    <row r="27" spans="3:21" x14ac:dyDescent="0.25">
      <c r="F27" s="145" t="s">
        <v>49</v>
      </c>
      <c r="G27" s="145" t="s">
        <v>111</v>
      </c>
      <c r="H27" s="167"/>
      <c r="I27" s="167"/>
      <c r="J27" s="410"/>
      <c r="K27" s="413"/>
      <c r="L27" s="410"/>
      <c r="M27" s="410"/>
      <c r="N27" s="410"/>
      <c r="O27" s="410"/>
      <c r="P27" s="410"/>
      <c r="Q27" s="410"/>
      <c r="R27" s="410"/>
      <c r="S27" s="410"/>
      <c r="U27" s="165"/>
    </row>
    <row r="28" spans="3:21" x14ac:dyDescent="0.25">
      <c r="F28" s="38" t="s">
        <v>50</v>
      </c>
      <c r="G28" s="38" t="s">
        <v>111</v>
      </c>
      <c r="H28" s="168"/>
      <c r="I28" s="168"/>
      <c r="J28" s="414"/>
      <c r="K28" s="415"/>
      <c r="L28" s="414"/>
      <c r="M28" s="414"/>
      <c r="N28" s="414"/>
      <c r="O28" s="414"/>
      <c r="P28" s="414"/>
      <c r="Q28" s="414"/>
      <c r="R28" s="414"/>
      <c r="S28" s="414"/>
      <c r="U28" s="165"/>
    </row>
    <row r="29" spans="3:21" x14ac:dyDescent="0.25">
      <c r="J29" s="401"/>
      <c r="K29" s="401"/>
      <c r="L29" s="401"/>
      <c r="M29" s="401"/>
      <c r="N29" s="401"/>
      <c r="O29" s="401"/>
      <c r="P29" s="401"/>
      <c r="Q29" s="401"/>
      <c r="R29" s="401"/>
      <c r="S29" s="401"/>
    </row>
    <row r="30" spans="3:21" s="338" customFormat="1" x14ac:dyDescent="0.25">
      <c r="C30" s="22" t="str">
        <f ca="1">INDEX('Version control'!$H$34:$H$59,MATCH($A$1,'Version control'!$F$34:$F$59,0),1)&amp;"-B: Proportion of EHV/HV load going through 132kV/HV direct transformation"</f>
        <v>Input 502-B: Proportion of EHV/HV load going through 132kV/HV direct transformation</v>
      </c>
      <c r="D30" s="22"/>
      <c r="E30" s="22"/>
      <c r="F30" s="22"/>
      <c r="G30" s="22"/>
      <c r="H30" s="22"/>
      <c r="I30" s="22"/>
      <c r="J30" s="406"/>
      <c r="K30" s="406"/>
      <c r="L30" s="406"/>
      <c r="M30" s="406"/>
      <c r="N30" s="406"/>
      <c r="O30" s="406"/>
      <c r="P30" s="406"/>
      <c r="Q30" s="406"/>
      <c r="R30" s="406"/>
      <c r="S30" s="406"/>
      <c r="T30" s="22"/>
      <c r="U30" s="22"/>
    </row>
    <row r="31" spans="3:21" s="338" customFormat="1" x14ac:dyDescent="0.25">
      <c r="J31" s="416"/>
      <c r="K31" s="416"/>
      <c r="L31" s="416"/>
      <c r="M31" s="416"/>
      <c r="N31" s="416"/>
      <c r="O31" s="416"/>
      <c r="P31" s="416"/>
      <c r="Q31" s="416"/>
      <c r="R31" s="416"/>
      <c r="S31" s="416"/>
    </row>
    <row r="32" spans="3:21" x14ac:dyDescent="0.25">
      <c r="E32" s="263" t="s">
        <v>629</v>
      </c>
      <c r="G32" s="145"/>
      <c r="H32" s="145"/>
      <c r="I32" s="219"/>
      <c r="J32" s="401"/>
      <c r="K32" s="401"/>
      <c r="L32" s="401"/>
      <c r="M32" s="401"/>
      <c r="N32" s="401"/>
      <c r="O32" s="401"/>
      <c r="P32" s="401"/>
      <c r="Q32" s="401"/>
      <c r="R32" s="401"/>
      <c r="S32" s="401"/>
    </row>
    <row r="33" spans="3:21" x14ac:dyDescent="0.25">
      <c r="F33" s="40" t="s">
        <v>397</v>
      </c>
      <c r="G33" s="40" t="s">
        <v>111</v>
      </c>
      <c r="H33" s="166"/>
      <c r="I33" s="166"/>
      <c r="J33" s="408"/>
      <c r="K33" s="409"/>
      <c r="L33" s="408"/>
      <c r="M33" s="408"/>
      <c r="N33" s="408"/>
      <c r="O33" s="408"/>
      <c r="P33" s="408"/>
      <c r="Q33" s="408"/>
      <c r="R33" s="408"/>
      <c r="S33" s="408"/>
      <c r="U33" s="165"/>
    </row>
    <row r="34" spans="3:21" x14ac:dyDescent="0.25">
      <c r="F34" s="145" t="s">
        <v>43</v>
      </c>
      <c r="G34" s="145" t="s">
        <v>111</v>
      </c>
      <c r="H34" s="167"/>
      <c r="I34" s="167"/>
      <c r="J34" s="410"/>
      <c r="K34" s="413"/>
      <c r="L34" s="410"/>
      <c r="M34" s="410"/>
      <c r="N34" s="410"/>
      <c r="O34" s="410"/>
      <c r="P34" s="410"/>
      <c r="Q34" s="410"/>
      <c r="R34" s="410"/>
      <c r="S34" s="410"/>
      <c r="U34" s="165"/>
    </row>
    <row r="35" spans="3:21" x14ac:dyDescent="0.25">
      <c r="F35" s="145" t="s">
        <v>44</v>
      </c>
      <c r="G35" s="145" t="s">
        <v>111</v>
      </c>
      <c r="H35" s="167"/>
      <c r="I35" s="167"/>
      <c r="J35" s="410"/>
      <c r="K35" s="413"/>
      <c r="L35" s="410"/>
      <c r="M35" s="410"/>
      <c r="N35" s="410"/>
      <c r="O35" s="410"/>
      <c r="P35" s="410"/>
      <c r="Q35" s="410"/>
      <c r="R35" s="410"/>
      <c r="S35" s="410"/>
      <c r="U35" s="165"/>
    </row>
    <row r="36" spans="3:21" x14ac:dyDescent="0.25">
      <c r="F36" s="145" t="s">
        <v>45</v>
      </c>
      <c r="G36" s="145" t="s">
        <v>111</v>
      </c>
      <c r="H36" s="167"/>
      <c r="I36" s="167"/>
      <c r="J36" s="397">
        <f>CHOOSE(year_selection, L36,M36,N36,O36,P36,Q36,R36,S36)</f>
        <v>0</v>
      </c>
      <c r="K36" s="413"/>
      <c r="L36" s="521">
        <v>0</v>
      </c>
      <c r="M36" s="521">
        <v>0</v>
      </c>
      <c r="N36" s="521">
        <v>0</v>
      </c>
      <c r="O36" s="521">
        <v>0</v>
      </c>
      <c r="P36" s="521">
        <f>O36</f>
        <v>0</v>
      </c>
      <c r="Q36" s="521">
        <f t="shared" ref="Q36:S36" si="4">P36</f>
        <v>0</v>
      </c>
      <c r="R36" s="521">
        <f t="shared" si="4"/>
        <v>0</v>
      </c>
      <c r="S36" s="521">
        <f t="shared" si="4"/>
        <v>0</v>
      </c>
      <c r="U36" s="165"/>
    </row>
    <row r="37" spans="3:21" x14ac:dyDescent="0.25">
      <c r="F37" s="145" t="s">
        <v>46</v>
      </c>
      <c r="G37" s="145" t="s">
        <v>111</v>
      </c>
      <c r="H37" s="167"/>
      <c r="I37" s="167"/>
      <c r="J37" s="410"/>
      <c r="K37" s="413"/>
      <c r="L37" s="410"/>
      <c r="M37" s="410"/>
      <c r="N37" s="410"/>
      <c r="O37" s="410"/>
      <c r="P37" s="410"/>
      <c r="Q37" s="410"/>
      <c r="R37" s="410"/>
      <c r="S37" s="410"/>
      <c r="U37" s="165"/>
    </row>
    <row r="38" spans="3:21" x14ac:dyDescent="0.25">
      <c r="F38" s="145" t="s">
        <v>47</v>
      </c>
      <c r="G38" s="145" t="s">
        <v>111</v>
      </c>
      <c r="H38" s="167"/>
      <c r="I38" s="167"/>
      <c r="J38" s="410"/>
      <c r="K38" s="413"/>
      <c r="L38" s="410"/>
      <c r="M38" s="410"/>
      <c r="N38" s="410"/>
      <c r="O38" s="410"/>
      <c r="P38" s="410"/>
      <c r="Q38" s="410"/>
      <c r="R38" s="410"/>
      <c r="S38" s="410"/>
      <c r="U38" s="165"/>
    </row>
    <row r="39" spans="3:21" x14ac:dyDescent="0.25">
      <c r="F39" s="145" t="s">
        <v>51</v>
      </c>
      <c r="G39" s="145" t="s">
        <v>111</v>
      </c>
      <c r="H39" s="167"/>
      <c r="I39" s="167"/>
      <c r="J39" s="410"/>
      <c r="K39" s="413"/>
      <c r="L39" s="410"/>
      <c r="M39" s="410"/>
      <c r="N39" s="410"/>
      <c r="O39" s="410"/>
      <c r="P39" s="410"/>
      <c r="Q39" s="410"/>
      <c r="R39" s="410"/>
      <c r="S39" s="410"/>
      <c r="U39" s="165"/>
    </row>
    <row r="40" spans="3:21" x14ac:dyDescent="0.25">
      <c r="F40" s="145" t="s">
        <v>48</v>
      </c>
      <c r="G40" s="145" t="s">
        <v>111</v>
      </c>
      <c r="H40" s="167"/>
      <c r="I40" s="167"/>
      <c r="J40" s="410"/>
      <c r="K40" s="413"/>
      <c r="L40" s="410"/>
      <c r="M40" s="410"/>
      <c r="N40" s="410"/>
      <c r="O40" s="410"/>
      <c r="P40" s="410"/>
      <c r="Q40" s="410"/>
      <c r="R40" s="410"/>
      <c r="S40" s="410"/>
      <c r="U40" s="165"/>
    </row>
    <row r="41" spans="3:21" x14ac:dyDescent="0.25">
      <c r="F41" s="145" t="s">
        <v>49</v>
      </c>
      <c r="G41" s="145" t="s">
        <v>111</v>
      </c>
      <c r="H41" s="167"/>
      <c r="I41" s="167"/>
      <c r="J41" s="410"/>
      <c r="K41" s="413"/>
      <c r="L41" s="410"/>
      <c r="M41" s="410"/>
      <c r="N41" s="410"/>
      <c r="O41" s="410"/>
      <c r="P41" s="410"/>
      <c r="Q41" s="410"/>
      <c r="R41" s="410"/>
      <c r="S41" s="410"/>
      <c r="U41" s="165"/>
    </row>
    <row r="42" spans="3:21" x14ac:dyDescent="0.25">
      <c r="F42" s="38" t="s">
        <v>50</v>
      </c>
      <c r="G42" s="38" t="s">
        <v>111</v>
      </c>
      <c r="H42" s="168"/>
      <c r="I42" s="168"/>
      <c r="J42" s="414"/>
      <c r="K42" s="415"/>
      <c r="L42" s="414"/>
      <c r="M42" s="414"/>
      <c r="N42" s="414"/>
      <c r="O42" s="414"/>
      <c r="P42" s="414"/>
      <c r="Q42" s="414"/>
      <c r="R42" s="414"/>
      <c r="S42" s="414"/>
      <c r="U42" s="165"/>
    </row>
    <row r="43" spans="3:21" x14ac:dyDescent="0.25">
      <c r="J43" s="401"/>
      <c r="K43" s="401"/>
      <c r="L43" s="401"/>
      <c r="M43" s="401"/>
      <c r="N43" s="401"/>
      <c r="O43" s="401"/>
      <c r="P43" s="401"/>
      <c r="Q43" s="401"/>
      <c r="R43" s="401"/>
      <c r="S43" s="401"/>
    </row>
    <row r="44" spans="3:21" s="338" customFormat="1" x14ac:dyDescent="0.25">
      <c r="C44" s="22" t="str">
        <f ca="1">INDEX('Version control'!$H$34:$H$59,MATCH($A$1,'Version control'!$F$34:$F$59,0),1)&amp;"-C: Loss adjustment factors to transmission"</f>
        <v>Input 502-C: Loss adjustment factors to transmission</v>
      </c>
      <c r="D44" s="22"/>
      <c r="E44" s="22"/>
      <c r="F44" s="22"/>
      <c r="G44" s="22"/>
      <c r="H44" s="22"/>
      <c r="I44" s="22"/>
      <c r="J44" s="406"/>
      <c r="K44" s="406"/>
      <c r="L44" s="406"/>
      <c r="M44" s="406"/>
      <c r="N44" s="406"/>
      <c r="O44" s="406"/>
      <c r="P44" s="406"/>
      <c r="Q44" s="406"/>
      <c r="R44" s="406"/>
      <c r="S44" s="406"/>
      <c r="T44" s="22"/>
      <c r="U44" s="22"/>
    </row>
    <row r="45" spans="3:21" s="338" customFormat="1" x14ac:dyDescent="0.25">
      <c r="J45" s="416"/>
      <c r="K45" s="416"/>
      <c r="L45" s="416"/>
      <c r="M45" s="416"/>
      <c r="N45" s="416"/>
      <c r="O45" s="416"/>
      <c r="P45" s="416"/>
      <c r="Q45" s="416"/>
      <c r="R45" s="416"/>
      <c r="S45" s="416"/>
    </row>
    <row r="46" spans="3:21" x14ac:dyDescent="0.25">
      <c r="E46" s="263" t="s">
        <v>324</v>
      </c>
      <c r="F46" s="145"/>
      <c r="G46" s="145"/>
      <c r="H46" s="167"/>
      <c r="I46" s="160" t="s">
        <v>525</v>
      </c>
      <c r="J46" s="401"/>
      <c r="K46" s="401"/>
      <c r="L46" s="401"/>
      <c r="M46" s="401"/>
      <c r="N46" s="401"/>
      <c r="O46" s="401"/>
      <c r="P46" s="401"/>
      <c r="Q46" s="401"/>
      <c r="R46" s="401"/>
      <c r="S46" s="401"/>
      <c r="U46" s="165" t="s">
        <v>940</v>
      </c>
    </row>
    <row r="47" spans="3:21" x14ac:dyDescent="0.25">
      <c r="E47" s="145"/>
      <c r="F47" s="40" t="s">
        <v>397</v>
      </c>
      <c r="G47" s="40" t="s">
        <v>636</v>
      </c>
      <c r="H47" s="166"/>
      <c r="I47" s="166"/>
      <c r="J47" s="408"/>
      <c r="K47" s="409"/>
      <c r="L47" s="408"/>
      <c r="M47" s="408"/>
      <c r="N47" s="408"/>
      <c r="O47" s="408"/>
      <c r="P47" s="408"/>
      <c r="Q47" s="408"/>
      <c r="R47" s="408"/>
      <c r="S47" s="408"/>
      <c r="U47" s="165"/>
    </row>
    <row r="48" spans="3:21" x14ac:dyDescent="0.25">
      <c r="E48" s="145"/>
      <c r="F48" s="145" t="s">
        <v>43</v>
      </c>
      <c r="G48" s="145" t="s">
        <v>636</v>
      </c>
      <c r="H48" s="167"/>
      <c r="I48" s="167"/>
      <c r="J48" s="397">
        <f>CHOOSE(year_selection, L48,M48,N48,O48,P48,Q48,R48,S48)</f>
        <v>1</v>
      </c>
      <c r="K48" s="411"/>
      <c r="L48" s="521">
        <v>1</v>
      </c>
      <c r="M48" s="521">
        <v>1</v>
      </c>
      <c r="N48" s="521">
        <v>1</v>
      </c>
      <c r="O48" s="521">
        <v>1</v>
      </c>
      <c r="P48" s="521">
        <f>O48</f>
        <v>1</v>
      </c>
      <c r="Q48" s="521">
        <f t="shared" ref="Q48:S48" si="5">P48</f>
        <v>1</v>
      </c>
      <c r="R48" s="521">
        <f t="shared" si="5"/>
        <v>1</v>
      </c>
      <c r="S48" s="521">
        <f t="shared" si="5"/>
        <v>1</v>
      </c>
      <c r="U48" s="165"/>
    </row>
    <row r="49" spans="3:22" x14ac:dyDescent="0.25">
      <c r="E49" s="145"/>
      <c r="F49" s="145" t="s">
        <v>44</v>
      </c>
      <c r="G49" s="145" t="s">
        <v>636</v>
      </c>
      <c r="H49" s="167"/>
      <c r="I49" s="167"/>
      <c r="J49" s="397">
        <f>CHOOSE(year_selection, L49,M49,N49,O49,P49,Q49,R49,S49)</f>
        <v>1.0049999999999999</v>
      </c>
      <c r="K49" s="411"/>
      <c r="L49" s="521">
        <v>1.0049999999999999</v>
      </c>
      <c r="M49" s="521">
        <v>1.0049999999999999</v>
      </c>
      <c r="N49" s="521">
        <v>1.0049999999999999</v>
      </c>
      <c r="O49" s="521">
        <v>1.0049999999999999</v>
      </c>
      <c r="P49" s="521">
        <f t="shared" ref="P49:S52" si="6">O49</f>
        <v>1.0049999999999999</v>
      </c>
      <c r="Q49" s="521">
        <f t="shared" si="6"/>
        <v>1.0049999999999999</v>
      </c>
      <c r="R49" s="521">
        <f t="shared" si="6"/>
        <v>1.0049999999999999</v>
      </c>
      <c r="S49" s="521">
        <f t="shared" si="6"/>
        <v>1.0049999999999999</v>
      </c>
      <c r="U49" s="165"/>
      <c r="V49" s="165"/>
    </row>
    <row r="50" spans="3:22" x14ac:dyDescent="0.25">
      <c r="E50" s="145"/>
      <c r="F50" s="145" t="s">
        <v>45</v>
      </c>
      <c r="G50" s="145" t="s">
        <v>636</v>
      </c>
      <c r="H50" s="167"/>
      <c r="I50" s="167"/>
      <c r="J50" s="397">
        <f>CHOOSE(year_selection, L50,M50,N50,O50,P50,Q50,R50,S50)</f>
        <v>1.008</v>
      </c>
      <c r="K50" s="411"/>
      <c r="L50" s="521">
        <v>1.0089999999999999</v>
      </c>
      <c r="M50" s="521">
        <v>1.0089999999999999</v>
      </c>
      <c r="N50" s="521">
        <v>1.0089999999999999</v>
      </c>
      <c r="O50" s="521">
        <v>1.008</v>
      </c>
      <c r="P50" s="521">
        <f t="shared" si="6"/>
        <v>1.008</v>
      </c>
      <c r="Q50" s="521">
        <f t="shared" si="6"/>
        <v>1.008</v>
      </c>
      <c r="R50" s="521">
        <f t="shared" si="6"/>
        <v>1.008</v>
      </c>
      <c r="S50" s="521">
        <f t="shared" si="6"/>
        <v>1.008</v>
      </c>
      <c r="U50" s="165"/>
      <c r="V50" s="165"/>
    </row>
    <row r="51" spans="3:22" x14ac:dyDescent="0.25">
      <c r="E51" s="145"/>
      <c r="F51" s="145" t="s">
        <v>46</v>
      </c>
      <c r="G51" s="145" t="s">
        <v>636</v>
      </c>
      <c r="H51" s="167"/>
      <c r="I51" s="167"/>
      <c r="J51" s="397">
        <f>CHOOSE(year_selection, L51,M51,N51,O51,P51,Q51,R51,S51)</f>
        <v>1.016</v>
      </c>
      <c r="K51" s="411"/>
      <c r="L51" s="521">
        <v>1.018</v>
      </c>
      <c r="M51" s="521">
        <v>1.018</v>
      </c>
      <c r="N51" s="521">
        <v>1.018</v>
      </c>
      <c r="O51" s="521">
        <v>1.016</v>
      </c>
      <c r="P51" s="521">
        <f t="shared" si="6"/>
        <v>1.016</v>
      </c>
      <c r="Q51" s="521">
        <f t="shared" si="6"/>
        <v>1.016</v>
      </c>
      <c r="R51" s="521">
        <f t="shared" si="6"/>
        <v>1.016</v>
      </c>
      <c r="S51" s="521">
        <f t="shared" si="6"/>
        <v>1.016</v>
      </c>
      <c r="U51" s="165"/>
      <c r="V51" s="165"/>
    </row>
    <row r="52" spans="3:22" x14ac:dyDescent="0.25">
      <c r="E52" s="145"/>
      <c r="F52" s="145" t="s">
        <v>47</v>
      </c>
      <c r="G52" s="145" t="s">
        <v>636</v>
      </c>
      <c r="H52" s="167"/>
      <c r="I52" s="167"/>
      <c r="J52" s="397">
        <f>CHOOSE(year_selection, L52,M52,N52,O52,P52,Q52,R52,S52)</f>
        <v>1.0209999999999999</v>
      </c>
      <c r="K52" s="411"/>
      <c r="L52" s="521">
        <v>1.024</v>
      </c>
      <c r="M52" s="521">
        <v>1.024</v>
      </c>
      <c r="N52" s="521">
        <v>1.024</v>
      </c>
      <c r="O52" s="521">
        <v>1.0209999999999999</v>
      </c>
      <c r="P52" s="521">
        <f t="shared" si="6"/>
        <v>1.0209999999999999</v>
      </c>
      <c r="Q52" s="521">
        <f t="shared" si="6"/>
        <v>1.0209999999999999</v>
      </c>
      <c r="R52" s="521">
        <f t="shared" si="6"/>
        <v>1.0209999999999999</v>
      </c>
      <c r="S52" s="521">
        <f t="shared" si="6"/>
        <v>1.0209999999999999</v>
      </c>
      <c r="U52" s="165"/>
      <c r="V52" s="165"/>
    </row>
    <row r="53" spans="3:22" x14ac:dyDescent="0.25">
      <c r="E53" s="145"/>
      <c r="F53" s="145" t="s">
        <v>51</v>
      </c>
      <c r="G53" s="145" t="s">
        <v>636</v>
      </c>
      <c r="H53" s="167"/>
      <c r="I53" s="167"/>
      <c r="J53" s="410"/>
      <c r="K53" s="411"/>
      <c r="L53" s="410"/>
      <c r="M53" s="410"/>
      <c r="N53" s="410"/>
      <c r="O53" s="410"/>
      <c r="P53" s="410"/>
      <c r="Q53" s="410"/>
      <c r="R53" s="410"/>
      <c r="S53" s="410"/>
      <c r="U53" s="165"/>
      <c r="V53" s="165"/>
    </row>
    <row r="54" spans="3:22" x14ac:dyDescent="0.25">
      <c r="E54" s="145"/>
      <c r="F54" s="145" t="s">
        <v>48</v>
      </c>
      <c r="G54" s="145" t="s">
        <v>636</v>
      </c>
      <c r="H54" s="167"/>
      <c r="I54" s="167"/>
      <c r="J54" s="397">
        <f>CHOOSE(year_selection, L54,M54,N54,O54,P54,Q54,R54,S54)</f>
        <v>1.0309999999999999</v>
      </c>
      <c r="K54" s="411"/>
      <c r="L54" s="521">
        <v>1.0349999999999999</v>
      </c>
      <c r="M54" s="521">
        <v>1.0329999999999999</v>
      </c>
      <c r="N54" s="521">
        <v>1.032</v>
      </c>
      <c r="O54" s="521">
        <v>1.0309999999999999</v>
      </c>
      <c r="P54" s="521">
        <f>O54</f>
        <v>1.0309999999999999</v>
      </c>
      <c r="Q54" s="521">
        <f t="shared" ref="Q54:S54" si="7">P54</f>
        <v>1.0309999999999999</v>
      </c>
      <c r="R54" s="521">
        <f t="shared" si="7"/>
        <v>1.0309999999999999</v>
      </c>
      <c r="S54" s="521">
        <f t="shared" si="7"/>
        <v>1.0309999999999999</v>
      </c>
      <c r="U54" s="165"/>
      <c r="V54" s="165"/>
    </row>
    <row r="55" spans="3:22" x14ac:dyDescent="0.25">
      <c r="E55" s="145"/>
      <c r="F55" s="145" t="s">
        <v>49</v>
      </c>
      <c r="G55" s="145" t="s">
        <v>636</v>
      </c>
      <c r="H55" s="167"/>
      <c r="I55" s="167"/>
      <c r="J55" s="397">
        <f>CHOOSE(year_selection, L55,M55,N55,O55,P55,Q55,R55,S55)</f>
        <v>1.046</v>
      </c>
      <c r="K55" s="411"/>
      <c r="L55" s="521">
        <v>1.0509999999999999</v>
      </c>
      <c r="M55" s="521">
        <v>1.048</v>
      </c>
      <c r="N55" s="521">
        <v>1.0469999999999999</v>
      </c>
      <c r="O55" s="521">
        <v>1.046</v>
      </c>
      <c r="P55" s="521">
        <f t="shared" ref="P55:S56" si="8">O55</f>
        <v>1.046</v>
      </c>
      <c r="Q55" s="521">
        <f t="shared" si="8"/>
        <v>1.046</v>
      </c>
      <c r="R55" s="521">
        <f t="shared" si="8"/>
        <v>1.046</v>
      </c>
      <c r="S55" s="521">
        <f t="shared" si="8"/>
        <v>1.046</v>
      </c>
      <c r="U55" s="165"/>
      <c r="V55" s="165"/>
    </row>
    <row r="56" spans="3:22" x14ac:dyDescent="0.25">
      <c r="E56" s="145"/>
      <c r="F56" s="38" t="s">
        <v>50</v>
      </c>
      <c r="G56" s="38" t="s">
        <v>636</v>
      </c>
      <c r="H56" s="168"/>
      <c r="I56" s="168"/>
      <c r="J56" s="399">
        <f>CHOOSE(year_selection, L56,M56,N56,O56,P56,Q56,R56,S56)</f>
        <v>1.089</v>
      </c>
      <c r="K56" s="412"/>
      <c r="L56" s="522">
        <v>1.087</v>
      </c>
      <c r="M56" s="522">
        <v>1.079</v>
      </c>
      <c r="N56" s="522">
        <v>1.079</v>
      </c>
      <c r="O56" s="522">
        <v>1.089</v>
      </c>
      <c r="P56" s="522">
        <f t="shared" si="8"/>
        <v>1.089</v>
      </c>
      <c r="Q56" s="522">
        <f t="shared" si="8"/>
        <v>1.089</v>
      </c>
      <c r="R56" s="522">
        <f t="shared" si="8"/>
        <v>1.089</v>
      </c>
      <c r="S56" s="522">
        <f t="shared" si="8"/>
        <v>1.089</v>
      </c>
      <c r="U56" s="165"/>
      <c r="V56" s="165"/>
    </row>
    <row r="57" spans="3:22" x14ac:dyDescent="0.25">
      <c r="J57" s="401"/>
      <c r="K57" s="401"/>
      <c r="L57" s="401"/>
      <c r="M57" s="401"/>
      <c r="N57" s="401"/>
      <c r="O57" s="401"/>
      <c r="P57" s="401"/>
      <c r="Q57" s="401"/>
      <c r="R57" s="401"/>
      <c r="S57" s="401"/>
    </row>
    <row r="58" spans="3:22" s="338" customFormat="1" x14ac:dyDescent="0.25">
      <c r="C58" s="22" t="str">
        <f ca="1">INDEX('Version control'!$H$34:$H$59,MATCH($A$1,'Version control'!$F$34:$F$59,0),1)&amp;"-D: Average kVAr by kVA, by network level"</f>
        <v>Input 502-D: Average kVAr by kVA, by network level</v>
      </c>
      <c r="D58" s="22"/>
      <c r="E58" s="22"/>
      <c r="F58" s="22"/>
      <c r="G58" s="22"/>
      <c r="H58" s="22"/>
      <c r="I58" s="22"/>
      <c r="J58" s="406"/>
      <c r="K58" s="406"/>
      <c r="L58" s="406"/>
      <c r="M58" s="406"/>
      <c r="N58" s="406"/>
      <c r="O58" s="406"/>
      <c r="P58" s="406"/>
      <c r="Q58" s="406"/>
      <c r="R58" s="406"/>
      <c r="S58" s="406"/>
      <c r="T58" s="22"/>
      <c r="U58" s="22"/>
    </row>
    <row r="59" spans="3:22" s="338" customFormat="1" x14ac:dyDescent="0.25">
      <c r="J59" s="416"/>
      <c r="K59" s="416"/>
      <c r="L59" s="416"/>
      <c r="M59" s="416"/>
      <c r="N59" s="416"/>
      <c r="O59" s="416"/>
      <c r="P59" s="416"/>
      <c r="Q59" s="416"/>
      <c r="R59" s="416"/>
      <c r="S59" s="416"/>
    </row>
    <row r="60" spans="3:22" x14ac:dyDescent="0.25">
      <c r="E60" s="263" t="s">
        <v>106</v>
      </c>
      <c r="F60" s="145"/>
      <c r="G60" s="145"/>
      <c r="H60" s="167"/>
      <c r="I60" s="160" t="s">
        <v>525</v>
      </c>
      <c r="J60" s="401"/>
      <c r="K60" s="401"/>
      <c r="L60" s="401"/>
      <c r="M60" s="401"/>
      <c r="N60" s="401"/>
      <c r="O60" s="401"/>
      <c r="P60" s="401"/>
      <c r="Q60" s="401"/>
      <c r="R60" s="401"/>
      <c r="S60" s="401"/>
      <c r="U60" s="165" t="s">
        <v>1081</v>
      </c>
    </row>
    <row r="61" spans="3:22" x14ac:dyDescent="0.25">
      <c r="E61" s="145"/>
      <c r="F61" s="40" t="s">
        <v>397</v>
      </c>
      <c r="G61" s="40" t="s">
        <v>337</v>
      </c>
      <c r="H61" s="166"/>
      <c r="I61" s="166"/>
      <c r="J61" s="402"/>
      <c r="K61" s="417"/>
      <c r="L61" s="402"/>
      <c r="M61" s="402"/>
      <c r="N61" s="402"/>
      <c r="O61" s="402"/>
      <c r="P61" s="402"/>
      <c r="Q61" s="402"/>
      <c r="R61" s="402"/>
      <c r="S61" s="402"/>
      <c r="U61" s="165"/>
    </row>
    <row r="62" spans="3:22" x14ac:dyDescent="0.25">
      <c r="E62" s="145"/>
      <c r="F62" s="145" t="s">
        <v>43</v>
      </c>
      <c r="G62" s="145" t="s">
        <v>337</v>
      </c>
      <c r="H62" s="167"/>
      <c r="I62" s="167"/>
      <c r="J62" s="397">
        <f t="shared" ref="J62:J70" si="9">CHOOSE(year_selection, L62,M62,N62,O62,P62,Q62,R62,S62)</f>
        <v>0.22971048873866273</v>
      </c>
      <c r="K62" s="411"/>
      <c r="L62" s="521">
        <v>0.22971048873866273</v>
      </c>
      <c r="M62" s="521">
        <v>0.22971048873866273</v>
      </c>
      <c r="N62" s="521">
        <v>0.22971048873866273</v>
      </c>
      <c r="O62" s="521">
        <v>0.22971048873866273</v>
      </c>
      <c r="P62" s="521">
        <f>O62</f>
        <v>0.22971048873866273</v>
      </c>
      <c r="Q62" s="521">
        <f t="shared" ref="Q62:S62" si="10">P62</f>
        <v>0.22971048873866273</v>
      </c>
      <c r="R62" s="521">
        <f t="shared" si="10"/>
        <v>0.22971048873866273</v>
      </c>
      <c r="S62" s="521">
        <f t="shared" si="10"/>
        <v>0.22971048873866273</v>
      </c>
      <c r="U62" s="165"/>
    </row>
    <row r="63" spans="3:22" x14ac:dyDescent="0.25">
      <c r="E63" s="145"/>
      <c r="F63" s="145" t="s">
        <v>44</v>
      </c>
      <c r="G63" s="145" t="s">
        <v>337</v>
      </c>
      <c r="H63" s="167"/>
      <c r="I63" s="167"/>
      <c r="J63" s="397">
        <f t="shared" si="9"/>
        <v>0.22971048873866273</v>
      </c>
      <c r="K63" s="411"/>
      <c r="L63" s="521">
        <v>0.22971048873866273</v>
      </c>
      <c r="M63" s="521">
        <v>0.22971048873866273</v>
      </c>
      <c r="N63" s="521">
        <v>0.22971048873866273</v>
      </c>
      <c r="O63" s="521">
        <v>0.22971048873866273</v>
      </c>
      <c r="P63" s="521">
        <f t="shared" ref="P63:S70" si="11">O63</f>
        <v>0.22971048873866273</v>
      </c>
      <c r="Q63" s="521">
        <f t="shared" si="11"/>
        <v>0.22971048873866273</v>
      </c>
      <c r="R63" s="521">
        <f t="shared" si="11"/>
        <v>0.22971048873866273</v>
      </c>
      <c r="S63" s="521">
        <f t="shared" si="11"/>
        <v>0.22971048873866273</v>
      </c>
      <c r="U63" s="165"/>
    </row>
    <row r="64" spans="3:22" x14ac:dyDescent="0.25">
      <c r="E64" s="145"/>
      <c r="F64" s="145" t="s">
        <v>45</v>
      </c>
      <c r="G64" s="145" t="s">
        <v>337</v>
      </c>
      <c r="H64" s="167"/>
      <c r="I64" s="167"/>
      <c r="J64" s="397">
        <f t="shared" si="9"/>
        <v>0.22971048873866273</v>
      </c>
      <c r="K64" s="411"/>
      <c r="L64" s="521">
        <v>0.22971048873866273</v>
      </c>
      <c r="M64" s="521">
        <v>0.22971048873866273</v>
      </c>
      <c r="N64" s="521">
        <v>0.22971048873866273</v>
      </c>
      <c r="O64" s="521">
        <v>0.22971048873866273</v>
      </c>
      <c r="P64" s="521">
        <f t="shared" si="11"/>
        <v>0.22971048873866273</v>
      </c>
      <c r="Q64" s="521">
        <f t="shared" si="11"/>
        <v>0.22971048873866273</v>
      </c>
      <c r="R64" s="521">
        <f t="shared" si="11"/>
        <v>0.22971048873866273</v>
      </c>
      <c r="S64" s="521">
        <f t="shared" si="11"/>
        <v>0.22971048873866273</v>
      </c>
      <c r="U64" s="165"/>
    </row>
    <row r="65" spans="2:21" x14ac:dyDescent="0.25">
      <c r="E65" s="145"/>
      <c r="F65" s="145" t="s">
        <v>46</v>
      </c>
      <c r="G65" s="145" t="s">
        <v>337</v>
      </c>
      <c r="H65" s="167"/>
      <c r="I65" s="167"/>
      <c r="J65" s="397">
        <f t="shared" si="9"/>
        <v>0.22971048873866273</v>
      </c>
      <c r="K65" s="411"/>
      <c r="L65" s="521">
        <v>0.22971048873866273</v>
      </c>
      <c r="M65" s="521">
        <v>0.22971048873866273</v>
      </c>
      <c r="N65" s="521">
        <v>0.22971048873866273</v>
      </c>
      <c r="O65" s="521">
        <v>0.22971048873866273</v>
      </c>
      <c r="P65" s="521">
        <f t="shared" si="11"/>
        <v>0.22971048873866273</v>
      </c>
      <c r="Q65" s="521">
        <f t="shared" si="11"/>
        <v>0.22971048873866273</v>
      </c>
      <c r="R65" s="521">
        <f t="shared" si="11"/>
        <v>0.22971048873866273</v>
      </c>
      <c r="S65" s="521">
        <f t="shared" si="11"/>
        <v>0.22971048873866273</v>
      </c>
      <c r="U65" s="165"/>
    </row>
    <row r="66" spans="2:21" x14ac:dyDescent="0.25">
      <c r="E66" s="145"/>
      <c r="F66" s="145" t="s">
        <v>47</v>
      </c>
      <c r="G66" s="145" t="s">
        <v>337</v>
      </c>
      <c r="H66" s="167"/>
      <c r="I66" s="167"/>
      <c r="J66" s="397">
        <f t="shared" si="9"/>
        <v>0.22971048873866273</v>
      </c>
      <c r="K66" s="411"/>
      <c r="L66" s="521">
        <v>0.22971048873866273</v>
      </c>
      <c r="M66" s="521">
        <v>0.22971048873866273</v>
      </c>
      <c r="N66" s="521">
        <v>0.22971048873866273</v>
      </c>
      <c r="O66" s="521">
        <v>0.22971048873866273</v>
      </c>
      <c r="P66" s="521">
        <f t="shared" si="11"/>
        <v>0.22971048873866273</v>
      </c>
      <c r="Q66" s="521">
        <f t="shared" si="11"/>
        <v>0.22971048873866273</v>
      </c>
      <c r="R66" s="521">
        <f t="shared" si="11"/>
        <v>0.22971048873866273</v>
      </c>
      <c r="S66" s="521">
        <f t="shared" si="11"/>
        <v>0.22971048873866273</v>
      </c>
      <c r="U66" s="165"/>
    </row>
    <row r="67" spans="2:21" x14ac:dyDescent="0.25">
      <c r="E67" s="145"/>
      <c r="F67" s="145" t="s">
        <v>51</v>
      </c>
      <c r="G67" s="145" t="s">
        <v>337</v>
      </c>
      <c r="H67" s="167"/>
      <c r="I67" s="167"/>
      <c r="J67" s="397">
        <f t="shared" si="9"/>
        <v>0</v>
      </c>
      <c r="K67" s="411"/>
      <c r="L67" s="521">
        <v>0</v>
      </c>
      <c r="M67" s="521">
        <v>0</v>
      </c>
      <c r="N67" s="521">
        <v>0</v>
      </c>
      <c r="O67" s="521">
        <v>0</v>
      </c>
      <c r="P67" s="521">
        <f t="shared" si="11"/>
        <v>0</v>
      </c>
      <c r="Q67" s="521">
        <f t="shared" si="11"/>
        <v>0</v>
      </c>
      <c r="R67" s="521">
        <f t="shared" si="11"/>
        <v>0</v>
      </c>
      <c r="S67" s="521">
        <f t="shared" si="11"/>
        <v>0</v>
      </c>
      <c r="U67" s="165"/>
    </row>
    <row r="68" spans="2:21" x14ac:dyDescent="0.25">
      <c r="E68" s="145"/>
      <c r="F68" s="145" t="s">
        <v>48</v>
      </c>
      <c r="G68" s="145" t="s">
        <v>337</v>
      </c>
      <c r="H68" s="167"/>
      <c r="I68" s="167"/>
      <c r="J68" s="397">
        <f t="shared" si="9"/>
        <v>0.22971048873866273</v>
      </c>
      <c r="K68" s="411"/>
      <c r="L68" s="521">
        <v>0.22971048873866273</v>
      </c>
      <c r="M68" s="521">
        <v>0.22971048873866273</v>
      </c>
      <c r="N68" s="521">
        <v>0.22971048873866273</v>
      </c>
      <c r="O68" s="521">
        <v>0.22971048873866273</v>
      </c>
      <c r="P68" s="521">
        <f t="shared" si="11"/>
        <v>0.22971048873866273</v>
      </c>
      <c r="Q68" s="521">
        <f t="shared" si="11"/>
        <v>0.22971048873866273</v>
      </c>
      <c r="R68" s="521">
        <f t="shared" si="11"/>
        <v>0.22971048873866273</v>
      </c>
      <c r="S68" s="521">
        <f t="shared" si="11"/>
        <v>0.22971048873866273</v>
      </c>
      <c r="U68" s="165"/>
    </row>
    <row r="69" spans="2:21" x14ac:dyDescent="0.25">
      <c r="E69" s="145"/>
      <c r="F69" s="145" t="s">
        <v>49</v>
      </c>
      <c r="G69" s="145" t="s">
        <v>337</v>
      </c>
      <c r="H69" s="167"/>
      <c r="I69" s="167"/>
      <c r="J69" s="397">
        <f t="shared" si="9"/>
        <v>0.22971048873866273</v>
      </c>
      <c r="K69" s="411"/>
      <c r="L69" s="521">
        <v>0.22971048873866273</v>
      </c>
      <c r="M69" s="521">
        <v>0.22971048873866273</v>
      </c>
      <c r="N69" s="521">
        <v>0.22971048873866273</v>
      </c>
      <c r="O69" s="521">
        <v>0.22971048873866273</v>
      </c>
      <c r="P69" s="521">
        <f t="shared" si="11"/>
        <v>0.22971048873866273</v>
      </c>
      <c r="Q69" s="521">
        <f t="shared" si="11"/>
        <v>0.22971048873866273</v>
      </c>
      <c r="R69" s="521">
        <f t="shared" si="11"/>
        <v>0.22971048873866273</v>
      </c>
      <c r="S69" s="521">
        <f t="shared" si="11"/>
        <v>0.22971048873866273</v>
      </c>
      <c r="U69" s="165"/>
    </row>
    <row r="70" spans="2:21" x14ac:dyDescent="0.25">
      <c r="E70" s="145"/>
      <c r="F70" s="38" t="s">
        <v>50</v>
      </c>
      <c r="G70" s="38" t="s">
        <v>337</v>
      </c>
      <c r="H70" s="168"/>
      <c r="I70" s="168"/>
      <c r="J70" s="399">
        <f t="shared" si="9"/>
        <v>0.22971048873866273</v>
      </c>
      <c r="K70" s="412"/>
      <c r="L70" s="522">
        <v>0.22971048873866273</v>
      </c>
      <c r="M70" s="522">
        <v>0.22971048873866273</v>
      </c>
      <c r="N70" s="522">
        <v>0.22971048873866273</v>
      </c>
      <c r="O70" s="522">
        <v>0.22971048873866273</v>
      </c>
      <c r="P70" s="522">
        <f t="shared" si="11"/>
        <v>0.22971048873866273</v>
      </c>
      <c r="Q70" s="522">
        <f t="shared" si="11"/>
        <v>0.22971048873866273</v>
      </c>
      <c r="R70" s="522">
        <f t="shared" si="11"/>
        <v>0.22971048873866273</v>
      </c>
      <c r="S70" s="522">
        <f t="shared" si="11"/>
        <v>0.22971048873866273</v>
      </c>
      <c r="U70" s="165"/>
    </row>
    <row r="71" spans="2:21" x14ac:dyDescent="0.25">
      <c r="J71" s="200"/>
      <c r="K71" s="200"/>
      <c r="L71" s="200"/>
      <c r="M71" s="200"/>
      <c r="N71" s="200"/>
      <c r="O71" s="200"/>
      <c r="P71" s="200"/>
      <c r="Q71" s="200"/>
      <c r="R71" s="200"/>
      <c r="S71" s="200"/>
    </row>
    <row r="72" spans="2:21" s="338" customFormat="1" x14ac:dyDescent="0.25">
      <c r="C72" s="22" t="str">
        <f ca="1">INDEX('Version control'!$H$34:$H$59,MATCH($A$1,'Version control'!$F$34:$F$59,0),1)&amp;"-E: Customer contributions under current connection charging policy"</f>
        <v>Input 502-E: Customer contributions under current connection charging policy</v>
      </c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</row>
    <row r="73" spans="2:21" s="338" customFormat="1" x14ac:dyDescent="0.25"/>
    <row r="74" spans="2:21" x14ac:dyDescent="0.25">
      <c r="B74" s="172"/>
      <c r="D74" s="172" t="s">
        <v>333</v>
      </c>
      <c r="I74" s="160" t="s">
        <v>525</v>
      </c>
      <c r="J74" s="200"/>
      <c r="K74" s="200"/>
      <c r="L74" s="200"/>
      <c r="M74" s="200"/>
      <c r="N74" s="200"/>
      <c r="O74" s="200"/>
      <c r="P74" s="200"/>
      <c r="Q74" s="200"/>
      <c r="R74" s="200"/>
      <c r="S74" s="200"/>
      <c r="U74" s="160" t="s">
        <v>1082</v>
      </c>
    </row>
    <row r="75" spans="2:21" x14ac:dyDescent="0.25">
      <c r="E75" s="263" t="s">
        <v>97</v>
      </c>
      <c r="J75" s="200"/>
      <c r="K75" s="200"/>
      <c r="L75" s="200"/>
      <c r="M75" s="200"/>
      <c r="N75" s="200"/>
      <c r="O75" s="200"/>
      <c r="P75" s="200"/>
      <c r="Q75" s="200"/>
      <c r="R75" s="200"/>
      <c r="S75" s="200"/>
    </row>
    <row r="76" spans="2:21" x14ac:dyDescent="0.25">
      <c r="E76" s="145"/>
      <c r="F76" s="40" t="s">
        <v>397</v>
      </c>
      <c r="G76" s="40" t="s">
        <v>111</v>
      </c>
      <c r="H76" s="166"/>
      <c r="I76" s="166"/>
      <c r="J76" s="288"/>
      <c r="K76" s="201"/>
      <c r="L76" s="288"/>
      <c r="M76" s="288"/>
      <c r="N76" s="288"/>
      <c r="O76" s="288"/>
      <c r="P76" s="288"/>
      <c r="Q76" s="288"/>
      <c r="R76" s="288"/>
      <c r="S76" s="288"/>
      <c r="U76" s="165"/>
    </row>
    <row r="77" spans="2:21" x14ac:dyDescent="0.25">
      <c r="E77" s="145"/>
      <c r="F77" s="145" t="s">
        <v>43</v>
      </c>
      <c r="G77" s="145" t="s">
        <v>111</v>
      </c>
      <c r="H77" s="167"/>
      <c r="I77" s="167"/>
      <c r="J77" s="289"/>
      <c r="K77" s="319"/>
      <c r="L77" s="289"/>
      <c r="M77" s="289"/>
      <c r="N77" s="289"/>
      <c r="O77" s="289"/>
      <c r="P77" s="289"/>
      <c r="Q77" s="289"/>
      <c r="R77" s="289"/>
      <c r="S77" s="289"/>
      <c r="U77" s="165"/>
    </row>
    <row r="78" spans="2:21" x14ac:dyDescent="0.25">
      <c r="E78" s="145"/>
      <c r="F78" s="145" t="s">
        <v>44</v>
      </c>
      <c r="G78" s="145" t="s">
        <v>111</v>
      </c>
      <c r="H78" s="167"/>
      <c r="I78" s="167"/>
      <c r="J78" s="328">
        <f t="shared" ref="J78:J85" si="12">CHOOSE(year_selection, L78,M78,N78,O78,P78,Q78,R78,S78)</f>
        <v>0</v>
      </c>
      <c r="K78" s="319"/>
      <c r="L78" s="512">
        <v>0</v>
      </c>
      <c r="M78" s="512">
        <v>0</v>
      </c>
      <c r="N78" s="512">
        <v>0</v>
      </c>
      <c r="O78" s="512">
        <v>0</v>
      </c>
      <c r="P78" s="512">
        <f>O78</f>
        <v>0</v>
      </c>
      <c r="Q78" s="512">
        <f t="shared" ref="Q78:S78" si="13">P78</f>
        <v>0</v>
      </c>
      <c r="R78" s="512">
        <f t="shared" si="13"/>
        <v>0</v>
      </c>
      <c r="S78" s="512">
        <f t="shared" si="13"/>
        <v>0</v>
      </c>
      <c r="U78" s="165"/>
    </row>
    <row r="79" spans="2:21" x14ac:dyDescent="0.25">
      <c r="E79" s="145"/>
      <c r="F79" s="145" t="s">
        <v>45</v>
      </c>
      <c r="G79" s="145" t="s">
        <v>111</v>
      </c>
      <c r="H79" s="167"/>
      <c r="I79" s="167"/>
      <c r="J79" s="328">
        <f t="shared" si="12"/>
        <v>0</v>
      </c>
      <c r="K79" s="319"/>
      <c r="L79" s="512">
        <v>0</v>
      </c>
      <c r="M79" s="512">
        <v>0</v>
      </c>
      <c r="N79" s="512">
        <v>0</v>
      </c>
      <c r="O79" s="512">
        <v>0</v>
      </c>
      <c r="P79" s="512">
        <f t="shared" ref="P79:S85" si="14">O79</f>
        <v>0</v>
      </c>
      <c r="Q79" s="512">
        <f t="shared" si="14"/>
        <v>0</v>
      </c>
      <c r="R79" s="512">
        <f t="shared" si="14"/>
        <v>0</v>
      </c>
      <c r="S79" s="512">
        <f t="shared" si="14"/>
        <v>0</v>
      </c>
      <c r="U79" s="165"/>
    </row>
    <row r="80" spans="2:21" x14ac:dyDescent="0.25">
      <c r="E80" s="145"/>
      <c r="F80" s="145" t="s">
        <v>46</v>
      </c>
      <c r="G80" s="145" t="s">
        <v>111</v>
      </c>
      <c r="H80" s="167"/>
      <c r="I80" s="167"/>
      <c r="J80" s="328">
        <f t="shared" si="12"/>
        <v>1.2370413198693E-2</v>
      </c>
      <c r="K80" s="319"/>
      <c r="L80" s="512">
        <v>1.2370413198693E-2</v>
      </c>
      <c r="M80" s="512">
        <v>1.2370413198693E-2</v>
      </c>
      <c r="N80" s="512">
        <v>1.2370413198693E-2</v>
      </c>
      <c r="O80" s="512">
        <v>1.2370413198693E-2</v>
      </c>
      <c r="P80" s="512">
        <f t="shared" si="14"/>
        <v>1.2370413198693E-2</v>
      </c>
      <c r="Q80" s="512">
        <f t="shared" si="14"/>
        <v>1.2370413198693E-2</v>
      </c>
      <c r="R80" s="512">
        <f t="shared" si="14"/>
        <v>1.2370413198693E-2</v>
      </c>
      <c r="S80" s="512">
        <f t="shared" si="14"/>
        <v>1.2370413198693E-2</v>
      </c>
      <c r="U80" s="165"/>
    </row>
    <row r="81" spans="5:21" x14ac:dyDescent="0.25">
      <c r="E81" s="145"/>
      <c r="F81" s="145" t="s">
        <v>47</v>
      </c>
      <c r="G81" s="145" t="s">
        <v>111</v>
      </c>
      <c r="H81" s="167"/>
      <c r="I81" s="167"/>
      <c r="J81" s="328">
        <f t="shared" si="12"/>
        <v>2.4400925983857801E-2</v>
      </c>
      <c r="K81" s="319"/>
      <c r="L81" s="512">
        <v>2.4400925983857801E-2</v>
      </c>
      <c r="M81" s="512">
        <v>2.4400925983857801E-2</v>
      </c>
      <c r="N81" s="512">
        <v>2.4400925983857801E-2</v>
      </c>
      <c r="O81" s="512">
        <v>2.4400925983857801E-2</v>
      </c>
      <c r="P81" s="512">
        <f t="shared" si="14"/>
        <v>2.4400925983857801E-2</v>
      </c>
      <c r="Q81" s="512">
        <f t="shared" si="14"/>
        <v>2.4400925983857801E-2</v>
      </c>
      <c r="R81" s="512">
        <f t="shared" si="14"/>
        <v>2.4400925983857801E-2</v>
      </c>
      <c r="S81" s="512">
        <f t="shared" si="14"/>
        <v>2.4400925983857801E-2</v>
      </c>
      <c r="U81" s="165"/>
    </row>
    <row r="82" spans="5:21" x14ac:dyDescent="0.25">
      <c r="E82" s="145"/>
      <c r="F82" s="145" t="s">
        <v>51</v>
      </c>
      <c r="G82" s="145" t="s">
        <v>111</v>
      </c>
      <c r="H82" s="167"/>
      <c r="I82" s="167"/>
      <c r="J82" s="328">
        <f t="shared" si="12"/>
        <v>0</v>
      </c>
      <c r="K82" s="319"/>
      <c r="L82" s="512">
        <v>0</v>
      </c>
      <c r="M82" s="512">
        <v>0</v>
      </c>
      <c r="N82" s="512">
        <v>0</v>
      </c>
      <c r="O82" s="512">
        <v>0</v>
      </c>
      <c r="P82" s="512">
        <f t="shared" si="14"/>
        <v>0</v>
      </c>
      <c r="Q82" s="512">
        <f t="shared" si="14"/>
        <v>0</v>
      </c>
      <c r="R82" s="512">
        <f t="shared" si="14"/>
        <v>0</v>
      </c>
      <c r="S82" s="512">
        <f t="shared" si="14"/>
        <v>0</v>
      </c>
      <c r="U82" s="165"/>
    </row>
    <row r="83" spans="5:21" x14ac:dyDescent="0.25">
      <c r="E83" s="145"/>
      <c r="F83" s="145" t="s">
        <v>48</v>
      </c>
      <c r="G83" s="145" t="s">
        <v>111</v>
      </c>
      <c r="H83" s="167"/>
      <c r="I83" s="167"/>
      <c r="J83" s="328">
        <f t="shared" si="12"/>
        <v>0.34379931777325301</v>
      </c>
      <c r="K83" s="319"/>
      <c r="L83" s="512">
        <v>0.34379931777325301</v>
      </c>
      <c r="M83" s="512">
        <v>0.34379931777325301</v>
      </c>
      <c r="N83" s="512">
        <v>0.34379931777325301</v>
      </c>
      <c r="O83" s="512">
        <v>0.34379931777325301</v>
      </c>
      <c r="P83" s="512">
        <f t="shared" si="14"/>
        <v>0.34379931777325301</v>
      </c>
      <c r="Q83" s="512">
        <f t="shared" si="14"/>
        <v>0.34379931777325301</v>
      </c>
      <c r="R83" s="512">
        <f t="shared" si="14"/>
        <v>0.34379931777325301</v>
      </c>
      <c r="S83" s="512">
        <f t="shared" si="14"/>
        <v>0.34379931777325301</v>
      </c>
      <c r="U83" s="165"/>
    </row>
    <row r="84" spans="5:21" x14ac:dyDescent="0.25">
      <c r="E84" s="145"/>
      <c r="F84" s="145" t="s">
        <v>49</v>
      </c>
      <c r="G84" s="145" t="s">
        <v>111</v>
      </c>
      <c r="H84" s="167"/>
      <c r="I84" s="167"/>
      <c r="J84" s="328">
        <f t="shared" si="12"/>
        <v>0.42351973684210498</v>
      </c>
      <c r="K84" s="319"/>
      <c r="L84" s="512">
        <v>0.42351973684210498</v>
      </c>
      <c r="M84" s="512">
        <v>0.42351973684210498</v>
      </c>
      <c r="N84" s="512">
        <v>0.42351973684210498</v>
      </c>
      <c r="O84" s="512">
        <v>0.42351973684210498</v>
      </c>
      <c r="P84" s="512">
        <f t="shared" si="14"/>
        <v>0.42351973684210498</v>
      </c>
      <c r="Q84" s="512">
        <f t="shared" si="14"/>
        <v>0.42351973684210498</v>
      </c>
      <c r="R84" s="512">
        <f t="shared" si="14"/>
        <v>0.42351973684210498</v>
      </c>
      <c r="S84" s="512">
        <f t="shared" si="14"/>
        <v>0.42351973684210498</v>
      </c>
      <c r="U84" s="165"/>
    </row>
    <row r="85" spans="5:21" x14ac:dyDescent="0.25">
      <c r="E85" s="145"/>
      <c r="F85" s="38" t="s">
        <v>50</v>
      </c>
      <c r="G85" s="38" t="s">
        <v>111</v>
      </c>
      <c r="H85" s="168"/>
      <c r="I85" s="168"/>
      <c r="J85" s="329">
        <f t="shared" si="12"/>
        <v>0.95595667870036105</v>
      </c>
      <c r="K85" s="320"/>
      <c r="L85" s="513">
        <v>0.95595667870036105</v>
      </c>
      <c r="M85" s="513">
        <v>0.95595667870036105</v>
      </c>
      <c r="N85" s="513">
        <v>0.95595667870036105</v>
      </c>
      <c r="O85" s="513">
        <v>0.95595667870036105</v>
      </c>
      <c r="P85" s="513">
        <f t="shared" si="14"/>
        <v>0.95595667870036105</v>
      </c>
      <c r="Q85" s="513">
        <f t="shared" si="14"/>
        <v>0.95595667870036105</v>
      </c>
      <c r="R85" s="513">
        <f t="shared" si="14"/>
        <v>0.95595667870036105</v>
      </c>
      <c r="S85" s="513">
        <f t="shared" si="14"/>
        <v>0.95595667870036105</v>
      </c>
      <c r="U85" s="165"/>
    </row>
    <row r="86" spans="5:21" x14ac:dyDescent="0.25">
      <c r="E86" s="263" t="s">
        <v>98</v>
      </c>
      <c r="J86" s="200"/>
      <c r="K86" s="200"/>
      <c r="L86" s="200"/>
      <c r="M86" s="200"/>
      <c r="N86" s="200"/>
      <c r="O86" s="200"/>
      <c r="P86" s="200"/>
      <c r="Q86" s="200"/>
      <c r="R86" s="200"/>
      <c r="S86" s="200"/>
    </row>
    <row r="87" spans="5:21" x14ac:dyDescent="0.25">
      <c r="E87" s="145"/>
      <c r="F87" s="40" t="s">
        <v>397</v>
      </c>
      <c r="G87" s="40" t="s">
        <v>111</v>
      </c>
      <c r="H87" s="166"/>
      <c r="I87" s="166"/>
      <c r="J87" s="288"/>
      <c r="K87" s="201"/>
      <c r="L87" s="288"/>
      <c r="M87" s="288"/>
      <c r="N87" s="288"/>
      <c r="O87" s="288"/>
      <c r="P87" s="288"/>
      <c r="Q87" s="288"/>
      <c r="R87" s="288"/>
      <c r="S87" s="288"/>
      <c r="U87" s="165"/>
    </row>
    <row r="88" spans="5:21" x14ac:dyDescent="0.25">
      <c r="E88" s="145"/>
      <c r="F88" s="145" t="s">
        <v>43</v>
      </c>
      <c r="G88" s="145" t="s">
        <v>111</v>
      </c>
      <c r="H88" s="167"/>
      <c r="I88" s="167"/>
      <c r="J88" s="289"/>
      <c r="K88" s="319"/>
      <c r="L88" s="289"/>
      <c r="M88" s="289"/>
      <c r="N88" s="289"/>
      <c r="O88" s="289"/>
      <c r="P88" s="289"/>
      <c r="Q88" s="289"/>
      <c r="R88" s="289"/>
      <c r="S88" s="289"/>
      <c r="U88" s="165"/>
    </row>
    <row r="89" spans="5:21" x14ac:dyDescent="0.25">
      <c r="E89" s="145"/>
      <c r="F89" s="145" t="s">
        <v>44</v>
      </c>
      <c r="G89" s="145" t="s">
        <v>111</v>
      </c>
      <c r="H89" s="167"/>
      <c r="I89" s="167"/>
      <c r="J89" s="328">
        <f t="shared" ref="J89:J95" si="15">CHOOSE(year_selection, L89,M89,N89,O89,P89,Q89,R89,S89)</f>
        <v>0</v>
      </c>
      <c r="K89" s="319"/>
      <c r="L89" s="512">
        <v>0</v>
      </c>
      <c r="M89" s="512">
        <v>0</v>
      </c>
      <c r="N89" s="512">
        <v>0</v>
      </c>
      <c r="O89" s="512">
        <v>0</v>
      </c>
      <c r="P89" s="512">
        <f>O89</f>
        <v>0</v>
      </c>
      <c r="Q89" s="512">
        <f t="shared" ref="Q89:S89" si="16">P89</f>
        <v>0</v>
      </c>
      <c r="R89" s="512">
        <f t="shared" si="16"/>
        <v>0</v>
      </c>
      <c r="S89" s="512">
        <f t="shared" si="16"/>
        <v>0</v>
      </c>
      <c r="U89" s="165"/>
    </row>
    <row r="90" spans="5:21" x14ac:dyDescent="0.25">
      <c r="E90" s="145"/>
      <c r="F90" s="145" t="s">
        <v>45</v>
      </c>
      <c r="G90" s="145" t="s">
        <v>111</v>
      </c>
      <c r="H90" s="167"/>
      <c r="I90" s="167"/>
      <c r="J90" s="328">
        <f t="shared" si="15"/>
        <v>0</v>
      </c>
      <c r="K90" s="319"/>
      <c r="L90" s="512">
        <v>0</v>
      </c>
      <c r="M90" s="512">
        <v>0</v>
      </c>
      <c r="N90" s="512">
        <v>0</v>
      </c>
      <c r="O90" s="512">
        <v>0</v>
      </c>
      <c r="P90" s="512">
        <f t="shared" ref="P90:S95" si="17">O90</f>
        <v>0</v>
      </c>
      <c r="Q90" s="512">
        <f t="shared" si="17"/>
        <v>0</v>
      </c>
      <c r="R90" s="512">
        <f t="shared" si="17"/>
        <v>0</v>
      </c>
      <c r="S90" s="512">
        <f t="shared" si="17"/>
        <v>0</v>
      </c>
      <c r="U90" s="165"/>
    </row>
    <row r="91" spans="5:21" x14ac:dyDescent="0.25">
      <c r="E91" s="145"/>
      <c r="F91" s="145" t="s">
        <v>46</v>
      </c>
      <c r="G91" s="145" t="s">
        <v>111</v>
      </c>
      <c r="H91" s="167"/>
      <c r="I91" s="167"/>
      <c r="J91" s="328">
        <f t="shared" si="15"/>
        <v>1.2370413198693E-2</v>
      </c>
      <c r="K91" s="319"/>
      <c r="L91" s="512">
        <v>1.2370413198693E-2</v>
      </c>
      <c r="M91" s="512">
        <v>1.2370413198693E-2</v>
      </c>
      <c r="N91" s="512">
        <v>1.2370413198693E-2</v>
      </c>
      <c r="O91" s="512">
        <v>1.2370413198693E-2</v>
      </c>
      <c r="P91" s="512">
        <f t="shared" si="17"/>
        <v>1.2370413198693E-2</v>
      </c>
      <c r="Q91" s="512">
        <f t="shared" si="17"/>
        <v>1.2370413198693E-2</v>
      </c>
      <c r="R91" s="512">
        <f t="shared" si="17"/>
        <v>1.2370413198693E-2</v>
      </c>
      <c r="S91" s="512">
        <f t="shared" si="17"/>
        <v>1.2370413198693E-2</v>
      </c>
      <c r="U91" s="165"/>
    </row>
    <row r="92" spans="5:21" x14ac:dyDescent="0.25">
      <c r="E92" s="145"/>
      <c r="F92" s="145" t="s">
        <v>47</v>
      </c>
      <c r="G92" s="145" t="s">
        <v>111</v>
      </c>
      <c r="H92" s="167"/>
      <c r="I92" s="167"/>
      <c r="J92" s="328">
        <f t="shared" si="15"/>
        <v>2.4400925983857801E-2</v>
      </c>
      <c r="K92" s="319"/>
      <c r="L92" s="512">
        <v>2.4400925983857801E-2</v>
      </c>
      <c r="M92" s="512">
        <v>2.4400925983857801E-2</v>
      </c>
      <c r="N92" s="512">
        <v>2.4400925983857801E-2</v>
      </c>
      <c r="O92" s="512">
        <v>2.4400925983857801E-2</v>
      </c>
      <c r="P92" s="512">
        <f t="shared" si="17"/>
        <v>2.4400925983857801E-2</v>
      </c>
      <c r="Q92" s="512">
        <f t="shared" si="17"/>
        <v>2.4400925983857801E-2</v>
      </c>
      <c r="R92" s="512">
        <f t="shared" si="17"/>
        <v>2.4400925983857801E-2</v>
      </c>
      <c r="S92" s="512">
        <f t="shared" si="17"/>
        <v>2.4400925983857801E-2</v>
      </c>
      <c r="U92" s="165"/>
    </row>
    <row r="93" spans="5:21" x14ac:dyDescent="0.25">
      <c r="E93" s="145"/>
      <c r="F93" s="145" t="s">
        <v>51</v>
      </c>
      <c r="G93" s="145" t="s">
        <v>111</v>
      </c>
      <c r="H93" s="167"/>
      <c r="I93" s="167"/>
      <c r="J93" s="328">
        <f t="shared" si="15"/>
        <v>0</v>
      </c>
      <c r="K93" s="319"/>
      <c r="L93" s="512">
        <v>0</v>
      </c>
      <c r="M93" s="512">
        <v>0</v>
      </c>
      <c r="N93" s="512">
        <v>0</v>
      </c>
      <c r="O93" s="512">
        <v>0</v>
      </c>
      <c r="P93" s="512">
        <f t="shared" si="17"/>
        <v>0</v>
      </c>
      <c r="Q93" s="512">
        <f t="shared" si="17"/>
        <v>0</v>
      </c>
      <c r="R93" s="512">
        <f t="shared" si="17"/>
        <v>0</v>
      </c>
      <c r="S93" s="512">
        <f t="shared" si="17"/>
        <v>0</v>
      </c>
      <c r="U93" s="165"/>
    </row>
    <row r="94" spans="5:21" x14ac:dyDescent="0.25">
      <c r="E94" s="145"/>
      <c r="F94" s="145" t="s">
        <v>48</v>
      </c>
      <c r="G94" s="145" t="s">
        <v>111</v>
      </c>
      <c r="H94" s="167"/>
      <c r="I94" s="167"/>
      <c r="J94" s="328">
        <f t="shared" si="15"/>
        <v>0.34379931777325301</v>
      </c>
      <c r="K94" s="319"/>
      <c r="L94" s="512">
        <v>0.34379931777325301</v>
      </c>
      <c r="M94" s="512">
        <v>0.34379931777325301</v>
      </c>
      <c r="N94" s="512">
        <v>0.34379931777325301</v>
      </c>
      <c r="O94" s="512">
        <v>0.34379931777325301</v>
      </c>
      <c r="P94" s="512">
        <f t="shared" si="17"/>
        <v>0.34379931777325301</v>
      </c>
      <c r="Q94" s="512">
        <f t="shared" si="17"/>
        <v>0.34379931777325301</v>
      </c>
      <c r="R94" s="512">
        <f t="shared" si="17"/>
        <v>0.34379931777325301</v>
      </c>
      <c r="S94" s="512">
        <f t="shared" si="17"/>
        <v>0.34379931777325301</v>
      </c>
      <c r="U94" s="165"/>
    </row>
    <row r="95" spans="5:21" x14ac:dyDescent="0.25">
      <c r="E95" s="145"/>
      <c r="F95" s="145" t="s">
        <v>49</v>
      </c>
      <c r="G95" s="145" t="s">
        <v>111</v>
      </c>
      <c r="H95" s="167"/>
      <c r="I95" s="167"/>
      <c r="J95" s="328">
        <f t="shared" si="15"/>
        <v>0.42351973684210498</v>
      </c>
      <c r="K95" s="319"/>
      <c r="L95" s="512">
        <v>0.42351973684210498</v>
      </c>
      <c r="M95" s="512">
        <v>0.42351973684210498</v>
      </c>
      <c r="N95" s="512">
        <v>0.42351973684210498</v>
      </c>
      <c r="O95" s="512">
        <v>0.42351973684210498</v>
      </c>
      <c r="P95" s="512">
        <f t="shared" si="17"/>
        <v>0.42351973684210498</v>
      </c>
      <c r="Q95" s="512">
        <f t="shared" si="17"/>
        <v>0.42351973684210498</v>
      </c>
      <c r="R95" s="512">
        <f t="shared" si="17"/>
        <v>0.42351973684210498</v>
      </c>
      <c r="S95" s="512">
        <f t="shared" si="17"/>
        <v>0.42351973684210498</v>
      </c>
      <c r="U95" s="165"/>
    </row>
    <row r="96" spans="5:21" x14ac:dyDescent="0.25">
      <c r="E96" s="145"/>
      <c r="F96" s="38" t="s">
        <v>50</v>
      </c>
      <c r="G96" s="38" t="s">
        <v>111</v>
      </c>
      <c r="H96" s="168"/>
      <c r="I96" s="168"/>
      <c r="J96" s="83"/>
      <c r="K96" s="320"/>
      <c r="L96" s="83"/>
      <c r="M96" s="83"/>
      <c r="N96" s="83"/>
      <c r="O96" s="83"/>
      <c r="P96" s="83"/>
      <c r="Q96" s="83"/>
      <c r="R96" s="83"/>
      <c r="S96" s="83"/>
      <c r="U96" s="165"/>
    </row>
    <row r="97" spans="5:21" x14ac:dyDescent="0.25">
      <c r="E97" s="263" t="s">
        <v>99</v>
      </c>
      <c r="J97" s="200"/>
      <c r="K97" s="200"/>
      <c r="L97" s="200"/>
      <c r="M97" s="200"/>
      <c r="N97" s="200"/>
      <c r="O97" s="200"/>
      <c r="P97" s="200"/>
      <c r="Q97" s="200"/>
      <c r="R97" s="200"/>
      <c r="S97" s="200"/>
    </row>
    <row r="98" spans="5:21" x14ac:dyDescent="0.25">
      <c r="E98" s="145"/>
      <c r="F98" s="40" t="s">
        <v>397</v>
      </c>
      <c r="G98" s="40" t="s">
        <v>111</v>
      </c>
      <c r="H98" s="166"/>
      <c r="I98" s="166"/>
      <c r="J98" s="288"/>
      <c r="K98" s="201"/>
      <c r="L98" s="288"/>
      <c r="M98" s="288"/>
      <c r="N98" s="288"/>
      <c r="O98" s="288"/>
      <c r="P98" s="288"/>
      <c r="Q98" s="288"/>
      <c r="R98" s="288"/>
      <c r="S98" s="288"/>
      <c r="U98" s="165"/>
    </row>
    <row r="99" spans="5:21" x14ac:dyDescent="0.25">
      <c r="E99" s="145"/>
      <c r="F99" s="145" t="s">
        <v>43</v>
      </c>
      <c r="G99" s="145" t="s">
        <v>111</v>
      </c>
      <c r="H99" s="167"/>
      <c r="I99" s="167"/>
      <c r="J99" s="289"/>
      <c r="K99" s="319"/>
      <c r="L99" s="289"/>
      <c r="M99" s="289"/>
      <c r="N99" s="289"/>
      <c r="O99" s="289"/>
      <c r="P99" s="289"/>
      <c r="Q99" s="289"/>
      <c r="R99" s="289"/>
      <c r="S99" s="289"/>
      <c r="U99" s="165"/>
    </row>
    <row r="100" spans="5:21" x14ac:dyDescent="0.25">
      <c r="E100" s="145"/>
      <c r="F100" s="145" t="s">
        <v>44</v>
      </c>
      <c r="G100" s="145" t="s">
        <v>111</v>
      </c>
      <c r="H100" s="167"/>
      <c r="I100" s="167"/>
      <c r="J100" s="328">
        <f t="shared" ref="J100:J105" si="18">CHOOSE(year_selection, L100,M100,N100,O100,P100,Q100,R100,S100)</f>
        <v>0</v>
      </c>
      <c r="K100" s="319"/>
      <c r="L100" s="512">
        <v>0</v>
      </c>
      <c r="M100" s="512">
        <v>0</v>
      </c>
      <c r="N100" s="512">
        <v>0</v>
      </c>
      <c r="O100" s="512">
        <v>0</v>
      </c>
      <c r="P100" s="512">
        <f>O100</f>
        <v>0</v>
      </c>
      <c r="Q100" s="512">
        <f t="shared" ref="Q100:S100" si="19">P100</f>
        <v>0</v>
      </c>
      <c r="R100" s="512">
        <f t="shared" si="19"/>
        <v>0</v>
      </c>
      <c r="S100" s="512">
        <f t="shared" si="19"/>
        <v>0</v>
      </c>
      <c r="U100" s="165"/>
    </row>
    <row r="101" spans="5:21" x14ac:dyDescent="0.25">
      <c r="E101" s="145"/>
      <c r="F101" s="145" t="s">
        <v>45</v>
      </c>
      <c r="G101" s="145" t="s">
        <v>111</v>
      </c>
      <c r="H101" s="167"/>
      <c r="I101" s="167"/>
      <c r="J101" s="328">
        <f t="shared" si="18"/>
        <v>0</v>
      </c>
      <c r="K101" s="319"/>
      <c r="L101" s="512">
        <v>0</v>
      </c>
      <c r="M101" s="512">
        <v>0</v>
      </c>
      <c r="N101" s="512">
        <v>0</v>
      </c>
      <c r="O101" s="512">
        <v>0</v>
      </c>
      <c r="P101" s="512">
        <f t="shared" ref="P101:S105" si="20">O101</f>
        <v>0</v>
      </c>
      <c r="Q101" s="512">
        <f t="shared" si="20"/>
        <v>0</v>
      </c>
      <c r="R101" s="512">
        <f t="shared" si="20"/>
        <v>0</v>
      </c>
      <c r="S101" s="512">
        <f t="shared" si="20"/>
        <v>0</v>
      </c>
      <c r="U101" s="165"/>
    </row>
    <row r="102" spans="5:21" x14ac:dyDescent="0.25">
      <c r="E102" s="145"/>
      <c r="F102" s="145" t="s">
        <v>46</v>
      </c>
      <c r="G102" s="145" t="s">
        <v>111</v>
      </c>
      <c r="H102" s="167"/>
      <c r="I102" s="167"/>
      <c r="J102" s="328">
        <f t="shared" si="18"/>
        <v>3.4530744799792602E-2</v>
      </c>
      <c r="K102" s="319"/>
      <c r="L102" s="512">
        <v>3.4530744799792602E-2</v>
      </c>
      <c r="M102" s="512">
        <v>3.4530744799792602E-2</v>
      </c>
      <c r="N102" s="512">
        <v>3.4530744799792602E-2</v>
      </c>
      <c r="O102" s="512">
        <v>3.4530744799792602E-2</v>
      </c>
      <c r="P102" s="512">
        <f t="shared" si="20"/>
        <v>3.4530744799792602E-2</v>
      </c>
      <c r="Q102" s="512">
        <f t="shared" si="20"/>
        <v>3.4530744799792602E-2</v>
      </c>
      <c r="R102" s="512">
        <f t="shared" si="20"/>
        <v>3.4530744799792602E-2</v>
      </c>
      <c r="S102" s="512">
        <f t="shared" si="20"/>
        <v>3.4530744799792602E-2</v>
      </c>
      <c r="U102" s="165"/>
    </row>
    <row r="103" spans="5:21" x14ac:dyDescent="0.25">
      <c r="E103" s="145"/>
      <c r="F103" s="145" t="s">
        <v>47</v>
      </c>
      <c r="G103" s="145" t="s">
        <v>111</v>
      </c>
      <c r="H103" s="167"/>
      <c r="I103" s="167"/>
      <c r="J103" s="328">
        <f t="shared" si="18"/>
        <v>6.6381013698021907E-2</v>
      </c>
      <c r="K103" s="319"/>
      <c r="L103" s="512">
        <v>6.6381013698021907E-2</v>
      </c>
      <c r="M103" s="512">
        <v>6.6381013698021907E-2</v>
      </c>
      <c r="N103" s="512">
        <v>6.6381013698021907E-2</v>
      </c>
      <c r="O103" s="512">
        <v>6.6381013698021907E-2</v>
      </c>
      <c r="P103" s="512">
        <f t="shared" si="20"/>
        <v>6.6381013698021907E-2</v>
      </c>
      <c r="Q103" s="512">
        <f t="shared" si="20"/>
        <v>6.6381013698021907E-2</v>
      </c>
      <c r="R103" s="512">
        <f t="shared" si="20"/>
        <v>6.6381013698021907E-2</v>
      </c>
      <c r="S103" s="512">
        <f t="shared" si="20"/>
        <v>6.6381013698021907E-2</v>
      </c>
      <c r="U103" s="165"/>
    </row>
    <row r="104" spans="5:21" x14ac:dyDescent="0.25">
      <c r="E104" s="145"/>
      <c r="F104" s="145" t="s">
        <v>51</v>
      </c>
      <c r="G104" s="145" t="s">
        <v>111</v>
      </c>
      <c r="H104" s="167"/>
      <c r="I104" s="167"/>
      <c r="J104" s="328">
        <f t="shared" si="18"/>
        <v>0</v>
      </c>
      <c r="K104" s="319"/>
      <c r="L104" s="512">
        <v>0</v>
      </c>
      <c r="M104" s="512">
        <v>0</v>
      </c>
      <c r="N104" s="512">
        <v>0</v>
      </c>
      <c r="O104" s="512">
        <v>0</v>
      </c>
      <c r="P104" s="512">
        <f t="shared" si="20"/>
        <v>0</v>
      </c>
      <c r="Q104" s="512">
        <f t="shared" si="20"/>
        <v>0</v>
      </c>
      <c r="R104" s="512">
        <f t="shared" si="20"/>
        <v>0</v>
      </c>
      <c r="S104" s="512">
        <f t="shared" si="20"/>
        <v>0</v>
      </c>
      <c r="U104" s="165"/>
    </row>
    <row r="105" spans="5:21" x14ac:dyDescent="0.25">
      <c r="E105" s="145"/>
      <c r="F105" s="145" t="s">
        <v>48</v>
      </c>
      <c r="G105" s="145" t="s">
        <v>111</v>
      </c>
      <c r="H105" s="167"/>
      <c r="I105" s="167"/>
      <c r="J105" s="328">
        <f t="shared" si="18"/>
        <v>0.38323267678152101</v>
      </c>
      <c r="K105" s="319"/>
      <c r="L105" s="512">
        <v>0.38323267678152101</v>
      </c>
      <c r="M105" s="512">
        <v>0.38323267678152101</v>
      </c>
      <c r="N105" s="512">
        <v>0.38323267678152101</v>
      </c>
      <c r="O105" s="512">
        <v>0.38323267678152101</v>
      </c>
      <c r="P105" s="512">
        <f t="shared" si="20"/>
        <v>0.38323267678152101</v>
      </c>
      <c r="Q105" s="512">
        <f t="shared" si="20"/>
        <v>0.38323267678152101</v>
      </c>
      <c r="R105" s="512">
        <f t="shared" si="20"/>
        <v>0.38323267678152101</v>
      </c>
      <c r="S105" s="512">
        <f t="shared" si="20"/>
        <v>0.38323267678152101</v>
      </c>
      <c r="U105" s="165"/>
    </row>
    <row r="106" spans="5:21" x14ac:dyDescent="0.25">
      <c r="E106" s="145"/>
      <c r="F106" s="145" t="s">
        <v>49</v>
      </c>
      <c r="G106" s="145" t="s">
        <v>111</v>
      </c>
      <c r="H106" s="167"/>
      <c r="I106" s="167"/>
      <c r="J106" s="81"/>
      <c r="K106" s="319"/>
      <c r="L106" s="81"/>
      <c r="M106" s="81"/>
      <c r="N106" s="81"/>
      <c r="O106" s="81"/>
      <c r="P106" s="81"/>
      <c r="Q106" s="81"/>
      <c r="R106" s="81"/>
      <c r="S106" s="81"/>
      <c r="U106" s="165"/>
    </row>
    <row r="107" spans="5:21" x14ac:dyDescent="0.25">
      <c r="E107" s="145"/>
      <c r="F107" s="38" t="s">
        <v>50</v>
      </c>
      <c r="G107" s="38" t="s">
        <v>111</v>
      </c>
      <c r="H107" s="168"/>
      <c r="I107" s="168"/>
      <c r="J107" s="83"/>
      <c r="K107" s="320"/>
      <c r="L107" s="83"/>
      <c r="M107" s="83"/>
      <c r="N107" s="83"/>
      <c r="O107" s="83"/>
      <c r="P107" s="83"/>
      <c r="Q107" s="83"/>
      <c r="R107" s="83"/>
      <c r="S107" s="83"/>
      <c r="U107" s="165"/>
    </row>
    <row r="108" spans="5:21" x14ac:dyDescent="0.25">
      <c r="E108" s="263" t="s">
        <v>100</v>
      </c>
      <c r="J108" s="200"/>
      <c r="K108" s="200"/>
      <c r="L108" s="200"/>
      <c r="M108" s="200"/>
      <c r="N108" s="200"/>
      <c r="O108" s="200"/>
      <c r="P108" s="200"/>
      <c r="Q108" s="200"/>
      <c r="R108" s="200"/>
      <c r="S108" s="200"/>
    </row>
    <row r="109" spans="5:21" x14ac:dyDescent="0.25">
      <c r="E109" s="145"/>
      <c r="F109" s="40" t="s">
        <v>397</v>
      </c>
      <c r="G109" s="40" t="s">
        <v>111</v>
      </c>
      <c r="H109" s="166"/>
      <c r="I109" s="166"/>
      <c r="J109" s="288"/>
      <c r="K109" s="201"/>
      <c r="L109" s="288"/>
      <c r="M109" s="288"/>
      <c r="N109" s="288"/>
      <c r="O109" s="288"/>
      <c r="P109" s="288"/>
      <c r="Q109" s="288"/>
      <c r="R109" s="288"/>
      <c r="S109" s="288"/>
      <c r="U109" s="165"/>
    </row>
    <row r="110" spans="5:21" x14ac:dyDescent="0.25">
      <c r="E110" s="145"/>
      <c r="F110" s="145" t="s">
        <v>43</v>
      </c>
      <c r="G110" s="145" t="s">
        <v>111</v>
      </c>
      <c r="H110" s="167"/>
      <c r="I110" s="167"/>
      <c r="J110" s="289"/>
      <c r="K110" s="319"/>
      <c r="L110" s="289"/>
      <c r="M110" s="289"/>
      <c r="N110" s="289"/>
      <c r="O110" s="289"/>
      <c r="P110" s="289"/>
      <c r="Q110" s="289"/>
      <c r="R110" s="289"/>
      <c r="S110" s="289"/>
      <c r="U110" s="165"/>
    </row>
    <row r="111" spans="5:21" x14ac:dyDescent="0.25">
      <c r="E111" s="145"/>
      <c r="F111" s="145" t="s">
        <v>44</v>
      </c>
      <c r="G111" s="145" t="s">
        <v>111</v>
      </c>
      <c r="H111" s="167"/>
      <c r="I111" s="167"/>
      <c r="J111" s="328">
        <f t="shared" ref="J111:J114" si="21">CHOOSE(year_selection, L111,M111,N111,O111,P111,Q111,R111,S111)</f>
        <v>0</v>
      </c>
      <c r="K111" s="319"/>
      <c r="L111" s="512">
        <v>0</v>
      </c>
      <c r="M111" s="512">
        <v>0</v>
      </c>
      <c r="N111" s="512">
        <v>0</v>
      </c>
      <c r="O111" s="512">
        <v>0</v>
      </c>
      <c r="P111" s="512">
        <f>O111</f>
        <v>0</v>
      </c>
      <c r="Q111" s="512">
        <f t="shared" ref="Q111:S111" si="22">P111</f>
        <v>0</v>
      </c>
      <c r="R111" s="512">
        <f t="shared" si="22"/>
        <v>0</v>
      </c>
      <c r="S111" s="512">
        <f t="shared" si="22"/>
        <v>0</v>
      </c>
      <c r="U111" s="165"/>
    </row>
    <row r="112" spans="5:21" x14ac:dyDescent="0.25">
      <c r="E112" s="145"/>
      <c r="F112" s="145" t="s">
        <v>45</v>
      </c>
      <c r="G112" s="145" t="s">
        <v>111</v>
      </c>
      <c r="H112" s="167"/>
      <c r="I112" s="167"/>
      <c r="J112" s="328">
        <f t="shared" si="21"/>
        <v>0</v>
      </c>
      <c r="K112" s="319"/>
      <c r="L112" s="512">
        <v>0</v>
      </c>
      <c r="M112" s="512">
        <v>0</v>
      </c>
      <c r="N112" s="512">
        <v>0</v>
      </c>
      <c r="O112" s="512">
        <v>0</v>
      </c>
      <c r="P112" s="512">
        <f t="shared" ref="P112:S114" si="23">O112</f>
        <v>0</v>
      </c>
      <c r="Q112" s="512">
        <f t="shared" si="23"/>
        <v>0</v>
      </c>
      <c r="R112" s="512">
        <f t="shared" si="23"/>
        <v>0</v>
      </c>
      <c r="S112" s="512">
        <f t="shared" si="23"/>
        <v>0</v>
      </c>
      <c r="U112" s="165"/>
    </row>
    <row r="113" spans="3:22" x14ac:dyDescent="0.25">
      <c r="E113" s="145"/>
      <c r="F113" s="145" t="s">
        <v>46</v>
      </c>
      <c r="G113" s="145" t="s">
        <v>111</v>
      </c>
      <c r="H113" s="167"/>
      <c r="I113" s="167"/>
      <c r="J113" s="328">
        <f t="shared" si="21"/>
        <v>3.4530744799792602E-2</v>
      </c>
      <c r="K113" s="319"/>
      <c r="L113" s="512">
        <v>3.4530744799792602E-2</v>
      </c>
      <c r="M113" s="512">
        <v>3.4530744799792602E-2</v>
      </c>
      <c r="N113" s="512">
        <v>3.4530744799792602E-2</v>
      </c>
      <c r="O113" s="512">
        <v>3.4530744799792602E-2</v>
      </c>
      <c r="P113" s="512">
        <f t="shared" si="23"/>
        <v>3.4530744799792602E-2</v>
      </c>
      <c r="Q113" s="512">
        <f t="shared" si="23"/>
        <v>3.4530744799792602E-2</v>
      </c>
      <c r="R113" s="512">
        <f t="shared" si="23"/>
        <v>3.4530744799792602E-2</v>
      </c>
      <c r="S113" s="512">
        <f t="shared" si="23"/>
        <v>3.4530744799792602E-2</v>
      </c>
      <c r="U113" s="165"/>
    </row>
    <row r="114" spans="3:22" x14ac:dyDescent="0.25">
      <c r="E114" s="145"/>
      <c r="F114" s="145" t="s">
        <v>47</v>
      </c>
      <c r="G114" s="145" t="s">
        <v>111</v>
      </c>
      <c r="H114" s="167"/>
      <c r="I114" s="167"/>
      <c r="J114" s="328">
        <f t="shared" si="21"/>
        <v>6.6381013698021907E-2</v>
      </c>
      <c r="K114" s="319"/>
      <c r="L114" s="512">
        <v>6.6381013698021907E-2</v>
      </c>
      <c r="M114" s="512">
        <v>6.6381013698021907E-2</v>
      </c>
      <c r="N114" s="512">
        <v>6.6381013698021907E-2</v>
      </c>
      <c r="O114" s="512">
        <v>6.6381013698021907E-2</v>
      </c>
      <c r="P114" s="512">
        <f t="shared" si="23"/>
        <v>6.6381013698021907E-2</v>
      </c>
      <c r="Q114" s="512">
        <f t="shared" si="23"/>
        <v>6.6381013698021907E-2</v>
      </c>
      <c r="R114" s="512">
        <f t="shared" si="23"/>
        <v>6.6381013698021907E-2</v>
      </c>
      <c r="S114" s="512">
        <f t="shared" si="23"/>
        <v>6.6381013698021907E-2</v>
      </c>
      <c r="U114" s="165"/>
    </row>
    <row r="115" spans="3:22" x14ac:dyDescent="0.25">
      <c r="E115" s="145"/>
      <c r="F115" s="145" t="s">
        <v>51</v>
      </c>
      <c r="G115" s="145" t="s">
        <v>111</v>
      </c>
      <c r="H115" s="167"/>
      <c r="I115" s="167"/>
      <c r="J115" s="81"/>
      <c r="K115" s="319"/>
      <c r="L115" s="81"/>
      <c r="M115" s="81"/>
      <c r="N115" s="81"/>
      <c r="O115" s="81"/>
      <c r="P115" s="81"/>
      <c r="Q115" s="81"/>
      <c r="R115" s="81"/>
      <c r="S115" s="81"/>
      <c r="U115" s="165"/>
    </row>
    <row r="116" spans="3:22" x14ac:dyDescent="0.25">
      <c r="E116" s="145"/>
      <c r="F116" s="145" t="s">
        <v>48</v>
      </c>
      <c r="G116" s="145" t="s">
        <v>111</v>
      </c>
      <c r="H116" s="167"/>
      <c r="I116" s="167"/>
      <c r="J116" s="81"/>
      <c r="K116" s="319"/>
      <c r="L116" s="81"/>
      <c r="M116" s="81"/>
      <c r="N116" s="81"/>
      <c r="O116" s="81"/>
      <c r="P116" s="81"/>
      <c r="Q116" s="81"/>
      <c r="R116" s="81"/>
      <c r="S116" s="81"/>
      <c r="T116" s="338"/>
      <c r="U116" s="165"/>
      <c r="V116" s="338"/>
    </row>
    <row r="117" spans="3:22" x14ac:dyDescent="0.25">
      <c r="E117" s="145"/>
      <c r="F117" s="145" t="s">
        <v>49</v>
      </c>
      <c r="G117" s="145" t="s">
        <v>111</v>
      </c>
      <c r="H117" s="167"/>
      <c r="I117" s="167"/>
      <c r="J117" s="81"/>
      <c r="K117" s="319"/>
      <c r="L117" s="81"/>
      <c r="M117" s="81"/>
      <c r="N117" s="81"/>
      <c r="O117" s="81"/>
      <c r="P117" s="81"/>
      <c r="Q117" s="81"/>
      <c r="R117" s="81"/>
      <c r="S117" s="81"/>
      <c r="U117" s="165"/>
    </row>
    <row r="118" spans="3:22" x14ac:dyDescent="0.25">
      <c r="E118" s="145"/>
      <c r="F118" s="38" t="s">
        <v>50</v>
      </c>
      <c r="G118" s="38" t="s">
        <v>111</v>
      </c>
      <c r="H118" s="168"/>
      <c r="I118" s="168"/>
      <c r="J118" s="83"/>
      <c r="K118" s="320"/>
      <c r="L118" s="83"/>
      <c r="M118" s="83"/>
      <c r="N118" s="83"/>
      <c r="O118" s="83"/>
      <c r="P118" s="83"/>
      <c r="Q118" s="83"/>
      <c r="R118" s="83"/>
      <c r="S118" s="83"/>
      <c r="U118" s="165"/>
    </row>
    <row r="119" spans="3:22" x14ac:dyDescent="0.25">
      <c r="J119" s="200"/>
      <c r="K119" s="200"/>
      <c r="L119" s="200"/>
      <c r="M119" s="200"/>
      <c r="N119" s="200"/>
      <c r="O119" s="200"/>
      <c r="P119" s="200"/>
      <c r="Q119" s="200"/>
      <c r="R119" s="200"/>
      <c r="S119" s="200"/>
    </row>
    <row r="120" spans="3:22" s="338" customFormat="1" x14ac:dyDescent="0.25">
      <c r="C120" s="22" t="str">
        <f ca="1">INDEX('Version control'!$H$34:$H$59,MATCH($A$1,'Version control'!$F$34:$F$59,0),1)&amp;"-F: Gross asset cost by network level"</f>
        <v>Input 502-F: Gross asset cost by network level</v>
      </c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</row>
    <row r="121" spans="3:22" s="338" customFormat="1" x14ac:dyDescent="0.25"/>
    <row r="122" spans="3:22" ht="14.65" customHeight="1" x14ac:dyDescent="0.25">
      <c r="E122" s="172" t="s">
        <v>322</v>
      </c>
      <c r="J122" s="200"/>
      <c r="K122" s="200"/>
      <c r="L122" s="200"/>
      <c r="M122" s="200"/>
      <c r="N122" s="200"/>
      <c r="O122" s="200"/>
      <c r="P122" s="200"/>
      <c r="Q122" s="200"/>
      <c r="R122" s="200"/>
      <c r="S122" s="200"/>
    </row>
    <row r="123" spans="3:22" x14ac:dyDescent="0.25">
      <c r="F123" s="40" t="s">
        <v>397</v>
      </c>
      <c r="G123" s="40" t="s">
        <v>124</v>
      </c>
      <c r="H123" s="166"/>
      <c r="I123" s="166"/>
      <c r="J123" s="408"/>
      <c r="K123" s="409"/>
      <c r="L123" s="408"/>
      <c r="M123" s="408"/>
      <c r="N123" s="408"/>
      <c r="O123" s="408"/>
      <c r="P123" s="408"/>
      <c r="Q123" s="408"/>
      <c r="R123" s="408"/>
      <c r="S123" s="408"/>
      <c r="U123" s="165"/>
    </row>
    <row r="124" spans="3:22" x14ac:dyDescent="0.25">
      <c r="F124" s="145" t="s">
        <v>43</v>
      </c>
      <c r="G124" s="145" t="s">
        <v>124</v>
      </c>
      <c r="H124" s="167"/>
      <c r="I124" s="167"/>
      <c r="J124" s="410"/>
      <c r="K124" s="411"/>
      <c r="L124" s="410"/>
      <c r="M124" s="410"/>
      <c r="N124" s="410"/>
      <c r="O124" s="410"/>
      <c r="P124" s="410"/>
      <c r="Q124" s="410"/>
      <c r="R124" s="410"/>
      <c r="S124" s="410"/>
      <c r="U124" s="165"/>
    </row>
    <row r="125" spans="3:22" x14ac:dyDescent="0.25">
      <c r="F125" s="145" t="s">
        <v>44</v>
      </c>
      <c r="G125" s="145" t="s">
        <v>124</v>
      </c>
      <c r="H125" s="167"/>
      <c r="I125" s="167"/>
      <c r="J125" s="397">
        <f t="shared" ref="J125:J132" si="24">CHOOSE(year_selection, L125,M125,N125,O125,P125,Q125,R125,S125)</f>
        <v>105534557.83430843</v>
      </c>
      <c r="K125" s="411"/>
      <c r="L125" s="521">
        <v>106654497</v>
      </c>
      <c r="M125" s="521">
        <v>109854131.91</v>
      </c>
      <c r="N125" s="521">
        <v>101497202.78736219</v>
      </c>
      <c r="O125" s="521">
        <v>105534557.83430843</v>
      </c>
      <c r="P125" s="521">
        <f>O125*1.033</f>
        <v>109017198.2428406</v>
      </c>
      <c r="Q125" s="521">
        <f t="shared" ref="Q125:S125" si="25">P125*1.033</f>
        <v>112614765.78485434</v>
      </c>
      <c r="R125" s="521">
        <f t="shared" si="25"/>
        <v>116331053.05575453</v>
      </c>
      <c r="S125" s="521">
        <f t="shared" si="25"/>
        <v>120169977.80659442</v>
      </c>
      <c r="U125" s="165"/>
    </row>
    <row r="126" spans="3:22" x14ac:dyDescent="0.25">
      <c r="F126" s="145" t="s">
        <v>45</v>
      </c>
      <c r="G126" s="145" t="s">
        <v>124</v>
      </c>
      <c r="H126" s="167"/>
      <c r="I126" s="167"/>
      <c r="J126" s="397">
        <f t="shared" si="24"/>
        <v>29370660.223999143</v>
      </c>
      <c r="K126" s="411"/>
      <c r="L126" s="521">
        <v>19494479.800000001</v>
      </c>
      <c r="M126" s="521">
        <v>20079314.194000002</v>
      </c>
      <c r="N126" s="521">
        <v>28247049.288198579</v>
      </c>
      <c r="O126" s="521">
        <v>29370660.223999143</v>
      </c>
      <c r="P126" s="521">
        <f t="shared" ref="P126:S132" si="26">O126*1.033</f>
        <v>30339892.011391111</v>
      </c>
      <c r="Q126" s="521">
        <f t="shared" si="26"/>
        <v>31341108.447767016</v>
      </c>
      <c r="R126" s="521">
        <f t="shared" si="26"/>
        <v>32375365.026543323</v>
      </c>
      <c r="S126" s="521">
        <f t="shared" si="26"/>
        <v>33443752.072419249</v>
      </c>
      <c r="U126" s="165"/>
    </row>
    <row r="127" spans="3:22" x14ac:dyDescent="0.25">
      <c r="F127" s="145" t="s">
        <v>46</v>
      </c>
      <c r="G127" s="145" t="s">
        <v>124</v>
      </c>
      <c r="H127" s="167"/>
      <c r="I127" s="167"/>
      <c r="J127" s="397">
        <f t="shared" si="24"/>
        <v>70462347.874902844</v>
      </c>
      <c r="K127" s="411"/>
      <c r="L127" s="521">
        <v>66929142</v>
      </c>
      <c r="M127" s="521">
        <v>68937016.260000005</v>
      </c>
      <c r="N127" s="521">
        <v>68385525.062833205</v>
      </c>
      <c r="O127" s="521">
        <v>70462347.874902844</v>
      </c>
      <c r="P127" s="521">
        <f t="shared" si="26"/>
        <v>72787605.354774639</v>
      </c>
      <c r="Q127" s="521">
        <f t="shared" si="26"/>
        <v>75189596.331482202</v>
      </c>
      <c r="R127" s="521">
        <f t="shared" si="26"/>
        <v>77670853.010421112</v>
      </c>
      <c r="S127" s="521">
        <f t="shared" si="26"/>
        <v>80233991.159765005</v>
      </c>
      <c r="U127" s="165"/>
    </row>
    <row r="128" spans="3:22" x14ac:dyDescent="0.25">
      <c r="F128" s="145" t="s">
        <v>47</v>
      </c>
      <c r="G128" s="145" t="s">
        <v>124</v>
      </c>
      <c r="H128" s="167"/>
      <c r="I128" s="167"/>
      <c r="J128" s="397">
        <f t="shared" si="24"/>
        <v>53670003.428299688</v>
      </c>
      <c r="K128" s="411"/>
      <c r="L128" s="521">
        <v>44765953.800000004</v>
      </c>
      <c r="M128" s="521">
        <v>46108932.414000005</v>
      </c>
      <c r="N128" s="521">
        <v>52278172.014019422</v>
      </c>
      <c r="O128" s="521">
        <v>53670003.428299688</v>
      </c>
      <c r="P128" s="521">
        <f t="shared" si="26"/>
        <v>55441113.541433573</v>
      </c>
      <c r="Q128" s="521">
        <f t="shared" si="26"/>
        <v>57270670.288300879</v>
      </c>
      <c r="R128" s="521">
        <f t="shared" si="26"/>
        <v>59160602.407814801</v>
      </c>
      <c r="S128" s="521">
        <f t="shared" si="26"/>
        <v>61112902.287272684</v>
      </c>
      <c r="U128" s="165"/>
    </row>
    <row r="129" spans="3:21" x14ac:dyDescent="0.25">
      <c r="F129" s="145" t="s">
        <v>51</v>
      </c>
      <c r="G129" s="145" t="s">
        <v>124</v>
      </c>
      <c r="H129" s="167"/>
      <c r="I129" s="167"/>
      <c r="J129" s="397">
        <f t="shared" si="24"/>
        <v>0</v>
      </c>
      <c r="K129" s="411"/>
      <c r="L129" s="521">
        <v>0</v>
      </c>
      <c r="M129" s="521">
        <v>0</v>
      </c>
      <c r="N129" s="521">
        <v>0</v>
      </c>
      <c r="O129" s="521">
        <v>0</v>
      </c>
      <c r="P129" s="521">
        <f t="shared" si="26"/>
        <v>0</v>
      </c>
      <c r="Q129" s="521">
        <f t="shared" si="26"/>
        <v>0</v>
      </c>
      <c r="R129" s="521">
        <f t="shared" si="26"/>
        <v>0</v>
      </c>
      <c r="S129" s="521">
        <f t="shared" si="26"/>
        <v>0</v>
      </c>
      <c r="U129" s="165"/>
    </row>
    <row r="130" spans="3:21" x14ac:dyDescent="0.25">
      <c r="F130" s="145" t="s">
        <v>48</v>
      </c>
      <c r="G130" s="145" t="s">
        <v>124</v>
      </c>
      <c r="H130" s="167"/>
      <c r="I130" s="167"/>
      <c r="J130" s="397">
        <f t="shared" si="24"/>
        <v>175477371.6944035</v>
      </c>
      <c r="K130" s="411"/>
      <c r="L130" s="521">
        <v>153733698.86444101</v>
      </c>
      <c r="M130" s="521">
        <v>158345709.83037424</v>
      </c>
      <c r="N130" s="521">
        <v>171957805.27149457</v>
      </c>
      <c r="O130" s="521">
        <v>175477371.6944035</v>
      </c>
      <c r="P130" s="521">
        <f t="shared" si="26"/>
        <v>181268124.9603188</v>
      </c>
      <c r="Q130" s="521">
        <f t="shared" si="26"/>
        <v>187249973.08400932</v>
      </c>
      <c r="R130" s="521">
        <f t="shared" si="26"/>
        <v>193429222.19578162</v>
      </c>
      <c r="S130" s="521">
        <f t="shared" si="26"/>
        <v>199812386.52824241</v>
      </c>
      <c r="U130" s="165"/>
    </row>
    <row r="131" spans="3:21" x14ac:dyDescent="0.25">
      <c r="F131" s="145" t="s">
        <v>49</v>
      </c>
      <c r="G131" s="145" t="s">
        <v>124</v>
      </c>
      <c r="H131" s="167"/>
      <c r="I131" s="167"/>
      <c r="J131" s="397">
        <f t="shared" si="24"/>
        <v>57539178.727579542</v>
      </c>
      <c r="K131" s="411"/>
      <c r="L131" s="521">
        <v>57624387.963992998</v>
      </c>
      <c r="M131" s="521">
        <v>59353119.602912791</v>
      </c>
      <c r="N131" s="521">
        <v>56385109.918046512</v>
      </c>
      <c r="O131" s="521">
        <v>57539178.727579542</v>
      </c>
      <c r="P131" s="521">
        <f t="shared" si="26"/>
        <v>59437971.625589661</v>
      </c>
      <c r="Q131" s="521">
        <f t="shared" si="26"/>
        <v>61399424.689234115</v>
      </c>
      <c r="R131" s="521">
        <f t="shared" si="26"/>
        <v>63425605.703978837</v>
      </c>
      <c r="S131" s="521">
        <f t="shared" si="26"/>
        <v>65518650.69221013</v>
      </c>
      <c r="U131" s="165"/>
    </row>
    <row r="132" spans="3:21" x14ac:dyDescent="0.25">
      <c r="F132" s="38" t="s">
        <v>50</v>
      </c>
      <c r="G132" s="38" t="s">
        <v>124</v>
      </c>
      <c r="H132" s="168"/>
      <c r="I132" s="168"/>
      <c r="J132" s="399">
        <f t="shared" si="24"/>
        <v>103494556.03979655</v>
      </c>
      <c r="K132" s="412"/>
      <c r="L132" s="522">
        <v>84327075.894509986</v>
      </c>
      <c r="M132" s="522">
        <v>86856888.171345294</v>
      </c>
      <c r="N132" s="522">
        <v>97213350.607383028</v>
      </c>
      <c r="O132" s="522">
        <v>103494556.03979655</v>
      </c>
      <c r="P132" s="522">
        <f t="shared" si="26"/>
        <v>106909876.38910982</v>
      </c>
      <c r="Q132" s="522">
        <f t="shared" si="26"/>
        <v>110437902.30995044</v>
      </c>
      <c r="R132" s="522">
        <f t="shared" si="26"/>
        <v>114082353.08617879</v>
      </c>
      <c r="S132" s="522">
        <f t="shared" si="26"/>
        <v>117847070.73802269</v>
      </c>
      <c r="U132" s="165"/>
    </row>
    <row r="133" spans="3:21" x14ac:dyDescent="0.25">
      <c r="J133" s="200"/>
      <c r="K133" s="200"/>
      <c r="L133" s="200"/>
      <c r="M133" s="200"/>
      <c r="N133" s="200"/>
      <c r="O133" s="200"/>
      <c r="P133" s="200"/>
      <c r="Q133" s="200"/>
      <c r="R133" s="200"/>
      <c r="S133" s="200"/>
    </row>
    <row r="134" spans="3:21" s="338" customFormat="1" x14ac:dyDescent="0.25">
      <c r="C134" s="22" t="str">
        <f ca="1">INDEX('Version control'!$H$34:$H$59,MATCH($A$1,'Version control'!$F$34:$F$59,0),1)&amp;"-G: Peaking probabilities, by timeband &amp; network level"</f>
        <v>Input 502-G: Peaking probabilities, by timeband &amp; network level</v>
      </c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</row>
    <row r="135" spans="3:21" s="338" customFormat="1" x14ac:dyDescent="0.25"/>
    <row r="136" spans="3:21" x14ac:dyDescent="0.25">
      <c r="C136" s="152" t="s">
        <v>855</v>
      </c>
      <c r="J136" s="200"/>
      <c r="K136" s="200"/>
      <c r="L136" s="200"/>
      <c r="M136" s="200"/>
      <c r="N136" s="200"/>
      <c r="O136" s="200"/>
      <c r="P136" s="200"/>
      <c r="Q136" s="200"/>
      <c r="R136" s="200"/>
      <c r="S136" s="200"/>
    </row>
    <row r="137" spans="3:21" s="338" customFormat="1" x14ac:dyDescent="0.25">
      <c r="D137" s="172"/>
      <c r="I137" s="339"/>
      <c r="J137" s="200"/>
      <c r="K137" s="200"/>
      <c r="L137" s="200"/>
      <c r="M137" s="200"/>
      <c r="N137" s="200"/>
      <c r="O137" s="200"/>
      <c r="P137" s="200"/>
      <c r="Q137" s="200"/>
      <c r="R137" s="200"/>
      <c r="S137" s="200"/>
    </row>
    <row r="138" spans="3:21" x14ac:dyDescent="0.25">
      <c r="E138" s="172" t="s">
        <v>706</v>
      </c>
      <c r="I138" s="167" t="s">
        <v>525</v>
      </c>
      <c r="J138" s="200"/>
      <c r="K138" s="200"/>
      <c r="L138" s="200"/>
      <c r="M138" s="200"/>
      <c r="N138" s="200"/>
      <c r="O138" s="200"/>
      <c r="P138" s="200"/>
      <c r="Q138" s="200"/>
      <c r="R138" s="200"/>
      <c r="S138" s="200"/>
      <c r="U138" s="160" t="s">
        <v>1083</v>
      </c>
    </row>
    <row r="139" spans="3:21" x14ac:dyDescent="0.25">
      <c r="F139" s="40" t="s">
        <v>397</v>
      </c>
      <c r="G139" s="40" t="s">
        <v>111</v>
      </c>
      <c r="H139" s="166"/>
      <c r="I139" s="166"/>
      <c r="J139" s="288"/>
      <c r="K139" s="201"/>
      <c r="L139" s="288"/>
      <c r="M139" s="288"/>
      <c r="N139" s="288"/>
      <c r="O139" s="288"/>
      <c r="P139" s="288"/>
      <c r="Q139" s="288"/>
      <c r="R139" s="288"/>
      <c r="S139" s="288"/>
      <c r="U139" s="165"/>
    </row>
    <row r="140" spans="3:21" x14ac:dyDescent="0.25">
      <c r="F140" s="145" t="s">
        <v>43</v>
      </c>
      <c r="G140" s="145" t="s">
        <v>111</v>
      </c>
      <c r="H140" s="167"/>
      <c r="I140" s="167"/>
      <c r="J140" s="328">
        <f t="shared" ref="J140:J148" si="27">CHOOSE(year_selection, L140,M140,N140,O140,P140,Q140,R140,S140)</f>
        <v>0.87714932303008375</v>
      </c>
      <c r="K140" s="319"/>
      <c r="L140" s="512">
        <v>0.87580000000000002</v>
      </c>
      <c r="M140" s="512">
        <v>0.87999641911319515</v>
      </c>
      <c r="N140" s="512">
        <v>0.90525997838662231</v>
      </c>
      <c r="O140" s="512">
        <v>0.87714932303008375</v>
      </c>
      <c r="P140" s="512">
        <f>O140</f>
        <v>0.87714932303008375</v>
      </c>
      <c r="Q140" s="512">
        <f t="shared" ref="Q140:S140" si="28">P140</f>
        <v>0.87714932303008375</v>
      </c>
      <c r="R140" s="512">
        <f t="shared" si="28"/>
        <v>0.87714932303008375</v>
      </c>
      <c r="S140" s="512">
        <f t="shared" si="28"/>
        <v>0.87714932303008375</v>
      </c>
      <c r="U140" s="165"/>
    </row>
    <row r="141" spans="3:21" x14ac:dyDescent="0.25">
      <c r="F141" s="145" t="s">
        <v>44</v>
      </c>
      <c r="G141" s="145" t="s">
        <v>111</v>
      </c>
      <c r="H141" s="167"/>
      <c r="I141" s="167"/>
      <c r="J141" s="328">
        <f t="shared" si="27"/>
        <v>0.81354690092946347</v>
      </c>
      <c r="K141" s="319"/>
      <c r="L141" s="512">
        <v>0.84017035194484357</v>
      </c>
      <c r="M141" s="512">
        <v>0.84017307539612851</v>
      </c>
      <c r="N141" s="512">
        <v>0.84044431442243706</v>
      </c>
      <c r="O141" s="512">
        <v>0.81354690092946347</v>
      </c>
      <c r="P141" s="512">
        <f t="shared" ref="P141:S148" si="29">O141</f>
        <v>0.81354690092946347</v>
      </c>
      <c r="Q141" s="512">
        <f t="shared" si="29"/>
        <v>0.81354690092946347</v>
      </c>
      <c r="R141" s="512">
        <f t="shared" si="29"/>
        <v>0.81354690092946347</v>
      </c>
      <c r="S141" s="512">
        <f t="shared" si="29"/>
        <v>0.81354690092946347</v>
      </c>
      <c r="U141" s="165"/>
    </row>
    <row r="142" spans="3:21" x14ac:dyDescent="0.25">
      <c r="F142" s="145" t="s">
        <v>45</v>
      </c>
      <c r="G142" s="145" t="s">
        <v>111</v>
      </c>
      <c r="H142" s="167"/>
      <c r="I142" s="167"/>
      <c r="J142" s="328">
        <f t="shared" si="27"/>
        <v>0.81354690092946347</v>
      </c>
      <c r="K142" s="319"/>
      <c r="L142" s="512">
        <v>0.84017035194484357</v>
      </c>
      <c r="M142" s="512">
        <v>0.84017307539612851</v>
      </c>
      <c r="N142" s="512">
        <v>0.84044431442243706</v>
      </c>
      <c r="O142" s="512">
        <v>0.81354690092946347</v>
      </c>
      <c r="P142" s="512">
        <f t="shared" si="29"/>
        <v>0.81354690092946347</v>
      </c>
      <c r="Q142" s="512">
        <f t="shared" si="29"/>
        <v>0.81354690092946347</v>
      </c>
      <c r="R142" s="512">
        <f t="shared" si="29"/>
        <v>0.81354690092946347</v>
      </c>
      <c r="S142" s="512">
        <f t="shared" si="29"/>
        <v>0.81354690092946347</v>
      </c>
      <c r="U142" s="165"/>
    </row>
    <row r="143" spans="3:21" x14ac:dyDescent="0.25">
      <c r="F143" s="145" t="s">
        <v>46</v>
      </c>
      <c r="G143" s="145" t="s">
        <v>111</v>
      </c>
      <c r="H143" s="167"/>
      <c r="I143" s="167"/>
      <c r="J143" s="328">
        <f t="shared" si="27"/>
        <v>0.64604237702390588</v>
      </c>
      <c r="K143" s="319"/>
      <c r="L143" s="512">
        <v>0.61255684580406145</v>
      </c>
      <c r="M143" s="512">
        <v>0.62218051895866211</v>
      </c>
      <c r="N143" s="512">
        <v>0.63798354946366409</v>
      </c>
      <c r="O143" s="512">
        <v>0.64604237702390588</v>
      </c>
      <c r="P143" s="512">
        <f t="shared" si="29"/>
        <v>0.64604237702390588</v>
      </c>
      <c r="Q143" s="512">
        <f t="shared" si="29"/>
        <v>0.64604237702390588</v>
      </c>
      <c r="R143" s="512">
        <f t="shared" si="29"/>
        <v>0.64604237702390588</v>
      </c>
      <c r="S143" s="512">
        <f t="shared" si="29"/>
        <v>0.64604237702390588</v>
      </c>
      <c r="U143" s="165"/>
    </row>
    <row r="144" spans="3:21" x14ac:dyDescent="0.25">
      <c r="F144" s="145" t="s">
        <v>47</v>
      </c>
      <c r="G144" s="145" t="s">
        <v>111</v>
      </c>
      <c r="H144" s="167"/>
      <c r="I144" s="167"/>
      <c r="J144" s="328">
        <f t="shared" si="27"/>
        <v>0.64604237702390588</v>
      </c>
      <c r="K144" s="319"/>
      <c r="L144" s="512">
        <v>0.61255684580406145</v>
      </c>
      <c r="M144" s="512">
        <v>0.62218051895866211</v>
      </c>
      <c r="N144" s="512">
        <v>0.63798354946366409</v>
      </c>
      <c r="O144" s="512">
        <v>0.64604237702390588</v>
      </c>
      <c r="P144" s="512">
        <f t="shared" si="29"/>
        <v>0.64604237702390588</v>
      </c>
      <c r="Q144" s="512">
        <f t="shared" si="29"/>
        <v>0.64604237702390588</v>
      </c>
      <c r="R144" s="512">
        <f t="shared" si="29"/>
        <v>0.64604237702390588</v>
      </c>
      <c r="S144" s="512">
        <f t="shared" si="29"/>
        <v>0.64604237702390588</v>
      </c>
      <c r="U144" s="165"/>
    </row>
    <row r="145" spans="5:21" x14ac:dyDescent="0.25">
      <c r="F145" s="145" t="s">
        <v>51</v>
      </c>
      <c r="G145" s="145" t="s">
        <v>111</v>
      </c>
      <c r="H145" s="167"/>
      <c r="I145" s="167"/>
      <c r="J145" s="328">
        <f t="shared" si="27"/>
        <v>0</v>
      </c>
      <c r="K145" s="319"/>
      <c r="L145" s="512">
        <v>0</v>
      </c>
      <c r="M145" s="512">
        <v>0</v>
      </c>
      <c r="N145" s="512">
        <v>0</v>
      </c>
      <c r="O145" s="512">
        <v>0</v>
      </c>
      <c r="P145" s="512">
        <f t="shared" si="29"/>
        <v>0</v>
      </c>
      <c r="Q145" s="512">
        <f t="shared" si="29"/>
        <v>0</v>
      </c>
      <c r="R145" s="512">
        <f t="shared" si="29"/>
        <v>0</v>
      </c>
      <c r="S145" s="512">
        <f t="shared" si="29"/>
        <v>0</v>
      </c>
      <c r="U145" s="165"/>
    </row>
    <row r="146" spans="5:21" x14ac:dyDescent="0.25">
      <c r="F146" s="145" t="s">
        <v>48</v>
      </c>
      <c r="G146" s="145" t="s">
        <v>111</v>
      </c>
      <c r="H146" s="167"/>
      <c r="I146" s="167"/>
      <c r="J146" s="328">
        <f t="shared" si="27"/>
        <v>0.42663341792505066</v>
      </c>
      <c r="K146" s="319"/>
      <c r="L146" s="512">
        <v>0.23142654887201733</v>
      </c>
      <c r="M146" s="512">
        <v>0.27660409855025486</v>
      </c>
      <c r="N146" s="512">
        <v>0.34826143534669396</v>
      </c>
      <c r="O146" s="512">
        <v>0.42663341792505066</v>
      </c>
      <c r="P146" s="512">
        <f t="shared" si="29"/>
        <v>0.42663341792505066</v>
      </c>
      <c r="Q146" s="512">
        <f t="shared" si="29"/>
        <v>0.42663341792505066</v>
      </c>
      <c r="R146" s="512">
        <f t="shared" si="29"/>
        <v>0.42663341792505066</v>
      </c>
      <c r="S146" s="512">
        <f t="shared" si="29"/>
        <v>0.42663341792505066</v>
      </c>
      <c r="U146" s="165"/>
    </row>
    <row r="147" spans="5:21" x14ac:dyDescent="0.25">
      <c r="F147" s="145" t="s">
        <v>49</v>
      </c>
      <c r="G147" s="145" t="s">
        <v>111</v>
      </c>
      <c r="H147" s="167"/>
      <c r="I147" s="167"/>
      <c r="J147" s="328">
        <f t="shared" si="27"/>
        <v>0.42663341792505066</v>
      </c>
      <c r="K147" s="319"/>
      <c r="L147" s="512">
        <v>0.23142654887201733</v>
      </c>
      <c r="M147" s="512">
        <v>0.27660409855025486</v>
      </c>
      <c r="N147" s="512">
        <v>0.34826143534669396</v>
      </c>
      <c r="O147" s="512">
        <v>0.42663341792505066</v>
      </c>
      <c r="P147" s="512">
        <f t="shared" si="29"/>
        <v>0.42663341792505066</v>
      </c>
      <c r="Q147" s="512">
        <f t="shared" si="29"/>
        <v>0.42663341792505066</v>
      </c>
      <c r="R147" s="512">
        <f t="shared" si="29"/>
        <v>0.42663341792505066</v>
      </c>
      <c r="S147" s="512">
        <f t="shared" si="29"/>
        <v>0.42663341792505066</v>
      </c>
      <c r="U147" s="165"/>
    </row>
    <row r="148" spans="5:21" x14ac:dyDescent="0.25">
      <c r="F148" s="38" t="s">
        <v>50</v>
      </c>
      <c r="G148" s="38" t="s">
        <v>111</v>
      </c>
      <c r="H148" s="168"/>
      <c r="I148" s="168"/>
      <c r="J148" s="329">
        <f t="shared" si="27"/>
        <v>0.42663341792505066</v>
      </c>
      <c r="K148" s="320"/>
      <c r="L148" s="513">
        <v>0.23142654887201733</v>
      </c>
      <c r="M148" s="513">
        <v>0.27660409855025486</v>
      </c>
      <c r="N148" s="513">
        <v>0.34826143534669396</v>
      </c>
      <c r="O148" s="513">
        <v>0.42663341792505066</v>
      </c>
      <c r="P148" s="513">
        <f t="shared" si="29"/>
        <v>0.42663341792505066</v>
      </c>
      <c r="Q148" s="513">
        <f t="shared" si="29"/>
        <v>0.42663341792505066</v>
      </c>
      <c r="R148" s="513">
        <f t="shared" si="29"/>
        <v>0.42663341792505066</v>
      </c>
      <c r="S148" s="513">
        <f t="shared" si="29"/>
        <v>0.42663341792505066</v>
      </c>
      <c r="U148" s="165"/>
    </row>
    <row r="149" spans="5:21" x14ac:dyDescent="0.25">
      <c r="E149" s="172"/>
      <c r="I149" s="167"/>
      <c r="J149" s="200"/>
      <c r="K149" s="200"/>
      <c r="L149" s="200"/>
      <c r="M149" s="200"/>
      <c r="N149" s="200"/>
      <c r="O149" s="200"/>
      <c r="P149" s="200"/>
      <c r="Q149" s="200"/>
      <c r="R149" s="200"/>
      <c r="S149" s="200"/>
    </row>
    <row r="150" spans="5:21" x14ac:dyDescent="0.25">
      <c r="E150" s="172" t="s">
        <v>707</v>
      </c>
      <c r="I150" s="167" t="s">
        <v>525</v>
      </c>
      <c r="J150" s="200"/>
      <c r="K150" s="200"/>
      <c r="L150" s="200"/>
      <c r="M150" s="200"/>
      <c r="N150" s="200"/>
      <c r="O150" s="200"/>
      <c r="P150" s="200"/>
      <c r="Q150" s="200"/>
      <c r="R150" s="200"/>
      <c r="S150" s="200"/>
      <c r="U150" s="160" t="s">
        <v>1083</v>
      </c>
    </row>
    <row r="151" spans="5:21" x14ac:dyDescent="0.25">
      <c r="F151" s="40" t="s">
        <v>397</v>
      </c>
      <c r="G151" s="40" t="s">
        <v>111</v>
      </c>
      <c r="H151" s="166"/>
      <c r="I151" s="166"/>
      <c r="J151" s="288"/>
      <c r="K151" s="201"/>
      <c r="L151" s="288"/>
      <c r="M151" s="288"/>
      <c r="N151" s="288"/>
      <c r="O151" s="288"/>
      <c r="P151" s="288"/>
      <c r="Q151" s="288"/>
      <c r="R151" s="288"/>
      <c r="S151" s="288"/>
      <c r="U151" s="165"/>
    </row>
    <row r="152" spans="5:21" x14ac:dyDescent="0.25">
      <c r="F152" s="145" t="s">
        <v>43</v>
      </c>
      <c r="G152" s="145" t="s">
        <v>111</v>
      </c>
      <c r="H152" s="167"/>
      <c r="I152" s="167"/>
      <c r="J152" s="328">
        <f t="shared" ref="J152:J160" si="30">CHOOSE(year_selection, L152,M152,N152,O152,P152,Q152,R152,S152)</f>
        <v>0.12285067696991624</v>
      </c>
      <c r="K152" s="319"/>
      <c r="L152" s="512">
        <v>0.12419999999999999</v>
      </c>
      <c r="M152" s="512">
        <v>0.12000358088680484</v>
      </c>
      <c r="N152" s="512">
        <v>9.4740021613377801E-2</v>
      </c>
      <c r="O152" s="512">
        <v>0.12285067696991624</v>
      </c>
      <c r="P152" s="512">
        <f>O152</f>
        <v>0.12285067696991624</v>
      </c>
      <c r="Q152" s="512">
        <f t="shared" ref="Q152:S152" si="31">P152</f>
        <v>0.12285067696991624</v>
      </c>
      <c r="R152" s="512">
        <f t="shared" si="31"/>
        <v>0.12285067696991624</v>
      </c>
      <c r="S152" s="512">
        <f t="shared" si="31"/>
        <v>0.12285067696991624</v>
      </c>
      <c r="U152" s="165"/>
    </row>
    <row r="153" spans="5:21" x14ac:dyDescent="0.25">
      <c r="F153" s="145" t="s">
        <v>44</v>
      </c>
      <c r="G153" s="145" t="s">
        <v>111</v>
      </c>
      <c r="H153" s="167"/>
      <c r="I153" s="167"/>
      <c r="J153" s="328">
        <f t="shared" si="30"/>
        <v>0.18388800282969542</v>
      </c>
      <c r="K153" s="319"/>
      <c r="L153" s="512">
        <v>0.11765178546818776</v>
      </c>
      <c r="M153" s="512">
        <v>0.12102574634521501</v>
      </c>
      <c r="N153" s="512">
        <v>0.14553234240861279</v>
      </c>
      <c r="O153" s="512">
        <v>0.18388800282969542</v>
      </c>
      <c r="P153" s="512">
        <f t="shared" ref="P153:S160" si="32">O153</f>
        <v>0.18388800282969542</v>
      </c>
      <c r="Q153" s="512">
        <f t="shared" si="32"/>
        <v>0.18388800282969542</v>
      </c>
      <c r="R153" s="512">
        <f t="shared" si="32"/>
        <v>0.18388800282969542</v>
      </c>
      <c r="S153" s="512">
        <f t="shared" si="32"/>
        <v>0.18388800282969542</v>
      </c>
      <c r="U153" s="165"/>
    </row>
    <row r="154" spans="5:21" x14ac:dyDescent="0.25">
      <c r="F154" s="145" t="s">
        <v>45</v>
      </c>
      <c r="G154" s="145" t="s">
        <v>111</v>
      </c>
      <c r="H154" s="167"/>
      <c r="I154" s="167"/>
      <c r="J154" s="328">
        <f t="shared" si="30"/>
        <v>0.18388800282969542</v>
      </c>
      <c r="K154" s="319"/>
      <c r="L154" s="512">
        <v>0.11765178546818776</v>
      </c>
      <c r="M154" s="512">
        <v>0.12102574634521501</v>
      </c>
      <c r="N154" s="512">
        <v>0.14553234240861279</v>
      </c>
      <c r="O154" s="512">
        <v>0.18388800282969542</v>
      </c>
      <c r="P154" s="512">
        <f t="shared" si="32"/>
        <v>0.18388800282969542</v>
      </c>
      <c r="Q154" s="512">
        <f t="shared" si="32"/>
        <v>0.18388800282969542</v>
      </c>
      <c r="R154" s="512">
        <f t="shared" si="32"/>
        <v>0.18388800282969542</v>
      </c>
      <c r="S154" s="512">
        <f t="shared" si="32"/>
        <v>0.18388800282969542</v>
      </c>
      <c r="U154" s="165"/>
    </row>
    <row r="155" spans="5:21" x14ac:dyDescent="0.25">
      <c r="F155" s="145" t="s">
        <v>46</v>
      </c>
      <c r="G155" s="145" t="s">
        <v>111</v>
      </c>
      <c r="H155" s="167"/>
      <c r="I155" s="167"/>
      <c r="J155" s="328">
        <f t="shared" si="30"/>
        <v>0.33939627158356922</v>
      </c>
      <c r="K155" s="319"/>
      <c r="L155" s="512">
        <v>0.30788238702655163</v>
      </c>
      <c r="M155" s="512">
        <v>0.31136911881691898</v>
      </c>
      <c r="N155" s="512">
        <v>0.32478379717231948</v>
      </c>
      <c r="O155" s="512">
        <v>0.33939627158356922</v>
      </c>
      <c r="P155" s="512">
        <f t="shared" si="32"/>
        <v>0.33939627158356922</v>
      </c>
      <c r="Q155" s="512">
        <f t="shared" si="32"/>
        <v>0.33939627158356922</v>
      </c>
      <c r="R155" s="512">
        <f t="shared" si="32"/>
        <v>0.33939627158356922</v>
      </c>
      <c r="S155" s="512">
        <f t="shared" si="32"/>
        <v>0.33939627158356922</v>
      </c>
      <c r="U155" s="165"/>
    </row>
    <row r="156" spans="5:21" x14ac:dyDescent="0.25">
      <c r="F156" s="145" t="s">
        <v>47</v>
      </c>
      <c r="G156" s="145" t="s">
        <v>111</v>
      </c>
      <c r="H156" s="167"/>
      <c r="I156" s="167"/>
      <c r="J156" s="328">
        <f t="shared" si="30"/>
        <v>0.33939627158356922</v>
      </c>
      <c r="K156" s="319"/>
      <c r="L156" s="512">
        <v>0.30788238702655163</v>
      </c>
      <c r="M156" s="512">
        <v>0.31136911881691898</v>
      </c>
      <c r="N156" s="512">
        <v>0.32478379717231948</v>
      </c>
      <c r="O156" s="512">
        <v>0.33939627158356922</v>
      </c>
      <c r="P156" s="512">
        <f t="shared" si="32"/>
        <v>0.33939627158356922</v>
      </c>
      <c r="Q156" s="512">
        <f t="shared" si="32"/>
        <v>0.33939627158356922</v>
      </c>
      <c r="R156" s="512">
        <f t="shared" si="32"/>
        <v>0.33939627158356922</v>
      </c>
      <c r="S156" s="512">
        <f t="shared" si="32"/>
        <v>0.33939627158356922</v>
      </c>
      <c r="U156" s="165"/>
    </row>
    <row r="157" spans="5:21" x14ac:dyDescent="0.25">
      <c r="F157" s="145" t="s">
        <v>51</v>
      </c>
      <c r="G157" s="145" t="s">
        <v>111</v>
      </c>
      <c r="H157" s="167"/>
      <c r="I157" s="167"/>
      <c r="J157" s="328">
        <f t="shared" si="30"/>
        <v>0</v>
      </c>
      <c r="K157" s="319"/>
      <c r="L157" s="512">
        <v>0</v>
      </c>
      <c r="M157" s="512">
        <v>0</v>
      </c>
      <c r="N157" s="512">
        <v>0</v>
      </c>
      <c r="O157" s="512">
        <v>0</v>
      </c>
      <c r="P157" s="512">
        <f t="shared" si="32"/>
        <v>0</v>
      </c>
      <c r="Q157" s="512">
        <f t="shared" si="32"/>
        <v>0</v>
      </c>
      <c r="R157" s="512">
        <f t="shared" si="32"/>
        <v>0</v>
      </c>
      <c r="S157" s="512">
        <f t="shared" si="32"/>
        <v>0</v>
      </c>
      <c r="U157" s="165"/>
    </row>
    <row r="158" spans="5:21" x14ac:dyDescent="0.25">
      <c r="F158" s="145" t="s">
        <v>48</v>
      </c>
      <c r="G158" s="145" t="s">
        <v>111</v>
      </c>
      <c r="H158" s="167"/>
      <c r="I158" s="167"/>
      <c r="J158" s="328">
        <f t="shared" si="30"/>
        <v>0.5416472134423479</v>
      </c>
      <c r="K158" s="319"/>
      <c r="L158" s="512">
        <v>0.64093077070357529</v>
      </c>
      <c r="M158" s="512">
        <v>0.6348818198848476</v>
      </c>
      <c r="N158" s="512">
        <v>0.59397423212397182</v>
      </c>
      <c r="O158" s="512">
        <v>0.5416472134423479</v>
      </c>
      <c r="P158" s="512">
        <f t="shared" si="32"/>
        <v>0.5416472134423479</v>
      </c>
      <c r="Q158" s="512">
        <f t="shared" si="32"/>
        <v>0.5416472134423479</v>
      </c>
      <c r="R158" s="512">
        <f t="shared" si="32"/>
        <v>0.5416472134423479</v>
      </c>
      <c r="S158" s="512">
        <f t="shared" si="32"/>
        <v>0.5416472134423479</v>
      </c>
      <c r="U158" s="165"/>
    </row>
    <row r="159" spans="5:21" x14ac:dyDescent="0.25">
      <c r="F159" s="145" t="s">
        <v>49</v>
      </c>
      <c r="G159" s="145" t="s">
        <v>111</v>
      </c>
      <c r="H159" s="167"/>
      <c r="I159" s="167"/>
      <c r="J159" s="328">
        <f t="shared" si="30"/>
        <v>0.5416472134423479</v>
      </c>
      <c r="K159" s="319"/>
      <c r="L159" s="512">
        <v>0.64093077070357529</v>
      </c>
      <c r="M159" s="512">
        <v>0.6348818198848476</v>
      </c>
      <c r="N159" s="512">
        <v>0.59397423212397182</v>
      </c>
      <c r="O159" s="512">
        <v>0.5416472134423479</v>
      </c>
      <c r="P159" s="512">
        <f t="shared" si="32"/>
        <v>0.5416472134423479</v>
      </c>
      <c r="Q159" s="512">
        <f t="shared" si="32"/>
        <v>0.5416472134423479</v>
      </c>
      <c r="R159" s="512">
        <f t="shared" si="32"/>
        <v>0.5416472134423479</v>
      </c>
      <c r="S159" s="512">
        <f t="shared" si="32"/>
        <v>0.5416472134423479</v>
      </c>
      <c r="U159" s="165"/>
    </row>
    <row r="160" spans="5:21" x14ac:dyDescent="0.25">
      <c r="F160" s="38" t="s">
        <v>50</v>
      </c>
      <c r="G160" s="38" t="s">
        <v>111</v>
      </c>
      <c r="H160" s="168"/>
      <c r="I160" s="168"/>
      <c r="J160" s="329">
        <f t="shared" si="30"/>
        <v>0.5416472134423479</v>
      </c>
      <c r="K160" s="320"/>
      <c r="L160" s="513">
        <v>0.64093077070357529</v>
      </c>
      <c r="M160" s="513">
        <v>0.6348818198848476</v>
      </c>
      <c r="N160" s="513">
        <v>0.59397423212397182</v>
      </c>
      <c r="O160" s="513">
        <v>0.5416472134423479</v>
      </c>
      <c r="P160" s="513">
        <f t="shared" si="32"/>
        <v>0.5416472134423479</v>
      </c>
      <c r="Q160" s="513">
        <f t="shared" si="32"/>
        <v>0.5416472134423479</v>
      </c>
      <c r="R160" s="513">
        <f t="shared" si="32"/>
        <v>0.5416472134423479</v>
      </c>
      <c r="S160" s="513">
        <f t="shared" si="32"/>
        <v>0.5416472134423479</v>
      </c>
      <c r="U160" s="165"/>
    </row>
    <row r="161" spans="5:21" x14ac:dyDescent="0.25">
      <c r="E161" s="172"/>
      <c r="I161" s="167"/>
      <c r="J161" s="200"/>
      <c r="K161" s="200"/>
      <c r="L161" s="200"/>
      <c r="M161" s="200"/>
      <c r="N161" s="200"/>
      <c r="O161" s="200"/>
      <c r="P161" s="200"/>
      <c r="Q161" s="200"/>
      <c r="R161" s="200"/>
      <c r="S161" s="200"/>
    </row>
    <row r="162" spans="5:21" x14ac:dyDescent="0.25">
      <c r="E162" s="172" t="s">
        <v>708</v>
      </c>
      <c r="I162" s="167" t="s">
        <v>525</v>
      </c>
      <c r="J162" s="200"/>
      <c r="K162" s="200"/>
      <c r="L162" s="200"/>
      <c r="M162" s="200"/>
      <c r="N162" s="200"/>
      <c r="O162" s="200"/>
      <c r="P162" s="200"/>
      <c r="Q162" s="200"/>
      <c r="R162" s="200"/>
      <c r="S162" s="200"/>
      <c r="U162" s="160" t="s">
        <v>1083</v>
      </c>
    </row>
    <row r="163" spans="5:21" x14ac:dyDescent="0.25">
      <c r="F163" s="40" t="s">
        <v>397</v>
      </c>
      <c r="G163" s="40" t="s">
        <v>111</v>
      </c>
      <c r="H163" s="166"/>
      <c r="I163" s="166"/>
      <c r="J163" s="288"/>
      <c r="K163" s="201"/>
      <c r="L163" s="288"/>
      <c r="M163" s="288"/>
      <c r="N163" s="288"/>
      <c r="O163" s="288"/>
      <c r="P163" s="288"/>
      <c r="Q163" s="288"/>
      <c r="R163" s="288"/>
      <c r="S163" s="288"/>
      <c r="U163" s="165"/>
    </row>
    <row r="164" spans="5:21" x14ac:dyDescent="0.25">
      <c r="F164" s="145" t="s">
        <v>43</v>
      </c>
      <c r="G164" s="145" t="s">
        <v>111</v>
      </c>
      <c r="H164" s="167"/>
      <c r="I164" s="167"/>
      <c r="J164" s="328">
        <f t="shared" ref="J164:J172" si="33">CHOOSE(year_selection, L164,M164,N164,O164,P164,Q164,R164,S164)</f>
        <v>0</v>
      </c>
      <c r="K164" s="319"/>
      <c r="L164" s="512">
        <v>0</v>
      </c>
      <c r="M164" s="512">
        <v>0</v>
      </c>
      <c r="N164" s="512">
        <v>0</v>
      </c>
      <c r="O164" s="512">
        <v>0</v>
      </c>
      <c r="P164" s="512">
        <f>O164</f>
        <v>0</v>
      </c>
      <c r="Q164" s="512">
        <f t="shared" ref="Q164:S164" si="34">P164</f>
        <v>0</v>
      </c>
      <c r="R164" s="512">
        <f t="shared" si="34"/>
        <v>0</v>
      </c>
      <c r="S164" s="512">
        <f t="shared" si="34"/>
        <v>0</v>
      </c>
      <c r="U164" s="165"/>
    </row>
    <row r="165" spans="5:21" x14ac:dyDescent="0.25">
      <c r="F165" s="145" t="s">
        <v>44</v>
      </c>
      <c r="G165" s="145" t="s">
        <v>111</v>
      </c>
      <c r="H165" s="167"/>
      <c r="I165" s="167"/>
      <c r="J165" s="328">
        <f t="shared" si="33"/>
        <v>2.5650962408412851E-3</v>
      </c>
      <c r="K165" s="319"/>
      <c r="L165" s="512">
        <v>4.2177862586968651E-2</v>
      </c>
      <c r="M165" s="512">
        <v>3.8801178258656546E-2</v>
      </c>
      <c r="N165" s="512">
        <v>1.4023343168950217E-2</v>
      </c>
      <c r="O165" s="512">
        <v>2.5650962408412851E-3</v>
      </c>
      <c r="P165" s="512">
        <f t="shared" ref="P165:S172" si="35">O165</f>
        <v>2.5650962408412851E-3</v>
      </c>
      <c r="Q165" s="512">
        <f t="shared" si="35"/>
        <v>2.5650962408412851E-3</v>
      </c>
      <c r="R165" s="512">
        <f t="shared" si="35"/>
        <v>2.5650962408412851E-3</v>
      </c>
      <c r="S165" s="512">
        <f t="shared" si="35"/>
        <v>2.5650962408412851E-3</v>
      </c>
      <c r="U165" s="165"/>
    </row>
    <row r="166" spans="5:21" x14ac:dyDescent="0.25">
      <c r="F166" s="145" t="s">
        <v>45</v>
      </c>
      <c r="G166" s="145" t="s">
        <v>111</v>
      </c>
      <c r="H166" s="167"/>
      <c r="I166" s="167"/>
      <c r="J166" s="328">
        <f t="shared" si="33"/>
        <v>2.5650962408412851E-3</v>
      </c>
      <c r="K166" s="319"/>
      <c r="L166" s="512">
        <v>4.2177862586968651E-2</v>
      </c>
      <c r="M166" s="512">
        <v>3.8801178258656546E-2</v>
      </c>
      <c r="N166" s="512">
        <v>1.4023343168950217E-2</v>
      </c>
      <c r="O166" s="512">
        <v>2.5650962408412851E-3</v>
      </c>
      <c r="P166" s="512">
        <f t="shared" si="35"/>
        <v>2.5650962408412851E-3</v>
      </c>
      <c r="Q166" s="512">
        <f t="shared" si="35"/>
        <v>2.5650962408412851E-3</v>
      </c>
      <c r="R166" s="512">
        <f t="shared" si="35"/>
        <v>2.5650962408412851E-3</v>
      </c>
      <c r="S166" s="512">
        <f t="shared" si="35"/>
        <v>2.5650962408412851E-3</v>
      </c>
      <c r="U166" s="165"/>
    </row>
    <row r="167" spans="5:21" x14ac:dyDescent="0.25">
      <c r="F167" s="145" t="s">
        <v>46</v>
      </c>
      <c r="G167" s="145" t="s">
        <v>111</v>
      </c>
      <c r="H167" s="167"/>
      <c r="I167" s="167"/>
      <c r="J167" s="328">
        <f t="shared" si="33"/>
        <v>1.4561351392524903E-2</v>
      </c>
      <c r="K167" s="319"/>
      <c r="L167" s="512">
        <v>7.9560767169386995E-2</v>
      </c>
      <c r="M167" s="512">
        <v>6.6450362224418871E-2</v>
      </c>
      <c r="N167" s="512">
        <v>3.7232653364016419E-2</v>
      </c>
      <c r="O167" s="512">
        <v>1.4561351392524903E-2</v>
      </c>
      <c r="P167" s="512">
        <f t="shared" si="35"/>
        <v>1.4561351392524903E-2</v>
      </c>
      <c r="Q167" s="512">
        <f t="shared" si="35"/>
        <v>1.4561351392524903E-2</v>
      </c>
      <c r="R167" s="512">
        <f t="shared" si="35"/>
        <v>1.4561351392524903E-2</v>
      </c>
      <c r="S167" s="512">
        <f t="shared" si="35"/>
        <v>1.4561351392524903E-2</v>
      </c>
      <c r="U167" s="165"/>
    </row>
    <row r="168" spans="5:21" x14ac:dyDescent="0.25">
      <c r="F168" s="145" t="s">
        <v>47</v>
      </c>
      <c r="G168" s="145" t="s">
        <v>111</v>
      </c>
      <c r="H168" s="167"/>
      <c r="I168" s="167"/>
      <c r="J168" s="328">
        <f t="shared" si="33"/>
        <v>1.4561351392524903E-2</v>
      </c>
      <c r="K168" s="319"/>
      <c r="L168" s="512">
        <v>7.9560767169386995E-2</v>
      </c>
      <c r="M168" s="512">
        <v>6.6450362224418871E-2</v>
      </c>
      <c r="N168" s="512">
        <v>3.7232653364016419E-2</v>
      </c>
      <c r="O168" s="512">
        <v>1.4561351392524903E-2</v>
      </c>
      <c r="P168" s="512">
        <f t="shared" si="35"/>
        <v>1.4561351392524903E-2</v>
      </c>
      <c r="Q168" s="512">
        <f t="shared" si="35"/>
        <v>1.4561351392524903E-2</v>
      </c>
      <c r="R168" s="512">
        <f t="shared" si="35"/>
        <v>1.4561351392524903E-2</v>
      </c>
      <c r="S168" s="512">
        <f t="shared" si="35"/>
        <v>1.4561351392524903E-2</v>
      </c>
      <c r="U168" s="165"/>
    </row>
    <row r="169" spans="5:21" x14ac:dyDescent="0.25">
      <c r="F169" s="145" t="s">
        <v>51</v>
      </c>
      <c r="G169" s="145" t="s">
        <v>111</v>
      </c>
      <c r="H169" s="167"/>
      <c r="I169" s="167"/>
      <c r="J169" s="328">
        <f t="shared" si="33"/>
        <v>0</v>
      </c>
      <c r="K169" s="319"/>
      <c r="L169" s="512">
        <v>0</v>
      </c>
      <c r="M169" s="512">
        <v>0</v>
      </c>
      <c r="N169" s="512">
        <v>0</v>
      </c>
      <c r="O169" s="512">
        <v>0</v>
      </c>
      <c r="P169" s="512">
        <f t="shared" si="35"/>
        <v>0</v>
      </c>
      <c r="Q169" s="512">
        <f t="shared" si="35"/>
        <v>0</v>
      </c>
      <c r="R169" s="512">
        <f t="shared" si="35"/>
        <v>0</v>
      </c>
      <c r="S169" s="512">
        <f t="shared" si="35"/>
        <v>0</v>
      </c>
      <c r="U169" s="165"/>
    </row>
    <row r="170" spans="5:21" x14ac:dyDescent="0.25">
      <c r="F170" s="145" t="s">
        <v>48</v>
      </c>
      <c r="G170" s="145" t="s">
        <v>111</v>
      </c>
      <c r="H170" s="167"/>
      <c r="I170" s="167"/>
      <c r="J170" s="328">
        <f t="shared" si="33"/>
        <v>3.1719368632601504E-2</v>
      </c>
      <c r="K170" s="319"/>
      <c r="L170" s="512">
        <v>0.12764268042440738</v>
      </c>
      <c r="M170" s="512">
        <v>8.8514081564897609E-2</v>
      </c>
      <c r="N170" s="512">
        <v>5.7764332529334217E-2</v>
      </c>
      <c r="O170" s="512">
        <v>3.1719368632601504E-2</v>
      </c>
      <c r="P170" s="512">
        <f t="shared" si="35"/>
        <v>3.1719368632601504E-2</v>
      </c>
      <c r="Q170" s="512">
        <f t="shared" si="35"/>
        <v>3.1719368632601504E-2</v>
      </c>
      <c r="R170" s="512">
        <f t="shared" si="35"/>
        <v>3.1719368632601504E-2</v>
      </c>
      <c r="S170" s="512">
        <f t="shared" si="35"/>
        <v>3.1719368632601504E-2</v>
      </c>
      <c r="U170" s="165"/>
    </row>
    <row r="171" spans="5:21" x14ac:dyDescent="0.25">
      <c r="F171" s="145" t="s">
        <v>49</v>
      </c>
      <c r="G171" s="145" t="s">
        <v>111</v>
      </c>
      <c r="H171" s="167"/>
      <c r="I171" s="167"/>
      <c r="J171" s="328">
        <f t="shared" si="33"/>
        <v>3.1719368632601504E-2</v>
      </c>
      <c r="K171" s="319"/>
      <c r="L171" s="512">
        <v>0.12764268042440738</v>
      </c>
      <c r="M171" s="512">
        <v>8.8514081564897609E-2</v>
      </c>
      <c r="N171" s="512">
        <v>5.7764332529334217E-2</v>
      </c>
      <c r="O171" s="512">
        <v>3.1719368632601504E-2</v>
      </c>
      <c r="P171" s="512">
        <f t="shared" si="35"/>
        <v>3.1719368632601504E-2</v>
      </c>
      <c r="Q171" s="512">
        <f t="shared" si="35"/>
        <v>3.1719368632601504E-2</v>
      </c>
      <c r="R171" s="512">
        <f t="shared" si="35"/>
        <v>3.1719368632601504E-2</v>
      </c>
      <c r="S171" s="512">
        <f t="shared" si="35"/>
        <v>3.1719368632601504E-2</v>
      </c>
      <c r="U171" s="165"/>
    </row>
    <row r="172" spans="5:21" x14ac:dyDescent="0.25">
      <c r="F172" s="38" t="s">
        <v>50</v>
      </c>
      <c r="G172" s="38" t="s">
        <v>111</v>
      </c>
      <c r="H172" s="168"/>
      <c r="I172" s="168"/>
      <c r="J172" s="329">
        <f t="shared" si="33"/>
        <v>3.1719368632601504E-2</v>
      </c>
      <c r="K172" s="320"/>
      <c r="L172" s="513">
        <v>0.12764268042440738</v>
      </c>
      <c r="M172" s="513">
        <v>8.8514081564897609E-2</v>
      </c>
      <c r="N172" s="513">
        <v>5.7764332529334217E-2</v>
      </c>
      <c r="O172" s="513">
        <v>3.1719368632601504E-2</v>
      </c>
      <c r="P172" s="513">
        <f t="shared" si="35"/>
        <v>3.1719368632601504E-2</v>
      </c>
      <c r="Q172" s="513">
        <f t="shared" si="35"/>
        <v>3.1719368632601504E-2</v>
      </c>
      <c r="R172" s="513">
        <f t="shared" si="35"/>
        <v>3.1719368632601504E-2</v>
      </c>
      <c r="S172" s="513">
        <f t="shared" si="35"/>
        <v>3.1719368632601504E-2</v>
      </c>
      <c r="U172" s="165"/>
    </row>
    <row r="173" spans="5:21" x14ac:dyDescent="0.25">
      <c r="J173" s="200"/>
      <c r="K173" s="200"/>
      <c r="L173" s="200"/>
      <c r="M173" s="200"/>
      <c r="N173" s="200"/>
      <c r="O173" s="200"/>
      <c r="P173" s="200"/>
      <c r="Q173" s="200"/>
      <c r="R173" s="200"/>
      <c r="S173" s="200"/>
    </row>
    <row r="174" spans="5:21" x14ac:dyDescent="0.25">
      <c r="E174" s="172" t="s">
        <v>709</v>
      </c>
      <c r="J174" s="200"/>
      <c r="K174" s="200"/>
      <c r="L174" s="200"/>
      <c r="M174" s="200"/>
      <c r="N174" s="200"/>
      <c r="O174" s="200"/>
      <c r="P174" s="200"/>
      <c r="Q174" s="200"/>
      <c r="R174" s="200"/>
      <c r="S174" s="200"/>
    </row>
    <row r="175" spans="5:21" x14ac:dyDescent="0.25">
      <c r="F175" s="40" t="s">
        <v>397</v>
      </c>
      <c r="G175" s="40" t="s">
        <v>111</v>
      </c>
      <c r="H175" s="166"/>
      <c r="I175" s="166"/>
      <c r="J175" s="288"/>
      <c r="K175" s="201"/>
      <c r="L175" s="288"/>
      <c r="M175" s="288"/>
      <c r="N175" s="288"/>
      <c r="O175" s="288"/>
      <c r="P175" s="288"/>
      <c r="Q175" s="288"/>
      <c r="R175" s="288"/>
      <c r="S175" s="288"/>
      <c r="U175" s="165"/>
    </row>
    <row r="176" spans="5:21" x14ac:dyDescent="0.25">
      <c r="F176" s="145" t="s">
        <v>43</v>
      </c>
      <c r="G176" s="145" t="s">
        <v>111</v>
      </c>
      <c r="H176" s="167"/>
      <c r="I176" s="167"/>
      <c r="J176" s="328">
        <f t="shared" ref="J176:J184" si="36">CHOOSE(year_selection, L176,M176,N176,O176,P176,Q176,R176,S176)</f>
        <v>0.52666037470868921</v>
      </c>
      <c r="K176" s="319"/>
      <c r="L176" s="512">
        <v>0.80349999999999999</v>
      </c>
      <c r="M176" s="512">
        <v>0.78590667088030874</v>
      </c>
      <c r="N176" s="512">
        <v>0.75494930386139114</v>
      </c>
      <c r="O176" s="512">
        <v>0.52666037470868921</v>
      </c>
      <c r="P176" s="512">
        <f>O176</f>
        <v>0.52666037470868921</v>
      </c>
      <c r="Q176" s="512">
        <f t="shared" ref="Q176:S176" si="37">P176</f>
        <v>0.52666037470868921</v>
      </c>
      <c r="R176" s="512">
        <f t="shared" si="37"/>
        <v>0.52666037470868921</v>
      </c>
      <c r="S176" s="512">
        <f t="shared" si="37"/>
        <v>0.52666037470868921</v>
      </c>
      <c r="U176" s="165"/>
    </row>
    <row r="177" spans="2:27" x14ac:dyDescent="0.25">
      <c r="F177" s="145" t="s">
        <v>44</v>
      </c>
      <c r="G177" s="145" t="s">
        <v>111</v>
      </c>
      <c r="H177" s="167"/>
      <c r="I177" s="167"/>
      <c r="J177" s="328">
        <f t="shared" si="36"/>
        <v>0.5883321234047395</v>
      </c>
      <c r="K177" s="319"/>
      <c r="L177" s="512">
        <v>0.73151108935745979</v>
      </c>
      <c r="M177" s="512">
        <v>0.7461149413972844</v>
      </c>
      <c r="N177" s="512">
        <v>0.74523875211723112</v>
      </c>
      <c r="O177" s="512">
        <v>0.5883321234047395</v>
      </c>
      <c r="P177" s="512">
        <f t="shared" ref="P177:S184" si="38">O177</f>
        <v>0.5883321234047395</v>
      </c>
      <c r="Q177" s="512">
        <f t="shared" si="38"/>
        <v>0.5883321234047395</v>
      </c>
      <c r="R177" s="512">
        <f t="shared" si="38"/>
        <v>0.5883321234047395</v>
      </c>
      <c r="S177" s="512">
        <f t="shared" si="38"/>
        <v>0.5883321234047395</v>
      </c>
      <c r="U177" s="165"/>
    </row>
    <row r="178" spans="2:27" x14ac:dyDescent="0.25">
      <c r="F178" s="145" t="s">
        <v>45</v>
      </c>
      <c r="G178" s="145" t="s">
        <v>111</v>
      </c>
      <c r="H178" s="167"/>
      <c r="I178" s="167"/>
      <c r="J178" s="328">
        <f t="shared" si="36"/>
        <v>0.5883321234047395</v>
      </c>
      <c r="K178" s="319"/>
      <c r="L178" s="512">
        <v>0.73151108935745979</v>
      </c>
      <c r="M178" s="512">
        <v>0.7461149413972844</v>
      </c>
      <c r="N178" s="512">
        <v>0.74523875211723112</v>
      </c>
      <c r="O178" s="512">
        <v>0.5883321234047395</v>
      </c>
      <c r="P178" s="512">
        <f t="shared" si="38"/>
        <v>0.5883321234047395</v>
      </c>
      <c r="Q178" s="512">
        <f t="shared" si="38"/>
        <v>0.5883321234047395</v>
      </c>
      <c r="R178" s="512">
        <f t="shared" si="38"/>
        <v>0.5883321234047395</v>
      </c>
      <c r="S178" s="512">
        <f t="shared" si="38"/>
        <v>0.5883321234047395</v>
      </c>
      <c r="U178" s="165"/>
    </row>
    <row r="179" spans="2:27" x14ac:dyDescent="0.25">
      <c r="F179" s="145" t="s">
        <v>46</v>
      </c>
      <c r="G179" s="145" t="s">
        <v>111</v>
      </c>
      <c r="H179" s="167"/>
      <c r="I179" s="167"/>
      <c r="J179" s="328">
        <f t="shared" si="36"/>
        <v>0.48656961006219612</v>
      </c>
      <c r="K179" s="319"/>
      <c r="L179" s="512">
        <v>0.51834241844560403</v>
      </c>
      <c r="M179" s="512">
        <v>0.5398062195192036</v>
      </c>
      <c r="N179" s="512">
        <v>0.58702049585070226</v>
      </c>
      <c r="O179" s="512">
        <v>0.48656961006219612</v>
      </c>
      <c r="P179" s="512">
        <f t="shared" si="38"/>
        <v>0.48656961006219612</v>
      </c>
      <c r="Q179" s="512">
        <f t="shared" si="38"/>
        <v>0.48656961006219612</v>
      </c>
      <c r="R179" s="512">
        <f t="shared" si="38"/>
        <v>0.48656961006219612</v>
      </c>
      <c r="S179" s="512">
        <f t="shared" si="38"/>
        <v>0.48656961006219612</v>
      </c>
      <c r="U179" s="165"/>
    </row>
    <row r="180" spans="2:27" x14ac:dyDescent="0.25">
      <c r="F180" s="145" t="s">
        <v>47</v>
      </c>
      <c r="G180" s="145" t="s">
        <v>111</v>
      </c>
      <c r="H180" s="167"/>
      <c r="I180" s="167"/>
      <c r="J180" s="328">
        <f t="shared" si="36"/>
        <v>0.48656961006219612</v>
      </c>
      <c r="K180" s="319"/>
      <c r="L180" s="512">
        <v>0.51834241844560403</v>
      </c>
      <c r="M180" s="512">
        <v>0.5398062195192036</v>
      </c>
      <c r="N180" s="512">
        <v>0.58702049585070226</v>
      </c>
      <c r="O180" s="512">
        <v>0.48656961006219612</v>
      </c>
      <c r="P180" s="512">
        <f t="shared" si="38"/>
        <v>0.48656961006219612</v>
      </c>
      <c r="Q180" s="512">
        <f t="shared" si="38"/>
        <v>0.48656961006219612</v>
      </c>
      <c r="R180" s="512">
        <f t="shared" si="38"/>
        <v>0.48656961006219612</v>
      </c>
      <c r="S180" s="512">
        <f t="shared" si="38"/>
        <v>0.48656961006219612</v>
      </c>
      <c r="U180" s="165"/>
    </row>
    <row r="181" spans="2:27" x14ac:dyDescent="0.25">
      <c r="F181" s="145" t="s">
        <v>51</v>
      </c>
      <c r="G181" s="145" t="s">
        <v>111</v>
      </c>
      <c r="H181" s="167"/>
      <c r="I181" s="167"/>
      <c r="J181" s="328">
        <f t="shared" si="36"/>
        <v>0</v>
      </c>
      <c r="K181" s="319"/>
      <c r="L181" s="512">
        <v>0</v>
      </c>
      <c r="M181" s="512">
        <v>0</v>
      </c>
      <c r="N181" s="512">
        <v>0</v>
      </c>
      <c r="O181" s="512">
        <v>0</v>
      </c>
      <c r="P181" s="512">
        <f t="shared" si="38"/>
        <v>0</v>
      </c>
      <c r="Q181" s="512">
        <f t="shared" si="38"/>
        <v>0</v>
      </c>
      <c r="R181" s="512">
        <f t="shared" si="38"/>
        <v>0</v>
      </c>
      <c r="S181" s="512">
        <f t="shared" si="38"/>
        <v>0</v>
      </c>
      <c r="U181" s="165"/>
    </row>
    <row r="182" spans="2:27" x14ac:dyDescent="0.25">
      <c r="F182" s="145" t="s">
        <v>48</v>
      </c>
      <c r="G182" s="145" t="s">
        <v>111</v>
      </c>
      <c r="H182" s="167"/>
      <c r="I182" s="167"/>
      <c r="J182" s="328">
        <f t="shared" si="36"/>
        <v>0.29903860265532539</v>
      </c>
      <c r="K182" s="319"/>
      <c r="L182" s="512">
        <v>0.10730799430027516</v>
      </c>
      <c r="M182" s="512">
        <v>0.21344709977530227</v>
      </c>
      <c r="N182" s="512">
        <v>0.29261219667187605</v>
      </c>
      <c r="O182" s="512">
        <v>0.29903860265532539</v>
      </c>
      <c r="P182" s="512">
        <f t="shared" si="38"/>
        <v>0.29903860265532539</v>
      </c>
      <c r="Q182" s="512">
        <f t="shared" si="38"/>
        <v>0.29903860265532539</v>
      </c>
      <c r="R182" s="512">
        <f t="shared" si="38"/>
        <v>0.29903860265532539</v>
      </c>
      <c r="S182" s="512">
        <f t="shared" si="38"/>
        <v>0.29903860265532539</v>
      </c>
      <c r="U182" s="165"/>
    </row>
    <row r="183" spans="2:27" x14ac:dyDescent="0.25">
      <c r="F183" s="145" t="s">
        <v>49</v>
      </c>
      <c r="G183" s="145" t="s">
        <v>111</v>
      </c>
      <c r="H183" s="167"/>
      <c r="I183" s="167"/>
      <c r="J183" s="328">
        <f t="shared" si="36"/>
        <v>0.29903860265532539</v>
      </c>
      <c r="K183" s="319"/>
      <c r="L183" s="512">
        <v>0.10730799430027516</v>
      </c>
      <c r="M183" s="512">
        <v>0.21344709977530227</v>
      </c>
      <c r="N183" s="512">
        <v>0.29261219667187605</v>
      </c>
      <c r="O183" s="512">
        <v>0.29903860265532539</v>
      </c>
      <c r="P183" s="512">
        <f t="shared" si="38"/>
        <v>0.29903860265532539</v>
      </c>
      <c r="Q183" s="512">
        <f t="shared" si="38"/>
        <v>0.29903860265532539</v>
      </c>
      <c r="R183" s="512">
        <f t="shared" si="38"/>
        <v>0.29903860265532539</v>
      </c>
      <c r="S183" s="512">
        <f t="shared" si="38"/>
        <v>0.29903860265532539</v>
      </c>
      <c r="U183" s="165"/>
    </row>
    <row r="184" spans="2:27" x14ac:dyDescent="0.25">
      <c r="F184" s="38" t="s">
        <v>50</v>
      </c>
      <c r="G184" s="38" t="s">
        <v>111</v>
      </c>
      <c r="H184" s="168"/>
      <c r="I184" s="168"/>
      <c r="J184" s="329">
        <f t="shared" si="36"/>
        <v>0.29903860265532539</v>
      </c>
      <c r="K184" s="320"/>
      <c r="L184" s="513">
        <v>0.10730799430027516</v>
      </c>
      <c r="M184" s="513">
        <v>0.21344709977530227</v>
      </c>
      <c r="N184" s="513">
        <v>0.29261219667187605</v>
      </c>
      <c r="O184" s="513">
        <v>0.29903860265532539</v>
      </c>
      <c r="P184" s="513">
        <f t="shared" si="38"/>
        <v>0.29903860265532539</v>
      </c>
      <c r="Q184" s="513">
        <f t="shared" si="38"/>
        <v>0.29903860265532539</v>
      </c>
      <c r="R184" s="513">
        <f t="shared" si="38"/>
        <v>0.29903860265532539</v>
      </c>
      <c r="S184" s="513">
        <f t="shared" si="38"/>
        <v>0.29903860265532539</v>
      </c>
      <c r="U184" s="165"/>
    </row>
    <row r="185" spans="2:27" x14ac:dyDescent="0.25">
      <c r="J185" s="200"/>
      <c r="K185" s="200"/>
      <c r="L185" s="200"/>
      <c r="M185" s="200"/>
      <c r="N185" s="200"/>
      <c r="O185" s="200"/>
      <c r="P185" s="200"/>
      <c r="Q185" s="200"/>
      <c r="R185" s="200"/>
      <c r="S185" s="200"/>
    </row>
    <row r="186" spans="2:27" x14ac:dyDescent="0.25">
      <c r="B186" s="171" t="s">
        <v>126</v>
      </c>
      <c r="C186" s="171"/>
      <c r="D186" s="171"/>
      <c r="E186" s="171"/>
      <c r="F186" s="171"/>
      <c r="G186" s="171"/>
      <c r="H186" s="171"/>
      <c r="I186" s="171"/>
      <c r="J186" s="278"/>
      <c r="K186" s="278"/>
      <c r="L186" s="278"/>
      <c r="M186" s="278"/>
      <c r="N186" s="278"/>
      <c r="O186" s="278"/>
      <c r="P186" s="278"/>
      <c r="Q186" s="278"/>
      <c r="R186" s="278"/>
      <c r="S186" s="278"/>
      <c r="T186" s="171"/>
      <c r="U186" s="171"/>
      <c r="W186" s="171"/>
      <c r="X186" s="171"/>
      <c r="Y186" s="171"/>
      <c r="Z186" s="171"/>
      <c r="AA186" s="171"/>
    </row>
    <row r="187" spans="2:27" x14ac:dyDescent="0.25">
      <c r="J187" s="200"/>
      <c r="K187" s="200"/>
      <c r="L187" s="200"/>
      <c r="M187" s="200"/>
      <c r="N187" s="200"/>
      <c r="O187" s="200"/>
      <c r="P187" s="200"/>
      <c r="Q187" s="200"/>
      <c r="R187" s="200"/>
      <c r="S187" s="200"/>
    </row>
    <row r="188" spans="2:27" s="474" customFormat="1" x14ac:dyDescent="0.25">
      <c r="C188" s="152" t="s">
        <v>1014</v>
      </c>
      <c r="H188" s="200"/>
      <c r="J188" s="200"/>
      <c r="K188" s="200"/>
      <c r="L188" s="200"/>
      <c r="M188" s="200"/>
      <c r="N188" s="200"/>
      <c r="O188" s="200"/>
      <c r="P188" s="200"/>
      <c r="Q188" s="200"/>
      <c r="R188" s="200"/>
      <c r="S188" s="200"/>
    </row>
    <row r="189" spans="2:27" s="474" customFormat="1" x14ac:dyDescent="0.25">
      <c r="H189" s="200"/>
      <c r="J189" s="200"/>
      <c r="K189" s="200"/>
      <c r="L189" s="200"/>
      <c r="M189" s="200"/>
      <c r="N189" s="200"/>
      <c r="O189" s="200"/>
      <c r="P189" s="200"/>
      <c r="Q189" s="200"/>
      <c r="R189" s="200"/>
      <c r="S189" s="200"/>
    </row>
    <row r="190" spans="2:27" x14ac:dyDescent="0.25">
      <c r="E190" s="160" t="s">
        <v>622</v>
      </c>
      <c r="G190" s="111" t="s">
        <v>814</v>
      </c>
      <c r="H190" s="316">
        <f t="array" ref="H190">SUM(IF(ISERROR(H18:T185), 1))</f>
        <v>0</v>
      </c>
      <c r="J190" s="200"/>
      <c r="K190" s="200"/>
      <c r="L190" s="200"/>
      <c r="M190" s="200"/>
      <c r="N190" s="200"/>
      <c r="O190" s="200"/>
      <c r="P190" s="200"/>
      <c r="Q190" s="200"/>
      <c r="R190" s="200"/>
      <c r="S190" s="200"/>
    </row>
    <row r="191" spans="2:27" x14ac:dyDescent="0.25">
      <c r="H191" s="200"/>
      <c r="J191" s="200"/>
      <c r="K191" s="200"/>
      <c r="L191" s="200"/>
      <c r="M191" s="200"/>
      <c r="N191" s="200"/>
      <c r="O191" s="200"/>
      <c r="P191" s="200"/>
      <c r="Q191" s="200"/>
      <c r="R191" s="200"/>
      <c r="S191" s="200"/>
    </row>
    <row r="192" spans="2:27" s="338" customFormat="1" x14ac:dyDescent="0.25">
      <c r="E192" s="338" t="s">
        <v>887</v>
      </c>
      <c r="G192" s="111" t="s">
        <v>814</v>
      </c>
      <c r="H192" s="316">
        <f>SUM(L192:S192)</f>
        <v>0</v>
      </c>
      <c r="J192" s="200"/>
      <c r="K192" s="200"/>
      <c r="L192" s="178"/>
      <c r="M192" s="178"/>
      <c r="N192" s="178"/>
      <c r="O192" s="316">
        <f>IF(O48 = 1, 0, 1)</f>
        <v>0</v>
      </c>
      <c r="P192" s="316">
        <f>IF(P48 = 1, 0, 1)</f>
        <v>0</v>
      </c>
      <c r="Q192" s="316">
        <f>IF(Q48 = 1, 0, 1)</f>
        <v>0</v>
      </c>
      <c r="R192" s="316">
        <f>IF(R48 = 1, 0, 1)</f>
        <v>0</v>
      </c>
      <c r="S192" s="316">
        <f>IF(S48 = 1, 0, 1)</f>
        <v>0</v>
      </c>
    </row>
    <row r="193" spans="5:21" s="338" customFormat="1" x14ac:dyDescent="0.25">
      <c r="H193" s="200"/>
      <c r="J193" s="200"/>
      <c r="K193" s="200"/>
      <c r="L193" s="200"/>
      <c r="M193" s="200"/>
      <c r="N193" s="200"/>
      <c r="O193" s="200"/>
      <c r="P193" s="200"/>
      <c r="Q193" s="200"/>
      <c r="R193" s="200"/>
      <c r="S193" s="200"/>
    </row>
    <row r="194" spans="5:21" x14ac:dyDescent="0.25">
      <c r="E194" s="172" t="s">
        <v>854</v>
      </c>
      <c r="H194" s="200"/>
      <c r="J194" s="200"/>
      <c r="K194" s="200"/>
      <c r="L194" s="200"/>
      <c r="M194" s="200"/>
      <c r="N194" s="200"/>
      <c r="O194" s="200"/>
      <c r="P194" s="200"/>
      <c r="Q194" s="200"/>
      <c r="R194" s="200"/>
      <c r="S194" s="200"/>
    </row>
    <row r="195" spans="5:21" x14ac:dyDescent="0.25">
      <c r="F195" s="40" t="s">
        <v>397</v>
      </c>
      <c r="G195" s="166" t="s">
        <v>814</v>
      </c>
      <c r="H195" s="288"/>
      <c r="I195" s="166"/>
      <c r="J195" s="201"/>
      <c r="K195" s="201"/>
      <c r="L195" s="374"/>
      <c r="M195" s="374"/>
      <c r="N195" s="374"/>
      <c r="O195" s="288"/>
      <c r="P195" s="288"/>
      <c r="Q195" s="288"/>
      <c r="R195" s="288"/>
      <c r="S195" s="288"/>
      <c r="U195" s="165"/>
    </row>
    <row r="196" spans="5:21" x14ac:dyDescent="0.25">
      <c r="F196" s="145" t="s">
        <v>43</v>
      </c>
      <c r="G196" s="167" t="s">
        <v>814</v>
      </c>
      <c r="H196" s="316">
        <f t="shared" ref="H196:H203" si="39">SUM(L196:S196)</f>
        <v>0</v>
      </c>
      <c r="I196" s="167"/>
      <c r="J196" s="121"/>
      <c r="K196" s="121"/>
      <c r="L196" s="178"/>
      <c r="M196" s="178"/>
      <c r="N196" s="178"/>
      <c r="O196" s="316">
        <f>IF(ABS(SUM(O140,O152,O164) - 1) &lt; 10^-check_decimals,0,1)</f>
        <v>0</v>
      </c>
      <c r="P196" s="316">
        <f>IF(ABS(SUM(P140,P152,P164) - 1) &lt; 10^-check_decimals,0,1)</f>
        <v>0</v>
      </c>
      <c r="Q196" s="316">
        <f>IF(ABS(SUM(Q140,Q152,Q164) - 1) &lt; 10^-check_decimals,0,1)</f>
        <v>0</v>
      </c>
      <c r="R196" s="316">
        <f>IF(ABS(SUM(R140,R152,R164) - 1) &lt; 10^-check_decimals,0,1)</f>
        <v>0</v>
      </c>
      <c r="S196" s="316">
        <f>IF(ABS(SUM(S140,S152,S164) - 1) &lt; 10^-check_decimals,0,1)</f>
        <v>0</v>
      </c>
      <c r="U196" s="165"/>
    </row>
    <row r="197" spans="5:21" x14ac:dyDescent="0.25">
      <c r="F197" s="145" t="s">
        <v>44</v>
      </c>
      <c r="G197" s="167" t="s">
        <v>814</v>
      </c>
      <c r="H197" s="178"/>
      <c r="I197" s="338"/>
      <c r="J197" s="338"/>
      <c r="K197" s="338"/>
      <c r="L197" s="149"/>
      <c r="M197" s="149"/>
      <c r="N197" s="149"/>
      <c r="O197" s="149"/>
      <c r="P197" s="149"/>
      <c r="Q197" s="149"/>
      <c r="R197" s="149"/>
      <c r="S197" s="149"/>
      <c r="U197" s="165"/>
    </row>
    <row r="198" spans="5:21" x14ac:dyDescent="0.25">
      <c r="F198" s="145" t="s">
        <v>45</v>
      </c>
      <c r="G198" s="167" t="s">
        <v>814</v>
      </c>
      <c r="H198" s="178"/>
      <c r="I198" s="338"/>
      <c r="J198" s="338"/>
      <c r="K198" s="338"/>
      <c r="L198" s="149"/>
      <c r="M198" s="149"/>
      <c r="N198" s="149"/>
      <c r="O198" s="149"/>
      <c r="P198" s="149"/>
      <c r="Q198" s="149"/>
      <c r="R198" s="149"/>
      <c r="S198" s="149"/>
      <c r="U198" s="165"/>
    </row>
    <row r="199" spans="5:21" x14ac:dyDescent="0.25">
      <c r="F199" s="145" t="s">
        <v>46</v>
      </c>
      <c r="G199" s="167" t="s">
        <v>814</v>
      </c>
      <c r="H199" s="316">
        <f t="shared" si="39"/>
        <v>0</v>
      </c>
      <c r="I199" s="167"/>
      <c r="J199" s="121"/>
      <c r="K199" s="121"/>
      <c r="L199" s="178"/>
      <c r="M199" s="178"/>
      <c r="N199" s="178"/>
      <c r="O199" s="316">
        <f t="shared" ref="O199:S200" si="40">IF(ABS(SUM(O143,O155,O167) - 1) &lt; 10^-check_decimals,0,1)</f>
        <v>0</v>
      </c>
      <c r="P199" s="316">
        <f t="shared" si="40"/>
        <v>0</v>
      </c>
      <c r="Q199" s="316">
        <f t="shared" si="40"/>
        <v>0</v>
      </c>
      <c r="R199" s="316">
        <f t="shared" si="40"/>
        <v>0</v>
      </c>
      <c r="S199" s="316">
        <f t="shared" si="40"/>
        <v>0</v>
      </c>
      <c r="U199" s="165"/>
    </row>
    <row r="200" spans="5:21" x14ac:dyDescent="0.25">
      <c r="F200" s="145" t="s">
        <v>47</v>
      </c>
      <c r="G200" s="167" t="s">
        <v>814</v>
      </c>
      <c r="H200" s="316">
        <f t="shared" si="39"/>
        <v>0</v>
      </c>
      <c r="I200" s="167"/>
      <c r="J200" s="121"/>
      <c r="K200" s="121"/>
      <c r="L200" s="178"/>
      <c r="M200" s="178"/>
      <c r="N200" s="178"/>
      <c r="O200" s="316">
        <f t="shared" si="40"/>
        <v>0</v>
      </c>
      <c r="P200" s="316">
        <f t="shared" si="40"/>
        <v>0</v>
      </c>
      <c r="Q200" s="316">
        <f t="shared" si="40"/>
        <v>0</v>
      </c>
      <c r="R200" s="316">
        <f t="shared" si="40"/>
        <v>0</v>
      </c>
      <c r="S200" s="316">
        <f t="shared" si="40"/>
        <v>0</v>
      </c>
      <c r="U200" s="165"/>
    </row>
    <row r="201" spans="5:21" x14ac:dyDescent="0.25">
      <c r="F201" s="160" t="s">
        <v>51</v>
      </c>
      <c r="G201" s="339" t="s">
        <v>814</v>
      </c>
      <c r="H201" s="178"/>
      <c r="L201" s="149"/>
      <c r="M201" s="149"/>
      <c r="N201" s="149"/>
      <c r="O201" s="149"/>
      <c r="P201" s="149"/>
      <c r="Q201" s="149"/>
      <c r="R201" s="149"/>
      <c r="S201" s="149"/>
      <c r="U201" s="165"/>
    </row>
    <row r="202" spans="5:21" x14ac:dyDescent="0.25">
      <c r="F202" s="145" t="s">
        <v>48</v>
      </c>
      <c r="G202" s="167" t="s">
        <v>814</v>
      </c>
      <c r="H202" s="316">
        <f t="shared" si="39"/>
        <v>0</v>
      </c>
      <c r="I202" s="167"/>
      <c r="J202" s="121"/>
      <c r="K202" s="121"/>
      <c r="L202" s="178"/>
      <c r="M202" s="178"/>
      <c r="N202" s="178"/>
      <c r="O202" s="316">
        <f t="shared" ref="O202:S204" si="41">IF(ABS(SUM(O146,O158,O170) - 1) &lt; 10^-check_decimals,0,1)</f>
        <v>0</v>
      </c>
      <c r="P202" s="316">
        <f t="shared" si="41"/>
        <v>0</v>
      </c>
      <c r="Q202" s="316">
        <f t="shared" si="41"/>
        <v>0</v>
      </c>
      <c r="R202" s="316">
        <f t="shared" si="41"/>
        <v>0</v>
      </c>
      <c r="S202" s="316">
        <f t="shared" si="41"/>
        <v>0</v>
      </c>
      <c r="U202" s="165"/>
    </row>
    <row r="203" spans="5:21" x14ac:dyDescent="0.25">
      <c r="F203" s="145" t="s">
        <v>49</v>
      </c>
      <c r="G203" s="167" t="s">
        <v>814</v>
      </c>
      <c r="H203" s="316">
        <f t="shared" si="39"/>
        <v>0</v>
      </c>
      <c r="I203" s="167"/>
      <c r="J203" s="121"/>
      <c r="K203" s="121"/>
      <c r="L203" s="178"/>
      <c r="M203" s="178"/>
      <c r="N203" s="178"/>
      <c r="O203" s="316">
        <f t="shared" si="41"/>
        <v>0</v>
      </c>
      <c r="P203" s="316">
        <f t="shared" si="41"/>
        <v>0</v>
      </c>
      <c r="Q203" s="316">
        <f t="shared" si="41"/>
        <v>0</v>
      </c>
      <c r="R203" s="316">
        <f t="shared" si="41"/>
        <v>0</v>
      </c>
      <c r="S203" s="316">
        <f t="shared" si="41"/>
        <v>0</v>
      </c>
      <c r="U203" s="165"/>
    </row>
    <row r="204" spans="5:21" x14ac:dyDescent="0.25">
      <c r="F204" s="38" t="s">
        <v>50</v>
      </c>
      <c r="G204" s="168" t="s">
        <v>814</v>
      </c>
      <c r="H204" s="318">
        <f>SUM(L204:S204)</f>
        <v>0</v>
      </c>
      <c r="I204" s="168"/>
      <c r="J204" s="262"/>
      <c r="K204" s="262"/>
      <c r="L204" s="179"/>
      <c r="M204" s="179"/>
      <c r="N204" s="179"/>
      <c r="O204" s="318">
        <f t="shared" si="41"/>
        <v>0</v>
      </c>
      <c r="P204" s="318">
        <f t="shared" si="41"/>
        <v>0</v>
      </c>
      <c r="Q204" s="318">
        <f t="shared" si="41"/>
        <v>0</v>
      </c>
      <c r="R204" s="318">
        <f t="shared" si="41"/>
        <v>0</v>
      </c>
      <c r="S204" s="318">
        <f t="shared" si="41"/>
        <v>0</v>
      </c>
      <c r="U204" s="165"/>
    </row>
    <row r="205" spans="5:21" x14ac:dyDescent="0.25">
      <c r="M205" s="474"/>
      <c r="N205" s="474"/>
    </row>
    <row r="206" spans="5:21" s="338" customFormat="1" x14ac:dyDescent="0.25">
      <c r="E206" s="172" t="s">
        <v>853</v>
      </c>
      <c r="H206" s="200"/>
      <c r="J206" s="200"/>
      <c r="K206" s="200"/>
      <c r="L206" s="200"/>
      <c r="M206" s="200"/>
      <c r="N206" s="200"/>
      <c r="O206" s="200"/>
      <c r="P206" s="200"/>
      <c r="Q206" s="200"/>
      <c r="R206" s="200"/>
      <c r="S206" s="200"/>
    </row>
    <row r="207" spans="5:21" s="338" customFormat="1" x14ac:dyDescent="0.25">
      <c r="F207" s="40" t="s">
        <v>397</v>
      </c>
      <c r="G207" s="166" t="s">
        <v>814</v>
      </c>
      <c r="H207" s="288"/>
      <c r="I207" s="166"/>
      <c r="J207" s="201"/>
      <c r="K207" s="201"/>
      <c r="L207" s="374"/>
      <c r="M207" s="374"/>
      <c r="N207" s="374"/>
      <c r="O207" s="288"/>
      <c r="P207" s="288"/>
      <c r="Q207" s="288"/>
      <c r="R207" s="288"/>
      <c r="S207" s="288"/>
      <c r="U207" s="165"/>
    </row>
    <row r="208" spans="5:21" s="338" customFormat="1" x14ac:dyDescent="0.25">
      <c r="F208" s="145" t="s">
        <v>43</v>
      </c>
      <c r="G208" s="339" t="s">
        <v>814</v>
      </c>
      <c r="H208" s="178"/>
      <c r="L208" s="149"/>
      <c r="M208" s="149"/>
      <c r="N208" s="149"/>
      <c r="O208" s="149"/>
      <c r="P208" s="149"/>
      <c r="Q208" s="149"/>
      <c r="R208" s="149"/>
      <c r="S208" s="149"/>
      <c r="U208" s="165"/>
    </row>
    <row r="209" spans="2:27" s="338" customFormat="1" x14ac:dyDescent="0.25">
      <c r="F209" s="145" t="s">
        <v>44</v>
      </c>
      <c r="G209" s="339" t="s">
        <v>814</v>
      </c>
      <c r="H209" s="316">
        <f>SUM(L209:S209)</f>
        <v>0</v>
      </c>
      <c r="I209" s="339"/>
      <c r="J209" s="121"/>
      <c r="K209" s="121"/>
      <c r="L209" s="178"/>
      <c r="M209" s="178"/>
      <c r="N209" s="178"/>
      <c r="O209" s="316">
        <f t="shared" ref="O209:S210" si="42">IF(OR(ABS(SUM(O141,O153,O165) - 1) &lt; 10^-check_decimals, ABS(SUM(O141,O153,O165) - 0) &lt; 10^-check_decimals),0,1)</f>
        <v>0</v>
      </c>
      <c r="P209" s="316">
        <f t="shared" si="42"/>
        <v>0</v>
      </c>
      <c r="Q209" s="316">
        <f t="shared" si="42"/>
        <v>0</v>
      </c>
      <c r="R209" s="316">
        <f t="shared" si="42"/>
        <v>0</v>
      </c>
      <c r="S209" s="316">
        <f t="shared" si="42"/>
        <v>0</v>
      </c>
      <c r="U209" s="165"/>
    </row>
    <row r="210" spans="2:27" s="338" customFormat="1" x14ac:dyDescent="0.25">
      <c r="F210" s="145" t="s">
        <v>45</v>
      </c>
      <c r="G210" s="339" t="s">
        <v>814</v>
      </c>
      <c r="H210" s="316">
        <f>SUM(L210:S210)</f>
        <v>0</v>
      </c>
      <c r="I210" s="339"/>
      <c r="J210" s="121"/>
      <c r="K210" s="121"/>
      <c r="L210" s="178"/>
      <c r="M210" s="178"/>
      <c r="N210" s="178"/>
      <c r="O210" s="316">
        <f t="shared" si="42"/>
        <v>0</v>
      </c>
      <c r="P210" s="316">
        <f t="shared" si="42"/>
        <v>0</v>
      </c>
      <c r="Q210" s="316">
        <f t="shared" si="42"/>
        <v>0</v>
      </c>
      <c r="R210" s="316">
        <f t="shared" si="42"/>
        <v>0</v>
      </c>
      <c r="S210" s="316">
        <f t="shared" si="42"/>
        <v>0</v>
      </c>
      <c r="U210" s="165"/>
    </row>
    <row r="211" spans="2:27" s="338" customFormat="1" x14ac:dyDescent="0.25">
      <c r="F211" s="145" t="s">
        <v>46</v>
      </c>
      <c r="G211" s="339" t="s">
        <v>814</v>
      </c>
      <c r="H211" s="178"/>
      <c r="L211" s="149"/>
      <c r="M211" s="149"/>
      <c r="N211" s="149"/>
      <c r="O211" s="149"/>
      <c r="P211" s="149"/>
      <c r="Q211" s="149"/>
      <c r="R211" s="149"/>
      <c r="S211" s="149"/>
      <c r="U211" s="165"/>
    </row>
    <row r="212" spans="2:27" s="338" customFormat="1" x14ac:dyDescent="0.25">
      <c r="F212" s="145" t="s">
        <v>47</v>
      </c>
      <c r="G212" s="339" t="s">
        <v>814</v>
      </c>
      <c r="H212" s="178"/>
      <c r="L212" s="149"/>
      <c r="M212" s="149"/>
      <c r="N212" s="149"/>
      <c r="O212" s="149"/>
      <c r="P212" s="149"/>
      <c r="Q212" s="149"/>
      <c r="R212" s="149"/>
      <c r="S212" s="149"/>
      <c r="U212" s="165"/>
    </row>
    <row r="213" spans="2:27" s="338" customFormat="1" x14ac:dyDescent="0.25">
      <c r="F213" s="145" t="s">
        <v>51</v>
      </c>
      <c r="G213" s="339" t="s">
        <v>814</v>
      </c>
      <c r="H213" s="316">
        <f>SUM(L213:S213)</f>
        <v>0</v>
      </c>
      <c r="I213" s="339"/>
      <c r="J213" s="121"/>
      <c r="K213" s="121"/>
      <c r="L213" s="178"/>
      <c r="M213" s="178"/>
      <c r="N213" s="178"/>
      <c r="O213" s="316">
        <f>IF(OR(ABS(SUM(O145,O157,O169) - 1) &lt; 10^-check_decimals, ABS(SUM(O145,O157,O169) - 0) &lt; 10^-check_decimals),0,1)</f>
        <v>0</v>
      </c>
      <c r="P213" s="316">
        <f>IF(OR(ABS(SUM(P145,P157,P169) - 1) &lt; 10^-check_decimals, ABS(SUM(P145,P157,P169) - 0) &lt; 10^-check_decimals),0,1)</f>
        <v>0</v>
      </c>
      <c r="Q213" s="316">
        <f>IF(OR(ABS(SUM(Q145,Q157,Q169) - 1) &lt; 10^-check_decimals, ABS(SUM(Q145,Q157,Q169) - 0) &lt; 10^-check_decimals),0,1)</f>
        <v>0</v>
      </c>
      <c r="R213" s="316">
        <f>IF(OR(ABS(SUM(R145,R157,R169) - 1) &lt; 10^-check_decimals, ABS(SUM(R145,R157,R169) - 0) &lt; 10^-check_decimals),0,1)</f>
        <v>0</v>
      </c>
      <c r="S213" s="316">
        <f>IF(OR(ABS(SUM(S145,S157,S169) - 1) &lt; 10^-check_decimals, ABS(SUM(S145,S157,S169) - 0) &lt; 10^-check_decimals),0,1)</f>
        <v>0</v>
      </c>
      <c r="U213" s="165"/>
    </row>
    <row r="214" spans="2:27" s="338" customFormat="1" x14ac:dyDescent="0.25">
      <c r="F214" s="145" t="s">
        <v>48</v>
      </c>
      <c r="G214" s="339" t="s">
        <v>814</v>
      </c>
      <c r="H214" s="178"/>
      <c r="L214" s="149"/>
      <c r="M214" s="149"/>
      <c r="N214" s="149"/>
      <c r="O214" s="149"/>
      <c r="P214" s="149"/>
      <c r="Q214" s="149"/>
      <c r="R214" s="149"/>
      <c r="S214" s="149"/>
      <c r="U214" s="165"/>
    </row>
    <row r="215" spans="2:27" s="338" customFormat="1" x14ac:dyDescent="0.25">
      <c r="F215" s="145" t="s">
        <v>49</v>
      </c>
      <c r="G215" s="339" t="s">
        <v>814</v>
      </c>
      <c r="H215" s="178"/>
      <c r="L215" s="149"/>
      <c r="M215" s="149"/>
      <c r="N215" s="149"/>
      <c r="O215" s="149"/>
      <c r="P215" s="149"/>
      <c r="Q215" s="149"/>
      <c r="R215" s="149"/>
      <c r="S215" s="149"/>
      <c r="U215" s="165"/>
    </row>
    <row r="216" spans="2:27" s="338" customFormat="1" x14ac:dyDescent="0.25">
      <c r="F216" s="38" t="s">
        <v>50</v>
      </c>
      <c r="G216" s="168" t="s">
        <v>814</v>
      </c>
      <c r="H216" s="179"/>
      <c r="I216" s="168"/>
      <c r="J216" s="168"/>
      <c r="K216" s="168"/>
      <c r="L216" s="179"/>
      <c r="M216" s="179"/>
      <c r="N216" s="179"/>
      <c r="O216" s="179"/>
      <c r="P216" s="179"/>
      <c r="Q216" s="179"/>
      <c r="R216" s="179"/>
      <c r="S216" s="179"/>
      <c r="U216" s="165"/>
    </row>
    <row r="217" spans="2:27" s="338" customFormat="1" x14ac:dyDescent="0.25"/>
    <row r="218" spans="2:27" x14ac:dyDescent="0.25">
      <c r="E218" s="160" t="s">
        <v>546</v>
      </c>
      <c r="G218" s="111" t="s">
        <v>814</v>
      </c>
      <c r="H218" s="362">
        <f>SUM(H190,H192,H195:H204,H207:H216)</f>
        <v>0</v>
      </c>
      <c r="J218" s="200"/>
      <c r="K218" s="200"/>
      <c r="L218" s="200"/>
      <c r="M218" s="200"/>
      <c r="N218" s="200"/>
      <c r="O218" s="200"/>
      <c r="P218" s="200"/>
      <c r="Q218" s="200"/>
      <c r="R218" s="200"/>
      <c r="S218" s="200"/>
    </row>
    <row r="219" spans="2:27" x14ac:dyDescent="0.25">
      <c r="H219" s="200"/>
      <c r="J219" s="200"/>
      <c r="K219" s="200"/>
      <c r="L219" s="200"/>
      <c r="M219" s="200"/>
      <c r="N219" s="200"/>
      <c r="O219" s="200"/>
      <c r="P219" s="200"/>
      <c r="Q219" s="200"/>
      <c r="R219" s="200"/>
      <c r="S219" s="200"/>
    </row>
    <row r="220" spans="2:27" x14ac:dyDescent="0.25">
      <c r="B220" s="171" t="s">
        <v>127</v>
      </c>
      <c r="C220" s="171"/>
      <c r="D220" s="171"/>
      <c r="E220" s="171"/>
      <c r="F220" s="171"/>
      <c r="G220" s="171"/>
      <c r="H220" s="171"/>
      <c r="I220" s="171"/>
      <c r="J220" s="171"/>
      <c r="K220" s="171"/>
      <c r="L220" s="171"/>
      <c r="M220" s="171"/>
      <c r="N220" s="171"/>
      <c r="O220" s="171"/>
      <c r="P220" s="171"/>
      <c r="Q220" s="171"/>
      <c r="R220" s="171"/>
      <c r="S220" s="171"/>
      <c r="T220" s="171"/>
      <c r="U220" s="171"/>
      <c r="W220" s="171"/>
      <c r="X220" s="171"/>
      <c r="Y220" s="171"/>
      <c r="Z220" s="171"/>
      <c r="AA220" s="171"/>
    </row>
    <row r="223" spans="2:27" x14ac:dyDescent="0.25">
      <c r="K223" s="164"/>
      <c r="L223" s="164"/>
      <c r="M223" s="164"/>
      <c r="O223" s="164"/>
      <c r="P223" s="164"/>
      <c r="Q223" s="164"/>
      <c r="R223" s="164"/>
    </row>
    <row r="224" spans="2:27" x14ac:dyDescent="0.25">
      <c r="K224" s="164"/>
      <c r="L224" s="164"/>
      <c r="M224" s="164"/>
      <c r="O224" s="164"/>
      <c r="P224" s="164"/>
      <c r="Q224" s="164"/>
      <c r="R224" s="164"/>
    </row>
    <row r="225" spans="11:18" x14ac:dyDescent="0.25">
      <c r="K225" s="164"/>
      <c r="L225" s="164"/>
      <c r="M225" s="164"/>
      <c r="O225" s="164"/>
      <c r="P225" s="164"/>
      <c r="Q225" s="164"/>
      <c r="R225" s="164"/>
    </row>
    <row r="226" spans="11:18" x14ac:dyDescent="0.25">
      <c r="K226" s="164"/>
      <c r="L226" s="164"/>
      <c r="M226" s="164"/>
      <c r="O226" s="164"/>
      <c r="P226" s="164"/>
      <c r="Q226" s="164"/>
      <c r="R226" s="164"/>
    </row>
    <row r="227" spans="11:18" x14ac:dyDescent="0.25">
      <c r="K227" s="164"/>
      <c r="L227" s="164"/>
      <c r="M227" s="164"/>
      <c r="O227" s="164"/>
      <c r="P227" s="164"/>
      <c r="Q227" s="164"/>
      <c r="R227" s="164"/>
    </row>
    <row r="228" spans="11:18" x14ac:dyDescent="0.25">
      <c r="K228" s="164"/>
      <c r="L228" s="164"/>
      <c r="M228" s="164"/>
      <c r="O228" s="164"/>
      <c r="P228" s="164"/>
      <c r="Q228" s="164"/>
      <c r="R228" s="164"/>
    </row>
    <row r="229" spans="11:18" x14ac:dyDescent="0.25">
      <c r="K229" s="164"/>
      <c r="L229" s="164"/>
      <c r="M229" s="164"/>
      <c r="O229" s="164"/>
      <c r="P229" s="164"/>
      <c r="Q229" s="164"/>
      <c r="R229" s="164"/>
    </row>
    <row r="230" spans="11:18" x14ac:dyDescent="0.25">
      <c r="K230" s="164"/>
      <c r="L230" s="164"/>
      <c r="M230" s="164"/>
      <c r="O230" s="164"/>
      <c r="P230" s="164"/>
      <c r="Q230" s="164"/>
      <c r="R230" s="164"/>
    </row>
    <row r="231" spans="11:18" x14ac:dyDescent="0.25">
      <c r="K231" s="164"/>
      <c r="L231" s="164"/>
      <c r="M231" s="164"/>
      <c r="O231" s="164"/>
      <c r="P231" s="164"/>
      <c r="Q231" s="164"/>
      <c r="R231" s="164"/>
    </row>
  </sheetData>
  <sheetProtection sheet="1" objects="1" formatCells="0" formatColumns="0" formatRows="0" sort="0" autoFilter="0"/>
  <conditionalFormatting sqref="H190 H213 H196 H199:H204 L196:S196 L202:S204 L213:S213 L199:S200">
    <cfRule type="cellIs" dxfId="119" priority="23" operator="greaterThan">
      <formula>0</formula>
    </cfRule>
  </conditionalFormatting>
  <conditionalFormatting sqref="H209">
    <cfRule type="cellIs" dxfId="118" priority="17" operator="greaterThan">
      <formula>0</formula>
    </cfRule>
  </conditionalFormatting>
  <conditionalFormatting sqref="H208">
    <cfRule type="cellIs" dxfId="117" priority="16" operator="greaterThan">
      <formula>0</formula>
    </cfRule>
  </conditionalFormatting>
  <conditionalFormatting sqref="H210">
    <cfRule type="cellIs" dxfId="116" priority="15" operator="greaterThan">
      <formula>0</formula>
    </cfRule>
  </conditionalFormatting>
  <conditionalFormatting sqref="H211">
    <cfRule type="cellIs" dxfId="115" priority="14" operator="greaterThan">
      <formula>0</formula>
    </cfRule>
  </conditionalFormatting>
  <conditionalFormatting sqref="H212">
    <cfRule type="cellIs" dxfId="114" priority="13" operator="greaterThan">
      <formula>0</formula>
    </cfRule>
  </conditionalFormatting>
  <conditionalFormatting sqref="H214">
    <cfRule type="cellIs" dxfId="113" priority="12" operator="greaterThan">
      <formula>0</formula>
    </cfRule>
  </conditionalFormatting>
  <conditionalFormatting sqref="H215">
    <cfRule type="cellIs" dxfId="112" priority="11" operator="greaterThan">
      <formula>0</formula>
    </cfRule>
  </conditionalFormatting>
  <conditionalFormatting sqref="H216">
    <cfRule type="cellIs" dxfId="111" priority="10" operator="greaterThan">
      <formula>0</formula>
    </cfRule>
  </conditionalFormatting>
  <conditionalFormatting sqref="L210:S210">
    <cfRule type="cellIs" dxfId="110" priority="9" operator="greaterThan">
      <formula>0</formula>
    </cfRule>
  </conditionalFormatting>
  <conditionalFormatting sqref="L209:S209">
    <cfRule type="cellIs" dxfId="109" priority="8" operator="greaterThan">
      <formula>0</formula>
    </cfRule>
  </conditionalFormatting>
  <conditionalFormatting sqref="H197">
    <cfRule type="cellIs" dxfId="108" priority="7" operator="greaterThan">
      <formula>0</formula>
    </cfRule>
  </conditionalFormatting>
  <conditionalFormatting sqref="H198">
    <cfRule type="cellIs" dxfId="107" priority="6" operator="greaterThan">
      <formula>0</formula>
    </cfRule>
  </conditionalFormatting>
  <conditionalFormatting sqref="L192:S192">
    <cfRule type="cellIs" dxfId="106" priority="3" operator="greaterThan">
      <formula>0</formula>
    </cfRule>
  </conditionalFormatting>
  <conditionalFormatting sqref="H192">
    <cfRule type="cellIs" dxfId="105" priority="4" operator="greaterThan">
      <formula>0</formula>
    </cfRule>
  </conditionalFormatting>
  <conditionalFormatting sqref="A4:XFD4">
    <cfRule type="expression" dxfId="104" priority="2">
      <formula>LEFT($A$4,1) &lt;&gt; "0"</formula>
    </cfRule>
  </conditionalFormatting>
  <conditionalFormatting sqref="H218">
    <cfRule type="cellIs" dxfId="103" priority="1" operator="greaterThan">
      <formula>0</formula>
    </cfRule>
  </conditionalFormatting>
  <dataValidations count="2">
    <dataValidation type="decimal" operator="greaterThan" allowBlank="1" showInputMessage="1" showErrorMessage="1" sqref="L48:S48">
      <formula1>0</formula1>
    </dataValidation>
    <dataValidation type="decimal" allowBlank="1" showInputMessage="1" showErrorMessage="1" errorTitle="Invalid diversity allowance" error="Invalid diversity allowance (negative number or unused cell)." sqref="I32 L27:S28 L81:S82 J22 J24:J25 J27:J28 L19:S19 L22:S22 L24:S25 L123:S124 L171:S172 J175 L159:S160 L156:S157 L154:S154 J163 L128:S129 L163:S163 L87:S88 J87:J88 L126:S126 J33:J35 L37:S42 J37:J42 L33:S35 L50:S50 J53 L47:S47 L79:S79 L52:S53 J19 L69:S70 L131:S132 L147:S148 L84:S85 L175:S175 L64:S64 L66:S67 J47 L109:S110 J151 L151:S151 L61:S61 L76:S77 J76:J77 L103:S104 J109:J110 J123:J124 L144:S145 L142:S142 L55:S56 J139 L139:S139 L101:S101 L106:S107 L178:S178 L92:S93 L90:S90 L95:S96 L98:S99 J98:J99 L112:S112 J106:J107 L168:S169 L166:S166 L183:S184 L180:S181 L114:S114">
      <formula1>0</formula1>
      <formula2>4</formula2>
    </dataValidation>
  </dataValidations>
  <hyperlinks>
    <hyperlink ref="B6:F6" location="'Model map'!A1" display="Click here to return to model map"/>
  </hyperlinks>
  <pageMargins left="0.7" right="0.7" top="0.75" bottom="0.75" header="0.3" footer="0.3"/>
  <pageSetup paperSize="9" fitToHeight="0" orientation="portrait" r:id="rId1"/>
  <headerFooter>
    <oddHeader>&amp;L&amp;A&amp;C&amp;R&amp;P of &amp;N</oddHeader>
    <oddFooter>&amp;F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>
    <tabColor theme="5" tint="0.59999389629810485"/>
    <pageSetUpPr fitToPage="1"/>
  </sheetPr>
  <dimension ref="A1:JL124"/>
  <sheetViews>
    <sheetView showGridLines="0" zoomScale="80" zoomScaleNormal="80" workbookViewId="0">
      <pane xSplit="9" ySplit="6" topLeftCell="J7" activePane="bottomRight" state="frozen"/>
      <selection activeCell="N50" sqref="N50"/>
      <selection pane="topRight" activeCell="N50" sqref="N50"/>
      <selection pane="bottomLeft" activeCell="N50" sqref="N50"/>
      <selection pane="bottomRight" activeCell="J12" sqref="J12"/>
    </sheetView>
  </sheetViews>
  <sheetFormatPr defaultColWidth="0" defaultRowHeight="15" x14ac:dyDescent="0.25"/>
  <cols>
    <col min="1" max="5" width="2.7109375" style="160" customWidth="1"/>
    <col min="6" max="6" width="59.5703125" style="160" customWidth="1"/>
    <col min="7" max="8" width="20.7109375" style="160" customWidth="1"/>
    <col min="9" max="9" width="2.28515625" style="160" customWidth="1"/>
    <col min="10" max="10" width="20.7109375" style="160" bestFit="1" customWidth="1"/>
    <col min="11" max="11" width="2.28515625" style="160" customWidth="1"/>
    <col min="12" max="12" width="15.5703125" style="160" bestFit="1" customWidth="1"/>
    <col min="13" max="15" width="14.85546875" style="160" bestFit="1" customWidth="1"/>
    <col min="16" max="17" width="15.5703125" style="160" bestFit="1" customWidth="1"/>
    <col min="18" max="18" width="14.85546875" style="160" bestFit="1" customWidth="1"/>
    <col min="19" max="19" width="15.5703125" style="160" bestFit="1" customWidth="1"/>
    <col min="20" max="20" width="2.28515625" style="160" customWidth="1"/>
    <col min="21" max="21" width="50.7109375" style="160" customWidth="1"/>
    <col min="22" max="22" width="2.28515625" style="160" customWidth="1"/>
    <col min="23" max="272" width="20.7109375" style="160" hidden="1" customWidth="1"/>
    <col min="273" max="16384" width="9.140625" style="160" hidden="1"/>
  </cols>
  <sheetData>
    <row r="1" spans="1:97" s="25" customFormat="1" x14ac:dyDescent="0.25">
      <c r="A1" s="25" t="str">
        <f ca="1">MID(CELL("filename",A1),FIND("]",CELL("filename",A1))+1,255)</f>
        <v>ARP_General inputs</v>
      </c>
    </row>
    <row r="2" spans="1:97" s="25" customFormat="1" x14ac:dyDescent="0.25">
      <c r="A2" s="25" t="str">
        <f>Cover!D21&amp;" - "&amp;Cover!D23</f>
        <v>SEPD - Final</v>
      </c>
    </row>
    <row r="3" spans="1:97" s="97" customFormat="1" x14ac:dyDescent="0.25">
      <c r="A3" s="97" t="str">
        <f>Cover!D2&amp;" - "&amp;Cover!D8&amp;" v"&amp;Cover!D10&amp;" - "&amp;Cover!D19</f>
        <v>ARP model - Release for charge setting v3 - 2020/21</v>
      </c>
    </row>
    <row r="4" spans="1:97" s="338" customFormat="1" x14ac:dyDescent="0.25">
      <c r="A4" s="392" t="str">
        <f>H122 &amp; IF(H122 = 1, " issue", " issues") &amp;" identified in checks on this sheet"</f>
        <v>0 issues identified in checks on this sheet</v>
      </c>
      <c r="B4" s="393"/>
      <c r="C4" s="393"/>
      <c r="D4" s="393"/>
      <c r="E4" s="393"/>
      <c r="F4" s="393"/>
      <c r="G4" s="393"/>
      <c r="H4" s="394"/>
      <c r="I4" s="394"/>
      <c r="J4" s="393"/>
      <c r="K4" s="383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3"/>
      <c r="AD4" s="383"/>
      <c r="AE4" s="383"/>
      <c r="AF4" s="383"/>
      <c r="AG4" s="383"/>
      <c r="AH4" s="383"/>
      <c r="AI4" s="383"/>
      <c r="AJ4" s="383"/>
      <c r="AK4" s="383"/>
      <c r="AL4" s="383"/>
      <c r="AM4" s="383"/>
      <c r="AN4" s="383"/>
      <c r="AO4" s="383"/>
      <c r="AP4" s="383"/>
      <c r="AQ4" s="383"/>
      <c r="AR4" s="383"/>
      <c r="AS4" s="383"/>
      <c r="AT4" s="383"/>
      <c r="AU4" s="383"/>
      <c r="AV4" s="383"/>
      <c r="AW4" s="383"/>
      <c r="AX4" s="383"/>
      <c r="AY4" s="383"/>
      <c r="AZ4" s="383"/>
      <c r="BA4" s="383"/>
      <c r="BB4" s="383"/>
      <c r="BC4" s="383"/>
      <c r="BD4" s="383"/>
      <c r="BE4" s="383"/>
      <c r="BF4" s="383"/>
      <c r="BG4" s="383"/>
      <c r="BH4" s="383"/>
      <c r="BI4" s="383"/>
      <c r="BJ4" s="383"/>
      <c r="BK4" s="383"/>
      <c r="BL4" s="383"/>
      <c r="BM4" s="383"/>
      <c r="BN4" s="383"/>
      <c r="BO4" s="383"/>
      <c r="BP4" s="383"/>
      <c r="BQ4" s="383"/>
      <c r="BR4" s="383"/>
      <c r="BS4" s="383"/>
      <c r="BT4" s="383"/>
      <c r="BU4" s="383"/>
      <c r="BV4" s="383"/>
      <c r="BW4" s="383"/>
      <c r="BX4" s="383"/>
      <c r="BY4" s="383"/>
      <c r="BZ4" s="383"/>
      <c r="CA4" s="383"/>
      <c r="CB4" s="383"/>
      <c r="CC4" s="383"/>
      <c r="CD4" s="383"/>
      <c r="CE4" s="383"/>
      <c r="CF4" s="383"/>
      <c r="CG4" s="383"/>
      <c r="CH4" s="383"/>
      <c r="CI4" s="383"/>
      <c r="CJ4" s="383"/>
      <c r="CK4" s="383"/>
      <c r="CL4" s="383"/>
      <c r="CM4" s="383"/>
      <c r="CN4" s="383"/>
      <c r="CO4" s="383"/>
      <c r="CP4" s="383"/>
      <c r="CQ4" s="383"/>
      <c r="CR4" s="383"/>
      <c r="CS4" s="383"/>
    </row>
    <row r="5" spans="1:97" ht="30" x14ac:dyDescent="0.25">
      <c r="B5" s="244"/>
      <c r="C5" s="24"/>
      <c r="D5" s="24"/>
      <c r="E5" s="24"/>
      <c r="F5" s="24"/>
      <c r="G5" s="235"/>
      <c r="H5" s="76"/>
      <c r="J5" s="264" t="str">
        <f>"Year selected ("&amp; charging_year_selected &amp;")"</f>
        <v>Year selected (2020/21)</v>
      </c>
      <c r="L5" s="76" t="str">
        <f t="array" ref="L5:S6">TRANSPOSE('ARP_User control'!G28:H35)</f>
        <v>2017/18</v>
      </c>
      <c r="M5" s="76" t="str">
        <v>2018/19</v>
      </c>
      <c r="N5" s="76" t="str">
        <v>2019/20</v>
      </c>
      <c r="O5" s="76" t="str">
        <v>2020/21</v>
      </c>
      <c r="P5" s="76" t="str">
        <v>2021/22</v>
      </c>
      <c r="Q5" s="76" t="str">
        <v>2022/23</v>
      </c>
      <c r="R5" s="76" t="str">
        <v>2023/24</v>
      </c>
      <c r="S5" s="76" t="str">
        <v>2024/25</v>
      </c>
      <c r="U5" s="76"/>
    </row>
    <row r="6" spans="1:97" x14ac:dyDescent="0.25">
      <c r="B6" s="244" t="s">
        <v>667</v>
      </c>
      <c r="C6" s="24"/>
      <c r="D6" s="24"/>
      <c r="E6" s="24"/>
      <c r="F6" s="24"/>
      <c r="G6" s="1" t="s">
        <v>108</v>
      </c>
      <c r="H6" s="2" t="s">
        <v>109</v>
      </c>
      <c r="J6" s="266" t="str">
        <f>'ARP_User control'!$H$36</f>
        <v>Current</v>
      </c>
      <c r="L6" s="76" t="str">
        <v>Historic</v>
      </c>
      <c r="M6" s="76" t="str">
        <v>Historic</v>
      </c>
      <c r="N6" s="76" t="str">
        <v>Historic</v>
      </c>
      <c r="O6" s="76" t="str">
        <v>Current</v>
      </c>
      <c r="P6" s="76" t="str">
        <v>Forecast</v>
      </c>
      <c r="Q6" s="76" t="str">
        <v>Forecast</v>
      </c>
      <c r="R6" s="76" t="str">
        <v>Forecast</v>
      </c>
      <c r="S6" s="76" t="str">
        <v>Forecast</v>
      </c>
      <c r="U6" s="235" t="s">
        <v>110</v>
      </c>
    </row>
    <row r="8" spans="1:97" x14ac:dyDescent="0.25">
      <c r="B8" s="171" t="s">
        <v>107</v>
      </c>
      <c r="C8" s="171"/>
      <c r="D8" s="171"/>
      <c r="E8" s="171"/>
      <c r="F8" s="171"/>
      <c r="G8" s="236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</row>
    <row r="9" spans="1:97" x14ac:dyDescent="0.25">
      <c r="G9" s="194"/>
    </row>
    <row r="10" spans="1:97" x14ac:dyDescent="0.25">
      <c r="C10" s="152" t="s">
        <v>938</v>
      </c>
      <c r="G10" s="194"/>
    </row>
    <row r="11" spans="1:97" s="474" customFormat="1" x14ac:dyDescent="0.25">
      <c r="C11" s="152" t="s">
        <v>936</v>
      </c>
      <c r="G11" s="194"/>
    </row>
    <row r="12" spans="1:97" s="474" customFormat="1" x14ac:dyDescent="0.25">
      <c r="C12" s="152" t="s">
        <v>1050</v>
      </c>
      <c r="G12" s="194"/>
    </row>
    <row r="13" spans="1:97" x14ac:dyDescent="0.25">
      <c r="G13" s="194"/>
    </row>
    <row r="14" spans="1:97" x14ac:dyDescent="0.25">
      <c r="B14" s="171" t="s">
        <v>776</v>
      </c>
      <c r="C14" s="171"/>
      <c r="D14" s="171"/>
      <c r="E14" s="171"/>
      <c r="F14" s="171"/>
      <c r="G14" s="236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U14" s="171"/>
    </row>
    <row r="15" spans="1:97" x14ac:dyDescent="0.25">
      <c r="G15" s="194"/>
    </row>
    <row r="16" spans="1:97" s="338" customFormat="1" x14ac:dyDescent="0.25">
      <c r="C16" s="22" t="str">
        <f ca="1">INDEX('Version control'!$H$34:$H$59,MATCH($A$1,'Version control'!$F$34:$F$59,0),1)&amp;"-A: Split of hours by distribution timeband"</f>
        <v>Input 503-A: Split of hours by distribution timeband</v>
      </c>
      <c r="D16" s="22"/>
      <c r="E16" s="22"/>
      <c r="F16" s="22"/>
      <c r="G16" s="297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</row>
    <row r="17" spans="3:21" s="338" customFormat="1" x14ac:dyDescent="0.25">
      <c r="G17" s="194"/>
    </row>
    <row r="18" spans="3:21" x14ac:dyDescent="0.25">
      <c r="D18" s="172"/>
      <c r="E18" s="172" t="s">
        <v>334</v>
      </c>
      <c r="F18" s="172"/>
      <c r="G18" s="194"/>
      <c r="H18" s="238"/>
      <c r="I18" s="160" t="s">
        <v>525</v>
      </c>
      <c r="U18" s="160" t="s">
        <v>1084</v>
      </c>
    </row>
    <row r="19" spans="3:21" x14ac:dyDescent="0.25">
      <c r="E19" s="338"/>
      <c r="F19" s="230" t="s">
        <v>104</v>
      </c>
      <c r="G19" s="237" t="s">
        <v>722</v>
      </c>
      <c r="H19" s="237"/>
      <c r="I19" s="237"/>
      <c r="J19" s="418">
        <f>CHOOSE(year_selection, L19,M19,N19,O19,P19,Q19,R19,S19)</f>
        <v>255</v>
      </c>
      <c r="K19" s="419"/>
      <c r="L19" s="525">
        <v>258</v>
      </c>
      <c r="M19" s="525">
        <v>258</v>
      </c>
      <c r="N19" s="525">
        <v>258</v>
      </c>
      <c r="O19" s="525">
        <v>255</v>
      </c>
      <c r="P19" s="525">
        <v>258</v>
      </c>
      <c r="Q19" s="525">
        <v>258</v>
      </c>
      <c r="R19" s="525">
        <v>261</v>
      </c>
      <c r="S19" s="525">
        <v>258</v>
      </c>
      <c r="T19" s="167"/>
      <c r="U19" s="167"/>
    </row>
    <row r="20" spans="3:21" x14ac:dyDescent="0.25">
      <c r="E20" s="338"/>
      <c r="F20" s="227" t="s">
        <v>105</v>
      </c>
      <c r="G20" s="238" t="s">
        <v>722</v>
      </c>
      <c r="H20" s="238"/>
      <c r="I20" s="238"/>
      <c r="J20" s="420">
        <f>CHOOSE(year_selection, L20,M20,N20,O20,P20,Q20,R20,S20)</f>
        <v>4908</v>
      </c>
      <c r="K20" s="421"/>
      <c r="L20" s="526">
        <v>4902</v>
      </c>
      <c r="M20" s="526">
        <v>4902</v>
      </c>
      <c r="N20" s="526">
        <v>4920</v>
      </c>
      <c r="O20" s="526">
        <v>4908</v>
      </c>
      <c r="P20" s="526">
        <v>4905</v>
      </c>
      <c r="Q20" s="526">
        <v>4905</v>
      </c>
      <c r="R20" s="526">
        <v>4911</v>
      </c>
      <c r="S20" s="526">
        <v>4905</v>
      </c>
      <c r="T20" s="167"/>
      <c r="U20" s="167"/>
    </row>
    <row r="21" spans="3:21" x14ac:dyDescent="0.25">
      <c r="E21" s="338"/>
      <c r="F21" s="228" t="s">
        <v>103</v>
      </c>
      <c r="G21" s="239" t="s">
        <v>722</v>
      </c>
      <c r="H21" s="239"/>
      <c r="I21" s="239"/>
      <c r="J21" s="422">
        <f>CHOOSE(year_selection, L21,M21,N21,O21,P21,Q21,R21,S21)</f>
        <v>3597</v>
      </c>
      <c r="K21" s="423"/>
      <c r="L21" s="527">
        <v>3600</v>
      </c>
      <c r="M21" s="527">
        <v>3600</v>
      </c>
      <c r="N21" s="527">
        <v>3606</v>
      </c>
      <c r="O21" s="527">
        <v>3597</v>
      </c>
      <c r="P21" s="527">
        <v>3597</v>
      </c>
      <c r="Q21" s="527">
        <v>3597</v>
      </c>
      <c r="R21" s="527">
        <v>3612</v>
      </c>
      <c r="S21" s="527">
        <v>3597</v>
      </c>
      <c r="T21" s="167"/>
      <c r="U21" s="167"/>
    </row>
    <row r="22" spans="3:21" x14ac:dyDescent="0.25">
      <c r="E22" s="338"/>
      <c r="F22" s="338"/>
      <c r="G22" s="194"/>
      <c r="H22" s="194"/>
      <c r="I22" s="194"/>
      <c r="J22" s="424"/>
      <c r="K22" s="425"/>
      <c r="L22" s="425"/>
      <c r="M22" s="425"/>
      <c r="N22" s="425"/>
      <c r="O22" s="425"/>
      <c r="P22" s="425"/>
      <c r="Q22" s="425"/>
      <c r="R22" s="425"/>
      <c r="S22" s="425"/>
    </row>
    <row r="23" spans="3:21" x14ac:dyDescent="0.25">
      <c r="D23" s="172"/>
      <c r="E23" s="172" t="s">
        <v>335</v>
      </c>
      <c r="F23" s="172"/>
      <c r="G23" s="194"/>
      <c r="H23" s="194"/>
      <c r="I23" s="160" t="s">
        <v>525</v>
      </c>
      <c r="J23" s="424"/>
      <c r="K23" s="425"/>
      <c r="L23" s="425"/>
      <c r="M23" s="425"/>
      <c r="N23" s="425"/>
      <c r="O23" s="425"/>
      <c r="P23" s="425"/>
      <c r="Q23" s="425"/>
      <c r="R23" s="425"/>
      <c r="S23" s="425"/>
      <c r="U23" s="160" t="s">
        <v>1084</v>
      </c>
    </row>
    <row r="24" spans="3:21" x14ac:dyDescent="0.25">
      <c r="E24" s="338"/>
      <c r="F24" s="166" t="s">
        <v>101</v>
      </c>
      <c r="G24" s="237" t="s">
        <v>722</v>
      </c>
      <c r="H24" s="237"/>
      <c r="I24" s="237"/>
      <c r="J24" s="418">
        <f>CHOOSE(year_selection, L24,M24,N24,O24,P24,Q24,R24,S24)</f>
        <v>783</v>
      </c>
      <c r="K24" s="419"/>
      <c r="L24" s="525">
        <v>780</v>
      </c>
      <c r="M24" s="525">
        <v>780</v>
      </c>
      <c r="N24" s="525">
        <v>786</v>
      </c>
      <c r="O24" s="525">
        <v>783</v>
      </c>
      <c r="P24" s="525">
        <v>783</v>
      </c>
      <c r="Q24" s="525">
        <v>783</v>
      </c>
      <c r="R24" s="525">
        <v>780</v>
      </c>
      <c r="S24" s="525">
        <v>783</v>
      </c>
    </row>
    <row r="25" spans="3:21" x14ac:dyDescent="0.25">
      <c r="E25" s="338"/>
      <c r="F25" s="339" t="s">
        <v>102</v>
      </c>
      <c r="G25" s="238" t="s">
        <v>722</v>
      </c>
      <c r="H25" s="238"/>
      <c r="I25" s="238"/>
      <c r="J25" s="420">
        <f>CHOOSE(year_selection, L25,M25,N25,O25,P25,Q25,R25,S25)</f>
        <v>4380</v>
      </c>
      <c r="K25" s="421"/>
      <c r="L25" s="526">
        <v>4380</v>
      </c>
      <c r="M25" s="526">
        <v>4380</v>
      </c>
      <c r="N25" s="526">
        <v>4392</v>
      </c>
      <c r="O25" s="526">
        <v>4380</v>
      </c>
      <c r="P25" s="526">
        <v>4380</v>
      </c>
      <c r="Q25" s="526">
        <v>4380</v>
      </c>
      <c r="R25" s="526">
        <v>4392</v>
      </c>
      <c r="S25" s="526">
        <v>4380</v>
      </c>
    </row>
    <row r="26" spans="3:21" x14ac:dyDescent="0.25">
      <c r="E26" s="338"/>
      <c r="F26" s="168" t="s">
        <v>103</v>
      </c>
      <c r="G26" s="239" t="s">
        <v>722</v>
      </c>
      <c r="H26" s="239"/>
      <c r="I26" s="239"/>
      <c r="J26" s="422">
        <f>CHOOSE(year_selection, L26,M26,N26,O26,P26,Q26,R26,S26)</f>
        <v>3597</v>
      </c>
      <c r="K26" s="423"/>
      <c r="L26" s="527">
        <v>3600</v>
      </c>
      <c r="M26" s="527">
        <v>3600</v>
      </c>
      <c r="N26" s="527">
        <v>3606</v>
      </c>
      <c r="O26" s="527">
        <v>3597</v>
      </c>
      <c r="P26" s="527">
        <v>3597</v>
      </c>
      <c r="Q26" s="527">
        <v>3597</v>
      </c>
      <c r="R26" s="527">
        <v>3612</v>
      </c>
      <c r="S26" s="527">
        <v>3597</v>
      </c>
    </row>
    <row r="27" spans="3:21" x14ac:dyDescent="0.25">
      <c r="E27" s="338"/>
      <c r="F27" s="338"/>
      <c r="G27" s="194"/>
      <c r="H27" s="194"/>
      <c r="I27" s="194"/>
      <c r="J27" s="268"/>
      <c r="K27" s="194"/>
      <c r="L27" s="194"/>
      <c r="M27" s="194"/>
      <c r="N27" s="194"/>
      <c r="O27" s="194"/>
      <c r="P27" s="194"/>
      <c r="Q27" s="194"/>
      <c r="R27" s="194"/>
      <c r="S27" s="194"/>
    </row>
    <row r="28" spans="3:21" s="338" customFormat="1" x14ac:dyDescent="0.25">
      <c r="C28" s="22" t="str">
        <f ca="1">INDEX('Version control'!$H$34:$H$59,MATCH($A$1,'Version control'!$F$34:$F$59,0),1)&amp;"-B: Embedded network (LDNO) discount percentages"</f>
        <v>Input 503-B: Embedded network (LDNO) discount percentages</v>
      </c>
      <c r="D28" s="22"/>
      <c r="E28" s="22"/>
      <c r="F28" s="22"/>
      <c r="G28" s="297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</row>
    <row r="29" spans="3:21" s="338" customFormat="1" x14ac:dyDescent="0.25">
      <c r="G29" s="194"/>
    </row>
    <row r="30" spans="3:21" s="474" customFormat="1" x14ac:dyDescent="0.25">
      <c r="D30" s="152" t="s">
        <v>325</v>
      </c>
      <c r="G30" s="194"/>
    </row>
    <row r="31" spans="3:21" s="474" customFormat="1" x14ac:dyDescent="0.25">
      <c r="G31" s="194"/>
    </row>
    <row r="32" spans="3:21" x14ac:dyDescent="0.25">
      <c r="D32" s="172"/>
      <c r="E32" s="172" t="s">
        <v>326</v>
      </c>
      <c r="F32" s="172"/>
      <c r="G32" s="194"/>
      <c r="H32" s="194"/>
      <c r="I32" s="160" t="s">
        <v>525</v>
      </c>
      <c r="J32" s="268"/>
      <c r="K32" s="194"/>
      <c r="L32" s="194"/>
      <c r="M32" s="194"/>
      <c r="N32" s="194"/>
      <c r="O32" s="194"/>
      <c r="P32" s="194"/>
      <c r="Q32" s="194"/>
      <c r="R32" s="194"/>
      <c r="S32" s="194"/>
      <c r="U32" s="160" t="s">
        <v>941</v>
      </c>
    </row>
    <row r="33" spans="3:38" x14ac:dyDescent="0.25">
      <c r="E33" s="338"/>
      <c r="F33" s="230" t="s">
        <v>78</v>
      </c>
      <c r="G33" s="85" t="s">
        <v>111</v>
      </c>
      <c r="H33" s="85"/>
      <c r="I33" s="85"/>
      <c r="J33" s="309">
        <f>CHOOSE(year_selection, L33,M33,N33,O33,P33,Q33,R33,S33)</f>
        <v>0.34755258472512618</v>
      </c>
      <c r="K33" s="85"/>
      <c r="L33" s="511">
        <v>0.33720491551997361</v>
      </c>
      <c r="M33" s="511">
        <v>0.34129736635687891</v>
      </c>
      <c r="N33" s="511">
        <v>0.34413212367779378</v>
      </c>
      <c r="O33" s="511">
        <v>0.34755258472512618</v>
      </c>
      <c r="P33" s="511">
        <f>O33</f>
        <v>0.34755258472512618</v>
      </c>
      <c r="Q33" s="511">
        <f t="shared" ref="Q33:S33" si="0">P33</f>
        <v>0.34755258472512618</v>
      </c>
      <c r="R33" s="511">
        <f t="shared" si="0"/>
        <v>0.34755258472512618</v>
      </c>
      <c r="S33" s="511">
        <f t="shared" si="0"/>
        <v>0.34755258472512618</v>
      </c>
      <c r="U33" s="338"/>
    </row>
    <row r="34" spans="3:38" x14ac:dyDescent="0.25">
      <c r="E34" s="338"/>
      <c r="F34" s="227" t="s">
        <v>79</v>
      </c>
      <c r="G34" s="84" t="s">
        <v>111</v>
      </c>
      <c r="H34" s="84"/>
      <c r="I34" s="84"/>
      <c r="J34" s="41">
        <f>CHOOSE(year_selection, L34,M34,N34,O34,P34,Q34,R34,S34)</f>
        <v>0.56592745965042113</v>
      </c>
      <c r="K34" s="84"/>
      <c r="L34" s="512">
        <v>0.58468066649266159</v>
      </c>
      <c r="M34" s="512">
        <v>0.57730725733974175</v>
      </c>
      <c r="N34" s="512">
        <v>0.57354492826399339</v>
      </c>
      <c r="O34" s="512">
        <v>0.56592745965042113</v>
      </c>
      <c r="P34" s="512">
        <f t="shared" ref="P34:S36" si="1">O34</f>
        <v>0.56592745965042113</v>
      </c>
      <c r="Q34" s="512">
        <f t="shared" si="1"/>
        <v>0.56592745965042113</v>
      </c>
      <c r="R34" s="512">
        <f t="shared" si="1"/>
        <v>0.56592745965042113</v>
      </c>
      <c r="S34" s="512">
        <f t="shared" si="1"/>
        <v>0.56592745965042113</v>
      </c>
      <c r="W34" s="160" t="s">
        <v>89</v>
      </c>
      <c r="X34" s="160" t="s">
        <v>90</v>
      </c>
      <c r="Y34" s="160" t="s">
        <v>62</v>
      </c>
      <c r="Z34" s="160" t="s">
        <v>63</v>
      </c>
      <c r="AA34" s="160" t="s">
        <v>64</v>
      </c>
      <c r="AB34" s="160" t="s">
        <v>65</v>
      </c>
      <c r="AC34" s="160" t="s">
        <v>66</v>
      </c>
      <c r="AD34" s="160" t="s">
        <v>67</v>
      </c>
      <c r="AE34" s="160" t="s">
        <v>68</v>
      </c>
      <c r="AF34" s="160" t="s">
        <v>69</v>
      </c>
      <c r="AG34" s="160" t="s">
        <v>70</v>
      </c>
      <c r="AH34" s="160" t="s">
        <v>71</v>
      </c>
      <c r="AI34" s="160" t="s">
        <v>74</v>
      </c>
      <c r="AJ34" s="160" t="s">
        <v>75</v>
      </c>
      <c r="AK34" s="160" t="s">
        <v>76</v>
      </c>
      <c r="AL34" s="160" t="s">
        <v>77</v>
      </c>
    </row>
    <row r="35" spans="3:38" x14ac:dyDescent="0.25">
      <c r="E35" s="338"/>
      <c r="F35" s="227" t="s">
        <v>80</v>
      </c>
      <c r="G35" s="84" t="s">
        <v>111</v>
      </c>
      <c r="H35" s="84"/>
      <c r="I35" s="84"/>
      <c r="J35" s="41">
        <f>CHOOSE(year_selection, L35,M35,N35,O35,P35,Q35,R35,S35)</f>
        <v>0.30780783362179165</v>
      </c>
      <c r="K35" s="84"/>
      <c r="L35" s="512">
        <v>0.34117656221098086</v>
      </c>
      <c r="M35" s="512">
        <v>0.32964926776151604</v>
      </c>
      <c r="N35" s="512">
        <v>0.32378448731551202</v>
      </c>
      <c r="O35" s="512">
        <v>0.30780783362179165</v>
      </c>
      <c r="P35" s="512">
        <f t="shared" si="1"/>
        <v>0.30780783362179165</v>
      </c>
      <c r="Q35" s="512">
        <f t="shared" si="1"/>
        <v>0.30780783362179165</v>
      </c>
      <c r="R35" s="512">
        <f t="shared" si="1"/>
        <v>0.30780783362179165</v>
      </c>
      <c r="S35" s="512">
        <f t="shared" si="1"/>
        <v>0.30780783362179165</v>
      </c>
    </row>
    <row r="36" spans="3:38" x14ac:dyDescent="0.25">
      <c r="E36" s="338"/>
      <c r="F36" s="228" t="s">
        <v>81</v>
      </c>
      <c r="G36" s="77" t="s">
        <v>111</v>
      </c>
      <c r="H36" s="77"/>
      <c r="I36" s="77"/>
      <c r="J36" s="42">
        <f>CHOOSE(year_selection, L36,M36,N36,O36,P36,Q36,R36,S36)</f>
        <v>0.20760110839034102</v>
      </c>
      <c r="K36" s="77"/>
      <c r="L36" s="513">
        <v>0.24568264879360457</v>
      </c>
      <c r="M36" s="513">
        <v>0.23253172743387224</v>
      </c>
      <c r="N36" s="513">
        <v>0.22586827213406449</v>
      </c>
      <c r="O36" s="513">
        <v>0.20760110839034102</v>
      </c>
      <c r="P36" s="513">
        <f t="shared" si="1"/>
        <v>0.20760110839034102</v>
      </c>
      <c r="Q36" s="513">
        <f t="shared" si="1"/>
        <v>0.20760110839034102</v>
      </c>
      <c r="R36" s="513">
        <f t="shared" si="1"/>
        <v>0.20760110839034102</v>
      </c>
      <c r="S36" s="513">
        <f t="shared" si="1"/>
        <v>0.20760110839034102</v>
      </c>
    </row>
    <row r="37" spans="3:38" x14ac:dyDescent="0.25">
      <c r="E37" s="338"/>
      <c r="F37" s="338"/>
      <c r="G37" s="194"/>
      <c r="H37" s="194"/>
      <c r="I37" s="194"/>
      <c r="J37" s="268"/>
      <c r="K37" s="194"/>
      <c r="L37" s="194"/>
      <c r="M37" s="194"/>
      <c r="N37" s="194"/>
      <c r="O37" s="194"/>
      <c r="P37" s="194"/>
      <c r="Q37" s="194"/>
      <c r="R37" s="194"/>
      <c r="S37" s="194"/>
    </row>
    <row r="38" spans="3:38" s="338" customFormat="1" x14ac:dyDescent="0.25">
      <c r="C38" s="22" t="str">
        <f ca="1">INDEX('Version control'!$H$34:$H$59,MATCH($A$1,'Version control'!$F$34:$F$59,0),1)&amp;"-C: CDCM target revenue"</f>
        <v>Input 503-C: CDCM target revenue</v>
      </c>
      <c r="D38" s="22"/>
      <c r="E38" s="22"/>
      <c r="F38" s="22"/>
      <c r="G38" s="297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</row>
    <row r="39" spans="3:38" s="338" customFormat="1" x14ac:dyDescent="0.25">
      <c r="G39" s="194"/>
    </row>
    <row r="40" spans="3:38" s="338" customFormat="1" x14ac:dyDescent="0.25">
      <c r="D40" s="152" t="s">
        <v>1052</v>
      </c>
      <c r="F40" s="152"/>
      <c r="G40" s="194"/>
      <c r="H40" s="194"/>
      <c r="I40" s="160" t="s">
        <v>525</v>
      </c>
      <c r="J40" s="269"/>
      <c r="T40" s="160"/>
      <c r="U40" s="338" t="s">
        <v>942</v>
      </c>
    </row>
    <row r="41" spans="3:38" s="338" customFormat="1" x14ac:dyDescent="0.25">
      <c r="D41" s="152" t="s">
        <v>1051</v>
      </c>
      <c r="F41" s="152"/>
      <c r="G41" s="194"/>
      <c r="H41" s="194"/>
      <c r="I41" s="194"/>
      <c r="J41" s="268"/>
      <c r="K41" s="194"/>
      <c r="L41" s="194"/>
      <c r="M41" s="194"/>
      <c r="N41" s="194"/>
      <c r="O41" s="194"/>
      <c r="P41" s="194"/>
      <c r="Q41" s="194"/>
      <c r="R41" s="194"/>
      <c r="S41" s="194"/>
    </row>
    <row r="42" spans="3:38" s="474" customFormat="1" x14ac:dyDescent="0.25">
      <c r="D42" s="152"/>
      <c r="E42" s="152"/>
      <c r="F42" s="152"/>
      <c r="G42" s="194"/>
      <c r="H42" s="194"/>
      <c r="I42" s="194"/>
      <c r="J42" s="268"/>
      <c r="K42" s="194"/>
      <c r="L42" s="194"/>
      <c r="M42" s="194"/>
      <c r="N42" s="194"/>
      <c r="O42" s="194"/>
      <c r="P42" s="194"/>
      <c r="Q42" s="194"/>
      <c r="R42" s="194"/>
      <c r="S42" s="194"/>
    </row>
    <row r="43" spans="3:38" x14ac:dyDescent="0.25">
      <c r="E43" s="339" t="s">
        <v>0</v>
      </c>
      <c r="F43" s="339"/>
      <c r="G43" s="167" t="s">
        <v>124</v>
      </c>
      <c r="H43" s="167"/>
      <c r="I43" s="167"/>
      <c r="J43" s="420">
        <f t="shared" ref="J43:J48" si="2">CHOOSE(year_selection, L43,M43,N43,O43,P43,Q43,R43,S43)</f>
        <v>473700000</v>
      </c>
      <c r="K43" s="426"/>
      <c r="L43" s="526">
        <v>473700000</v>
      </c>
      <c r="M43" s="526">
        <v>473700000</v>
      </c>
      <c r="N43" s="526">
        <v>473700000</v>
      </c>
      <c r="O43" s="526">
        <v>473700000</v>
      </c>
      <c r="P43" s="526">
        <v>473700000</v>
      </c>
      <c r="Q43" s="526">
        <v>473700000</v>
      </c>
      <c r="R43" s="526">
        <v>489332099.99999994</v>
      </c>
      <c r="S43" s="526">
        <v>489332099.99999994</v>
      </c>
    </row>
    <row r="44" spans="3:38" x14ac:dyDescent="0.25">
      <c r="E44" s="339" t="s">
        <v>1</v>
      </c>
      <c r="F44" s="339"/>
      <c r="G44" s="167" t="s">
        <v>124</v>
      </c>
      <c r="H44" s="167"/>
      <c r="I44" s="167"/>
      <c r="J44" s="420">
        <f t="shared" si="2"/>
        <v>-31735237.138100199</v>
      </c>
      <c r="K44" s="426"/>
      <c r="L44" s="526">
        <v>-13800000</v>
      </c>
      <c r="M44" s="526">
        <v>-19500000</v>
      </c>
      <c r="N44" s="526">
        <v>-19020389.5444002</v>
      </c>
      <c r="O44" s="526">
        <v>-31735237.138100199</v>
      </c>
      <c r="P44" s="526">
        <v>-28300000</v>
      </c>
      <c r="Q44" s="526">
        <v>-32799999.999999996</v>
      </c>
      <c r="R44" s="526">
        <v>0</v>
      </c>
      <c r="S44" s="526">
        <v>0</v>
      </c>
    </row>
    <row r="45" spans="3:38" x14ac:dyDescent="0.25">
      <c r="E45" s="339" t="s">
        <v>2</v>
      </c>
      <c r="F45" s="339"/>
      <c r="G45" s="167" t="s">
        <v>124</v>
      </c>
      <c r="H45" s="167"/>
      <c r="I45" s="167"/>
      <c r="J45" s="420">
        <f t="shared" si="2"/>
        <v>955378.12380455702</v>
      </c>
      <c r="K45" s="426"/>
      <c r="L45" s="526">
        <v>-10420231.609115101</v>
      </c>
      <c r="M45" s="526">
        <v>-1830203.06105368</v>
      </c>
      <c r="N45" s="526">
        <v>1149487.8827091299</v>
      </c>
      <c r="O45" s="526">
        <v>955378.12380455702</v>
      </c>
      <c r="P45" s="526">
        <v>0</v>
      </c>
      <c r="Q45" s="526">
        <v>0</v>
      </c>
      <c r="R45" s="526">
        <v>0</v>
      </c>
      <c r="S45" s="526">
        <v>0</v>
      </c>
    </row>
    <row r="46" spans="3:38" x14ac:dyDescent="0.25">
      <c r="E46" s="168" t="s">
        <v>3</v>
      </c>
      <c r="F46" s="168"/>
      <c r="G46" s="168" t="s">
        <v>636</v>
      </c>
      <c r="H46" s="168"/>
      <c r="I46" s="168"/>
      <c r="J46" s="422">
        <f t="shared" si="2"/>
        <v>1.236</v>
      </c>
      <c r="K46" s="427"/>
      <c r="L46" s="527">
        <v>1.121</v>
      </c>
      <c r="M46" s="527">
        <v>1.159</v>
      </c>
      <c r="N46" s="527">
        <v>1.198</v>
      </c>
      <c r="O46" s="527">
        <v>1.236</v>
      </c>
      <c r="P46" s="527">
        <v>1.2769999999999999</v>
      </c>
      <c r="Q46" s="527">
        <v>1.319</v>
      </c>
      <c r="R46" s="527">
        <v>1.3620000000000001</v>
      </c>
      <c r="S46" s="527">
        <v>1.407</v>
      </c>
    </row>
    <row r="47" spans="3:38" x14ac:dyDescent="0.25">
      <c r="E47" s="339" t="s">
        <v>4</v>
      </c>
      <c r="F47" s="339"/>
      <c r="G47" s="167" t="s">
        <v>124</v>
      </c>
      <c r="H47" s="167"/>
      <c r="I47" s="167"/>
      <c r="J47" s="420">
        <f t="shared" si="2"/>
        <v>442920140.98570436</v>
      </c>
      <c r="K47" s="426"/>
      <c r="L47" s="428">
        <f>SUM(L43:L45)</f>
        <v>449479768.39088488</v>
      </c>
      <c r="M47" s="428">
        <f t="shared" ref="M47:S47" si="3">SUM(M43:M45)</f>
        <v>452369796.93894631</v>
      </c>
      <c r="N47" s="428">
        <f t="shared" si="3"/>
        <v>455829098.33830893</v>
      </c>
      <c r="O47" s="428">
        <f t="shared" si="3"/>
        <v>442920140.98570436</v>
      </c>
      <c r="P47" s="428">
        <f t="shared" si="3"/>
        <v>445400000</v>
      </c>
      <c r="Q47" s="428">
        <f t="shared" si="3"/>
        <v>440900000</v>
      </c>
      <c r="R47" s="428">
        <f t="shared" si="3"/>
        <v>489332099.99999994</v>
      </c>
      <c r="S47" s="428">
        <f t="shared" si="3"/>
        <v>489332099.99999994</v>
      </c>
    </row>
    <row r="48" spans="3:38" x14ac:dyDescent="0.25">
      <c r="E48" s="151" t="s">
        <v>648</v>
      </c>
      <c r="F48" s="151"/>
      <c r="G48" s="167" t="s">
        <v>124</v>
      </c>
      <c r="H48" s="167"/>
      <c r="I48" s="167"/>
      <c r="J48" s="420">
        <f t="shared" si="2"/>
        <v>104529153.27262622</v>
      </c>
      <c r="K48" s="426"/>
      <c r="L48" s="428">
        <f>L47 * (L46 - 1)</f>
        <v>54387051.975297071</v>
      </c>
      <c r="M48" s="428">
        <f t="shared" ref="M48:S48" si="4">M47 * (M46 - 1)</f>
        <v>71926797.71329248</v>
      </c>
      <c r="N48" s="428">
        <f t="shared" si="4"/>
        <v>90254161.470985144</v>
      </c>
      <c r="O48" s="428">
        <f t="shared" si="4"/>
        <v>104529153.27262622</v>
      </c>
      <c r="P48" s="428">
        <f t="shared" si="4"/>
        <v>123375799.99999996</v>
      </c>
      <c r="Q48" s="428">
        <f t="shared" si="4"/>
        <v>140647099.99999997</v>
      </c>
      <c r="R48" s="428">
        <f t="shared" si="4"/>
        <v>177138220.20000002</v>
      </c>
      <c r="S48" s="428">
        <f t="shared" si="4"/>
        <v>199158164.69999999</v>
      </c>
    </row>
    <row r="49" spans="5:19" x14ac:dyDescent="0.25">
      <c r="E49" s="339"/>
      <c r="F49" s="339"/>
      <c r="G49" s="167"/>
      <c r="H49" s="167"/>
      <c r="I49" s="167"/>
      <c r="J49" s="429"/>
      <c r="K49" s="426"/>
      <c r="L49" s="426"/>
      <c r="M49" s="426"/>
      <c r="N49" s="426"/>
      <c r="O49" s="426"/>
      <c r="P49" s="426"/>
      <c r="Q49" s="426"/>
      <c r="R49" s="426"/>
      <c r="S49" s="426"/>
    </row>
    <row r="50" spans="5:19" x14ac:dyDescent="0.25">
      <c r="E50" s="339" t="s">
        <v>5</v>
      </c>
      <c r="F50" s="339"/>
      <c r="G50" s="167" t="s">
        <v>124</v>
      </c>
      <c r="H50" s="167"/>
      <c r="I50" s="167"/>
      <c r="J50" s="420">
        <f t="shared" ref="J50:J57" si="5">CHOOSE(year_selection, L50,M50,N50,O50,P50,Q50,R50,S50)</f>
        <v>276817.17249233002</v>
      </c>
      <c r="K50" s="426"/>
      <c r="L50" s="526">
        <v>272399.17505398497</v>
      </c>
      <c r="M50" s="526">
        <v>-84073.983542263508</v>
      </c>
      <c r="N50" s="526">
        <v>378642.31837502198</v>
      </c>
      <c r="O50" s="526">
        <v>276817.17249233002</v>
      </c>
      <c r="P50" s="526">
        <v>276817.17249233002</v>
      </c>
      <c r="Q50" s="526">
        <v>276817.17249233002</v>
      </c>
      <c r="R50" s="526">
        <v>276817.17249233002</v>
      </c>
      <c r="S50" s="526">
        <v>276817.17249233002</v>
      </c>
    </row>
    <row r="51" spans="5:19" x14ac:dyDescent="0.25">
      <c r="E51" s="339" t="s">
        <v>6</v>
      </c>
      <c r="F51" s="339"/>
      <c r="G51" s="167" t="s">
        <v>124</v>
      </c>
      <c r="H51" s="167"/>
      <c r="I51" s="167"/>
      <c r="J51" s="420">
        <f t="shared" si="5"/>
        <v>-6723916.0171625894</v>
      </c>
      <c r="K51" s="426"/>
      <c r="L51" s="526">
        <v>659094.14965475304</v>
      </c>
      <c r="M51" s="526">
        <v>33970.2514345858</v>
      </c>
      <c r="N51" s="526">
        <v>-4317511.2083991403</v>
      </c>
      <c r="O51" s="526">
        <v>-6723916.0171625894</v>
      </c>
      <c r="P51" s="526">
        <v>-9455662.3956086989</v>
      </c>
      <c r="Q51" s="526">
        <v>-9968115.5491336994</v>
      </c>
      <c r="R51" s="526">
        <v>-9968115.5491336994</v>
      </c>
      <c r="S51" s="526">
        <v>-9968115.5491336994</v>
      </c>
    </row>
    <row r="52" spans="5:19" x14ac:dyDescent="0.25">
      <c r="E52" s="339" t="s">
        <v>7</v>
      </c>
      <c r="F52" s="339"/>
      <c r="G52" s="167" t="s">
        <v>124</v>
      </c>
      <c r="H52" s="167"/>
      <c r="I52" s="167"/>
      <c r="J52" s="420">
        <f t="shared" si="5"/>
        <v>-94685.833755678599</v>
      </c>
      <c r="K52" s="426"/>
      <c r="L52" s="526">
        <v>1666497.35762981</v>
      </c>
      <c r="M52" s="526">
        <v>812920.38135087898</v>
      </c>
      <c r="N52" s="526">
        <v>-198281.55766378398</v>
      </c>
      <c r="O52" s="526">
        <v>-94685.833755678599</v>
      </c>
      <c r="P52" s="526">
        <v>-94685.833755678599</v>
      </c>
      <c r="Q52" s="526">
        <v>-94685.833755678599</v>
      </c>
      <c r="R52" s="526">
        <v>-94685.833755678599</v>
      </c>
      <c r="S52" s="526">
        <v>-94685.833755678599</v>
      </c>
    </row>
    <row r="53" spans="5:19" x14ac:dyDescent="0.25">
      <c r="E53" s="339" t="s">
        <v>8</v>
      </c>
      <c r="F53" s="339"/>
      <c r="G53" s="167" t="s">
        <v>124</v>
      </c>
      <c r="H53" s="167"/>
      <c r="I53" s="167"/>
      <c r="J53" s="420">
        <f t="shared" si="5"/>
        <v>2416581.22153879</v>
      </c>
      <c r="K53" s="426"/>
      <c r="L53" s="526">
        <v>220409.96763438301</v>
      </c>
      <c r="M53" s="526">
        <v>1257828.6354008398</v>
      </c>
      <c r="N53" s="526">
        <v>1305788.7559664301</v>
      </c>
      <c r="O53" s="526">
        <v>2416581.22153879</v>
      </c>
      <c r="P53" s="526">
        <v>2416581.22153879</v>
      </c>
      <c r="Q53" s="526">
        <v>2416581.22153879</v>
      </c>
      <c r="R53" s="526">
        <v>2416581.22153879</v>
      </c>
      <c r="S53" s="526">
        <v>2416581.22153879</v>
      </c>
    </row>
    <row r="54" spans="5:19" x14ac:dyDescent="0.25">
      <c r="E54" s="339" t="s">
        <v>9</v>
      </c>
      <c r="F54" s="339"/>
      <c r="G54" s="167" t="s">
        <v>124</v>
      </c>
      <c r="H54" s="167"/>
      <c r="I54" s="167"/>
      <c r="J54" s="420">
        <f t="shared" si="5"/>
        <v>625914.59382382198</v>
      </c>
      <c r="K54" s="426"/>
      <c r="L54" s="526">
        <v>1647388.51758375</v>
      </c>
      <c r="M54" s="526">
        <v>4919470.8947177101</v>
      </c>
      <c r="N54" s="526">
        <v>2349840.8014198099</v>
      </c>
      <c r="O54" s="526">
        <v>625914.59382382198</v>
      </c>
      <c r="P54" s="526">
        <v>625914.59382382198</v>
      </c>
      <c r="Q54" s="526">
        <v>625914.59382382198</v>
      </c>
      <c r="R54" s="526">
        <v>625914.59382382198</v>
      </c>
      <c r="S54" s="526">
        <v>625914.59382382198</v>
      </c>
    </row>
    <row r="55" spans="5:19" x14ac:dyDescent="0.25">
      <c r="E55" s="339" t="s">
        <v>10</v>
      </c>
      <c r="F55" s="339"/>
      <c r="G55" s="167" t="s">
        <v>124</v>
      </c>
      <c r="H55" s="167"/>
      <c r="I55" s="167"/>
      <c r="J55" s="420">
        <f t="shared" si="5"/>
        <v>-132172.57486865998</v>
      </c>
      <c r="K55" s="426"/>
      <c r="L55" s="526">
        <v>-120584.30304497499</v>
      </c>
      <c r="M55" s="526">
        <v>-124468.841196195</v>
      </c>
      <c r="N55" s="526">
        <v>-128390.98771045501</v>
      </c>
      <c r="O55" s="526">
        <v>-132172.57486865998</v>
      </c>
      <c r="P55" s="526">
        <v>-132172.57486865998</v>
      </c>
      <c r="Q55" s="526">
        <v>-132172.57486865998</v>
      </c>
      <c r="R55" s="526">
        <v>-132172.57486865998</v>
      </c>
      <c r="S55" s="526">
        <v>-132172.57486865998</v>
      </c>
    </row>
    <row r="56" spans="5:19" x14ac:dyDescent="0.25">
      <c r="E56" s="168" t="s">
        <v>11</v>
      </c>
      <c r="F56" s="168"/>
      <c r="G56" s="168" t="s">
        <v>124</v>
      </c>
      <c r="H56" s="168"/>
      <c r="I56" s="168"/>
      <c r="J56" s="422">
        <f t="shared" si="5"/>
        <v>0</v>
      </c>
      <c r="K56" s="427"/>
      <c r="L56" s="527">
        <v>0</v>
      </c>
      <c r="M56" s="527">
        <v>0</v>
      </c>
      <c r="N56" s="527">
        <v>0</v>
      </c>
      <c r="O56" s="527">
        <v>0</v>
      </c>
      <c r="P56" s="527">
        <v>0</v>
      </c>
      <c r="Q56" s="527">
        <v>0</v>
      </c>
      <c r="R56" s="527">
        <v>0</v>
      </c>
      <c r="S56" s="527">
        <v>0</v>
      </c>
    </row>
    <row r="57" spans="5:19" x14ac:dyDescent="0.25">
      <c r="E57" s="339" t="s">
        <v>12</v>
      </c>
      <c r="F57" s="339"/>
      <c r="G57" s="167" t="s">
        <v>124</v>
      </c>
      <c r="H57" s="167"/>
      <c r="I57" s="167"/>
      <c r="J57" s="420">
        <f t="shared" si="5"/>
        <v>-3631461.4379319861</v>
      </c>
      <c r="K57" s="426"/>
      <c r="L57" s="487">
        <f>SUM(L50:L56)</f>
        <v>4345204.8645117059</v>
      </c>
      <c r="M57" s="487">
        <f t="shared" ref="M57:S57" si="6">SUM(M50:M56)</f>
        <v>6815647.3381655561</v>
      </c>
      <c r="N57" s="487">
        <f t="shared" si="6"/>
        <v>-609911.878012117</v>
      </c>
      <c r="O57" s="487">
        <f t="shared" si="6"/>
        <v>-3631461.4379319861</v>
      </c>
      <c r="P57" s="487">
        <f t="shared" si="6"/>
        <v>-6363207.8163780961</v>
      </c>
      <c r="Q57" s="487">
        <f t="shared" si="6"/>
        <v>-6875660.9699030966</v>
      </c>
      <c r="R57" s="487">
        <f t="shared" si="6"/>
        <v>-6875660.9699030966</v>
      </c>
      <c r="S57" s="487">
        <f t="shared" si="6"/>
        <v>-6875660.9699030966</v>
      </c>
    </row>
    <row r="58" spans="5:19" x14ac:dyDescent="0.25">
      <c r="E58" s="339"/>
      <c r="F58" s="339"/>
      <c r="G58" s="167"/>
      <c r="H58" s="167"/>
      <c r="I58" s="167"/>
      <c r="J58" s="429"/>
      <c r="K58" s="426"/>
      <c r="L58" s="426"/>
      <c r="M58" s="426"/>
      <c r="N58" s="426"/>
      <c r="O58" s="426"/>
      <c r="P58" s="426"/>
      <c r="Q58" s="426"/>
      <c r="R58" s="426"/>
      <c r="S58" s="426"/>
    </row>
    <row r="59" spans="5:19" x14ac:dyDescent="0.25">
      <c r="E59" s="339" t="s">
        <v>13</v>
      </c>
      <c r="F59" s="339"/>
      <c r="G59" s="167" t="s">
        <v>124</v>
      </c>
      <c r="H59" s="167"/>
      <c r="I59" s="167"/>
      <c r="J59" s="420">
        <f t="shared" ref="J59:J70" si="7">CHOOSE(year_selection, L59,M59,N59,O59,P59,Q59,R59,S59)</f>
        <v>2784739.5173188997</v>
      </c>
      <c r="K59" s="426"/>
      <c r="L59" s="526">
        <v>986135.82630690897</v>
      </c>
      <c r="M59" s="526">
        <v>1759189.0930528301</v>
      </c>
      <c r="N59" s="526">
        <v>1736780.5765464902</v>
      </c>
      <c r="O59" s="526">
        <v>2784739.5173188997</v>
      </c>
      <c r="P59" s="526">
        <v>2784739.5173188997</v>
      </c>
      <c r="Q59" s="526">
        <v>2784739.5173188997</v>
      </c>
      <c r="R59" s="526">
        <v>2784739.5173188997</v>
      </c>
      <c r="S59" s="526">
        <v>2784739.5173188997</v>
      </c>
    </row>
    <row r="60" spans="5:19" x14ac:dyDescent="0.25">
      <c r="E60" s="339" t="s">
        <v>14</v>
      </c>
      <c r="F60" s="339"/>
      <c r="G60" s="167" t="s">
        <v>124</v>
      </c>
      <c r="H60" s="167"/>
      <c r="I60" s="167"/>
      <c r="J60" s="420">
        <f t="shared" si="7"/>
        <v>639741.51182974502</v>
      </c>
      <c r="K60" s="426"/>
      <c r="L60" s="526">
        <v>18176552.1048209</v>
      </c>
      <c r="M60" s="526">
        <v>15030603.4143732</v>
      </c>
      <c r="N60" s="526">
        <v>5429172.6868120199</v>
      </c>
      <c r="O60" s="526">
        <v>639741.51182974502</v>
      </c>
      <c r="P60" s="526">
        <v>639741.51182974502</v>
      </c>
      <c r="Q60" s="526">
        <v>639741.51182974502</v>
      </c>
      <c r="R60" s="526">
        <v>639741.51182974502</v>
      </c>
      <c r="S60" s="526">
        <v>639741.51182974502</v>
      </c>
    </row>
    <row r="61" spans="5:19" x14ac:dyDescent="0.25">
      <c r="E61" s="339" t="s">
        <v>15</v>
      </c>
      <c r="F61" s="339"/>
      <c r="G61" s="167" t="s">
        <v>124</v>
      </c>
      <c r="H61" s="167"/>
      <c r="I61" s="167"/>
      <c r="J61" s="420">
        <f t="shared" si="7"/>
        <v>0</v>
      </c>
      <c r="K61" s="426"/>
      <c r="L61" s="526">
        <v>0</v>
      </c>
      <c r="M61" s="526">
        <v>0</v>
      </c>
      <c r="N61" s="526">
        <v>0</v>
      </c>
      <c r="O61" s="526">
        <v>0</v>
      </c>
      <c r="P61" s="526">
        <v>0</v>
      </c>
      <c r="Q61" s="526">
        <v>0</v>
      </c>
      <c r="R61" s="526">
        <v>0</v>
      </c>
      <c r="S61" s="526">
        <v>0</v>
      </c>
    </row>
    <row r="62" spans="5:19" x14ac:dyDescent="0.25">
      <c r="E62" s="339" t="s">
        <v>16</v>
      </c>
      <c r="F62" s="339"/>
      <c r="G62" s="167" t="s">
        <v>124</v>
      </c>
      <c r="H62" s="167"/>
      <c r="I62" s="167"/>
      <c r="J62" s="420">
        <f t="shared" si="7"/>
        <v>1685020.90033229</v>
      </c>
      <c r="K62" s="426"/>
      <c r="L62" s="526">
        <v>1469386.9475835299</v>
      </c>
      <c r="M62" s="526">
        <v>866429.345049556</v>
      </c>
      <c r="N62" s="526">
        <v>898851.12904873793</v>
      </c>
      <c r="O62" s="526">
        <v>1685020.90033229</v>
      </c>
      <c r="P62" s="526">
        <v>1685020.90033229</v>
      </c>
      <c r="Q62" s="526">
        <v>1685020.90033229</v>
      </c>
      <c r="R62" s="526">
        <v>1685020.90033229</v>
      </c>
      <c r="S62" s="526">
        <v>1685020.90033229</v>
      </c>
    </row>
    <row r="63" spans="5:19" x14ac:dyDescent="0.25">
      <c r="E63" s="339" t="s">
        <v>17</v>
      </c>
      <c r="F63" s="339"/>
      <c r="G63" s="167" t="s">
        <v>124</v>
      </c>
      <c r="H63" s="167"/>
      <c r="I63" s="167"/>
      <c r="J63" s="420">
        <f t="shared" si="7"/>
        <v>0</v>
      </c>
      <c r="K63" s="426"/>
      <c r="L63" s="526">
        <v>510055.00000000006</v>
      </c>
      <c r="M63" s="526">
        <v>0</v>
      </c>
      <c r="N63" s="526">
        <v>0</v>
      </c>
      <c r="O63" s="526">
        <v>0</v>
      </c>
      <c r="P63" s="526">
        <v>0</v>
      </c>
      <c r="Q63" s="526">
        <v>0</v>
      </c>
      <c r="R63" s="526">
        <v>0</v>
      </c>
      <c r="S63" s="526">
        <v>0</v>
      </c>
    </row>
    <row r="64" spans="5:19" x14ac:dyDescent="0.25">
      <c r="E64" s="339" t="s">
        <v>18</v>
      </c>
      <c r="F64" s="339"/>
      <c r="G64" s="167" t="s">
        <v>124</v>
      </c>
      <c r="H64" s="167"/>
      <c r="I64" s="167"/>
      <c r="J64" s="420">
        <f t="shared" si="7"/>
        <v>1827900</v>
      </c>
      <c r="K64" s="426"/>
      <c r="L64" s="526">
        <v>1229026.6806600001</v>
      </c>
      <c r="M64" s="526">
        <v>1737450</v>
      </c>
      <c r="N64" s="526">
        <v>1827900</v>
      </c>
      <c r="O64" s="526">
        <v>1827900</v>
      </c>
      <c r="P64" s="526">
        <v>2843879</v>
      </c>
      <c r="Q64" s="526">
        <v>2907735.5</v>
      </c>
      <c r="R64" s="526">
        <v>3332351.6009999998</v>
      </c>
      <c r="S64" s="526">
        <v>3442451.3234999999</v>
      </c>
    </row>
    <row r="65" spans="5:19" x14ac:dyDescent="0.25">
      <c r="E65" s="339" t="s">
        <v>19</v>
      </c>
      <c r="F65" s="339"/>
      <c r="G65" s="167" t="s">
        <v>124</v>
      </c>
      <c r="H65" s="167"/>
      <c r="I65" s="167"/>
      <c r="J65" s="420">
        <f t="shared" si="7"/>
        <v>0</v>
      </c>
      <c r="K65" s="426"/>
      <c r="L65" s="526">
        <v>0</v>
      </c>
      <c r="M65" s="526">
        <v>0</v>
      </c>
      <c r="N65" s="526">
        <v>0</v>
      </c>
      <c r="O65" s="526">
        <v>0</v>
      </c>
      <c r="P65" s="526">
        <v>0</v>
      </c>
      <c r="Q65" s="526"/>
      <c r="R65" s="526">
        <v>0</v>
      </c>
      <c r="S65" s="526">
        <v>0</v>
      </c>
    </row>
    <row r="66" spans="5:19" x14ac:dyDescent="0.25">
      <c r="E66" s="339" t="s">
        <v>20</v>
      </c>
      <c r="F66" s="339"/>
      <c r="G66" s="167" t="s">
        <v>124</v>
      </c>
      <c r="H66" s="167"/>
      <c r="I66" s="167"/>
      <c r="J66" s="420">
        <f t="shared" si="7"/>
        <v>172133.87</v>
      </c>
      <c r="K66" s="426"/>
      <c r="L66" s="526">
        <v>319394.29000000004</v>
      </c>
      <c r="M66" s="526">
        <v>868560.87</v>
      </c>
      <c r="N66" s="526">
        <v>43332.73</v>
      </c>
      <c r="O66" s="526">
        <v>172133.87</v>
      </c>
      <c r="P66" s="526">
        <v>172133.87</v>
      </c>
      <c r="Q66" s="526">
        <v>172133.87</v>
      </c>
      <c r="R66" s="526">
        <v>172133.87</v>
      </c>
      <c r="S66" s="526">
        <v>172133.87</v>
      </c>
    </row>
    <row r="67" spans="5:19" x14ac:dyDescent="0.25">
      <c r="E67" s="339" t="s">
        <v>21</v>
      </c>
      <c r="F67" s="339"/>
      <c r="G67" s="167" t="s">
        <v>124</v>
      </c>
      <c r="H67" s="167"/>
      <c r="I67" s="167"/>
      <c r="J67" s="420">
        <f t="shared" si="7"/>
        <v>0</v>
      </c>
      <c r="K67" s="426"/>
      <c r="L67" s="526">
        <v>0</v>
      </c>
      <c r="M67" s="526">
        <v>0</v>
      </c>
      <c r="N67" s="526">
        <v>0</v>
      </c>
      <c r="O67" s="526">
        <v>0</v>
      </c>
      <c r="P67" s="526">
        <v>0</v>
      </c>
      <c r="Q67" s="526">
        <v>0</v>
      </c>
      <c r="R67" s="526">
        <v>0</v>
      </c>
      <c r="S67" s="526">
        <v>0</v>
      </c>
    </row>
    <row r="68" spans="5:19" x14ac:dyDescent="0.25">
      <c r="E68" s="339" t="s">
        <v>22</v>
      </c>
      <c r="F68" s="339"/>
      <c r="G68" s="167" t="s">
        <v>124</v>
      </c>
      <c r="H68" s="167"/>
      <c r="I68" s="167"/>
      <c r="J68" s="420">
        <f t="shared" si="7"/>
        <v>0</v>
      </c>
      <c r="K68" s="426"/>
      <c r="L68" s="526">
        <v>8229246.8706556009</v>
      </c>
      <c r="M68" s="526">
        <v>0</v>
      </c>
      <c r="N68" s="526">
        <v>0</v>
      </c>
      <c r="O68" s="526">
        <v>0</v>
      </c>
      <c r="P68" s="526">
        <v>0</v>
      </c>
      <c r="Q68" s="526">
        <v>0</v>
      </c>
      <c r="R68" s="526">
        <v>0</v>
      </c>
      <c r="S68" s="526">
        <v>0</v>
      </c>
    </row>
    <row r="69" spans="5:19" x14ac:dyDescent="0.25">
      <c r="E69" s="168" t="s">
        <v>23</v>
      </c>
      <c r="F69" s="168"/>
      <c r="G69" s="168" t="s">
        <v>124</v>
      </c>
      <c r="H69" s="168"/>
      <c r="I69" s="168"/>
      <c r="J69" s="422">
        <f t="shared" si="7"/>
        <v>0</v>
      </c>
      <c r="K69" s="427"/>
      <c r="L69" s="527">
        <v>0</v>
      </c>
      <c r="M69" s="527">
        <v>0</v>
      </c>
      <c r="N69" s="527">
        <v>0</v>
      </c>
      <c r="O69" s="527">
        <v>0</v>
      </c>
      <c r="P69" s="527">
        <v>0</v>
      </c>
      <c r="Q69" s="527">
        <v>0</v>
      </c>
      <c r="R69" s="527">
        <v>0</v>
      </c>
      <c r="S69" s="527">
        <v>0</v>
      </c>
    </row>
    <row r="70" spans="5:19" x14ac:dyDescent="0.25">
      <c r="E70" s="339" t="s">
        <v>24</v>
      </c>
      <c r="F70" s="339"/>
      <c r="G70" s="167" t="s">
        <v>124</v>
      </c>
      <c r="H70" s="167"/>
      <c r="I70" s="167"/>
      <c r="J70" s="420">
        <f t="shared" si="7"/>
        <v>7109535.7994809346</v>
      </c>
      <c r="K70" s="426"/>
      <c r="L70" s="487">
        <f>SUM(L59:L69)</f>
        <v>30919797.720026936</v>
      </c>
      <c r="M70" s="487">
        <f t="shared" ref="M70:S70" si="8">SUM(M59:M69)</f>
        <v>20262232.722475588</v>
      </c>
      <c r="N70" s="487">
        <f t="shared" si="8"/>
        <v>9936037.1224072482</v>
      </c>
      <c r="O70" s="487">
        <f t="shared" si="8"/>
        <v>7109535.7994809346</v>
      </c>
      <c r="P70" s="487">
        <f t="shared" si="8"/>
        <v>8125514.7994809346</v>
      </c>
      <c r="Q70" s="487">
        <f t="shared" si="8"/>
        <v>8189371.2994809346</v>
      </c>
      <c r="R70" s="487">
        <f t="shared" si="8"/>
        <v>8613987.4004809335</v>
      </c>
      <c r="S70" s="487">
        <f t="shared" si="8"/>
        <v>8724087.1229809336</v>
      </c>
    </row>
    <row r="71" spans="5:19" x14ac:dyDescent="0.25">
      <c r="E71" s="339"/>
      <c r="F71" s="339"/>
      <c r="G71" s="167"/>
      <c r="H71" s="167"/>
      <c r="I71" s="167"/>
      <c r="J71" s="429"/>
      <c r="K71" s="426"/>
      <c r="L71" s="426"/>
      <c r="M71" s="426"/>
      <c r="N71" s="426"/>
      <c r="O71" s="426"/>
      <c r="P71" s="426"/>
      <c r="Q71" s="426"/>
      <c r="R71" s="426"/>
      <c r="S71" s="426"/>
    </row>
    <row r="72" spans="5:19" x14ac:dyDescent="0.25">
      <c r="E72" s="168" t="s">
        <v>25</v>
      </c>
      <c r="F72" s="168"/>
      <c r="G72" s="168" t="s">
        <v>124</v>
      </c>
      <c r="H72" s="168"/>
      <c r="I72" s="168"/>
      <c r="J72" s="422">
        <f>CHOOSE(year_selection, L72,M72,N72,O72,P72,Q72,R72,S72)</f>
        <v>-15152336.356257001</v>
      </c>
      <c r="K72" s="427"/>
      <c r="L72" s="527">
        <v>5196480.88248064</v>
      </c>
      <c r="M72" s="527">
        <v>-7378645.0778256897</v>
      </c>
      <c r="N72" s="527">
        <v>-16528373.593650699</v>
      </c>
      <c r="O72" s="527">
        <v>-15152336.356257001</v>
      </c>
      <c r="P72" s="527">
        <v>-23741680.621410001</v>
      </c>
      <c r="Q72" s="527">
        <v>0</v>
      </c>
      <c r="R72" s="527">
        <v>0</v>
      </c>
      <c r="S72" s="527">
        <v>0</v>
      </c>
    </row>
    <row r="73" spans="5:19" x14ac:dyDescent="0.25">
      <c r="E73" s="339" t="s">
        <v>26</v>
      </c>
      <c r="F73" s="339"/>
      <c r="G73" s="167" t="s">
        <v>124</v>
      </c>
      <c r="H73" s="167"/>
      <c r="I73" s="167"/>
      <c r="J73" s="420">
        <f>CHOOSE(year_selection, L73,M73,N73,O73,P73,Q73,R73,S73)</f>
        <v>535775032.26362252</v>
      </c>
      <c r="K73" s="426"/>
      <c r="L73" s="428">
        <f>L72 + L70 + L57 + L48 + L47</f>
        <v>544328303.83320117</v>
      </c>
      <c r="M73" s="428">
        <f t="shared" ref="M73:S73" si="9">M72 + M70 + M57 + M48 + M47</f>
        <v>543995829.63505423</v>
      </c>
      <c r="N73" s="428">
        <f t="shared" si="9"/>
        <v>538881011.46003854</v>
      </c>
      <c r="O73" s="428">
        <f t="shared" si="9"/>
        <v>535775032.26362252</v>
      </c>
      <c r="P73" s="428">
        <f t="shared" si="9"/>
        <v>546796426.36169279</v>
      </c>
      <c r="Q73" s="428">
        <f t="shared" si="9"/>
        <v>582860810.3295778</v>
      </c>
      <c r="R73" s="428">
        <f t="shared" si="9"/>
        <v>668208646.6305778</v>
      </c>
      <c r="S73" s="428">
        <f t="shared" si="9"/>
        <v>690338690.85307777</v>
      </c>
    </row>
    <row r="74" spans="5:19" x14ac:dyDescent="0.25">
      <c r="E74" s="339"/>
      <c r="F74" s="339"/>
      <c r="G74" s="167"/>
      <c r="H74" s="167"/>
      <c r="I74" s="167"/>
      <c r="J74" s="429"/>
      <c r="K74" s="426"/>
      <c r="L74" s="426"/>
      <c r="M74" s="426"/>
      <c r="N74" s="426"/>
      <c r="O74" s="426"/>
      <c r="P74" s="426"/>
      <c r="Q74" s="426"/>
      <c r="R74" s="426"/>
      <c r="S74" s="426"/>
    </row>
    <row r="75" spans="5:19" x14ac:dyDescent="0.25">
      <c r="E75" s="339" t="s">
        <v>27</v>
      </c>
      <c r="F75" s="339"/>
      <c r="G75" s="167" t="s">
        <v>124</v>
      </c>
      <c r="H75" s="167"/>
      <c r="I75" s="167"/>
      <c r="J75" s="420">
        <f t="shared" ref="J75:J81" si="10">CHOOSE(year_selection, L75,M75,N75,O75,P75,Q75,R75,S75)</f>
        <v>0</v>
      </c>
      <c r="K75" s="426"/>
      <c r="L75" s="526">
        <v>0</v>
      </c>
      <c r="M75" s="526">
        <v>0</v>
      </c>
      <c r="N75" s="526">
        <v>0</v>
      </c>
      <c r="O75" s="526">
        <v>0</v>
      </c>
      <c r="P75" s="526">
        <v>0</v>
      </c>
      <c r="Q75" s="526">
        <v>0</v>
      </c>
      <c r="R75" s="526">
        <v>0</v>
      </c>
      <c r="S75" s="526">
        <v>0</v>
      </c>
    </row>
    <row r="76" spans="5:19" x14ac:dyDescent="0.25">
      <c r="E76" s="339" t="s">
        <v>28</v>
      </c>
      <c r="F76" s="339"/>
      <c r="G76" s="167" t="s">
        <v>124</v>
      </c>
      <c r="H76" s="167"/>
      <c r="I76" s="167"/>
      <c r="J76" s="420">
        <f t="shared" si="10"/>
        <v>0</v>
      </c>
      <c r="K76" s="426"/>
      <c r="L76" s="526">
        <v>0</v>
      </c>
      <c r="M76" s="526">
        <v>0</v>
      </c>
      <c r="N76" s="526">
        <v>0</v>
      </c>
      <c r="O76" s="526">
        <v>0</v>
      </c>
      <c r="P76" s="526">
        <v>0</v>
      </c>
      <c r="Q76" s="526">
        <v>0</v>
      </c>
      <c r="R76" s="526">
        <v>0</v>
      </c>
      <c r="S76" s="526">
        <v>0</v>
      </c>
    </row>
    <row r="77" spans="5:19" x14ac:dyDescent="0.25">
      <c r="E77" s="339" t="s">
        <v>29</v>
      </c>
      <c r="F77" s="339"/>
      <c r="G77" s="167" t="s">
        <v>124</v>
      </c>
      <c r="H77" s="167"/>
      <c r="I77" s="167"/>
      <c r="J77" s="420">
        <f t="shared" si="10"/>
        <v>0</v>
      </c>
      <c r="K77" s="426"/>
      <c r="L77" s="526">
        <v>0</v>
      </c>
      <c r="M77" s="526">
        <v>0</v>
      </c>
      <c r="N77" s="526">
        <v>0</v>
      </c>
      <c r="O77" s="526">
        <v>0</v>
      </c>
      <c r="P77" s="526">
        <v>0</v>
      </c>
      <c r="Q77" s="526">
        <v>0</v>
      </c>
      <c r="R77" s="526">
        <v>0</v>
      </c>
      <c r="S77" s="526">
        <v>0</v>
      </c>
    </row>
    <row r="78" spans="5:19" x14ac:dyDescent="0.25">
      <c r="E78" s="339" t="s">
        <v>30</v>
      </c>
      <c r="F78" s="339"/>
      <c r="G78" s="167" t="s">
        <v>124</v>
      </c>
      <c r="H78" s="167"/>
      <c r="I78" s="167"/>
      <c r="J78" s="420">
        <f t="shared" si="10"/>
        <v>0</v>
      </c>
      <c r="K78" s="426"/>
      <c r="L78" s="526">
        <v>0</v>
      </c>
      <c r="M78" s="526">
        <v>0</v>
      </c>
      <c r="N78" s="526">
        <v>0</v>
      </c>
      <c r="O78" s="526">
        <v>0</v>
      </c>
      <c r="P78" s="526">
        <v>0</v>
      </c>
      <c r="Q78" s="526">
        <v>0</v>
      </c>
      <c r="R78" s="526">
        <v>0</v>
      </c>
      <c r="S78" s="526">
        <v>0</v>
      </c>
    </row>
    <row r="79" spans="5:19" x14ac:dyDescent="0.25">
      <c r="E79" s="168" t="s">
        <v>31</v>
      </c>
      <c r="F79" s="168"/>
      <c r="G79" s="168" t="s">
        <v>124</v>
      </c>
      <c r="H79" s="168"/>
      <c r="I79" s="168"/>
      <c r="J79" s="422">
        <f t="shared" si="10"/>
        <v>0</v>
      </c>
      <c r="K79" s="427"/>
      <c r="L79" s="527">
        <v>0</v>
      </c>
      <c r="M79" s="527">
        <v>0</v>
      </c>
      <c r="N79" s="527">
        <v>0</v>
      </c>
      <c r="O79" s="527">
        <v>0</v>
      </c>
      <c r="P79" s="527">
        <v>0</v>
      </c>
      <c r="Q79" s="527">
        <v>0</v>
      </c>
      <c r="R79" s="527">
        <v>0</v>
      </c>
      <c r="S79" s="527">
        <v>0</v>
      </c>
    </row>
    <row r="80" spans="5:19" x14ac:dyDescent="0.25">
      <c r="E80" s="339" t="s">
        <v>32</v>
      </c>
      <c r="F80" s="339"/>
      <c r="G80" s="339" t="s">
        <v>124</v>
      </c>
      <c r="H80" s="339"/>
      <c r="I80" s="167"/>
      <c r="J80" s="420">
        <f t="shared" si="10"/>
        <v>0</v>
      </c>
      <c r="K80" s="426"/>
      <c r="L80" s="487">
        <f>SUM(L75:L79)</f>
        <v>0</v>
      </c>
      <c r="M80" s="487">
        <f t="shared" ref="M80:S80" si="11">SUM(M75:M79)</f>
        <v>0</v>
      </c>
      <c r="N80" s="487">
        <f t="shared" si="11"/>
        <v>0</v>
      </c>
      <c r="O80" s="487">
        <f t="shared" si="11"/>
        <v>0</v>
      </c>
      <c r="P80" s="487">
        <f t="shared" si="11"/>
        <v>0</v>
      </c>
      <c r="Q80" s="487">
        <f t="shared" si="11"/>
        <v>0</v>
      </c>
      <c r="R80" s="487">
        <f t="shared" si="11"/>
        <v>0</v>
      </c>
      <c r="S80" s="487">
        <f t="shared" si="11"/>
        <v>0</v>
      </c>
    </row>
    <row r="81" spans="3:21" x14ac:dyDescent="0.25">
      <c r="E81" s="166" t="s">
        <v>33</v>
      </c>
      <c r="F81" s="166"/>
      <c r="G81" s="166" t="s">
        <v>124</v>
      </c>
      <c r="H81" s="166"/>
      <c r="I81" s="166"/>
      <c r="J81" s="418">
        <f t="shared" si="10"/>
        <v>535775032.26362252</v>
      </c>
      <c r="K81" s="430"/>
      <c r="L81" s="486">
        <f>L73+L80</f>
        <v>544328303.83320117</v>
      </c>
      <c r="M81" s="486">
        <f t="shared" ref="M81:S81" si="12">M73+M80</f>
        <v>543995829.63505423</v>
      </c>
      <c r="N81" s="486">
        <f t="shared" si="12"/>
        <v>538881011.46003854</v>
      </c>
      <c r="O81" s="486">
        <f t="shared" si="12"/>
        <v>535775032.26362252</v>
      </c>
      <c r="P81" s="486">
        <f t="shared" si="12"/>
        <v>546796426.36169279</v>
      </c>
      <c r="Q81" s="486">
        <f t="shared" si="12"/>
        <v>582860810.3295778</v>
      </c>
      <c r="R81" s="486">
        <f t="shared" si="12"/>
        <v>668208646.6305778</v>
      </c>
      <c r="S81" s="486">
        <f t="shared" si="12"/>
        <v>690338690.85307777</v>
      </c>
    </row>
    <row r="82" spans="3:21" x14ac:dyDescent="0.25">
      <c r="E82" s="339"/>
      <c r="F82" s="339"/>
      <c r="G82" s="167"/>
      <c r="H82" s="167"/>
      <c r="I82" s="167"/>
      <c r="J82" s="429"/>
      <c r="K82" s="426"/>
      <c r="L82" s="426"/>
      <c r="M82" s="426"/>
      <c r="N82" s="426"/>
      <c r="O82" s="426"/>
      <c r="P82" s="426"/>
      <c r="Q82" s="426"/>
      <c r="R82" s="426"/>
      <c r="S82" s="426"/>
    </row>
    <row r="83" spans="3:21" x14ac:dyDescent="0.25">
      <c r="E83" s="339" t="s">
        <v>34</v>
      </c>
      <c r="F83" s="339"/>
      <c r="G83" s="167" t="s">
        <v>124</v>
      </c>
      <c r="H83" s="167"/>
      <c r="I83" s="167"/>
      <c r="J83" s="420">
        <f t="shared" ref="J83:J88" si="13">CHOOSE(year_selection, L83,M83,N83,O83,P83,Q83,R83,S83)</f>
        <v>21317907.379977446</v>
      </c>
      <c r="K83" s="426"/>
      <c r="L83" s="526">
        <v>19138991.450516757</v>
      </c>
      <c r="M83" s="526">
        <v>19804912.733185071</v>
      </c>
      <c r="N83" s="526">
        <v>19024563.126048107</v>
      </c>
      <c r="O83" s="526">
        <v>21317907.379977446</v>
      </c>
      <c r="P83" s="526">
        <f>P73*(O83/O73)</f>
        <v>21756436.696261983</v>
      </c>
      <c r="Q83" s="526">
        <f t="shared" ref="Q83:S83" si="14">Q73*(P83/P73)</f>
        <v>23191399.415400092</v>
      </c>
      <c r="R83" s="526">
        <f t="shared" si="14"/>
        <v>26587297.245239537</v>
      </c>
      <c r="S83" s="526">
        <f t="shared" si="14"/>
        <v>27467827.700451069</v>
      </c>
    </row>
    <row r="84" spans="3:21" x14ac:dyDescent="0.25">
      <c r="E84" s="339" t="s">
        <v>35</v>
      </c>
      <c r="F84" s="339"/>
      <c r="G84" s="167" t="s">
        <v>124</v>
      </c>
      <c r="H84" s="167"/>
      <c r="I84" s="167"/>
      <c r="J84" s="420">
        <f t="shared" si="13"/>
        <v>0</v>
      </c>
      <c r="K84" s="426"/>
      <c r="L84" s="526">
        <v>0</v>
      </c>
      <c r="M84" s="526">
        <v>0</v>
      </c>
      <c r="N84" s="526">
        <v>0</v>
      </c>
      <c r="O84" s="526">
        <v>0</v>
      </c>
      <c r="P84" s="526">
        <v>0</v>
      </c>
      <c r="Q84" s="526">
        <v>0</v>
      </c>
      <c r="R84" s="526">
        <v>0</v>
      </c>
      <c r="S84" s="526">
        <v>0</v>
      </c>
    </row>
    <row r="85" spans="3:21" x14ac:dyDescent="0.25">
      <c r="E85" s="339" t="s">
        <v>36</v>
      </c>
      <c r="F85" s="339"/>
      <c r="G85" s="167" t="s">
        <v>124</v>
      </c>
      <c r="H85" s="167"/>
      <c r="I85" s="167"/>
      <c r="J85" s="420">
        <f t="shared" si="13"/>
        <v>0</v>
      </c>
      <c r="K85" s="426"/>
      <c r="L85" s="526">
        <v>0</v>
      </c>
      <c r="M85" s="526">
        <v>0</v>
      </c>
      <c r="N85" s="526">
        <v>0</v>
      </c>
      <c r="O85" s="526">
        <v>0</v>
      </c>
      <c r="P85" s="526">
        <v>0</v>
      </c>
      <c r="Q85" s="526">
        <v>0</v>
      </c>
      <c r="R85" s="526">
        <v>0</v>
      </c>
      <c r="S85" s="526">
        <v>0</v>
      </c>
    </row>
    <row r="86" spans="3:21" x14ac:dyDescent="0.25">
      <c r="E86" s="168" t="s">
        <v>37</v>
      </c>
      <c r="F86" s="168"/>
      <c r="G86" s="168" t="s">
        <v>124</v>
      </c>
      <c r="H86" s="168"/>
      <c r="I86" s="168"/>
      <c r="J86" s="422">
        <f t="shared" si="13"/>
        <v>0</v>
      </c>
      <c r="K86" s="427"/>
      <c r="L86" s="527">
        <v>0</v>
      </c>
      <c r="M86" s="527">
        <v>0</v>
      </c>
      <c r="N86" s="527">
        <v>0</v>
      </c>
      <c r="O86" s="527">
        <v>0</v>
      </c>
      <c r="P86" s="527">
        <v>0</v>
      </c>
      <c r="Q86" s="527">
        <v>0</v>
      </c>
      <c r="R86" s="527">
        <v>0</v>
      </c>
      <c r="S86" s="527">
        <v>0</v>
      </c>
    </row>
    <row r="87" spans="3:21" x14ac:dyDescent="0.25">
      <c r="E87" s="168" t="s">
        <v>38</v>
      </c>
      <c r="F87" s="168"/>
      <c r="G87" s="168" t="s">
        <v>124</v>
      </c>
      <c r="H87" s="168"/>
      <c r="I87" s="168"/>
      <c r="J87" s="428">
        <f t="shared" si="13"/>
        <v>21317907.379977446</v>
      </c>
      <c r="K87" s="427"/>
      <c r="L87" s="432">
        <f>SUM(L83:L86)</f>
        <v>19138991.450516757</v>
      </c>
      <c r="M87" s="432">
        <f t="shared" ref="M87:S87" si="15">SUM(M83:M86)</f>
        <v>19804912.733185071</v>
      </c>
      <c r="N87" s="432">
        <f t="shared" si="15"/>
        <v>19024563.126048107</v>
      </c>
      <c r="O87" s="432">
        <f t="shared" si="15"/>
        <v>21317907.379977446</v>
      </c>
      <c r="P87" s="432">
        <f t="shared" si="15"/>
        <v>21756436.696261983</v>
      </c>
      <c r="Q87" s="432">
        <f t="shared" si="15"/>
        <v>23191399.415400092</v>
      </c>
      <c r="R87" s="432">
        <f t="shared" si="15"/>
        <v>26587297.245239537</v>
      </c>
      <c r="S87" s="432">
        <f t="shared" si="15"/>
        <v>27467827.700451069</v>
      </c>
    </row>
    <row r="88" spans="3:21" x14ac:dyDescent="0.25">
      <c r="E88" s="339" t="s">
        <v>39</v>
      </c>
      <c r="F88" s="339"/>
      <c r="G88" s="339" t="s">
        <v>124</v>
      </c>
      <c r="H88" s="339"/>
      <c r="I88" s="339"/>
      <c r="J88" s="431">
        <f t="shared" si="13"/>
        <v>514457124.88364506</v>
      </c>
      <c r="K88" s="426"/>
      <c r="L88" s="433">
        <f>L81-L87</f>
        <v>525189312.38268441</v>
      </c>
      <c r="M88" s="485">
        <f t="shared" ref="M88:S88" si="16">M81-M87</f>
        <v>524190916.90186918</v>
      </c>
      <c r="N88" s="485">
        <f t="shared" si="16"/>
        <v>519856448.33399045</v>
      </c>
      <c r="O88" s="485">
        <f t="shared" si="16"/>
        <v>514457124.88364506</v>
      </c>
      <c r="P88" s="485">
        <f t="shared" si="16"/>
        <v>525039989.66543078</v>
      </c>
      <c r="Q88" s="485">
        <f t="shared" si="16"/>
        <v>559669410.91417766</v>
      </c>
      <c r="R88" s="485">
        <f t="shared" si="16"/>
        <v>641621349.38533831</v>
      </c>
      <c r="S88" s="485">
        <f t="shared" si="16"/>
        <v>662870863.15262675</v>
      </c>
    </row>
    <row r="89" spans="3:21" s="338" customFormat="1" x14ac:dyDescent="0.25">
      <c r="E89" s="166" t="s">
        <v>851</v>
      </c>
      <c r="F89" s="166"/>
      <c r="G89" s="166" t="s">
        <v>124</v>
      </c>
      <c r="H89" s="166"/>
      <c r="I89" s="166"/>
      <c r="J89" s="431">
        <f t="shared" ref="J89" si="17">CHOOSE(year_selection, L89,M89,N89,O89,P89,Q89,R89,S89)</f>
        <v>514457124.88364506</v>
      </c>
      <c r="K89" s="430"/>
      <c r="L89" s="431">
        <v>527483622.01476252</v>
      </c>
      <c r="M89" s="486">
        <v>535431984.61155146</v>
      </c>
      <c r="N89" s="486">
        <v>542564758.89780569</v>
      </c>
      <c r="O89" s="486">
        <f t="shared" ref="O89:S89" si="18">O88</f>
        <v>514457124.88364506</v>
      </c>
      <c r="P89" s="486">
        <f t="shared" si="18"/>
        <v>525039989.66543078</v>
      </c>
      <c r="Q89" s="486">
        <f t="shared" si="18"/>
        <v>559669410.91417766</v>
      </c>
      <c r="R89" s="486">
        <f t="shared" si="18"/>
        <v>641621349.38533831</v>
      </c>
      <c r="S89" s="486">
        <f t="shared" si="18"/>
        <v>662870863.15262675</v>
      </c>
    </row>
    <row r="90" spans="3:21" s="338" customFormat="1" x14ac:dyDescent="0.25">
      <c r="E90" s="339"/>
      <c r="F90" s="339"/>
      <c r="G90" s="339"/>
      <c r="H90" s="339"/>
      <c r="I90" s="339"/>
      <c r="J90" s="428"/>
      <c r="K90" s="426"/>
      <c r="L90" s="426"/>
      <c r="M90" s="426"/>
      <c r="N90" s="426"/>
      <c r="O90" s="426"/>
      <c r="P90" s="426"/>
      <c r="Q90" s="426"/>
      <c r="R90" s="426"/>
      <c r="S90" s="426"/>
    </row>
    <row r="91" spans="3:21" s="338" customFormat="1" x14ac:dyDescent="0.25">
      <c r="E91" s="339" t="s">
        <v>847</v>
      </c>
      <c r="F91" s="339"/>
      <c r="G91" s="339" t="s">
        <v>124</v>
      </c>
      <c r="H91" s="339"/>
      <c r="I91" s="339"/>
      <c r="J91" s="428">
        <f>CHOOSE(year_selection, L91,M91,N91,O91,P91,Q91,R91,S91)</f>
        <v>535775032.26362252</v>
      </c>
      <c r="K91" s="426"/>
      <c r="L91" s="526">
        <v>560211357.80999994</v>
      </c>
      <c r="M91" s="526">
        <v>558500000</v>
      </c>
      <c r="N91" s="526">
        <v>561589322.02385402</v>
      </c>
      <c r="O91" s="526">
        <f>O73</f>
        <v>535775032.26362252</v>
      </c>
      <c r="P91" s="526">
        <f t="shared" ref="P91:S91" si="19">P73</f>
        <v>546796426.36169279</v>
      </c>
      <c r="Q91" s="526">
        <f t="shared" si="19"/>
        <v>582860810.3295778</v>
      </c>
      <c r="R91" s="526">
        <f t="shared" si="19"/>
        <v>668208646.6305778</v>
      </c>
      <c r="S91" s="526">
        <f t="shared" si="19"/>
        <v>690338690.85307777</v>
      </c>
    </row>
    <row r="92" spans="3:21" s="338" customFormat="1" x14ac:dyDescent="0.25">
      <c r="E92" s="166" t="s">
        <v>850</v>
      </c>
      <c r="F92" s="166"/>
      <c r="G92" s="166" t="s">
        <v>124</v>
      </c>
      <c r="H92" s="166"/>
      <c r="I92" s="166"/>
      <c r="J92" s="431">
        <f>CHOOSE(year_selection, L92,M92,N92,O92,P92,Q92,R92,S92)</f>
        <v>0</v>
      </c>
      <c r="K92" s="430"/>
      <c r="L92" s="434">
        <f t="shared" ref="L92:S92" si="20">L91 - L80 - L73 + L84</f>
        <v>15883053.976798773</v>
      </c>
      <c r="M92" s="483">
        <f t="shared" si="20"/>
        <v>14504170.364945769</v>
      </c>
      <c r="N92" s="483">
        <f t="shared" si="20"/>
        <v>22708310.563815475</v>
      </c>
      <c r="O92" s="483">
        <f t="shared" si="20"/>
        <v>0</v>
      </c>
      <c r="P92" s="483">
        <f t="shared" si="20"/>
        <v>0</v>
      </c>
      <c r="Q92" s="483">
        <f t="shared" si="20"/>
        <v>0</v>
      </c>
      <c r="R92" s="483">
        <f t="shared" si="20"/>
        <v>0</v>
      </c>
      <c r="S92" s="483">
        <f t="shared" si="20"/>
        <v>0</v>
      </c>
    </row>
    <row r="93" spans="3:21" s="338" customFormat="1" x14ac:dyDescent="0.25">
      <c r="E93" s="166" t="s">
        <v>849</v>
      </c>
      <c r="F93" s="166"/>
      <c r="G93" s="166" t="s">
        <v>111</v>
      </c>
      <c r="H93" s="166"/>
      <c r="I93" s="166"/>
      <c r="J93" s="364">
        <f>CHOOSE(year_selection, L93,M93,N93,O93,P93,Q93,R93,S93)</f>
        <v>-5.7637569896936691E-3</v>
      </c>
      <c r="K93" s="267"/>
      <c r="L93" s="114"/>
      <c r="M93" s="364">
        <f t="shared" ref="M93:S93" si="21">IF( L73 &lt;&gt; 0, M73 / L73 - 1, 0)</f>
        <v>-6.1079718950063366E-4</v>
      </c>
      <c r="N93" s="364">
        <f t="shared" si="21"/>
        <v>-9.4023113714806206E-3</v>
      </c>
      <c r="O93" s="364">
        <f t="shared" si="21"/>
        <v>-5.7637569896936691E-3</v>
      </c>
      <c r="P93" s="364">
        <f t="shared" si="21"/>
        <v>2.0570936371382187E-2</v>
      </c>
      <c r="Q93" s="364">
        <f t="shared" si="21"/>
        <v>6.5955778474728444E-2</v>
      </c>
      <c r="R93" s="364">
        <f t="shared" si="21"/>
        <v>0.14642918993428333</v>
      </c>
      <c r="S93" s="364">
        <f t="shared" si="21"/>
        <v>3.3118464321121976E-2</v>
      </c>
    </row>
    <row r="94" spans="3:21" s="338" customFormat="1" x14ac:dyDescent="0.25">
      <c r="E94" s="166" t="s">
        <v>848</v>
      </c>
      <c r="F94" s="166"/>
      <c r="G94" s="166" t="s">
        <v>111</v>
      </c>
      <c r="H94" s="166"/>
      <c r="I94" s="166"/>
      <c r="J94" s="364">
        <f>CHOOSE(year_selection, L94,M94,N94,O94,P94,Q94,R94,S94)</f>
        <v>-4.5966489653332498E-2</v>
      </c>
      <c r="K94" s="267"/>
      <c r="L94" s="114"/>
      <c r="M94" s="364">
        <f>IF( L91 &lt;&gt; 0, M91 / L91 - 1, 0)</f>
        <v>-3.0548431161590006E-3</v>
      </c>
      <c r="N94" s="364">
        <f t="shared" ref="N94:S94" si="22">IF( M91 &lt;&gt; 0, N91 / M91 - 1, 0)</f>
        <v>5.5314628896221407E-3</v>
      </c>
      <c r="O94" s="364">
        <f t="shared" si="22"/>
        <v>-4.5966489653332498E-2</v>
      </c>
      <c r="P94" s="364">
        <f t="shared" si="22"/>
        <v>2.0570936371382187E-2</v>
      </c>
      <c r="Q94" s="364">
        <f t="shared" si="22"/>
        <v>6.5955778474728444E-2</v>
      </c>
      <c r="R94" s="364">
        <f t="shared" si="22"/>
        <v>0.14642918993428333</v>
      </c>
      <c r="S94" s="364">
        <f t="shared" si="22"/>
        <v>3.3118464321121976E-2</v>
      </c>
    </row>
    <row r="95" spans="3:21" x14ac:dyDescent="0.25">
      <c r="E95" s="338"/>
      <c r="F95" s="338"/>
      <c r="J95" s="269"/>
      <c r="K95" s="338"/>
      <c r="L95" s="338"/>
      <c r="M95" s="338"/>
      <c r="N95" s="338"/>
      <c r="O95" s="338"/>
      <c r="P95" s="338"/>
      <c r="Q95" s="338"/>
      <c r="R95" s="338"/>
      <c r="S95" s="338"/>
    </row>
    <row r="96" spans="3:21" s="338" customFormat="1" x14ac:dyDescent="0.25">
      <c r="C96" s="22" t="str">
        <f ca="1">INDEX('Version control'!$H$34:$H$59,MATCH($A$1,'Version control'!$F$34:$F$59,0),1)&amp;"-D: Financial and general assumptions"</f>
        <v>Input 503-D: Financial and general assumptions</v>
      </c>
      <c r="D96" s="22"/>
      <c r="E96" s="22"/>
      <c r="F96" s="22"/>
      <c r="G96" s="297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</row>
    <row r="97" spans="2:21" s="338" customFormat="1" x14ac:dyDescent="0.25">
      <c r="G97" s="194"/>
    </row>
    <row r="98" spans="2:21" x14ac:dyDescent="0.25">
      <c r="E98" s="145" t="s">
        <v>470</v>
      </c>
      <c r="G98" s="339" t="s">
        <v>111</v>
      </c>
      <c r="H98" s="339"/>
      <c r="I98" s="339" t="s">
        <v>525</v>
      </c>
      <c r="J98" s="484">
        <f>CHOOSE(year_selection, L98,M98,N98,O98,P98,Q98,R98,S98)</f>
        <v>3.7900000000000003E-2</v>
      </c>
      <c r="K98" s="339"/>
      <c r="L98" s="528">
        <v>4.1700000000000001E-2</v>
      </c>
      <c r="M98" s="528">
        <v>4.0800000000000003E-2</v>
      </c>
      <c r="N98" s="528">
        <v>4.02E-2</v>
      </c>
      <c r="O98" s="528">
        <v>3.7900000000000003E-2</v>
      </c>
      <c r="P98" s="528">
        <f>O98</f>
        <v>3.7900000000000003E-2</v>
      </c>
      <c r="Q98" s="528">
        <f t="shared" ref="Q98:S98" si="23">P98</f>
        <v>3.7900000000000003E-2</v>
      </c>
      <c r="R98" s="528">
        <f t="shared" si="23"/>
        <v>3.7900000000000003E-2</v>
      </c>
      <c r="S98" s="528">
        <f t="shared" si="23"/>
        <v>3.7900000000000003E-2</v>
      </c>
      <c r="U98" s="160" t="s">
        <v>944</v>
      </c>
    </row>
    <row r="99" spans="2:21" x14ac:dyDescent="0.25">
      <c r="E99" s="145" t="s">
        <v>41</v>
      </c>
      <c r="G99" s="145" t="s">
        <v>720</v>
      </c>
      <c r="H99" s="145"/>
      <c r="I99" s="145"/>
      <c r="J99" s="270">
        <f>CHOOSE(year_selection, L99,M99,N99,O99,P99,Q99,R99,S99)</f>
        <v>365</v>
      </c>
      <c r="K99" s="145"/>
      <c r="L99" s="503">
        <v>365</v>
      </c>
      <c r="M99" s="503">
        <v>365</v>
      </c>
      <c r="N99" s="503">
        <v>366</v>
      </c>
      <c r="O99" s="503">
        <v>365</v>
      </c>
      <c r="P99" s="503">
        <v>365</v>
      </c>
      <c r="Q99" s="503">
        <v>365</v>
      </c>
      <c r="R99" s="503">
        <v>366</v>
      </c>
      <c r="S99" s="503">
        <v>365</v>
      </c>
    </row>
    <row r="100" spans="2:21" x14ac:dyDescent="0.25">
      <c r="E100" s="338"/>
      <c r="F100" s="338"/>
      <c r="J100" s="269"/>
      <c r="K100" s="338"/>
      <c r="L100" s="338"/>
      <c r="M100" s="338"/>
      <c r="N100" s="338"/>
      <c r="O100" s="338"/>
      <c r="P100" s="338"/>
      <c r="Q100" s="338"/>
      <c r="R100" s="338"/>
      <c r="S100" s="338"/>
    </row>
    <row r="101" spans="2:21" s="338" customFormat="1" x14ac:dyDescent="0.25">
      <c r="C101" s="22" t="str">
        <f ca="1">INDEX('Version control'!$H$34:$H$59,MATCH($A$1,'Version control'!$F$34:$F$59,0),1)&amp;"-E: Transmission exit charges"</f>
        <v>Input 503-E: Transmission exit charges</v>
      </c>
      <c r="D101" s="22"/>
      <c r="E101" s="22"/>
      <c r="F101" s="22"/>
      <c r="G101" s="297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</row>
    <row r="102" spans="2:21" s="338" customFormat="1" x14ac:dyDescent="0.25">
      <c r="G102" s="194"/>
    </row>
    <row r="103" spans="2:21" x14ac:dyDescent="0.25">
      <c r="E103" s="145" t="s">
        <v>134</v>
      </c>
      <c r="G103" s="167" t="s">
        <v>721</v>
      </c>
      <c r="H103" s="167"/>
      <c r="I103" s="160" t="s">
        <v>525</v>
      </c>
      <c r="J103" s="420">
        <f>CHOOSE(year_selection, L103,M103,N103,O103,P103,Q103,R103,S103)</f>
        <v>16472107.115543775</v>
      </c>
      <c r="K103" s="426"/>
      <c r="L103" s="526">
        <v>16245145.859666089</v>
      </c>
      <c r="M103" s="526">
        <v>16000905.550000001</v>
      </c>
      <c r="N103" s="526">
        <v>15992732.639049537</v>
      </c>
      <c r="O103" s="526">
        <v>16472107.115543775</v>
      </c>
      <c r="P103" s="526">
        <f>O103*1.033</f>
        <v>17015686.650356717</v>
      </c>
      <c r="Q103" s="526">
        <f t="shared" ref="Q103:S103" si="24">P103*1.033</f>
        <v>17577204.309818488</v>
      </c>
      <c r="R103" s="526">
        <f t="shared" si="24"/>
        <v>18157252.052042495</v>
      </c>
      <c r="S103" s="526">
        <f t="shared" si="24"/>
        <v>18756441.369759895</v>
      </c>
      <c r="U103" s="160" t="s">
        <v>945</v>
      </c>
    </row>
    <row r="104" spans="2:21" x14ac:dyDescent="0.25">
      <c r="E104" s="338"/>
      <c r="F104" s="338"/>
      <c r="J104" s="420"/>
      <c r="K104" s="416"/>
      <c r="L104" s="416"/>
      <c r="M104" s="416"/>
      <c r="N104" s="416"/>
      <c r="O104" s="416"/>
      <c r="P104" s="416"/>
      <c r="Q104" s="416"/>
      <c r="R104" s="416"/>
      <c r="S104" s="416"/>
    </row>
    <row r="105" spans="2:21" s="338" customFormat="1" x14ac:dyDescent="0.25">
      <c r="C105" s="22" t="str">
        <f ca="1">INDEX('Version control'!$H$34:$H$59,MATCH($A$1,'Version control'!$F$34:$F$59,0),1)&amp;"-F: Other expenditure"</f>
        <v>Input 503-F: Other expenditure</v>
      </c>
      <c r="D105" s="22"/>
      <c r="E105" s="22"/>
      <c r="F105" s="22"/>
      <c r="G105" s="297"/>
      <c r="H105" s="22"/>
      <c r="I105" s="22"/>
      <c r="J105" s="406"/>
      <c r="K105" s="406"/>
      <c r="L105" s="406"/>
      <c r="M105" s="406"/>
      <c r="N105" s="406"/>
      <c r="O105" s="406"/>
      <c r="P105" s="406"/>
      <c r="Q105" s="406"/>
      <c r="R105" s="406"/>
      <c r="S105" s="406"/>
      <c r="T105" s="22"/>
      <c r="U105" s="22"/>
    </row>
    <row r="106" spans="2:21" s="338" customFormat="1" x14ac:dyDescent="0.25">
      <c r="G106" s="194"/>
      <c r="J106" s="416"/>
      <c r="K106" s="416"/>
      <c r="L106" s="416"/>
      <c r="M106" s="416"/>
      <c r="N106" s="416"/>
      <c r="O106" s="416"/>
      <c r="P106" s="416"/>
      <c r="Q106" s="416"/>
      <c r="R106" s="416"/>
      <c r="S106" s="416"/>
    </row>
    <row r="107" spans="2:21" x14ac:dyDescent="0.25">
      <c r="D107" s="172"/>
      <c r="E107" s="172" t="s">
        <v>96</v>
      </c>
      <c r="F107" s="172"/>
      <c r="I107" s="160" t="s">
        <v>525</v>
      </c>
      <c r="J107" s="420"/>
      <c r="K107" s="416"/>
      <c r="L107" s="416"/>
      <c r="M107" s="416"/>
      <c r="N107" s="416"/>
      <c r="O107" s="416"/>
      <c r="P107" s="416"/>
      <c r="Q107" s="416"/>
      <c r="R107" s="416"/>
      <c r="S107" s="416"/>
      <c r="U107" s="160" t="s">
        <v>946</v>
      </c>
    </row>
    <row r="108" spans="2:21" x14ac:dyDescent="0.25">
      <c r="E108" s="338"/>
      <c r="F108" s="40" t="s">
        <v>145</v>
      </c>
      <c r="G108" s="166" t="s">
        <v>721</v>
      </c>
      <c r="H108" s="166"/>
      <c r="I108" s="166"/>
      <c r="J108" s="418">
        <f>CHOOSE(year_selection, L108,M108,N108,O108,P108,Q108,R108,S108)</f>
        <v>58771679.058511339</v>
      </c>
      <c r="K108" s="430"/>
      <c r="L108" s="525">
        <v>47980000</v>
      </c>
      <c r="M108" s="525">
        <v>47712000</v>
      </c>
      <c r="N108" s="525">
        <v>58264582.972293861</v>
      </c>
      <c r="O108" s="525">
        <v>58771679.058511339</v>
      </c>
      <c r="P108" s="525">
        <f>O108*1.033</f>
        <v>60711144.467442207</v>
      </c>
      <c r="Q108" s="525">
        <f t="shared" ref="Q108:S108" si="25">P108*1.033</f>
        <v>62714612.234867796</v>
      </c>
      <c r="R108" s="525">
        <f t="shared" si="25"/>
        <v>64784194.438618429</v>
      </c>
      <c r="S108" s="525">
        <f t="shared" si="25"/>
        <v>66922072.855092831</v>
      </c>
    </row>
    <row r="109" spans="2:21" x14ac:dyDescent="0.25">
      <c r="E109" s="338"/>
      <c r="F109" s="145" t="s">
        <v>146</v>
      </c>
      <c r="G109" s="167" t="s">
        <v>721</v>
      </c>
      <c r="H109" s="167"/>
      <c r="I109" s="167"/>
      <c r="J109" s="420">
        <f>CHOOSE(year_selection, L109,M109,N109,O109,P109,Q109,R109,S109)</f>
        <v>116853936.84700131</v>
      </c>
      <c r="K109" s="426"/>
      <c r="L109" s="526">
        <v>110790000</v>
      </c>
      <c r="M109" s="526">
        <v>112953000</v>
      </c>
      <c r="N109" s="526">
        <v>108358078.88229376</v>
      </c>
      <c r="O109" s="526">
        <v>116853936.84700131</v>
      </c>
      <c r="P109" s="526">
        <f t="shared" ref="P109:S110" si="26">O109*1.033</f>
        <v>120710116.76295234</v>
      </c>
      <c r="Q109" s="526">
        <f t="shared" si="26"/>
        <v>124693550.61612976</v>
      </c>
      <c r="R109" s="526">
        <f t="shared" si="26"/>
        <v>128808437.78646202</v>
      </c>
      <c r="S109" s="526">
        <f t="shared" si="26"/>
        <v>133059116.23341526</v>
      </c>
    </row>
    <row r="110" spans="2:21" x14ac:dyDescent="0.25">
      <c r="E110" s="338"/>
      <c r="F110" s="38" t="s">
        <v>147</v>
      </c>
      <c r="G110" s="168" t="s">
        <v>721</v>
      </c>
      <c r="H110" s="168"/>
      <c r="I110" s="168"/>
      <c r="J110" s="422">
        <f>CHOOSE(year_selection, L110,M110,N110,O110,P110,Q110,R110,S110)</f>
        <v>41998950.399999999</v>
      </c>
      <c r="K110" s="427"/>
      <c r="L110" s="527">
        <v>46475000</v>
      </c>
      <c r="M110" s="527">
        <v>40975731</v>
      </c>
      <c r="N110" s="527">
        <v>40775680</v>
      </c>
      <c r="O110" s="527">
        <v>41998950.399999999</v>
      </c>
      <c r="P110" s="527">
        <f t="shared" si="26"/>
        <v>43384915.763199992</v>
      </c>
      <c r="Q110" s="527">
        <f t="shared" si="26"/>
        <v>44816617.983385585</v>
      </c>
      <c r="R110" s="527">
        <f t="shared" si="26"/>
        <v>46295566.376837306</v>
      </c>
      <c r="S110" s="527">
        <f t="shared" si="26"/>
        <v>47823320.067272931</v>
      </c>
    </row>
    <row r="111" spans="2:21" x14ac:dyDescent="0.25">
      <c r="E111" s="338"/>
      <c r="F111" s="338"/>
      <c r="H111" s="238"/>
      <c r="J111" s="270"/>
    </row>
    <row r="112" spans="2:21" x14ac:dyDescent="0.25">
      <c r="B112" s="171" t="s">
        <v>126</v>
      </c>
      <c r="C112" s="171"/>
      <c r="D112" s="171"/>
      <c r="E112" s="171"/>
      <c r="F112" s="171"/>
      <c r="G112" s="171"/>
      <c r="H112" s="171"/>
      <c r="I112" s="171"/>
      <c r="J112" s="171"/>
      <c r="K112" s="171"/>
      <c r="L112" s="171"/>
      <c r="M112" s="171"/>
      <c r="N112" s="171"/>
      <c r="O112" s="171"/>
      <c r="P112" s="171"/>
      <c r="Q112" s="171"/>
      <c r="R112" s="171"/>
      <c r="S112" s="171"/>
      <c r="T112" s="171"/>
      <c r="U112" s="171"/>
    </row>
    <row r="113" spans="2:21" x14ac:dyDescent="0.25">
      <c r="E113" s="338"/>
      <c r="F113" s="338"/>
    </row>
    <row r="114" spans="2:21" s="474" customFormat="1" x14ac:dyDescent="0.25">
      <c r="C114" s="152" t="s">
        <v>1014</v>
      </c>
      <c r="D114" s="172"/>
    </row>
    <row r="115" spans="2:21" s="474" customFormat="1" x14ac:dyDescent="0.25">
      <c r="D115" s="172"/>
      <c r="E115" s="172"/>
    </row>
    <row r="116" spans="2:21" x14ac:dyDescent="0.25">
      <c r="E116" s="338" t="s">
        <v>622</v>
      </c>
      <c r="F116" s="338"/>
      <c r="G116" s="111" t="s">
        <v>814</v>
      </c>
      <c r="H116" s="316">
        <f t="array" ref="H116">SUM(IF(ISERROR(H15:S111), 1))</f>
        <v>0</v>
      </c>
    </row>
    <row r="117" spans="2:21" x14ac:dyDescent="0.25">
      <c r="E117" s="338"/>
      <c r="F117" s="338"/>
    </row>
    <row r="118" spans="2:21" x14ac:dyDescent="0.25">
      <c r="E118" s="172" t="s">
        <v>1053</v>
      </c>
      <c r="F118" s="338"/>
    </row>
    <row r="119" spans="2:21" x14ac:dyDescent="0.25">
      <c r="E119" s="338"/>
      <c r="F119" s="166" t="s">
        <v>651</v>
      </c>
      <c r="G119" s="109" t="s">
        <v>814</v>
      </c>
      <c r="H119" s="315">
        <f>SUM(L119:S119)</f>
        <v>0</v>
      </c>
      <c r="I119" s="166"/>
      <c r="J119" s="166"/>
      <c r="K119" s="166"/>
      <c r="L119" s="185"/>
      <c r="M119" s="315">
        <f t="shared" ref="M119:S119" si="27">IF(SUM(M19:M21) = M$99 * hours_in_day, 0, 1)</f>
        <v>0</v>
      </c>
      <c r="N119" s="315">
        <f t="shared" si="27"/>
        <v>0</v>
      </c>
      <c r="O119" s="315">
        <f t="shared" si="27"/>
        <v>0</v>
      </c>
      <c r="P119" s="315">
        <f t="shared" si="27"/>
        <v>0</v>
      </c>
      <c r="Q119" s="315">
        <f t="shared" si="27"/>
        <v>0</v>
      </c>
      <c r="R119" s="315">
        <f t="shared" si="27"/>
        <v>0</v>
      </c>
      <c r="S119" s="315">
        <f t="shared" si="27"/>
        <v>0</v>
      </c>
    </row>
    <row r="120" spans="2:21" x14ac:dyDescent="0.25">
      <c r="E120" s="338"/>
      <c r="F120" s="168" t="s">
        <v>652</v>
      </c>
      <c r="G120" s="112" t="s">
        <v>814</v>
      </c>
      <c r="H120" s="318">
        <f>SUM(L120:S120)</f>
        <v>0</v>
      </c>
      <c r="I120" s="168"/>
      <c r="J120" s="168"/>
      <c r="K120" s="168"/>
      <c r="L120" s="179"/>
      <c r="M120" s="318">
        <f t="shared" ref="M120:S120" si="28">IF(SUM(M24:M26) = M$99 * hours_in_day, 0, 1)</f>
        <v>0</v>
      </c>
      <c r="N120" s="318">
        <f t="shared" si="28"/>
        <v>0</v>
      </c>
      <c r="O120" s="318">
        <f t="shared" si="28"/>
        <v>0</v>
      </c>
      <c r="P120" s="318">
        <f t="shared" si="28"/>
        <v>0</v>
      </c>
      <c r="Q120" s="318">
        <f t="shared" si="28"/>
        <v>0</v>
      </c>
      <c r="R120" s="318">
        <f t="shared" si="28"/>
        <v>0</v>
      </c>
      <c r="S120" s="318">
        <f t="shared" si="28"/>
        <v>0</v>
      </c>
    </row>
    <row r="122" spans="2:21" x14ac:dyDescent="0.25">
      <c r="E122" s="338" t="s">
        <v>546</v>
      </c>
      <c r="F122" s="338"/>
      <c r="G122" s="111" t="s">
        <v>814</v>
      </c>
      <c r="H122" s="362">
        <f>SUM(H116, H119:H120)</f>
        <v>0</v>
      </c>
    </row>
    <row r="123" spans="2:21" x14ac:dyDescent="0.25">
      <c r="E123" s="338"/>
      <c r="F123" s="338"/>
    </row>
    <row r="124" spans="2:21" x14ac:dyDescent="0.25">
      <c r="B124" s="171" t="s">
        <v>127</v>
      </c>
      <c r="C124" s="171"/>
      <c r="D124" s="171"/>
      <c r="E124" s="171"/>
      <c r="F124" s="171"/>
      <c r="G124" s="171"/>
      <c r="H124" s="171"/>
      <c r="I124" s="171"/>
      <c r="J124" s="171"/>
      <c r="K124" s="171"/>
      <c r="L124" s="171"/>
      <c r="M124" s="171"/>
      <c r="N124" s="171"/>
      <c r="O124" s="171"/>
      <c r="P124" s="171"/>
      <c r="Q124" s="171"/>
      <c r="R124" s="171"/>
      <c r="S124" s="171"/>
      <c r="T124" s="171"/>
      <c r="U124" s="171"/>
    </row>
  </sheetData>
  <sheetProtection formatCells="0" formatColumns="0" formatRows="0" sort="0" autoFilter="0"/>
  <conditionalFormatting sqref="H116">
    <cfRule type="cellIs" dxfId="102" priority="5" operator="greaterThan">
      <formula>0</formula>
    </cfRule>
  </conditionalFormatting>
  <conditionalFormatting sqref="H119:H120">
    <cfRule type="cellIs" dxfId="101" priority="4" operator="greaterThan">
      <formula>0</formula>
    </cfRule>
  </conditionalFormatting>
  <conditionalFormatting sqref="L119:S120">
    <cfRule type="cellIs" dxfId="100" priority="3" operator="greaterThan">
      <formula>0</formula>
    </cfRule>
  </conditionalFormatting>
  <conditionalFormatting sqref="H122">
    <cfRule type="cellIs" dxfId="99" priority="2" operator="greaterThan">
      <formula>0</formula>
    </cfRule>
  </conditionalFormatting>
  <conditionalFormatting sqref="A4:XFD4">
    <cfRule type="expression" dxfId="98" priority="1">
      <formula>LEFT($A$4,1) &lt;&gt; "0"</formula>
    </cfRule>
  </conditionalFormatting>
  <hyperlinks>
    <hyperlink ref="B6:E6" location="'Model map'!A1" display="Click here to return to model map"/>
  </hyperlinks>
  <pageMargins left="0.7" right="0.7" top="0.75" bottom="0.75" header="0.3" footer="0.3"/>
  <pageSetup paperSize="9" fitToHeight="0" orientation="portrait" r:id="rId1"/>
  <headerFooter>
    <oddHeader>&amp;L&amp;A&amp;C&amp;R&amp;P of &amp;N</oddHeader>
    <oddFooter>&amp;F</oddFooter>
  </headerFooter>
  <ignoredErrors>
    <ignoredError sqref="P33:S36 P83:S83 O91:S91 P98:S98 P103:S103 P108:S110" unlockedFormula="1"/>
    <ignoredError sqref="L47:S47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5" tint="0.59999389629810485"/>
  </sheetPr>
  <dimension ref="A1:CS178"/>
  <sheetViews>
    <sheetView showGridLines="0" zoomScale="80" zoomScaleNormal="80" workbookViewId="0">
      <pane xSplit="9" ySplit="5" topLeftCell="J102" activePane="bottomRight" state="frozen"/>
      <selection activeCell="N50" sqref="N50"/>
      <selection pane="topRight" activeCell="N50" sqref="N50"/>
      <selection pane="bottomLeft" activeCell="N50" sqref="N50"/>
      <selection pane="bottomRight" activeCell="J6" sqref="J6"/>
    </sheetView>
  </sheetViews>
  <sheetFormatPr defaultColWidth="0" defaultRowHeight="15" x14ac:dyDescent="0.25"/>
  <cols>
    <col min="1" max="5" width="2.7109375" style="160" customWidth="1"/>
    <col min="6" max="6" width="59.5703125" style="160" customWidth="1"/>
    <col min="7" max="8" width="20.7109375" style="160" customWidth="1"/>
    <col min="9" max="9" width="2.28515625" style="160" customWidth="1"/>
    <col min="10" max="42" width="17" style="160" customWidth="1"/>
    <col min="43" max="43" width="2.28515625" style="160" customWidth="1"/>
    <col min="44" max="44" width="50.7109375" style="160" customWidth="1"/>
    <col min="45" max="45" width="2.28515625" style="160" customWidth="1"/>
    <col min="46" max="16384" width="9.140625" style="160" hidden="1"/>
  </cols>
  <sheetData>
    <row r="1" spans="1:97" s="25" customFormat="1" x14ac:dyDescent="0.25">
      <c r="A1" s="25" t="str">
        <f ca="1">MID(CELL("filename",A1),FIND("]",CELL("filename",A1))+1,255)</f>
        <v>Fixed inputs</v>
      </c>
    </row>
    <row r="2" spans="1:97" s="25" customFormat="1" x14ac:dyDescent="0.25">
      <c r="A2" s="25" t="str">
        <f>Cover!D21&amp;" - "&amp;Cover!D23</f>
        <v>SEPD - Final</v>
      </c>
    </row>
    <row r="3" spans="1:97" s="97" customFormat="1" x14ac:dyDescent="0.25">
      <c r="A3" s="97" t="str">
        <f>Cover!D2&amp;" - "&amp;Cover!D8&amp;" v"&amp;Cover!D10&amp;" - "&amp;Cover!D19</f>
        <v>ARP model - Release for charge setting v3 - 2020/21</v>
      </c>
    </row>
    <row r="4" spans="1:97" s="338" customFormat="1" x14ac:dyDescent="0.25">
      <c r="A4" s="392" t="str">
        <f>H174 &amp; IF(H174 = 1, " issue", " issues") &amp;" identified in checks on this sheet"</f>
        <v>0 issues identified in checks on this sheet</v>
      </c>
      <c r="B4" s="393"/>
      <c r="C4" s="393"/>
      <c r="D4" s="393"/>
      <c r="E4" s="393"/>
      <c r="F4" s="393"/>
      <c r="G4" s="393"/>
      <c r="H4" s="394"/>
      <c r="I4" s="394"/>
      <c r="J4" s="393"/>
      <c r="K4" s="383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3"/>
      <c r="AD4" s="383"/>
      <c r="AE4" s="383"/>
      <c r="AF4" s="383"/>
      <c r="AG4" s="383"/>
      <c r="AH4" s="383"/>
      <c r="AI4" s="383"/>
      <c r="AJ4" s="383"/>
      <c r="AK4" s="383"/>
      <c r="AL4" s="383"/>
      <c r="AM4" s="383"/>
      <c r="AN4" s="383"/>
      <c r="AO4" s="383"/>
      <c r="AP4" s="383"/>
      <c r="AQ4" s="383"/>
      <c r="AR4" s="383"/>
      <c r="AS4" s="383"/>
      <c r="AT4" s="383"/>
      <c r="AU4" s="383"/>
      <c r="AV4" s="383"/>
      <c r="AW4" s="383"/>
      <c r="AX4" s="383"/>
      <c r="AY4" s="383"/>
      <c r="AZ4" s="383"/>
      <c r="BA4" s="383"/>
      <c r="BB4" s="383"/>
      <c r="BC4" s="383"/>
      <c r="BD4" s="383"/>
      <c r="BE4" s="383"/>
      <c r="BF4" s="383"/>
      <c r="BG4" s="383"/>
      <c r="BH4" s="383"/>
      <c r="BI4" s="383"/>
      <c r="BJ4" s="383"/>
      <c r="BK4" s="383"/>
      <c r="BL4" s="383"/>
      <c r="BM4" s="383"/>
      <c r="BN4" s="383"/>
      <c r="BO4" s="383"/>
      <c r="BP4" s="383"/>
      <c r="BQ4" s="383"/>
      <c r="BR4" s="383"/>
      <c r="BS4" s="383"/>
      <c r="BT4" s="383"/>
      <c r="BU4" s="383"/>
      <c r="BV4" s="383"/>
      <c r="BW4" s="383"/>
      <c r="BX4" s="383"/>
      <c r="BY4" s="383"/>
      <c r="BZ4" s="383"/>
      <c r="CA4" s="383"/>
      <c r="CB4" s="383"/>
      <c r="CC4" s="383"/>
      <c r="CD4" s="383"/>
      <c r="CE4" s="383"/>
      <c r="CF4" s="383"/>
      <c r="CG4" s="383"/>
      <c r="CH4" s="383"/>
      <c r="CI4" s="383"/>
      <c r="CJ4" s="383"/>
      <c r="CK4" s="383"/>
      <c r="CL4" s="383"/>
      <c r="CM4" s="383"/>
      <c r="CN4" s="383"/>
      <c r="CO4" s="383"/>
      <c r="CP4" s="383"/>
      <c r="CQ4" s="383"/>
      <c r="CR4" s="383"/>
      <c r="CS4" s="383"/>
    </row>
    <row r="5" spans="1:97" ht="60" x14ac:dyDescent="0.25">
      <c r="B5" s="244" t="s">
        <v>667</v>
      </c>
      <c r="C5" s="24"/>
      <c r="D5" s="24"/>
      <c r="E5" s="24"/>
      <c r="F5" s="24"/>
      <c r="G5" s="1" t="s">
        <v>108</v>
      </c>
      <c r="H5" s="2" t="s">
        <v>109</v>
      </c>
      <c r="I5" s="200"/>
      <c r="J5" s="2" t="s">
        <v>52</v>
      </c>
      <c r="K5" s="2" t="s">
        <v>53</v>
      </c>
      <c r="L5" s="2" t="s">
        <v>84</v>
      </c>
      <c r="M5" s="2" t="s">
        <v>54</v>
      </c>
      <c r="N5" s="2" t="s">
        <v>55</v>
      </c>
      <c r="O5" s="2" t="s">
        <v>85</v>
      </c>
      <c r="P5" s="2" t="s">
        <v>56</v>
      </c>
      <c r="Q5" s="2" t="s">
        <v>57</v>
      </c>
      <c r="R5" s="2" t="s">
        <v>72</v>
      </c>
      <c r="S5" s="2" t="s">
        <v>58</v>
      </c>
      <c r="T5" s="2" t="s">
        <v>59</v>
      </c>
      <c r="U5" s="2" t="s">
        <v>60</v>
      </c>
      <c r="V5" s="2" t="s">
        <v>61</v>
      </c>
      <c r="W5" s="2" t="s">
        <v>73</v>
      </c>
      <c r="X5" s="2" t="s">
        <v>86</v>
      </c>
      <c r="Y5" s="2" t="s">
        <v>87</v>
      </c>
      <c r="Z5" s="2" t="s">
        <v>88</v>
      </c>
      <c r="AA5" s="2" t="s">
        <v>89</v>
      </c>
      <c r="AB5" s="2" t="s">
        <v>90</v>
      </c>
      <c r="AC5" s="2" t="s">
        <v>62</v>
      </c>
      <c r="AD5" s="2" t="s">
        <v>63</v>
      </c>
      <c r="AE5" s="2" t="s">
        <v>64</v>
      </c>
      <c r="AF5" s="2" t="s">
        <v>65</v>
      </c>
      <c r="AG5" s="2" t="s">
        <v>66</v>
      </c>
      <c r="AH5" s="2" t="s">
        <v>67</v>
      </c>
      <c r="AI5" s="2" t="s">
        <v>68</v>
      </c>
      <c r="AJ5" s="2" t="s">
        <v>69</v>
      </c>
      <c r="AK5" s="2" t="s">
        <v>70</v>
      </c>
      <c r="AL5" s="2" t="s">
        <v>71</v>
      </c>
      <c r="AM5" s="2" t="s">
        <v>74</v>
      </c>
      <c r="AN5" s="2" t="s">
        <v>75</v>
      </c>
      <c r="AO5" s="2" t="s">
        <v>76</v>
      </c>
      <c r="AP5" s="2" t="s">
        <v>77</v>
      </c>
      <c r="AR5" s="1" t="s">
        <v>110</v>
      </c>
    </row>
    <row r="7" spans="1:97" x14ac:dyDescent="0.25">
      <c r="B7" s="171" t="s">
        <v>107</v>
      </c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</row>
    <row r="9" spans="1:97" x14ac:dyDescent="0.25">
      <c r="C9" s="152" t="s">
        <v>339</v>
      </c>
    </row>
    <row r="11" spans="1:97" s="338" customFormat="1" x14ac:dyDescent="0.25">
      <c r="B11" s="171" t="s">
        <v>637</v>
      </c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1"/>
      <c r="Z11" s="171"/>
      <c r="AA11" s="171"/>
      <c r="AB11" s="171"/>
      <c r="AC11" s="171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</row>
    <row r="12" spans="1:97" s="338" customFormat="1" x14ac:dyDescent="0.25"/>
    <row r="13" spans="1:97" x14ac:dyDescent="0.25">
      <c r="C13" s="22" t="str">
        <f ca="1">INDEX('Version control'!$H$34:$H$59,MATCH($A$1,'Version control'!$F$34:$F$59,0),1)&amp;"-A: Conversions and time"</f>
        <v>Input 504-A: Conversions and time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</row>
    <row r="15" spans="1:97" x14ac:dyDescent="0.25">
      <c r="E15" s="145" t="s">
        <v>150</v>
      </c>
      <c r="G15" s="339" t="s">
        <v>338</v>
      </c>
      <c r="H15" s="502">
        <v>24</v>
      </c>
    </row>
    <row r="16" spans="1:97" x14ac:dyDescent="0.25">
      <c r="E16" s="145" t="s">
        <v>413</v>
      </c>
      <c r="G16" s="339" t="s">
        <v>635</v>
      </c>
      <c r="H16" s="502">
        <v>10</v>
      </c>
    </row>
    <row r="17" spans="3:44" x14ac:dyDescent="0.25">
      <c r="E17" s="145" t="s">
        <v>154</v>
      </c>
      <c r="G17" s="339" t="s">
        <v>635</v>
      </c>
      <c r="H17" s="502">
        <v>100</v>
      </c>
    </row>
    <row r="18" spans="3:44" x14ac:dyDescent="0.25">
      <c r="E18" s="145" t="s">
        <v>155</v>
      </c>
      <c r="G18" s="339" t="s">
        <v>635</v>
      </c>
      <c r="H18" s="502">
        <v>1000</v>
      </c>
    </row>
    <row r="20" spans="3:44" x14ac:dyDescent="0.25">
      <c r="C20" s="22" t="str">
        <f ca="1">INDEX('Version control'!$H$34:$H$59,MATCH($A$1,'Version control'!$F$34:$F$59,0),1)&amp;"-B: Input 101-B: Rounding"</f>
        <v>Input 504-B: Input 101-B: Rounding</v>
      </c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</row>
    <row r="22" spans="3:44" s="474" customFormat="1" x14ac:dyDescent="0.25">
      <c r="D22" s="152" t="s">
        <v>948</v>
      </c>
    </row>
    <row r="23" spans="3:44" x14ac:dyDescent="0.25">
      <c r="E23" s="172"/>
    </row>
    <row r="24" spans="3:44" x14ac:dyDescent="0.25">
      <c r="E24" s="172" t="s">
        <v>389</v>
      </c>
      <c r="F24" s="152"/>
      <c r="I24" s="160" t="s">
        <v>525</v>
      </c>
      <c r="AR24" s="73" t="s">
        <v>947</v>
      </c>
    </row>
    <row r="25" spans="3:44" x14ac:dyDescent="0.25">
      <c r="F25" s="180" t="s">
        <v>151</v>
      </c>
      <c r="G25" s="166" t="s">
        <v>635</v>
      </c>
      <c r="H25" s="529">
        <v>3</v>
      </c>
    </row>
    <row r="26" spans="3:44" x14ac:dyDescent="0.25">
      <c r="F26" s="176" t="s">
        <v>152</v>
      </c>
      <c r="G26" s="167" t="s">
        <v>635</v>
      </c>
      <c r="H26" s="502">
        <v>3</v>
      </c>
    </row>
    <row r="27" spans="3:44" x14ac:dyDescent="0.25">
      <c r="F27" s="176" t="s">
        <v>153</v>
      </c>
      <c r="G27" s="167" t="s">
        <v>635</v>
      </c>
      <c r="H27" s="502">
        <v>3</v>
      </c>
    </row>
    <row r="28" spans="3:44" x14ac:dyDescent="0.25">
      <c r="F28" s="176" t="s">
        <v>384</v>
      </c>
      <c r="G28" s="167" t="s">
        <v>635</v>
      </c>
      <c r="H28" s="502">
        <v>2</v>
      </c>
    </row>
    <row r="29" spans="3:44" x14ac:dyDescent="0.25">
      <c r="F29" s="176" t="s">
        <v>385</v>
      </c>
      <c r="G29" s="167" t="s">
        <v>635</v>
      </c>
      <c r="H29" s="502">
        <v>2</v>
      </c>
    </row>
    <row r="30" spans="3:44" x14ac:dyDescent="0.25">
      <c r="F30" s="176" t="s">
        <v>386</v>
      </c>
      <c r="G30" s="167" t="s">
        <v>635</v>
      </c>
      <c r="H30" s="502">
        <v>2</v>
      </c>
    </row>
    <row r="31" spans="3:44" x14ac:dyDescent="0.25">
      <c r="F31" s="177" t="s">
        <v>387</v>
      </c>
      <c r="G31" s="168" t="s">
        <v>635</v>
      </c>
      <c r="H31" s="530">
        <v>3</v>
      </c>
    </row>
    <row r="33" spans="3:44" x14ac:dyDescent="0.25">
      <c r="C33" s="22" t="str">
        <f ca="1">INDEX('Version control'!$H$34:$H$59,MATCH($A$1,'Version control'!$F$34:$F$59,0),1)&amp;"-C: Financial and general assumptions"</f>
        <v>Input 504-C: Financial and general assumptions</v>
      </c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</row>
    <row r="35" spans="3:44" x14ac:dyDescent="0.25">
      <c r="E35" s="145" t="s">
        <v>112</v>
      </c>
      <c r="G35" s="167" t="s">
        <v>113</v>
      </c>
      <c r="H35" s="531">
        <v>40</v>
      </c>
      <c r="I35" s="160" t="s">
        <v>525</v>
      </c>
      <c r="AR35" s="163" t="s">
        <v>944</v>
      </c>
    </row>
    <row r="37" spans="3:44" x14ac:dyDescent="0.25">
      <c r="E37" s="145" t="s">
        <v>40</v>
      </c>
      <c r="G37" s="167" t="s">
        <v>111</v>
      </c>
      <c r="H37" s="531">
        <v>0.95</v>
      </c>
      <c r="I37" s="160" t="s">
        <v>525</v>
      </c>
      <c r="AR37" s="160" t="s">
        <v>1085</v>
      </c>
    </row>
    <row r="39" spans="3:44" x14ac:dyDescent="0.25">
      <c r="E39" s="145" t="s">
        <v>95</v>
      </c>
      <c r="G39" s="167" t="s">
        <v>111</v>
      </c>
      <c r="H39" s="532">
        <v>0.6</v>
      </c>
      <c r="I39" s="160" t="s">
        <v>525</v>
      </c>
      <c r="AR39" s="163" t="s">
        <v>946</v>
      </c>
    </row>
    <row r="41" spans="3:44" x14ac:dyDescent="0.25">
      <c r="E41" s="145" t="s">
        <v>118</v>
      </c>
      <c r="G41" s="145" t="s">
        <v>119</v>
      </c>
      <c r="H41" s="531">
        <v>500</v>
      </c>
      <c r="I41" s="160" t="s">
        <v>525</v>
      </c>
      <c r="AR41" s="165" t="s">
        <v>949</v>
      </c>
    </row>
    <row r="43" spans="3:44" s="338" customFormat="1" x14ac:dyDescent="0.25">
      <c r="C43" s="22" t="str">
        <f ca="1">INDEX('Version control'!$H$34:$H$59,MATCH($A$1,'Version control'!$F$34:$F$59,0),1)&amp;"-D: Mappings"</f>
        <v>Input 504-D: Mappings</v>
      </c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</row>
    <row r="45" spans="3:44" x14ac:dyDescent="0.25">
      <c r="E45" s="172" t="s">
        <v>654</v>
      </c>
    </row>
    <row r="46" spans="3:44" x14ac:dyDescent="0.25">
      <c r="F46" s="230" t="s">
        <v>78</v>
      </c>
      <c r="G46" s="166" t="s">
        <v>149</v>
      </c>
      <c r="H46" s="166"/>
      <c r="I46" s="166"/>
      <c r="J46" s="529">
        <v>1</v>
      </c>
      <c r="K46" s="529">
        <v>1</v>
      </c>
      <c r="L46" s="529">
        <v>1</v>
      </c>
      <c r="M46" s="529">
        <v>1</v>
      </c>
      <c r="N46" s="529">
        <v>1</v>
      </c>
      <c r="O46" s="529">
        <v>1</v>
      </c>
      <c r="P46" s="529">
        <v>1</v>
      </c>
      <c r="Q46" s="529">
        <v>0</v>
      </c>
      <c r="R46" s="529">
        <v>0</v>
      </c>
      <c r="S46" s="529">
        <v>1</v>
      </c>
      <c r="T46" s="529">
        <v>1</v>
      </c>
      <c r="U46" s="529">
        <v>1</v>
      </c>
      <c r="V46" s="529">
        <v>0</v>
      </c>
      <c r="W46" s="529">
        <v>0</v>
      </c>
      <c r="X46" s="529">
        <v>1</v>
      </c>
      <c r="Y46" s="529">
        <v>1</v>
      </c>
      <c r="Z46" s="529">
        <v>1</v>
      </c>
      <c r="AA46" s="529">
        <v>1</v>
      </c>
      <c r="AB46" s="529">
        <v>1</v>
      </c>
      <c r="AC46" s="185"/>
      <c r="AD46" s="185"/>
      <c r="AE46" s="185"/>
      <c r="AF46" s="185"/>
      <c r="AG46" s="185"/>
      <c r="AH46" s="185"/>
      <c r="AI46" s="185"/>
      <c r="AJ46" s="185"/>
      <c r="AK46" s="185"/>
      <c r="AL46" s="185"/>
      <c r="AM46" s="185"/>
      <c r="AN46" s="185"/>
      <c r="AO46" s="185"/>
      <c r="AP46" s="185"/>
    </row>
    <row r="47" spans="3:44" x14ac:dyDescent="0.25">
      <c r="F47" s="227" t="s">
        <v>79</v>
      </c>
      <c r="G47" s="167" t="s">
        <v>149</v>
      </c>
      <c r="H47" s="167"/>
      <c r="I47" s="167"/>
      <c r="J47" s="502">
        <v>1</v>
      </c>
      <c r="K47" s="502">
        <v>1</v>
      </c>
      <c r="L47" s="502">
        <v>1</v>
      </c>
      <c r="M47" s="502">
        <v>1</v>
      </c>
      <c r="N47" s="502">
        <v>1</v>
      </c>
      <c r="O47" s="502">
        <v>1</v>
      </c>
      <c r="P47" s="502">
        <v>1</v>
      </c>
      <c r="Q47" s="502">
        <v>0</v>
      </c>
      <c r="R47" s="502">
        <v>0</v>
      </c>
      <c r="S47" s="502">
        <v>1</v>
      </c>
      <c r="T47" s="502">
        <v>1</v>
      </c>
      <c r="U47" s="502">
        <v>1</v>
      </c>
      <c r="V47" s="502">
        <v>0</v>
      </c>
      <c r="W47" s="502">
        <v>0</v>
      </c>
      <c r="X47" s="502">
        <v>1</v>
      </c>
      <c r="Y47" s="502">
        <v>1</v>
      </c>
      <c r="Z47" s="502">
        <v>1</v>
      </c>
      <c r="AA47" s="502">
        <v>1</v>
      </c>
      <c r="AB47" s="502">
        <v>1</v>
      </c>
      <c r="AC47" s="178"/>
      <c r="AD47" s="178"/>
      <c r="AE47" s="178"/>
      <c r="AF47" s="178"/>
      <c r="AG47" s="178"/>
      <c r="AH47" s="178"/>
      <c r="AI47" s="178"/>
      <c r="AJ47" s="178"/>
      <c r="AK47" s="178"/>
      <c r="AL47" s="178"/>
      <c r="AM47" s="178"/>
      <c r="AN47" s="178"/>
      <c r="AO47" s="178"/>
      <c r="AP47" s="178"/>
    </row>
    <row r="48" spans="3:44" x14ac:dyDescent="0.25">
      <c r="F48" s="227" t="s">
        <v>80</v>
      </c>
      <c r="G48" s="167" t="s">
        <v>149</v>
      </c>
      <c r="H48" s="167"/>
      <c r="I48" s="167"/>
      <c r="J48" s="502">
        <v>0</v>
      </c>
      <c r="K48" s="502">
        <v>0</v>
      </c>
      <c r="L48" s="502">
        <v>0</v>
      </c>
      <c r="M48" s="502">
        <v>0</v>
      </c>
      <c r="N48" s="502">
        <v>0</v>
      </c>
      <c r="O48" s="502">
        <v>0</v>
      </c>
      <c r="P48" s="502">
        <v>0</v>
      </c>
      <c r="Q48" s="502">
        <v>0</v>
      </c>
      <c r="R48" s="502">
        <v>0</v>
      </c>
      <c r="S48" s="502">
        <v>0</v>
      </c>
      <c r="T48" s="502">
        <v>0</v>
      </c>
      <c r="U48" s="502">
        <v>0</v>
      </c>
      <c r="V48" s="502">
        <v>1</v>
      </c>
      <c r="W48" s="502">
        <v>0</v>
      </c>
      <c r="X48" s="502">
        <v>0</v>
      </c>
      <c r="Y48" s="502">
        <v>0</v>
      </c>
      <c r="Z48" s="502">
        <v>0</v>
      </c>
      <c r="AA48" s="502">
        <v>0</v>
      </c>
      <c r="AB48" s="502">
        <v>0</v>
      </c>
      <c r="AC48" s="178"/>
      <c r="AD48" s="178"/>
      <c r="AE48" s="178"/>
      <c r="AF48" s="178"/>
      <c r="AG48" s="178"/>
      <c r="AH48" s="178"/>
      <c r="AI48" s="178"/>
      <c r="AJ48" s="178"/>
      <c r="AK48" s="178"/>
      <c r="AL48" s="178"/>
      <c r="AM48" s="178"/>
      <c r="AN48" s="178"/>
      <c r="AO48" s="178"/>
      <c r="AP48" s="178"/>
    </row>
    <row r="49" spans="5:44" x14ac:dyDescent="0.25">
      <c r="F49" s="228" t="s">
        <v>81</v>
      </c>
      <c r="G49" s="168" t="s">
        <v>149</v>
      </c>
      <c r="H49" s="168"/>
      <c r="I49" s="168"/>
      <c r="J49" s="530">
        <v>0</v>
      </c>
      <c r="K49" s="530">
        <v>0</v>
      </c>
      <c r="L49" s="530">
        <v>0</v>
      </c>
      <c r="M49" s="530">
        <v>0</v>
      </c>
      <c r="N49" s="530">
        <v>0</v>
      </c>
      <c r="O49" s="530">
        <v>0</v>
      </c>
      <c r="P49" s="530">
        <v>0</v>
      </c>
      <c r="Q49" s="530">
        <v>0</v>
      </c>
      <c r="R49" s="530">
        <v>0</v>
      </c>
      <c r="S49" s="530">
        <v>0</v>
      </c>
      <c r="T49" s="530">
        <v>0</v>
      </c>
      <c r="U49" s="530">
        <v>0</v>
      </c>
      <c r="V49" s="530">
        <v>0</v>
      </c>
      <c r="W49" s="530">
        <v>1</v>
      </c>
      <c r="X49" s="530">
        <v>0</v>
      </c>
      <c r="Y49" s="530">
        <v>0</v>
      </c>
      <c r="Z49" s="530">
        <v>0</v>
      </c>
      <c r="AA49" s="530">
        <v>0</v>
      </c>
      <c r="AB49" s="530">
        <v>0</v>
      </c>
      <c r="AC49" s="179"/>
      <c r="AD49" s="179"/>
      <c r="AE49" s="179"/>
      <c r="AF49" s="179"/>
      <c r="AG49" s="179"/>
      <c r="AH49" s="179"/>
      <c r="AI49" s="179"/>
      <c r="AJ49" s="179"/>
      <c r="AK49" s="179"/>
      <c r="AL49" s="179"/>
      <c r="AM49" s="179"/>
      <c r="AN49" s="179"/>
      <c r="AO49" s="179"/>
      <c r="AP49" s="179"/>
    </row>
    <row r="51" spans="5:44" x14ac:dyDescent="0.25">
      <c r="E51" s="172" t="s">
        <v>170</v>
      </c>
      <c r="I51" s="160" t="s">
        <v>525</v>
      </c>
      <c r="AR51" s="163" t="s">
        <v>950</v>
      </c>
    </row>
    <row r="52" spans="5:44" x14ac:dyDescent="0.25">
      <c r="E52" s="152" t="s">
        <v>319</v>
      </c>
    </row>
    <row r="53" spans="5:44" x14ac:dyDescent="0.25">
      <c r="F53" s="230" t="s">
        <v>100</v>
      </c>
      <c r="G53" s="166" t="s">
        <v>149</v>
      </c>
      <c r="H53" s="169"/>
      <c r="I53" s="169"/>
      <c r="J53" s="533">
        <v>0</v>
      </c>
      <c r="K53" s="533">
        <v>0</v>
      </c>
      <c r="L53" s="533">
        <v>0</v>
      </c>
      <c r="M53" s="533">
        <v>0</v>
      </c>
      <c r="N53" s="533">
        <v>0</v>
      </c>
      <c r="O53" s="533">
        <v>0</v>
      </c>
      <c r="P53" s="533">
        <v>0</v>
      </c>
      <c r="Q53" s="533">
        <v>0</v>
      </c>
      <c r="R53" s="533">
        <v>0</v>
      </c>
      <c r="S53" s="533">
        <v>0</v>
      </c>
      <c r="T53" s="533">
        <v>0</v>
      </c>
      <c r="U53" s="533">
        <v>0</v>
      </c>
      <c r="V53" s="533">
        <v>0</v>
      </c>
      <c r="W53" s="533">
        <v>0</v>
      </c>
      <c r="X53" s="533">
        <v>0</v>
      </c>
      <c r="Y53" s="533">
        <v>0</v>
      </c>
      <c r="Z53" s="533">
        <v>0</v>
      </c>
      <c r="AA53" s="533">
        <v>0</v>
      </c>
      <c r="AB53" s="533">
        <v>0</v>
      </c>
      <c r="AC53" s="533">
        <v>0</v>
      </c>
      <c r="AD53" s="533">
        <v>0</v>
      </c>
      <c r="AE53" s="533">
        <v>0</v>
      </c>
      <c r="AF53" s="533">
        <v>0</v>
      </c>
      <c r="AG53" s="533">
        <v>0</v>
      </c>
      <c r="AH53" s="533">
        <v>0</v>
      </c>
      <c r="AI53" s="533">
        <v>0</v>
      </c>
      <c r="AJ53" s="533">
        <v>0</v>
      </c>
      <c r="AK53" s="533">
        <v>0</v>
      </c>
      <c r="AL53" s="533">
        <v>0</v>
      </c>
      <c r="AM53" s="533">
        <v>0</v>
      </c>
      <c r="AN53" s="533">
        <v>0</v>
      </c>
      <c r="AO53" s="533">
        <v>0</v>
      </c>
      <c r="AP53" s="533">
        <v>0</v>
      </c>
    </row>
    <row r="54" spans="5:44" x14ac:dyDescent="0.25">
      <c r="F54" s="227" t="s">
        <v>99</v>
      </c>
      <c r="G54" s="167" t="s">
        <v>149</v>
      </c>
      <c r="H54" s="167"/>
      <c r="I54" s="167"/>
      <c r="J54" s="531">
        <v>0</v>
      </c>
      <c r="K54" s="531">
        <v>0</v>
      </c>
      <c r="L54" s="531">
        <v>0</v>
      </c>
      <c r="M54" s="531">
        <v>0</v>
      </c>
      <c r="N54" s="531">
        <v>0</v>
      </c>
      <c r="O54" s="531">
        <v>0</v>
      </c>
      <c r="P54" s="531">
        <v>0</v>
      </c>
      <c r="Q54" s="531">
        <v>0</v>
      </c>
      <c r="R54" s="531">
        <v>1</v>
      </c>
      <c r="S54" s="531">
        <v>0</v>
      </c>
      <c r="T54" s="531">
        <v>0</v>
      </c>
      <c r="U54" s="531">
        <v>0</v>
      </c>
      <c r="V54" s="531">
        <v>0</v>
      </c>
      <c r="W54" s="531">
        <v>1</v>
      </c>
      <c r="X54" s="531">
        <v>0</v>
      </c>
      <c r="Y54" s="531">
        <v>0</v>
      </c>
      <c r="Z54" s="531">
        <v>0</v>
      </c>
      <c r="AA54" s="531">
        <v>0</v>
      </c>
      <c r="AB54" s="531">
        <v>0</v>
      </c>
      <c r="AC54" s="531">
        <v>0</v>
      </c>
      <c r="AD54" s="531">
        <v>0</v>
      </c>
      <c r="AE54" s="531">
        <v>0</v>
      </c>
      <c r="AF54" s="531">
        <v>0</v>
      </c>
      <c r="AG54" s="531">
        <v>0</v>
      </c>
      <c r="AH54" s="531">
        <v>0</v>
      </c>
      <c r="AI54" s="531">
        <v>0</v>
      </c>
      <c r="AJ54" s="531">
        <v>0</v>
      </c>
      <c r="AK54" s="531">
        <v>0</v>
      </c>
      <c r="AL54" s="531">
        <v>0</v>
      </c>
      <c r="AM54" s="531">
        <v>1</v>
      </c>
      <c r="AN54" s="531">
        <v>1</v>
      </c>
      <c r="AO54" s="531">
        <v>1</v>
      </c>
      <c r="AP54" s="531">
        <v>1</v>
      </c>
    </row>
    <row r="55" spans="5:44" x14ac:dyDescent="0.25">
      <c r="F55" s="227" t="s">
        <v>98</v>
      </c>
      <c r="G55" s="167" t="s">
        <v>149</v>
      </c>
      <c r="H55" s="167"/>
      <c r="I55" s="167"/>
      <c r="J55" s="531">
        <v>0</v>
      </c>
      <c r="K55" s="531">
        <v>0</v>
      </c>
      <c r="L55" s="531">
        <v>0</v>
      </c>
      <c r="M55" s="531">
        <v>0</v>
      </c>
      <c r="N55" s="531">
        <v>0</v>
      </c>
      <c r="O55" s="531">
        <v>0</v>
      </c>
      <c r="P55" s="531">
        <v>0</v>
      </c>
      <c r="Q55" s="531">
        <v>1</v>
      </c>
      <c r="R55" s="531">
        <v>0</v>
      </c>
      <c r="S55" s="531">
        <v>0</v>
      </c>
      <c r="T55" s="531">
        <v>0</v>
      </c>
      <c r="U55" s="531">
        <v>0</v>
      </c>
      <c r="V55" s="531">
        <v>1</v>
      </c>
      <c r="W55" s="531">
        <v>0</v>
      </c>
      <c r="X55" s="531">
        <v>0</v>
      </c>
      <c r="Y55" s="531">
        <v>0</v>
      </c>
      <c r="Z55" s="531">
        <v>0</v>
      </c>
      <c r="AA55" s="531">
        <v>0</v>
      </c>
      <c r="AB55" s="531">
        <v>0</v>
      </c>
      <c r="AC55" s="531">
        <v>0</v>
      </c>
      <c r="AD55" s="531">
        <v>1</v>
      </c>
      <c r="AE55" s="531">
        <v>0</v>
      </c>
      <c r="AF55" s="531">
        <v>0</v>
      </c>
      <c r="AG55" s="531">
        <v>0</v>
      </c>
      <c r="AH55" s="531">
        <v>0</v>
      </c>
      <c r="AI55" s="531">
        <v>1</v>
      </c>
      <c r="AJ55" s="531">
        <v>1</v>
      </c>
      <c r="AK55" s="531">
        <v>1</v>
      </c>
      <c r="AL55" s="531">
        <v>1</v>
      </c>
      <c r="AM55" s="531">
        <v>0</v>
      </c>
      <c r="AN55" s="531">
        <v>0</v>
      </c>
      <c r="AO55" s="531">
        <v>0</v>
      </c>
      <c r="AP55" s="531">
        <v>0</v>
      </c>
    </row>
    <row r="56" spans="5:44" x14ac:dyDescent="0.25">
      <c r="F56" s="228" t="s">
        <v>97</v>
      </c>
      <c r="G56" s="168" t="s">
        <v>149</v>
      </c>
      <c r="H56" s="168"/>
      <c r="I56" s="168"/>
      <c r="J56" s="534">
        <v>1</v>
      </c>
      <c r="K56" s="534">
        <v>1</v>
      </c>
      <c r="L56" s="534">
        <v>1</v>
      </c>
      <c r="M56" s="534">
        <v>1</v>
      </c>
      <c r="N56" s="534">
        <v>1</v>
      </c>
      <c r="O56" s="534">
        <v>1</v>
      </c>
      <c r="P56" s="534">
        <v>1</v>
      </c>
      <c r="Q56" s="534">
        <v>0</v>
      </c>
      <c r="R56" s="534">
        <v>0</v>
      </c>
      <c r="S56" s="534">
        <v>1</v>
      </c>
      <c r="T56" s="534">
        <v>1</v>
      </c>
      <c r="U56" s="534">
        <v>1</v>
      </c>
      <c r="V56" s="534">
        <v>0</v>
      </c>
      <c r="W56" s="534">
        <v>0</v>
      </c>
      <c r="X56" s="534">
        <v>1</v>
      </c>
      <c r="Y56" s="534">
        <v>1</v>
      </c>
      <c r="Z56" s="534">
        <v>1</v>
      </c>
      <c r="AA56" s="534">
        <v>1</v>
      </c>
      <c r="AB56" s="534">
        <v>1</v>
      </c>
      <c r="AC56" s="534">
        <v>1</v>
      </c>
      <c r="AD56" s="534">
        <v>0</v>
      </c>
      <c r="AE56" s="534">
        <v>1</v>
      </c>
      <c r="AF56" s="534">
        <v>1</v>
      </c>
      <c r="AG56" s="534">
        <v>1</v>
      </c>
      <c r="AH56" s="534">
        <v>1</v>
      </c>
      <c r="AI56" s="534">
        <v>0</v>
      </c>
      <c r="AJ56" s="534">
        <v>0</v>
      </c>
      <c r="AK56" s="534">
        <v>0</v>
      </c>
      <c r="AL56" s="534">
        <v>0</v>
      </c>
      <c r="AM56" s="534">
        <v>0</v>
      </c>
      <c r="AN56" s="534">
        <v>0</v>
      </c>
      <c r="AO56" s="534">
        <v>0</v>
      </c>
      <c r="AP56" s="534">
        <v>0</v>
      </c>
    </row>
    <row r="57" spans="5:44" x14ac:dyDescent="0.25">
      <c r="H57" s="163"/>
      <c r="I57" s="163"/>
      <c r="J57" s="163"/>
      <c r="K57" s="163"/>
      <c r="L57" s="163"/>
      <c r="M57" s="163"/>
      <c r="N57" s="163"/>
      <c r="O57" s="163"/>
      <c r="P57" s="163"/>
      <c r="Q57" s="163"/>
    </row>
    <row r="58" spans="5:44" x14ac:dyDescent="0.25">
      <c r="E58" s="172" t="s">
        <v>493</v>
      </c>
    </row>
    <row r="59" spans="5:44" x14ac:dyDescent="0.25">
      <c r="E59" s="152" t="s">
        <v>494</v>
      </c>
    </row>
    <row r="60" spans="5:44" x14ac:dyDescent="0.25">
      <c r="F60" s="166" t="s">
        <v>397</v>
      </c>
      <c r="G60" s="166" t="s">
        <v>158</v>
      </c>
      <c r="H60" s="166"/>
      <c r="I60" s="166"/>
      <c r="J60" s="533">
        <v>1</v>
      </c>
      <c r="K60" s="533">
        <v>1</v>
      </c>
      <c r="L60" s="533">
        <v>1</v>
      </c>
      <c r="M60" s="533">
        <v>1</v>
      </c>
      <c r="N60" s="533">
        <v>1</v>
      </c>
      <c r="O60" s="533">
        <v>1</v>
      </c>
      <c r="P60" s="533">
        <v>1</v>
      </c>
      <c r="Q60" s="533">
        <v>1</v>
      </c>
      <c r="R60" s="533">
        <v>1</v>
      </c>
      <c r="S60" s="533">
        <v>1</v>
      </c>
      <c r="T60" s="533">
        <v>1</v>
      </c>
      <c r="U60" s="533">
        <v>1</v>
      </c>
      <c r="V60" s="533">
        <v>1</v>
      </c>
      <c r="W60" s="533">
        <v>1</v>
      </c>
      <c r="X60" s="533">
        <v>1</v>
      </c>
      <c r="Y60" s="533">
        <v>1</v>
      </c>
      <c r="Z60" s="533">
        <v>1</v>
      </c>
      <c r="AA60" s="533">
        <v>1</v>
      </c>
      <c r="AB60" s="533">
        <v>1</v>
      </c>
      <c r="AC60" s="533">
        <v>-1</v>
      </c>
      <c r="AD60" s="533">
        <v>-1</v>
      </c>
      <c r="AE60" s="533">
        <v>-1</v>
      </c>
      <c r="AF60" s="533">
        <v>-1</v>
      </c>
      <c r="AG60" s="533">
        <v>-1</v>
      </c>
      <c r="AH60" s="533">
        <v>-1</v>
      </c>
      <c r="AI60" s="533">
        <v>-1</v>
      </c>
      <c r="AJ60" s="533">
        <v>-1</v>
      </c>
      <c r="AK60" s="533">
        <v>-1</v>
      </c>
      <c r="AL60" s="533">
        <v>-1</v>
      </c>
      <c r="AM60" s="533">
        <v>-1</v>
      </c>
      <c r="AN60" s="533">
        <v>-1</v>
      </c>
      <c r="AO60" s="533">
        <v>-1</v>
      </c>
      <c r="AP60" s="533">
        <v>-1</v>
      </c>
    </row>
    <row r="61" spans="5:44" x14ac:dyDescent="0.25">
      <c r="F61" s="167" t="s">
        <v>43</v>
      </c>
      <c r="G61" s="167" t="s">
        <v>158</v>
      </c>
      <c r="H61" s="167"/>
      <c r="I61" s="167"/>
      <c r="J61" s="531">
        <v>1</v>
      </c>
      <c r="K61" s="531">
        <v>1</v>
      </c>
      <c r="L61" s="531">
        <v>1</v>
      </c>
      <c r="M61" s="531">
        <v>1</v>
      </c>
      <c r="N61" s="531">
        <v>1</v>
      </c>
      <c r="O61" s="531">
        <v>1</v>
      </c>
      <c r="P61" s="531">
        <v>1</v>
      </c>
      <c r="Q61" s="531">
        <v>1</v>
      </c>
      <c r="R61" s="531">
        <v>1</v>
      </c>
      <c r="S61" s="531">
        <v>1</v>
      </c>
      <c r="T61" s="531">
        <v>1</v>
      </c>
      <c r="U61" s="531">
        <v>1</v>
      </c>
      <c r="V61" s="531">
        <v>1</v>
      </c>
      <c r="W61" s="531">
        <v>1</v>
      </c>
      <c r="X61" s="531">
        <v>1</v>
      </c>
      <c r="Y61" s="531">
        <v>1</v>
      </c>
      <c r="Z61" s="531">
        <v>1</v>
      </c>
      <c r="AA61" s="531">
        <v>1</v>
      </c>
      <c r="AB61" s="531">
        <v>1</v>
      </c>
      <c r="AC61" s="531">
        <v>-1</v>
      </c>
      <c r="AD61" s="531">
        <v>-1</v>
      </c>
      <c r="AE61" s="531">
        <v>-1</v>
      </c>
      <c r="AF61" s="531">
        <v>-1</v>
      </c>
      <c r="AG61" s="531">
        <v>-1</v>
      </c>
      <c r="AH61" s="531">
        <v>-1</v>
      </c>
      <c r="AI61" s="531">
        <v>-1</v>
      </c>
      <c r="AJ61" s="531">
        <v>-1</v>
      </c>
      <c r="AK61" s="531">
        <v>-1</v>
      </c>
      <c r="AL61" s="531">
        <v>-1</v>
      </c>
      <c r="AM61" s="531">
        <v>-1</v>
      </c>
      <c r="AN61" s="531">
        <v>-1</v>
      </c>
      <c r="AO61" s="531">
        <v>-1</v>
      </c>
      <c r="AP61" s="531">
        <v>-1</v>
      </c>
    </row>
    <row r="62" spans="5:44" x14ac:dyDescent="0.25">
      <c r="F62" s="167" t="s">
        <v>44</v>
      </c>
      <c r="G62" s="167" t="s">
        <v>158</v>
      </c>
      <c r="H62" s="167"/>
      <c r="I62" s="167"/>
      <c r="J62" s="531">
        <v>1</v>
      </c>
      <c r="K62" s="531">
        <v>1</v>
      </c>
      <c r="L62" s="531">
        <v>1</v>
      </c>
      <c r="M62" s="531">
        <v>1</v>
      </c>
      <c r="N62" s="531">
        <v>1</v>
      </c>
      <c r="O62" s="531">
        <v>1</v>
      </c>
      <c r="P62" s="531">
        <v>1</v>
      </c>
      <c r="Q62" s="531">
        <v>1</v>
      </c>
      <c r="R62" s="531">
        <v>1</v>
      </c>
      <c r="S62" s="531">
        <v>1</v>
      </c>
      <c r="T62" s="531">
        <v>1</v>
      </c>
      <c r="U62" s="531">
        <v>1</v>
      </c>
      <c r="V62" s="531">
        <v>1</v>
      </c>
      <c r="W62" s="531">
        <v>1</v>
      </c>
      <c r="X62" s="531">
        <v>1</v>
      </c>
      <c r="Y62" s="531">
        <v>1</v>
      </c>
      <c r="Z62" s="531">
        <v>1</v>
      </c>
      <c r="AA62" s="531">
        <v>1</v>
      </c>
      <c r="AB62" s="531">
        <v>1</v>
      </c>
      <c r="AC62" s="531">
        <v>-1</v>
      </c>
      <c r="AD62" s="531">
        <v>-1</v>
      </c>
      <c r="AE62" s="531">
        <v>-1</v>
      </c>
      <c r="AF62" s="531">
        <v>-1</v>
      </c>
      <c r="AG62" s="531">
        <v>-1</v>
      </c>
      <c r="AH62" s="531">
        <v>-1</v>
      </c>
      <c r="AI62" s="531">
        <v>-1</v>
      </c>
      <c r="AJ62" s="531">
        <v>-1</v>
      </c>
      <c r="AK62" s="531">
        <v>-1</v>
      </c>
      <c r="AL62" s="531">
        <v>-1</v>
      </c>
      <c r="AM62" s="531">
        <v>-1</v>
      </c>
      <c r="AN62" s="531">
        <v>-1</v>
      </c>
      <c r="AO62" s="531">
        <v>-1</v>
      </c>
      <c r="AP62" s="531">
        <v>-1</v>
      </c>
    </row>
    <row r="63" spans="5:44" x14ac:dyDescent="0.25">
      <c r="F63" s="167" t="s">
        <v>45</v>
      </c>
      <c r="G63" s="167" t="s">
        <v>158</v>
      </c>
      <c r="H63" s="167"/>
      <c r="I63" s="167"/>
      <c r="J63" s="531">
        <v>1</v>
      </c>
      <c r="K63" s="531">
        <v>1</v>
      </c>
      <c r="L63" s="531">
        <v>1</v>
      </c>
      <c r="M63" s="531">
        <v>1</v>
      </c>
      <c r="N63" s="531">
        <v>1</v>
      </c>
      <c r="O63" s="531">
        <v>1</v>
      </c>
      <c r="P63" s="531">
        <v>1</v>
      </c>
      <c r="Q63" s="531">
        <v>1</v>
      </c>
      <c r="R63" s="531">
        <v>1</v>
      </c>
      <c r="S63" s="531">
        <v>1</v>
      </c>
      <c r="T63" s="531">
        <v>1</v>
      </c>
      <c r="U63" s="531">
        <v>1</v>
      </c>
      <c r="V63" s="531">
        <v>1</v>
      </c>
      <c r="W63" s="531">
        <v>1</v>
      </c>
      <c r="X63" s="531">
        <v>1</v>
      </c>
      <c r="Y63" s="531">
        <v>1</v>
      </c>
      <c r="Z63" s="531">
        <v>1</v>
      </c>
      <c r="AA63" s="531">
        <v>1</v>
      </c>
      <c r="AB63" s="531">
        <v>1</v>
      </c>
      <c r="AC63" s="531">
        <v>-1</v>
      </c>
      <c r="AD63" s="531">
        <v>-1</v>
      </c>
      <c r="AE63" s="531">
        <v>-1</v>
      </c>
      <c r="AF63" s="531">
        <v>-1</v>
      </c>
      <c r="AG63" s="531">
        <v>-1</v>
      </c>
      <c r="AH63" s="531">
        <v>-1</v>
      </c>
      <c r="AI63" s="531">
        <v>-1</v>
      </c>
      <c r="AJ63" s="531">
        <v>-1</v>
      </c>
      <c r="AK63" s="531">
        <v>-1</v>
      </c>
      <c r="AL63" s="531">
        <v>-1</v>
      </c>
      <c r="AM63" s="531">
        <v>-1</v>
      </c>
      <c r="AN63" s="531">
        <v>-1</v>
      </c>
      <c r="AO63" s="531">
        <v>-1</v>
      </c>
      <c r="AP63" s="531">
        <v>-1</v>
      </c>
    </row>
    <row r="64" spans="5:44" x14ac:dyDescent="0.25">
      <c r="F64" s="167" t="s">
        <v>46</v>
      </c>
      <c r="G64" s="167" t="s">
        <v>158</v>
      </c>
      <c r="H64" s="167"/>
      <c r="I64" s="167"/>
      <c r="J64" s="531">
        <v>1</v>
      </c>
      <c r="K64" s="531">
        <v>1</v>
      </c>
      <c r="L64" s="531">
        <v>1</v>
      </c>
      <c r="M64" s="531">
        <v>1</v>
      </c>
      <c r="N64" s="531">
        <v>1</v>
      </c>
      <c r="O64" s="531">
        <v>1</v>
      </c>
      <c r="P64" s="531">
        <v>1</v>
      </c>
      <c r="Q64" s="531">
        <v>1</v>
      </c>
      <c r="R64" s="531">
        <v>1</v>
      </c>
      <c r="S64" s="531">
        <v>1</v>
      </c>
      <c r="T64" s="531">
        <v>1</v>
      </c>
      <c r="U64" s="531">
        <v>1</v>
      </c>
      <c r="V64" s="531">
        <v>1</v>
      </c>
      <c r="W64" s="531">
        <v>1</v>
      </c>
      <c r="X64" s="531">
        <v>1</v>
      </c>
      <c r="Y64" s="531">
        <v>1</v>
      </c>
      <c r="Z64" s="531">
        <v>1</v>
      </c>
      <c r="AA64" s="531">
        <v>1</v>
      </c>
      <c r="AB64" s="531">
        <v>1</v>
      </c>
      <c r="AC64" s="531">
        <v>-1</v>
      </c>
      <c r="AD64" s="531">
        <v>-1</v>
      </c>
      <c r="AE64" s="531">
        <v>-1</v>
      </c>
      <c r="AF64" s="531">
        <v>-1</v>
      </c>
      <c r="AG64" s="531">
        <v>-1</v>
      </c>
      <c r="AH64" s="531">
        <v>-1</v>
      </c>
      <c r="AI64" s="531">
        <v>-1</v>
      </c>
      <c r="AJ64" s="531">
        <v>-1</v>
      </c>
      <c r="AK64" s="531">
        <v>-1</v>
      </c>
      <c r="AL64" s="531">
        <v>-1</v>
      </c>
      <c r="AM64" s="531">
        <v>-1</v>
      </c>
      <c r="AN64" s="531">
        <v>-1</v>
      </c>
      <c r="AO64" s="531">
        <v>-1</v>
      </c>
      <c r="AP64" s="531">
        <v>-1</v>
      </c>
    </row>
    <row r="65" spans="5:44" x14ac:dyDescent="0.25">
      <c r="F65" s="167" t="s">
        <v>47</v>
      </c>
      <c r="G65" s="167" t="s">
        <v>158</v>
      </c>
      <c r="H65" s="167"/>
      <c r="I65" s="167"/>
      <c r="J65" s="531">
        <v>1</v>
      </c>
      <c r="K65" s="531">
        <v>1</v>
      </c>
      <c r="L65" s="531">
        <v>1</v>
      </c>
      <c r="M65" s="531">
        <v>1</v>
      </c>
      <c r="N65" s="531">
        <v>1</v>
      </c>
      <c r="O65" s="531">
        <v>1</v>
      </c>
      <c r="P65" s="531">
        <v>1</v>
      </c>
      <c r="Q65" s="531">
        <v>1</v>
      </c>
      <c r="R65" s="531">
        <v>1</v>
      </c>
      <c r="S65" s="531">
        <v>1</v>
      </c>
      <c r="T65" s="531">
        <v>1</v>
      </c>
      <c r="U65" s="531">
        <v>1</v>
      </c>
      <c r="V65" s="531">
        <v>1</v>
      </c>
      <c r="W65" s="531">
        <v>1</v>
      </c>
      <c r="X65" s="531">
        <v>1</v>
      </c>
      <c r="Y65" s="531">
        <v>1</v>
      </c>
      <c r="Z65" s="531">
        <v>1</v>
      </c>
      <c r="AA65" s="531">
        <v>1</v>
      </c>
      <c r="AB65" s="531">
        <v>1</v>
      </c>
      <c r="AC65" s="531">
        <v>-1</v>
      </c>
      <c r="AD65" s="531">
        <v>-1</v>
      </c>
      <c r="AE65" s="531">
        <v>-1</v>
      </c>
      <c r="AF65" s="531">
        <v>-1</v>
      </c>
      <c r="AG65" s="531">
        <v>-1</v>
      </c>
      <c r="AH65" s="531">
        <v>-1</v>
      </c>
      <c r="AI65" s="531">
        <v>-1</v>
      </c>
      <c r="AJ65" s="531">
        <v>-1</v>
      </c>
      <c r="AK65" s="531">
        <v>-1</v>
      </c>
      <c r="AL65" s="531">
        <v>-1</v>
      </c>
      <c r="AM65" s="531">
        <v>-1</v>
      </c>
      <c r="AN65" s="531">
        <v>-1</v>
      </c>
      <c r="AO65" s="531">
        <v>-1</v>
      </c>
      <c r="AP65" s="531">
        <v>-1</v>
      </c>
    </row>
    <row r="66" spans="5:44" x14ac:dyDescent="0.25">
      <c r="F66" s="167" t="s">
        <v>51</v>
      </c>
      <c r="G66" s="167" t="s">
        <v>158</v>
      </c>
      <c r="H66" s="167"/>
      <c r="I66" s="167"/>
      <c r="J66" s="531">
        <v>1</v>
      </c>
      <c r="K66" s="531">
        <v>1</v>
      </c>
      <c r="L66" s="531">
        <v>1</v>
      </c>
      <c r="M66" s="531">
        <v>1</v>
      </c>
      <c r="N66" s="531">
        <v>1</v>
      </c>
      <c r="O66" s="531">
        <v>1</v>
      </c>
      <c r="P66" s="531">
        <v>1</v>
      </c>
      <c r="Q66" s="531">
        <v>1</v>
      </c>
      <c r="R66" s="531">
        <v>1</v>
      </c>
      <c r="S66" s="531">
        <v>1</v>
      </c>
      <c r="T66" s="531">
        <v>1</v>
      </c>
      <c r="U66" s="531">
        <v>1</v>
      </c>
      <c r="V66" s="531">
        <v>1</v>
      </c>
      <c r="W66" s="531">
        <v>1</v>
      </c>
      <c r="X66" s="531">
        <v>1</v>
      </c>
      <c r="Y66" s="531">
        <v>1</v>
      </c>
      <c r="Z66" s="531">
        <v>1</v>
      </c>
      <c r="AA66" s="531">
        <v>1</v>
      </c>
      <c r="AB66" s="531">
        <v>1</v>
      </c>
      <c r="AC66" s="531">
        <v>-1</v>
      </c>
      <c r="AD66" s="531">
        <v>-1</v>
      </c>
      <c r="AE66" s="531">
        <v>-1</v>
      </c>
      <c r="AF66" s="531">
        <v>-1</v>
      </c>
      <c r="AG66" s="531">
        <v>-1</v>
      </c>
      <c r="AH66" s="531">
        <v>-1</v>
      </c>
      <c r="AI66" s="531">
        <v>-1</v>
      </c>
      <c r="AJ66" s="531">
        <v>-1</v>
      </c>
      <c r="AK66" s="531">
        <v>-1</v>
      </c>
      <c r="AL66" s="531">
        <v>-1</v>
      </c>
      <c r="AM66" s="531">
        <v>-1</v>
      </c>
      <c r="AN66" s="531">
        <v>-1</v>
      </c>
      <c r="AO66" s="531">
        <v>-1</v>
      </c>
      <c r="AP66" s="531">
        <v>-1</v>
      </c>
    </row>
    <row r="67" spans="5:44" x14ac:dyDescent="0.25">
      <c r="F67" s="167" t="s">
        <v>48</v>
      </c>
      <c r="G67" s="167" t="s">
        <v>158</v>
      </c>
      <c r="H67" s="167"/>
      <c r="I67" s="167"/>
      <c r="J67" s="531">
        <v>1</v>
      </c>
      <c r="K67" s="531">
        <v>1</v>
      </c>
      <c r="L67" s="531">
        <v>1</v>
      </c>
      <c r="M67" s="531">
        <v>1</v>
      </c>
      <c r="N67" s="531">
        <v>1</v>
      </c>
      <c r="O67" s="531">
        <v>1</v>
      </c>
      <c r="P67" s="531">
        <v>1</v>
      </c>
      <c r="Q67" s="531">
        <v>1</v>
      </c>
      <c r="R67" s="531">
        <v>1</v>
      </c>
      <c r="S67" s="531">
        <v>1</v>
      </c>
      <c r="T67" s="531">
        <v>1</v>
      </c>
      <c r="U67" s="531">
        <v>1</v>
      </c>
      <c r="V67" s="531">
        <v>1</v>
      </c>
      <c r="W67" s="531">
        <v>1</v>
      </c>
      <c r="X67" s="531">
        <v>1</v>
      </c>
      <c r="Y67" s="531">
        <v>1</v>
      </c>
      <c r="Z67" s="531">
        <v>1</v>
      </c>
      <c r="AA67" s="531">
        <v>1</v>
      </c>
      <c r="AB67" s="531">
        <v>1</v>
      </c>
      <c r="AC67" s="531">
        <v>-1</v>
      </c>
      <c r="AD67" s="531">
        <v>-1</v>
      </c>
      <c r="AE67" s="531">
        <v>-1</v>
      </c>
      <c r="AF67" s="531">
        <v>-1</v>
      </c>
      <c r="AG67" s="531">
        <v>-1</v>
      </c>
      <c r="AH67" s="531">
        <v>-1</v>
      </c>
      <c r="AI67" s="531">
        <v>-1</v>
      </c>
      <c r="AJ67" s="531">
        <v>-1</v>
      </c>
      <c r="AK67" s="531">
        <v>-1</v>
      </c>
      <c r="AL67" s="531">
        <v>-1</v>
      </c>
      <c r="AM67" s="531">
        <v>-1</v>
      </c>
      <c r="AN67" s="531">
        <v>-1</v>
      </c>
      <c r="AO67" s="531">
        <v>-1</v>
      </c>
      <c r="AP67" s="531">
        <v>-1</v>
      </c>
    </row>
    <row r="68" spans="5:44" x14ac:dyDescent="0.25">
      <c r="F68" s="167" t="s">
        <v>49</v>
      </c>
      <c r="G68" s="167" t="s">
        <v>158</v>
      </c>
      <c r="H68" s="167"/>
      <c r="I68" s="167"/>
      <c r="J68" s="531">
        <v>1</v>
      </c>
      <c r="K68" s="531">
        <v>1</v>
      </c>
      <c r="L68" s="531">
        <v>1</v>
      </c>
      <c r="M68" s="531">
        <v>1</v>
      </c>
      <c r="N68" s="531">
        <v>1</v>
      </c>
      <c r="O68" s="531">
        <v>1</v>
      </c>
      <c r="P68" s="531">
        <v>1</v>
      </c>
      <c r="Q68" s="531">
        <v>1</v>
      </c>
      <c r="R68" s="531">
        <v>0</v>
      </c>
      <c r="S68" s="531">
        <v>1</v>
      </c>
      <c r="T68" s="531">
        <v>1</v>
      </c>
      <c r="U68" s="531">
        <v>1</v>
      </c>
      <c r="V68" s="531">
        <v>1</v>
      </c>
      <c r="W68" s="531">
        <v>0</v>
      </c>
      <c r="X68" s="531">
        <v>1</v>
      </c>
      <c r="Y68" s="531">
        <v>1</v>
      </c>
      <c r="Z68" s="531">
        <v>1</v>
      </c>
      <c r="AA68" s="531">
        <v>1</v>
      </c>
      <c r="AB68" s="531">
        <v>1</v>
      </c>
      <c r="AC68" s="531">
        <v>-1</v>
      </c>
      <c r="AD68" s="531">
        <v>-1</v>
      </c>
      <c r="AE68" s="531">
        <v>-1</v>
      </c>
      <c r="AF68" s="531">
        <v>-1</v>
      </c>
      <c r="AG68" s="531">
        <v>-1</v>
      </c>
      <c r="AH68" s="531">
        <v>-1</v>
      </c>
      <c r="AI68" s="531">
        <v>-1</v>
      </c>
      <c r="AJ68" s="531">
        <v>-1</v>
      </c>
      <c r="AK68" s="531">
        <v>-1</v>
      </c>
      <c r="AL68" s="531">
        <v>-1</v>
      </c>
      <c r="AM68" s="531">
        <v>0</v>
      </c>
      <c r="AN68" s="531">
        <v>0</v>
      </c>
      <c r="AO68" s="531">
        <v>0</v>
      </c>
      <c r="AP68" s="531">
        <v>0</v>
      </c>
    </row>
    <row r="69" spans="5:44" x14ac:dyDescent="0.25">
      <c r="F69" s="168" t="s">
        <v>50</v>
      </c>
      <c r="G69" s="168" t="s">
        <v>158</v>
      </c>
      <c r="H69" s="168"/>
      <c r="I69" s="168"/>
      <c r="J69" s="534">
        <v>1</v>
      </c>
      <c r="K69" s="534">
        <v>1</v>
      </c>
      <c r="L69" s="534">
        <v>1</v>
      </c>
      <c r="M69" s="534">
        <v>1</v>
      </c>
      <c r="N69" s="534">
        <v>1</v>
      </c>
      <c r="O69" s="534">
        <v>1</v>
      </c>
      <c r="P69" s="534">
        <v>1</v>
      </c>
      <c r="Q69" s="534">
        <v>0</v>
      </c>
      <c r="R69" s="534">
        <v>0</v>
      </c>
      <c r="S69" s="534">
        <v>1</v>
      </c>
      <c r="T69" s="534">
        <v>1</v>
      </c>
      <c r="U69" s="534">
        <v>1</v>
      </c>
      <c r="V69" s="534">
        <v>0</v>
      </c>
      <c r="W69" s="534">
        <v>0</v>
      </c>
      <c r="X69" s="534">
        <v>1</v>
      </c>
      <c r="Y69" s="534">
        <v>1</v>
      </c>
      <c r="Z69" s="534">
        <v>1</v>
      </c>
      <c r="AA69" s="534">
        <v>1</v>
      </c>
      <c r="AB69" s="534">
        <v>1</v>
      </c>
      <c r="AC69" s="534">
        <v>-1</v>
      </c>
      <c r="AD69" s="534">
        <v>0</v>
      </c>
      <c r="AE69" s="534">
        <v>-1</v>
      </c>
      <c r="AF69" s="534">
        <v>-1</v>
      </c>
      <c r="AG69" s="534">
        <v>-1</v>
      </c>
      <c r="AH69" s="534">
        <v>-1</v>
      </c>
      <c r="AI69" s="534">
        <v>0</v>
      </c>
      <c r="AJ69" s="534">
        <v>0</v>
      </c>
      <c r="AK69" s="534">
        <v>0</v>
      </c>
      <c r="AL69" s="534">
        <v>0</v>
      </c>
      <c r="AM69" s="534">
        <v>0</v>
      </c>
      <c r="AN69" s="534">
        <v>0</v>
      </c>
      <c r="AO69" s="534">
        <v>0</v>
      </c>
      <c r="AP69" s="534">
        <v>0</v>
      </c>
    </row>
    <row r="71" spans="5:44" x14ac:dyDescent="0.25">
      <c r="E71" s="172" t="s">
        <v>492</v>
      </c>
      <c r="I71" s="160" t="s">
        <v>525</v>
      </c>
      <c r="AR71" s="163" t="s">
        <v>1086</v>
      </c>
    </row>
    <row r="72" spans="5:44" x14ac:dyDescent="0.25">
      <c r="E72" s="152" t="s">
        <v>392</v>
      </c>
    </row>
    <row r="73" spans="5:44" x14ac:dyDescent="0.25">
      <c r="E73" s="152"/>
      <c r="F73" s="166" t="s">
        <v>397</v>
      </c>
      <c r="G73" s="166" t="s">
        <v>158</v>
      </c>
      <c r="H73" s="166"/>
      <c r="I73" s="166"/>
      <c r="J73" s="533">
        <v>1</v>
      </c>
      <c r="K73" s="533">
        <v>1</v>
      </c>
      <c r="L73" s="533">
        <v>1</v>
      </c>
      <c r="M73" s="533">
        <v>1</v>
      </c>
      <c r="N73" s="533">
        <v>1</v>
      </c>
      <c r="O73" s="533">
        <v>1</v>
      </c>
      <c r="P73" s="533">
        <v>1</v>
      </c>
      <c r="Q73" s="533">
        <v>1</v>
      </c>
      <c r="R73" s="533">
        <v>1</v>
      </c>
      <c r="S73" s="533">
        <v>1</v>
      </c>
      <c r="T73" s="533">
        <v>1</v>
      </c>
      <c r="U73" s="533">
        <v>1</v>
      </c>
      <c r="V73" s="533">
        <v>1</v>
      </c>
      <c r="W73" s="533">
        <v>1</v>
      </c>
      <c r="X73" s="533">
        <v>1</v>
      </c>
      <c r="Y73" s="533">
        <v>1</v>
      </c>
      <c r="Z73" s="533">
        <v>1</v>
      </c>
      <c r="AA73" s="533">
        <v>1</v>
      </c>
      <c r="AB73" s="533">
        <v>1</v>
      </c>
      <c r="AC73" s="533">
        <v>-1</v>
      </c>
      <c r="AD73" s="533">
        <v>-1</v>
      </c>
      <c r="AE73" s="533">
        <v>-1</v>
      </c>
      <c r="AF73" s="533">
        <v>-1</v>
      </c>
      <c r="AG73" s="533">
        <v>-1</v>
      </c>
      <c r="AH73" s="533">
        <v>-1</v>
      </c>
      <c r="AI73" s="533">
        <v>-1</v>
      </c>
      <c r="AJ73" s="533">
        <v>-1</v>
      </c>
      <c r="AK73" s="533">
        <v>-1</v>
      </c>
      <c r="AL73" s="533">
        <v>-1</v>
      </c>
      <c r="AM73" s="533">
        <v>-1</v>
      </c>
      <c r="AN73" s="533">
        <v>-1</v>
      </c>
      <c r="AO73" s="533">
        <v>-1</v>
      </c>
      <c r="AP73" s="533">
        <v>-1</v>
      </c>
    </row>
    <row r="74" spans="5:44" x14ac:dyDescent="0.25">
      <c r="E74" s="152"/>
      <c r="F74" s="167" t="s">
        <v>43</v>
      </c>
      <c r="G74" s="167" t="s">
        <v>158</v>
      </c>
      <c r="H74" s="167"/>
      <c r="I74" s="167"/>
      <c r="J74" s="531">
        <v>1</v>
      </c>
      <c r="K74" s="531">
        <v>1</v>
      </c>
      <c r="L74" s="531">
        <v>1</v>
      </c>
      <c r="M74" s="531">
        <v>1</v>
      </c>
      <c r="N74" s="531">
        <v>1</v>
      </c>
      <c r="O74" s="531">
        <v>1</v>
      </c>
      <c r="P74" s="531">
        <v>1</v>
      </c>
      <c r="Q74" s="531">
        <v>1</v>
      </c>
      <c r="R74" s="531">
        <v>1</v>
      </c>
      <c r="S74" s="531">
        <v>1</v>
      </c>
      <c r="T74" s="531">
        <v>1</v>
      </c>
      <c r="U74" s="531">
        <v>1</v>
      </c>
      <c r="V74" s="531">
        <v>1</v>
      </c>
      <c r="W74" s="531">
        <v>1</v>
      </c>
      <c r="X74" s="531">
        <v>1</v>
      </c>
      <c r="Y74" s="531">
        <v>1</v>
      </c>
      <c r="Z74" s="531">
        <v>1</v>
      </c>
      <c r="AA74" s="531">
        <v>1</v>
      </c>
      <c r="AB74" s="531">
        <v>1</v>
      </c>
      <c r="AC74" s="531">
        <v>-1</v>
      </c>
      <c r="AD74" s="531">
        <v>-1</v>
      </c>
      <c r="AE74" s="531">
        <v>-1</v>
      </c>
      <c r="AF74" s="531">
        <v>-1</v>
      </c>
      <c r="AG74" s="531">
        <v>-1</v>
      </c>
      <c r="AH74" s="531">
        <v>-1</v>
      </c>
      <c r="AI74" s="531">
        <v>-1</v>
      </c>
      <c r="AJ74" s="531">
        <v>-1</v>
      </c>
      <c r="AK74" s="531">
        <v>-1</v>
      </c>
      <c r="AL74" s="531">
        <v>-1</v>
      </c>
      <c r="AM74" s="531">
        <v>-1</v>
      </c>
      <c r="AN74" s="531">
        <v>-1</v>
      </c>
      <c r="AO74" s="531">
        <v>-1</v>
      </c>
      <c r="AP74" s="531">
        <v>-1</v>
      </c>
    </row>
    <row r="75" spans="5:44" x14ac:dyDescent="0.25">
      <c r="E75" s="152"/>
      <c r="F75" s="167" t="s">
        <v>44</v>
      </c>
      <c r="G75" s="167" t="s">
        <v>158</v>
      </c>
      <c r="H75" s="167"/>
      <c r="I75" s="167"/>
      <c r="J75" s="531">
        <v>1</v>
      </c>
      <c r="K75" s="531">
        <v>1</v>
      </c>
      <c r="L75" s="531">
        <v>1</v>
      </c>
      <c r="M75" s="531">
        <v>1</v>
      </c>
      <c r="N75" s="531">
        <v>1</v>
      </c>
      <c r="O75" s="531">
        <v>1</v>
      </c>
      <c r="P75" s="531">
        <v>1</v>
      </c>
      <c r="Q75" s="531">
        <v>1</v>
      </c>
      <c r="R75" s="531">
        <v>1</v>
      </c>
      <c r="S75" s="531">
        <v>1</v>
      </c>
      <c r="T75" s="531">
        <v>1</v>
      </c>
      <c r="U75" s="531">
        <v>1</v>
      </c>
      <c r="V75" s="531">
        <v>1</v>
      </c>
      <c r="W75" s="531">
        <v>1</v>
      </c>
      <c r="X75" s="531">
        <v>1</v>
      </c>
      <c r="Y75" s="531">
        <v>1</v>
      </c>
      <c r="Z75" s="531">
        <v>1</v>
      </c>
      <c r="AA75" s="531">
        <v>1</v>
      </c>
      <c r="AB75" s="531">
        <v>1</v>
      </c>
      <c r="AC75" s="531">
        <v>-1</v>
      </c>
      <c r="AD75" s="531">
        <v>-1</v>
      </c>
      <c r="AE75" s="531">
        <v>-1</v>
      </c>
      <c r="AF75" s="531">
        <v>-1</v>
      </c>
      <c r="AG75" s="531">
        <v>-1</v>
      </c>
      <c r="AH75" s="531">
        <v>-1</v>
      </c>
      <c r="AI75" s="531">
        <v>-1</v>
      </c>
      <c r="AJ75" s="531">
        <v>-1</v>
      </c>
      <c r="AK75" s="531">
        <v>-1</v>
      </c>
      <c r="AL75" s="531">
        <v>-1</v>
      </c>
      <c r="AM75" s="531">
        <v>-1</v>
      </c>
      <c r="AN75" s="531">
        <v>-1</v>
      </c>
      <c r="AO75" s="531">
        <v>-1</v>
      </c>
      <c r="AP75" s="531">
        <v>-1</v>
      </c>
    </row>
    <row r="76" spans="5:44" x14ac:dyDescent="0.25">
      <c r="E76" s="152"/>
      <c r="F76" s="167" t="s">
        <v>45</v>
      </c>
      <c r="G76" s="167" t="s">
        <v>158</v>
      </c>
      <c r="H76" s="167"/>
      <c r="I76" s="167"/>
      <c r="J76" s="531">
        <v>1</v>
      </c>
      <c r="K76" s="531">
        <v>1</v>
      </c>
      <c r="L76" s="531">
        <v>1</v>
      </c>
      <c r="M76" s="531">
        <v>1</v>
      </c>
      <c r="N76" s="531">
        <v>1</v>
      </c>
      <c r="O76" s="531">
        <v>1</v>
      </c>
      <c r="P76" s="531">
        <v>1</v>
      </c>
      <c r="Q76" s="531">
        <v>1</v>
      </c>
      <c r="R76" s="531">
        <v>1</v>
      </c>
      <c r="S76" s="531">
        <v>1</v>
      </c>
      <c r="T76" s="531">
        <v>1</v>
      </c>
      <c r="U76" s="531">
        <v>1</v>
      </c>
      <c r="V76" s="531">
        <v>1</v>
      </c>
      <c r="W76" s="531">
        <v>1</v>
      </c>
      <c r="X76" s="531">
        <v>1</v>
      </c>
      <c r="Y76" s="531">
        <v>1</v>
      </c>
      <c r="Z76" s="531">
        <v>1</v>
      </c>
      <c r="AA76" s="531">
        <v>1</v>
      </c>
      <c r="AB76" s="531">
        <v>1</v>
      </c>
      <c r="AC76" s="531">
        <v>-1</v>
      </c>
      <c r="AD76" s="531">
        <v>-1</v>
      </c>
      <c r="AE76" s="531">
        <v>-1</v>
      </c>
      <c r="AF76" s="531">
        <v>-1</v>
      </c>
      <c r="AG76" s="531">
        <v>-1</v>
      </c>
      <c r="AH76" s="531">
        <v>-1</v>
      </c>
      <c r="AI76" s="531">
        <v>-1</v>
      </c>
      <c r="AJ76" s="531">
        <v>-1</v>
      </c>
      <c r="AK76" s="531">
        <v>-1</v>
      </c>
      <c r="AL76" s="531">
        <v>-1</v>
      </c>
      <c r="AM76" s="531">
        <v>-1</v>
      </c>
      <c r="AN76" s="531">
        <v>-1</v>
      </c>
      <c r="AO76" s="531">
        <v>-1</v>
      </c>
      <c r="AP76" s="531">
        <v>-1</v>
      </c>
    </row>
    <row r="77" spans="5:44" x14ac:dyDescent="0.25">
      <c r="E77" s="152"/>
      <c r="F77" s="167" t="s">
        <v>46</v>
      </c>
      <c r="G77" s="167" t="s">
        <v>158</v>
      </c>
      <c r="H77" s="167"/>
      <c r="I77" s="167"/>
      <c r="J77" s="531">
        <v>1</v>
      </c>
      <c r="K77" s="531">
        <v>1</v>
      </c>
      <c r="L77" s="531">
        <v>1</v>
      </c>
      <c r="M77" s="531">
        <v>1</v>
      </c>
      <c r="N77" s="531">
        <v>1</v>
      </c>
      <c r="O77" s="531">
        <v>1</v>
      </c>
      <c r="P77" s="531">
        <v>1</v>
      </c>
      <c r="Q77" s="531">
        <v>1</v>
      </c>
      <c r="R77" s="531">
        <v>1</v>
      </c>
      <c r="S77" s="531">
        <v>1</v>
      </c>
      <c r="T77" s="531">
        <v>1</v>
      </c>
      <c r="U77" s="531">
        <v>1</v>
      </c>
      <c r="V77" s="531">
        <v>1</v>
      </c>
      <c r="W77" s="531">
        <v>1</v>
      </c>
      <c r="X77" s="531">
        <v>1</v>
      </c>
      <c r="Y77" s="531">
        <v>1</v>
      </c>
      <c r="Z77" s="531">
        <v>1</v>
      </c>
      <c r="AA77" s="531">
        <v>1</v>
      </c>
      <c r="AB77" s="531">
        <v>1</v>
      </c>
      <c r="AC77" s="531">
        <v>-1</v>
      </c>
      <c r="AD77" s="531">
        <v>-1</v>
      </c>
      <c r="AE77" s="531">
        <v>-1</v>
      </c>
      <c r="AF77" s="531">
        <v>-1</v>
      </c>
      <c r="AG77" s="531">
        <v>-1</v>
      </c>
      <c r="AH77" s="531">
        <v>-1</v>
      </c>
      <c r="AI77" s="531">
        <v>-1</v>
      </c>
      <c r="AJ77" s="531">
        <v>-1</v>
      </c>
      <c r="AK77" s="531">
        <v>-1</v>
      </c>
      <c r="AL77" s="531">
        <v>-1</v>
      </c>
      <c r="AM77" s="531">
        <v>-1</v>
      </c>
      <c r="AN77" s="531">
        <v>-1</v>
      </c>
      <c r="AO77" s="531">
        <v>-1</v>
      </c>
      <c r="AP77" s="531">
        <v>-1</v>
      </c>
    </row>
    <row r="78" spans="5:44" x14ac:dyDescent="0.25">
      <c r="E78" s="152"/>
      <c r="F78" s="167" t="s">
        <v>47</v>
      </c>
      <c r="G78" s="167" t="s">
        <v>158</v>
      </c>
      <c r="H78" s="167"/>
      <c r="I78" s="167"/>
      <c r="J78" s="531">
        <v>1</v>
      </c>
      <c r="K78" s="531">
        <v>1</v>
      </c>
      <c r="L78" s="531">
        <v>1</v>
      </c>
      <c r="M78" s="531">
        <v>1</v>
      </c>
      <c r="N78" s="531">
        <v>1</v>
      </c>
      <c r="O78" s="531">
        <v>1</v>
      </c>
      <c r="P78" s="531">
        <v>1</v>
      </c>
      <c r="Q78" s="531">
        <v>1</v>
      </c>
      <c r="R78" s="531">
        <v>1</v>
      </c>
      <c r="S78" s="531">
        <v>1</v>
      </c>
      <c r="T78" s="531">
        <v>1</v>
      </c>
      <c r="U78" s="531">
        <v>1</v>
      </c>
      <c r="V78" s="531">
        <v>1</v>
      </c>
      <c r="W78" s="531">
        <v>1</v>
      </c>
      <c r="X78" s="531">
        <v>1</v>
      </c>
      <c r="Y78" s="531">
        <v>1</v>
      </c>
      <c r="Z78" s="531">
        <v>1</v>
      </c>
      <c r="AA78" s="531">
        <v>1</v>
      </c>
      <c r="AB78" s="531">
        <v>1</v>
      </c>
      <c r="AC78" s="531">
        <v>-1</v>
      </c>
      <c r="AD78" s="531">
        <v>-1</v>
      </c>
      <c r="AE78" s="531">
        <v>-1</v>
      </c>
      <c r="AF78" s="531">
        <v>-1</v>
      </c>
      <c r="AG78" s="531">
        <v>-1</v>
      </c>
      <c r="AH78" s="531">
        <v>-1</v>
      </c>
      <c r="AI78" s="531">
        <v>-1</v>
      </c>
      <c r="AJ78" s="531">
        <v>-1</v>
      </c>
      <c r="AK78" s="531">
        <v>-1</v>
      </c>
      <c r="AL78" s="531">
        <v>-1</v>
      </c>
      <c r="AM78" s="531">
        <v>-1</v>
      </c>
      <c r="AN78" s="531">
        <v>-1</v>
      </c>
      <c r="AO78" s="531">
        <v>-1</v>
      </c>
      <c r="AP78" s="531">
        <v>-1</v>
      </c>
    </row>
    <row r="79" spans="5:44" x14ac:dyDescent="0.25">
      <c r="E79" s="152"/>
      <c r="F79" s="167" t="s">
        <v>51</v>
      </c>
      <c r="G79" s="167" t="s">
        <v>158</v>
      </c>
      <c r="H79" s="167"/>
      <c r="I79" s="167"/>
      <c r="J79" s="531">
        <v>1</v>
      </c>
      <c r="K79" s="531">
        <v>1</v>
      </c>
      <c r="L79" s="531">
        <v>1</v>
      </c>
      <c r="M79" s="531">
        <v>1</v>
      </c>
      <c r="N79" s="531">
        <v>1</v>
      </c>
      <c r="O79" s="531">
        <v>1</v>
      </c>
      <c r="P79" s="531">
        <v>1</v>
      </c>
      <c r="Q79" s="531">
        <v>1</v>
      </c>
      <c r="R79" s="531">
        <v>1</v>
      </c>
      <c r="S79" s="531">
        <v>1</v>
      </c>
      <c r="T79" s="531">
        <v>1</v>
      </c>
      <c r="U79" s="531">
        <v>1</v>
      </c>
      <c r="V79" s="531">
        <v>1</v>
      </c>
      <c r="W79" s="531">
        <v>1</v>
      </c>
      <c r="X79" s="531">
        <v>1</v>
      </c>
      <c r="Y79" s="531">
        <v>1</v>
      </c>
      <c r="Z79" s="531">
        <v>1</v>
      </c>
      <c r="AA79" s="531">
        <v>1</v>
      </c>
      <c r="AB79" s="531">
        <v>1</v>
      </c>
      <c r="AC79" s="531">
        <v>-1</v>
      </c>
      <c r="AD79" s="531">
        <v>-1</v>
      </c>
      <c r="AE79" s="531">
        <v>-1</v>
      </c>
      <c r="AF79" s="531">
        <v>-1</v>
      </c>
      <c r="AG79" s="531">
        <v>-1</v>
      </c>
      <c r="AH79" s="531">
        <v>-1</v>
      </c>
      <c r="AI79" s="531">
        <v>-1</v>
      </c>
      <c r="AJ79" s="531">
        <v>-1</v>
      </c>
      <c r="AK79" s="531">
        <v>-1</v>
      </c>
      <c r="AL79" s="531">
        <v>-1</v>
      </c>
      <c r="AM79" s="531">
        <v>-1</v>
      </c>
      <c r="AN79" s="531">
        <v>-1</v>
      </c>
      <c r="AO79" s="531">
        <v>-1</v>
      </c>
      <c r="AP79" s="531">
        <v>-1</v>
      </c>
    </row>
    <row r="80" spans="5:44" x14ac:dyDescent="0.25">
      <c r="E80" s="152"/>
      <c r="F80" s="167" t="s">
        <v>48</v>
      </c>
      <c r="G80" s="167" t="s">
        <v>158</v>
      </c>
      <c r="H80" s="167"/>
      <c r="I80" s="167"/>
      <c r="J80" s="531">
        <v>1</v>
      </c>
      <c r="K80" s="531">
        <v>1</v>
      </c>
      <c r="L80" s="531">
        <v>1</v>
      </c>
      <c r="M80" s="531">
        <v>1</v>
      </c>
      <c r="N80" s="531">
        <v>1</v>
      </c>
      <c r="O80" s="531">
        <v>1</v>
      </c>
      <c r="P80" s="531">
        <v>1</v>
      </c>
      <c r="Q80" s="531">
        <v>1</v>
      </c>
      <c r="R80" s="531">
        <v>1</v>
      </c>
      <c r="S80" s="531">
        <v>1</v>
      </c>
      <c r="T80" s="531">
        <v>1</v>
      </c>
      <c r="U80" s="531">
        <v>1</v>
      </c>
      <c r="V80" s="531">
        <v>1</v>
      </c>
      <c r="W80" s="531">
        <v>1</v>
      </c>
      <c r="X80" s="531">
        <v>1</v>
      </c>
      <c r="Y80" s="531">
        <v>1</v>
      </c>
      <c r="Z80" s="531">
        <v>1</v>
      </c>
      <c r="AA80" s="531">
        <v>1</v>
      </c>
      <c r="AB80" s="531">
        <v>1</v>
      </c>
      <c r="AC80" s="531">
        <v>-1</v>
      </c>
      <c r="AD80" s="531">
        <v>-1</v>
      </c>
      <c r="AE80" s="531">
        <v>-1</v>
      </c>
      <c r="AF80" s="531">
        <v>-1</v>
      </c>
      <c r="AG80" s="531">
        <v>-1</v>
      </c>
      <c r="AH80" s="531">
        <v>-1</v>
      </c>
      <c r="AI80" s="531">
        <v>-1</v>
      </c>
      <c r="AJ80" s="531">
        <v>-1</v>
      </c>
      <c r="AK80" s="531">
        <v>-1</v>
      </c>
      <c r="AL80" s="531">
        <v>-1</v>
      </c>
      <c r="AM80" s="531">
        <v>0</v>
      </c>
      <c r="AN80" s="531">
        <v>0</v>
      </c>
      <c r="AO80" s="531">
        <v>0</v>
      </c>
      <c r="AP80" s="531">
        <v>0</v>
      </c>
    </row>
    <row r="81" spans="3:44" x14ac:dyDescent="0.25">
      <c r="E81" s="152"/>
      <c r="F81" s="167" t="s">
        <v>49</v>
      </c>
      <c r="G81" s="167" t="s">
        <v>158</v>
      </c>
      <c r="H81" s="167"/>
      <c r="I81" s="167"/>
      <c r="J81" s="531">
        <v>1</v>
      </c>
      <c r="K81" s="531">
        <v>1</v>
      </c>
      <c r="L81" s="531">
        <v>1</v>
      </c>
      <c r="M81" s="531">
        <v>1</v>
      </c>
      <c r="N81" s="531">
        <v>1</v>
      </c>
      <c r="O81" s="531">
        <v>1</v>
      </c>
      <c r="P81" s="531">
        <v>1</v>
      </c>
      <c r="Q81" s="531">
        <v>1</v>
      </c>
      <c r="R81" s="531">
        <v>0</v>
      </c>
      <c r="S81" s="531">
        <v>1</v>
      </c>
      <c r="T81" s="531">
        <v>1</v>
      </c>
      <c r="U81" s="531">
        <v>1</v>
      </c>
      <c r="V81" s="531">
        <v>1</v>
      </c>
      <c r="W81" s="531">
        <v>0</v>
      </c>
      <c r="X81" s="531">
        <v>1</v>
      </c>
      <c r="Y81" s="531">
        <v>1</v>
      </c>
      <c r="Z81" s="531">
        <v>1</v>
      </c>
      <c r="AA81" s="531">
        <v>1</v>
      </c>
      <c r="AB81" s="531">
        <v>1</v>
      </c>
      <c r="AC81" s="531">
        <v>-1</v>
      </c>
      <c r="AD81" s="531">
        <v>0</v>
      </c>
      <c r="AE81" s="531">
        <v>-1</v>
      </c>
      <c r="AF81" s="531">
        <v>-1</v>
      </c>
      <c r="AG81" s="531">
        <v>-1</v>
      </c>
      <c r="AH81" s="531">
        <v>-1</v>
      </c>
      <c r="AI81" s="531">
        <v>0</v>
      </c>
      <c r="AJ81" s="531">
        <v>0</v>
      </c>
      <c r="AK81" s="531">
        <v>0</v>
      </c>
      <c r="AL81" s="531">
        <v>0</v>
      </c>
      <c r="AM81" s="531">
        <v>0</v>
      </c>
      <c r="AN81" s="531">
        <v>0</v>
      </c>
      <c r="AO81" s="531">
        <v>0</v>
      </c>
      <c r="AP81" s="531">
        <v>0</v>
      </c>
    </row>
    <row r="82" spans="3:44" x14ac:dyDescent="0.25">
      <c r="E82" s="152"/>
      <c r="F82" s="168" t="s">
        <v>50</v>
      </c>
      <c r="G82" s="168" t="s">
        <v>158</v>
      </c>
      <c r="H82" s="168"/>
      <c r="I82" s="168"/>
      <c r="J82" s="534">
        <v>1</v>
      </c>
      <c r="K82" s="534">
        <v>1</v>
      </c>
      <c r="L82" s="534">
        <v>1</v>
      </c>
      <c r="M82" s="534">
        <v>1</v>
      </c>
      <c r="N82" s="534">
        <v>1</v>
      </c>
      <c r="O82" s="534">
        <v>1</v>
      </c>
      <c r="P82" s="534">
        <v>1</v>
      </c>
      <c r="Q82" s="534">
        <v>0</v>
      </c>
      <c r="R82" s="534">
        <v>0</v>
      </c>
      <c r="S82" s="534">
        <v>1</v>
      </c>
      <c r="T82" s="534">
        <v>1</v>
      </c>
      <c r="U82" s="534">
        <v>1</v>
      </c>
      <c r="V82" s="534">
        <v>0</v>
      </c>
      <c r="W82" s="534">
        <v>0</v>
      </c>
      <c r="X82" s="534">
        <v>1</v>
      </c>
      <c r="Y82" s="534">
        <v>1</v>
      </c>
      <c r="Z82" s="534">
        <v>1</v>
      </c>
      <c r="AA82" s="534">
        <v>1</v>
      </c>
      <c r="AB82" s="534">
        <v>1</v>
      </c>
      <c r="AC82" s="534">
        <v>0</v>
      </c>
      <c r="AD82" s="534">
        <v>0</v>
      </c>
      <c r="AE82" s="534">
        <v>0</v>
      </c>
      <c r="AF82" s="534">
        <v>0</v>
      </c>
      <c r="AG82" s="534">
        <v>0</v>
      </c>
      <c r="AH82" s="534">
        <v>0</v>
      </c>
      <c r="AI82" s="534">
        <v>0</v>
      </c>
      <c r="AJ82" s="534">
        <v>0</v>
      </c>
      <c r="AK82" s="534">
        <v>0</v>
      </c>
      <c r="AL82" s="534">
        <v>0</v>
      </c>
      <c r="AM82" s="534">
        <v>0</v>
      </c>
      <c r="AN82" s="534">
        <v>0</v>
      </c>
      <c r="AO82" s="534">
        <v>0</v>
      </c>
      <c r="AP82" s="534">
        <v>0</v>
      </c>
    </row>
    <row r="84" spans="3:44" s="338" customFormat="1" x14ac:dyDescent="0.25">
      <c r="C84" s="22" t="str">
        <f ca="1">INDEX('Version control'!$H$34:$H$59,MATCH($A$1,'Version control'!$F$34:$F$59,0),1)&amp;"-E: Standing charge factors"</f>
        <v>Input 504-E: Standing charge factors</v>
      </c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</row>
    <row r="86" spans="3:44" x14ac:dyDescent="0.25">
      <c r="E86" s="152" t="s">
        <v>392</v>
      </c>
      <c r="F86" s="152"/>
    </row>
    <row r="87" spans="3:44" s="474" customFormat="1" x14ac:dyDescent="0.25">
      <c r="E87" s="152"/>
      <c r="F87" s="152"/>
    </row>
    <row r="88" spans="3:44" x14ac:dyDescent="0.25">
      <c r="E88" s="172" t="s">
        <v>393</v>
      </c>
      <c r="F88" s="172"/>
      <c r="I88" s="160" t="s">
        <v>525</v>
      </c>
      <c r="AR88" s="160" t="s">
        <v>951</v>
      </c>
    </row>
    <row r="89" spans="3:44" x14ac:dyDescent="0.25">
      <c r="E89" s="152"/>
      <c r="F89" s="166" t="s">
        <v>397</v>
      </c>
      <c r="G89" s="166" t="s">
        <v>111</v>
      </c>
      <c r="H89" s="166"/>
      <c r="I89" s="166"/>
      <c r="J89" s="185"/>
      <c r="K89" s="185"/>
      <c r="L89" s="185"/>
      <c r="M89" s="185"/>
      <c r="N89" s="185"/>
      <c r="O89" s="185"/>
      <c r="P89" s="185"/>
      <c r="Q89" s="185"/>
      <c r="R89" s="185"/>
      <c r="S89" s="185"/>
      <c r="T89" s="185"/>
      <c r="U89" s="185"/>
      <c r="V89" s="185"/>
      <c r="W89" s="185"/>
      <c r="X89" s="185"/>
      <c r="Y89" s="185"/>
      <c r="Z89" s="185"/>
      <c r="AA89" s="185"/>
      <c r="AB89" s="185"/>
      <c r="AC89" s="185"/>
      <c r="AD89" s="185"/>
      <c r="AE89" s="185"/>
      <c r="AF89" s="185"/>
      <c r="AG89" s="185"/>
      <c r="AH89" s="185"/>
      <c r="AI89" s="185"/>
      <c r="AJ89" s="185"/>
      <c r="AK89" s="185"/>
      <c r="AL89" s="185"/>
      <c r="AM89" s="185"/>
      <c r="AN89" s="185"/>
      <c r="AO89" s="185"/>
      <c r="AP89" s="185"/>
    </row>
    <row r="90" spans="3:44" x14ac:dyDescent="0.25">
      <c r="E90" s="152"/>
      <c r="F90" s="167" t="s">
        <v>43</v>
      </c>
      <c r="G90" s="167" t="s">
        <v>111</v>
      </c>
      <c r="H90" s="167"/>
      <c r="I90" s="167"/>
      <c r="J90" s="178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8"/>
      <c r="W90" s="178"/>
      <c r="X90" s="178"/>
      <c r="Y90" s="178"/>
      <c r="Z90" s="178"/>
      <c r="AA90" s="178"/>
      <c r="AB90" s="178"/>
      <c r="AC90" s="178"/>
      <c r="AD90" s="178"/>
      <c r="AE90" s="178"/>
      <c r="AF90" s="178"/>
      <c r="AG90" s="178"/>
      <c r="AH90" s="178"/>
      <c r="AI90" s="178"/>
      <c r="AJ90" s="178"/>
      <c r="AK90" s="178"/>
      <c r="AL90" s="178"/>
      <c r="AM90" s="178"/>
      <c r="AN90" s="178"/>
      <c r="AO90" s="178"/>
      <c r="AP90" s="178"/>
    </row>
    <row r="91" spans="3:44" x14ac:dyDescent="0.25">
      <c r="E91" s="152"/>
      <c r="F91" s="167" t="s">
        <v>44</v>
      </c>
      <c r="G91" s="167" t="s">
        <v>111</v>
      </c>
      <c r="H91" s="167"/>
      <c r="I91" s="167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  <c r="AC91" s="178"/>
      <c r="AD91" s="178"/>
      <c r="AE91" s="178"/>
      <c r="AF91" s="178"/>
      <c r="AG91" s="178"/>
      <c r="AH91" s="178"/>
      <c r="AI91" s="178"/>
      <c r="AJ91" s="178"/>
      <c r="AK91" s="178"/>
      <c r="AL91" s="178"/>
      <c r="AM91" s="178"/>
      <c r="AN91" s="178"/>
      <c r="AO91" s="178"/>
      <c r="AP91" s="178"/>
    </row>
    <row r="92" spans="3:44" x14ac:dyDescent="0.25">
      <c r="E92" s="152"/>
      <c r="F92" s="167" t="s">
        <v>45</v>
      </c>
      <c r="G92" s="167" t="s">
        <v>111</v>
      </c>
      <c r="H92" s="167"/>
      <c r="I92" s="167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178"/>
      <c r="AD92" s="178"/>
      <c r="AE92" s="178"/>
      <c r="AF92" s="178"/>
      <c r="AG92" s="178"/>
      <c r="AH92" s="178"/>
      <c r="AI92" s="178"/>
      <c r="AJ92" s="178"/>
      <c r="AK92" s="178"/>
      <c r="AL92" s="178"/>
      <c r="AM92" s="178"/>
      <c r="AN92" s="178"/>
      <c r="AO92" s="178"/>
      <c r="AP92" s="178"/>
    </row>
    <row r="93" spans="3:44" x14ac:dyDescent="0.25">
      <c r="E93" s="152"/>
      <c r="F93" s="167" t="s">
        <v>46</v>
      </c>
      <c r="G93" s="167" t="s">
        <v>111</v>
      </c>
      <c r="H93" s="167"/>
      <c r="I93" s="167"/>
      <c r="J93" s="81"/>
      <c r="K93" s="81"/>
      <c r="L93" s="81"/>
      <c r="M93" s="81"/>
      <c r="N93" s="81"/>
      <c r="O93" s="81"/>
      <c r="P93" s="81"/>
      <c r="Q93" s="81"/>
      <c r="R93" s="532">
        <v>0.2</v>
      </c>
      <c r="S93" s="81"/>
      <c r="T93" s="81"/>
      <c r="U93" s="81"/>
      <c r="V93" s="81"/>
      <c r="W93" s="532">
        <v>0.2</v>
      </c>
      <c r="X93" s="81"/>
      <c r="Y93" s="81"/>
      <c r="Z93" s="81"/>
      <c r="AA93" s="81"/>
      <c r="AB93" s="81"/>
      <c r="AC93" s="178"/>
      <c r="AD93" s="178"/>
      <c r="AE93" s="178"/>
      <c r="AF93" s="178"/>
      <c r="AG93" s="178"/>
      <c r="AH93" s="178"/>
      <c r="AI93" s="178"/>
      <c r="AJ93" s="178"/>
      <c r="AK93" s="178"/>
      <c r="AL93" s="178"/>
      <c r="AM93" s="178"/>
      <c r="AN93" s="178"/>
      <c r="AO93" s="178"/>
      <c r="AP93" s="178"/>
    </row>
    <row r="94" spans="3:44" x14ac:dyDescent="0.25">
      <c r="E94" s="152"/>
      <c r="F94" s="167" t="s">
        <v>47</v>
      </c>
      <c r="G94" s="167" t="s">
        <v>111</v>
      </c>
      <c r="H94" s="167"/>
      <c r="I94" s="167"/>
      <c r="J94" s="81"/>
      <c r="K94" s="81"/>
      <c r="L94" s="81"/>
      <c r="M94" s="81"/>
      <c r="N94" s="81"/>
      <c r="O94" s="81"/>
      <c r="P94" s="81"/>
      <c r="Q94" s="81"/>
      <c r="R94" s="532">
        <v>1</v>
      </c>
      <c r="S94" s="81"/>
      <c r="T94" s="81"/>
      <c r="U94" s="81"/>
      <c r="V94" s="81"/>
      <c r="W94" s="532">
        <v>1</v>
      </c>
      <c r="X94" s="81"/>
      <c r="Y94" s="81"/>
      <c r="Z94" s="81"/>
      <c r="AA94" s="81"/>
      <c r="AB94" s="81"/>
      <c r="AC94" s="178"/>
      <c r="AD94" s="178"/>
      <c r="AE94" s="178"/>
      <c r="AF94" s="178"/>
      <c r="AG94" s="178"/>
      <c r="AH94" s="178"/>
      <c r="AI94" s="178"/>
      <c r="AJ94" s="178"/>
      <c r="AK94" s="178"/>
      <c r="AL94" s="178"/>
      <c r="AM94" s="178"/>
      <c r="AN94" s="178"/>
      <c r="AO94" s="178"/>
      <c r="AP94" s="178"/>
    </row>
    <row r="95" spans="3:44" x14ac:dyDescent="0.25">
      <c r="E95" s="152"/>
      <c r="F95" s="167" t="s">
        <v>51</v>
      </c>
      <c r="G95" s="167" t="s">
        <v>111</v>
      </c>
      <c r="H95" s="167"/>
      <c r="I95" s="167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  <c r="AC95" s="178"/>
      <c r="AD95" s="178"/>
      <c r="AE95" s="178"/>
      <c r="AF95" s="178"/>
      <c r="AG95" s="178"/>
      <c r="AH95" s="178"/>
      <c r="AI95" s="178"/>
      <c r="AJ95" s="178"/>
      <c r="AK95" s="178"/>
      <c r="AL95" s="178"/>
      <c r="AM95" s="178"/>
      <c r="AN95" s="178"/>
      <c r="AO95" s="178"/>
      <c r="AP95" s="178"/>
    </row>
    <row r="96" spans="3:44" x14ac:dyDescent="0.25">
      <c r="E96" s="152"/>
      <c r="F96" s="167" t="s">
        <v>48</v>
      </c>
      <c r="G96" s="167" t="s">
        <v>111</v>
      </c>
      <c r="H96" s="167"/>
      <c r="I96" s="167"/>
      <c r="J96" s="81"/>
      <c r="K96" s="81"/>
      <c r="L96" s="81"/>
      <c r="M96" s="81"/>
      <c r="N96" s="81"/>
      <c r="O96" s="81"/>
      <c r="P96" s="81"/>
      <c r="Q96" s="81"/>
      <c r="R96" s="532">
        <v>1</v>
      </c>
      <c r="S96" s="81"/>
      <c r="T96" s="81"/>
      <c r="U96" s="532">
        <v>0.2</v>
      </c>
      <c r="V96" s="532">
        <v>1</v>
      </c>
      <c r="W96" s="532">
        <v>1</v>
      </c>
      <c r="X96" s="81"/>
      <c r="Y96" s="81"/>
      <c r="Z96" s="81"/>
      <c r="AA96" s="81"/>
      <c r="AB96" s="81"/>
      <c r="AC96" s="178"/>
      <c r="AD96" s="178"/>
      <c r="AE96" s="178"/>
      <c r="AF96" s="178"/>
      <c r="AG96" s="178"/>
      <c r="AH96" s="178"/>
      <c r="AI96" s="178"/>
      <c r="AJ96" s="178"/>
      <c r="AK96" s="178"/>
      <c r="AL96" s="178"/>
      <c r="AM96" s="178"/>
      <c r="AN96" s="178"/>
      <c r="AO96" s="178"/>
      <c r="AP96" s="178"/>
    </row>
    <row r="97" spans="3:44" x14ac:dyDescent="0.25">
      <c r="E97" s="152"/>
      <c r="F97" s="167" t="s">
        <v>49</v>
      </c>
      <c r="G97" s="167" t="s">
        <v>111</v>
      </c>
      <c r="H97" s="167"/>
      <c r="I97" s="167"/>
      <c r="J97" s="81"/>
      <c r="K97" s="81"/>
      <c r="L97" s="81"/>
      <c r="M97" s="81"/>
      <c r="N97" s="81"/>
      <c r="O97" s="81"/>
      <c r="P97" s="81"/>
      <c r="Q97" s="532">
        <v>1</v>
      </c>
      <c r="R97" s="81"/>
      <c r="S97" s="81"/>
      <c r="T97" s="81"/>
      <c r="U97" s="532">
        <v>1</v>
      </c>
      <c r="V97" s="532">
        <v>1</v>
      </c>
      <c r="W97" s="81"/>
      <c r="X97" s="81"/>
      <c r="Y97" s="81"/>
      <c r="Z97" s="81"/>
      <c r="AA97" s="81"/>
      <c r="AB97" s="81"/>
      <c r="AC97" s="178"/>
      <c r="AD97" s="178"/>
      <c r="AE97" s="178"/>
      <c r="AF97" s="178"/>
      <c r="AG97" s="178"/>
      <c r="AH97" s="178"/>
      <c r="AI97" s="178"/>
      <c r="AJ97" s="178"/>
      <c r="AK97" s="178"/>
      <c r="AL97" s="178"/>
      <c r="AM97" s="178"/>
      <c r="AN97" s="178"/>
      <c r="AO97" s="178"/>
      <c r="AP97" s="178"/>
    </row>
    <row r="98" spans="3:44" x14ac:dyDescent="0.25">
      <c r="E98" s="152"/>
      <c r="F98" s="168" t="s">
        <v>50</v>
      </c>
      <c r="G98" s="168" t="s">
        <v>111</v>
      </c>
      <c r="H98" s="168"/>
      <c r="I98" s="168"/>
      <c r="J98" s="535">
        <v>1</v>
      </c>
      <c r="K98" s="535">
        <v>1</v>
      </c>
      <c r="L98" s="535">
        <v>1</v>
      </c>
      <c r="M98" s="535">
        <v>1</v>
      </c>
      <c r="N98" s="535">
        <v>1</v>
      </c>
      <c r="O98" s="535">
        <v>1</v>
      </c>
      <c r="P98" s="535">
        <v>1</v>
      </c>
      <c r="Q98" s="83"/>
      <c r="R98" s="83"/>
      <c r="S98" s="535">
        <v>1</v>
      </c>
      <c r="T98" s="535">
        <v>1</v>
      </c>
      <c r="U98" s="535">
        <v>1</v>
      </c>
      <c r="V98" s="83"/>
      <c r="W98" s="83"/>
      <c r="X98" s="535">
        <v>0</v>
      </c>
      <c r="Y98" s="535">
        <v>0</v>
      </c>
      <c r="Z98" s="535">
        <v>0</v>
      </c>
      <c r="AA98" s="535">
        <v>0</v>
      </c>
      <c r="AB98" s="535">
        <v>0</v>
      </c>
      <c r="AC98" s="179"/>
      <c r="AD98" s="179"/>
      <c r="AE98" s="179"/>
      <c r="AF98" s="179"/>
      <c r="AG98" s="179"/>
      <c r="AH98" s="179"/>
      <c r="AI98" s="179"/>
      <c r="AJ98" s="179"/>
      <c r="AK98" s="179"/>
      <c r="AL98" s="179"/>
      <c r="AM98" s="179"/>
      <c r="AN98" s="179"/>
      <c r="AO98" s="179"/>
      <c r="AP98" s="179"/>
    </row>
    <row r="100" spans="3:44" s="338" customFormat="1" x14ac:dyDescent="0.25">
      <c r="C100" s="22" t="str">
        <f ca="1">INDEX('Version control'!$H$34:$H$59,MATCH($A$1,'Version control'!$F$34:$F$59,0),1)&amp;"-F: Flags"</f>
        <v>Input 504-F: Flags</v>
      </c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</row>
    <row r="102" spans="3:44" x14ac:dyDescent="0.25">
      <c r="D102" s="172" t="s">
        <v>190</v>
      </c>
      <c r="E102" s="172"/>
    </row>
    <row r="103" spans="3:44" x14ac:dyDescent="0.25">
      <c r="D103" s="152" t="s">
        <v>744</v>
      </c>
      <c r="E103" s="152"/>
    </row>
    <row r="104" spans="3:44" x14ac:dyDescent="0.25">
      <c r="D104" s="152" t="s">
        <v>745</v>
      </c>
      <c r="E104" s="152"/>
    </row>
    <row r="105" spans="3:44" x14ac:dyDescent="0.25">
      <c r="D105" s="152"/>
      <c r="E105" s="172" t="s">
        <v>137</v>
      </c>
      <c r="F105" s="167"/>
      <c r="G105" s="167"/>
      <c r="H105" s="167"/>
      <c r="I105" s="167"/>
      <c r="J105" s="167"/>
      <c r="K105" s="167"/>
      <c r="L105" s="167"/>
      <c r="M105" s="167"/>
      <c r="N105" s="167"/>
      <c r="O105" s="167"/>
      <c r="P105" s="167"/>
      <c r="Q105" s="167"/>
      <c r="R105" s="167"/>
      <c r="S105" s="167"/>
      <c r="T105" s="167"/>
      <c r="U105" s="167"/>
      <c r="V105" s="167"/>
      <c r="W105" s="167"/>
      <c r="X105" s="167"/>
      <c r="Y105" s="167"/>
      <c r="Z105" s="167"/>
      <c r="AA105" s="167"/>
      <c r="AB105" s="167"/>
      <c r="AC105" s="167"/>
      <c r="AD105" s="167"/>
      <c r="AE105" s="167"/>
      <c r="AF105" s="167"/>
      <c r="AG105" s="167"/>
      <c r="AH105" s="167"/>
      <c r="AI105" s="167"/>
      <c r="AJ105" s="167"/>
      <c r="AK105" s="167"/>
      <c r="AL105" s="167"/>
      <c r="AM105" s="167"/>
      <c r="AN105" s="167"/>
      <c r="AO105" s="167"/>
      <c r="AP105" s="167"/>
    </row>
    <row r="106" spans="3:44" x14ac:dyDescent="0.25">
      <c r="D106" s="152"/>
      <c r="E106" s="167"/>
      <c r="F106" s="227" t="s">
        <v>468</v>
      </c>
      <c r="G106" s="167" t="s">
        <v>192</v>
      </c>
      <c r="H106" s="167"/>
      <c r="I106" s="167" t="s">
        <v>525</v>
      </c>
      <c r="J106" s="536" t="b">
        <v>0</v>
      </c>
      <c r="K106" s="536" t="b">
        <v>0</v>
      </c>
      <c r="L106" s="536" t="b">
        <v>0</v>
      </c>
      <c r="M106" s="536" t="b">
        <v>0</v>
      </c>
      <c r="N106" s="536" t="b">
        <v>0</v>
      </c>
      <c r="O106" s="536" t="b">
        <v>0</v>
      </c>
      <c r="P106" s="536" t="b">
        <v>0</v>
      </c>
      <c r="Q106" s="536" t="b">
        <v>0</v>
      </c>
      <c r="R106" s="536" t="b">
        <v>0</v>
      </c>
      <c r="S106" s="536" t="b">
        <v>0</v>
      </c>
      <c r="T106" s="536" t="b">
        <v>0</v>
      </c>
      <c r="U106" s="536" t="b">
        <v>0</v>
      </c>
      <c r="V106" s="536" t="b">
        <v>0</v>
      </c>
      <c r="W106" s="536" t="b">
        <v>0</v>
      </c>
      <c r="X106" s="536" t="b">
        <v>0</v>
      </c>
      <c r="Y106" s="536" t="b">
        <v>0</v>
      </c>
      <c r="Z106" s="536" t="b">
        <v>0</v>
      </c>
      <c r="AA106" s="536" t="b">
        <v>0</v>
      </c>
      <c r="AB106" s="536" t="b">
        <v>0</v>
      </c>
      <c r="AC106" s="536" t="b">
        <v>1</v>
      </c>
      <c r="AD106" s="536" t="b">
        <v>1</v>
      </c>
      <c r="AE106" s="536" t="b">
        <v>1</v>
      </c>
      <c r="AF106" s="536" t="b">
        <v>1</v>
      </c>
      <c r="AG106" s="536" t="b">
        <v>1</v>
      </c>
      <c r="AH106" s="536" t="b">
        <v>1</v>
      </c>
      <c r="AI106" s="536" t="b">
        <v>1</v>
      </c>
      <c r="AJ106" s="536" t="b">
        <v>1</v>
      </c>
      <c r="AK106" s="536" t="b">
        <v>1</v>
      </c>
      <c r="AL106" s="536" t="b">
        <v>1</v>
      </c>
      <c r="AM106" s="536" t="b">
        <v>1</v>
      </c>
      <c r="AN106" s="536" t="b">
        <v>1</v>
      </c>
      <c r="AO106" s="536" t="b">
        <v>1</v>
      </c>
      <c r="AP106" s="536" t="b">
        <v>1</v>
      </c>
      <c r="AR106" s="160" t="s">
        <v>952</v>
      </c>
    </row>
    <row r="107" spans="3:44" x14ac:dyDescent="0.25">
      <c r="D107" s="152"/>
      <c r="E107" s="227"/>
      <c r="F107" s="227" t="s">
        <v>469</v>
      </c>
      <c r="G107" s="167" t="s">
        <v>111</v>
      </c>
      <c r="H107" s="167"/>
      <c r="I107" s="167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  <c r="AC107" s="523">
        <v>0</v>
      </c>
      <c r="AD107" s="523">
        <v>0</v>
      </c>
      <c r="AE107" s="523">
        <v>0</v>
      </c>
      <c r="AF107" s="523">
        <v>0</v>
      </c>
      <c r="AG107" s="523">
        <v>0</v>
      </c>
      <c r="AH107" s="523">
        <v>0</v>
      </c>
      <c r="AI107" s="523">
        <v>0</v>
      </c>
      <c r="AJ107" s="523">
        <v>0</v>
      </c>
      <c r="AK107" s="523">
        <v>0</v>
      </c>
      <c r="AL107" s="523">
        <v>0</v>
      </c>
      <c r="AM107" s="523">
        <v>0</v>
      </c>
      <c r="AN107" s="523">
        <v>0</v>
      </c>
      <c r="AO107" s="523">
        <v>0</v>
      </c>
      <c r="AP107" s="523">
        <v>0</v>
      </c>
    </row>
    <row r="108" spans="3:44" x14ac:dyDescent="0.25">
      <c r="D108" s="152"/>
      <c r="E108" s="227"/>
      <c r="F108" s="227"/>
      <c r="G108" s="167"/>
      <c r="H108" s="167"/>
      <c r="I108" s="167"/>
      <c r="J108" s="121"/>
      <c r="K108" s="121"/>
      <c r="L108" s="121"/>
      <c r="M108" s="121"/>
      <c r="N108" s="121"/>
      <c r="O108" s="121"/>
      <c r="P108" s="121"/>
      <c r="Q108" s="121"/>
      <c r="R108" s="121"/>
      <c r="S108" s="121"/>
      <c r="T108" s="121"/>
      <c r="U108" s="121"/>
      <c r="V108" s="121"/>
      <c r="W108" s="121"/>
      <c r="X108" s="121"/>
      <c r="Y108" s="121"/>
      <c r="Z108" s="121"/>
      <c r="AA108" s="121"/>
      <c r="AB108" s="121"/>
      <c r="AC108" s="121"/>
      <c r="AD108" s="121"/>
      <c r="AE108" s="121"/>
      <c r="AF108" s="121"/>
      <c r="AG108" s="121"/>
      <c r="AH108" s="121"/>
      <c r="AI108" s="121"/>
      <c r="AJ108" s="121"/>
      <c r="AK108" s="121"/>
      <c r="AL108" s="121"/>
      <c r="AM108" s="121"/>
      <c r="AN108" s="121"/>
      <c r="AO108" s="121"/>
      <c r="AP108" s="121"/>
    </row>
    <row r="109" spans="3:44" x14ac:dyDescent="0.25">
      <c r="D109" s="152"/>
      <c r="E109" s="172" t="s">
        <v>91</v>
      </c>
      <c r="F109" s="227"/>
      <c r="G109" s="167"/>
      <c r="H109" s="167"/>
      <c r="I109" s="167"/>
      <c r="J109" s="121"/>
      <c r="K109" s="121"/>
      <c r="L109" s="121"/>
      <c r="M109" s="121"/>
      <c r="N109" s="121"/>
      <c r="O109" s="121"/>
      <c r="P109" s="121"/>
      <c r="Q109" s="121"/>
      <c r="R109" s="121"/>
      <c r="S109" s="121"/>
      <c r="T109" s="121"/>
      <c r="U109" s="121"/>
      <c r="V109" s="121"/>
      <c r="W109" s="121"/>
      <c r="X109" s="121"/>
      <c r="Y109" s="121"/>
      <c r="Z109" s="121"/>
      <c r="AA109" s="121"/>
      <c r="AB109" s="121"/>
      <c r="AC109" s="121"/>
      <c r="AD109" s="121"/>
      <c r="AE109" s="121"/>
      <c r="AF109" s="121"/>
      <c r="AG109" s="121"/>
      <c r="AH109" s="121"/>
      <c r="AI109" s="121"/>
      <c r="AJ109" s="121"/>
      <c r="AK109" s="121"/>
      <c r="AL109" s="121"/>
      <c r="AM109" s="121"/>
      <c r="AN109" s="121"/>
      <c r="AO109" s="121"/>
      <c r="AP109" s="121"/>
    </row>
    <row r="110" spans="3:44" x14ac:dyDescent="0.25">
      <c r="D110" s="152"/>
      <c r="E110" s="167"/>
      <c r="F110" s="227" t="s">
        <v>468</v>
      </c>
      <c r="G110" s="167" t="s">
        <v>192</v>
      </c>
      <c r="H110" s="167"/>
      <c r="I110" s="167"/>
      <c r="J110" s="536" t="b">
        <v>0</v>
      </c>
      <c r="K110" s="536" t="b">
        <v>0</v>
      </c>
      <c r="L110" s="536" t="b">
        <v>0</v>
      </c>
      <c r="M110" s="536" t="b">
        <v>0</v>
      </c>
      <c r="N110" s="536" t="b">
        <v>0</v>
      </c>
      <c r="O110" s="536" t="b">
        <v>0</v>
      </c>
      <c r="P110" s="536" t="b">
        <v>0</v>
      </c>
      <c r="Q110" s="536" t="b">
        <v>0</v>
      </c>
      <c r="R110" s="536" t="b">
        <v>0</v>
      </c>
      <c r="S110" s="536" t="b">
        <v>0</v>
      </c>
      <c r="T110" s="536" t="b">
        <v>0</v>
      </c>
      <c r="U110" s="536" t="b">
        <v>0</v>
      </c>
      <c r="V110" s="536" t="b">
        <v>0</v>
      </c>
      <c r="W110" s="536" t="b">
        <v>0</v>
      </c>
      <c r="X110" s="536" t="b">
        <v>0</v>
      </c>
      <c r="Y110" s="536" t="b">
        <v>0</v>
      </c>
      <c r="Z110" s="536" t="b">
        <v>0</v>
      </c>
      <c r="AA110" s="536" t="b">
        <v>0</v>
      </c>
      <c r="AB110" s="536" t="b">
        <v>0</v>
      </c>
      <c r="AC110" s="536" t="b">
        <v>1</v>
      </c>
      <c r="AD110" s="536" t="b">
        <v>1</v>
      </c>
      <c r="AE110" s="536" t="b">
        <v>1</v>
      </c>
      <c r="AF110" s="536" t="b">
        <v>1</v>
      </c>
      <c r="AG110" s="536" t="b">
        <v>1</v>
      </c>
      <c r="AH110" s="536" t="b">
        <v>1</v>
      </c>
      <c r="AI110" s="536" t="b">
        <v>1</v>
      </c>
      <c r="AJ110" s="536" t="b">
        <v>1</v>
      </c>
      <c r="AK110" s="536" t="b">
        <v>1</v>
      </c>
      <c r="AL110" s="536" t="b">
        <v>1</v>
      </c>
      <c r="AM110" s="536" t="b">
        <v>1</v>
      </c>
      <c r="AN110" s="536" t="b">
        <v>1</v>
      </c>
      <c r="AO110" s="536" t="b">
        <v>1</v>
      </c>
      <c r="AP110" s="536" t="b">
        <v>1</v>
      </c>
    </row>
    <row r="111" spans="3:44" x14ac:dyDescent="0.25">
      <c r="D111" s="152"/>
      <c r="E111" s="227"/>
      <c r="F111" s="227" t="s">
        <v>469</v>
      </c>
      <c r="G111" s="167" t="s">
        <v>111</v>
      </c>
      <c r="H111" s="167"/>
      <c r="I111" s="167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  <c r="AC111" s="523">
        <v>1</v>
      </c>
      <c r="AD111" s="523">
        <v>1</v>
      </c>
      <c r="AE111" s="523">
        <v>1</v>
      </c>
      <c r="AF111" s="523">
        <v>1</v>
      </c>
      <c r="AG111" s="523">
        <v>1</v>
      </c>
      <c r="AH111" s="523">
        <v>1</v>
      </c>
      <c r="AI111" s="523">
        <v>1</v>
      </c>
      <c r="AJ111" s="523">
        <v>1</v>
      </c>
      <c r="AK111" s="523">
        <v>1</v>
      </c>
      <c r="AL111" s="523">
        <v>1</v>
      </c>
      <c r="AM111" s="523">
        <v>1</v>
      </c>
      <c r="AN111" s="523">
        <v>1</v>
      </c>
      <c r="AO111" s="523">
        <v>1</v>
      </c>
      <c r="AP111" s="523">
        <v>1</v>
      </c>
    </row>
    <row r="112" spans="3:44" x14ac:dyDescent="0.25">
      <c r="D112" s="152"/>
      <c r="E112" s="227"/>
      <c r="F112" s="227"/>
      <c r="G112" s="167"/>
      <c r="H112" s="167"/>
      <c r="I112" s="167"/>
      <c r="J112" s="121"/>
      <c r="K112" s="121"/>
      <c r="L112" s="121"/>
      <c r="M112" s="121"/>
      <c r="N112" s="121"/>
      <c r="O112" s="121"/>
      <c r="P112" s="121"/>
      <c r="Q112" s="121"/>
      <c r="R112" s="121"/>
      <c r="S112" s="121"/>
      <c r="T112" s="121"/>
      <c r="U112" s="121"/>
      <c r="V112" s="121"/>
      <c r="W112" s="121"/>
      <c r="X112" s="121"/>
      <c r="Y112" s="121"/>
      <c r="Z112" s="121"/>
      <c r="AA112" s="121"/>
      <c r="AB112" s="121"/>
      <c r="AC112" s="121"/>
      <c r="AD112" s="121"/>
      <c r="AE112" s="121"/>
      <c r="AF112" s="121"/>
      <c r="AG112" s="121"/>
      <c r="AH112" s="121"/>
      <c r="AI112" s="121"/>
      <c r="AJ112" s="121"/>
      <c r="AK112" s="121"/>
      <c r="AL112" s="121"/>
      <c r="AM112" s="121"/>
      <c r="AN112" s="121"/>
      <c r="AO112" s="121"/>
      <c r="AP112" s="121"/>
    </row>
    <row r="113" spans="4:42" x14ac:dyDescent="0.25">
      <c r="D113" s="152"/>
      <c r="E113" s="172" t="s">
        <v>92</v>
      </c>
      <c r="F113" s="227"/>
      <c r="G113" s="167"/>
      <c r="H113" s="167"/>
      <c r="I113" s="167"/>
      <c r="J113" s="121"/>
      <c r="K113" s="121"/>
      <c r="L113" s="121"/>
      <c r="M113" s="121"/>
      <c r="N113" s="121"/>
      <c r="O113" s="121"/>
      <c r="P113" s="121"/>
      <c r="Q113" s="121"/>
      <c r="R113" s="121"/>
      <c r="S113" s="121"/>
      <c r="T113" s="121"/>
      <c r="U113" s="121"/>
      <c r="V113" s="121"/>
      <c r="W113" s="121"/>
      <c r="X113" s="121"/>
      <c r="Y113" s="121"/>
      <c r="Z113" s="121"/>
      <c r="AA113" s="121"/>
      <c r="AB113" s="121"/>
      <c r="AC113" s="121"/>
      <c r="AD113" s="121"/>
      <c r="AE113" s="121"/>
      <c r="AF113" s="121"/>
      <c r="AG113" s="121"/>
      <c r="AH113" s="121"/>
      <c r="AI113" s="121"/>
      <c r="AJ113" s="121"/>
      <c r="AK113" s="121"/>
      <c r="AL113" s="121"/>
      <c r="AM113" s="121"/>
      <c r="AN113" s="121"/>
      <c r="AO113" s="121"/>
      <c r="AP113" s="121"/>
    </row>
    <row r="114" spans="4:42" x14ac:dyDescent="0.25">
      <c r="D114" s="152"/>
      <c r="E114" s="167"/>
      <c r="F114" s="227" t="s">
        <v>468</v>
      </c>
      <c r="G114" s="167" t="s">
        <v>192</v>
      </c>
      <c r="H114" s="167"/>
      <c r="I114" s="167"/>
      <c r="J114" s="536" t="b">
        <v>0</v>
      </c>
      <c r="K114" s="536" t="b">
        <v>0</v>
      </c>
      <c r="L114" s="536" t="b">
        <v>0</v>
      </c>
      <c r="M114" s="536" t="b">
        <v>0</v>
      </c>
      <c r="N114" s="536" t="b">
        <v>0</v>
      </c>
      <c r="O114" s="536" t="b">
        <v>0</v>
      </c>
      <c r="P114" s="536" t="b">
        <v>0</v>
      </c>
      <c r="Q114" s="536" t="b">
        <v>0</v>
      </c>
      <c r="R114" s="536" t="b">
        <v>0</v>
      </c>
      <c r="S114" s="536" t="b">
        <v>0</v>
      </c>
      <c r="T114" s="536" t="b">
        <v>0</v>
      </c>
      <c r="U114" s="536" t="b">
        <v>0</v>
      </c>
      <c r="V114" s="536" t="b">
        <v>0</v>
      </c>
      <c r="W114" s="536" t="b">
        <v>0</v>
      </c>
      <c r="X114" s="536" t="b">
        <v>0</v>
      </c>
      <c r="Y114" s="536" t="b">
        <v>0</v>
      </c>
      <c r="Z114" s="536" t="b">
        <v>0</v>
      </c>
      <c r="AA114" s="536" t="b">
        <v>0</v>
      </c>
      <c r="AB114" s="536" t="b">
        <v>0</v>
      </c>
      <c r="AC114" s="536" t="b">
        <v>1</v>
      </c>
      <c r="AD114" s="536" t="b">
        <v>1</v>
      </c>
      <c r="AE114" s="536" t="b">
        <v>1</v>
      </c>
      <c r="AF114" s="536" t="b">
        <v>1</v>
      </c>
      <c r="AG114" s="536" t="b">
        <v>1</v>
      </c>
      <c r="AH114" s="536" t="b">
        <v>1</v>
      </c>
      <c r="AI114" s="536" t="b">
        <v>1</v>
      </c>
      <c r="AJ114" s="536" t="b">
        <v>1</v>
      </c>
      <c r="AK114" s="536" t="b">
        <v>1</v>
      </c>
      <c r="AL114" s="536" t="b">
        <v>1</v>
      </c>
      <c r="AM114" s="536" t="b">
        <v>1</v>
      </c>
      <c r="AN114" s="536" t="b">
        <v>1</v>
      </c>
      <c r="AO114" s="536" t="b">
        <v>1</v>
      </c>
      <c r="AP114" s="536" t="b">
        <v>1</v>
      </c>
    </row>
    <row r="115" spans="4:42" x14ac:dyDescent="0.25">
      <c r="D115" s="152"/>
      <c r="E115" s="227"/>
      <c r="F115" s="227" t="s">
        <v>469</v>
      </c>
      <c r="G115" s="167" t="s">
        <v>111</v>
      </c>
      <c r="H115" s="167"/>
      <c r="I115" s="167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  <c r="AC115" s="523">
        <v>0</v>
      </c>
      <c r="AD115" s="523">
        <v>0</v>
      </c>
      <c r="AE115" s="523">
        <v>0</v>
      </c>
      <c r="AF115" s="523">
        <v>0</v>
      </c>
      <c r="AG115" s="523">
        <v>0</v>
      </c>
      <c r="AH115" s="523">
        <v>0</v>
      </c>
      <c r="AI115" s="523">
        <v>0</v>
      </c>
      <c r="AJ115" s="523">
        <v>0</v>
      </c>
      <c r="AK115" s="523">
        <v>0</v>
      </c>
      <c r="AL115" s="523">
        <v>0</v>
      </c>
      <c r="AM115" s="523">
        <v>0</v>
      </c>
      <c r="AN115" s="523">
        <v>0</v>
      </c>
      <c r="AO115" s="523">
        <v>0</v>
      </c>
      <c r="AP115" s="523">
        <v>0</v>
      </c>
    </row>
    <row r="116" spans="4:42" x14ac:dyDescent="0.25">
      <c r="D116" s="152"/>
      <c r="E116" s="227"/>
      <c r="F116" s="227"/>
      <c r="G116" s="167"/>
      <c r="H116" s="167"/>
      <c r="I116" s="167"/>
      <c r="J116" s="121"/>
      <c r="K116" s="121"/>
      <c r="L116" s="121"/>
      <c r="M116" s="121"/>
      <c r="N116" s="121"/>
      <c r="O116" s="121"/>
      <c r="P116" s="121"/>
      <c r="Q116" s="121"/>
      <c r="R116" s="121"/>
      <c r="S116" s="121"/>
      <c r="T116" s="121"/>
      <c r="U116" s="121"/>
      <c r="V116" s="121"/>
      <c r="W116" s="121"/>
      <c r="X116" s="121"/>
      <c r="Y116" s="121"/>
      <c r="Z116" s="121"/>
      <c r="AA116" s="121"/>
      <c r="AB116" s="121"/>
      <c r="AC116" s="121"/>
      <c r="AD116" s="121"/>
      <c r="AE116" s="121"/>
      <c r="AF116" s="121"/>
      <c r="AG116" s="121"/>
      <c r="AH116" s="121"/>
      <c r="AI116" s="121"/>
      <c r="AJ116" s="121"/>
      <c r="AK116" s="121"/>
      <c r="AL116" s="121"/>
      <c r="AM116" s="121"/>
      <c r="AN116" s="121"/>
      <c r="AO116" s="121"/>
      <c r="AP116" s="121"/>
    </row>
    <row r="117" spans="4:42" x14ac:dyDescent="0.25">
      <c r="D117" s="152"/>
      <c r="E117" s="172" t="s">
        <v>93</v>
      </c>
      <c r="F117" s="227"/>
      <c r="G117" s="167"/>
      <c r="H117" s="167"/>
      <c r="I117" s="167"/>
      <c r="J117" s="121"/>
      <c r="K117" s="121"/>
      <c r="L117" s="121"/>
      <c r="M117" s="121"/>
      <c r="N117" s="121"/>
      <c r="O117" s="121"/>
      <c r="P117" s="121"/>
      <c r="Q117" s="121"/>
      <c r="R117" s="121"/>
      <c r="S117" s="121"/>
      <c r="T117" s="121"/>
      <c r="U117" s="121"/>
      <c r="V117" s="121"/>
      <c r="W117" s="121"/>
      <c r="X117" s="121"/>
      <c r="Y117" s="121"/>
      <c r="Z117" s="121"/>
      <c r="AA117" s="121"/>
      <c r="AB117" s="121"/>
      <c r="AC117" s="121"/>
      <c r="AD117" s="121"/>
      <c r="AE117" s="121"/>
      <c r="AF117" s="121"/>
      <c r="AG117" s="121"/>
      <c r="AH117" s="121"/>
      <c r="AI117" s="121"/>
      <c r="AJ117" s="121"/>
      <c r="AK117" s="121"/>
      <c r="AL117" s="121"/>
      <c r="AM117" s="121"/>
      <c r="AN117" s="121"/>
      <c r="AO117" s="121"/>
      <c r="AP117" s="121"/>
    </row>
    <row r="118" spans="4:42" x14ac:dyDescent="0.25">
      <c r="D118" s="152"/>
      <c r="E118" s="167"/>
      <c r="F118" s="227" t="s">
        <v>468</v>
      </c>
      <c r="G118" s="167" t="s">
        <v>192</v>
      </c>
      <c r="H118" s="167"/>
      <c r="I118" s="167"/>
      <c r="J118" s="536" t="b">
        <v>0</v>
      </c>
      <c r="K118" s="536" t="b">
        <v>0</v>
      </c>
      <c r="L118" s="536" t="b">
        <v>0</v>
      </c>
      <c r="M118" s="536" t="b">
        <v>0</v>
      </c>
      <c r="N118" s="536" t="b">
        <v>0</v>
      </c>
      <c r="O118" s="536" t="b">
        <v>0</v>
      </c>
      <c r="P118" s="536" t="b">
        <v>0</v>
      </c>
      <c r="Q118" s="536" t="b">
        <v>0</v>
      </c>
      <c r="R118" s="536" t="b">
        <v>0</v>
      </c>
      <c r="S118" s="536" t="b">
        <v>0</v>
      </c>
      <c r="T118" s="536" t="b">
        <v>0</v>
      </c>
      <c r="U118" s="536" t="b">
        <v>0</v>
      </c>
      <c r="V118" s="536" t="b">
        <v>0</v>
      </c>
      <c r="W118" s="536" t="b">
        <v>0</v>
      </c>
      <c r="X118" s="536" t="b">
        <v>0</v>
      </c>
      <c r="Y118" s="536" t="b">
        <v>0</v>
      </c>
      <c r="Z118" s="536" t="b">
        <v>0</v>
      </c>
      <c r="AA118" s="536" t="b">
        <v>0</v>
      </c>
      <c r="AB118" s="536" t="b">
        <v>0</v>
      </c>
      <c r="AC118" s="536" t="b">
        <v>1</v>
      </c>
      <c r="AD118" s="536" t="b">
        <v>1</v>
      </c>
      <c r="AE118" s="536" t="b">
        <v>1</v>
      </c>
      <c r="AF118" s="536" t="b">
        <v>1</v>
      </c>
      <c r="AG118" s="536" t="b">
        <v>1</v>
      </c>
      <c r="AH118" s="536" t="b">
        <v>1</v>
      </c>
      <c r="AI118" s="536" t="b">
        <v>1</v>
      </c>
      <c r="AJ118" s="536" t="b">
        <v>1</v>
      </c>
      <c r="AK118" s="536" t="b">
        <v>1</v>
      </c>
      <c r="AL118" s="536" t="b">
        <v>1</v>
      </c>
      <c r="AM118" s="536" t="b">
        <v>1</v>
      </c>
      <c r="AN118" s="536" t="b">
        <v>1</v>
      </c>
      <c r="AO118" s="536" t="b">
        <v>1</v>
      </c>
      <c r="AP118" s="536" t="b">
        <v>1</v>
      </c>
    </row>
    <row r="119" spans="4:42" x14ac:dyDescent="0.25">
      <c r="D119" s="152"/>
      <c r="E119" s="227"/>
      <c r="F119" s="227" t="s">
        <v>469</v>
      </c>
      <c r="G119" s="167" t="s">
        <v>111</v>
      </c>
      <c r="H119" s="167"/>
      <c r="I119" s="167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  <c r="AC119" s="523">
        <v>0</v>
      </c>
      <c r="AD119" s="523">
        <v>0</v>
      </c>
      <c r="AE119" s="523">
        <v>0</v>
      </c>
      <c r="AF119" s="523">
        <v>0</v>
      </c>
      <c r="AG119" s="523">
        <v>0</v>
      </c>
      <c r="AH119" s="523">
        <v>0</v>
      </c>
      <c r="AI119" s="523">
        <v>0</v>
      </c>
      <c r="AJ119" s="523">
        <v>0</v>
      </c>
      <c r="AK119" s="523">
        <v>0</v>
      </c>
      <c r="AL119" s="523">
        <v>0</v>
      </c>
      <c r="AM119" s="523">
        <v>0</v>
      </c>
      <c r="AN119" s="523">
        <v>0</v>
      </c>
      <c r="AO119" s="523">
        <v>0</v>
      </c>
      <c r="AP119" s="523">
        <v>0</v>
      </c>
    </row>
    <row r="120" spans="4:42" x14ac:dyDescent="0.25">
      <c r="D120" s="152"/>
      <c r="E120" s="227"/>
      <c r="F120" s="227"/>
      <c r="G120" s="167"/>
      <c r="H120" s="167"/>
      <c r="I120" s="167"/>
      <c r="J120" s="121"/>
      <c r="K120" s="121"/>
      <c r="L120" s="121"/>
      <c r="M120" s="121"/>
      <c r="N120" s="121"/>
      <c r="O120" s="121"/>
      <c r="P120" s="121"/>
      <c r="Q120" s="121"/>
      <c r="R120" s="121"/>
      <c r="S120" s="121"/>
      <c r="T120" s="121"/>
      <c r="U120" s="121"/>
      <c r="V120" s="121"/>
      <c r="W120" s="121"/>
      <c r="X120" s="121"/>
      <c r="Y120" s="121"/>
      <c r="Z120" s="121"/>
      <c r="AA120" s="121"/>
      <c r="AB120" s="121"/>
      <c r="AC120" s="121"/>
      <c r="AD120" s="121"/>
      <c r="AE120" s="121"/>
      <c r="AF120" s="121"/>
      <c r="AG120" s="121"/>
      <c r="AH120" s="121"/>
      <c r="AI120" s="121"/>
      <c r="AJ120" s="121"/>
      <c r="AK120" s="121"/>
      <c r="AL120" s="121"/>
      <c r="AM120" s="121"/>
      <c r="AN120" s="121"/>
      <c r="AO120" s="121"/>
      <c r="AP120" s="121"/>
    </row>
    <row r="121" spans="4:42" x14ac:dyDescent="0.25">
      <c r="D121" s="152"/>
      <c r="E121" s="172" t="s">
        <v>94</v>
      </c>
      <c r="F121" s="227"/>
      <c r="G121" s="167"/>
      <c r="H121" s="167"/>
      <c r="I121" s="167"/>
      <c r="J121" s="121"/>
      <c r="K121" s="121"/>
      <c r="L121" s="121"/>
      <c r="M121" s="121"/>
      <c r="N121" s="121"/>
      <c r="O121" s="121"/>
      <c r="P121" s="121"/>
      <c r="Q121" s="121"/>
      <c r="R121" s="121"/>
      <c r="S121" s="121"/>
      <c r="T121" s="121"/>
      <c r="U121" s="121"/>
      <c r="V121" s="121"/>
      <c r="W121" s="121"/>
      <c r="X121" s="121"/>
      <c r="Y121" s="121"/>
      <c r="Z121" s="121"/>
      <c r="AA121" s="121"/>
      <c r="AB121" s="121"/>
      <c r="AC121" s="121"/>
      <c r="AD121" s="121"/>
      <c r="AE121" s="121"/>
      <c r="AF121" s="121"/>
      <c r="AG121" s="121"/>
      <c r="AH121" s="121"/>
      <c r="AI121" s="121"/>
      <c r="AJ121" s="121"/>
      <c r="AK121" s="121"/>
      <c r="AL121" s="121"/>
      <c r="AM121" s="121"/>
      <c r="AN121" s="121"/>
      <c r="AO121" s="121"/>
      <c r="AP121" s="121"/>
    </row>
    <row r="122" spans="4:42" x14ac:dyDescent="0.25">
      <c r="D122" s="152"/>
      <c r="E122" s="167"/>
      <c r="F122" s="227" t="s">
        <v>468</v>
      </c>
      <c r="G122" s="167" t="s">
        <v>192</v>
      </c>
      <c r="H122" s="167"/>
      <c r="I122" s="167"/>
      <c r="J122" s="536" t="b">
        <v>0</v>
      </c>
      <c r="K122" s="536" t="b">
        <v>0</v>
      </c>
      <c r="L122" s="536" t="b">
        <v>0</v>
      </c>
      <c r="M122" s="536" t="b">
        <v>0</v>
      </c>
      <c r="N122" s="536" t="b">
        <v>0</v>
      </c>
      <c r="O122" s="536" t="b">
        <v>0</v>
      </c>
      <c r="P122" s="536" t="b">
        <v>0</v>
      </c>
      <c r="Q122" s="536" t="b">
        <v>0</v>
      </c>
      <c r="R122" s="536" t="b">
        <v>0</v>
      </c>
      <c r="S122" s="536" t="b">
        <v>0</v>
      </c>
      <c r="T122" s="536" t="b">
        <v>0</v>
      </c>
      <c r="U122" s="536" t="b">
        <v>0</v>
      </c>
      <c r="V122" s="536" t="b">
        <v>0</v>
      </c>
      <c r="W122" s="536" t="b">
        <v>0</v>
      </c>
      <c r="X122" s="536" t="b">
        <v>0</v>
      </c>
      <c r="Y122" s="536" t="b">
        <v>0</v>
      </c>
      <c r="Z122" s="536" t="b">
        <v>0</v>
      </c>
      <c r="AA122" s="536" t="b">
        <v>0</v>
      </c>
      <c r="AB122" s="536" t="b">
        <v>0</v>
      </c>
      <c r="AC122" s="536" t="b">
        <v>1</v>
      </c>
      <c r="AD122" s="536" t="b">
        <v>1</v>
      </c>
      <c r="AE122" s="536" t="b">
        <v>1</v>
      </c>
      <c r="AF122" s="536" t="b">
        <v>1</v>
      </c>
      <c r="AG122" s="536" t="b">
        <v>1</v>
      </c>
      <c r="AH122" s="536" t="b">
        <v>1</v>
      </c>
      <c r="AI122" s="536" t="b">
        <v>1</v>
      </c>
      <c r="AJ122" s="536" t="b">
        <v>1</v>
      </c>
      <c r="AK122" s="536" t="b">
        <v>1</v>
      </c>
      <c r="AL122" s="536" t="b">
        <v>1</v>
      </c>
      <c r="AM122" s="536" t="b">
        <v>1</v>
      </c>
      <c r="AN122" s="536" t="b">
        <v>1</v>
      </c>
      <c r="AO122" s="536" t="b">
        <v>1</v>
      </c>
      <c r="AP122" s="536" t="b">
        <v>1</v>
      </c>
    </row>
    <row r="123" spans="4:42" x14ac:dyDescent="0.25">
      <c r="D123" s="152"/>
      <c r="E123" s="227"/>
      <c r="F123" s="227" t="s">
        <v>469</v>
      </c>
      <c r="G123" s="167" t="s">
        <v>111</v>
      </c>
      <c r="H123" s="167"/>
      <c r="I123" s="167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  <c r="AC123" s="523">
        <v>0</v>
      </c>
      <c r="AD123" s="523">
        <v>0</v>
      </c>
      <c r="AE123" s="523">
        <v>0</v>
      </c>
      <c r="AF123" s="523">
        <v>0</v>
      </c>
      <c r="AG123" s="523">
        <v>0</v>
      </c>
      <c r="AH123" s="523">
        <v>0</v>
      </c>
      <c r="AI123" s="523">
        <v>0</v>
      </c>
      <c r="AJ123" s="523">
        <v>0</v>
      </c>
      <c r="AK123" s="523">
        <v>0</v>
      </c>
      <c r="AL123" s="523">
        <v>0</v>
      </c>
      <c r="AM123" s="523">
        <v>0</v>
      </c>
      <c r="AN123" s="523">
        <v>0</v>
      </c>
      <c r="AO123" s="523">
        <v>0</v>
      </c>
      <c r="AP123" s="523">
        <v>0</v>
      </c>
    </row>
    <row r="124" spans="4:42" x14ac:dyDescent="0.25">
      <c r="D124" s="152"/>
      <c r="E124" s="152"/>
      <c r="J124" s="200"/>
      <c r="K124" s="200"/>
      <c r="L124" s="200"/>
      <c r="M124" s="200"/>
      <c r="N124" s="200"/>
      <c r="O124" s="200"/>
      <c r="P124" s="200"/>
      <c r="Q124" s="200"/>
      <c r="R124" s="200"/>
      <c r="S124" s="200"/>
      <c r="T124" s="200"/>
      <c r="U124" s="200"/>
      <c r="V124" s="200"/>
      <c r="W124" s="200"/>
      <c r="X124" s="200"/>
      <c r="Y124" s="200"/>
      <c r="Z124" s="200"/>
      <c r="AA124" s="200"/>
      <c r="AB124" s="200"/>
      <c r="AC124" s="200"/>
      <c r="AD124" s="200"/>
      <c r="AE124" s="200"/>
      <c r="AF124" s="200"/>
      <c r="AG124" s="200"/>
      <c r="AH124" s="200"/>
      <c r="AI124" s="200"/>
      <c r="AJ124" s="200"/>
      <c r="AK124" s="200"/>
      <c r="AL124" s="200"/>
      <c r="AM124" s="200"/>
      <c r="AN124" s="200"/>
      <c r="AO124" s="200"/>
      <c r="AP124" s="200"/>
    </row>
    <row r="125" spans="4:42" x14ac:dyDescent="0.25">
      <c r="E125" s="172" t="s">
        <v>657</v>
      </c>
      <c r="J125" s="200"/>
      <c r="K125" s="200"/>
      <c r="L125" s="200"/>
      <c r="M125" s="200"/>
      <c r="N125" s="200"/>
      <c r="O125" s="200"/>
      <c r="P125" s="200"/>
      <c r="Q125" s="200"/>
      <c r="R125" s="200"/>
      <c r="S125" s="200"/>
      <c r="T125" s="200"/>
      <c r="U125" s="200"/>
      <c r="V125" s="200"/>
      <c r="W125" s="200"/>
      <c r="X125" s="200"/>
      <c r="Y125" s="200"/>
      <c r="Z125" s="200"/>
      <c r="AA125" s="200"/>
      <c r="AB125" s="200"/>
      <c r="AC125" s="200"/>
      <c r="AD125" s="200"/>
      <c r="AE125" s="200"/>
      <c r="AF125" s="200"/>
      <c r="AG125" s="200"/>
      <c r="AH125" s="200"/>
      <c r="AI125" s="200"/>
      <c r="AJ125" s="200"/>
      <c r="AK125" s="200"/>
      <c r="AL125" s="200"/>
      <c r="AM125" s="200"/>
      <c r="AN125" s="200"/>
      <c r="AO125" s="200"/>
      <c r="AP125" s="200"/>
    </row>
    <row r="126" spans="4:42" x14ac:dyDescent="0.25">
      <c r="E126" s="152" t="s">
        <v>659</v>
      </c>
      <c r="J126" s="200"/>
      <c r="K126" s="200"/>
      <c r="L126" s="200"/>
      <c r="M126" s="200"/>
      <c r="N126" s="200"/>
      <c r="O126" s="200"/>
      <c r="P126" s="200"/>
      <c r="Q126" s="200"/>
      <c r="R126" s="200"/>
      <c r="S126" s="200"/>
      <c r="T126" s="200"/>
      <c r="U126" s="200"/>
      <c r="V126" s="200"/>
      <c r="W126" s="200"/>
      <c r="X126" s="200"/>
      <c r="Y126" s="200"/>
      <c r="Z126" s="200"/>
      <c r="AA126" s="200"/>
      <c r="AB126" s="200"/>
      <c r="AC126" s="200"/>
      <c r="AD126" s="200"/>
      <c r="AE126" s="200"/>
      <c r="AF126" s="200"/>
      <c r="AG126" s="200"/>
      <c r="AH126" s="200"/>
      <c r="AI126" s="200"/>
      <c r="AJ126" s="200"/>
      <c r="AK126" s="200"/>
      <c r="AL126" s="200"/>
      <c r="AM126" s="200"/>
      <c r="AN126" s="200"/>
      <c r="AO126" s="200"/>
      <c r="AP126" s="200"/>
    </row>
    <row r="127" spans="4:42" x14ac:dyDescent="0.25">
      <c r="E127" s="152"/>
      <c r="F127" s="160" t="s">
        <v>658</v>
      </c>
      <c r="G127" s="160" t="s">
        <v>192</v>
      </c>
      <c r="J127" s="537" t="b">
        <v>0</v>
      </c>
      <c r="K127" s="537" t="b">
        <v>0</v>
      </c>
      <c r="L127" s="537" t="b">
        <v>0</v>
      </c>
      <c r="M127" s="537" t="b">
        <v>0</v>
      </c>
      <c r="N127" s="537" t="b">
        <v>0</v>
      </c>
      <c r="O127" s="537" t="b">
        <v>0</v>
      </c>
      <c r="P127" s="537" t="b">
        <v>0</v>
      </c>
      <c r="Q127" s="537" t="b">
        <v>0</v>
      </c>
      <c r="R127" s="537" t="b">
        <v>0</v>
      </c>
      <c r="S127" s="537" t="b">
        <v>0</v>
      </c>
      <c r="T127" s="537" t="b">
        <v>0</v>
      </c>
      <c r="U127" s="537" t="b">
        <v>0</v>
      </c>
      <c r="V127" s="537" t="b">
        <v>0</v>
      </c>
      <c r="W127" s="537" t="b">
        <v>0</v>
      </c>
      <c r="X127" s="537" t="b">
        <v>0</v>
      </c>
      <c r="Y127" s="537" t="b">
        <v>0</v>
      </c>
      <c r="Z127" s="537" t="b">
        <v>0</v>
      </c>
      <c r="AA127" s="537" t="b">
        <v>0</v>
      </c>
      <c r="AB127" s="537" t="b">
        <v>0</v>
      </c>
      <c r="AC127" s="537" t="b">
        <v>1</v>
      </c>
      <c r="AD127" s="537" t="b">
        <v>1</v>
      </c>
      <c r="AE127" s="537" t="b">
        <v>1</v>
      </c>
      <c r="AF127" s="537" t="b">
        <v>1</v>
      </c>
      <c r="AG127" s="537" t="b">
        <v>0</v>
      </c>
      <c r="AH127" s="537" t="b">
        <v>0</v>
      </c>
      <c r="AI127" s="537" t="b">
        <v>1</v>
      </c>
      <c r="AJ127" s="537" t="b">
        <v>1</v>
      </c>
      <c r="AK127" s="537" t="b">
        <v>0</v>
      </c>
      <c r="AL127" s="537" t="b">
        <v>0</v>
      </c>
      <c r="AM127" s="537" t="b">
        <v>1</v>
      </c>
      <c r="AN127" s="537" t="b">
        <v>1</v>
      </c>
      <c r="AO127" s="537" t="b">
        <v>0</v>
      </c>
      <c r="AP127" s="537" t="b">
        <v>0</v>
      </c>
    </row>
    <row r="128" spans="4:42" x14ac:dyDescent="0.25">
      <c r="E128" s="152"/>
      <c r="J128" s="200"/>
      <c r="K128" s="200"/>
      <c r="L128" s="200"/>
      <c r="M128" s="200"/>
      <c r="N128" s="200"/>
      <c r="O128" s="200"/>
      <c r="P128" s="200"/>
      <c r="Q128" s="200"/>
      <c r="R128" s="200"/>
      <c r="S128" s="200"/>
      <c r="T128" s="200"/>
      <c r="U128" s="200"/>
      <c r="V128" s="200"/>
      <c r="W128" s="200"/>
      <c r="X128" s="200"/>
      <c r="Y128" s="200"/>
      <c r="Z128" s="200"/>
      <c r="AA128" s="200"/>
      <c r="AB128" s="200"/>
      <c r="AC128" s="200"/>
      <c r="AD128" s="200"/>
      <c r="AE128" s="200"/>
      <c r="AF128" s="200"/>
      <c r="AG128" s="200"/>
      <c r="AH128" s="200"/>
      <c r="AI128" s="200"/>
      <c r="AJ128" s="200"/>
      <c r="AK128" s="200"/>
      <c r="AL128" s="200"/>
      <c r="AM128" s="200"/>
      <c r="AN128" s="200"/>
      <c r="AO128" s="200"/>
      <c r="AP128" s="200"/>
    </row>
    <row r="129" spans="4:44" x14ac:dyDescent="0.25">
      <c r="E129" s="172" t="s">
        <v>372</v>
      </c>
      <c r="J129" s="200"/>
      <c r="K129" s="200"/>
      <c r="L129" s="200"/>
      <c r="M129" s="200"/>
      <c r="N129" s="200"/>
      <c r="O129" s="200"/>
      <c r="P129" s="200"/>
      <c r="Q129" s="200"/>
      <c r="R129" s="200"/>
      <c r="S129" s="200"/>
      <c r="T129" s="200"/>
      <c r="U129" s="200"/>
      <c r="V129" s="200"/>
      <c r="W129" s="200"/>
      <c r="X129" s="200"/>
      <c r="Y129" s="200"/>
      <c r="Z129" s="200"/>
      <c r="AA129" s="200"/>
      <c r="AB129" s="200"/>
      <c r="AC129" s="200"/>
      <c r="AD129" s="200"/>
      <c r="AE129" s="200"/>
      <c r="AF129" s="200"/>
      <c r="AG129" s="200"/>
      <c r="AH129" s="200"/>
      <c r="AI129" s="200"/>
      <c r="AJ129" s="200"/>
      <c r="AK129" s="200"/>
      <c r="AL129" s="200"/>
      <c r="AM129" s="200"/>
      <c r="AN129" s="200"/>
      <c r="AO129" s="200"/>
      <c r="AP129" s="200"/>
    </row>
    <row r="130" spans="4:44" x14ac:dyDescent="0.25">
      <c r="E130" s="152" t="s">
        <v>1026</v>
      </c>
      <c r="J130" s="200"/>
      <c r="K130" s="200"/>
      <c r="L130" s="200"/>
      <c r="M130" s="200"/>
      <c r="N130" s="200"/>
      <c r="O130" s="200"/>
      <c r="P130" s="200"/>
      <c r="Q130" s="200"/>
      <c r="R130" s="200"/>
      <c r="S130" s="200"/>
      <c r="T130" s="200"/>
      <c r="U130" s="200"/>
      <c r="V130" s="200"/>
      <c r="W130" s="200"/>
      <c r="X130" s="200"/>
      <c r="Y130" s="200"/>
      <c r="Z130" s="200"/>
      <c r="AA130" s="200"/>
      <c r="AB130" s="200"/>
      <c r="AC130" s="200"/>
      <c r="AD130" s="200"/>
      <c r="AE130" s="200"/>
      <c r="AF130" s="200"/>
      <c r="AG130" s="200"/>
      <c r="AH130" s="200"/>
      <c r="AI130" s="200"/>
      <c r="AJ130" s="200"/>
      <c r="AK130" s="200"/>
      <c r="AL130" s="200"/>
      <c r="AM130" s="200"/>
      <c r="AN130" s="200"/>
      <c r="AO130" s="200"/>
      <c r="AP130" s="200"/>
    </row>
    <row r="131" spans="4:44" x14ac:dyDescent="0.25">
      <c r="E131" s="152" t="s">
        <v>727</v>
      </c>
      <c r="J131" s="200"/>
      <c r="K131" s="200"/>
      <c r="L131" s="200"/>
      <c r="M131" s="200"/>
      <c r="N131" s="200"/>
      <c r="O131" s="200"/>
      <c r="P131" s="200"/>
      <c r="Q131" s="200"/>
      <c r="R131" s="200"/>
      <c r="S131" s="200"/>
      <c r="T131" s="200"/>
      <c r="U131" s="200"/>
      <c r="V131" s="200"/>
      <c r="W131" s="200"/>
      <c r="X131" s="200"/>
      <c r="Y131" s="200"/>
      <c r="Z131" s="200"/>
      <c r="AA131" s="200"/>
      <c r="AB131" s="200"/>
      <c r="AC131" s="200"/>
      <c r="AD131" s="200"/>
      <c r="AE131" s="200"/>
      <c r="AF131" s="200"/>
      <c r="AG131" s="200"/>
      <c r="AH131" s="200"/>
      <c r="AI131" s="200"/>
      <c r="AJ131" s="200"/>
      <c r="AK131" s="200"/>
      <c r="AL131" s="200"/>
      <c r="AM131" s="200"/>
      <c r="AN131" s="200"/>
      <c r="AO131" s="200"/>
      <c r="AP131" s="200"/>
    </row>
    <row r="132" spans="4:44" x14ac:dyDescent="0.25">
      <c r="E132" s="152"/>
      <c r="F132" s="160" t="s">
        <v>372</v>
      </c>
      <c r="G132" s="160" t="s">
        <v>192</v>
      </c>
      <c r="J132" s="537" t="b">
        <v>0</v>
      </c>
      <c r="K132" s="537" t="b">
        <v>0</v>
      </c>
      <c r="L132" s="537" t="b">
        <v>0</v>
      </c>
      <c r="M132" s="537" t="b">
        <v>0</v>
      </c>
      <c r="N132" s="537" t="b">
        <v>0</v>
      </c>
      <c r="O132" s="537" t="b">
        <v>0</v>
      </c>
      <c r="P132" s="537" t="b">
        <v>0</v>
      </c>
      <c r="Q132" s="537" t="b">
        <v>0</v>
      </c>
      <c r="R132" s="537" t="b">
        <v>0</v>
      </c>
      <c r="S132" s="537" t="b">
        <v>0</v>
      </c>
      <c r="T132" s="537" t="b">
        <v>0</v>
      </c>
      <c r="U132" s="537" t="b">
        <v>0</v>
      </c>
      <c r="V132" s="537" t="b">
        <v>0</v>
      </c>
      <c r="W132" s="537" t="b">
        <v>0</v>
      </c>
      <c r="X132" s="537" t="b">
        <v>1</v>
      </c>
      <c r="Y132" s="537" t="b">
        <v>1</v>
      </c>
      <c r="Z132" s="537" t="b">
        <v>1</v>
      </c>
      <c r="AA132" s="537" t="b">
        <v>1</v>
      </c>
      <c r="AB132" s="537" t="b">
        <v>1</v>
      </c>
      <c r="AC132" s="537" t="b">
        <v>0</v>
      </c>
      <c r="AD132" s="537" t="b">
        <v>0</v>
      </c>
      <c r="AE132" s="537" t="b">
        <v>0</v>
      </c>
      <c r="AF132" s="537" t="b">
        <v>0</v>
      </c>
      <c r="AG132" s="537" t="b">
        <v>0</v>
      </c>
      <c r="AH132" s="537" t="b">
        <v>0</v>
      </c>
      <c r="AI132" s="537" t="b">
        <v>0</v>
      </c>
      <c r="AJ132" s="537" t="b">
        <v>0</v>
      </c>
      <c r="AK132" s="537" t="b">
        <v>0</v>
      </c>
      <c r="AL132" s="537" t="b">
        <v>0</v>
      </c>
      <c r="AM132" s="537" t="b">
        <v>0</v>
      </c>
      <c r="AN132" s="537" t="b">
        <v>0</v>
      </c>
      <c r="AO132" s="537" t="b">
        <v>0</v>
      </c>
      <c r="AP132" s="537" t="b">
        <v>0</v>
      </c>
    </row>
    <row r="133" spans="4:44" x14ac:dyDescent="0.25">
      <c r="E133" s="152"/>
      <c r="J133" s="200"/>
      <c r="K133" s="200"/>
      <c r="L133" s="200"/>
      <c r="M133" s="200"/>
      <c r="N133" s="200"/>
      <c r="O133" s="200"/>
      <c r="P133" s="200"/>
      <c r="Q133" s="200"/>
      <c r="R133" s="200"/>
      <c r="S133" s="200"/>
      <c r="T133" s="200"/>
      <c r="U133" s="200"/>
      <c r="V133" s="200"/>
      <c r="W133" s="200"/>
      <c r="X133" s="200"/>
      <c r="Y133" s="200"/>
      <c r="Z133" s="200"/>
      <c r="AA133" s="200"/>
      <c r="AB133" s="200"/>
      <c r="AC133" s="200"/>
      <c r="AD133" s="200"/>
      <c r="AE133" s="200"/>
      <c r="AF133" s="200"/>
      <c r="AG133" s="200"/>
      <c r="AH133" s="200"/>
      <c r="AI133" s="200"/>
      <c r="AJ133" s="200"/>
      <c r="AK133" s="200"/>
      <c r="AL133" s="200"/>
      <c r="AM133" s="200"/>
      <c r="AN133" s="200"/>
      <c r="AO133" s="200"/>
      <c r="AP133" s="200"/>
    </row>
    <row r="134" spans="4:44" x14ac:dyDescent="0.25">
      <c r="E134" s="172" t="s">
        <v>762</v>
      </c>
      <c r="J134" s="200"/>
      <c r="K134" s="200"/>
      <c r="L134" s="200"/>
      <c r="M134" s="200"/>
      <c r="N134" s="200"/>
      <c r="O134" s="200"/>
      <c r="P134" s="200"/>
      <c r="Q134" s="200"/>
      <c r="R134" s="200"/>
      <c r="S134" s="200"/>
      <c r="T134" s="200"/>
      <c r="U134" s="200"/>
      <c r="V134" s="200"/>
      <c r="W134" s="200"/>
      <c r="X134" s="200"/>
      <c r="Y134" s="200"/>
      <c r="Z134" s="200"/>
      <c r="AA134" s="200"/>
      <c r="AB134" s="200"/>
      <c r="AC134" s="200"/>
      <c r="AD134" s="200"/>
      <c r="AE134" s="200"/>
      <c r="AF134" s="200"/>
      <c r="AG134" s="200"/>
      <c r="AH134" s="200"/>
      <c r="AI134" s="200"/>
      <c r="AJ134" s="200"/>
      <c r="AK134" s="200"/>
      <c r="AL134" s="200"/>
      <c r="AM134" s="200"/>
      <c r="AN134" s="200"/>
      <c r="AO134" s="200"/>
      <c r="AP134" s="200"/>
    </row>
    <row r="135" spans="4:44" x14ac:dyDescent="0.25">
      <c r="E135" s="152" t="s">
        <v>432</v>
      </c>
      <c r="J135" s="200"/>
      <c r="K135" s="200"/>
      <c r="L135" s="200"/>
      <c r="M135" s="200"/>
      <c r="N135" s="200"/>
      <c r="O135" s="200"/>
      <c r="P135" s="200"/>
      <c r="Q135" s="200"/>
      <c r="R135" s="200"/>
      <c r="S135" s="200"/>
      <c r="T135" s="200"/>
      <c r="U135" s="200"/>
      <c r="V135" s="200"/>
      <c r="W135" s="200"/>
      <c r="X135" s="200"/>
      <c r="Y135" s="200"/>
      <c r="Z135" s="200"/>
      <c r="AA135" s="200"/>
      <c r="AB135" s="200"/>
      <c r="AC135" s="200"/>
      <c r="AD135" s="200"/>
      <c r="AE135" s="200"/>
      <c r="AF135" s="200"/>
      <c r="AG135" s="200"/>
      <c r="AH135" s="200"/>
      <c r="AI135" s="200"/>
      <c r="AJ135" s="200"/>
      <c r="AK135" s="200"/>
      <c r="AL135" s="200"/>
      <c r="AM135" s="200"/>
      <c r="AN135" s="200"/>
      <c r="AO135" s="200"/>
      <c r="AP135" s="200"/>
    </row>
    <row r="136" spans="4:44" x14ac:dyDescent="0.25">
      <c r="E136" s="152"/>
      <c r="F136" s="160" t="s">
        <v>663</v>
      </c>
      <c r="G136" s="160" t="s">
        <v>192</v>
      </c>
      <c r="J136" s="537" t="b">
        <v>1</v>
      </c>
      <c r="K136" s="537" t="b">
        <v>1</v>
      </c>
      <c r="L136" s="537" t="b">
        <v>0</v>
      </c>
      <c r="M136" s="537" t="b">
        <v>1</v>
      </c>
      <c r="N136" s="537" t="b">
        <v>1</v>
      </c>
      <c r="O136" s="537" t="b">
        <v>0</v>
      </c>
      <c r="P136" s="537" t="b">
        <v>1</v>
      </c>
      <c r="Q136" s="537" t="b">
        <v>1</v>
      </c>
      <c r="R136" s="537" t="b">
        <v>1</v>
      </c>
      <c r="S136" s="537" t="b">
        <v>1</v>
      </c>
      <c r="T136" s="537" t="b">
        <v>1</v>
      </c>
      <c r="U136" s="537" t="b">
        <v>1</v>
      </c>
      <c r="V136" s="537" t="b">
        <v>1</v>
      </c>
      <c r="W136" s="537" t="b">
        <v>1</v>
      </c>
      <c r="X136" s="537" t="b">
        <v>1</v>
      </c>
      <c r="Y136" s="537" t="b">
        <v>1</v>
      </c>
      <c r="Z136" s="537" t="b">
        <v>1</v>
      </c>
      <c r="AA136" s="537" t="b">
        <v>1</v>
      </c>
      <c r="AB136" s="537" t="b">
        <v>1</v>
      </c>
      <c r="AC136" s="537" t="b">
        <v>1</v>
      </c>
      <c r="AD136" s="537" t="b">
        <v>1</v>
      </c>
      <c r="AE136" s="537" t="b">
        <v>1</v>
      </c>
      <c r="AF136" s="537" t="b">
        <v>1</v>
      </c>
      <c r="AG136" s="537" t="b">
        <v>1</v>
      </c>
      <c r="AH136" s="537" t="b">
        <v>1</v>
      </c>
      <c r="AI136" s="537" t="b">
        <v>1</v>
      </c>
      <c r="AJ136" s="537" t="b">
        <v>1</v>
      </c>
      <c r="AK136" s="537" t="b">
        <v>1</v>
      </c>
      <c r="AL136" s="537" t="b">
        <v>1</v>
      </c>
      <c r="AM136" s="537" t="b">
        <v>1</v>
      </c>
      <c r="AN136" s="537" t="b">
        <v>1</v>
      </c>
      <c r="AO136" s="537" t="b">
        <v>1</v>
      </c>
      <c r="AP136" s="537" t="b">
        <v>1</v>
      </c>
    </row>
    <row r="137" spans="4:44" x14ac:dyDescent="0.25">
      <c r="D137" s="152"/>
      <c r="J137" s="200"/>
      <c r="K137" s="200"/>
      <c r="L137" s="200"/>
      <c r="M137" s="200"/>
      <c r="N137" s="200"/>
      <c r="O137" s="200"/>
      <c r="P137" s="200"/>
      <c r="Q137" s="200"/>
      <c r="R137" s="200"/>
      <c r="S137" s="200"/>
      <c r="T137" s="200"/>
      <c r="U137" s="200"/>
      <c r="V137" s="200"/>
      <c r="W137" s="200"/>
      <c r="X137" s="200"/>
      <c r="Y137" s="200"/>
      <c r="Z137" s="200"/>
      <c r="AA137" s="200"/>
      <c r="AB137" s="200"/>
      <c r="AC137" s="200"/>
      <c r="AD137" s="200"/>
      <c r="AE137" s="200"/>
      <c r="AF137" s="200"/>
      <c r="AG137" s="200"/>
      <c r="AH137" s="200"/>
      <c r="AI137" s="200"/>
      <c r="AJ137" s="200"/>
      <c r="AK137" s="200"/>
      <c r="AL137" s="200"/>
      <c r="AM137" s="200"/>
      <c r="AN137" s="200"/>
      <c r="AO137" s="200"/>
      <c r="AP137" s="200"/>
    </row>
    <row r="138" spans="4:44" x14ac:dyDescent="0.25">
      <c r="E138" s="172" t="s">
        <v>451</v>
      </c>
      <c r="I138" s="160" t="s">
        <v>525</v>
      </c>
      <c r="J138" s="200"/>
      <c r="K138" s="200"/>
      <c r="L138" s="200"/>
      <c r="M138" s="200"/>
      <c r="N138" s="200"/>
      <c r="O138" s="200"/>
      <c r="P138" s="200"/>
      <c r="Q138" s="200"/>
      <c r="R138" s="200"/>
      <c r="S138" s="200"/>
      <c r="T138" s="200"/>
      <c r="U138" s="200"/>
      <c r="V138" s="200"/>
      <c r="W138" s="200"/>
      <c r="X138" s="200"/>
      <c r="Y138" s="200"/>
      <c r="Z138" s="200"/>
      <c r="AA138" s="200"/>
      <c r="AB138" s="200"/>
      <c r="AC138" s="200"/>
      <c r="AD138" s="200"/>
      <c r="AE138" s="200"/>
      <c r="AF138" s="200"/>
      <c r="AG138" s="200"/>
      <c r="AH138" s="200"/>
      <c r="AI138" s="200"/>
      <c r="AJ138" s="200"/>
      <c r="AK138" s="200"/>
      <c r="AL138" s="200"/>
      <c r="AM138" s="200"/>
      <c r="AN138" s="200"/>
      <c r="AO138" s="200"/>
      <c r="AP138" s="200"/>
      <c r="AR138" s="160" t="s">
        <v>985</v>
      </c>
    </row>
    <row r="139" spans="4:44" x14ac:dyDescent="0.25">
      <c r="E139" s="152" t="s">
        <v>748</v>
      </c>
      <c r="J139" s="200"/>
      <c r="K139" s="200"/>
      <c r="L139" s="200"/>
      <c r="M139" s="200"/>
      <c r="N139" s="200"/>
      <c r="O139" s="200"/>
      <c r="P139" s="200"/>
      <c r="Q139" s="200"/>
      <c r="R139" s="200"/>
      <c r="S139" s="200"/>
      <c r="T139" s="200"/>
      <c r="U139" s="200"/>
      <c r="V139" s="200"/>
      <c r="W139" s="200"/>
      <c r="X139" s="200"/>
      <c r="Y139" s="200"/>
      <c r="Z139" s="200"/>
      <c r="AA139" s="200"/>
      <c r="AB139" s="200"/>
      <c r="AC139" s="200"/>
      <c r="AD139" s="200"/>
      <c r="AE139" s="200"/>
      <c r="AF139" s="200"/>
      <c r="AG139" s="200"/>
      <c r="AH139" s="200"/>
      <c r="AI139" s="200"/>
      <c r="AJ139" s="200"/>
      <c r="AK139" s="200"/>
      <c r="AL139" s="200"/>
      <c r="AM139" s="200"/>
      <c r="AN139" s="200"/>
      <c r="AO139" s="200"/>
      <c r="AP139" s="200"/>
    </row>
    <row r="140" spans="4:44" x14ac:dyDescent="0.25">
      <c r="E140" s="152" t="s">
        <v>749</v>
      </c>
      <c r="J140" s="200"/>
      <c r="K140" s="200"/>
      <c r="L140" s="200"/>
      <c r="M140" s="200"/>
      <c r="N140" s="200"/>
      <c r="O140" s="200"/>
      <c r="P140" s="200"/>
      <c r="Q140" s="200"/>
      <c r="R140" s="200"/>
      <c r="S140" s="200"/>
      <c r="T140" s="200"/>
      <c r="U140" s="200"/>
      <c r="V140" s="200"/>
      <c r="W140" s="200"/>
      <c r="X140" s="200"/>
      <c r="Y140" s="200"/>
      <c r="Z140" s="200"/>
      <c r="AA140" s="200"/>
      <c r="AB140" s="200"/>
      <c r="AC140" s="200"/>
      <c r="AD140" s="200"/>
      <c r="AE140" s="200"/>
      <c r="AF140" s="200"/>
      <c r="AG140" s="200"/>
      <c r="AH140" s="200"/>
      <c r="AI140" s="200"/>
      <c r="AJ140" s="200"/>
      <c r="AK140" s="200"/>
      <c r="AL140" s="200"/>
      <c r="AM140" s="200"/>
      <c r="AN140" s="200"/>
      <c r="AO140" s="200"/>
      <c r="AP140" s="200"/>
    </row>
    <row r="141" spans="4:44" x14ac:dyDescent="0.25">
      <c r="E141" s="152"/>
      <c r="F141" s="167" t="s">
        <v>385</v>
      </c>
      <c r="G141" s="167" t="s">
        <v>149</v>
      </c>
      <c r="H141" s="167"/>
      <c r="I141" s="167"/>
      <c r="J141" s="537">
        <v>0</v>
      </c>
      <c r="K141" s="537">
        <v>0</v>
      </c>
      <c r="L141" s="537">
        <v>0</v>
      </c>
      <c r="M141" s="537">
        <v>0</v>
      </c>
      <c r="N141" s="537">
        <v>0</v>
      </c>
      <c r="O141" s="537">
        <v>0</v>
      </c>
      <c r="P141" s="537">
        <v>0</v>
      </c>
      <c r="Q141" s="537">
        <v>0</v>
      </c>
      <c r="R141" s="537">
        <v>0</v>
      </c>
      <c r="S141" s="537">
        <v>0</v>
      </c>
      <c r="T141" s="537">
        <v>0</v>
      </c>
      <c r="U141" s="537">
        <v>1</v>
      </c>
      <c r="V141" s="537">
        <v>1</v>
      </c>
      <c r="W141" s="537">
        <v>1</v>
      </c>
      <c r="X141" s="537">
        <v>0</v>
      </c>
      <c r="Y141" s="537">
        <v>0</v>
      </c>
      <c r="Z141" s="537">
        <v>0</v>
      </c>
      <c r="AA141" s="537">
        <v>0</v>
      </c>
      <c r="AB141" s="537">
        <v>0</v>
      </c>
      <c r="AC141" s="537">
        <v>0</v>
      </c>
      <c r="AD141" s="537">
        <v>0</v>
      </c>
      <c r="AE141" s="537">
        <v>0</v>
      </c>
      <c r="AF141" s="537">
        <v>0</v>
      </c>
      <c r="AG141" s="537">
        <v>0</v>
      </c>
      <c r="AH141" s="537">
        <v>0</v>
      </c>
      <c r="AI141" s="537">
        <v>0</v>
      </c>
      <c r="AJ141" s="537">
        <v>0</v>
      </c>
      <c r="AK141" s="537">
        <v>0</v>
      </c>
      <c r="AL141" s="537">
        <v>0</v>
      </c>
      <c r="AM141" s="537">
        <v>0</v>
      </c>
      <c r="AN141" s="537">
        <v>0</v>
      </c>
      <c r="AO141" s="537">
        <v>0</v>
      </c>
      <c r="AP141" s="537">
        <v>0</v>
      </c>
    </row>
    <row r="142" spans="4:44" x14ac:dyDescent="0.25">
      <c r="E142" s="152"/>
      <c r="F142" s="167" t="s">
        <v>386</v>
      </c>
      <c r="G142" s="167" t="s">
        <v>149</v>
      </c>
      <c r="H142" s="167"/>
      <c r="I142" s="167"/>
      <c r="J142" s="537">
        <v>0</v>
      </c>
      <c r="K142" s="537">
        <v>0</v>
      </c>
      <c r="L142" s="537">
        <v>0</v>
      </c>
      <c r="M142" s="537">
        <v>0</v>
      </c>
      <c r="N142" s="537">
        <v>0</v>
      </c>
      <c r="O142" s="537">
        <v>0</v>
      </c>
      <c r="P142" s="537">
        <v>0</v>
      </c>
      <c r="Q142" s="537">
        <v>0</v>
      </c>
      <c r="R142" s="537">
        <v>0</v>
      </c>
      <c r="S142" s="537">
        <v>0</v>
      </c>
      <c r="T142" s="537">
        <v>0</v>
      </c>
      <c r="U142" s="537">
        <v>1</v>
      </c>
      <c r="V142" s="537">
        <v>1</v>
      </c>
      <c r="W142" s="537">
        <v>1</v>
      </c>
      <c r="X142" s="537">
        <v>0</v>
      </c>
      <c r="Y142" s="537">
        <v>0</v>
      </c>
      <c r="Z142" s="537">
        <v>0</v>
      </c>
      <c r="AA142" s="537">
        <v>0</v>
      </c>
      <c r="AB142" s="537">
        <v>0</v>
      </c>
      <c r="AC142" s="537">
        <v>0</v>
      </c>
      <c r="AD142" s="537">
        <v>0</v>
      </c>
      <c r="AE142" s="537">
        <v>0</v>
      </c>
      <c r="AF142" s="537">
        <v>0</v>
      </c>
      <c r="AG142" s="537">
        <v>0</v>
      </c>
      <c r="AH142" s="537">
        <v>0</v>
      </c>
      <c r="AI142" s="537">
        <v>0</v>
      </c>
      <c r="AJ142" s="537">
        <v>0</v>
      </c>
      <c r="AK142" s="537">
        <v>0</v>
      </c>
      <c r="AL142" s="537">
        <v>0</v>
      </c>
      <c r="AM142" s="537">
        <v>0</v>
      </c>
      <c r="AN142" s="537">
        <v>0</v>
      </c>
      <c r="AO142" s="537">
        <v>0</v>
      </c>
      <c r="AP142" s="537">
        <v>0</v>
      </c>
    </row>
    <row r="143" spans="4:44" x14ac:dyDescent="0.25">
      <c r="E143" s="152"/>
      <c r="F143" s="167" t="s">
        <v>452</v>
      </c>
      <c r="G143" s="167" t="s">
        <v>149</v>
      </c>
      <c r="H143" s="167"/>
      <c r="I143" s="167"/>
      <c r="J143" s="537">
        <v>0</v>
      </c>
      <c r="K143" s="537">
        <v>0</v>
      </c>
      <c r="L143" s="537">
        <v>0</v>
      </c>
      <c r="M143" s="537">
        <v>0</v>
      </c>
      <c r="N143" s="537">
        <v>0</v>
      </c>
      <c r="O143" s="537">
        <v>0</v>
      </c>
      <c r="P143" s="537">
        <v>0</v>
      </c>
      <c r="Q143" s="537">
        <v>0</v>
      </c>
      <c r="R143" s="537">
        <v>0</v>
      </c>
      <c r="S143" s="537">
        <v>0</v>
      </c>
      <c r="T143" s="537">
        <v>0</v>
      </c>
      <c r="U143" s="537">
        <v>1</v>
      </c>
      <c r="V143" s="537">
        <v>1</v>
      </c>
      <c r="W143" s="537">
        <v>1</v>
      </c>
      <c r="X143" s="537">
        <v>0</v>
      </c>
      <c r="Y143" s="537">
        <v>0</v>
      </c>
      <c r="Z143" s="537">
        <v>0</v>
      </c>
      <c r="AA143" s="537">
        <v>0</v>
      </c>
      <c r="AB143" s="537">
        <v>0</v>
      </c>
      <c r="AC143" s="537">
        <v>0</v>
      </c>
      <c r="AD143" s="537">
        <v>0</v>
      </c>
      <c r="AE143" s="537">
        <v>1</v>
      </c>
      <c r="AF143" s="537">
        <v>0</v>
      </c>
      <c r="AG143" s="537">
        <v>1</v>
      </c>
      <c r="AH143" s="537">
        <v>0</v>
      </c>
      <c r="AI143" s="537">
        <v>1</v>
      </c>
      <c r="AJ143" s="537">
        <v>0</v>
      </c>
      <c r="AK143" s="537">
        <v>1</v>
      </c>
      <c r="AL143" s="537">
        <v>0</v>
      </c>
      <c r="AM143" s="537">
        <v>1</v>
      </c>
      <c r="AN143" s="537">
        <v>0</v>
      </c>
      <c r="AO143" s="537">
        <v>1</v>
      </c>
      <c r="AP143" s="537">
        <v>0</v>
      </c>
    </row>
    <row r="144" spans="4:44" x14ac:dyDescent="0.25">
      <c r="E144" s="152"/>
      <c r="F144" s="167" t="s">
        <v>456</v>
      </c>
      <c r="G144" s="167" t="s">
        <v>149</v>
      </c>
      <c r="H144" s="167"/>
      <c r="I144" s="167"/>
      <c r="J144" s="537">
        <v>1</v>
      </c>
      <c r="K144" s="537">
        <v>1</v>
      </c>
      <c r="L144" s="537">
        <v>0</v>
      </c>
      <c r="M144" s="537">
        <v>1</v>
      </c>
      <c r="N144" s="537">
        <v>1</v>
      </c>
      <c r="O144" s="537">
        <v>0</v>
      </c>
      <c r="P144" s="537">
        <v>1</v>
      </c>
      <c r="Q144" s="537">
        <v>1</v>
      </c>
      <c r="R144" s="537">
        <v>1</v>
      </c>
      <c r="S144" s="537">
        <v>1</v>
      </c>
      <c r="T144" s="537">
        <v>1</v>
      </c>
      <c r="U144" s="537">
        <v>0</v>
      </c>
      <c r="V144" s="537">
        <v>0</v>
      </c>
      <c r="W144" s="537">
        <v>0</v>
      </c>
      <c r="X144" s="537">
        <v>0</v>
      </c>
      <c r="Y144" s="537">
        <v>0</v>
      </c>
      <c r="Z144" s="537">
        <v>0</v>
      </c>
      <c r="AA144" s="537">
        <v>0</v>
      </c>
      <c r="AB144" s="537">
        <v>0</v>
      </c>
      <c r="AC144" s="537">
        <v>0</v>
      </c>
      <c r="AD144" s="537">
        <v>0</v>
      </c>
      <c r="AE144" s="537">
        <v>0</v>
      </c>
      <c r="AF144" s="537">
        <v>0</v>
      </c>
      <c r="AG144" s="537">
        <v>0</v>
      </c>
      <c r="AH144" s="537">
        <v>0</v>
      </c>
      <c r="AI144" s="537">
        <v>0</v>
      </c>
      <c r="AJ144" s="537">
        <v>0</v>
      </c>
      <c r="AK144" s="537">
        <v>0</v>
      </c>
      <c r="AL144" s="537">
        <v>0</v>
      </c>
      <c r="AM144" s="537">
        <v>0</v>
      </c>
      <c r="AN144" s="537">
        <v>0</v>
      </c>
      <c r="AO144" s="537">
        <v>0</v>
      </c>
      <c r="AP144" s="537">
        <v>0</v>
      </c>
    </row>
    <row r="145" spans="3:45" x14ac:dyDescent="0.25">
      <c r="D145" s="152"/>
      <c r="J145" s="200"/>
      <c r="K145" s="200"/>
      <c r="L145" s="200"/>
      <c r="M145" s="200"/>
      <c r="N145" s="200"/>
      <c r="O145" s="200"/>
      <c r="P145" s="200"/>
      <c r="Q145" s="200"/>
      <c r="R145" s="200"/>
      <c r="S145" s="200"/>
      <c r="T145" s="200"/>
      <c r="U145" s="200"/>
      <c r="V145" s="200"/>
      <c r="W145" s="200"/>
      <c r="X145" s="200"/>
      <c r="Y145" s="200"/>
      <c r="Z145" s="200"/>
      <c r="AA145" s="200"/>
      <c r="AB145" s="200"/>
      <c r="AC145" s="200"/>
      <c r="AD145" s="200"/>
      <c r="AE145" s="200"/>
      <c r="AF145" s="200"/>
      <c r="AG145" s="200"/>
      <c r="AH145" s="200"/>
      <c r="AI145" s="200"/>
      <c r="AJ145" s="200"/>
      <c r="AK145" s="200"/>
      <c r="AL145" s="200"/>
      <c r="AM145" s="200"/>
      <c r="AN145" s="200"/>
      <c r="AO145" s="200"/>
      <c r="AP145" s="200"/>
    </row>
    <row r="146" spans="3:45" s="338" customFormat="1" x14ac:dyDescent="0.25">
      <c r="C146" s="22" t="str">
        <f ca="1">INDEX('Version control'!$H$34:$H$59,MATCH($A$1,'Version control'!$F$34:$F$59,0),1)&amp;"-G: Identifiers for customer groupings"</f>
        <v>Input 504-G: Identifiers for customer groupings</v>
      </c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</row>
    <row r="148" spans="3:45" x14ac:dyDescent="0.25">
      <c r="E148" s="172" t="s">
        <v>457</v>
      </c>
      <c r="F148" s="172"/>
    </row>
    <row r="149" spans="3:45" x14ac:dyDescent="0.25">
      <c r="E149" s="152" t="s">
        <v>894</v>
      </c>
      <c r="F149" s="152"/>
    </row>
    <row r="150" spans="3:45" x14ac:dyDescent="0.25">
      <c r="E150" s="152"/>
      <c r="F150" s="35" t="s">
        <v>457</v>
      </c>
      <c r="G150" s="160" t="s">
        <v>635</v>
      </c>
      <c r="J150" s="531">
        <v>1</v>
      </c>
      <c r="K150" s="531">
        <v>1</v>
      </c>
      <c r="L150" s="81"/>
      <c r="M150" s="531">
        <v>1</v>
      </c>
      <c r="N150" s="531">
        <v>1</v>
      </c>
      <c r="O150" s="81"/>
      <c r="P150" s="531">
        <v>2</v>
      </c>
      <c r="Q150" s="531">
        <v>3</v>
      </c>
      <c r="R150" s="531">
        <v>4</v>
      </c>
      <c r="S150" s="531">
        <v>1</v>
      </c>
      <c r="T150" s="531">
        <v>1</v>
      </c>
      <c r="U150" s="81"/>
      <c r="V150" s="81"/>
      <c r="W150" s="81"/>
      <c r="X150" s="81"/>
      <c r="Y150" s="81"/>
      <c r="Z150" s="81"/>
      <c r="AA150" s="81"/>
      <c r="AB150" s="81"/>
      <c r="AC150" s="81"/>
      <c r="AD150" s="81"/>
      <c r="AE150" s="81"/>
      <c r="AF150" s="81"/>
      <c r="AG150" s="81"/>
      <c r="AH150" s="81"/>
      <c r="AI150" s="81"/>
      <c r="AJ150" s="81"/>
      <c r="AK150" s="81"/>
      <c r="AL150" s="81"/>
      <c r="AM150" s="81"/>
      <c r="AN150" s="81"/>
      <c r="AO150" s="81"/>
      <c r="AP150" s="81"/>
    </row>
    <row r="151" spans="3:45" x14ac:dyDescent="0.25">
      <c r="E151" s="152"/>
      <c r="F151" s="152"/>
    </row>
    <row r="152" spans="3:45" x14ac:dyDescent="0.25">
      <c r="E152" s="172" t="s">
        <v>466</v>
      </c>
    </row>
    <row r="153" spans="3:45" x14ac:dyDescent="0.25">
      <c r="E153" s="152" t="s">
        <v>953</v>
      </c>
    </row>
    <row r="154" spans="3:45" x14ac:dyDescent="0.25">
      <c r="E154" s="152"/>
      <c r="F154" s="290" t="s">
        <v>460</v>
      </c>
      <c r="G154" s="167" t="s">
        <v>467</v>
      </c>
      <c r="H154" s="167"/>
      <c r="I154" s="167"/>
      <c r="J154" s="537" t="s">
        <v>462</v>
      </c>
      <c r="K154" s="537" t="s">
        <v>462</v>
      </c>
      <c r="L154" s="537" t="s">
        <v>462</v>
      </c>
      <c r="M154" s="537" t="s">
        <v>463</v>
      </c>
      <c r="N154" s="537" t="s">
        <v>463</v>
      </c>
      <c r="O154" s="537" t="s">
        <v>463</v>
      </c>
      <c r="P154" s="81"/>
      <c r="Q154" s="81"/>
      <c r="R154" s="81"/>
      <c r="S154" s="537" t="s">
        <v>58</v>
      </c>
      <c r="T154" s="537" t="s">
        <v>464</v>
      </c>
      <c r="U154" s="81"/>
      <c r="V154" s="81"/>
      <c r="W154" s="81"/>
      <c r="X154" s="81"/>
      <c r="Y154" s="81"/>
      <c r="Z154" s="81"/>
      <c r="AA154" s="81"/>
      <c r="AB154" s="81"/>
      <c r="AC154" s="81"/>
      <c r="AD154" s="81"/>
      <c r="AE154" s="81"/>
      <c r="AF154" s="81"/>
      <c r="AG154" s="81"/>
      <c r="AH154" s="81"/>
      <c r="AI154" s="81"/>
      <c r="AJ154" s="81"/>
      <c r="AK154" s="81"/>
      <c r="AL154" s="81"/>
      <c r="AM154" s="81"/>
      <c r="AN154" s="81"/>
      <c r="AO154" s="81"/>
      <c r="AP154" s="81"/>
      <c r="AQ154" s="167"/>
      <c r="AR154" s="167"/>
      <c r="AS154" s="167"/>
    </row>
    <row r="155" spans="3:45" x14ac:dyDescent="0.25">
      <c r="E155" s="152"/>
      <c r="F155" s="290" t="s">
        <v>461</v>
      </c>
      <c r="G155" s="167" t="s">
        <v>467</v>
      </c>
      <c r="H155" s="167"/>
      <c r="I155" s="167"/>
      <c r="J155" s="537" t="s">
        <v>341</v>
      </c>
      <c r="K155" s="537" t="s">
        <v>341</v>
      </c>
      <c r="L155" s="537" t="s">
        <v>341</v>
      </c>
      <c r="M155" s="537" t="s">
        <v>342</v>
      </c>
      <c r="N155" s="537" t="s">
        <v>342</v>
      </c>
      <c r="O155" s="537" t="s">
        <v>342</v>
      </c>
      <c r="P155" s="81"/>
      <c r="Q155" s="81"/>
      <c r="R155" s="81"/>
      <c r="S155" s="537" t="s">
        <v>341</v>
      </c>
      <c r="T155" s="537" t="s">
        <v>342</v>
      </c>
      <c r="U155" s="81"/>
      <c r="V155" s="81"/>
      <c r="W155" s="81"/>
      <c r="X155" s="81"/>
      <c r="Y155" s="81"/>
      <c r="Z155" s="81"/>
      <c r="AA155" s="81"/>
      <c r="AB155" s="81"/>
      <c r="AC155" s="81"/>
      <c r="AD155" s="81"/>
      <c r="AE155" s="81"/>
      <c r="AF155" s="81"/>
      <c r="AG155" s="81"/>
      <c r="AH155" s="81"/>
      <c r="AI155" s="81"/>
      <c r="AJ155" s="81"/>
      <c r="AK155" s="81"/>
      <c r="AL155" s="81"/>
      <c r="AM155" s="81"/>
      <c r="AN155" s="81"/>
      <c r="AO155" s="81"/>
      <c r="AP155" s="81"/>
      <c r="AQ155" s="167"/>
      <c r="AR155" s="167"/>
      <c r="AS155" s="167"/>
    </row>
    <row r="156" spans="3:45" x14ac:dyDescent="0.25">
      <c r="D156" s="152"/>
    </row>
    <row r="157" spans="3:45" s="338" customFormat="1" x14ac:dyDescent="0.25">
      <c r="C157" s="22" t="str">
        <f ca="1">INDEX('Version control'!$H$34:$H$59,MATCH($A$1,'Version control'!$F$34:$F$59,0),1)&amp;"-H: Decimal places for error checks"</f>
        <v>Input 504-H: Decimal places for error checks</v>
      </c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</row>
    <row r="159" spans="3:45" x14ac:dyDescent="0.25">
      <c r="E159" s="160" t="s">
        <v>759</v>
      </c>
      <c r="G159" s="160" t="s">
        <v>635</v>
      </c>
      <c r="H159" s="538">
        <v>5</v>
      </c>
    </row>
    <row r="161" spans="2:44" x14ac:dyDescent="0.25">
      <c r="B161" s="171" t="s">
        <v>126</v>
      </c>
      <c r="C161" s="171"/>
      <c r="D161" s="171"/>
      <c r="E161" s="171"/>
      <c r="F161" s="171"/>
      <c r="G161" s="171"/>
      <c r="H161" s="171"/>
      <c r="I161" s="171"/>
      <c r="J161" s="171"/>
      <c r="K161" s="171"/>
      <c r="L161" s="171"/>
      <c r="M161" s="171"/>
      <c r="N161" s="171"/>
      <c r="O161" s="171"/>
      <c r="P161" s="171"/>
      <c r="Q161" s="171"/>
      <c r="R161" s="171"/>
      <c r="S161" s="171"/>
      <c r="T161" s="171"/>
      <c r="U161" s="171"/>
      <c r="V161" s="171"/>
      <c r="W161" s="171"/>
      <c r="X161" s="171"/>
      <c r="Y161" s="171"/>
      <c r="Z161" s="171"/>
      <c r="AA161" s="171"/>
      <c r="AB161" s="171"/>
      <c r="AC161" s="171"/>
      <c r="AD161" s="171"/>
      <c r="AE161" s="171"/>
      <c r="AF161" s="171"/>
      <c r="AG161" s="171"/>
      <c r="AH161" s="171"/>
      <c r="AI161" s="171"/>
      <c r="AJ161" s="171"/>
      <c r="AK161" s="171"/>
      <c r="AL161" s="171"/>
      <c r="AM161" s="171"/>
      <c r="AN161" s="171"/>
      <c r="AO161" s="171"/>
      <c r="AP161" s="171"/>
      <c r="AQ161" s="171"/>
      <c r="AR161" s="171"/>
    </row>
    <row r="162" spans="2:44" x14ac:dyDescent="0.25">
      <c r="F162" s="163"/>
      <c r="G162" s="163"/>
      <c r="H162" s="163"/>
      <c r="I162" s="163"/>
    </row>
    <row r="163" spans="2:44" x14ac:dyDescent="0.25">
      <c r="E163" s="160" t="s">
        <v>622</v>
      </c>
      <c r="G163" s="111" t="s">
        <v>814</v>
      </c>
      <c r="H163" s="316">
        <f t="array" ref="H163">SUM(IF(ISERROR(H15:AP155), 1))</f>
        <v>0</v>
      </c>
      <c r="I163" s="163"/>
    </row>
    <row r="164" spans="2:44" x14ac:dyDescent="0.25">
      <c r="I164" s="163"/>
    </row>
    <row r="165" spans="2:44" x14ac:dyDescent="0.25">
      <c r="E165" s="160" t="s">
        <v>758</v>
      </c>
      <c r="G165" s="111" t="s">
        <v>814</v>
      </c>
      <c r="H165" s="316">
        <f>SUM(J165:AP165)</f>
        <v>0</v>
      </c>
      <c r="I165" s="163"/>
      <c r="J165" s="316">
        <f t="shared" ref="J165:AP165" si="0">IF(J132, IF(FIND("UMS", J5) &gt; 0, 0, 1), 0)</f>
        <v>0</v>
      </c>
      <c r="K165" s="316">
        <f t="shared" si="0"/>
        <v>0</v>
      </c>
      <c r="L165" s="316">
        <f t="shared" si="0"/>
        <v>0</v>
      </c>
      <c r="M165" s="316">
        <f t="shared" si="0"/>
        <v>0</v>
      </c>
      <c r="N165" s="316">
        <f t="shared" si="0"/>
        <v>0</v>
      </c>
      <c r="O165" s="316">
        <f t="shared" si="0"/>
        <v>0</v>
      </c>
      <c r="P165" s="316">
        <f t="shared" si="0"/>
        <v>0</v>
      </c>
      <c r="Q165" s="316">
        <f t="shared" si="0"/>
        <v>0</v>
      </c>
      <c r="R165" s="316">
        <f t="shared" si="0"/>
        <v>0</v>
      </c>
      <c r="S165" s="316">
        <f t="shared" si="0"/>
        <v>0</v>
      </c>
      <c r="T165" s="316">
        <f t="shared" si="0"/>
        <v>0</v>
      </c>
      <c r="U165" s="316">
        <f t="shared" si="0"/>
        <v>0</v>
      </c>
      <c r="V165" s="316">
        <f t="shared" si="0"/>
        <v>0</v>
      </c>
      <c r="W165" s="316">
        <f t="shared" si="0"/>
        <v>0</v>
      </c>
      <c r="X165" s="316">
        <f t="shared" si="0"/>
        <v>0</v>
      </c>
      <c r="Y165" s="316">
        <f t="shared" si="0"/>
        <v>0</v>
      </c>
      <c r="Z165" s="316">
        <f t="shared" si="0"/>
        <v>0</v>
      </c>
      <c r="AA165" s="316">
        <f t="shared" si="0"/>
        <v>0</v>
      </c>
      <c r="AB165" s="316">
        <f t="shared" si="0"/>
        <v>0</v>
      </c>
      <c r="AC165" s="316">
        <f t="shared" si="0"/>
        <v>0</v>
      </c>
      <c r="AD165" s="316">
        <f t="shared" si="0"/>
        <v>0</v>
      </c>
      <c r="AE165" s="316">
        <f t="shared" si="0"/>
        <v>0</v>
      </c>
      <c r="AF165" s="316">
        <f t="shared" si="0"/>
        <v>0</v>
      </c>
      <c r="AG165" s="316">
        <f t="shared" si="0"/>
        <v>0</v>
      </c>
      <c r="AH165" s="316">
        <f t="shared" si="0"/>
        <v>0</v>
      </c>
      <c r="AI165" s="316">
        <f t="shared" si="0"/>
        <v>0</v>
      </c>
      <c r="AJ165" s="316">
        <f t="shared" si="0"/>
        <v>0</v>
      </c>
      <c r="AK165" s="316">
        <f t="shared" si="0"/>
        <v>0</v>
      </c>
      <c r="AL165" s="316">
        <f t="shared" si="0"/>
        <v>0</v>
      </c>
      <c r="AM165" s="316">
        <f t="shared" si="0"/>
        <v>0</v>
      </c>
      <c r="AN165" s="316">
        <f t="shared" si="0"/>
        <v>0</v>
      </c>
      <c r="AO165" s="316">
        <f t="shared" si="0"/>
        <v>0</v>
      </c>
      <c r="AP165" s="316">
        <f t="shared" si="0"/>
        <v>0</v>
      </c>
    </row>
    <row r="166" spans="2:44" x14ac:dyDescent="0.25"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  <c r="Y166" s="163"/>
      <c r="Z166" s="163"/>
      <c r="AA166" s="163"/>
      <c r="AB166" s="163"/>
      <c r="AC166" s="163"/>
      <c r="AD166" s="163"/>
      <c r="AE166" s="163"/>
      <c r="AF166" s="163"/>
      <c r="AG166" s="163"/>
      <c r="AH166" s="163"/>
      <c r="AI166" s="163"/>
      <c r="AJ166" s="163"/>
      <c r="AK166" s="163"/>
      <c r="AL166" s="163"/>
      <c r="AM166" s="163"/>
      <c r="AN166" s="163"/>
      <c r="AO166" s="163"/>
      <c r="AP166" s="163"/>
    </row>
    <row r="167" spans="2:44" x14ac:dyDescent="0.25">
      <c r="E167" s="172" t="s">
        <v>768</v>
      </c>
      <c r="I167" s="163"/>
      <c r="J167" s="338"/>
      <c r="K167" s="338"/>
      <c r="L167" s="338"/>
      <c r="M167" s="338"/>
      <c r="N167" s="338"/>
      <c r="O167" s="338"/>
      <c r="P167" s="338"/>
      <c r="Q167" s="338"/>
      <c r="R167" s="338"/>
      <c r="S167" s="338"/>
      <c r="T167" s="338"/>
      <c r="U167" s="338"/>
      <c r="V167" s="338"/>
      <c r="W167" s="338"/>
      <c r="X167" s="338"/>
      <c r="Y167" s="338"/>
      <c r="Z167" s="338"/>
      <c r="AA167" s="338"/>
      <c r="AB167" s="338"/>
      <c r="AC167" s="338"/>
      <c r="AD167" s="338"/>
      <c r="AE167" s="338"/>
      <c r="AF167" s="338"/>
      <c r="AG167" s="338"/>
      <c r="AH167" s="338"/>
      <c r="AI167" s="338"/>
      <c r="AJ167" s="338"/>
      <c r="AK167" s="338"/>
      <c r="AL167" s="338"/>
      <c r="AM167" s="338"/>
      <c r="AN167" s="338"/>
      <c r="AO167" s="338"/>
      <c r="AP167" s="338"/>
    </row>
    <row r="168" spans="2:44" x14ac:dyDescent="0.25">
      <c r="F168" s="166" t="s">
        <v>769</v>
      </c>
      <c r="G168" s="109" t="s">
        <v>814</v>
      </c>
      <c r="H168" s="315">
        <f>SUM(J168:AP168)</f>
        <v>0</v>
      </c>
      <c r="I168" s="169"/>
      <c r="J168" s="315">
        <f>IF( OR( AND(J106 = TRUE, NOT(ISBLANK(J107))), AND(J106 = FALSE, J107 = 0)), 0, 1)</f>
        <v>0</v>
      </c>
      <c r="K168" s="315">
        <f t="shared" ref="K168:AP168" si="1">IF( OR( AND(K106 = TRUE, NOT(ISBLANK(K107))), AND(K106 = FALSE, K107 = 0)), 0, 1)</f>
        <v>0</v>
      </c>
      <c r="L168" s="315">
        <f t="shared" si="1"/>
        <v>0</v>
      </c>
      <c r="M168" s="315">
        <f t="shared" si="1"/>
        <v>0</v>
      </c>
      <c r="N168" s="315">
        <f t="shared" si="1"/>
        <v>0</v>
      </c>
      <c r="O168" s="315">
        <f t="shared" si="1"/>
        <v>0</v>
      </c>
      <c r="P168" s="315">
        <f t="shared" si="1"/>
        <v>0</v>
      </c>
      <c r="Q168" s="315">
        <f t="shared" si="1"/>
        <v>0</v>
      </c>
      <c r="R168" s="315">
        <f t="shared" si="1"/>
        <v>0</v>
      </c>
      <c r="S168" s="315">
        <f t="shared" si="1"/>
        <v>0</v>
      </c>
      <c r="T168" s="315">
        <f t="shared" si="1"/>
        <v>0</v>
      </c>
      <c r="U168" s="315">
        <f t="shared" si="1"/>
        <v>0</v>
      </c>
      <c r="V168" s="315">
        <f t="shared" si="1"/>
        <v>0</v>
      </c>
      <c r="W168" s="315">
        <f t="shared" si="1"/>
        <v>0</v>
      </c>
      <c r="X168" s="315">
        <f t="shared" si="1"/>
        <v>0</v>
      </c>
      <c r="Y168" s="315">
        <f t="shared" si="1"/>
        <v>0</v>
      </c>
      <c r="Z168" s="315">
        <f t="shared" si="1"/>
        <v>0</v>
      </c>
      <c r="AA168" s="315">
        <f t="shared" si="1"/>
        <v>0</v>
      </c>
      <c r="AB168" s="315">
        <f t="shared" si="1"/>
        <v>0</v>
      </c>
      <c r="AC168" s="315">
        <f t="shared" si="1"/>
        <v>0</v>
      </c>
      <c r="AD168" s="315">
        <f t="shared" si="1"/>
        <v>0</v>
      </c>
      <c r="AE168" s="315">
        <f t="shared" si="1"/>
        <v>0</v>
      </c>
      <c r="AF168" s="315">
        <f t="shared" si="1"/>
        <v>0</v>
      </c>
      <c r="AG168" s="315">
        <f t="shared" si="1"/>
        <v>0</v>
      </c>
      <c r="AH168" s="315">
        <f t="shared" si="1"/>
        <v>0</v>
      </c>
      <c r="AI168" s="315">
        <f t="shared" si="1"/>
        <v>0</v>
      </c>
      <c r="AJ168" s="315">
        <f t="shared" si="1"/>
        <v>0</v>
      </c>
      <c r="AK168" s="315">
        <f t="shared" si="1"/>
        <v>0</v>
      </c>
      <c r="AL168" s="315">
        <f t="shared" si="1"/>
        <v>0</v>
      </c>
      <c r="AM168" s="315">
        <f t="shared" si="1"/>
        <v>0</v>
      </c>
      <c r="AN168" s="315">
        <f t="shared" si="1"/>
        <v>0</v>
      </c>
      <c r="AO168" s="315">
        <f t="shared" si="1"/>
        <v>0</v>
      </c>
      <c r="AP168" s="315">
        <f t="shared" si="1"/>
        <v>0</v>
      </c>
    </row>
    <row r="169" spans="2:44" x14ac:dyDescent="0.25">
      <c r="F169" s="339" t="s">
        <v>770</v>
      </c>
      <c r="G169" s="111" t="s">
        <v>814</v>
      </c>
      <c r="H169" s="316">
        <f>SUM(J169:AP169)</f>
        <v>0</v>
      </c>
      <c r="I169" s="174"/>
      <c r="J169" s="316">
        <f>IF( OR( AND(J110 = TRUE, NOT(ISBLANK(J111))), AND(J110 = FALSE, J111 = 0)), 0, 1)</f>
        <v>0</v>
      </c>
      <c r="K169" s="316">
        <f t="shared" ref="K169:AP169" si="2">IF( OR( AND(K110 = TRUE, NOT(ISBLANK(K111))), AND(K110 = FALSE, K111 = 0)), 0, 1)</f>
        <v>0</v>
      </c>
      <c r="L169" s="316">
        <f t="shared" si="2"/>
        <v>0</v>
      </c>
      <c r="M169" s="316">
        <f t="shared" si="2"/>
        <v>0</v>
      </c>
      <c r="N169" s="316">
        <f t="shared" si="2"/>
        <v>0</v>
      </c>
      <c r="O169" s="316">
        <f t="shared" si="2"/>
        <v>0</v>
      </c>
      <c r="P169" s="316">
        <f t="shared" si="2"/>
        <v>0</v>
      </c>
      <c r="Q169" s="316">
        <f t="shared" si="2"/>
        <v>0</v>
      </c>
      <c r="R169" s="316">
        <f t="shared" si="2"/>
        <v>0</v>
      </c>
      <c r="S169" s="316">
        <f t="shared" si="2"/>
        <v>0</v>
      </c>
      <c r="T169" s="316">
        <f t="shared" si="2"/>
        <v>0</v>
      </c>
      <c r="U169" s="316">
        <f t="shared" si="2"/>
        <v>0</v>
      </c>
      <c r="V169" s="316">
        <f t="shared" si="2"/>
        <v>0</v>
      </c>
      <c r="W169" s="316">
        <f t="shared" si="2"/>
        <v>0</v>
      </c>
      <c r="X169" s="316">
        <f t="shared" si="2"/>
        <v>0</v>
      </c>
      <c r="Y169" s="316">
        <f t="shared" si="2"/>
        <v>0</v>
      </c>
      <c r="Z169" s="316">
        <f t="shared" si="2"/>
        <v>0</v>
      </c>
      <c r="AA169" s="316">
        <f t="shared" si="2"/>
        <v>0</v>
      </c>
      <c r="AB169" s="316">
        <f t="shared" si="2"/>
        <v>0</v>
      </c>
      <c r="AC169" s="316">
        <f t="shared" si="2"/>
        <v>0</v>
      </c>
      <c r="AD169" s="316">
        <f t="shared" si="2"/>
        <v>0</v>
      </c>
      <c r="AE169" s="316">
        <f t="shared" si="2"/>
        <v>0</v>
      </c>
      <c r="AF169" s="316">
        <f t="shared" si="2"/>
        <v>0</v>
      </c>
      <c r="AG169" s="316">
        <f t="shared" si="2"/>
        <v>0</v>
      </c>
      <c r="AH169" s="316">
        <f t="shared" si="2"/>
        <v>0</v>
      </c>
      <c r="AI169" s="316">
        <f t="shared" si="2"/>
        <v>0</v>
      </c>
      <c r="AJ169" s="316">
        <f t="shared" si="2"/>
        <v>0</v>
      </c>
      <c r="AK169" s="316">
        <f t="shared" si="2"/>
        <v>0</v>
      </c>
      <c r="AL169" s="316">
        <f t="shared" si="2"/>
        <v>0</v>
      </c>
      <c r="AM169" s="316">
        <f t="shared" si="2"/>
        <v>0</v>
      </c>
      <c r="AN169" s="316">
        <f t="shared" si="2"/>
        <v>0</v>
      </c>
      <c r="AO169" s="316">
        <f t="shared" si="2"/>
        <v>0</v>
      </c>
      <c r="AP169" s="316">
        <f t="shared" si="2"/>
        <v>0</v>
      </c>
    </row>
    <row r="170" spans="2:44" x14ac:dyDescent="0.25">
      <c r="F170" s="339" t="s">
        <v>771</v>
      </c>
      <c r="G170" s="111" t="s">
        <v>814</v>
      </c>
      <c r="H170" s="316">
        <f>SUM(J170:AP170)</f>
        <v>0</v>
      </c>
      <c r="I170" s="174"/>
      <c r="J170" s="316">
        <f>IF( OR( AND(J114 = TRUE, NOT(ISBLANK(J115))), AND(J114 = FALSE, J115 = 0)), 0, 1)</f>
        <v>0</v>
      </c>
      <c r="K170" s="316">
        <f t="shared" ref="K170:AP170" si="3">IF( OR( AND(K114 = TRUE, NOT(ISBLANK(K115))), AND(K114 = FALSE, K115 = 0)), 0, 1)</f>
        <v>0</v>
      </c>
      <c r="L170" s="316">
        <f t="shared" si="3"/>
        <v>0</v>
      </c>
      <c r="M170" s="316">
        <f t="shared" si="3"/>
        <v>0</v>
      </c>
      <c r="N170" s="316">
        <f t="shared" si="3"/>
        <v>0</v>
      </c>
      <c r="O170" s="316">
        <f t="shared" si="3"/>
        <v>0</v>
      </c>
      <c r="P170" s="316">
        <f t="shared" si="3"/>
        <v>0</v>
      </c>
      <c r="Q170" s="316">
        <f t="shared" si="3"/>
        <v>0</v>
      </c>
      <c r="R170" s="316">
        <f t="shared" si="3"/>
        <v>0</v>
      </c>
      <c r="S170" s="316">
        <f t="shared" si="3"/>
        <v>0</v>
      </c>
      <c r="T170" s="316">
        <f t="shared" si="3"/>
        <v>0</v>
      </c>
      <c r="U170" s="316">
        <f t="shared" si="3"/>
        <v>0</v>
      </c>
      <c r="V170" s="316">
        <f t="shared" si="3"/>
        <v>0</v>
      </c>
      <c r="W170" s="316">
        <f t="shared" si="3"/>
        <v>0</v>
      </c>
      <c r="X170" s="316">
        <f t="shared" si="3"/>
        <v>0</v>
      </c>
      <c r="Y170" s="316">
        <f t="shared" si="3"/>
        <v>0</v>
      </c>
      <c r="Z170" s="316">
        <f t="shared" si="3"/>
        <v>0</v>
      </c>
      <c r="AA170" s="316">
        <f t="shared" si="3"/>
        <v>0</v>
      </c>
      <c r="AB170" s="316">
        <f t="shared" si="3"/>
        <v>0</v>
      </c>
      <c r="AC170" s="316">
        <f t="shared" si="3"/>
        <v>0</v>
      </c>
      <c r="AD170" s="316">
        <f t="shared" si="3"/>
        <v>0</v>
      </c>
      <c r="AE170" s="316">
        <f t="shared" si="3"/>
        <v>0</v>
      </c>
      <c r="AF170" s="316">
        <f t="shared" si="3"/>
        <v>0</v>
      </c>
      <c r="AG170" s="316">
        <f t="shared" si="3"/>
        <v>0</v>
      </c>
      <c r="AH170" s="316">
        <f t="shared" si="3"/>
        <v>0</v>
      </c>
      <c r="AI170" s="316">
        <f t="shared" si="3"/>
        <v>0</v>
      </c>
      <c r="AJ170" s="316">
        <f t="shared" si="3"/>
        <v>0</v>
      </c>
      <c r="AK170" s="316">
        <f t="shared" si="3"/>
        <v>0</v>
      </c>
      <c r="AL170" s="316">
        <f t="shared" si="3"/>
        <v>0</v>
      </c>
      <c r="AM170" s="316">
        <f t="shared" si="3"/>
        <v>0</v>
      </c>
      <c r="AN170" s="316">
        <f t="shared" si="3"/>
        <v>0</v>
      </c>
      <c r="AO170" s="316">
        <f t="shared" si="3"/>
        <v>0</v>
      </c>
      <c r="AP170" s="316">
        <f t="shared" si="3"/>
        <v>0</v>
      </c>
    </row>
    <row r="171" spans="2:44" x14ac:dyDescent="0.25">
      <c r="F171" s="339" t="s">
        <v>772</v>
      </c>
      <c r="G171" s="111" t="s">
        <v>814</v>
      </c>
      <c r="H171" s="316">
        <f>SUM(J171:AP171)</f>
        <v>0</v>
      </c>
      <c r="I171" s="174"/>
      <c r="J171" s="316">
        <f>IF( OR( AND(J118 = TRUE, NOT(ISBLANK(J119))), AND(J118 = FALSE, J119 = 0)), 0, 1)</f>
        <v>0</v>
      </c>
      <c r="K171" s="316">
        <f t="shared" ref="K171:AP171" si="4">IF( OR( AND(K118 = TRUE, NOT(ISBLANK(K119))), AND(K118 = FALSE, K119 = 0)), 0, 1)</f>
        <v>0</v>
      </c>
      <c r="L171" s="316">
        <f t="shared" si="4"/>
        <v>0</v>
      </c>
      <c r="M171" s="316">
        <f t="shared" si="4"/>
        <v>0</v>
      </c>
      <c r="N171" s="316">
        <f t="shared" si="4"/>
        <v>0</v>
      </c>
      <c r="O171" s="316">
        <f t="shared" si="4"/>
        <v>0</v>
      </c>
      <c r="P171" s="316">
        <f t="shared" si="4"/>
        <v>0</v>
      </c>
      <c r="Q171" s="316">
        <f t="shared" si="4"/>
        <v>0</v>
      </c>
      <c r="R171" s="316">
        <f t="shared" si="4"/>
        <v>0</v>
      </c>
      <c r="S171" s="316">
        <f t="shared" si="4"/>
        <v>0</v>
      </c>
      <c r="T171" s="316">
        <f t="shared" si="4"/>
        <v>0</v>
      </c>
      <c r="U171" s="316">
        <f t="shared" si="4"/>
        <v>0</v>
      </c>
      <c r="V171" s="316">
        <f t="shared" si="4"/>
        <v>0</v>
      </c>
      <c r="W171" s="316">
        <f t="shared" si="4"/>
        <v>0</v>
      </c>
      <c r="X171" s="316">
        <f t="shared" si="4"/>
        <v>0</v>
      </c>
      <c r="Y171" s="316">
        <f t="shared" si="4"/>
        <v>0</v>
      </c>
      <c r="Z171" s="316">
        <f t="shared" si="4"/>
        <v>0</v>
      </c>
      <c r="AA171" s="316">
        <f t="shared" si="4"/>
        <v>0</v>
      </c>
      <c r="AB171" s="316">
        <f t="shared" si="4"/>
        <v>0</v>
      </c>
      <c r="AC171" s="316">
        <f t="shared" si="4"/>
        <v>0</v>
      </c>
      <c r="AD171" s="316">
        <f t="shared" si="4"/>
        <v>0</v>
      </c>
      <c r="AE171" s="316">
        <f t="shared" si="4"/>
        <v>0</v>
      </c>
      <c r="AF171" s="316">
        <f t="shared" si="4"/>
        <v>0</v>
      </c>
      <c r="AG171" s="316">
        <f t="shared" si="4"/>
        <v>0</v>
      </c>
      <c r="AH171" s="316">
        <f t="shared" si="4"/>
        <v>0</v>
      </c>
      <c r="AI171" s="316">
        <f t="shared" si="4"/>
        <v>0</v>
      </c>
      <c r="AJ171" s="316">
        <f t="shared" si="4"/>
        <v>0</v>
      </c>
      <c r="AK171" s="316">
        <f t="shared" si="4"/>
        <v>0</v>
      </c>
      <c r="AL171" s="316">
        <f t="shared" si="4"/>
        <v>0</v>
      </c>
      <c r="AM171" s="316">
        <f t="shared" si="4"/>
        <v>0</v>
      </c>
      <c r="AN171" s="316">
        <f t="shared" si="4"/>
        <v>0</v>
      </c>
      <c r="AO171" s="316">
        <f t="shared" si="4"/>
        <v>0</v>
      </c>
      <c r="AP171" s="316">
        <f t="shared" si="4"/>
        <v>0</v>
      </c>
    </row>
    <row r="172" spans="2:44" x14ac:dyDescent="0.25">
      <c r="F172" s="168" t="s">
        <v>773</v>
      </c>
      <c r="G172" s="112" t="s">
        <v>814</v>
      </c>
      <c r="H172" s="318">
        <f>SUM(J172:AP172)</f>
        <v>0</v>
      </c>
      <c r="I172" s="173"/>
      <c r="J172" s="318">
        <f>IF( OR( AND(J122 = TRUE, NOT(ISBLANK(J123))), AND(J122 = FALSE, J123 = 0)), 0, 1)</f>
        <v>0</v>
      </c>
      <c r="K172" s="318">
        <f t="shared" ref="K172:AP172" si="5">IF( OR( AND(K122 = TRUE, NOT(ISBLANK(K123))), AND(K122 = FALSE, K123 = 0)), 0, 1)</f>
        <v>0</v>
      </c>
      <c r="L172" s="318">
        <f t="shared" si="5"/>
        <v>0</v>
      </c>
      <c r="M172" s="318">
        <f t="shared" si="5"/>
        <v>0</v>
      </c>
      <c r="N172" s="318">
        <f t="shared" si="5"/>
        <v>0</v>
      </c>
      <c r="O172" s="318">
        <f t="shared" si="5"/>
        <v>0</v>
      </c>
      <c r="P172" s="318">
        <f t="shared" si="5"/>
        <v>0</v>
      </c>
      <c r="Q172" s="318">
        <f t="shared" si="5"/>
        <v>0</v>
      </c>
      <c r="R172" s="318">
        <f t="shared" si="5"/>
        <v>0</v>
      </c>
      <c r="S172" s="318">
        <f t="shared" si="5"/>
        <v>0</v>
      </c>
      <c r="T172" s="318">
        <f t="shared" si="5"/>
        <v>0</v>
      </c>
      <c r="U172" s="318">
        <f t="shared" si="5"/>
        <v>0</v>
      </c>
      <c r="V172" s="318">
        <f t="shared" si="5"/>
        <v>0</v>
      </c>
      <c r="W172" s="318">
        <f t="shared" si="5"/>
        <v>0</v>
      </c>
      <c r="X172" s="318">
        <f t="shared" si="5"/>
        <v>0</v>
      </c>
      <c r="Y172" s="318">
        <f t="shared" si="5"/>
        <v>0</v>
      </c>
      <c r="Z172" s="318">
        <f t="shared" si="5"/>
        <v>0</v>
      </c>
      <c r="AA172" s="318">
        <f t="shared" si="5"/>
        <v>0</v>
      </c>
      <c r="AB172" s="318">
        <f t="shared" si="5"/>
        <v>0</v>
      </c>
      <c r="AC172" s="318">
        <f t="shared" si="5"/>
        <v>0</v>
      </c>
      <c r="AD172" s="318">
        <f t="shared" si="5"/>
        <v>0</v>
      </c>
      <c r="AE172" s="318">
        <f t="shared" si="5"/>
        <v>0</v>
      </c>
      <c r="AF172" s="318">
        <f t="shared" si="5"/>
        <v>0</v>
      </c>
      <c r="AG172" s="318">
        <f t="shared" si="5"/>
        <v>0</v>
      </c>
      <c r="AH172" s="318">
        <f t="shared" si="5"/>
        <v>0</v>
      </c>
      <c r="AI172" s="318">
        <f t="shared" si="5"/>
        <v>0</v>
      </c>
      <c r="AJ172" s="318">
        <f t="shared" si="5"/>
        <v>0</v>
      </c>
      <c r="AK172" s="318">
        <f t="shared" si="5"/>
        <v>0</v>
      </c>
      <c r="AL172" s="318">
        <f t="shared" si="5"/>
        <v>0</v>
      </c>
      <c r="AM172" s="318">
        <f t="shared" si="5"/>
        <v>0</v>
      </c>
      <c r="AN172" s="318">
        <f t="shared" si="5"/>
        <v>0</v>
      </c>
      <c r="AO172" s="318">
        <f t="shared" si="5"/>
        <v>0</v>
      </c>
      <c r="AP172" s="318">
        <f t="shared" si="5"/>
        <v>0</v>
      </c>
    </row>
    <row r="173" spans="2:44" x14ac:dyDescent="0.25">
      <c r="F173" s="163"/>
      <c r="G173" s="163"/>
      <c r="H173" s="163"/>
      <c r="I173" s="163"/>
    </row>
    <row r="174" spans="2:44" x14ac:dyDescent="0.25">
      <c r="E174" s="160" t="s">
        <v>546</v>
      </c>
      <c r="G174" s="111" t="s">
        <v>814</v>
      </c>
      <c r="H174" s="362">
        <f>H163 + H165 + SUM(H168:H172)</f>
        <v>0</v>
      </c>
      <c r="I174" s="163"/>
    </row>
    <row r="175" spans="2:44" x14ac:dyDescent="0.25">
      <c r="I175" s="163"/>
    </row>
    <row r="176" spans="2:44" x14ac:dyDescent="0.25">
      <c r="B176" s="171" t="s">
        <v>127</v>
      </c>
      <c r="C176" s="171"/>
      <c r="D176" s="171"/>
      <c r="E176" s="171"/>
      <c r="F176" s="171"/>
      <c r="G176" s="171"/>
      <c r="H176" s="171"/>
      <c r="I176" s="171"/>
      <c r="J176" s="171"/>
      <c r="K176" s="171"/>
      <c r="L176" s="171"/>
      <c r="M176" s="171"/>
      <c r="N176" s="171"/>
      <c r="O176" s="171"/>
      <c r="P176" s="171"/>
      <c r="Q176" s="171"/>
      <c r="R176" s="171"/>
      <c r="S176" s="171"/>
      <c r="T176" s="171"/>
      <c r="U176" s="171"/>
      <c r="V176" s="171"/>
      <c r="W176" s="171"/>
      <c r="X176" s="171"/>
      <c r="Y176" s="171"/>
      <c r="Z176" s="171"/>
      <c r="AA176" s="171"/>
      <c r="AB176" s="171"/>
      <c r="AC176" s="171"/>
      <c r="AD176" s="171"/>
      <c r="AE176" s="171"/>
      <c r="AF176" s="171"/>
      <c r="AG176" s="171"/>
      <c r="AH176" s="171"/>
      <c r="AI176" s="171"/>
      <c r="AJ176" s="171"/>
      <c r="AK176" s="171"/>
      <c r="AL176" s="171"/>
      <c r="AM176" s="171"/>
      <c r="AN176" s="171"/>
      <c r="AO176" s="171"/>
      <c r="AP176" s="171"/>
      <c r="AQ176" s="171"/>
      <c r="AR176" s="171"/>
    </row>
    <row r="177" spans="6:9" x14ac:dyDescent="0.25">
      <c r="F177" s="163"/>
      <c r="G177" s="163"/>
      <c r="H177" s="163"/>
      <c r="I177" s="163"/>
    </row>
    <row r="178" spans="6:9" x14ac:dyDescent="0.25">
      <c r="F178" s="163"/>
      <c r="G178" s="163"/>
      <c r="H178" s="163"/>
      <c r="I178" s="163"/>
    </row>
  </sheetData>
  <sheetProtection sheet="1" objects="1" formatCells="0" formatColumns="0" formatRows="0" sort="0" autoFilter="0"/>
  <conditionalFormatting sqref="H163">
    <cfRule type="cellIs" dxfId="97" priority="7" operator="greaterThan">
      <formula>0</formula>
    </cfRule>
  </conditionalFormatting>
  <conditionalFormatting sqref="H165">
    <cfRule type="cellIs" dxfId="96" priority="6" operator="greaterThan">
      <formula>0</formula>
    </cfRule>
  </conditionalFormatting>
  <conditionalFormatting sqref="H168:H172">
    <cfRule type="cellIs" dxfId="95" priority="5" operator="greaterThan">
      <formula>0</formula>
    </cfRule>
  </conditionalFormatting>
  <conditionalFormatting sqref="J165:AP165">
    <cfRule type="cellIs" dxfId="94" priority="4" operator="greaterThan">
      <formula>0</formula>
    </cfRule>
  </conditionalFormatting>
  <conditionalFormatting sqref="J168:AP172">
    <cfRule type="cellIs" dxfId="93" priority="3" operator="greaterThan">
      <formula>0</formula>
    </cfRule>
  </conditionalFormatting>
  <conditionalFormatting sqref="H174">
    <cfRule type="cellIs" dxfId="92" priority="2" operator="greaterThan">
      <formula>0</formula>
    </cfRule>
  </conditionalFormatting>
  <conditionalFormatting sqref="A4:XFD4">
    <cfRule type="expression" dxfId="91" priority="1">
      <formula>LEFT($A$4,1) &lt;&gt; "0"</formula>
    </cfRule>
  </conditionalFormatting>
  <dataValidations count="10">
    <dataValidation type="whole" allowBlank="1" showInputMessage="1" showErrorMessage="1" sqref="H25:H31">
      <formula1>0</formula1>
      <formula2>3</formula2>
    </dataValidation>
    <dataValidation type="whole" allowBlank="1" showInputMessage="1" showErrorMessage="1" sqref="J46:AP49 J53:AP56">
      <formula1>0</formula1>
      <formula2>1</formula2>
    </dataValidation>
    <dataValidation type="whole" allowBlank="1" showInputMessage="1" showErrorMessage="1" sqref="J60:AP69 J73:AP82">
      <formula1>-1</formula1>
      <formula2>1</formula2>
    </dataValidation>
    <dataValidation type="decimal" allowBlank="1" showInputMessage="1" showErrorMessage="1" sqref="J89:AP98 J107:AP107 H39 J111:AP111 J115:AP115 J119:AP119 J123:AP123 U150:AP150 L150 O150 P154:R155 U154:AP155">
      <formula1>0</formula1>
      <formula2>1</formula2>
    </dataValidation>
    <dataValidation type="list" allowBlank="1" showInputMessage="1" showErrorMessage="1" sqref="J106:AP106 J110:AP110 J114:AP114 J118:AP118 J122:AP122 J127:AP127 J132:AP132 J136:AP136">
      <formula1>"TRUE, FALSE"</formula1>
    </dataValidation>
    <dataValidation type="whole" allowBlank="1" showInputMessage="1" showErrorMessage="1" sqref="J150:K150 M150:N150 P150:T150">
      <formula1>0</formula1>
      <formula2>33</formula2>
    </dataValidation>
    <dataValidation type="decimal" allowBlank="1" showInputMessage="1" showErrorMessage="1" sqref="H35">
      <formula1>0</formula1>
      <formula2>999999</formula2>
    </dataValidation>
    <dataValidation type="decimal" allowBlank="1" showInputMessage="1" showErrorMessage="1" sqref="H37">
      <formula1>0.001</formula1>
      <formula2>1</formula2>
    </dataValidation>
    <dataValidation type="decimal" allowBlank="1" showInputMessage="1" showErrorMessage="1" sqref="H41">
      <formula1>0.001</formula1>
      <formula2>999999.999</formula2>
    </dataValidation>
    <dataValidation type="whole" allowBlank="1" showInputMessage="1" showErrorMessage="1" sqref="H15:H18">
      <formula1>0</formula1>
      <formula2>9999</formula2>
    </dataValidation>
  </dataValidations>
  <hyperlinks>
    <hyperlink ref="B5:F5" location="'Model map'!A1" display="Click here to return to model map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tabColor theme="4" tint="0.59999389629810485"/>
    <pageSetUpPr fitToPage="1"/>
  </sheetPr>
  <dimension ref="A1:IV129"/>
  <sheetViews>
    <sheetView showGridLines="0" zoomScale="80" zoomScaleNormal="80" workbookViewId="0">
      <pane xSplit="9" ySplit="5" topLeftCell="J18" activePane="bottomRight" state="frozen"/>
      <selection activeCell="J6" sqref="J6"/>
      <selection pane="topRight" activeCell="J6" sqref="J6"/>
      <selection pane="bottomLeft" activeCell="J6" sqref="J6"/>
      <selection pane="bottomRight" activeCell="J33" sqref="J33"/>
    </sheetView>
  </sheetViews>
  <sheetFormatPr defaultColWidth="0" defaultRowHeight="15" x14ac:dyDescent="0.25"/>
  <cols>
    <col min="1" max="5" width="2.7109375" style="160" customWidth="1"/>
    <col min="6" max="6" width="59.5703125" style="160" customWidth="1"/>
    <col min="7" max="8" width="20.7109375" style="160" customWidth="1"/>
    <col min="9" max="9" width="2.28515625" style="160" customWidth="1"/>
    <col min="10" max="42" width="17" style="160" customWidth="1"/>
    <col min="43" max="43" width="2.28515625" style="160" customWidth="1"/>
    <col min="44" max="44" width="50.7109375" style="160" customWidth="1"/>
    <col min="45" max="45" width="2.28515625" style="160" customWidth="1"/>
    <col min="46" max="256" width="20.7109375" style="160" hidden="1" customWidth="1"/>
    <col min="257" max="16384" width="9.140625" style="160" hidden="1"/>
  </cols>
  <sheetData>
    <row r="1" spans="1:97" s="25" customFormat="1" x14ac:dyDescent="0.25">
      <c r="A1" s="25" t="str">
        <f ca="1">MID(CELL("filename",A1),FIND("]",CELL("filename",A1))+1,255)</f>
        <v>Inputs by customer type</v>
      </c>
    </row>
    <row r="2" spans="1:97" s="25" customFormat="1" x14ac:dyDescent="0.25">
      <c r="A2" s="25" t="str">
        <f>Cover!D21&amp;" - "&amp;Cover!D23</f>
        <v>SEPD - Final</v>
      </c>
    </row>
    <row r="3" spans="1:97" s="97" customFormat="1" x14ac:dyDescent="0.25">
      <c r="A3" s="97" t="str">
        <f>Cover!D2&amp;" - "&amp;Cover!D8&amp;" v"&amp;Cover!D10&amp;" - "&amp;Cover!D19</f>
        <v>ARP model - Release for charge setting v3 - 2020/21</v>
      </c>
    </row>
    <row r="4" spans="1:97" s="338" customFormat="1" x14ac:dyDescent="0.25">
      <c r="A4" s="392" t="str">
        <f>H88 &amp; IF(H88 = 1, " issue", " issues") &amp;" identified in checks on this sheet"</f>
        <v>0 issues identified in checks on this sheet</v>
      </c>
      <c r="B4" s="393"/>
      <c r="C4" s="393"/>
      <c r="D4" s="393"/>
      <c r="E4" s="393"/>
      <c r="F4" s="393"/>
      <c r="G4" s="393"/>
      <c r="H4" s="394"/>
      <c r="I4" s="394"/>
      <c r="J4" s="393"/>
      <c r="K4" s="383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3"/>
      <c r="AD4" s="383"/>
      <c r="AE4" s="383"/>
      <c r="AF4" s="383"/>
      <c r="AG4" s="383"/>
      <c r="AH4" s="383"/>
      <c r="AI4" s="383"/>
      <c r="AJ4" s="383"/>
      <c r="AK4" s="383"/>
      <c r="AL4" s="383"/>
      <c r="AM4" s="383"/>
      <c r="AN4" s="383"/>
      <c r="AO4" s="383"/>
      <c r="AP4" s="383"/>
      <c r="AQ4" s="383"/>
      <c r="AR4" s="383"/>
      <c r="AS4" s="383"/>
      <c r="AT4" s="383"/>
      <c r="AU4" s="383"/>
      <c r="AV4" s="383"/>
      <c r="AW4" s="383"/>
      <c r="AX4" s="383"/>
      <c r="AY4" s="383"/>
      <c r="AZ4" s="383"/>
      <c r="BA4" s="383"/>
      <c r="BB4" s="383"/>
      <c r="BC4" s="383"/>
      <c r="BD4" s="383"/>
      <c r="BE4" s="383"/>
      <c r="BF4" s="383"/>
      <c r="BG4" s="383"/>
      <c r="BH4" s="383"/>
      <c r="BI4" s="383"/>
      <c r="BJ4" s="383"/>
      <c r="BK4" s="383"/>
      <c r="BL4" s="383"/>
      <c r="BM4" s="383"/>
      <c r="BN4" s="383"/>
      <c r="BO4" s="383"/>
      <c r="BP4" s="383"/>
      <c r="BQ4" s="383"/>
      <c r="BR4" s="383"/>
      <c r="BS4" s="383"/>
      <c r="BT4" s="383"/>
      <c r="BU4" s="383"/>
      <c r="BV4" s="383"/>
      <c r="BW4" s="383"/>
      <c r="BX4" s="383"/>
      <c r="BY4" s="383"/>
      <c r="BZ4" s="383"/>
      <c r="CA4" s="383"/>
      <c r="CB4" s="383"/>
      <c r="CC4" s="383"/>
      <c r="CD4" s="383"/>
      <c r="CE4" s="383"/>
      <c r="CF4" s="383"/>
      <c r="CG4" s="383"/>
      <c r="CH4" s="383"/>
      <c r="CI4" s="383"/>
      <c r="CJ4" s="383"/>
      <c r="CK4" s="383"/>
      <c r="CL4" s="383"/>
      <c r="CM4" s="383"/>
      <c r="CN4" s="383"/>
      <c r="CO4" s="383"/>
      <c r="CP4" s="383"/>
      <c r="CQ4" s="383"/>
      <c r="CR4" s="383"/>
      <c r="CS4" s="383"/>
    </row>
    <row r="5" spans="1:97" ht="60" x14ac:dyDescent="0.25">
      <c r="B5" s="244" t="s">
        <v>667</v>
      </c>
      <c r="C5" s="24"/>
      <c r="D5" s="24"/>
      <c r="E5" s="24"/>
      <c r="F5" s="24"/>
      <c r="G5" s="1" t="s">
        <v>108</v>
      </c>
      <c r="H5" s="2" t="s">
        <v>109</v>
      </c>
      <c r="I5" s="200"/>
      <c r="J5" s="2" t="s">
        <v>52</v>
      </c>
      <c r="K5" s="2" t="s">
        <v>53</v>
      </c>
      <c r="L5" s="2" t="s">
        <v>84</v>
      </c>
      <c r="M5" s="2" t="s">
        <v>54</v>
      </c>
      <c r="N5" s="2" t="s">
        <v>55</v>
      </c>
      <c r="O5" s="2" t="s">
        <v>85</v>
      </c>
      <c r="P5" s="2" t="s">
        <v>56</v>
      </c>
      <c r="Q5" s="2" t="s">
        <v>57</v>
      </c>
      <c r="R5" s="2" t="s">
        <v>72</v>
      </c>
      <c r="S5" s="2" t="s">
        <v>58</v>
      </c>
      <c r="T5" s="2" t="s">
        <v>59</v>
      </c>
      <c r="U5" s="2" t="s">
        <v>60</v>
      </c>
      <c r="V5" s="2" t="s">
        <v>61</v>
      </c>
      <c r="W5" s="2" t="s">
        <v>73</v>
      </c>
      <c r="X5" s="2" t="s">
        <v>86</v>
      </c>
      <c r="Y5" s="2" t="s">
        <v>87</v>
      </c>
      <c r="Z5" s="2" t="s">
        <v>88</v>
      </c>
      <c r="AA5" s="2" t="s">
        <v>89</v>
      </c>
      <c r="AB5" s="2" t="s">
        <v>90</v>
      </c>
      <c r="AC5" s="2" t="s">
        <v>62</v>
      </c>
      <c r="AD5" s="2" t="s">
        <v>63</v>
      </c>
      <c r="AE5" s="2" t="s">
        <v>64</v>
      </c>
      <c r="AF5" s="2" t="s">
        <v>65</v>
      </c>
      <c r="AG5" s="2" t="s">
        <v>66</v>
      </c>
      <c r="AH5" s="2" t="s">
        <v>67</v>
      </c>
      <c r="AI5" s="2" t="s">
        <v>68</v>
      </c>
      <c r="AJ5" s="2" t="s">
        <v>69</v>
      </c>
      <c r="AK5" s="2" t="s">
        <v>70</v>
      </c>
      <c r="AL5" s="2" t="s">
        <v>71</v>
      </c>
      <c r="AM5" s="2" t="s">
        <v>74</v>
      </c>
      <c r="AN5" s="2" t="s">
        <v>75</v>
      </c>
      <c r="AO5" s="2" t="s">
        <v>76</v>
      </c>
      <c r="AP5" s="2" t="s">
        <v>77</v>
      </c>
      <c r="AR5" s="1" t="s">
        <v>110</v>
      </c>
    </row>
    <row r="7" spans="1:97" x14ac:dyDescent="0.25">
      <c r="B7" s="171" t="s">
        <v>107</v>
      </c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</row>
    <row r="9" spans="1:97" x14ac:dyDescent="0.25">
      <c r="C9" s="152" t="s">
        <v>1055</v>
      </c>
    </row>
    <row r="11" spans="1:97" x14ac:dyDescent="0.25">
      <c r="E11" s="167" t="s">
        <v>697</v>
      </c>
      <c r="F11" s="167"/>
      <c r="G11" s="167" t="s">
        <v>698</v>
      </c>
      <c r="H11" s="156" t="str">
        <f>charging_year_selected</f>
        <v>2020/21</v>
      </c>
    </row>
    <row r="12" spans="1:97" x14ac:dyDescent="0.25">
      <c r="E12" s="167" t="s">
        <v>682</v>
      </c>
      <c r="F12" s="167"/>
      <c r="G12" s="167" t="s">
        <v>467</v>
      </c>
      <c r="H12" s="246" t="str">
        <f>'ARP_User control'!$H$36</f>
        <v>Current</v>
      </c>
    </row>
    <row r="13" spans="1:97" s="338" customFormat="1" x14ac:dyDescent="0.25">
      <c r="D13" s="35"/>
    </row>
    <row r="14" spans="1:97" s="338" customFormat="1" x14ac:dyDescent="0.25">
      <c r="B14" s="171" t="s">
        <v>661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</row>
    <row r="15" spans="1:97" x14ac:dyDescent="0.25">
      <c r="D15" s="35"/>
    </row>
    <row r="16" spans="1:97" x14ac:dyDescent="0.25">
      <c r="C16" s="22" t="str">
        <f ca="1">INDEX('Version control'!$H$34:$H$59,MATCH($A$1,'Version control'!$F$34:$F$59,0),1)&amp;"-A: Load characteristics"</f>
        <v>Section 501-A: Load characteristics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</row>
    <row r="18" spans="3:44" x14ac:dyDescent="0.25">
      <c r="E18" s="227" t="s">
        <v>83</v>
      </c>
      <c r="G18" s="194" t="s">
        <v>111</v>
      </c>
      <c r="I18" s="160" t="s">
        <v>525</v>
      </c>
      <c r="J18" s="181">
        <f>'ARP_Inputs by customer type'!J19</f>
        <v>0.40291264713159136</v>
      </c>
      <c r="K18" s="181">
        <f>'ARP_Inputs by customer type'!J20</f>
        <v>0.25201324928166224</v>
      </c>
      <c r="L18" s="181">
        <f>'ARP_Inputs by customer type'!J21</f>
        <v>0.10517953382833152</v>
      </c>
      <c r="M18" s="181">
        <f>'ARP_Inputs by customer type'!J22</f>
        <v>0.36016861163234548</v>
      </c>
      <c r="N18" s="181">
        <f>'ARP_Inputs by customer type'!J23</f>
        <v>0.43283209899661901</v>
      </c>
      <c r="O18" s="181">
        <f>'ARP_Inputs by customer type'!J24</f>
        <v>0.22382885280794493</v>
      </c>
      <c r="P18" s="181">
        <f>'ARP_Inputs by customer type'!J25</f>
        <v>0.50478850499382066</v>
      </c>
      <c r="Q18" s="181">
        <f>'ARP_Inputs by customer type'!J26</f>
        <v>0.34529704834737524</v>
      </c>
      <c r="R18" s="181">
        <f>'ARP_Inputs by customer type'!J27</f>
        <v>0.32153049705220221</v>
      </c>
      <c r="S18" s="181">
        <f>'ARP_Inputs by customer type'!J28</f>
        <v>0.24061157735295277</v>
      </c>
      <c r="T18" s="181">
        <f>'ARP_Inputs by customer type'!J29</f>
        <v>0.38486677189948271</v>
      </c>
      <c r="U18" s="181">
        <f>'ARP_Inputs by customer type'!J30</f>
        <v>0.58319695130103477</v>
      </c>
      <c r="V18" s="181">
        <f>'ARP_Inputs by customer type'!J31</f>
        <v>0.64316565706091622</v>
      </c>
      <c r="W18" s="181">
        <f>'ARP_Inputs by customer type'!J32</f>
        <v>0.69582668577563445</v>
      </c>
      <c r="X18" s="181">
        <f>'ARP_Inputs by customer type'!J33</f>
        <v>0.99988594871538961</v>
      </c>
      <c r="Y18" s="181">
        <f>'ARP_Inputs by customer type'!J34</f>
        <v>0.47409656688998675</v>
      </c>
      <c r="Z18" s="181">
        <f>'ARP_Inputs by customer type'!J35</f>
        <v>0.25735293202252324</v>
      </c>
      <c r="AA18" s="181">
        <f>'ARP_Inputs by customer type'!J36</f>
        <v>0.52508693100157189</v>
      </c>
      <c r="AB18" s="181">
        <f>'ARP_Inputs by customer type'!J37</f>
        <v>0.45997700435704125</v>
      </c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R18" s="160" t="s">
        <v>1004</v>
      </c>
    </row>
    <row r="19" spans="3:44" x14ac:dyDescent="0.25">
      <c r="E19" s="227" t="s">
        <v>82</v>
      </c>
      <c r="G19" s="194" t="s">
        <v>111</v>
      </c>
      <c r="I19" s="160" t="s">
        <v>525</v>
      </c>
      <c r="J19" s="181">
        <f>'ARP_Inputs by customer type'!J56</f>
        <v>0.88200236087453765</v>
      </c>
      <c r="K19" s="181">
        <f>'ARP_Inputs by customer type'!J57</f>
        <v>0.38688785287008098</v>
      </c>
      <c r="L19" s="82"/>
      <c r="M19" s="181">
        <f>'ARP_Inputs by customer type'!J59</f>
        <v>0.62682520824381915</v>
      </c>
      <c r="N19" s="181">
        <f>'ARP_Inputs by customer type'!J60</f>
        <v>0.80226924245409836</v>
      </c>
      <c r="O19" s="82"/>
      <c r="P19" s="181">
        <f>'ARP_Inputs by customer type'!J62</f>
        <v>0.68099237873891327</v>
      </c>
      <c r="Q19" s="181">
        <f>'ARP_Inputs by customer type'!J63</f>
        <v>0.40438515076211767</v>
      </c>
      <c r="R19" s="181">
        <f>'ARP_Inputs by customer type'!J64</f>
        <v>0.46488071245670731</v>
      </c>
      <c r="S19" s="181">
        <f>'ARP_Inputs by customer type'!J65</f>
        <v>0.79784840200954121</v>
      </c>
      <c r="T19" s="181">
        <f>'ARP_Inputs by customer type'!J66</f>
        <v>0.6412211220013907</v>
      </c>
      <c r="U19" s="181">
        <f>'ARP_Inputs by customer type'!J67</f>
        <v>0.80684054580144293</v>
      </c>
      <c r="V19" s="181">
        <f>'ARP_Inputs by customer type'!J68</f>
        <v>0.80993129436336686</v>
      </c>
      <c r="W19" s="181">
        <f>'ARP_Inputs by customer type'!J69</f>
        <v>0.77886207792026685</v>
      </c>
      <c r="X19" s="181">
        <f>'ARP_Inputs by customer type'!J70</f>
        <v>1</v>
      </c>
      <c r="Y19" s="181">
        <f>'ARP_Inputs by customer type'!J71</f>
        <v>0.83901666666666674</v>
      </c>
      <c r="Z19" s="181">
        <f>'ARP_Inputs by customer type'!J72</f>
        <v>0.85290833333333327</v>
      </c>
      <c r="AA19" s="181">
        <f>'ARP_Inputs by customer type'!J73</f>
        <v>0.27030833333333332</v>
      </c>
      <c r="AB19" s="181">
        <f>'ARP_Inputs by customer type'!J74</f>
        <v>0.79435807717844309</v>
      </c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R19" s="160" t="s">
        <v>1006</v>
      </c>
    </row>
    <row r="20" spans="3:44" x14ac:dyDescent="0.25">
      <c r="G20" s="194"/>
      <c r="J20" s="339"/>
      <c r="K20" s="339"/>
      <c r="L20" s="339"/>
      <c r="M20" s="339"/>
      <c r="N20" s="339"/>
      <c r="O20" s="339"/>
      <c r="P20" s="339"/>
      <c r="Q20" s="339"/>
      <c r="R20" s="339"/>
      <c r="S20" s="339"/>
      <c r="T20" s="339"/>
      <c r="U20" s="339"/>
      <c r="V20" s="339"/>
      <c r="W20" s="339"/>
      <c r="X20" s="339"/>
      <c r="Y20" s="339"/>
      <c r="Z20" s="339"/>
      <c r="AA20" s="339"/>
      <c r="AB20" s="339"/>
      <c r="AC20" s="339"/>
      <c r="AD20" s="339"/>
      <c r="AE20" s="339"/>
      <c r="AF20" s="339"/>
      <c r="AG20" s="339"/>
      <c r="AH20" s="339"/>
      <c r="AI20" s="339"/>
      <c r="AJ20" s="339"/>
      <c r="AK20" s="339"/>
      <c r="AL20" s="339"/>
      <c r="AM20" s="339"/>
      <c r="AN20" s="339"/>
      <c r="AO20" s="339"/>
      <c r="AP20" s="339"/>
    </row>
    <row r="21" spans="3:44" s="338" customFormat="1" x14ac:dyDescent="0.25">
      <c r="C21" s="22" t="str">
        <f ca="1">INDEX('Version control'!$H$34:$H$59,MATCH($A$1,'Version control'!$F$34:$F$59,0),1)&amp;"-B: Volume forecasts for the charging year"</f>
        <v>Section 501-B: Volume forecasts for the charging year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</row>
    <row r="22" spans="3:44" x14ac:dyDescent="0.25">
      <c r="G22" s="194"/>
      <c r="J22" s="338"/>
      <c r="K22" s="338"/>
      <c r="L22" s="338"/>
      <c r="M22" s="338"/>
      <c r="N22" s="338"/>
      <c r="O22" s="338"/>
      <c r="P22" s="338"/>
      <c r="Q22" s="338"/>
      <c r="R22" s="338"/>
      <c r="S22" s="338"/>
      <c r="T22" s="338"/>
      <c r="U22" s="338"/>
      <c r="V22" s="338"/>
      <c r="W22" s="338"/>
      <c r="X22" s="338"/>
      <c r="Y22" s="338"/>
      <c r="Z22" s="338"/>
      <c r="AA22" s="338"/>
      <c r="AB22" s="338"/>
      <c r="AC22" s="338"/>
      <c r="AD22" s="338"/>
      <c r="AE22" s="338"/>
      <c r="AF22" s="338"/>
      <c r="AG22" s="338"/>
      <c r="AH22" s="338"/>
      <c r="AI22" s="338"/>
      <c r="AJ22" s="338"/>
      <c r="AK22" s="338"/>
      <c r="AL22" s="338"/>
      <c r="AM22" s="338"/>
      <c r="AN22" s="338"/>
      <c r="AO22" s="338"/>
      <c r="AP22" s="338"/>
    </row>
    <row r="23" spans="3:44" x14ac:dyDescent="0.25">
      <c r="E23" s="172" t="s">
        <v>1176</v>
      </c>
      <c r="G23" s="194"/>
      <c r="I23" s="160" t="s">
        <v>525</v>
      </c>
      <c r="J23" s="339"/>
      <c r="K23" s="339"/>
      <c r="L23" s="339"/>
      <c r="M23" s="339"/>
      <c r="N23" s="339"/>
      <c r="O23" s="339"/>
      <c r="P23" s="339"/>
      <c r="Q23" s="339"/>
      <c r="R23" s="339"/>
      <c r="S23" s="339"/>
      <c r="T23" s="339"/>
      <c r="U23" s="339"/>
      <c r="V23" s="339"/>
      <c r="W23" s="339"/>
      <c r="X23" s="339"/>
      <c r="Y23" s="339"/>
      <c r="Z23" s="339"/>
      <c r="AA23" s="339"/>
      <c r="AB23" s="339"/>
      <c r="AC23" s="339"/>
      <c r="AD23" s="339"/>
      <c r="AE23" s="339"/>
      <c r="AF23" s="339"/>
      <c r="AG23" s="339"/>
      <c r="AH23" s="339"/>
      <c r="AI23" s="339"/>
      <c r="AJ23" s="339"/>
      <c r="AK23" s="339"/>
      <c r="AL23" s="339"/>
      <c r="AM23" s="339"/>
      <c r="AN23" s="339"/>
      <c r="AO23" s="339"/>
      <c r="AP23" s="339"/>
      <c r="AR23" s="160" t="s">
        <v>939</v>
      </c>
    </row>
    <row r="24" spans="3:44" x14ac:dyDescent="0.25">
      <c r="E24" s="172"/>
      <c r="F24" s="240" t="s">
        <v>327</v>
      </c>
      <c r="G24" s="240" t="s">
        <v>137</v>
      </c>
      <c r="H24" s="166"/>
      <c r="I24" s="166"/>
      <c r="J24" s="438">
        <f>'ARP_Inputs by customer type'!J95</f>
        <v>9531037.1113550775</v>
      </c>
      <c r="K24" s="438">
        <f>'ARP_Inputs by customer type'!J96</f>
        <v>829359.55798209063</v>
      </c>
      <c r="L24" s="438">
        <f>'ARP_Inputs by customer type'!J97</f>
        <v>198584.80851954999</v>
      </c>
      <c r="M24" s="438">
        <f>'ARP_Inputs by customer type'!J98</f>
        <v>2689300.0489968094</v>
      </c>
      <c r="N24" s="438">
        <f>'ARP_Inputs by customer type'!J99</f>
        <v>446135.31452730647</v>
      </c>
      <c r="O24" s="438">
        <f>'ARP_Inputs by customer type'!J100</f>
        <v>42294.937322173275</v>
      </c>
      <c r="P24" s="438">
        <f>'ARP_Inputs by customer type'!J101</f>
        <v>103112.00714729202</v>
      </c>
      <c r="Q24" s="438">
        <f>'ARP_Inputs by customer type'!J102</f>
        <v>0</v>
      </c>
      <c r="R24" s="438">
        <f>'ARP_Inputs by customer type'!J103</f>
        <v>282.01794456199212</v>
      </c>
      <c r="S24" s="438">
        <f>'ARP_Inputs by customer type'!J104</f>
        <v>7860.2223380748837</v>
      </c>
      <c r="T24" s="438">
        <f>'ARP_Inputs by customer type'!J105</f>
        <v>31138.137808719577</v>
      </c>
      <c r="U24" s="438">
        <f>'ARP_Inputs by customer type'!J106</f>
        <v>620967.59047240799</v>
      </c>
      <c r="V24" s="438">
        <f>'ARP_Inputs by customer type'!J107</f>
        <v>32405.101745710148</v>
      </c>
      <c r="W24" s="438">
        <f>'ARP_Inputs by customer type'!J108</f>
        <v>451823.76166343415</v>
      </c>
      <c r="X24" s="438">
        <f>'ARP_Inputs by customer type'!J109</f>
        <v>24506.465925337929</v>
      </c>
      <c r="Y24" s="438">
        <f>'ARP_Inputs by customer type'!J110</f>
        <v>15376.103638428405</v>
      </c>
      <c r="Z24" s="438">
        <f>'ARP_Inputs by customer type'!J111</f>
        <v>714.0158417184947</v>
      </c>
      <c r="AA24" s="438">
        <f>'ARP_Inputs by customer type'!J112</f>
        <v>149.6510564463434</v>
      </c>
      <c r="AB24" s="438">
        <f>'ARP_Inputs by customer type'!J113</f>
        <v>11658.410074193856</v>
      </c>
      <c r="AC24" s="438">
        <f>'ARP_Inputs by customer type'!J114</f>
        <v>4225.3710170849599</v>
      </c>
      <c r="AD24" s="438">
        <f>'ARP_Inputs by customer type'!J115</f>
        <v>263.02538443584314</v>
      </c>
      <c r="AE24" s="438">
        <f>'ARP_Inputs by customer type'!J116</f>
        <v>35961.144003908586</v>
      </c>
      <c r="AF24" s="438">
        <f>'ARP_Inputs by customer type'!J117</f>
        <v>0</v>
      </c>
      <c r="AG24" s="438">
        <f>'ARP_Inputs by customer type'!J118</f>
        <v>1371.2423324055203</v>
      </c>
      <c r="AH24" s="438">
        <f>'ARP_Inputs by customer type'!J119</f>
        <v>0</v>
      </c>
      <c r="AI24" s="438">
        <f>'ARP_Inputs by customer type'!J120</f>
        <v>0</v>
      </c>
      <c r="AJ24" s="438">
        <f>'ARP_Inputs by customer type'!J121</f>
        <v>0</v>
      </c>
      <c r="AK24" s="438">
        <f>'ARP_Inputs by customer type'!J122</f>
        <v>0</v>
      </c>
      <c r="AL24" s="438">
        <f>'ARP_Inputs by customer type'!J123</f>
        <v>0</v>
      </c>
      <c r="AM24" s="438">
        <f>'ARP_Inputs by customer type'!J124</f>
        <v>468706.30956186936</v>
      </c>
      <c r="AN24" s="438">
        <f>'ARP_Inputs by customer type'!J125</f>
        <v>0</v>
      </c>
      <c r="AO24" s="438">
        <f>'ARP_Inputs by customer type'!J126</f>
        <v>57940.367337102631</v>
      </c>
      <c r="AP24" s="438">
        <f>'ARP_Inputs by customer type'!J127</f>
        <v>0</v>
      </c>
    </row>
    <row r="25" spans="3:44" x14ac:dyDescent="0.25">
      <c r="E25" s="172"/>
      <c r="F25" s="290" t="s">
        <v>328</v>
      </c>
      <c r="G25" s="290" t="s">
        <v>137</v>
      </c>
      <c r="H25" s="167"/>
      <c r="I25" s="167"/>
      <c r="J25" s="403"/>
      <c r="K25" s="437">
        <f>'ARP_Inputs by customer type'!J131</f>
        <v>730893.49412617984</v>
      </c>
      <c r="L25" s="403"/>
      <c r="M25" s="403"/>
      <c r="N25" s="437">
        <f>'ARP_Inputs by customer type'!J134</f>
        <v>277893.67674845975</v>
      </c>
      <c r="O25" s="403"/>
      <c r="P25" s="437">
        <f>'ARP_Inputs by customer type'!J136</f>
        <v>6823.4996808388805</v>
      </c>
      <c r="Q25" s="437">
        <f>'ARP_Inputs by customer type'!J137</f>
        <v>0</v>
      </c>
      <c r="R25" s="437">
        <f>'ARP_Inputs by customer type'!J138</f>
        <v>4.3459831614531019</v>
      </c>
      <c r="S25" s="437">
        <f>'ARP_Inputs by customer type'!J139</f>
        <v>24994.390520249668</v>
      </c>
      <c r="T25" s="437">
        <f>'ARP_Inputs by customer type'!J140</f>
        <v>177190.04826048089</v>
      </c>
      <c r="U25" s="437">
        <f>'ARP_Inputs by customer type'!J141</f>
        <v>3514047.1190492325</v>
      </c>
      <c r="V25" s="437">
        <f>'ARP_Inputs by customer type'!J142</f>
        <v>187630.12698838831</v>
      </c>
      <c r="W25" s="437">
        <f>'ARP_Inputs by customer type'!J143</f>
        <v>2539336.4296852075</v>
      </c>
      <c r="X25" s="403"/>
      <c r="Y25" s="403"/>
      <c r="Z25" s="403"/>
      <c r="AA25" s="403"/>
      <c r="AB25" s="437">
        <f>'ARP_Inputs by customer type'!J148</f>
        <v>68737.449629691037</v>
      </c>
      <c r="AC25" s="403"/>
      <c r="AD25" s="403"/>
      <c r="AE25" s="403"/>
      <c r="AF25" s="403"/>
      <c r="AG25" s="437">
        <f>'ARP_Inputs by customer type'!J153</f>
        <v>7613.1539114026109</v>
      </c>
      <c r="AH25" s="437">
        <f>'ARP_Inputs by customer type'!J154</f>
        <v>0</v>
      </c>
      <c r="AI25" s="403"/>
      <c r="AJ25" s="403"/>
      <c r="AK25" s="437">
        <f>'ARP_Inputs by customer type'!J157</f>
        <v>0</v>
      </c>
      <c r="AL25" s="437">
        <f>'ARP_Inputs by customer type'!J158</f>
        <v>0</v>
      </c>
      <c r="AM25" s="403"/>
      <c r="AN25" s="403"/>
      <c r="AO25" s="437">
        <f>'ARP_Inputs by customer type'!J161</f>
        <v>308061.97136442841</v>
      </c>
      <c r="AP25" s="437">
        <f>'ARP_Inputs by customer type'!J162</f>
        <v>0</v>
      </c>
    </row>
    <row r="26" spans="3:44" x14ac:dyDescent="0.25">
      <c r="E26" s="172"/>
      <c r="F26" s="290" t="s">
        <v>329</v>
      </c>
      <c r="G26" s="290" t="s">
        <v>137</v>
      </c>
      <c r="H26" s="167"/>
      <c r="I26" s="167"/>
      <c r="J26" s="403"/>
      <c r="K26" s="403"/>
      <c r="L26" s="403"/>
      <c r="M26" s="403"/>
      <c r="N26" s="403"/>
      <c r="O26" s="403"/>
      <c r="P26" s="403"/>
      <c r="Q26" s="403"/>
      <c r="R26" s="403"/>
      <c r="S26" s="437">
        <f>'ARP_Inputs by customer type'!J174</f>
        <v>14748.66215848906</v>
      </c>
      <c r="T26" s="437">
        <f>'ARP_Inputs by customer type'!J175</f>
        <v>84561.767602422755</v>
      </c>
      <c r="U26" s="437">
        <f>'ARP_Inputs by customer type'!J176</f>
        <v>1852935.9149048373</v>
      </c>
      <c r="V26" s="437">
        <f>'ARP_Inputs by customer type'!J177</f>
        <v>115440.36843887392</v>
      </c>
      <c r="W26" s="437">
        <f>'ARP_Inputs by customer type'!J178</f>
        <v>1744020.8732995491</v>
      </c>
      <c r="X26" s="403"/>
      <c r="Y26" s="403"/>
      <c r="Z26" s="403"/>
      <c r="AA26" s="403"/>
      <c r="AB26" s="437">
        <f>'ARP_Inputs by customer type'!J183</f>
        <v>135195.92288743221</v>
      </c>
      <c r="AC26" s="403"/>
      <c r="AD26" s="403"/>
      <c r="AE26" s="403"/>
      <c r="AF26" s="403"/>
      <c r="AG26" s="437">
        <f>'ARP_Inputs by customer type'!J188</f>
        <v>5014.6004963348978</v>
      </c>
      <c r="AH26" s="437">
        <f>'ARP_Inputs by customer type'!J189</f>
        <v>0</v>
      </c>
      <c r="AI26" s="403"/>
      <c r="AJ26" s="403"/>
      <c r="AK26" s="437">
        <f>'ARP_Inputs by customer type'!J192</f>
        <v>0</v>
      </c>
      <c r="AL26" s="437">
        <f>'ARP_Inputs by customer type'!J193</f>
        <v>0</v>
      </c>
      <c r="AM26" s="403"/>
      <c r="AN26" s="403"/>
      <c r="AO26" s="437">
        <f>'ARP_Inputs by customer type'!J196</f>
        <v>227982.97660961846</v>
      </c>
      <c r="AP26" s="437">
        <f>'ARP_Inputs by customer type'!J197</f>
        <v>0</v>
      </c>
    </row>
    <row r="27" spans="3:44" x14ac:dyDescent="0.25">
      <c r="E27" s="172"/>
      <c r="F27" s="290" t="s">
        <v>91</v>
      </c>
      <c r="G27" s="290" t="s">
        <v>91</v>
      </c>
      <c r="H27" s="167"/>
      <c r="I27" s="167"/>
      <c r="J27" s="437">
        <f>'ARP_Inputs by customer type'!J200</f>
        <v>2614336.2413237519</v>
      </c>
      <c r="K27" s="437">
        <f>'ARP_Inputs by customer type'!J201</f>
        <v>249507.66931899733</v>
      </c>
      <c r="L27" s="437">
        <f>'ARP_Inputs by customer type'!J202</f>
        <v>44801.254681196289</v>
      </c>
      <c r="M27" s="437">
        <f>'ARP_Inputs by customer type'!J203</f>
        <v>194209.09842697342</v>
      </c>
      <c r="N27" s="437">
        <f>'ARP_Inputs by customer type'!J204</f>
        <v>30953.589782380437</v>
      </c>
      <c r="O27" s="437">
        <f>'ARP_Inputs by customer type'!J205</f>
        <v>5572.2471252403921</v>
      </c>
      <c r="P27" s="437">
        <f>'ARP_Inputs by customer type'!J206</f>
        <v>1417.7198422895481</v>
      </c>
      <c r="Q27" s="437">
        <f>'ARP_Inputs by customer type'!J207</f>
        <v>0</v>
      </c>
      <c r="R27" s="437">
        <f>'ARP_Inputs by customer type'!J208</f>
        <v>4</v>
      </c>
      <c r="S27" s="437">
        <f>'ARP_Inputs by customer type'!J209</f>
        <v>9733.7777777777792</v>
      </c>
      <c r="T27" s="437">
        <f>'ARP_Inputs by customer type'!J210</f>
        <v>3801.3479683887344</v>
      </c>
      <c r="U27" s="437">
        <f>'ARP_Inputs by customer type'!J211</f>
        <v>21731.709871195584</v>
      </c>
      <c r="V27" s="437">
        <f>'ARP_Inputs by customer type'!J212</f>
        <v>256.88272060595517</v>
      </c>
      <c r="W27" s="437">
        <f>'ARP_Inputs by customer type'!J213</f>
        <v>1862</v>
      </c>
      <c r="X27" s="437">
        <f>'ARP_Inputs by customer type'!J214</f>
        <v>2107.666666666667</v>
      </c>
      <c r="Y27" s="437">
        <f>'ARP_Inputs by customer type'!J215</f>
        <v>1294.6666666666665</v>
      </c>
      <c r="Z27" s="437">
        <f>'ARP_Inputs by customer type'!J216</f>
        <v>136</v>
      </c>
      <c r="AA27" s="437">
        <f>'ARP_Inputs by customer type'!J217</f>
        <v>9</v>
      </c>
      <c r="AB27" s="437">
        <f>'ARP_Inputs by customer type'!J218</f>
        <v>41</v>
      </c>
      <c r="AC27" s="437">
        <f>'ARP_Inputs by customer type'!J219</f>
        <v>1105.7222222222224</v>
      </c>
      <c r="AD27" s="437">
        <f>'ARP_Inputs by customer type'!J220</f>
        <v>45</v>
      </c>
      <c r="AE27" s="437">
        <f>'ARP_Inputs by customer type'!J221</f>
        <v>808.8746645937498</v>
      </c>
      <c r="AF27" s="437">
        <f>'ARP_Inputs by customer type'!J222</f>
        <v>0</v>
      </c>
      <c r="AG27" s="437">
        <f>'ARP_Inputs by customer type'!J223</f>
        <v>45</v>
      </c>
      <c r="AH27" s="437">
        <f>'ARP_Inputs by customer type'!J224</f>
        <v>0</v>
      </c>
      <c r="AI27" s="437">
        <f>'ARP_Inputs by customer type'!J225</f>
        <v>1</v>
      </c>
      <c r="AJ27" s="437">
        <f>'ARP_Inputs by customer type'!J226</f>
        <v>0</v>
      </c>
      <c r="AK27" s="437">
        <f>'ARP_Inputs by customer type'!J227</f>
        <v>0</v>
      </c>
      <c r="AL27" s="437">
        <f>'ARP_Inputs by customer type'!J228</f>
        <v>0</v>
      </c>
      <c r="AM27" s="437">
        <f>'ARP_Inputs by customer type'!J229</f>
        <v>165</v>
      </c>
      <c r="AN27" s="437">
        <f>'ARP_Inputs by customer type'!J230</f>
        <v>0</v>
      </c>
      <c r="AO27" s="437">
        <f>'ARP_Inputs by customer type'!J231</f>
        <v>115</v>
      </c>
      <c r="AP27" s="437">
        <f>'ARP_Inputs by customer type'!J232</f>
        <v>0</v>
      </c>
    </row>
    <row r="28" spans="3:44" x14ac:dyDescent="0.25">
      <c r="E28" s="172"/>
      <c r="F28" s="290" t="s">
        <v>330</v>
      </c>
      <c r="G28" s="290" t="s">
        <v>186</v>
      </c>
      <c r="H28" s="167"/>
      <c r="I28" s="167"/>
      <c r="J28" s="403"/>
      <c r="K28" s="403"/>
      <c r="L28" s="403"/>
      <c r="M28" s="403"/>
      <c r="N28" s="403"/>
      <c r="O28" s="403"/>
      <c r="P28" s="403"/>
      <c r="Q28" s="403"/>
      <c r="R28" s="403"/>
      <c r="S28" s="403"/>
      <c r="T28" s="403"/>
      <c r="U28" s="437">
        <f>'ARP_Inputs by customer type'!J246</f>
        <v>3227335.4267025632</v>
      </c>
      <c r="V28" s="437">
        <f>'ARP_Inputs by customer type'!J247</f>
        <v>100042.21699417738</v>
      </c>
      <c r="W28" s="437">
        <f>'ARP_Inputs by customer type'!J248</f>
        <v>2034386.008332856</v>
      </c>
      <c r="X28" s="403"/>
      <c r="Y28" s="403"/>
      <c r="Z28" s="403"/>
      <c r="AA28" s="403"/>
      <c r="AB28" s="403"/>
      <c r="AC28" s="403"/>
      <c r="AD28" s="403"/>
      <c r="AE28" s="403"/>
      <c r="AF28" s="403"/>
      <c r="AG28" s="403"/>
      <c r="AH28" s="403"/>
      <c r="AI28" s="403"/>
      <c r="AJ28" s="403"/>
      <c r="AK28" s="403"/>
      <c r="AL28" s="403"/>
      <c r="AM28" s="403"/>
      <c r="AN28" s="403"/>
      <c r="AO28" s="403"/>
      <c r="AP28" s="403"/>
    </row>
    <row r="29" spans="3:44" x14ac:dyDescent="0.25">
      <c r="E29" s="172"/>
      <c r="F29" s="290" t="s">
        <v>331</v>
      </c>
      <c r="G29" s="290" t="s">
        <v>186</v>
      </c>
      <c r="H29" s="167"/>
      <c r="I29" s="167"/>
      <c r="J29" s="403"/>
      <c r="K29" s="403"/>
      <c r="L29" s="403"/>
      <c r="M29" s="403"/>
      <c r="N29" s="403"/>
      <c r="O29" s="403"/>
      <c r="P29" s="403"/>
      <c r="Q29" s="403"/>
      <c r="R29" s="403"/>
      <c r="S29" s="403"/>
      <c r="T29" s="403"/>
      <c r="U29" s="437">
        <f>'ARP_Inputs by customer type'!J281</f>
        <v>60070.389599462484</v>
      </c>
      <c r="V29" s="437">
        <f>'ARP_Inputs by customer type'!J282</f>
        <v>1898.8027415114705</v>
      </c>
      <c r="W29" s="437">
        <f>'ARP_Inputs by customer type'!J283</f>
        <v>28310.579478142176</v>
      </c>
      <c r="X29" s="403"/>
      <c r="Y29" s="403"/>
      <c r="Z29" s="403"/>
      <c r="AA29" s="403"/>
      <c r="AB29" s="403"/>
      <c r="AC29" s="403"/>
      <c r="AD29" s="403"/>
      <c r="AE29" s="403"/>
      <c r="AF29" s="403"/>
      <c r="AG29" s="403"/>
      <c r="AH29" s="403"/>
      <c r="AI29" s="403"/>
      <c r="AJ29" s="403"/>
      <c r="AK29" s="403"/>
      <c r="AL29" s="403"/>
      <c r="AM29" s="403"/>
      <c r="AN29" s="403"/>
      <c r="AO29" s="403"/>
      <c r="AP29" s="403"/>
    </row>
    <row r="30" spans="3:44" x14ac:dyDescent="0.25">
      <c r="E30" s="172"/>
      <c r="F30" s="241" t="s">
        <v>332</v>
      </c>
      <c r="G30" s="241" t="s">
        <v>187</v>
      </c>
      <c r="H30" s="168"/>
      <c r="I30" s="168"/>
      <c r="J30" s="404"/>
      <c r="K30" s="404"/>
      <c r="L30" s="404"/>
      <c r="M30" s="404"/>
      <c r="N30" s="404"/>
      <c r="O30" s="404"/>
      <c r="P30" s="404"/>
      <c r="Q30" s="404"/>
      <c r="R30" s="404"/>
      <c r="S30" s="404"/>
      <c r="T30" s="404"/>
      <c r="U30" s="440">
        <f>'ARP_Inputs by customer type'!J316</f>
        <v>495537.78754534118</v>
      </c>
      <c r="V30" s="440">
        <f>'ARP_Inputs by customer type'!J317</f>
        <v>24991.029942327667</v>
      </c>
      <c r="W30" s="440">
        <f>'ARP_Inputs by customer type'!J318</f>
        <v>355995.74561946333</v>
      </c>
      <c r="X30" s="404"/>
      <c r="Y30" s="404"/>
      <c r="Z30" s="404"/>
      <c r="AA30" s="404"/>
      <c r="AB30" s="404"/>
      <c r="AC30" s="404"/>
      <c r="AD30" s="404"/>
      <c r="AE30" s="440">
        <f>'ARP_Inputs by customer type'!J326</f>
        <v>5006.8769289301918</v>
      </c>
      <c r="AF30" s="404"/>
      <c r="AG30" s="440">
        <f>'ARP_Inputs by customer type'!J328</f>
        <v>364.90995026032709</v>
      </c>
      <c r="AH30" s="404"/>
      <c r="AI30" s="440">
        <f>'ARP_Inputs by customer type'!J330</f>
        <v>0</v>
      </c>
      <c r="AJ30" s="404"/>
      <c r="AK30" s="440">
        <f>'ARP_Inputs by customer type'!J332</f>
        <v>0</v>
      </c>
      <c r="AL30" s="404"/>
      <c r="AM30" s="440">
        <f>'ARP_Inputs by customer type'!J334</f>
        <v>21616.418527358299</v>
      </c>
      <c r="AN30" s="404"/>
      <c r="AO30" s="440">
        <f>'ARP_Inputs by customer type'!J336</f>
        <v>22280.782866737216</v>
      </c>
      <c r="AP30" s="404"/>
    </row>
    <row r="31" spans="3:44" s="562" customFormat="1" x14ac:dyDescent="0.25">
      <c r="E31" s="563"/>
      <c r="F31" s="564"/>
      <c r="G31" s="564"/>
      <c r="J31" s="565"/>
      <c r="K31" s="565"/>
      <c r="L31" s="565"/>
      <c r="M31" s="565"/>
      <c r="N31" s="565"/>
      <c r="O31" s="565"/>
      <c r="P31" s="565"/>
      <c r="Q31" s="565"/>
      <c r="R31" s="565"/>
      <c r="S31" s="565"/>
      <c r="T31" s="565"/>
      <c r="U31" s="566"/>
      <c r="V31" s="566"/>
      <c r="W31" s="566"/>
      <c r="X31" s="565"/>
      <c r="Y31" s="565"/>
      <c r="Z31" s="565"/>
      <c r="AA31" s="565"/>
      <c r="AB31" s="565"/>
      <c r="AC31" s="565"/>
      <c r="AD31" s="565"/>
      <c r="AE31" s="566"/>
      <c r="AF31" s="565"/>
      <c r="AG31" s="566"/>
      <c r="AH31" s="565"/>
      <c r="AI31" s="566"/>
      <c r="AJ31" s="565"/>
      <c r="AK31" s="566"/>
      <c r="AL31" s="565"/>
      <c r="AM31" s="566"/>
      <c r="AN31" s="565"/>
      <c r="AO31" s="566"/>
      <c r="AP31" s="565"/>
    </row>
    <row r="32" spans="3:44" x14ac:dyDescent="0.25">
      <c r="E32" s="172" t="s">
        <v>1177</v>
      </c>
      <c r="F32" s="338"/>
      <c r="G32" s="241"/>
      <c r="H32" s="168"/>
      <c r="I32" s="160" t="s">
        <v>525</v>
      </c>
      <c r="J32" s="436"/>
      <c r="K32" s="436"/>
      <c r="L32" s="436"/>
      <c r="M32" s="436"/>
      <c r="N32" s="436"/>
      <c r="O32" s="436"/>
      <c r="P32" s="436"/>
      <c r="Q32" s="436"/>
      <c r="R32" s="436"/>
      <c r="S32" s="436"/>
      <c r="T32" s="436"/>
      <c r="U32" s="436"/>
      <c r="V32" s="436"/>
      <c r="W32" s="436"/>
      <c r="X32" s="436"/>
      <c r="Y32" s="436"/>
      <c r="Z32" s="436"/>
      <c r="AA32" s="436"/>
      <c r="AB32" s="436"/>
      <c r="AC32" s="436"/>
      <c r="AD32" s="436"/>
      <c r="AE32" s="436"/>
      <c r="AF32" s="436"/>
      <c r="AG32" s="436"/>
      <c r="AH32" s="436"/>
      <c r="AI32" s="436"/>
      <c r="AJ32" s="436"/>
      <c r="AK32" s="436"/>
      <c r="AL32" s="436"/>
      <c r="AM32" s="436"/>
      <c r="AN32" s="436"/>
      <c r="AO32" s="436"/>
      <c r="AP32" s="436"/>
      <c r="AR32" s="160" t="s">
        <v>939</v>
      </c>
    </row>
    <row r="33" spans="5:44" x14ac:dyDescent="0.25">
      <c r="E33" s="172"/>
      <c r="F33" s="240" t="s">
        <v>327</v>
      </c>
      <c r="G33" s="290" t="s">
        <v>137</v>
      </c>
      <c r="H33" s="167"/>
      <c r="I33" s="166"/>
      <c r="J33" s="438">
        <f>'ARP_Inputs by customer type'!J342</f>
        <v>50529.318635033887</v>
      </c>
      <c r="K33" s="438">
        <f>'ARP_Inputs by customer type'!J343</f>
        <v>2826.5797541852289</v>
      </c>
      <c r="L33" s="438">
        <f>'ARP_Inputs by customer type'!J344</f>
        <v>0</v>
      </c>
      <c r="M33" s="438">
        <f>'ARP_Inputs by customer type'!J345</f>
        <v>9109.385454381918</v>
      </c>
      <c r="N33" s="438">
        <f>'ARP_Inputs by customer type'!J346</f>
        <v>122.97201795974398</v>
      </c>
      <c r="O33" s="438">
        <f>'ARP_Inputs by customer type'!J347</f>
        <v>0</v>
      </c>
      <c r="P33" s="438">
        <f>'ARP_Inputs by customer type'!J348</f>
        <v>460.11276428235038</v>
      </c>
      <c r="Q33" s="561"/>
      <c r="R33" s="561"/>
      <c r="S33" s="438">
        <f>'ARP_Inputs by customer type'!J351</f>
        <v>0.64704682591866147</v>
      </c>
      <c r="T33" s="438">
        <f>'ARP_Inputs by customer type'!J352</f>
        <v>53.240169966642156</v>
      </c>
      <c r="U33" s="438">
        <f>'ARP_Inputs by customer type'!J353</f>
        <v>2012.5375530019282</v>
      </c>
      <c r="V33" s="561"/>
      <c r="W33" s="561"/>
      <c r="X33" s="438">
        <f>'ARP_Inputs by customer type'!J356</f>
        <v>0</v>
      </c>
      <c r="Y33" s="438">
        <f>'ARP_Inputs by customer type'!J357</f>
        <v>55.545909609640468</v>
      </c>
      <c r="Z33" s="438">
        <f>'ARP_Inputs by customer type'!J358</f>
        <v>98.417000000000044</v>
      </c>
      <c r="AA33" s="438">
        <f>'ARP_Inputs by customer type'!J359</f>
        <v>0</v>
      </c>
      <c r="AB33" s="438">
        <f>'ARP_Inputs by customer type'!J360</f>
        <v>23.182509259259259</v>
      </c>
      <c r="AC33" s="438">
        <f>'ARP_Inputs by customer type'!J361</f>
        <v>254.77322828784122</v>
      </c>
      <c r="AD33" s="561"/>
      <c r="AE33" s="438">
        <f>'ARP_Inputs by customer type'!J363</f>
        <v>0</v>
      </c>
      <c r="AF33" s="561"/>
      <c r="AG33" s="438">
        <f>'ARP_Inputs by customer type'!J365</f>
        <v>0</v>
      </c>
      <c r="AH33" s="561"/>
      <c r="AI33" s="561"/>
      <c r="AJ33" s="561"/>
      <c r="AK33" s="561"/>
      <c r="AL33" s="561"/>
      <c r="AM33" s="561"/>
      <c r="AN33" s="561"/>
      <c r="AO33" s="561"/>
      <c r="AP33" s="561"/>
    </row>
    <row r="34" spans="5:44" x14ac:dyDescent="0.25">
      <c r="E34" s="172"/>
      <c r="F34" s="290" t="s">
        <v>328</v>
      </c>
      <c r="G34" s="290" t="s">
        <v>137</v>
      </c>
      <c r="H34" s="167"/>
      <c r="I34" s="167"/>
      <c r="J34" s="403"/>
      <c r="K34" s="437">
        <f>'ARP_Inputs by customer type'!J378</f>
        <v>2396.1142504338291</v>
      </c>
      <c r="L34" s="403"/>
      <c r="M34" s="403"/>
      <c r="N34" s="437">
        <f>'ARP_Inputs by customer type'!J381</f>
        <v>61.757731154595682</v>
      </c>
      <c r="O34" s="403"/>
      <c r="P34" s="437">
        <f>'ARP_Inputs by customer type'!J383</f>
        <v>118.18680029802398</v>
      </c>
      <c r="Q34" s="559"/>
      <c r="R34" s="559"/>
      <c r="S34" s="437">
        <f>'ARP_Inputs by customer type'!J386</f>
        <v>2.8336971138765716</v>
      </c>
      <c r="T34" s="437">
        <f>'ARP_Inputs by customer type'!J387</f>
        <v>310.45438892643443</v>
      </c>
      <c r="U34" s="437">
        <f>'ARP_Inputs by customer type'!J388</f>
        <v>11336.770739504416</v>
      </c>
      <c r="V34" s="559"/>
      <c r="W34" s="559"/>
      <c r="X34" s="403"/>
      <c r="Y34" s="403"/>
      <c r="Z34" s="403"/>
      <c r="AA34" s="403"/>
      <c r="AB34" s="437">
        <f>'ARP_Inputs by customer type'!J395</f>
        <v>172.79039814814809</v>
      </c>
      <c r="AC34" s="403"/>
      <c r="AD34" s="559"/>
      <c r="AE34" s="403"/>
      <c r="AF34" s="559"/>
      <c r="AG34" s="437">
        <f>'ARP_Inputs by customer type'!J400</f>
        <v>0</v>
      </c>
      <c r="AH34" s="559"/>
      <c r="AI34" s="559"/>
      <c r="AJ34" s="559"/>
      <c r="AK34" s="559"/>
      <c r="AL34" s="559"/>
      <c r="AM34" s="559"/>
      <c r="AN34" s="559"/>
      <c r="AO34" s="559"/>
      <c r="AP34" s="559"/>
    </row>
    <row r="35" spans="5:44" x14ac:dyDescent="0.25">
      <c r="E35" s="172"/>
      <c r="F35" s="290" t="s">
        <v>329</v>
      </c>
      <c r="G35" s="290" t="s">
        <v>137</v>
      </c>
      <c r="H35" s="167"/>
      <c r="I35" s="167"/>
      <c r="J35" s="403"/>
      <c r="K35" s="403"/>
      <c r="L35" s="403"/>
      <c r="M35" s="403"/>
      <c r="N35" s="403"/>
      <c r="O35" s="403"/>
      <c r="P35" s="403"/>
      <c r="Q35" s="559"/>
      <c r="R35" s="559"/>
      <c r="S35" s="437">
        <f>'ARP_Inputs by customer type'!J421</f>
        <v>1.960655519354884</v>
      </c>
      <c r="T35" s="437">
        <f>'ARP_Inputs by customer type'!J422</f>
        <v>236.46547066076781</v>
      </c>
      <c r="U35" s="437">
        <f>'ARP_Inputs by customer type'!J423</f>
        <v>6229.6832884471451</v>
      </c>
      <c r="V35" s="559"/>
      <c r="W35" s="559"/>
      <c r="X35" s="403"/>
      <c r="Y35" s="403"/>
      <c r="Z35" s="403"/>
      <c r="AA35" s="403"/>
      <c r="AB35" s="437">
        <f>'ARP_Inputs by customer type'!J430</f>
        <v>57.53181172839507</v>
      </c>
      <c r="AC35" s="403"/>
      <c r="AD35" s="559"/>
      <c r="AE35" s="403"/>
      <c r="AF35" s="559"/>
      <c r="AG35" s="437">
        <f>'ARP_Inputs by customer type'!J435</f>
        <v>0</v>
      </c>
      <c r="AH35" s="559"/>
      <c r="AI35" s="559"/>
      <c r="AJ35" s="559"/>
      <c r="AK35" s="559"/>
      <c r="AL35" s="559"/>
      <c r="AM35" s="559"/>
      <c r="AN35" s="559"/>
      <c r="AO35" s="559"/>
      <c r="AP35" s="559"/>
    </row>
    <row r="36" spans="5:44" x14ac:dyDescent="0.25">
      <c r="E36" s="172"/>
      <c r="F36" s="290" t="s">
        <v>91</v>
      </c>
      <c r="G36" s="290" t="s">
        <v>91</v>
      </c>
      <c r="H36" s="167"/>
      <c r="I36" s="167"/>
      <c r="J36" s="437">
        <f>'ARP_Inputs by customer type'!J447</f>
        <v>18223.85019065559</v>
      </c>
      <c r="K36" s="437">
        <f>'ARP_Inputs by customer type'!J448</f>
        <v>1459.6137124210763</v>
      </c>
      <c r="L36" s="437">
        <f>'ARP_Inputs by customer type'!J449</f>
        <v>0</v>
      </c>
      <c r="M36" s="437">
        <f>'ARP_Inputs by customer type'!J450</f>
        <v>1161.2699590843611</v>
      </c>
      <c r="N36" s="437">
        <f>'ARP_Inputs by customer type'!J451</f>
        <v>7</v>
      </c>
      <c r="O36" s="437">
        <f>'ARP_Inputs by customer type'!J452</f>
        <v>0</v>
      </c>
      <c r="P36" s="437">
        <f>'ARP_Inputs by customer type'!J453</f>
        <v>7</v>
      </c>
      <c r="Q36" s="559"/>
      <c r="R36" s="559"/>
      <c r="S36" s="437">
        <f>'ARP_Inputs by customer type'!J456</f>
        <v>1</v>
      </c>
      <c r="T36" s="437">
        <f>'ARP_Inputs by customer type'!J457</f>
        <v>5</v>
      </c>
      <c r="U36" s="437">
        <f>'ARP_Inputs by customer type'!J458</f>
        <v>127.65171416270677</v>
      </c>
      <c r="V36" s="559"/>
      <c r="W36" s="559"/>
      <c r="X36" s="437">
        <f>'ARP_Inputs by customer type'!J461</f>
        <v>38</v>
      </c>
      <c r="Y36" s="437">
        <f>'ARP_Inputs by customer type'!J462</f>
        <v>46</v>
      </c>
      <c r="Z36" s="437">
        <f>'ARP_Inputs by customer type'!J463</f>
        <v>2</v>
      </c>
      <c r="AA36" s="437">
        <f>'ARP_Inputs by customer type'!J464</f>
        <v>0</v>
      </c>
      <c r="AB36" s="437">
        <f>'ARP_Inputs by customer type'!J465</f>
        <v>1.2962962962962961</v>
      </c>
      <c r="AC36" s="437">
        <f>'ARP_Inputs by customer type'!J466</f>
        <v>50</v>
      </c>
      <c r="AD36" s="559"/>
      <c r="AE36" s="437">
        <f>'ARP_Inputs by customer type'!J468</f>
        <v>0</v>
      </c>
      <c r="AF36" s="559"/>
      <c r="AG36" s="437">
        <f>'ARP_Inputs by customer type'!J470</f>
        <v>0</v>
      </c>
      <c r="AH36" s="559"/>
      <c r="AI36" s="559"/>
      <c r="AJ36" s="559"/>
      <c r="AK36" s="559"/>
      <c r="AL36" s="559"/>
      <c r="AM36" s="559"/>
      <c r="AN36" s="559"/>
      <c r="AO36" s="559"/>
      <c r="AP36" s="559"/>
    </row>
    <row r="37" spans="5:44" x14ac:dyDescent="0.25">
      <c r="E37" s="172"/>
      <c r="F37" s="290" t="s">
        <v>330</v>
      </c>
      <c r="G37" s="290" t="s">
        <v>186</v>
      </c>
      <c r="H37" s="167"/>
      <c r="I37" s="167"/>
      <c r="J37" s="403"/>
      <c r="K37" s="403"/>
      <c r="L37" s="403"/>
      <c r="M37" s="403"/>
      <c r="N37" s="403"/>
      <c r="O37" s="403"/>
      <c r="P37" s="403"/>
      <c r="Q37" s="559"/>
      <c r="R37" s="559"/>
      <c r="S37" s="403"/>
      <c r="T37" s="403"/>
      <c r="U37" s="437">
        <f>'ARP_Inputs by customer type'!J493</f>
        <v>20780.103419261635</v>
      </c>
      <c r="V37" s="559"/>
      <c r="W37" s="559"/>
      <c r="X37" s="403"/>
      <c r="Y37" s="403"/>
      <c r="Z37" s="403"/>
      <c r="AA37" s="403"/>
      <c r="AB37" s="403"/>
      <c r="AC37" s="403"/>
      <c r="AD37" s="559"/>
      <c r="AE37" s="403"/>
      <c r="AF37" s="559"/>
      <c r="AG37" s="403"/>
      <c r="AH37" s="559"/>
      <c r="AI37" s="559"/>
      <c r="AJ37" s="559"/>
      <c r="AK37" s="559"/>
      <c r="AL37" s="559"/>
      <c r="AM37" s="559"/>
      <c r="AN37" s="559"/>
      <c r="AO37" s="559"/>
      <c r="AP37" s="559"/>
    </row>
    <row r="38" spans="5:44" x14ac:dyDescent="0.25">
      <c r="E38" s="172"/>
      <c r="F38" s="290" t="s">
        <v>331</v>
      </c>
      <c r="G38" s="290" t="s">
        <v>186</v>
      </c>
      <c r="H38" s="167"/>
      <c r="I38" s="167"/>
      <c r="J38" s="403"/>
      <c r="K38" s="403"/>
      <c r="L38" s="403"/>
      <c r="M38" s="403"/>
      <c r="N38" s="403"/>
      <c r="O38" s="403"/>
      <c r="P38" s="403"/>
      <c r="Q38" s="559"/>
      <c r="R38" s="559"/>
      <c r="S38" s="403"/>
      <c r="T38" s="403"/>
      <c r="U38" s="437">
        <f>'ARP_Inputs by customer type'!J528</f>
        <v>123</v>
      </c>
      <c r="V38" s="559"/>
      <c r="W38" s="559"/>
      <c r="X38" s="403"/>
      <c r="Y38" s="403"/>
      <c r="Z38" s="403"/>
      <c r="AA38" s="403"/>
      <c r="AB38" s="403"/>
      <c r="AC38" s="403"/>
      <c r="AD38" s="559"/>
      <c r="AE38" s="403"/>
      <c r="AF38" s="559"/>
      <c r="AG38" s="403"/>
      <c r="AH38" s="559"/>
      <c r="AI38" s="559"/>
      <c r="AJ38" s="559"/>
      <c r="AK38" s="559"/>
      <c r="AL38" s="559"/>
      <c r="AM38" s="559"/>
      <c r="AN38" s="559"/>
      <c r="AO38" s="559"/>
      <c r="AP38" s="559"/>
    </row>
    <row r="39" spans="5:44" x14ac:dyDescent="0.25">
      <c r="E39" s="172"/>
      <c r="F39" s="241" t="s">
        <v>332</v>
      </c>
      <c r="G39" s="241" t="s">
        <v>187</v>
      </c>
      <c r="H39" s="168"/>
      <c r="I39" s="168"/>
      <c r="J39" s="404"/>
      <c r="K39" s="404"/>
      <c r="L39" s="404"/>
      <c r="M39" s="404"/>
      <c r="N39" s="404"/>
      <c r="O39" s="404"/>
      <c r="P39" s="404"/>
      <c r="Q39" s="560"/>
      <c r="R39" s="560"/>
      <c r="S39" s="404"/>
      <c r="T39" s="404"/>
      <c r="U39" s="440">
        <f>'ARP_Inputs by customer type'!J563</f>
        <v>2049.8358140473201</v>
      </c>
      <c r="V39" s="560"/>
      <c r="W39" s="560"/>
      <c r="X39" s="404"/>
      <c r="Y39" s="404"/>
      <c r="Z39" s="404"/>
      <c r="AA39" s="404"/>
      <c r="AB39" s="404"/>
      <c r="AC39" s="404"/>
      <c r="AD39" s="560"/>
      <c r="AE39" s="440">
        <f>'ARP_Inputs by customer type'!J573</f>
        <v>0</v>
      </c>
      <c r="AF39" s="560"/>
      <c r="AG39" s="440">
        <f>'ARP_Inputs by customer type'!J575</f>
        <v>0</v>
      </c>
      <c r="AH39" s="560"/>
      <c r="AI39" s="560"/>
      <c r="AJ39" s="560"/>
      <c r="AK39" s="560"/>
      <c r="AL39" s="560"/>
      <c r="AM39" s="560"/>
      <c r="AN39" s="560"/>
      <c r="AO39" s="560"/>
      <c r="AP39" s="560"/>
    </row>
    <row r="40" spans="5:44" s="562" customFormat="1" x14ac:dyDescent="0.25">
      <c r="E40" s="563"/>
      <c r="F40" s="564"/>
      <c r="G40" s="564"/>
      <c r="J40" s="565"/>
      <c r="K40" s="565"/>
      <c r="L40" s="565"/>
      <c r="M40" s="565"/>
      <c r="N40" s="565"/>
      <c r="O40" s="565"/>
      <c r="P40" s="565"/>
      <c r="Q40" s="565"/>
      <c r="R40" s="565"/>
      <c r="S40" s="565"/>
      <c r="T40" s="565"/>
      <c r="U40" s="566"/>
      <c r="V40" s="565"/>
      <c r="W40" s="565"/>
      <c r="X40" s="565"/>
      <c r="Y40" s="565"/>
      <c r="Z40" s="565"/>
      <c r="AA40" s="565"/>
      <c r="AB40" s="565"/>
      <c r="AC40" s="565"/>
      <c r="AD40" s="565"/>
      <c r="AE40" s="566"/>
      <c r="AF40" s="565"/>
      <c r="AG40" s="566"/>
      <c r="AH40" s="565"/>
      <c r="AI40" s="565"/>
      <c r="AJ40" s="565"/>
      <c r="AK40" s="565"/>
      <c r="AL40" s="565"/>
      <c r="AM40" s="565"/>
      <c r="AN40" s="565"/>
      <c r="AO40" s="565"/>
      <c r="AP40" s="565"/>
    </row>
    <row r="41" spans="5:44" x14ac:dyDescent="0.25">
      <c r="E41" s="172" t="s">
        <v>1178</v>
      </c>
      <c r="F41" s="338"/>
      <c r="G41" s="241"/>
      <c r="H41" s="168"/>
      <c r="I41" s="160" t="s">
        <v>525</v>
      </c>
      <c r="J41" s="436"/>
      <c r="K41" s="436"/>
      <c r="L41" s="436"/>
      <c r="M41" s="436"/>
      <c r="N41" s="436"/>
      <c r="O41" s="436"/>
      <c r="P41" s="436"/>
      <c r="Q41" s="436"/>
      <c r="R41" s="436"/>
      <c r="S41" s="436"/>
      <c r="T41" s="436"/>
      <c r="U41" s="436"/>
      <c r="V41" s="436"/>
      <c r="W41" s="436"/>
      <c r="X41" s="436"/>
      <c r="Y41" s="436"/>
      <c r="Z41" s="436"/>
      <c r="AA41" s="436"/>
      <c r="AB41" s="436"/>
      <c r="AC41" s="436"/>
      <c r="AD41" s="436"/>
      <c r="AE41" s="436"/>
      <c r="AF41" s="560"/>
      <c r="AG41" s="436"/>
      <c r="AH41" s="436"/>
      <c r="AI41" s="436"/>
      <c r="AJ41" s="436"/>
      <c r="AK41" s="436"/>
      <c r="AL41" s="436"/>
      <c r="AM41" s="436"/>
      <c r="AN41" s="436"/>
      <c r="AO41" s="436"/>
      <c r="AP41" s="436"/>
      <c r="AR41" s="160" t="s">
        <v>939</v>
      </c>
    </row>
    <row r="42" spans="5:44" x14ac:dyDescent="0.25">
      <c r="F42" s="240" t="s">
        <v>327</v>
      </c>
      <c r="G42" s="290" t="s">
        <v>137</v>
      </c>
      <c r="H42" s="167"/>
      <c r="I42" s="166"/>
      <c r="J42" s="438">
        <f>'ARP_Inputs by customer type'!J589</f>
        <v>128042.06247445293</v>
      </c>
      <c r="K42" s="438">
        <f>'ARP_Inputs by customer type'!J590</f>
        <v>9961.5917488090909</v>
      </c>
      <c r="L42" s="438">
        <f>'ARP_Inputs by customer type'!J591</f>
        <v>1642.8229351986647</v>
      </c>
      <c r="M42" s="438">
        <f>'ARP_Inputs by customer type'!J592</f>
        <v>25404.549211144709</v>
      </c>
      <c r="N42" s="438">
        <f>'ARP_Inputs by customer type'!J593</f>
        <v>587.8029452604552</v>
      </c>
      <c r="O42" s="438">
        <f>'ARP_Inputs by customer type'!J594</f>
        <v>0</v>
      </c>
      <c r="P42" s="438">
        <f>'ARP_Inputs by customer type'!J595</f>
        <v>1375.6596426496874</v>
      </c>
      <c r="Q42" s="561"/>
      <c r="R42" s="561"/>
      <c r="S42" s="438">
        <f>'ARP_Inputs by customer type'!J598</f>
        <v>0.22114678626725176</v>
      </c>
      <c r="T42" s="438">
        <f>'ARP_Inputs by customer type'!J599</f>
        <v>59.804498599573854</v>
      </c>
      <c r="U42" s="438">
        <f>'ARP_Inputs by customer type'!J600</f>
        <v>8301.7540976715045</v>
      </c>
      <c r="V42" s="438">
        <f>'ARP_Inputs by customer type'!J601</f>
        <v>8741.990979795848</v>
      </c>
      <c r="W42" s="438">
        <f>'ARP_Inputs by customer type'!J602</f>
        <v>903.32747033353644</v>
      </c>
      <c r="X42" s="438">
        <f>'ARP_Inputs by customer type'!J603</f>
        <v>60.28171039388527</v>
      </c>
      <c r="Y42" s="438">
        <f>'ARP_Inputs by customer type'!J604</f>
        <v>558.33750802365216</v>
      </c>
      <c r="Z42" s="438">
        <f>'ARP_Inputs by customer type'!J605</f>
        <v>1.028</v>
      </c>
      <c r="AA42" s="438">
        <f>'ARP_Inputs by customer type'!J606</f>
        <v>0</v>
      </c>
      <c r="AB42" s="438">
        <f>'ARP_Inputs by customer type'!J607</f>
        <v>0</v>
      </c>
      <c r="AC42" s="438">
        <f>'ARP_Inputs by customer type'!J608</f>
        <v>0</v>
      </c>
      <c r="AD42" s="438">
        <f>'ARP_Inputs by customer type'!J609</f>
        <v>0</v>
      </c>
      <c r="AE42" s="438">
        <f>'ARP_Inputs by customer type'!J610</f>
        <v>10.962686666666666</v>
      </c>
      <c r="AF42" s="561"/>
      <c r="AG42" s="438">
        <f>'ARP_Inputs by customer type'!J612</f>
        <v>1354.6776029105479</v>
      </c>
      <c r="AH42" s="561"/>
      <c r="AI42" s="438">
        <f>'ARP_Inputs by customer type'!J614</f>
        <v>0</v>
      </c>
      <c r="AJ42" s="561"/>
      <c r="AK42" s="438">
        <f>'ARP_Inputs by customer type'!J616</f>
        <v>0</v>
      </c>
      <c r="AL42" s="561"/>
      <c r="AM42" s="438">
        <f>'ARP_Inputs by customer type'!J618</f>
        <v>0</v>
      </c>
      <c r="AN42" s="561"/>
      <c r="AO42" s="438">
        <f>'ARP_Inputs by customer type'!J620</f>
        <v>0</v>
      </c>
      <c r="AP42" s="561"/>
    </row>
    <row r="43" spans="5:44" x14ac:dyDescent="0.25">
      <c r="F43" s="290" t="s">
        <v>328</v>
      </c>
      <c r="G43" s="290" t="s">
        <v>137</v>
      </c>
      <c r="H43" s="167"/>
      <c r="I43" s="167"/>
      <c r="J43" s="403"/>
      <c r="K43" s="437">
        <f>'ARP_Inputs by customer type'!J625</f>
        <v>7275.4295652110532</v>
      </c>
      <c r="L43" s="403"/>
      <c r="M43" s="403"/>
      <c r="N43" s="437">
        <f>'ARP_Inputs by customer type'!J628</f>
        <v>157.93286889862742</v>
      </c>
      <c r="O43" s="403"/>
      <c r="P43" s="437">
        <f>'ARP_Inputs by customer type'!J630</f>
        <v>465.18908808089174</v>
      </c>
      <c r="Q43" s="559"/>
      <c r="R43" s="559"/>
      <c r="S43" s="437">
        <f>'ARP_Inputs by customer type'!J633</f>
        <v>1.0391097254883945</v>
      </c>
      <c r="T43" s="437">
        <f>'ARP_Inputs by customer type'!J634</f>
        <v>416.1951696043169</v>
      </c>
      <c r="U43" s="437">
        <f>'ARP_Inputs by customer type'!J635</f>
        <v>44810.252998318196</v>
      </c>
      <c r="V43" s="437">
        <f>'ARP_Inputs by customer type'!J636</f>
        <v>48732.247052773768</v>
      </c>
      <c r="W43" s="437">
        <f>'ARP_Inputs by customer type'!J637</f>
        <v>4887.221980112171</v>
      </c>
      <c r="X43" s="403"/>
      <c r="Y43" s="403"/>
      <c r="Z43" s="403"/>
      <c r="AA43" s="403"/>
      <c r="AB43" s="437">
        <f>'ARP_Inputs by customer type'!J642</f>
        <v>0</v>
      </c>
      <c r="AC43" s="403"/>
      <c r="AD43" s="403"/>
      <c r="AE43" s="403"/>
      <c r="AF43" s="403"/>
      <c r="AG43" s="437">
        <f>'ARP_Inputs by customer type'!J647</f>
        <v>7448.517500130537</v>
      </c>
      <c r="AH43" s="559"/>
      <c r="AI43" s="403"/>
      <c r="AJ43" s="559"/>
      <c r="AK43" s="437">
        <f>'ARP_Inputs by customer type'!J651</f>
        <v>0</v>
      </c>
      <c r="AL43" s="559"/>
      <c r="AM43" s="403"/>
      <c r="AN43" s="559"/>
      <c r="AO43" s="437">
        <f>'ARP_Inputs by customer type'!J655</f>
        <v>0</v>
      </c>
      <c r="AP43" s="559"/>
    </row>
    <row r="44" spans="5:44" x14ac:dyDescent="0.25">
      <c r="F44" s="290" t="s">
        <v>329</v>
      </c>
      <c r="G44" s="290" t="s">
        <v>137</v>
      </c>
      <c r="H44" s="167"/>
      <c r="I44" s="167"/>
      <c r="J44" s="403"/>
      <c r="K44" s="403"/>
      <c r="L44" s="403"/>
      <c r="M44" s="403"/>
      <c r="N44" s="403"/>
      <c r="O44" s="403"/>
      <c r="P44" s="403"/>
      <c r="Q44" s="559"/>
      <c r="R44" s="559"/>
      <c r="S44" s="437">
        <f>'ARP_Inputs by customer type'!J668</f>
        <v>3.4553003774553748</v>
      </c>
      <c r="T44" s="437">
        <f>'ARP_Inputs by customer type'!J669</f>
        <v>142.96120727923861</v>
      </c>
      <c r="U44" s="437">
        <f>'ARP_Inputs by customer type'!J670</f>
        <v>22437.37026037119</v>
      </c>
      <c r="V44" s="437">
        <f>'ARP_Inputs by customer type'!J671</f>
        <v>26827.416415695428</v>
      </c>
      <c r="W44" s="437">
        <f>'ARP_Inputs by customer type'!J672</f>
        <v>4039.9979659290289</v>
      </c>
      <c r="X44" s="403"/>
      <c r="Y44" s="403"/>
      <c r="Z44" s="403"/>
      <c r="AA44" s="403"/>
      <c r="AB44" s="437">
        <f>'ARP_Inputs by customer type'!J677</f>
        <v>0</v>
      </c>
      <c r="AC44" s="403"/>
      <c r="AD44" s="403"/>
      <c r="AE44" s="403"/>
      <c r="AF44" s="403"/>
      <c r="AG44" s="437">
        <f>'ARP_Inputs by customer type'!J682</f>
        <v>6068.5133861525028</v>
      </c>
      <c r="AH44" s="559"/>
      <c r="AI44" s="403"/>
      <c r="AJ44" s="559"/>
      <c r="AK44" s="437">
        <f>'ARP_Inputs by customer type'!J686</f>
        <v>0</v>
      </c>
      <c r="AL44" s="559"/>
      <c r="AM44" s="403"/>
      <c r="AN44" s="559"/>
      <c r="AO44" s="437">
        <f>'ARP_Inputs by customer type'!J690</f>
        <v>0</v>
      </c>
      <c r="AP44" s="559"/>
    </row>
    <row r="45" spans="5:44" x14ac:dyDescent="0.25">
      <c r="F45" s="290" t="s">
        <v>91</v>
      </c>
      <c r="G45" s="290" t="s">
        <v>91</v>
      </c>
      <c r="H45" s="167"/>
      <c r="I45" s="167"/>
      <c r="J45" s="437">
        <f>'ARP_Inputs by customer type'!J694</f>
        <v>49309.356739824492</v>
      </c>
      <c r="K45" s="437">
        <f>'ARP_Inputs by customer type'!J695</f>
        <v>3797.6520885792729</v>
      </c>
      <c r="L45" s="437">
        <f>'ARP_Inputs by customer type'!J696</f>
        <v>536.27962963224388</v>
      </c>
      <c r="M45" s="437">
        <f>'ARP_Inputs by customer type'!J697</f>
        <v>2173.8834441108206</v>
      </c>
      <c r="N45" s="437">
        <f>'ARP_Inputs by customer type'!J698</f>
        <v>74.916666636388058</v>
      </c>
      <c r="O45" s="437">
        <f>'ARP_Inputs by customer type'!J699</f>
        <v>0</v>
      </c>
      <c r="P45" s="437">
        <f>'ARP_Inputs by customer type'!J700</f>
        <v>19.806451612903228</v>
      </c>
      <c r="Q45" s="559"/>
      <c r="R45" s="559"/>
      <c r="S45" s="437">
        <f>'ARP_Inputs by customer type'!J703</f>
        <v>1</v>
      </c>
      <c r="T45" s="437">
        <f>'ARP_Inputs by customer type'!J704</f>
        <v>12</v>
      </c>
      <c r="U45" s="437">
        <f>'ARP_Inputs by customer type'!J705</f>
        <v>323</v>
      </c>
      <c r="V45" s="437">
        <f>'ARP_Inputs by customer type'!J706</f>
        <v>123.02347193221176</v>
      </c>
      <c r="W45" s="437">
        <f>'ARP_Inputs by customer type'!J707</f>
        <v>2</v>
      </c>
      <c r="X45" s="437">
        <f>'ARP_Inputs by customer type'!J708</f>
        <v>179.26290356628354</v>
      </c>
      <c r="Y45" s="437">
        <f>'ARP_Inputs by customer type'!J709</f>
        <v>249.50734817815297</v>
      </c>
      <c r="Z45" s="437">
        <f>'ARP_Inputs by customer type'!J710</f>
        <v>2</v>
      </c>
      <c r="AA45" s="437">
        <f>'ARP_Inputs by customer type'!J711</f>
        <v>2</v>
      </c>
      <c r="AB45" s="437">
        <f>'ARP_Inputs by customer type'!J712</f>
        <v>0</v>
      </c>
      <c r="AC45" s="437">
        <f>'ARP_Inputs by customer type'!J713</f>
        <v>0</v>
      </c>
      <c r="AD45" s="437">
        <f>'ARP_Inputs by customer type'!J714</f>
        <v>0</v>
      </c>
      <c r="AE45" s="437">
        <f>'ARP_Inputs by customer type'!J715</f>
        <v>2</v>
      </c>
      <c r="AF45" s="403"/>
      <c r="AG45" s="437">
        <f>'ARP_Inputs by customer type'!J717</f>
        <v>26.305665645125487</v>
      </c>
      <c r="AH45" s="559"/>
      <c r="AI45" s="437">
        <f>'ARP_Inputs by customer type'!J719</f>
        <v>0</v>
      </c>
      <c r="AJ45" s="559"/>
      <c r="AK45" s="437">
        <f>'ARP_Inputs by customer type'!J721</f>
        <v>0</v>
      </c>
      <c r="AL45" s="559"/>
      <c r="AM45" s="437">
        <f>'ARP_Inputs by customer type'!J723</f>
        <v>0</v>
      </c>
      <c r="AN45" s="559"/>
      <c r="AO45" s="437">
        <f>'ARP_Inputs by customer type'!J725</f>
        <v>0</v>
      </c>
      <c r="AP45" s="559"/>
    </row>
    <row r="46" spans="5:44" x14ac:dyDescent="0.25">
      <c r="F46" s="290" t="s">
        <v>330</v>
      </c>
      <c r="G46" s="290" t="s">
        <v>186</v>
      </c>
      <c r="H46" s="167"/>
      <c r="I46" s="167"/>
      <c r="J46" s="403"/>
      <c r="K46" s="403"/>
      <c r="L46" s="403"/>
      <c r="M46" s="403"/>
      <c r="N46" s="403"/>
      <c r="O46" s="403"/>
      <c r="P46" s="403"/>
      <c r="Q46" s="559"/>
      <c r="R46" s="559"/>
      <c r="S46" s="403"/>
      <c r="T46" s="403"/>
      <c r="U46" s="437">
        <f>'ARP_Inputs by customer type'!J740</f>
        <v>84322.897330595457</v>
      </c>
      <c r="V46" s="437">
        <f>'ARP_Inputs by customer type'!J741</f>
        <v>79573.818436153335</v>
      </c>
      <c r="W46" s="437">
        <f>'ARP_Inputs by customer type'!J742</f>
        <v>4375</v>
      </c>
      <c r="X46" s="403"/>
      <c r="Y46" s="403"/>
      <c r="Z46" s="403"/>
      <c r="AA46" s="403"/>
      <c r="AB46" s="403"/>
      <c r="AC46" s="403"/>
      <c r="AD46" s="403"/>
      <c r="AE46" s="403"/>
      <c r="AF46" s="403"/>
      <c r="AG46" s="403"/>
      <c r="AH46" s="559"/>
      <c r="AI46" s="403"/>
      <c r="AJ46" s="559"/>
      <c r="AK46" s="403"/>
      <c r="AL46" s="559"/>
      <c r="AM46" s="403"/>
      <c r="AN46" s="559"/>
      <c r="AO46" s="403"/>
      <c r="AP46" s="559"/>
    </row>
    <row r="47" spans="5:44" x14ac:dyDescent="0.25">
      <c r="F47" s="290" t="s">
        <v>331</v>
      </c>
      <c r="G47" s="290" t="s">
        <v>186</v>
      </c>
      <c r="H47" s="167"/>
      <c r="I47" s="167"/>
      <c r="J47" s="403"/>
      <c r="K47" s="403"/>
      <c r="L47" s="403"/>
      <c r="M47" s="403"/>
      <c r="N47" s="403"/>
      <c r="O47" s="403"/>
      <c r="P47" s="403"/>
      <c r="Q47" s="559"/>
      <c r="R47" s="559"/>
      <c r="S47" s="403"/>
      <c r="T47" s="403"/>
      <c r="U47" s="437">
        <f>'ARP_Inputs by customer type'!J775</f>
        <v>62.000000000000021</v>
      </c>
      <c r="V47" s="437">
        <f>'ARP_Inputs by customer type'!J776</f>
        <v>0</v>
      </c>
      <c r="W47" s="437">
        <f>'ARP_Inputs by customer type'!J777</f>
        <v>0</v>
      </c>
      <c r="X47" s="403"/>
      <c r="Y47" s="403"/>
      <c r="Z47" s="403"/>
      <c r="AA47" s="403"/>
      <c r="AB47" s="403"/>
      <c r="AC47" s="403"/>
      <c r="AD47" s="403"/>
      <c r="AE47" s="403"/>
      <c r="AF47" s="403"/>
      <c r="AG47" s="403"/>
      <c r="AH47" s="559"/>
      <c r="AI47" s="403"/>
      <c r="AJ47" s="559"/>
      <c r="AK47" s="403"/>
      <c r="AL47" s="559"/>
      <c r="AM47" s="403"/>
      <c r="AN47" s="559"/>
      <c r="AO47" s="403"/>
      <c r="AP47" s="559"/>
    </row>
    <row r="48" spans="5:44" x14ac:dyDescent="0.25">
      <c r="F48" s="241" t="s">
        <v>332</v>
      </c>
      <c r="G48" s="241" t="s">
        <v>187</v>
      </c>
      <c r="H48" s="168"/>
      <c r="I48" s="168"/>
      <c r="J48" s="404"/>
      <c r="K48" s="404"/>
      <c r="L48" s="404"/>
      <c r="M48" s="404"/>
      <c r="N48" s="404"/>
      <c r="O48" s="404"/>
      <c r="P48" s="404"/>
      <c r="Q48" s="560"/>
      <c r="R48" s="560"/>
      <c r="S48" s="404"/>
      <c r="T48" s="404"/>
      <c r="U48" s="440">
        <f>'ARP_Inputs by customer type'!J810</f>
        <v>4751.2714203241194</v>
      </c>
      <c r="V48" s="440">
        <f>'ARP_Inputs by customer type'!J811</f>
        <v>6522.9622123524096</v>
      </c>
      <c r="W48" s="440">
        <f>'ARP_Inputs by customer type'!J812</f>
        <v>0</v>
      </c>
      <c r="X48" s="404"/>
      <c r="Y48" s="404"/>
      <c r="Z48" s="404"/>
      <c r="AA48" s="404"/>
      <c r="AB48" s="404"/>
      <c r="AC48" s="404"/>
      <c r="AD48" s="404"/>
      <c r="AE48" s="440">
        <f>'ARP_Inputs by customer type'!J820</f>
        <v>0</v>
      </c>
      <c r="AF48" s="404"/>
      <c r="AG48" s="440">
        <f>'ARP_Inputs by customer type'!J822</f>
        <v>0</v>
      </c>
      <c r="AH48" s="560"/>
      <c r="AI48" s="440">
        <f>'ARP_Inputs by customer type'!J824</f>
        <v>0</v>
      </c>
      <c r="AJ48" s="560"/>
      <c r="AK48" s="440">
        <f>'ARP_Inputs by customer type'!J826</f>
        <v>0</v>
      </c>
      <c r="AL48" s="560"/>
      <c r="AM48" s="440">
        <f>'ARP_Inputs by customer type'!J828</f>
        <v>0</v>
      </c>
      <c r="AN48" s="560"/>
      <c r="AO48" s="440">
        <f>'ARP_Inputs by customer type'!J830</f>
        <v>0</v>
      </c>
      <c r="AP48" s="560"/>
    </row>
    <row r="49" spans="3:45" x14ac:dyDescent="0.25">
      <c r="G49" s="194"/>
      <c r="J49" s="338"/>
      <c r="K49" s="338"/>
      <c r="L49" s="338"/>
      <c r="M49" s="338"/>
      <c r="N49" s="338"/>
      <c r="O49" s="338"/>
      <c r="P49" s="338"/>
      <c r="Q49" s="338"/>
      <c r="R49" s="338"/>
      <c r="S49" s="338"/>
      <c r="T49" s="338"/>
      <c r="U49" s="338"/>
      <c r="V49" s="338"/>
      <c r="W49" s="338"/>
      <c r="X49" s="338"/>
      <c r="Y49" s="338"/>
      <c r="Z49" s="338"/>
      <c r="AA49" s="338"/>
      <c r="AB49" s="338"/>
      <c r="AC49" s="338"/>
      <c r="AD49" s="338"/>
      <c r="AE49" s="338"/>
      <c r="AF49" s="338"/>
      <c r="AG49" s="338"/>
      <c r="AH49" s="338"/>
      <c r="AI49" s="338"/>
      <c r="AJ49" s="338"/>
      <c r="AK49" s="338"/>
      <c r="AL49" s="338"/>
      <c r="AM49" s="338"/>
      <c r="AN49" s="338"/>
      <c r="AO49" s="338"/>
      <c r="AP49" s="338"/>
    </row>
    <row r="50" spans="3:45" s="338" customFormat="1" x14ac:dyDescent="0.25">
      <c r="C50" s="22" t="str">
        <f ca="1">INDEX('Version control'!$H$34:$H$59,MATCH($A$1,'Version control'!$F$34:$F$59,0),1)&amp;"-C: Split of units by distribution timeband"</f>
        <v>Section 501-C: Split of units by distribution timeband</v>
      </c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</row>
    <row r="51" spans="3:45" x14ac:dyDescent="0.25">
      <c r="G51" s="194"/>
      <c r="J51" s="338"/>
      <c r="K51" s="338"/>
      <c r="L51" s="338"/>
      <c r="M51" s="338"/>
      <c r="N51" s="338"/>
      <c r="O51" s="338"/>
      <c r="P51" s="338"/>
      <c r="Q51" s="338"/>
      <c r="R51" s="338"/>
      <c r="S51" s="338"/>
      <c r="T51" s="338"/>
      <c r="U51" s="338"/>
      <c r="V51" s="338"/>
      <c r="W51" s="338"/>
      <c r="X51" s="338"/>
      <c r="Y51" s="338"/>
      <c r="Z51" s="338"/>
      <c r="AA51" s="338"/>
      <c r="AB51" s="338"/>
      <c r="AC51" s="338"/>
      <c r="AD51" s="338"/>
      <c r="AE51" s="338"/>
      <c r="AF51" s="338"/>
      <c r="AG51" s="338"/>
      <c r="AH51" s="338"/>
      <c r="AI51" s="338"/>
      <c r="AJ51" s="338"/>
      <c r="AK51" s="338"/>
      <c r="AL51" s="338"/>
      <c r="AM51" s="338"/>
      <c r="AN51" s="338"/>
      <c r="AO51" s="338"/>
      <c r="AP51" s="338"/>
    </row>
    <row r="52" spans="3:45" x14ac:dyDescent="0.25">
      <c r="D52" s="152" t="s">
        <v>646</v>
      </c>
      <c r="G52" s="194"/>
    </row>
    <row r="53" spans="3:45" x14ac:dyDescent="0.25">
      <c r="D53" s="152" t="s">
        <v>647</v>
      </c>
      <c r="G53" s="194"/>
      <c r="J53" s="164"/>
      <c r="K53" s="338"/>
      <c r="L53" s="338"/>
      <c r="M53" s="338"/>
      <c r="N53" s="338"/>
      <c r="O53" s="338"/>
      <c r="P53" s="338"/>
      <c r="Q53" s="338"/>
      <c r="R53" s="338"/>
      <c r="S53" s="338"/>
      <c r="T53" s="338"/>
      <c r="U53" s="338"/>
      <c r="V53" s="338"/>
      <c r="W53" s="338"/>
      <c r="X53" s="338"/>
      <c r="Y53" s="338"/>
      <c r="Z53" s="338"/>
      <c r="AA53" s="338"/>
      <c r="AB53" s="338"/>
      <c r="AC53" s="338"/>
      <c r="AD53" s="338"/>
      <c r="AE53" s="338"/>
      <c r="AF53" s="338"/>
      <c r="AG53" s="338"/>
      <c r="AH53" s="338"/>
      <c r="AI53" s="338"/>
      <c r="AJ53" s="338"/>
      <c r="AK53" s="338"/>
      <c r="AL53" s="338"/>
      <c r="AM53" s="338"/>
      <c r="AN53" s="338"/>
      <c r="AO53" s="338"/>
      <c r="AP53" s="338"/>
    </row>
    <row r="54" spans="3:45" s="474" customFormat="1" x14ac:dyDescent="0.25">
      <c r="D54" s="152"/>
      <c r="G54" s="194"/>
      <c r="J54" s="164"/>
    </row>
    <row r="55" spans="3:45" x14ac:dyDescent="0.25">
      <c r="E55" s="172" t="s">
        <v>503</v>
      </c>
      <c r="G55" s="194"/>
      <c r="I55" s="160" t="s">
        <v>525</v>
      </c>
      <c r="J55" s="338"/>
      <c r="K55" s="338"/>
      <c r="L55" s="338"/>
      <c r="M55" s="338"/>
      <c r="N55" s="338"/>
      <c r="O55" s="338"/>
      <c r="P55" s="338"/>
      <c r="Q55" s="338"/>
      <c r="R55" s="338"/>
      <c r="S55" s="338"/>
      <c r="T55" s="338"/>
      <c r="U55" s="338"/>
      <c r="V55" s="338"/>
      <c r="W55" s="338"/>
      <c r="X55" s="338"/>
      <c r="Y55" s="338"/>
      <c r="Z55" s="338"/>
      <c r="AA55" s="338"/>
      <c r="AB55" s="338"/>
      <c r="AC55" s="338"/>
      <c r="AD55" s="338"/>
      <c r="AE55" s="338"/>
      <c r="AF55" s="338"/>
      <c r="AG55" s="338"/>
      <c r="AH55" s="338"/>
      <c r="AI55" s="338"/>
      <c r="AJ55" s="338"/>
      <c r="AK55" s="338"/>
      <c r="AL55" s="338"/>
      <c r="AM55" s="338"/>
      <c r="AN55" s="338"/>
      <c r="AO55" s="338"/>
      <c r="AP55" s="338"/>
      <c r="AR55" s="160" t="s">
        <v>1005</v>
      </c>
    </row>
    <row r="56" spans="3:45" x14ac:dyDescent="0.25">
      <c r="F56" s="166" t="s">
        <v>630</v>
      </c>
      <c r="G56" s="237" t="s">
        <v>111</v>
      </c>
      <c r="H56" s="166"/>
      <c r="I56" s="166"/>
      <c r="J56" s="187">
        <f>'ARP_Inputs by customer type'!J841</f>
        <v>0.1303605823800672</v>
      </c>
      <c r="K56" s="187">
        <f>'ARP_Inputs by customer type'!J842</f>
        <v>0.16008647654669095</v>
      </c>
      <c r="L56" s="187">
        <f>'ARP_Inputs by customer type'!J843</f>
        <v>2.9506091257322565E-3</v>
      </c>
      <c r="M56" s="187">
        <f>'ARP_Inputs by customer type'!J844</f>
        <v>9.9931866294903748E-2</v>
      </c>
      <c r="N56" s="187">
        <f>'ARP_Inputs by customer type'!J845</f>
        <v>0.14414104148275755</v>
      </c>
      <c r="O56" s="187">
        <f>'ARP_Inputs by customer type'!J846</f>
        <v>2.688688288418364E-2</v>
      </c>
      <c r="P56" s="187">
        <f>'ARP_Inputs by customer type'!J847</f>
        <v>0.11093714578366191</v>
      </c>
      <c r="Q56" s="187">
        <f>'ARP_Inputs by customer type'!J848</f>
        <v>0.12003021517947027</v>
      </c>
      <c r="R56" s="187">
        <f>'ARP_Inputs by customer type'!J849</f>
        <v>0.10289839145399236</v>
      </c>
      <c r="S56" s="187">
        <f>'ARP_Inputs by customer type'!J850</f>
        <v>1</v>
      </c>
      <c r="T56" s="187">
        <f>'ARP_Inputs by customer type'!J851</f>
        <v>1</v>
      </c>
      <c r="U56" s="187">
        <f>'ARP_Inputs by customer type'!J852</f>
        <v>1</v>
      </c>
      <c r="V56" s="187">
        <f>'ARP_Inputs by customer type'!J853</f>
        <v>1</v>
      </c>
      <c r="W56" s="187">
        <f>'ARP_Inputs by customer type'!J854</f>
        <v>1</v>
      </c>
      <c r="X56" s="187">
        <f>'ARP_Inputs by customer type'!J855</f>
        <v>2.9428587803320194E-2</v>
      </c>
      <c r="Y56" s="187">
        <f>'ARP_Inputs by customer type'!J856</f>
        <v>5.5860763375114579E-2</v>
      </c>
      <c r="Z56" s="187">
        <f>'ARP_Inputs by customer type'!J857</f>
        <v>0.10584620906454333</v>
      </c>
      <c r="AA56" s="187">
        <f>'ARP_Inputs by customer type'!J858</f>
        <v>9.7435031980501897E-3</v>
      </c>
      <c r="AB56" s="187">
        <f>'ARP_Inputs by customer type'!J859</f>
        <v>1</v>
      </c>
      <c r="AC56" s="242"/>
      <c r="AD56" s="242"/>
      <c r="AE56" s="242"/>
      <c r="AF56" s="242"/>
      <c r="AG56" s="187">
        <f>'ARP_Inputs by customer type'!J864</f>
        <v>1</v>
      </c>
      <c r="AH56" s="187">
        <f>'ARP_Inputs by customer type'!J865</f>
        <v>1</v>
      </c>
      <c r="AI56" s="242"/>
      <c r="AJ56" s="242"/>
      <c r="AK56" s="187">
        <f>'ARP_Inputs by customer type'!J868</f>
        <v>1</v>
      </c>
      <c r="AL56" s="187">
        <f>'ARP_Inputs by customer type'!J869</f>
        <v>1</v>
      </c>
      <c r="AM56" s="242"/>
      <c r="AN56" s="242"/>
      <c r="AO56" s="187">
        <f>'ARP_Inputs by customer type'!J872</f>
        <v>1</v>
      </c>
      <c r="AP56" s="187">
        <f>'ARP_Inputs by customer type'!J873</f>
        <v>1</v>
      </c>
    </row>
    <row r="57" spans="3:45" x14ac:dyDescent="0.25">
      <c r="F57" s="167" t="s">
        <v>631</v>
      </c>
      <c r="G57" s="238" t="s">
        <v>111</v>
      </c>
      <c r="H57" s="167"/>
      <c r="I57" s="167"/>
      <c r="J57" s="181">
        <f>'ARP_Inputs by customer type'!J876</f>
        <v>0.58094170869760264</v>
      </c>
      <c r="K57" s="181">
        <f>'ARP_Inputs by customer type'!J877</f>
        <v>0.67699311166510778</v>
      </c>
      <c r="L57" s="181">
        <f>'ARP_Inputs by customer type'!J878</f>
        <v>0.28029730923812485</v>
      </c>
      <c r="M57" s="181">
        <f>'ARP_Inputs by customer type'!J879</f>
        <v>0.6551851950794213</v>
      </c>
      <c r="N57" s="181">
        <f>'ARP_Inputs by customer type'!J880</f>
        <v>0.73387072809578857</v>
      </c>
      <c r="O57" s="181">
        <f>'ARP_Inputs by customer type'!J881</f>
        <v>0.2809791198951575</v>
      </c>
      <c r="P57" s="181">
        <f>'ARP_Inputs by customer type'!J882</f>
        <v>0.64059184444015715</v>
      </c>
      <c r="Q57" s="181">
        <f>'ARP_Inputs by customer type'!J883</f>
        <v>0.70532419066470131</v>
      </c>
      <c r="R57" s="181">
        <f>'ARP_Inputs by customer type'!J884</f>
        <v>0.62301547465112572</v>
      </c>
      <c r="S57" s="232"/>
      <c r="T57" s="232"/>
      <c r="U57" s="232"/>
      <c r="V57" s="232"/>
      <c r="W57" s="232"/>
      <c r="X57" s="181">
        <f>'ARP_Inputs by customer type'!J890</f>
        <v>0.5599404744271298</v>
      </c>
      <c r="Y57" s="181">
        <f>'ARP_Inputs by customer type'!J891</f>
        <v>0.20873973314202976</v>
      </c>
      <c r="Z57" s="181">
        <f>'ARP_Inputs by customer type'!J892</f>
        <v>0.41289080391564775</v>
      </c>
      <c r="AA57" s="181">
        <f>'ARP_Inputs by customer type'!J893</f>
        <v>0.89013509641497368</v>
      </c>
      <c r="AB57" s="232"/>
      <c r="AC57" s="81"/>
      <c r="AD57" s="81"/>
      <c r="AE57" s="81"/>
      <c r="AF57" s="81"/>
      <c r="AG57" s="232"/>
      <c r="AH57" s="232"/>
      <c r="AI57" s="81"/>
      <c r="AJ57" s="81"/>
      <c r="AK57" s="232"/>
      <c r="AL57" s="232"/>
      <c r="AM57" s="81"/>
      <c r="AN57" s="81"/>
      <c r="AO57" s="232"/>
      <c r="AP57" s="232"/>
    </row>
    <row r="58" spans="3:45" x14ac:dyDescent="0.25">
      <c r="F58" s="168" t="s">
        <v>103</v>
      </c>
      <c r="G58" s="239" t="s">
        <v>111</v>
      </c>
      <c r="H58" s="168"/>
      <c r="I58" s="168"/>
      <c r="J58" s="182">
        <f>'ARP_Inputs by customer type'!J911</f>
        <v>0.28869770892233015</v>
      </c>
      <c r="K58" s="182">
        <f>'ARP_Inputs by customer type'!J912</f>
        <v>0.16292041178820132</v>
      </c>
      <c r="L58" s="182">
        <f>'ARP_Inputs by customer type'!J913</f>
        <v>0.71675208163614279</v>
      </c>
      <c r="M58" s="182">
        <f>'ARP_Inputs by customer type'!J914</f>
        <v>0.24488293862567501</v>
      </c>
      <c r="N58" s="182">
        <f>'ARP_Inputs by customer type'!J915</f>
        <v>0.12198823042145396</v>
      </c>
      <c r="O58" s="182">
        <f>'ARP_Inputs by customer type'!J916</f>
        <v>0.69213399722065871</v>
      </c>
      <c r="P58" s="182">
        <f>'ARP_Inputs by customer type'!J917</f>
        <v>0.24847100977618095</v>
      </c>
      <c r="Q58" s="182">
        <f>'ARP_Inputs by customer type'!J918</f>
        <v>0.17464559415582845</v>
      </c>
      <c r="R58" s="182">
        <f>'ARP_Inputs by customer type'!J919</f>
        <v>0.2740861338948819</v>
      </c>
      <c r="S58" s="233"/>
      <c r="T58" s="233"/>
      <c r="U58" s="233"/>
      <c r="V58" s="233"/>
      <c r="W58" s="233"/>
      <c r="X58" s="182">
        <f>'ARP_Inputs by customer type'!J925</f>
        <v>0.41063093776955001</v>
      </c>
      <c r="Y58" s="182">
        <f>'ARP_Inputs by customer type'!J926</f>
        <v>0.73539950348285554</v>
      </c>
      <c r="Z58" s="182">
        <f>'ARP_Inputs by customer type'!J927</f>
        <v>0.48126298701980891</v>
      </c>
      <c r="AA58" s="182">
        <f>'ARP_Inputs by customer type'!J928</f>
        <v>0.10012140038697619</v>
      </c>
      <c r="AB58" s="233"/>
      <c r="AC58" s="83"/>
      <c r="AD58" s="83"/>
      <c r="AE58" s="83"/>
      <c r="AF58" s="83"/>
      <c r="AG58" s="233"/>
      <c r="AH58" s="233"/>
      <c r="AI58" s="83"/>
      <c r="AJ58" s="83"/>
      <c r="AK58" s="233"/>
      <c r="AL58" s="233"/>
      <c r="AM58" s="83"/>
      <c r="AN58" s="83"/>
      <c r="AO58" s="233"/>
      <c r="AP58" s="233"/>
    </row>
    <row r="59" spans="3:45" x14ac:dyDescent="0.25">
      <c r="G59" s="194"/>
      <c r="J59" s="339"/>
      <c r="K59" s="339"/>
      <c r="L59" s="339"/>
      <c r="M59" s="339"/>
      <c r="N59" s="339"/>
      <c r="O59" s="339"/>
      <c r="P59" s="339"/>
      <c r="Q59" s="339"/>
      <c r="R59" s="339"/>
      <c r="S59" s="339"/>
      <c r="T59" s="339"/>
      <c r="U59" s="339"/>
      <c r="V59" s="339"/>
      <c r="W59" s="339"/>
      <c r="X59" s="339"/>
      <c r="Y59" s="339"/>
      <c r="Z59" s="339"/>
      <c r="AA59" s="339"/>
      <c r="AB59" s="339"/>
      <c r="AC59" s="339"/>
      <c r="AD59" s="339"/>
      <c r="AE59" s="339"/>
      <c r="AF59" s="339"/>
      <c r="AG59" s="339"/>
      <c r="AH59" s="339"/>
      <c r="AI59" s="339"/>
      <c r="AJ59" s="339"/>
      <c r="AK59" s="339"/>
      <c r="AL59" s="339"/>
      <c r="AM59" s="339"/>
      <c r="AN59" s="339"/>
      <c r="AO59" s="339"/>
      <c r="AP59" s="339"/>
    </row>
    <row r="60" spans="3:45" x14ac:dyDescent="0.25">
      <c r="E60" s="172" t="s">
        <v>504</v>
      </c>
      <c r="G60" s="194"/>
      <c r="I60" s="338" t="s">
        <v>525</v>
      </c>
      <c r="J60" s="338"/>
      <c r="K60" s="338"/>
      <c r="L60" s="338"/>
      <c r="M60" s="338"/>
      <c r="N60" s="338"/>
      <c r="O60" s="338"/>
      <c r="P60" s="338"/>
      <c r="Q60" s="338"/>
      <c r="R60" s="338"/>
      <c r="S60" s="338"/>
      <c r="T60" s="338"/>
      <c r="U60" s="338"/>
      <c r="V60" s="338"/>
      <c r="W60" s="338"/>
      <c r="X60" s="338"/>
      <c r="Y60" s="338"/>
      <c r="Z60" s="338"/>
      <c r="AA60" s="338"/>
      <c r="AB60" s="338"/>
      <c r="AC60" s="338"/>
      <c r="AD60" s="338"/>
      <c r="AE60" s="338"/>
      <c r="AF60" s="338"/>
      <c r="AG60" s="338"/>
      <c r="AH60" s="338"/>
      <c r="AI60" s="338"/>
      <c r="AJ60" s="338"/>
      <c r="AK60" s="338"/>
      <c r="AL60" s="338"/>
      <c r="AM60" s="338"/>
      <c r="AN60" s="338"/>
      <c r="AO60" s="338"/>
      <c r="AP60" s="338"/>
      <c r="AQ60" s="338"/>
      <c r="AR60" s="474" t="s">
        <v>1005</v>
      </c>
      <c r="AS60" s="338"/>
    </row>
    <row r="61" spans="3:45" x14ac:dyDescent="0.25">
      <c r="F61" s="166" t="s">
        <v>630</v>
      </c>
      <c r="G61" s="237" t="s">
        <v>111</v>
      </c>
      <c r="H61" s="166"/>
      <c r="I61" s="166"/>
      <c r="J61" s="390"/>
      <c r="K61" s="187">
        <f>'ARP_Inputs by customer type'!J949</f>
        <v>1.0730539724235065E-3</v>
      </c>
      <c r="L61" s="390"/>
      <c r="M61" s="390"/>
      <c r="N61" s="187">
        <f>'ARP_Inputs by customer type'!J952</f>
        <v>1.6702709398729626E-5</v>
      </c>
      <c r="O61" s="390"/>
      <c r="P61" s="187">
        <f>'ARP_Inputs by customer type'!J954</f>
        <v>0</v>
      </c>
      <c r="Q61" s="187">
        <f>'ARP_Inputs by customer type'!J955</f>
        <v>0</v>
      </c>
      <c r="R61" s="187">
        <f>'ARP_Inputs by customer type'!J956</f>
        <v>0</v>
      </c>
      <c r="S61" s="391"/>
      <c r="T61" s="391"/>
      <c r="U61" s="391"/>
      <c r="V61" s="391"/>
      <c r="W61" s="391"/>
      <c r="X61" s="390"/>
      <c r="Y61" s="390"/>
      <c r="Z61" s="390"/>
      <c r="AA61" s="390"/>
      <c r="AB61" s="391"/>
      <c r="AC61" s="390"/>
      <c r="AD61" s="390"/>
      <c r="AE61" s="390"/>
      <c r="AF61" s="390"/>
      <c r="AG61" s="391"/>
      <c r="AH61" s="391"/>
      <c r="AI61" s="390"/>
      <c r="AJ61" s="390"/>
      <c r="AK61" s="391"/>
      <c r="AL61" s="391"/>
      <c r="AM61" s="390"/>
      <c r="AN61" s="390"/>
      <c r="AO61" s="391"/>
      <c r="AP61" s="391"/>
    </row>
    <row r="62" spans="3:45" x14ac:dyDescent="0.25">
      <c r="F62" s="167" t="s">
        <v>631</v>
      </c>
      <c r="G62" s="238" t="s">
        <v>111</v>
      </c>
      <c r="H62" s="167"/>
      <c r="I62" s="167"/>
      <c r="J62" s="231"/>
      <c r="K62" s="181">
        <f>'ARP_Inputs by customer type'!J984</f>
        <v>4.91052063984165E-2</v>
      </c>
      <c r="L62" s="231"/>
      <c r="M62" s="231"/>
      <c r="N62" s="181">
        <f>'ARP_Inputs by customer type'!J987</f>
        <v>0.19562792568850473</v>
      </c>
      <c r="O62" s="231"/>
      <c r="P62" s="181">
        <f>'ARP_Inputs by customer type'!J989</f>
        <v>8.9100856244802462E-2</v>
      </c>
      <c r="Q62" s="181">
        <f>'ARP_Inputs by customer type'!J990</f>
        <v>0.10316143216377743</v>
      </c>
      <c r="R62" s="181">
        <f>'ARP_Inputs by customer type'!J991</f>
        <v>0.13496625843539115</v>
      </c>
      <c r="S62" s="181">
        <f>'ARP_Inputs by customer type'!J992</f>
        <v>1</v>
      </c>
      <c r="T62" s="181">
        <f>'ARP_Inputs by customer type'!J993</f>
        <v>1</v>
      </c>
      <c r="U62" s="181">
        <f>'ARP_Inputs by customer type'!J994</f>
        <v>1</v>
      </c>
      <c r="V62" s="181">
        <f>'ARP_Inputs by customer type'!J995</f>
        <v>1</v>
      </c>
      <c r="W62" s="181">
        <f>'ARP_Inputs by customer type'!J996</f>
        <v>1</v>
      </c>
      <c r="X62" s="231"/>
      <c r="Y62" s="231"/>
      <c r="Z62" s="231"/>
      <c r="AA62" s="231"/>
      <c r="AB62" s="181">
        <f>'ARP_Inputs by customer type'!J1001</f>
        <v>1</v>
      </c>
      <c r="AC62" s="231"/>
      <c r="AD62" s="231"/>
      <c r="AE62" s="231"/>
      <c r="AF62" s="231"/>
      <c r="AG62" s="181">
        <f>'ARP_Inputs by customer type'!J1006</f>
        <v>1</v>
      </c>
      <c r="AH62" s="181">
        <f>'ARP_Inputs by customer type'!J1007</f>
        <v>1</v>
      </c>
      <c r="AI62" s="231"/>
      <c r="AJ62" s="231"/>
      <c r="AK62" s="181">
        <f>'ARP_Inputs by customer type'!J1010</f>
        <v>1</v>
      </c>
      <c r="AL62" s="181">
        <f>'ARP_Inputs by customer type'!J1011</f>
        <v>1</v>
      </c>
      <c r="AM62" s="231"/>
      <c r="AN62" s="231"/>
      <c r="AO62" s="181">
        <f>'ARP_Inputs by customer type'!J1014</f>
        <v>1</v>
      </c>
      <c r="AP62" s="181">
        <f>'ARP_Inputs by customer type'!J1015</f>
        <v>1</v>
      </c>
    </row>
    <row r="63" spans="3:45" x14ac:dyDescent="0.25">
      <c r="F63" s="168" t="s">
        <v>103</v>
      </c>
      <c r="G63" s="239" t="s">
        <v>111</v>
      </c>
      <c r="H63" s="168"/>
      <c r="I63" s="168"/>
      <c r="J63" s="234"/>
      <c r="K63" s="182">
        <f>'ARP_Inputs by customer type'!J1019</f>
        <v>0.94982173962916006</v>
      </c>
      <c r="L63" s="234"/>
      <c r="M63" s="234"/>
      <c r="N63" s="182">
        <f>'ARP_Inputs by customer type'!J1022</f>
        <v>0.80435537160209647</v>
      </c>
      <c r="O63" s="234"/>
      <c r="P63" s="182">
        <f>'ARP_Inputs by customer type'!J1024</f>
        <v>0.91089914375519754</v>
      </c>
      <c r="Q63" s="182">
        <f>'ARP_Inputs by customer type'!J1025</f>
        <v>0.89683856783622262</v>
      </c>
      <c r="R63" s="182">
        <f>'ARP_Inputs by customer type'!J1026</f>
        <v>0.86503374156460888</v>
      </c>
      <c r="S63" s="233"/>
      <c r="T63" s="233"/>
      <c r="U63" s="233"/>
      <c r="V63" s="233"/>
      <c r="W63" s="233"/>
      <c r="X63" s="234"/>
      <c r="Y63" s="234"/>
      <c r="Z63" s="234"/>
      <c r="AA63" s="234"/>
      <c r="AB63" s="233"/>
      <c r="AC63" s="234"/>
      <c r="AD63" s="234"/>
      <c r="AE63" s="234"/>
      <c r="AF63" s="234"/>
      <c r="AG63" s="233"/>
      <c r="AH63" s="233"/>
      <c r="AI63" s="234"/>
      <c r="AJ63" s="234"/>
      <c r="AK63" s="233"/>
      <c r="AL63" s="233"/>
      <c r="AM63" s="234"/>
      <c r="AN63" s="234"/>
      <c r="AO63" s="233"/>
      <c r="AP63" s="233"/>
    </row>
    <row r="64" spans="3:45" x14ac:dyDescent="0.25">
      <c r="G64" s="194"/>
      <c r="J64" s="339"/>
      <c r="K64" s="339"/>
      <c r="L64" s="339"/>
      <c r="M64" s="339"/>
      <c r="N64" s="339"/>
      <c r="O64" s="339"/>
      <c r="P64" s="339"/>
      <c r="Q64" s="339"/>
      <c r="R64" s="339"/>
      <c r="S64" s="339"/>
      <c r="T64" s="339"/>
      <c r="U64" s="339"/>
      <c r="V64" s="339"/>
      <c r="W64" s="339"/>
      <c r="X64" s="339"/>
      <c r="Y64" s="339"/>
      <c r="Z64" s="339"/>
      <c r="AA64" s="339"/>
      <c r="AB64" s="339"/>
      <c r="AC64" s="339"/>
      <c r="AD64" s="339"/>
      <c r="AE64" s="339"/>
      <c r="AF64" s="339"/>
      <c r="AG64" s="339"/>
      <c r="AH64" s="339"/>
      <c r="AI64" s="339"/>
      <c r="AJ64" s="339"/>
      <c r="AK64" s="339"/>
      <c r="AL64" s="339"/>
      <c r="AM64" s="339"/>
      <c r="AN64" s="339"/>
      <c r="AO64" s="339"/>
      <c r="AP64" s="339"/>
    </row>
    <row r="65" spans="1:45" x14ac:dyDescent="0.25">
      <c r="E65" s="172" t="s">
        <v>505</v>
      </c>
      <c r="G65" s="194"/>
      <c r="I65" s="338" t="s">
        <v>525</v>
      </c>
      <c r="J65" s="338"/>
      <c r="K65" s="338"/>
      <c r="L65" s="338"/>
      <c r="M65" s="338"/>
      <c r="N65" s="338"/>
      <c r="O65" s="338"/>
      <c r="P65" s="338"/>
      <c r="Q65" s="338"/>
      <c r="R65" s="338"/>
      <c r="S65" s="338"/>
      <c r="T65" s="338"/>
      <c r="U65" s="338"/>
      <c r="V65" s="338"/>
      <c r="W65" s="338"/>
      <c r="X65" s="338"/>
      <c r="Y65" s="338"/>
      <c r="Z65" s="338"/>
      <c r="AA65" s="338"/>
      <c r="AB65" s="338"/>
      <c r="AC65" s="338"/>
      <c r="AD65" s="338"/>
      <c r="AE65" s="338"/>
      <c r="AF65" s="338"/>
      <c r="AG65" s="338"/>
      <c r="AH65" s="338"/>
      <c r="AI65" s="338"/>
      <c r="AJ65" s="338"/>
      <c r="AK65" s="338"/>
      <c r="AL65" s="338"/>
      <c r="AM65" s="338"/>
      <c r="AN65" s="338"/>
      <c r="AO65" s="338"/>
      <c r="AP65" s="338"/>
      <c r="AQ65" s="338"/>
      <c r="AR65" s="474" t="s">
        <v>1005</v>
      </c>
      <c r="AS65" s="338"/>
    </row>
    <row r="66" spans="1:45" x14ac:dyDescent="0.25">
      <c r="F66" s="166" t="s">
        <v>630</v>
      </c>
      <c r="G66" s="237" t="s">
        <v>111</v>
      </c>
      <c r="H66" s="166"/>
      <c r="I66" s="166"/>
      <c r="J66" s="390"/>
      <c r="K66" s="390"/>
      <c r="L66" s="390"/>
      <c r="M66" s="390"/>
      <c r="N66" s="390"/>
      <c r="O66" s="390"/>
      <c r="P66" s="390"/>
      <c r="Q66" s="390"/>
      <c r="R66" s="390"/>
      <c r="S66" s="391"/>
      <c r="T66" s="391"/>
      <c r="U66" s="391"/>
      <c r="V66" s="391"/>
      <c r="W66" s="391"/>
      <c r="X66" s="390"/>
      <c r="Y66" s="390"/>
      <c r="Z66" s="390"/>
      <c r="AA66" s="390"/>
      <c r="AB66" s="391"/>
      <c r="AC66" s="390"/>
      <c r="AD66" s="390"/>
      <c r="AE66" s="390"/>
      <c r="AF66" s="390"/>
      <c r="AG66" s="391"/>
      <c r="AH66" s="391"/>
      <c r="AI66" s="390"/>
      <c r="AJ66" s="390"/>
      <c r="AK66" s="391"/>
      <c r="AL66" s="391"/>
      <c r="AM66" s="390"/>
      <c r="AN66" s="390"/>
      <c r="AO66" s="391"/>
      <c r="AP66" s="391"/>
    </row>
    <row r="67" spans="1:45" x14ac:dyDescent="0.25">
      <c r="F67" s="167" t="s">
        <v>631</v>
      </c>
      <c r="G67" s="238" t="s">
        <v>111</v>
      </c>
      <c r="H67" s="167"/>
      <c r="I67" s="167"/>
      <c r="J67" s="231"/>
      <c r="K67" s="231"/>
      <c r="L67" s="231"/>
      <c r="M67" s="231"/>
      <c r="N67" s="231"/>
      <c r="O67" s="231"/>
      <c r="P67" s="231"/>
      <c r="Q67" s="231"/>
      <c r="R67" s="231"/>
      <c r="S67" s="232"/>
      <c r="T67" s="232"/>
      <c r="U67" s="232"/>
      <c r="V67" s="232"/>
      <c r="W67" s="232"/>
      <c r="X67" s="231"/>
      <c r="Y67" s="231"/>
      <c r="Z67" s="231"/>
      <c r="AA67" s="231"/>
      <c r="AB67" s="232"/>
      <c r="AC67" s="231"/>
      <c r="AD67" s="231"/>
      <c r="AE67" s="231"/>
      <c r="AF67" s="231"/>
      <c r="AG67" s="232"/>
      <c r="AH67" s="232"/>
      <c r="AI67" s="231"/>
      <c r="AJ67" s="231"/>
      <c r="AK67" s="232"/>
      <c r="AL67" s="232"/>
      <c r="AM67" s="231"/>
      <c r="AN67" s="231"/>
      <c r="AO67" s="232"/>
      <c r="AP67" s="232"/>
    </row>
    <row r="68" spans="1:45" x14ac:dyDescent="0.25">
      <c r="A68" s="338"/>
      <c r="F68" s="168" t="s">
        <v>103</v>
      </c>
      <c r="G68" s="239" t="s">
        <v>111</v>
      </c>
      <c r="H68" s="168"/>
      <c r="I68" s="168"/>
      <c r="J68" s="234"/>
      <c r="K68" s="234"/>
      <c r="L68" s="234"/>
      <c r="M68" s="234"/>
      <c r="N68" s="234"/>
      <c r="O68" s="234"/>
      <c r="P68" s="234"/>
      <c r="Q68" s="234"/>
      <c r="R68" s="234"/>
      <c r="S68" s="182">
        <f>'ARP_Inputs by customer type'!J1134</f>
        <v>1</v>
      </c>
      <c r="T68" s="182">
        <f>'ARP_Inputs by customer type'!J1135</f>
        <v>1</v>
      </c>
      <c r="U68" s="182">
        <f>'ARP_Inputs by customer type'!J1136</f>
        <v>1</v>
      </c>
      <c r="V68" s="182">
        <f>'ARP_Inputs by customer type'!J1137</f>
        <v>1</v>
      </c>
      <c r="W68" s="182">
        <f>'ARP_Inputs by customer type'!J1138</f>
        <v>1</v>
      </c>
      <c r="X68" s="234"/>
      <c r="Y68" s="234"/>
      <c r="Z68" s="234"/>
      <c r="AA68" s="234"/>
      <c r="AB68" s="182">
        <f>'ARP_Inputs by customer type'!J1143</f>
        <v>1</v>
      </c>
      <c r="AC68" s="234"/>
      <c r="AD68" s="234"/>
      <c r="AE68" s="234"/>
      <c r="AF68" s="234"/>
      <c r="AG68" s="182">
        <f>'ARP_Inputs by customer type'!J1148</f>
        <v>1</v>
      </c>
      <c r="AH68" s="182">
        <f>'ARP_Inputs by customer type'!J1149</f>
        <v>1</v>
      </c>
      <c r="AI68" s="234"/>
      <c r="AJ68" s="234"/>
      <c r="AK68" s="182">
        <f>'ARP_Inputs by customer type'!J1152</f>
        <v>1</v>
      </c>
      <c r="AL68" s="182">
        <f>'ARP_Inputs by customer type'!J1153</f>
        <v>1</v>
      </c>
      <c r="AM68" s="234"/>
      <c r="AN68" s="234"/>
      <c r="AO68" s="182">
        <f>'ARP_Inputs by customer type'!J1156</f>
        <v>1</v>
      </c>
      <c r="AP68" s="182">
        <f>'ARP_Inputs by customer type'!J1157</f>
        <v>1</v>
      </c>
    </row>
    <row r="69" spans="1:45" s="338" customFormat="1" x14ac:dyDescent="0.25">
      <c r="E69" s="227"/>
      <c r="F69" s="229"/>
      <c r="G69" s="290"/>
      <c r="H69" s="339"/>
      <c r="I69" s="339"/>
      <c r="J69" s="339"/>
      <c r="K69" s="339"/>
      <c r="L69" s="339"/>
      <c r="M69" s="339"/>
      <c r="N69" s="339"/>
      <c r="O69" s="339"/>
      <c r="P69" s="339"/>
      <c r="Q69" s="339"/>
      <c r="R69" s="339"/>
      <c r="S69" s="339"/>
      <c r="T69" s="339"/>
      <c r="U69" s="339"/>
      <c r="V69" s="339"/>
      <c r="W69" s="339"/>
      <c r="X69" s="339"/>
      <c r="Y69" s="339"/>
      <c r="Z69" s="339"/>
      <c r="AA69" s="339"/>
      <c r="AB69" s="339"/>
      <c r="AC69" s="339"/>
      <c r="AD69" s="339"/>
      <c r="AE69" s="339"/>
      <c r="AF69" s="339"/>
      <c r="AG69" s="339"/>
      <c r="AH69" s="339"/>
      <c r="AI69" s="339"/>
      <c r="AJ69" s="339"/>
      <c r="AK69" s="339"/>
      <c r="AL69" s="339"/>
      <c r="AM69" s="339"/>
      <c r="AN69" s="339"/>
      <c r="AO69" s="339"/>
      <c r="AP69" s="339"/>
    </row>
    <row r="70" spans="1:45" s="338" customFormat="1" x14ac:dyDescent="0.25">
      <c r="C70" s="22" t="str">
        <f ca="1">INDEX('Version control'!$H$34:$H$59,MATCH($A$1,'Version control'!$F$34:$F$59,0),1)&amp;"-D: Service model asset values"</f>
        <v>Section 501-D: Service model asset values</v>
      </c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</row>
    <row r="71" spans="1:45" s="338" customFormat="1" x14ac:dyDescent="0.25">
      <c r="G71" s="194"/>
    </row>
    <row r="72" spans="1:45" s="73" customFormat="1" x14ac:dyDescent="0.25">
      <c r="A72" s="338"/>
      <c r="D72" s="152" t="s">
        <v>868</v>
      </c>
      <c r="H72" s="12"/>
      <c r="I72" s="338"/>
      <c r="J72" s="338"/>
      <c r="K72" s="338"/>
      <c r="L72" s="338"/>
      <c r="M72" s="338"/>
      <c r="N72" s="338"/>
      <c r="O72" s="338"/>
      <c r="P72" s="338"/>
      <c r="Q72" s="338"/>
      <c r="R72" s="338"/>
      <c r="S72" s="338"/>
      <c r="T72" s="338"/>
      <c r="U72" s="338"/>
      <c r="V72" s="338"/>
      <c r="W72" s="338"/>
      <c r="X72" s="338"/>
    </row>
    <row r="73" spans="1:45" s="338" customFormat="1" x14ac:dyDescent="0.25">
      <c r="G73" s="194"/>
      <c r="I73" s="338" t="s">
        <v>525</v>
      </c>
      <c r="AR73" s="338" t="s">
        <v>1087</v>
      </c>
    </row>
    <row r="74" spans="1:45" s="338" customFormat="1" x14ac:dyDescent="0.25">
      <c r="D74" s="161"/>
      <c r="E74" s="176" t="s">
        <v>869</v>
      </c>
      <c r="G74" s="339" t="s">
        <v>725</v>
      </c>
      <c r="H74" s="205"/>
      <c r="I74" s="339"/>
      <c r="J74" s="437">
        <f>'ARP_Inputs by customer type'!J1166</f>
        <v>447.91694999999993</v>
      </c>
      <c r="K74" s="437">
        <f>'ARP_Inputs by customer type'!J1167</f>
        <v>447.91694999999993</v>
      </c>
      <c r="L74" s="559"/>
      <c r="M74" s="437">
        <f>'ARP_Inputs by customer type'!J1169</f>
        <v>770.2</v>
      </c>
      <c r="N74" s="437">
        <f>'ARP_Inputs by customer type'!J1170</f>
        <v>770.2</v>
      </c>
      <c r="O74" s="559"/>
      <c r="P74" s="437">
        <f>'ARP_Inputs by customer type'!J1172</f>
        <v>2955.57</v>
      </c>
      <c r="Q74" s="437">
        <f>'ARP_Inputs by customer type'!J1173</f>
        <v>4756.22</v>
      </c>
      <c r="R74" s="559"/>
      <c r="S74" s="437">
        <f>'ARP_Inputs by customer type'!J1175</f>
        <v>447.91694999999993</v>
      </c>
      <c r="T74" s="437">
        <f>'ARP_Inputs by customer type'!J1176</f>
        <v>770.2</v>
      </c>
      <c r="U74" s="437">
        <f>'ARP_Inputs by customer type'!J1177</f>
        <v>3041.5649999999996</v>
      </c>
      <c r="V74" s="437">
        <f>'ARP_Inputs by customer type'!J1178</f>
        <v>4756.22</v>
      </c>
      <c r="W74" s="559"/>
      <c r="X74" s="403"/>
      <c r="Y74" s="403"/>
      <c r="Z74" s="403"/>
      <c r="AA74" s="403"/>
      <c r="AB74" s="403"/>
      <c r="AC74" s="437">
        <f>'ARP_Inputs by customer type'!J1185</f>
        <v>0</v>
      </c>
      <c r="AD74" s="437">
        <f>'ARP_Inputs by customer type'!J1186</f>
        <v>0</v>
      </c>
      <c r="AE74" s="437">
        <f>'ARP_Inputs by customer type'!J1187</f>
        <v>0</v>
      </c>
      <c r="AF74" s="437">
        <f>'ARP_Inputs by customer type'!J1188</f>
        <v>0</v>
      </c>
      <c r="AG74" s="437">
        <f>'ARP_Inputs by customer type'!J1189</f>
        <v>0</v>
      </c>
      <c r="AH74" s="437">
        <f>'ARP_Inputs by customer type'!J1190</f>
        <v>0</v>
      </c>
      <c r="AI74" s="437">
        <f>'ARP_Inputs by customer type'!J1191</f>
        <v>0</v>
      </c>
      <c r="AJ74" s="437">
        <f>'ARP_Inputs by customer type'!J1192</f>
        <v>0</v>
      </c>
      <c r="AK74" s="437">
        <f>'ARP_Inputs by customer type'!J1193</f>
        <v>0</v>
      </c>
      <c r="AL74" s="437">
        <f>'ARP_Inputs by customer type'!J1194</f>
        <v>0</v>
      </c>
      <c r="AM74" s="559"/>
      <c r="AN74" s="559"/>
      <c r="AO74" s="559"/>
      <c r="AP74" s="559"/>
    </row>
    <row r="75" spans="1:45" s="338" customFormat="1" x14ac:dyDescent="0.25">
      <c r="D75" s="161"/>
      <c r="E75" s="176" t="s">
        <v>870</v>
      </c>
      <c r="G75" s="339" t="s">
        <v>725</v>
      </c>
      <c r="H75" s="205"/>
      <c r="I75" s="339"/>
      <c r="J75" s="559"/>
      <c r="K75" s="559"/>
      <c r="L75" s="559"/>
      <c r="M75" s="559"/>
      <c r="N75" s="559"/>
      <c r="O75" s="559"/>
      <c r="P75" s="559"/>
      <c r="Q75" s="559"/>
      <c r="R75" s="437">
        <f>'ARP_Inputs by customer type'!J1211</f>
        <v>27188.11</v>
      </c>
      <c r="S75" s="559"/>
      <c r="T75" s="559"/>
      <c r="U75" s="559"/>
      <c r="V75" s="559"/>
      <c r="W75" s="437">
        <f>'ARP_Inputs by customer type'!J1216</f>
        <v>27188.11</v>
      </c>
      <c r="X75" s="403"/>
      <c r="Y75" s="403"/>
      <c r="Z75" s="403"/>
      <c r="AA75" s="403"/>
      <c r="AB75" s="403"/>
      <c r="AC75" s="559"/>
      <c r="AD75" s="559"/>
      <c r="AE75" s="559"/>
      <c r="AF75" s="559"/>
      <c r="AG75" s="559"/>
      <c r="AH75" s="559"/>
      <c r="AI75" s="559"/>
      <c r="AJ75" s="559"/>
      <c r="AK75" s="559"/>
      <c r="AL75" s="559"/>
      <c r="AM75" s="437">
        <f>'ARP_Inputs by customer type'!J1232</f>
        <v>44791.95</v>
      </c>
      <c r="AN75" s="437">
        <f>'ARP_Inputs by customer type'!J1233</f>
        <v>44791.95</v>
      </c>
      <c r="AO75" s="437">
        <f>'ARP_Inputs by customer type'!J1234</f>
        <v>44791.95</v>
      </c>
      <c r="AP75" s="437">
        <f>'ARP_Inputs by customer type'!J1235</f>
        <v>44791.95</v>
      </c>
    </row>
    <row r="76" spans="1:45" s="338" customFormat="1" x14ac:dyDescent="0.25">
      <c r="G76" s="194"/>
      <c r="J76" s="416"/>
      <c r="K76" s="416"/>
      <c r="L76" s="416"/>
      <c r="M76" s="416"/>
      <c r="N76" s="416"/>
      <c r="O76" s="416"/>
      <c r="P76" s="416"/>
      <c r="Q76" s="416"/>
      <c r="R76" s="416"/>
      <c r="S76" s="416"/>
      <c r="T76" s="416"/>
      <c r="U76" s="416"/>
      <c r="V76" s="416"/>
      <c r="W76" s="416"/>
      <c r="X76" s="416"/>
      <c r="Y76" s="416"/>
      <c r="Z76" s="416"/>
      <c r="AA76" s="416"/>
      <c r="AB76" s="416"/>
      <c r="AC76" s="416"/>
      <c r="AD76" s="416"/>
      <c r="AE76" s="416"/>
      <c r="AF76" s="416"/>
      <c r="AG76" s="416"/>
      <c r="AH76" s="416"/>
      <c r="AI76" s="416"/>
      <c r="AJ76" s="416"/>
      <c r="AK76" s="416"/>
      <c r="AL76" s="416"/>
      <c r="AM76" s="416"/>
      <c r="AN76" s="416"/>
      <c r="AO76" s="416"/>
      <c r="AP76" s="416"/>
    </row>
    <row r="77" spans="1:45" s="338" customFormat="1" x14ac:dyDescent="0.25">
      <c r="D77" s="161"/>
      <c r="E77" s="176" t="s">
        <v>871</v>
      </c>
      <c r="G77" s="339" t="s">
        <v>401</v>
      </c>
      <c r="H77" s="339"/>
      <c r="I77" s="338" t="s">
        <v>525</v>
      </c>
      <c r="J77" s="403"/>
      <c r="K77" s="403"/>
      <c r="L77" s="403"/>
      <c r="M77" s="403"/>
      <c r="N77" s="403"/>
      <c r="O77" s="403"/>
      <c r="P77" s="403"/>
      <c r="Q77" s="403"/>
      <c r="R77" s="403"/>
      <c r="S77" s="403"/>
      <c r="T77" s="403"/>
      <c r="U77" s="403"/>
      <c r="V77" s="403"/>
      <c r="W77" s="403"/>
      <c r="X77" s="437">
        <f>'ARP_Inputs by customer type'!J1254</f>
        <v>741.76333</v>
      </c>
      <c r="Y77" s="437">
        <f>'ARP_Inputs by customer type'!J1255</f>
        <v>741.76333</v>
      </c>
      <c r="Z77" s="437">
        <f>'ARP_Inputs by customer type'!J1256</f>
        <v>741.76333</v>
      </c>
      <c r="AA77" s="437">
        <f>'ARP_Inputs by customer type'!J1257</f>
        <v>741.76333</v>
      </c>
      <c r="AB77" s="437">
        <f>'ARP_Inputs by customer type'!J1258</f>
        <v>741.76333</v>
      </c>
      <c r="AC77" s="403"/>
      <c r="AD77" s="403"/>
      <c r="AE77" s="403"/>
      <c r="AF77" s="403"/>
      <c r="AG77" s="403"/>
      <c r="AH77" s="403"/>
      <c r="AI77" s="403"/>
      <c r="AJ77" s="403"/>
      <c r="AK77" s="403"/>
      <c r="AL77" s="403"/>
      <c r="AM77" s="403"/>
      <c r="AN77" s="403"/>
      <c r="AO77" s="403"/>
      <c r="AP77" s="403"/>
      <c r="AR77" s="338" t="s">
        <v>954</v>
      </c>
    </row>
    <row r="78" spans="1:45" s="338" customFormat="1" x14ac:dyDescent="0.25">
      <c r="D78" s="161"/>
      <c r="J78" s="416"/>
      <c r="K78" s="416"/>
      <c r="L78" s="416"/>
      <c r="M78" s="416"/>
      <c r="N78" s="416"/>
      <c r="O78" s="416"/>
      <c r="P78" s="416"/>
      <c r="Q78" s="416"/>
      <c r="R78" s="416"/>
      <c r="S78" s="416"/>
      <c r="T78" s="416"/>
      <c r="U78" s="416"/>
      <c r="V78" s="416"/>
      <c r="W78" s="416"/>
      <c r="X78" s="416"/>
      <c r="Y78" s="416"/>
      <c r="Z78" s="416"/>
      <c r="AA78" s="416"/>
      <c r="AB78" s="416"/>
      <c r="AC78" s="416"/>
      <c r="AD78" s="416"/>
      <c r="AE78" s="416"/>
      <c r="AF78" s="416"/>
      <c r="AG78" s="416"/>
      <c r="AH78" s="416"/>
      <c r="AI78" s="416"/>
      <c r="AJ78" s="416"/>
      <c r="AK78" s="416"/>
      <c r="AL78" s="416"/>
      <c r="AM78" s="416"/>
      <c r="AN78" s="416"/>
      <c r="AO78" s="416"/>
      <c r="AP78" s="416"/>
    </row>
    <row r="79" spans="1:45" x14ac:dyDescent="0.25">
      <c r="B79" s="171" t="s">
        <v>126</v>
      </c>
      <c r="C79" s="171"/>
      <c r="D79" s="171"/>
      <c r="E79" s="171"/>
      <c r="F79" s="171"/>
      <c r="G79" s="236"/>
      <c r="H79" s="171"/>
      <c r="I79" s="171"/>
      <c r="J79" s="171"/>
      <c r="K79" s="171"/>
      <c r="L79" s="171"/>
      <c r="M79" s="171"/>
      <c r="N79" s="171"/>
      <c r="O79" s="171"/>
      <c r="P79" s="171"/>
      <c r="Q79" s="171"/>
      <c r="R79" s="171"/>
      <c r="S79" s="171"/>
      <c r="T79" s="171"/>
      <c r="U79" s="171"/>
      <c r="V79" s="171"/>
      <c r="W79" s="171"/>
      <c r="X79" s="171"/>
      <c r="Y79" s="171"/>
      <c r="Z79" s="171"/>
      <c r="AA79" s="171"/>
      <c r="AB79" s="171"/>
      <c r="AC79" s="171"/>
      <c r="AD79" s="171"/>
      <c r="AE79" s="171"/>
      <c r="AF79" s="171"/>
      <c r="AG79" s="171"/>
      <c r="AH79" s="171"/>
      <c r="AI79" s="171"/>
      <c r="AJ79" s="171"/>
      <c r="AK79" s="171"/>
      <c r="AL79" s="171"/>
      <c r="AM79" s="171"/>
      <c r="AN79" s="171"/>
      <c r="AO79" s="171"/>
      <c r="AP79" s="171"/>
      <c r="AQ79" s="171"/>
      <c r="AR79" s="171"/>
    </row>
    <row r="80" spans="1:45" x14ac:dyDescent="0.25">
      <c r="G80" s="194"/>
    </row>
    <row r="81" spans="2:44" x14ac:dyDescent="0.25">
      <c r="E81" s="160" t="s">
        <v>622</v>
      </c>
      <c r="G81" s="111" t="s">
        <v>814</v>
      </c>
      <c r="H81" s="316">
        <f t="array" ref="H81">SUM(IF(ISERROR(H16:AP78), 1))</f>
        <v>0</v>
      </c>
    </row>
    <row r="82" spans="2:44" x14ac:dyDescent="0.25">
      <c r="G82" s="194"/>
    </row>
    <row r="83" spans="2:44" x14ac:dyDescent="0.25">
      <c r="E83" s="172" t="s">
        <v>653</v>
      </c>
      <c r="G83" s="194"/>
      <c r="X83" s="164"/>
    </row>
    <row r="84" spans="2:44" x14ac:dyDescent="0.25">
      <c r="F84" s="166" t="s">
        <v>151</v>
      </c>
      <c r="G84" s="237" t="s">
        <v>814</v>
      </c>
      <c r="H84" s="315">
        <f>SUM(J84:AP84)</f>
        <v>0</v>
      </c>
      <c r="I84" s="166"/>
      <c r="J84" s="315">
        <f t="shared" ref="J84:AB84" si="0">IF(ABS(SUM(J56:J58) - 1) &lt; 10^-check_decimals, 0, 1)</f>
        <v>0</v>
      </c>
      <c r="K84" s="315">
        <f t="shared" si="0"/>
        <v>0</v>
      </c>
      <c r="L84" s="315">
        <f t="shared" si="0"/>
        <v>0</v>
      </c>
      <c r="M84" s="315">
        <f t="shared" si="0"/>
        <v>0</v>
      </c>
      <c r="N84" s="315">
        <f t="shared" si="0"/>
        <v>0</v>
      </c>
      <c r="O84" s="315">
        <f t="shared" si="0"/>
        <v>0</v>
      </c>
      <c r="P84" s="315">
        <f t="shared" si="0"/>
        <v>0</v>
      </c>
      <c r="Q84" s="315">
        <f t="shared" si="0"/>
        <v>0</v>
      </c>
      <c r="R84" s="315">
        <f t="shared" si="0"/>
        <v>0</v>
      </c>
      <c r="S84" s="315">
        <f t="shared" si="0"/>
        <v>0</v>
      </c>
      <c r="T84" s="315">
        <f t="shared" si="0"/>
        <v>0</v>
      </c>
      <c r="U84" s="315">
        <f t="shared" si="0"/>
        <v>0</v>
      </c>
      <c r="V84" s="315">
        <f t="shared" si="0"/>
        <v>0</v>
      </c>
      <c r="W84" s="315">
        <f t="shared" si="0"/>
        <v>0</v>
      </c>
      <c r="X84" s="315">
        <f t="shared" si="0"/>
        <v>0</v>
      </c>
      <c r="Y84" s="315">
        <f t="shared" si="0"/>
        <v>0</v>
      </c>
      <c r="Z84" s="315">
        <f t="shared" si="0"/>
        <v>0</v>
      </c>
      <c r="AA84" s="315">
        <f t="shared" si="0"/>
        <v>0</v>
      </c>
      <c r="AB84" s="315">
        <f t="shared" si="0"/>
        <v>0</v>
      </c>
      <c r="AC84" s="185"/>
      <c r="AD84" s="185"/>
      <c r="AE84" s="185"/>
      <c r="AF84" s="185"/>
      <c r="AG84" s="315">
        <f>IF(ABS(SUM(AG56:AG58) - 1) &lt; 10^-check_decimals, 0, 1)</f>
        <v>0</v>
      </c>
      <c r="AH84" s="315">
        <f>IF(ABS(SUM(AH56:AH58) - 1) &lt; 10^-check_decimals, 0, 1)</f>
        <v>0</v>
      </c>
      <c r="AI84" s="185"/>
      <c r="AJ84" s="185"/>
      <c r="AK84" s="315">
        <f>IF(ABS(SUM(AK56:AK58) - 1) &lt; 10^-check_decimals, 0, 1)</f>
        <v>0</v>
      </c>
      <c r="AL84" s="315">
        <f>IF(ABS(SUM(AL56:AL58) - 1) &lt; 10^-check_decimals, 0, 1)</f>
        <v>0</v>
      </c>
      <c r="AM84" s="185"/>
      <c r="AN84" s="185"/>
      <c r="AO84" s="315">
        <f>IF(ABS(SUM(AO56:AO58) - 1) &lt; 10^-check_decimals, 0, 1)</f>
        <v>0</v>
      </c>
      <c r="AP84" s="315">
        <f>IF(ABS(SUM(AP56:AP58) - 1) &lt; 10^-check_decimals, 0, 1)</f>
        <v>0</v>
      </c>
    </row>
    <row r="85" spans="2:44" x14ac:dyDescent="0.25">
      <c r="F85" s="167" t="s">
        <v>152</v>
      </c>
      <c r="G85" s="238" t="s">
        <v>814</v>
      </c>
      <c r="H85" s="316">
        <f>SUM(J85:AP85)</f>
        <v>0</v>
      </c>
      <c r="I85" s="167"/>
      <c r="J85" s="178"/>
      <c r="K85" s="316">
        <f>IF(ABS(SUM(K61:K63) - 1) &lt; 10^-check_decimals, 0, 1)</f>
        <v>0</v>
      </c>
      <c r="L85" s="178"/>
      <c r="M85" s="178"/>
      <c r="N85" s="316">
        <f>IF(ABS(SUM(N61:N63) - 1) &lt; 10^-check_decimals, 0, 1)</f>
        <v>0</v>
      </c>
      <c r="O85" s="178"/>
      <c r="P85" s="316">
        <f t="shared" ref="P85:W85" si="1">IF(ABS(SUM(P61:P63) - 1) &lt; 10^-check_decimals, 0, 1)</f>
        <v>0</v>
      </c>
      <c r="Q85" s="316">
        <f t="shared" si="1"/>
        <v>0</v>
      </c>
      <c r="R85" s="316">
        <f t="shared" si="1"/>
        <v>0</v>
      </c>
      <c r="S85" s="316">
        <f t="shared" si="1"/>
        <v>0</v>
      </c>
      <c r="T85" s="316">
        <f t="shared" si="1"/>
        <v>0</v>
      </c>
      <c r="U85" s="316">
        <f t="shared" si="1"/>
        <v>0</v>
      </c>
      <c r="V85" s="316">
        <f t="shared" si="1"/>
        <v>0</v>
      </c>
      <c r="W85" s="316">
        <f t="shared" si="1"/>
        <v>0</v>
      </c>
      <c r="X85" s="178"/>
      <c r="Y85" s="178"/>
      <c r="Z85" s="178"/>
      <c r="AA85" s="178"/>
      <c r="AB85" s="316">
        <f>IF(ABS(SUM(AB61:AB63) - 1) &lt; 10^-check_decimals, 0, 1)</f>
        <v>0</v>
      </c>
      <c r="AC85" s="178"/>
      <c r="AD85" s="178"/>
      <c r="AE85" s="178"/>
      <c r="AF85" s="178"/>
      <c r="AG85" s="316">
        <f>IF(ABS(SUM(AG61:AG63) - 1) &lt; 10^-check_decimals, 0, 1)</f>
        <v>0</v>
      </c>
      <c r="AH85" s="316">
        <f>IF(ABS(SUM(AH61:AH63) - 1) &lt; 10^-check_decimals, 0, 1)</f>
        <v>0</v>
      </c>
      <c r="AI85" s="178"/>
      <c r="AJ85" s="178"/>
      <c r="AK85" s="316">
        <f>IF(ABS(SUM(AK61:AK63) - 1) &lt; 10^-check_decimals, 0, 1)</f>
        <v>0</v>
      </c>
      <c r="AL85" s="316">
        <f>IF(ABS(SUM(AL61:AL63) - 1) &lt; 10^-check_decimals, 0, 1)</f>
        <v>0</v>
      </c>
      <c r="AM85" s="178"/>
      <c r="AN85" s="178"/>
      <c r="AO85" s="316">
        <f>IF(ABS(SUM(AO61:AO63) - 1) &lt; 10^-check_decimals, 0, 1)</f>
        <v>0</v>
      </c>
      <c r="AP85" s="316">
        <f>IF(ABS(SUM(AP61:AP63) - 1) &lt; 10^-check_decimals, 0, 1)</f>
        <v>0</v>
      </c>
    </row>
    <row r="86" spans="2:44" x14ac:dyDescent="0.25">
      <c r="F86" s="168" t="s">
        <v>153</v>
      </c>
      <c r="G86" s="239" t="s">
        <v>814</v>
      </c>
      <c r="H86" s="318">
        <f>SUM(J86:AP86)</f>
        <v>0</v>
      </c>
      <c r="I86" s="168"/>
      <c r="J86" s="179"/>
      <c r="K86" s="179"/>
      <c r="L86" s="179"/>
      <c r="M86" s="179"/>
      <c r="N86" s="179"/>
      <c r="O86" s="179"/>
      <c r="P86" s="179"/>
      <c r="Q86" s="179"/>
      <c r="R86" s="179"/>
      <c r="S86" s="318">
        <f>IF(ABS(SUM(S66:S68) - 1) &lt; 10^-check_decimals, 0, 1)</f>
        <v>0</v>
      </c>
      <c r="T86" s="318">
        <f>IF(ABS(SUM(T66:T68) - 1) &lt; 10^-check_decimals, 0, 1)</f>
        <v>0</v>
      </c>
      <c r="U86" s="318">
        <f>IF(ABS(SUM(U66:U68) - 1) &lt; 10^-check_decimals, 0, 1)</f>
        <v>0</v>
      </c>
      <c r="V86" s="318">
        <f>IF(ABS(SUM(V66:V68) - 1) &lt; 10^-check_decimals, 0, 1)</f>
        <v>0</v>
      </c>
      <c r="W86" s="318">
        <f>IF(ABS(SUM(W66:W68) - 1) &lt; 10^-check_decimals, 0, 1)</f>
        <v>0</v>
      </c>
      <c r="X86" s="179"/>
      <c r="Y86" s="179"/>
      <c r="Z86" s="179"/>
      <c r="AA86" s="179"/>
      <c r="AB86" s="318">
        <f>IF(ABS(SUM(AB66:AB68) - 1) &lt; 10^-check_decimals, 0, 1)</f>
        <v>0</v>
      </c>
      <c r="AC86" s="179"/>
      <c r="AD86" s="179"/>
      <c r="AE86" s="179"/>
      <c r="AF86" s="179"/>
      <c r="AG86" s="318">
        <f>IF(ABS(SUM(AG66:AG68) - 1) &lt; 10^-check_decimals, 0, 1)</f>
        <v>0</v>
      </c>
      <c r="AH86" s="318">
        <f>IF(ABS(SUM(AH66:AH68) - 1) &lt; 10^-check_decimals, 0, 1)</f>
        <v>0</v>
      </c>
      <c r="AI86" s="179"/>
      <c r="AJ86" s="179"/>
      <c r="AK86" s="318">
        <f>IF(ABS(SUM(AK66:AK68) - 1) &lt; 10^-check_decimals, 0, 1)</f>
        <v>0</v>
      </c>
      <c r="AL86" s="318">
        <f>IF(ABS(SUM(AL66:AL68) - 1) &lt; 10^-check_decimals, 0, 1)</f>
        <v>0</v>
      </c>
      <c r="AM86" s="179"/>
      <c r="AN86" s="179"/>
      <c r="AO86" s="318">
        <f>IF(ABS(SUM(AO66:AO68) - 1) &lt; 10^-check_decimals, 0, 1)</f>
        <v>0</v>
      </c>
      <c r="AP86" s="318">
        <f>IF(ABS(SUM(AP66:AP68) - 1) &lt; 10^-check_decimals, 0, 1)</f>
        <v>0</v>
      </c>
    </row>
    <row r="88" spans="2:44" x14ac:dyDescent="0.25">
      <c r="E88" s="160" t="s">
        <v>546</v>
      </c>
      <c r="G88" s="111" t="s">
        <v>814</v>
      </c>
      <c r="H88" s="362">
        <f>SUM(H81, H84:H86)</f>
        <v>0</v>
      </c>
    </row>
    <row r="90" spans="2:44" x14ac:dyDescent="0.25">
      <c r="B90" s="171" t="s">
        <v>127</v>
      </c>
      <c r="C90" s="171"/>
      <c r="D90" s="171"/>
      <c r="E90" s="171"/>
      <c r="F90" s="171"/>
      <c r="G90" s="171"/>
      <c r="H90" s="171"/>
      <c r="I90" s="171"/>
      <c r="J90" s="171"/>
      <c r="K90" s="171"/>
      <c r="L90" s="171"/>
      <c r="M90" s="171"/>
      <c r="N90" s="171"/>
      <c r="O90" s="171"/>
      <c r="P90" s="171"/>
      <c r="Q90" s="171"/>
      <c r="R90" s="171"/>
      <c r="S90" s="171"/>
      <c r="T90" s="171"/>
      <c r="U90" s="171"/>
      <c r="V90" s="171"/>
      <c r="W90" s="171"/>
      <c r="X90" s="171"/>
      <c r="Y90" s="171"/>
      <c r="Z90" s="171"/>
      <c r="AA90" s="171"/>
      <c r="AB90" s="171"/>
      <c r="AC90" s="171"/>
      <c r="AD90" s="171"/>
      <c r="AE90" s="171"/>
      <c r="AF90" s="171"/>
      <c r="AG90" s="171"/>
      <c r="AH90" s="171"/>
      <c r="AI90" s="171"/>
      <c r="AJ90" s="171"/>
      <c r="AK90" s="171"/>
      <c r="AL90" s="171"/>
      <c r="AM90" s="171"/>
      <c r="AN90" s="171"/>
      <c r="AO90" s="171"/>
      <c r="AP90" s="171"/>
      <c r="AQ90" s="171"/>
      <c r="AR90" s="171"/>
    </row>
    <row r="97" spans="20:22" x14ac:dyDescent="0.25">
      <c r="T97" s="338"/>
      <c r="U97" s="338"/>
      <c r="V97" s="338"/>
    </row>
    <row r="98" spans="20:22" x14ac:dyDescent="0.25">
      <c r="T98" s="338"/>
      <c r="U98" s="338"/>
      <c r="V98" s="338"/>
    </row>
    <row r="99" spans="20:22" x14ac:dyDescent="0.25">
      <c r="T99" s="338"/>
      <c r="U99" s="338"/>
      <c r="V99" s="338"/>
    </row>
    <row r="100" spans="20:22" x14ac:dyDescent="0.25">
      <c r="T100" s="338"/>
      <c r="U100" s="338"/>
      <c r="V100" s="338"/>
    </row>
    <row r="101" spans="20:22" x14ac:dyDescent="0.25">
      <c r="T101" s="338"/>
      <c r="U101" s="338"/>
      <c r="V101" s="338"/>
    </row>
    <row r="102" spans="20:22" x14ac:dyDescent="0.25">
      <c r="T102" s="338"/>
      <c r="U102" s="338"/>
      <c r="V102" s="338"/>
    </row>
    <row r="103" spans="20:22" x14ac:dyDescent="0.25">
      <c r="T103" s="338"/>
      <c r="U103" s="338"/>
      <c r="V103" s="338"/>
    </row>
    <row r="104" spans="20:22" x14ac:dyDescent="0.25">
      <c r="T104" s="338"/>
      <c r="U104" s="338"/>
      <c r="V104" s="338"/>
    </row>
    <row r="105" spans="20:22" x14ac:dyDescent="0.25">
      <c r="T105" s="338"/>
      <c r="U105" s="338"/>
      <c r="V105" s="338"/>
    </row>
    <row r="106" spans="20:22" x14ac:dyDescent="0.25">
      <c r="T106" s="338"/>
      <c r="U106" s="338"/>
      <c r="V106" s="338"/>
    </row>
    <row r="107" spans="20:22" x14ac:dyDescent="0.25">
      <c r="T107" s="338"/>
      <c r="U107" s="338"/>
      <c r="V107" s="338"/>
    </row>
    <row r="108" spans="20:22" x14ac:dyDescent="0.25">
      <c r="T108" s="338"/>
      <c r="U108" s="338"/>
      <c r="V108" s="338"/>
    </row>
    <row r="109" spans="20:22" x14ac:dyDescent="0.25">
      <c r="T109" s="338"/>
      <c r="U109" s="338"/>
      <c r="V109" s="338"/>
    </row>
    <row r="110" spans="20:22" x14ac:dyDescent="0.25">
      <c r="T110" s="338"/>
      <c r="U110" s="338"/>
      <c r="V110" s="338"/>
    </row>
    <row r="111" spans="20:22" x14ac:dyDescent="0.25">
      <c r="T111" s="338"/>
      <c r="U111" s="338"/>
      <c r="V111" s="338"/>
    </row>
    <row r="112" spans="20:22" x14ac:dyDescent="0.25">
      <c r="T112" s="338"/>
      <c r="U112" s="338"/>
      <c r="V112" s="338"/>
    </row>
    <row r="113" spans="20:22" x14ac:dyDescent="0.25">
      <c r="T113" s="338"/>
      <c r="U113" s="338"/>
      <c r="V113" s="338"/>
    </row>
    <row r="114" spans="20:22" x14ac:dyDescent="0.25">
      <c r="T114" s="338"/>
      <c r="U114" s="338"/>
      <c r="V114" s="338"/>
    </row>
    <row r="115" spans="20:22" x14ac:dyDescent="0.25">
      <c r="T115" s="338"/>
      <c r="U115" s="338"/>
      <c r="V115" s="338"/>
    </row>
    <row r="116" spans="20:22" x14ac:dyDescent="0.25">
      <c r="T116" s="338"/>
      <c r="U116" s="338"/>
      <c r="V116" s="338"/>
    </row>
    <row r="117" spans="20:22" x14ac:dyDescent="0.25">
      <c r="T117" s="338"/>
      <c r="U117" s="338"/>
      <c r="V117" s="338"/>
    </row>
    <row r="118" spans="20:22" x14ac:dyDescent="0.25">
      <c r="T118" s="338"/>
      <c r="U118" s="338"/>
      <c r="V118" s="338"/>
    </row>
    <row r="119" spans="20:22" x14ac:dyDescent="0.25">
      <c r="T119" s="338"/>
      <c r="U119" s="338"/>
      <c r="V119" s="338"/>
    </row>
    <row r="120" spans="20:22" x14ac:dyDescent="0.25">
      <c r="T120" s="338"/>
      <c r="U120" s="338"/>
      <c r="V120" s="338"/>
    </row>
    <row r="121" spans="20:22" x14ac:dyDescent="0.25">
      <c r="T121" s="338"/>
      <c r="U121" s="338"/>
      <c r="V121" s="338"/>
    </row>
    <row r="122" spans="20:22" x14ac:dyDescent="0.25">
      <c r="T122" s="338"/>
      <c r="U122" s="338"/>
      <c r="V122" s="338"/>
    </row>
    <row r="123" spans="20:22" x14ac:dyDescent="0.25">
      <c r="T123" s="338"/>
      <c r="U123" s="338"/>
      <c r="V123" s="338"/>
    </row>
    <row r="124" spans="20:22" x14ac:dyDescent="0.25">
      <c r="T124" s="338"/>
      <c r="U124" s="338"/>
      <c r="V124" s="338"/>
    </row>
    <row r="125" spans="20:22" x14ac:dyDescent="0.25">
      <c r="T125" s="338"/>
      <c r="U125" s="338"/>
      <c r="V125" s="338"/>
    </row>
    <row r="126" spans="20:22" x14ac:dyDescent="0.25">
      <c r="T126" s="338"/>
      <c r="U126" s="338"/>
      <c r="V126" s="338"/>
    </row>
    <row r="127" spans="20:22" x14ac:dyDescent="0.25">
      <c r="T127" s="338"/>
      <c r="U127" s="338"/>
      <c r="V127" s="338"/>
    </row>
    <row r="128" spans="20:22" x14ac:dyDescent="0.25">
      <c r="T128" s="338"/>
      <c r="U128" s="338"/>
      <c r="V128" s="338"/>
    </row>
    <row r="129" spans="20:22" x14ac:dyDescent="0.25">
      <c r="T129" s="338"/>
      <c r="U129" s="338"/>
      <c r="V129" s="338"/>
    </row>
  </sheetData>
  <sheetProtection sheet="1" objects="1" formatCells="0" formatColumns="0" formatRows="0" sort="0" autoFilter="0"/>
  <conditionalFormatting sqref="H81">
    <cfRule type="cellIs" dxfId="90" priority="24" operator="greaterThan">
      <formula>0</formula>
    </cfRule>
  </conditionalFormatting>
  <conditionalFormatting sqref="H84:H86">
    <cfRule type="cellIs" dxfId="89" priority="23" operator="greaterThan">
      <formula>0</formula>
    </cfRule>
  </conditionalFormatting>
  <conditionalFormatting sqref="J84:AB84">
    <cfRule type="cellIs" dxfId="88" priority="22" operator="greaterThan">
      <formula>0</formula>
    </cfRule>
  </conditionalFormatting>
  <conditionalFormatting sqref="AG84:AH84">
    <cfRule type="cellIs" dxfId="87" priority="21" operator="greaterThan">
      <formula>0</formula>
    </cfRule>
  </conditionalFormatting>
  <conditionalFormatting sqref="AK84:AL84">
    <cfRule type="cellIs" dxfId="86" priority="20" operator="greaterThan">
      <formula>0</formula>
    </cfRule>
  </conditionalFormatting>
  <conditionalFormatting sqref="AO84:AP84">
    <cfRule type="cellIs" dxfId="85" priority="19" operator="greaterThan">
      <formula>0</formula>
    </cfRule>
  </conditionalFormatting>
  <conditionalFormatting sqref="K85">
    <cfRule type="cellIs" dxfId="84" priority="18" operator="greaterThan">
      <formula>0</formula>
    </cfRule>
  </conditionalFormatting>
  <conditionalFormatting sqref="N85">
    <cfRule type="cellIs" dxfId="83" priority="17" operator="greaterThan">
      <formula>0</formula>
    </cfRule>
  </conditionalFormatting>
  <conditionalFormatting sqref="P85:W85">
    <cfRule type="cellIs" dxfId="82" priority="16" operator="greaterThan">
      <formula>0</formula>
    </cfRule>
  </conditionalFormatting>
  <conditionalFormatting sqref="AB85">
    <cfRule type="cellIs" dxfId="81" priority="15" operator="greaterThan">
      <formula>0</formula>
    </cfRule>
  </conditionalFormatting>
  <conditionalFormatting sqref="AG85">
    <cfRule type="cellIs" dxfId="80" priority="14" operator="greaterThan">
      <formula>0</formula>
    </cfRule>
  </conditionalFormatting>
  <conditionalFormatting sqref="AH85">
    <cfRule type="cellIs" dxfId="79" priority="13" operator="greaterThan">
      <formula>0</formula>
    </cfRule>
  </conditionalFormatting>
  <conditionalFormatting sqref="AK85">
    <cfRule type="cellIs" dxfId="78" priority="12" operator="greaterThan">
      <formula>0</formula>
    </cfRule>
  </conditionalFormatting>
  <conditionalFormatting sqref="AL85">
    <cfRule type="cellIs" dxfId="77" priority="11" operator="greaterThan">
      <formula>0</formula>
    </cfRule>
  </conditionalFormatting>
  <conditionalFormatting sqref="AO85">
    <cfRule type="cellIs" dxfId="76" priority="10" operator="greaterThan">
      <formula>0</formula>
    </cfRule>
  </conditionalFormatting>
  <conditionalFormatting sqref="AP85">
    <cfRule type="cellIs" dxfId="75" priority="9" operator="greaterThan">
      <formula>0</formula>
    </cfRule>
  </conditionalFormatting>
  <conditionalFormatting sqref="AP86">
    <cfRule type="cellIs" dxfId="74" priority="8" operator="greaterThan">
      <formula>0</formula>
    </cfRule>
  </conditionalFormatting>
  <conditionalFormatting sqref="AO86">
    <cfRule type="cellIs" dxfId="73" priority="7" operator="greaterThan">
      <formula>0</formula>
    </cfRule>
  </conditionalFormatting>
  <conditionalFormatting sqref="AK86:AL86">
    <cfRule type="cellIs" dxfId="72" priority="6" operator="greaterThan">
      <formula>0</formula>
    </cfRule>
  </conditionalFormatting>
  <conditionalFormatting sqref="AG86:AH86">
    <cfRule type="cellIs" dxfId="71" priority="5" operator="greaterThan">
      <formula>0</formula>
    </cfRule>
  </conditionalFormatting>
  <conditionalFormatting sqref="S86:W86">
    <cfRule type="cellIs" dxfId="70" priority="3" operator="greaterThan">
      <formula>0</formula>
    </cfRule>
  </conditionalFormatting>
  <conditionalFormatting sqref="AB86">
    <cfRule type="cellIs" dxfId="69" priority="4" operator="greaterThan">
      <formula>0</formula>
    </cfRule>
  </conditionalFormatting>
  <conditionalFormatting sqref="H88">
    <cfRule type="cellIs" dxfId="68" priority="2" operator="greaterThan">
      <formula>0</formula>
    </cfRule>
  </conditionalFormatting>
  <conditionalFormatting sqref="A4:XFD4">
    <cfRule type="expression" dxfId="67" priority="1">
      <formula>LEFT($A$4,1) &lt;&gt; "0"</formula>
    </cfRule>
  </conditionalFormatting>
  <dataValidations count="9">
    <dataValidation type="decimal" allowBlank="1" showInputMessage="1" showErrorMessage="1" errorTitle="Invalid coincidence factor" error="Invalid coincidence factor (unused cell or not between 0% and 100%)." sqref="J19:AB19 AC18:AO19">
      <formula1>0</formula1>
      <formula2>1</formula2>
    </dataValidation>
    <dataValidation type="decimal" allowBlank="1" showInputMessage="1" showErrorMessage="1" errorTitle="Invalid load factor" error="The load factor must be between 0% and 100%." sqref="J18:AB18">
      <formula1>0</formula1>
      <formula2>1</formula2>
    </dataValidation>
    <dataValidation type="textLength" operator="equal" allowBlank="1" showInputMessage="1" showErrorMessage="1" error="This cell is not in use." sqref="AP77:AP78 AP69 AP72">
      <formula1>0</formula1>
    </dataValidation>
    <dataValidation type="decimal" operator="greaterThanOrEqual" allowBlank="1" showInputMessage="1" showErrorMessage="1" errorTitle="Invalid volume data" error="Invalid volume data (negative number or unused cell)." sqref="J59:X59 J42:AO42 AB34:AB35 J24:AO33 J69:AP69 J72:AP72 J77:AP78 J74:AP75 J64:W64 J37:AO41 J43:AO48">
      <formula1>0</formula1>
    </dataValidation>
    <dataValidation type="decimal" allowBlank="1" showInputMessage="1" showErrorMessage="1" sqref="J59:AB59 P64:AA64">
      <formula1>0</formula1>
      <formula2>1</formula2>
    </dataValidation>
    <dataValidation type="decimal" allowBlank="1" showErrorMessage="1" prompt="Red, Amber and Green must add to 100%" sqref="J56:AP58">
      <formula1>0</formula1>
      <formula2>1</formula2>
    </dataValidation>
    <dataValidation type="decimal" allowBlank="1" showErrorMessage="1" errorTitle="Invalid volume data" error="Invalid volume data (must be between 0 and 1)." sqref="J66:AP68 J61:AP63">
      <formula1>0</formula1>
      <formula2>1</formula2>
    </dataValidation>
    <dataValidation type="decimal" allowBlank="1" showErrorMessage="1" errorTitle="Invalid volume data" error="Invalid volume data (must be between 0 and 1)." prompt="Red, Amber and Green must add to 100%" sqref="J56:AP58">
      <formula1>0</formula1>
      <formula2>1</formula2>
    </dataValidation>
    <dataValidation type="decimal" operator="greaterThanOrEqual" allowBlank="1" showInputMessage="1" showErrorMessage="1" sqref="AP18:AP48">
      <formula1>0</formula1>
    </dataValidation>
  </dataValidations>
  <hyperlinks>
    <hyperlink ref="B5:F5" location="'Model map'!A1" display="Click here to return to model map"/>
  </hyperlinks>
  <pageMargins left="0.7" right="0.7" top="0.75" bottom="0.75" header="0.3" footer="0.3"/>
  <pageSetup paperSize="9" fitToHeight="0" orientation="portrait" r:id="rId1"/>
  <headerFooter>
    <oddHeader>&amp;L&amp;A&amp;C&amp;R&amp;P of &amp;N</oddHeader>
    <oddFooter>&amp;F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theme="4" tint="0.59999389629810485"/>
    <pageSetUpPr fitToPage="1"/>
  </sheetPr>
  <dimension ref="A1:IV72"/>
  <sheetViews>
    <sheetView showGridLines="0" zoomScale="80" zoomScaleNormal="80" workbookViewId="0">
      <pane xSplit="9" ySplit="5" topLeftCell="J6" activePane="bottomRight" state="frozen"/>
      <selection activeCell="J6" sqref="J6"/>
      <selection pane="topRight" activeCell="J6" sqref="J6"/>
      <selection pane="bottomLeft" activeCell="J6" sqref="J6"/>
      <selection pane="bottomRight" activeCell="J6" sqref="J6"/>
    </sheetView>
  </sheetViews>
  <sheetFormatPr defaultColWidth="0" defaultRowHeight="15" x14ac:dyDescent="0.25"/>
  <cols>
    <col min="1" max="5" width="2.7109375" style="160" customWidth="1"/>
    <col min="6" max="6" width="59.5703125" style="160" customWidth="1"/>
    <col min="7" max="8" width="20.7109375" style="160" customWidth="1"/>
    <col min="9" max="9" width="2.28515625" style="160" customWidth="1"/>
    <col min="10" max="19" width="17" style="160" customWidth="1"/>
    <col min="20" max="20" width="2.28515625" style="160" customWidth="1"/>
    <col min="21" max="21" width="50.7109375" style="160" customWidth="1"/>
    <col min="22" max="22" width="2.28515625" style="160" customWidth="1"/>
    <col min="23" max="27" width="20.7109375" style="160" hidden="1" customWidth="1"/>
    <col min="28" max="28" width="2.7109375" style="160" hidden="1" customWidth="1"/>
    <col min="29" max="256" width="20.7109375" style="160" hidden="1" customWidth="1"/>
    <col min="257" max="16384" width="9.140625" style="160" hidden="1"/>
  </cols>
  <sheetData>
    <row r="1" spans="1:97" s="25" customFormat="1" x14ac:dyDescent="0.25">
      <c r="A1" s="25" t="str">
        <f ca="1">MID(CELL("filename",A1),FIND("]",CELL("filename",A1))+1,255)</f>
        <v>Inputs by network level</v>
      </c>
    </row>
    <row r="2" spans="1:97" s="25" customFormat="1" x14ac:dyDescent="0.25">
      <c r="A2" s="25" t="str">
        <f>Cover!D21&amp;" - "&amp;Cover!D23</f>
        <v>SEPD - Final</v>
      </c>
    </row>
    <row r="3" spans="1:97" s="97" customFormat="1" x14ac:dyDescent="0.25">
      <c r="A3" s="97" t="str">
        <f>Cover!D2&amp;" - "&amp;Cover!D8&amp;" v"&amp;Cover!D10&amp;" - "&amp;Cover!D19</f>
        <v>ARP model - Release for charge setting v3 - 2020/21</v>
      </c>
    </row>
    <row r="4" spans="1:97" s="338" customFormat="1" x14ac:dyDescent="0.25">
      <c r="A4" s="392" t="str">
        <f>H59 &amp; IF(H59 = 1, " issue", " issues") &amp;" identified in checks on this sheet"</f>
        <v>0 issues identified in checks on this sheet</v>
      </c>
      <c r="B4" s="393"/>
      <c r="C4" s="393"/>
      <c r="D4" s="393"/>
      <c r="E4" s="393"/>
      <c r="F4" s="393"/>
      <c r="G4" s="393"/>
      <c r="H4" s="394"/>
      <c r="I4" s="394"/>
      <c r="J4" s="393"/>
      <c r="K4" s="383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3"/>
      <c r="AD4" s="383"/>
      <c r="AE4" s="383"/>
      <c r="AF4" s="383"/>
      <c r="AG4" s="383"/>
      <c r="AH4" s="383"/>
      <c r="AI4" s="383"/>
      <c r="AJ4" s="383"/>
      <c r="AK4" s="383"/>
      <c r="AL4" s="383"/>
      <c r="AM4" s="383"/>
      <c r="AN4" s="383"/>
      <c r="AO4" s="383"/>
      <c r="AP4" s="383"/>
      <c r="AQ4" s="383"/>
      <c r="AR4" s="383"/>
      <c r="AS4" s="383"/>
      <c r="AT4" s="383"/>
      <c r="AU4" s="383"/>
      <c r="AV4" s="383"/>
      <c r="AW4" s="383"/>
      <c r="AX4" s="383"/>
      <c r="AY4" s="383"/>
      <c r="AZ4" s="383"/>
      <c r="BA4" s="383"/>
      <c r="BB4" s="383"/>
      <c r="BC4" s="383"/>
      <c r="BD4" s="383"/>
      <c r="BE4" s="383"/>
      <c r="BF4" s="383"/>
      <c r="BG4" s="383"/>
      <c r="BH4" s="383"/>
      <c r="BI4" s="383"/>
      <c r="BJ4" s="383"/>
      <c r="BK4" s="383"/>
      <c r="BL4" s="383"/>
      <c r="BM4" s="383"/>
      <c r="BN4" s="383"/>
      <c r="BO4" s="383"/>
      <c r="BP4" s="383"/>
      <c r="BQ4" s="383"/>
      <c r="BR4" s="383"/>
      <c r="BS4" s="383"/>
      <c r="BT4" s="383"/>
      <c r="BU4" s="383"/>
      <c r="BV4" s="383"/>
      <c r="BW4" s="383"/>
      <c r="BX4" s="383"/>
      <c r="BY4" s="383"/>
      <c r="BZ4" s="383"/>
      <c r="CA4" s="383"/>
      <c r="CB4" s="383"/>
      <c r="CC4" s="383"/>
      <c r="CD4" s="383"/>
      <c r="CE4" s="383"/>
      <c r="CF4" s="383"/>
      <c r="CG4" s="383"/>
      <c r="CH4" s="383"/>
      <c r="CI4" s="383"/>
      <c r="CJ4" s="383"/>
      <c r="CK4" s="383"/>
      <c r="CL4" s="383"/>
      <c r="CM4" s="383"/>
      <c r="CN4" s="383"/>
      <c r="CO4" s="383"/>
      <c r="CP4" s="383"/>
      <c r="CQ4" s="383"/>
      <c r="CR4" s="383"/>
      <c r="CS4" s="383"/>
    </row>
    <row r="5" spans="1:97" x14ac:dyDescent="0.25">
      <c r="B5" s="244" t="s">
        <v>667</v>
      </c>
      <c r="C5" s="24"/>
      <c r="D5" s="24"/>
      <c r="E5" s="24"/>
      <c r="F5" s="24"/>
      <c r="G5" s="75" t="s">
        <v>108</v>
      </c>
      <c r="H5" s="76" t="s">
        <v>109</v>
      </c>
      <c r="I5" s="200"/>
      <c r="J5" s="76" t="s">
        <v>397</v>
      </c>
      <c r="K5" s="76" t="s">
        <v>43</v>
      </c>
      <c r="L5" s="76" t="s">
        <v>44</v>
      </c>
      <c r="M5" s="76" t="s">
        <v>45</v>
      </c>
      <c r="N5" s="76" t="s">
        <v>46</v>
      </c>
      <c r="O5" s="76" t="s">
        <v>47</v>
      </c>
      <c r="P5" s="76" t="s">
        <v>51</v>
      </c>
      <c r="Q5" s="76" t="s">
        <v>48</v>
      </c>
      <c r="R5" s="76" t="s">
        <v>49</v>
      </c>
      <c r="S5" s="76" t="s">
        <v>50</v>
      </c>
      <c r="U5" s="1" t="s">
        <v>110</v>
      </c>
    </row>
    <row r="7" spans="1:97" x14ac:dyDescent="0.25">
      <c r="B7" s="171" t="s">
        <v>107</v>
      </c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W7" s="171"/>
      <c r="X7" s="171"/>
      <c r="Y7" s="171"/>
      <c r="Z7" s="171"/>
      <c r="AA7" s="171"/>
    </row>
    <row r="9" spans="1:97" x14ac:dyDescent="0.25">
      <c r="C9" s="152" t="s">
        <v>1056</v>
      </c>
    </row>
    <row r="11" spans="1:97" x14ac:dyDescent="0.25">
      <c r="D11" s="35"/>
      <c r="E11" s="167" t="s">
        <v>697</v>
      </c>
      <c r="G11" s="167" t="s">
        <v>698</v>
      </c>
      <c r="H11" s="156" t="str">
        <f>charging_year_selected</f>
        <v>2020/21</v>
      </c>
    </row>
    <row r="12" spans="1:97" x14ac:dyDescent="0.25">
      <c r="D12" s="35"/>
      <c r="E12" s="167" t="s">
        <v>682</v>
      </c>
      <c r="G12" s="167" t="s">
        <v>467</v>
      </c>
      <c r="H12" s="246" t="str">
        <f>'ARP_User control'!$H$36</f>
        <v>Current</v>
      </c>
    </row>
    <row r="13" spans="1:97" x14ac:dyDescent="0.25">
      <c r="D13" s="35"/>
    </row>
    <row r="14" spans="1:97" s="338" customFormat="1" x14ac:dyDescent="0.25">
      <c r="B14" s="171" t="s">
        <v>323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U14" s="171"/>
      <c r="W14" s="171"/>
      <c r="X14" s="171"/>
      <c r="Y14" s="171"/>
      <c r="Z14" s="171"/>
      <c r="AA14" s="171"/>
    </row>
    <row r="15" spans="1:97" s="338" customFormat="1" x14ac:dyDescent="0.25"/>
    <row r="16" spans="1:97" x14ac:dyDescent="0.25">
      <c r="C16" s="22" t="str">
        <f ca="1">INDEX('Version control'!$H$34:$H$59,MATCH($A$1,'Version control'!$F$34:$F$59,0),1)&amp;"-A: Network and load inputs"</f>
        <v>Section 502-A: Network and load inputs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W16" s="171"/>
      <c r="X16" s="171"/>
      <c r="Y16" s="171"/>
      <c r="Z16" s="171"/>
      <c r="AA16" s="171"/>
    </row>
    <row r="18" spans="3:27" x14ac:dyDescent="0.25">
      <c r="E18" s="145" t="s">
        <v>42</v>
      </c>
      <c r="G18" s="145" t="s">
        <v>111</v>
      </c>
      <c r="H18" s="167"/>
      <c r="I18" s="160" t="s">
        <v>525</v>
      </c>
      <c r="J18" s="158"/>
      <c r="K18" s="198">
        <f>'ARP_Inputs by network level'!J20</f>
        <v>2.7451056800206652E-2</v>
      </c>
      <c r="L18" s="198">
        <f>'ARP_Inputs by network level'!J21</f>
        <v>3.5668125491285174E-2</v>
      </c>
      <c r="M18" s="158"/>
      <c r="N18" s="198">
        <f>'ARP_Inputs by network level'!J23</f>
        <v>6.5335713438606557E-2</v>
      </c>
      <c r="O18" s="158"/>
      <c r="P18" s="82"/>
      <c r="Q18" s="198">
        <f>'ARP_Inputs by network level'!J26</f>
        <v>0.37</v>
      </c>
      <c r="R18" s="178"/>
      <c r="S18" s="178"/>
      <c r="U18" s="165" t="s">
        <v>1080</v>
      </c>
    </row>
    <row r="19" spans="3:27" x14ac:dyDescent="0.25">
      <c r="J19" s="338"/>
      <c r="K19" s="338"/>
      <c r="L19" s="338"/>
      <c r="M19" s="338"/>
      <c r="N19" s="338"/>
      <c r="O19" s="338"/>
      <c r="P19" s="338"/>
      <c r="Q19" s="338"/>
      <c r="R19" s="338"/>
      <c r="S19" s="338"/>
    </row>
    <row r="20" spans="3:27" x14ac:dyDescent="0.25">
      <c r="E20" s="145" t="s">
        <v>760</v>
      </c>
      <c r="G20" s="145" t="s">
        <v>111</v>
      </c>
      <c r="H20" s="145"/>
      <c r="I20" s="219"/>
      <c r="J20" s="158"/>
      <c r="K20" s="178"/>
      <c r="L20" s="178"/>
      <c r="M20" s="178"/>
      <c r="N20" s="178"/>
      <c r="O20" s="178"/>
      <c r="P20" s="198">
        <f>'ARP_Inputs by network level'!J36</f>
        <v>0</v>
      </c>
      <c r="Q20" s="149"/>
      <c r="R20" s="149"/>
      <c r="S20" s="149"/>
    </row>
    <row r="21" spans="3:27" x14ac:dyDescent="0.25">
      <c r="J21" s="338"/>
      <c r="K21" s="338"/>
      <c r="L21" s="338"/>
      <c r="M21" s="338"/>
      <c r="N21" s="338"/>
      <c r="O21" s="338"/>
      <c r="P21" s="338"/>
      <c r="Q21" s="338"/>
      <c r="R21" s="338"/>
      <c r="S21" s="338"/>
    </row>
    <row r="22" spans="3:27" x14ac:dyDescent="0.25">
      <c r="D22" s="167"/>
      <c r="E22" s="145" t="s">
        <v>324</v>
      </c>
      <c r="G22" s="145" t="s">
        <v>636</v>
      </c>
      <c r="H22" s="167"/>
      <c r="I22" s="160" t="s">
        <v>525</v>
      </c>
      <c r="J22" s="403"/>
      <c r="K22" s="437">
        <f>'ARP_Inputs by network level'!J48</f>
        <v>1</v>
      </c>
      <c r="L22" s="437">
        <f>'ARP_Inputs by network level'!J49</f>
        <v>1.0049999999999999</v>
      </c>
      <c r="M22" s="437">
        <f>'ARP_Inputs by network level'!J50</f>
        <v>1.008</v>
      </c>
      <c r="N22" s="437">
        <f>'ARP_Inputs by network level'!J51</f>
        <v>1.016</v>
      </c>
      <c r="O22" s="437">
        <f>'ARP_Inputs by network level'!J52</f>
        <v>1.0209999999999999</v>
      </c>
      <c r="P22" s="403"/>
      <c r="Q22" s="437">
        <f>'ARP_Inputs by network level'!J54</f>
        <v>1.0309999999999999</v>
      </c>
      <c r="R22" s="437">
        <f>'ARP_Inputs by network level'!J55</f>
        <v>1.046</v>
      </c>
      <c r="S22" s="437">
        <f>'ARP_Inputs by network level'!J56</f>
        <v>1.089</v>
      </c>
      <c r="U22" s="165" t="s">
        <v>940</v>
      </c>
    </row>
    <row r="23" spans="3:27" x14ac:dyDescent="0.25">
      <c r="J23" s="416"/>
      <c r="K23" s="416"/>
      <c r="L23" s="416"/>
      <c r="M23" s="416"/>
      <c r="N23" s="416"/>
      <c r="O23" s="416"/>
      <c r="P23" s="416"/>
      <c r="Q23" s="416"/>
      <c r="R23" s="416"/>
      <c r="S23" s="416"/>
    </row>
    <row r="24" spans="3:27" x14ac:dyDescent="0.25">
      <c r="E24" s="145" t="s">
        <v>106</v>
      </c>
      <c r="G24" s="145" t="s">
        <v>723</v>
      </c>
      <c r="H24" s="167"/>
      <c r="I24" s="160" t="s">
        <v>525</v>
      </c>
      <c r="J24" s="403"/>
      <c r="K24" s="437">
        <f>'ARP_Inputs by network level'!J62</f>
        <v>0.22971048873866273</v>
      </c>
      <c r="L24" s="437">
        <f>'ARP_Inputs by network level'!J63</f>
        <v>0.22971048873866273</v>
      </c>
      <c r="M24" s="437">
        <f>'ARP_Inputs by network level'!J64</f>
        <v>0.22971048873866273</v>
      </c>
      <c r="N24" s="437">
        <f>'ARP_Inputs by network level'!J65</f>
        <v>0.22971048873866273</v>
      </c>
      <c r="O24" s="437">
        <f>'ARP_Inputs by network level'!J66</f>
        <v>0.22971048873866273</v>
      </c>
      <c r="P24" s="437">
        <f>'ARP_Inputs by network level'!J67</f>
        <v>0</v>
      </c>
      <c r="Q24" s="437">
        <f>'ARP_Inputs by network level'!J68</f>
        <v>0.22971048873866273</v>
      </c>
      <c r="R24" s="437">
        <f>'ARP_Inputs by network level'!J69</f>
        <v>0.22971048873866273</v>
      </c>
      <c r="S24" s="437">
        <f>'ARP_Inputs by network level'!J70</f>
        <v>0.22971048873866273</v>
      </c>
      <c r="U24" s="165" t="s">
        <v>1081</v>
      </c>
    </row>
    <row r="25" spans="3:27" x14ac:dyDescent="0.25">
      <c r="J25" s="338"/>
      <c r="K25" s="338"/>
      <c r="L25" s="338"/>
      <c r="M25" s="338"/>
      <c r="N25" s="338"/>
      <c r="O25" s="338"/>
      <c r="P25" s="338"/>
      <c r="Q25" s="338"/>
      <c r="R25" s="338"/>
      <c r="S25" s="338"/>
    </row>
    <row r="26" spans="3:27" s="338" customFormat="1" x14ac:dyDescent="0.25">
      <c r="C26" s="22" t="str">
        <f ca="1">INDEX('Version control'!$H$34:$H$59,MATCH($A$1,'Version control'!$F$34:$F$59,0),1)&amp;"-B: Customer contributions under current connection charging policy"</f>
        <v>Section 502-B: Customer contributions under current connection charging policy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W26" s="171"/>
      <c r="X26" s="171"/>
      <c r="Y26" s="171"/>
      <c r="Z26" s="171"/>
      <c r="AA26" s="171"/>
    </row>
    <row r="27" spans="3:27" x14ac:dyDescent="0.25">
      <c r="C27" s="172"/>
      <c r="I27" s="160" t="s">
        <v>525</v>
      </c>
      <c r="J27" s="338"/>
      <c r="K27" s="338"/>
      <c r="L27" s="338"/>
      <c r="M27" s="338"/>
      <c r="N27" s="338"/>
      <c r="O27" s="338"/>
      <c r="P27" s="338"/>
      <c r="Q27" s="338"/>
      <c r="R27" s="338"/>
      <c r="S27" s="338"/>
      <c r="U27" s="160" t="s">
        <v>1082</v>
      </c>
    </row>
    <row r="28" spans="3:27" s="474" customFormat="1" x14ac:dyDescent="0.25">
      <c r="C28" s="172"/>
      <c r="E28" s="172" t="s">
        <v>333</v>
      </c>
    </row>
    <row r="29" spans="3:27" x14ac:dyDescent="0.25">
      <c r="F29" s="40" t="s">
        <v>97</v>
      </c>
      <c r="G29" s="40" t="s">
        <v>111</v>
      </c>
      <c r="H29" s="166"/>
      <c r="I29" s="166"/>
      <c r="J29" s="185"/>
      <c r="K29" s="185"/>
      <c r="L29" s="187">
        <f>'ARP_Inputs by network level'!J78</f>
        <v>0</v>
      </c>
      <c r="M29" s="187">
        <f>'ARP_Inputs by network level'!J79</f>
        <v>0</v>
      </c>
      <c r="N29" s="187">
        <f>'ARP_Inputs by network level'!J80</f>
        <v>1.2370413198693E-2</v>
      </c>
      <c r="O29" s="187">
        <f>'ARP_Inputs by network level'!J81</f>
        <v>2.4400925983857801E-2</v>
      </c>
      <c r="P29" s="187">
        <f>'ARP_Inputs by network level'!J82</f>
        <v>0</v>
      </c>
      <c r="Q29" s="187">
        <f>'ARP_Inputs by network level'!J83</f>
        <v>0.34379931777325301</v>
      </c>
      <c r="R29" s="187">
        <f>'ARP_Inputs by network level'!J84</f>
        <v>0.42351973684210498</v>
      </c>
      <c r="S29" s="187">
        <f>'ARP_Inputs by network level'!J85</f>
        <v>0.95595667870036105</v>
      </c>
    </row>
    <row r="30" spans="3:27" x14ac:dyDescent="0.25">
      <c r="F30" s="145" t="s">
        <v>98</v>
      </c>
      <c r="G30" s="145" t="s">
        <v>111</v>
      </c>
      <c r="H30" s="167"/>
      <c r="I30" s="167"/>
      <c r="J30" s="178"/>
      <c r="K30" s="178"/>
      <c r="L30" s="181">
        <f>'ARP_Inputs by network level'!J89</f>
        <v>0</v>
      </c>
      <c r="M30" s="181">
        <f>'ARP_Inputs by network level'!J90</f>
        <v>0</v>
      </c>
      <c r="N30" s="181">
        <f>'ARP_Inputs by network level'!J91</f>
        <v>1.2370413198693E-2</v>
      </c>
      <c r="O30" s="181">
        <f>'ARP_Inputs by network level'!J92</f>
        <v>2.4400925983857801E-2</v>
      </c>
      <c r="P30" s="181">
        <f>'ARP_Inputs by network level'!J93</f>
        <v>0</v>
      </c>
      <c r="Q30" s="181">
        <f>'ARP_Inputs by network level'!J94</f>
        <v>0.34379931777325301</v>
      </c>
      <c r="R30" s="181">
        <f>'ARP_Inputs by network level'!J95</f>
        <v>0.42351973684210498</v>
      </c>
      <c r="S30" s="81"/>
    </row>
    <row r="31" spans="3:27" x14ac:dyDescent="0.25">
      <c r="F31" s="145" t="s">
        <v>99</v>
      </c>
      <c r="G31" s="145" t="s">
        <v>111</v>
      </c>
      <c r="H31" s="167"/>
      <c r="I31" s="167"/>
      <c r="J31" s="178"/>
      <c r="K31" s="178"/>
      <c r="L31" s="181">
        <f>'ARP_Inputs by network level'!J100</f>
        <v>0</v>
      </c>
      <c r="M31" s="181">
        <f>'ARP_Inputs by network level'!J101</f>
        <v>0</v>
      </c>
      <c r="N31" s="181">
        <f>'ARP_Inputs by network level'!J102</f>
        <v>3.4530744799792602E-2</v>
      </c>
      <c r="O31" s="181">
        <f>'ARP_Inputs by network level'!J103</f>
        <v>6.6381013698021907E-2</v>
      </c>
      <c r="P31" s="181">
        <f>'ARP_Inputs by network level'!J104</f>
        <v>0</v>
      </c>
      <c r="Q31" s="181">
        <f>'ARP_Inputs by network level'!J105</f>
        <v>0.38323267678152101</v>
      </c>
      <c r="R31" s="81"/>
      <c r="S31" s="81"/>
    </row>
    <row r="32" spans="3:27" x14ac:dyDescent="0.25">
      <c r="F32" s="38" t="s">
        <v>100</v>
      </c>
      <c r="G32" s="38" t="s">
        <v>111</v>
      </c>
      <c r="H32" s="168"/>
      <c r="I32" s="168"/>
      <c r="J32" s="179"/>
      <c r="K32" s="179"/>
      <c r="L32" s="182">
        <f>'ARP_Inputs by network level'!J111</f>
        <v>0</v>
      </c>
      <c r="M32" s="182">
        <f>'ARP_Inputs by network level'!J112</f>
        <v>0</v>
      </c>
      <c r="N32" s="182">
        <f>'ARP_Inputs by network level'!J113</f>
        <v>3.4530744799792602E-2</v>
      </c>
      <c r="O32" s="182">
        <f>'ARP_Inputs by network level'!J114</f>
        <v>6.6381013698021907E-2</v>
      </c>
      <c r="P32" s="83"/>
      <c r="Q32" s="83"/>
      <c r="R32" s="83"/>
      <c r="S32" s="83"/>
    </row>
    <row r="33" spans="2:27" x14ac:dyDescent="0.25">
      <c r="J33" s="338"/>
      <c r="K33" s="338"/>
      <c r="L33" s="338"/>
      <c r="M33" s="338"/>
      <c r="N33" s="338"/>
      <c r="O33" s="338"/>
      <c r="P33" s="338"/>
      <c r="Q33" s="338"/>
      <c r="R33" s="338"/>
      <c r="S33" s="338"/>
    </row>
    <row r="34" spans="2:27" s="338" customFormat="1" x14ac:dyDescent="0.25">
      <c r="C34" s="22" t="str">
        <f ca="1">INDEX('Version control'!$H$34:$H$59,MATCH($A$1,'Version control'!$F$34:$F$59,0),1)&amp;"-C: DRM asset costs"</f>
        <v>Section 502-C: DRM asset costs</v>
      </c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W34" s="171"/>
      <c r="X34" s="171"/>
      <c r="Y34" s="171"/>
      <c r="Z34" s="171"/>
      <c r="AA34" s="171"/>
    </row>
    <row r="35" spans="2:27" x14ac:dyDescent="0.25">
      <c r="J35" s="338"/>
      <c r="K35" s="338"/>
      <c r="L35" s="338"/>
      <c r="M35" s="338"/>
      <c r="N35" s="338"/>
      <c r="O35" s="338"/>
      <c r="P35" s="338"/>
      <c r="Q35" s="338"/>
      <c r="R35" s="338"/>
      <c r="S35" s="338"/>
    </row>
    <row r="36" spans="2:27" s="167" customFormat="1" x14ac:dyDescent="0.25">
      <c r="E36" s="145" t="s">
        <v>322</v>
      </c>
      <c r="G36" s="145" t="s">
        <v>124</v>
      </c>
      <c r="I36" s="167" t="s">
        <v>525</v>
      </c>
      <c r="J36" s="403"/>
      <c r="K36" s="403"/>
      <c r="L36" s="437">
        <f>'ARP_Inputs by network level'!J125</f>
        <v>105534557.83430843</v>
      </c>
      <c r="M36" s="437">
        <f>'ARP_Inputs by network level'!J126</f>
        <v>29370660.223999143</v>
      </c>
      <c r="N36" s="437">
        <f>'ARP_Inputs by network level'!J127</f>
        <v>70462347.874902844</v>
      </c>
      <c r="O36" s="437">
        <f>'ARP_Inputs by network level'!J128</f>
        <v>53670003.428299688</v>
      </c>
      <c r="P36" s="437">
        <f>'ARP_Inputs by network level'!J129</f>
        <v>0</v>
      </c>
      <c r="Q36" s="437">
        <f>'ARP_Inputs by network level'!J130</f>
        <v>175477371.6944035</v>
      </c>
      <c r="R36" s="437">
        <f>'ARP_Inputs by network level'!J131</f>
        <v>57539178.727579542</v>
      </c>
      <c r="S36" s="437">
        <f>'ARP_Inputs by network level'!J132</f>
        <v>103494556.03979655</v>
      </c>
      <c r="V36" s="160"/>
    </row>
    <row r="37" spans="2:27" x14ac:dyDescent="0.25">
      <c r="J37" s="338"/>
      <c r="K37" s="338"/>
      <c r="L37" s="338"/>
      <c r="M37" s="338"/>
      <c r="N37" s="338"/>
      <c r="O37" s="338"/>
      <c r="P37" s="338"/>
      <c r="Q37" s="338"/>
      <c r="R37" s="338"/>
      <c r="S37" s="338"/>
    </row>
    <row r="38" spans="2:27" s="338" customFormat="1" x14ac:dyDescent="0.25">
      <c r="C38" s="22" t="str">
        <f ca="1">INDEX('Version control'!$H$34:$H$59,MATCH($A$1,'Version control'!$F$34:$F$59,0),1)&amp;"-D: Peaking probabilities by network level"</f>
        <v>Section 502-D: Peaking probabilities by network level</v>
      </c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W38" s="171"/>
      <c r="X38" s="171"/>
      <c r="Y38" s="171"/>
      <c r="Z38" s="171"/>
      <c r="AA38" s="171"/>
    </row>
    <row r="39" spans="2:27" s="338" customFormat="1" x14ac:dyDescent="0.25"/>
    <row r="40" spans="2:27" s="338" customFormat="1" x14ac:dyDescent="0.25">
      <c r="D40" s="152" t="s">
        <v>855</v>
      </c>
    </row>
    <row r="41" spans="2:27" s="474" customFormat="1" x14ac:dyDescent="0.25">
      <c r="C41" s="152"/>
    </row>
    <row r="42" spans="2:27" x14ac:dyDescent="0.25">
      <c r="D42" s="172"/>
      <c r="E42" s="172" t="s">
        <v>1057</v>
      </c>
      <c r="I42" s="167" t="s">
        <v>525</v>
      </c>
      <c r="J42" s="338"/>
      <c r="K42" s="338"/>
      <c r="L42" s="338"/>
      <c r="M42" s="338"/>
      <c r="N42" s="338"/>
      <c r="O42" s="338"/>
      <c r="P42" s="338"/>
      <c r="Q42" s="338"/>
      <c r="R42" s="338"/>
      <c r="S42" s="338"/>
      <c r="U42" s="160" t="s">
        <v>1083</v>
      </c>
    </row>
    <row r="43" spans="2:27" x14ac:dyDescent="0.25">
      <c r="F43" s="166" t="s">
        <v>101</v>
      </c>
      <c r="G43" s="85" t="s">
        <v>111</v>
      </c>
      <c r="H43" s="166"/>
      <c r="I43" s="166"/>
      <c r="J43" s="185"/>
      <c r="K43" s="187">
        <f>'ARP_Inputs by network level'!J140</f>
        <v>0.87714932303008375</v>
      </c>
      <c r="L43" s="187">
        <f>'ARP_Inputs by network level'!J141</f>
        <v>0.81354690092946347</v>
      </c>
      <c r="M43" s="187">
        <f>'ARP_Inputs by network level'!J142</f>
        <v>0.81354690092946347</v>
      </c>
      <c r="N43" s="187">
        <f>'ARP_Inputs by network level'!J143</f>
        <v>0.64604237702390588</v>
      </c>
      <c r="O43" s="187">
        <f>'ARP_Inputs by network level'!J144</f>
        <v>0.64604237702390588</v>
      </c>
      <c r="P43" s="187">
        <f>'ARP_Inputs by network level'!J145</f>
        <v>0</v>
      </c>
      <c r="Q43" s="187">
        <f>'ARP_Inputs by network level'!J146</f>
        <v>0.42663341792505066</v>
      </c>
      <c r="R43" s="187">
        <f>'ARP_Inputs by network level'!J147</f>
        <v>0.42663341792505066</v>
      </c>
      <c r="S43" s="187">
        <f>'ARP_Inputs by network level'!J148</f>
        <v>0.42663341792505066</v>
      </c>
    </row>
    <row r="44" spans="2:27" x14ac:dyDescent="0.25">
      <c r="F44" s="167" t="s">
        <v>102</v>
      </c>
      <c r="G44" s="84" t="s">
        <v>111</v>
      </c>
      <c r="H44" s="167"/>
      <c r="I44" s="167"/>
      <c r="J44" s="178"/>
      <c r="K44" s="181">
        <f>'ARP_Inputs by network level'!J152</f>
        <v>0.12285067696991624</v>
      </c>
      <c r="L44" s="181">
        <f>'ARP_Inputs by network level'!J153</f>
        <v>0.18388800282969542</v>
      </c>
      <c r="M44" s="181">
        <f>'ARP_Inputs by network level'!J154</f>
        <v>0.18388800282969542</v>
      </c>
      <c r="N44" s="181">
        <f>'ARP_Inputs by network level'!J155</f>
        <v>0.33939627158356922</v>
      </c>
      <c r="O44" s="181">
        <f>'ARP_Inputs by network level'!J156</f>
        <v>0.33939627158356922</v>
      </c>
      <c r="P44" s="181">
        <f>'ARP_Inputs by network level'!J157</f>
        <v>0</v>
      </c>
      <c r="Q44" s="181">
        <f>'ARP_Inputs by network level'!J158</f>
        <v>0.5416472134423479</v>
      </c>
      <c r="R44" s="181">
        <f>'ARP_Inputs by network level'!J159</f>
        <v>0.5416472134423479</v>
      </c>
      <c r="S44" s="181">
        <f>'ARP_Inputs by network level'!J160</f>
        <v>0.5416472134423479</v>
      </c>
    </row>
    <row r="45" spans="2:27" x14ac:dyDescent="0.25">
      <c r="F45" s="168" t="s">
        <v>103</v>
      </c>
      <c r="G45" s="77" t="s">
        <v>111</v>
      </c>
      <c r="H45" s="168"/>
      <c r="I45" s="168"/>
      <c r="J45" s="179"/>
      <c r="K45" s="182">
        <f>'ARP_Inputs by network level'!J164</f>
        <v>0</v>
      </c>
      <c r="L45" s="182">
        <f>'ARP_Inputs by network level'!J165</f>
        <v>2.5650962408412851E-3</v>
      </c>
      <c r="M45" s="182">
        <f>'ARP_Inputs by network level'!J166</f>
        <v>2.5650962408412851E-3</v>
      </c>
      <c r="N45" s="182">
        <f>'ARP_Inputs by network level'!J167</f>
        <v>1.4561351392524903E-2</v>
      </c>
      <c r="O45" s="182">
        <f>'ARP_Inputs by network level'!J168</f>
        <v>1.4561351392524903E-2</v>
      </c>
      <c r="P45" s="182">
        <f>'ARP_Inputs by network level'!J169</f>
        <v>0</v>
      </c>
      <c r="Q45" s="182">
        <f>'ARP_Inputs by network level'!J170</f>
        <v>3.1719368632601504E-2</v>
      </c>
      <c r="R45" s="182">
        <f>'ARP_Inputs by network level'!J171</f>
        <v>3.1719368632601504E-2</v>
      </c>
      <c r="S45" s="182">
        <f>'ARP_Inputs by network level'!J172</f>
        <v>3.1719368632601504E-2</v>
      </c>
    </row>
    <row r="46" spans="2:27" x14ac:dyDescent="0.25">
      <c r="F46" s="168" t="s">
        <v>104</v>
      </c>
      <c r="G46" s="77" t="s">
        <v>111</v>
      </c>
      <c r="H46" s="168"/>
      <c r="I46" s="168"/>
      <c r="J46" s="179"/>
      <c r="K46" s="182">
        <f>'ARP_Inputs by network level'!J176</f>
        <v>0.52666037470868921</v>
      </c>
      <c r="L46" s="182">
        <f>'ARP_Inputs by network level'!J177</f>
        <v>0.5883321234047395</v>
      </c>
      <c r="M46" s="182">
        <f>'ARP_Inputs by network level'!J178</f>
        <v>0.5883321234047395</v>
      </c>
      <c r="N46" s="182">
        <f>'ARP_Inputs by network level'!J179</f>
        <v>0.48656961006219612</v>
      </c>
      <c r="O46" s="182">
        <f>'ARP_Inputs by network level'!J180</f>
        <v>0.48656961006219612</v>
      </c>
      <c r="P46" s="182">
        <f>'ARP_Inputs by network level'!J181</f>
        <v>0</v>
      </c>
      <c r="Q46" s="182">
        <f>'ARP_Inputs by network level'!J182</f>
        <v>0.29903860265532539</v>
      </c>
      <c r="R46" s="182">
        <f>'ARP_Inputs by network level'!J183</f>
        <v>0.29903860265532539</v>
      </c>
      <c r="S46" s="182">
        <f>'ARP_Inputs by network level'!J184</f>
        <v>0.29903860265532539</v>
      </c>
    </row>
    <row r="48" spans="2:27" x14ac:dyDescent="0.25">
      <c r="B48" s="171" t="s">
        <v>126</v>
      </c>
      <c r="C48" s="171"/>
      <c r="D48" s="171"/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171"/>
      <c r="Q48" s="171"/>
      <c r="R48" s="171"/>
      <c r="S48" s="171"/>
      <c r="T48" s="171"/>
      <c r="U48" s="171"/>
      <c r="W48" s="171"/>
      <c r="X48" s="171"/>
      <c r="Y48" s="171"/>
      <c r="Z48" s="171"/>
      <c r="AA48" s="171"/>
    </row>
    <row r="50" spans="1:27" x14ac:dyDescent="0.25">
      <c r="E50" s="160" t="s">
        <v>622</v>
      </c>
      <c r="G50" s="111" t="s">
        <v>814</v>
      </c>
      <c r="H50" s="316">
        <f t="array" ref="H50">SUM(IF(ISERROR(H18:AA47), 1))</f>
        <v>0</v>
      </c>
    </row>
    <row r="52" spans="1:27" s="338" customFormat="1" x14ac:dyDescent="0.25">
      <c r="E52" s="338" t="s">
        <v>887</v>
      </c>
      <c r="G52" s="111" t="s">
        <v>814</v>
      </c>
      <c r="H52" s="316">
        <f>IF(K22 = 1, 0, 1)</f>
        <v>0</v>
      </c>
    </row>
    <row r="53" spans="1:27" s="338" customFormat="1" x14ac:dyDescent="0.25"/>
    <row r="54" spans="1:27" s="338" customFormat="1" x14ac:dyDescent="0.25">
      <c r="E54" s="172" t="s">
        <v>1058</v>
      </c>
      <c r="I54" s="339"/>
    </row>
    <row r="55" spans="1:27" s="338" customFormat="1" x14ac:dyDescent="0.25">
      <c r="E55" s="152" t="s">
        <v>856</v>
      </c>
    </row>
    <row r="56" spans="1:27" x14ac:dyDescent="0.25">
      <c r="A56" s="338"/>
      <c r="F56" s="166" t="s">
        <v>1059</v>
      </c>
      <c r="G56" s="109" t="s">
        <v>814</v>
      </c>
      <c r="H56" s="315">
        <f>SUM(K56:S56)</f>
        <v>0</v>
      </c>
      <c r="I56" s="166"/>
      <c r="J56" s="185"/>
      <c r="K56" s="315">
        <f>IF(ABS(SUM(K43:K45) - 1) &lt; 10^-check_decimals, 0, 1)</f>
        <v>0</v>
      </c>
      <c r="L56" s="185"/>
      <c r="M56" s="185"/>
      <c r="N56" s="315">
        <f>IF(ABS(SUM(N43:N45) - 1) &lt; 10^-check_decimals, 0, 1)</f>
        <v>0</v>
      </c>
      <c r="O56" s="315">
        <f>IF(ABS(SUM(O43:O45) - 1) &lt; 10^-check_decimals, 0, 1)</f>
        <v>0</v>
      </c>
      <c r="P56" s="185"/>
      <c r="Q56" s="315">
        <f>IF(ABS(SUM(Q43:Q45) - 1) &lt; 10^-check_decimals, 0, 1)</f>
        <v>0</v>
      </c>
      <c r="R56" s="315">
        <f>IF(ABS(SUM(R43:R45) - 1) &lt; 10^-check_decimals, 0, 1)</f>
        <v>0</v>
      </c>
      <c r="S56" s="315">
        <f>IF(ABS(SUM(S43:S45) - 1) &lt; 10^-check_decimals, 0, 1)</f>
        <v>0</v>
      </c>
    </row>
    <row r="57" spans="1:27" s="338" customFormat="1" x14ac:dyDescent="0.25">
      <c r="F57" s="168" t="s">
        <v>44</v>
      </c>
      <c r="G57" s="112" t="s">
        <v>814</v>
      </c>
      <c r="H57" s="318">
        <f>SUM(K57:S57)</f>
        <v>0</v>
      </c>
      <c r="I57" s="168"/>
      <c r="J57" s="179"/>
      <c r="K57" s="179"/>
      <c r="L57" s="318">
        <f>IF(OR(ABS(SUM(L43:L45) - 1) &lt; 10^-check_decimals, ABS(SUM(L43:L45) - 0) &lt; 10^-check_decimals), 0, 1)</f>
        <v>0</v>
      </c>
      <c r="M57" s="318">
        <f>IF(OR(ABS(SUM(M43:M45) - 1) &lt; 10^-check_decimals, ABS(SUM(M43:M45) - 0) &lt; 10^-check_decimals), 0, 1)</f>
        <v>0</v>
      </c>
      <c r="N57" s="179"/>
      <c r="O57" s="179"/>
      <c r="P57" s="318">
        <f>IF(OR(ABS(SUM(P43:P45) - 1) &lt; 10^-check_decimals, ABS(SUM(P43:P45) - 0) &lt; 10^-check_decimals), 0, 1)</f>
        <v>0</v>
      </c>
      <c r="Q57" s="179"/>
      <c r="R57" s="179"/>
      <c r="S57" s="179"/>
    </row>
    <row r="59" spans="1:27" x14ac:dyDescent="0.25">
      <c r="E59" s="160" t="s">
        <v>546</v>
      </c>
      <c r="G59" s="111" t="s">
        <v>814</v>
      </c>
      <c r="H59" s="362">
        <f>SUM(H50:H57)</f>
        <v>0</v>
      </c>
    </row>
    <row r="61" spans="1:27" x14ac:dyDescent="0.25">
      <c r="B61" s="171" t="s">
        <v>127</v>
      </c>
      <c r="C61" s="171"/>
      <c r="D61" s="171"/>
      <c r="E61" s="171"/>
      <c r="F61" s="171"/>
      <c r="G61" s="171"/>
      <c r="H61" s="171"/>
      <c r="I61" s="171"/>
      <c r="J61" s="171"/>
      <c r="K61" s="171"/>
      <c r="L61" s="171"/>
      <c r="M61" s="171"/>
      <c r="N61" s="171"/>
      <c r="O61" s="171"/>
      <c r="P61" s="171"/>
      <c r="Q61" s="171"/>
      <c r="R61" s="171"/>
      <c r="S61" s="171"/>
      <c r="T61" s="171"/>
      <c r="U61" s="171"/>
      <c r="W61" s="171"/>
      <c r="X61" s="171"/>
      <c r="Y61" s="171"/>
      <c r="Z61" s="171"/>
      <c r="AA61" s="171"/>
    </row>
    <row r="64" spans="1:27" x14ac:dyDescent="0.25">
      <c r="K64" s="164"/>
      <c r="L64" s="164"/>
      <c r="M64" s="164"/>
      <c r="O64" s="164"/>
      <c r="P64" s="164"/>
      <c r="Q64" s="164"/>
      <c r="R64" s="164"/>
    </row>
    <row r="65" spans="11:18" x14ac:dyDescent="0.25">
      <c r="K65" s="164"/>
      <c r="L65" s="164"/>
      <c r="M65" s="164"/>
      <c r="O65" s="164"/>
      <c r="P65" s="164"/>
      <c r="Q65" s="164"/>
      <c r="R65" s="164"/>
    </row>
    <row r="66" spans="11:18" x14ac:dyDescent="0.25">
      <c r="K66" s="164"/>
      <c r="L66" s="164"/>
      <c r="M66" s="164"/>
      <c r="O66" s="164"/>
      <c r="P66" s="164"/>
      <c r="Q66" s="164"/>
      <c r="R66" s="164"/>
    </row>
    <row r="67" spans="11:18" x14ac:dyDescent="0.25">
      <c r="K67" s="164"/>
      <c r="L67" s="164"/>
      <c r="M67" s="164"/>
      <c r="O67" s="164"/>
      <c r="P67" s="164"/>
      <c r="Q67" s="164"/>
      <c r="R67" s="164"/>
    </row>
    <row r="68" spans="11:18" x14ac:dyDescent="0.25">
      <c r="K68" s="164"/>
      <c r="L68" s="164"/>
      <c r="M68" s="164"/>
      <c r="O68" s="164"/>
      <c r="P68" s="164"/>
      <c r="Q68" s="164"/>
      <c r="R68" s="164"/>
    </row>
    <row r="69" spans="11:18" x14ac:dyDescent="0.25">
      <c r="K69" s="164"/>
      <c r="L69" s="164"/>
      <c r="M69" s="164"/>
      <c r="O69" s="164"/>
      <c r="P69" s="164"/>
      <c r="Q69" s="164"/>
      <c r="R69" s="164"/>
    </row>
    <row r="70" spans="11:18" x14ac:dyDescent="0.25">
      <c r="K70" s="164"/>
      <c r="L70" s="164"/>
      <c r="M70" s="164"/>
      <c r="O70" s="164"/>
      <c r="P70" s="164"/>
      <c r="Q70" s="164"/>
      <c r="R70" s="164"/>
    </row>
    <row r="71" spans="11:18" x14ac:dyDescent="0.25">
      <c r="K71" s="164"/>
      <c r="L71" s="164"/>
      <c r="M71" s="164"/>
      <c r="O71" s="164"/>
      <c r="P71" s="164"/>
      <c r="Q71" s="164"/>
      <c r="R71" s="164"/>
    </row>
    <row r="72" spans="11:18" x14ac:dyDescent="0.25">
      <c r="K72" s="164"/>
      <c r="L72" s="164"/>
      <c r="M72" s="164"/>
      <c r="O72" s="164"/>
      <c r="P72" s="164"/>
      <c r="Q72" s="164"/>
      <c r="R72" s="164"/>
    </row>
  </sheetData>
  <sheetProtection sheet="1" objects="1" formatCells="0" formatColumns="0" formatRows="0" sort="0" autoFilter="0"/>
  <conditionalFormatting sqref="H56 K56 N56:O56">
    <cfRule type="cellIs" dxfId="66" priority="13" operator="greaterThan">
      <formula>0</formula>
    </cfRule>
  </conditionalFormatting>
  <conditionalFormatting sqref="H50">
    <cfRule type="cellIs" dxfId="65" priority="11" operator="greaterThan">
      <formula>0</formula>
    </cfRule>
  </conditionalFormatting>
  <conditionalFormatting sqref="Q56:S56">
    <cfRule type="cellIs" dxfId="64" priority="10" operator="greaterThan">
      <formula>0</formula>
    </cfRule>
  </conditionalFormatting>
  <conditionalFormatting sqref="H59">
    <cfRule type="cellIs" dxfId="63" priority="9" operator="greaterThan">
      <formula>0</formula>
    </cfRule>
  </conditionalFormatting>
  <conditionalFormatting sqref="H57">
    <cfRule type="cellIs" dxfId="62" priority="8" operator="greaterThan">
      <formula>0</formula>
    </cfRule>
  </conditionalFormatting>
  <conditionalFormatting sqref="P57">
    <cfRule type="cellIs" dxfId="61" priority="6" operator="greaterThan">
      <formula>0</formula>
    </cfRule>
  </conditionalFormatting>
  <conditionalFormatting sqref="M57">
    <cfRule type="cellIs" dxfId="60" priority="5" operator="greaterThan">
      <formula>0</formula>
    </cfRule>
  </conditionalFormatting>
  <conditionalFormatting sqref="L57">
    <cfRule type="cellIs" dxfId="59" priority="4" operator="greaterThan">
      <formula>0</formula>
    </cfRule>
  </conditionalFormatting>
  <conditionalFormatting sqref="H52">
    <cfRule type="cellIs" dxfId="58" priority="2" operator="greaterThan">
      <formula>0</formula>
    </cfRule>
  </conditionalFormatting>
  <conditionalFormatting sqref="A4:XFD4">
    <cfRule type="expression" dxfId="57" priority="1">
      <formula>LEFT($A$4,1) &lt;&gt; "0"</formula>
    </cfRule>
  </conditionalFormatting>
  <dataValidations count="8">
    <dataValidation type="decimal" operator="greaterThan" allowBlank="1" showInputMessage="1" showErrorMessage="1" sqref="K22">
      <formula1>0</formula1>
    </dataValidation>
    <dataValidation type="decimal" allowBlank="1" showInputMessage="1" showErrorMessage="1" errorTitle="Invalid diversity allowance" error="Invalid diversity allowance (negative number or unused cell)." sqref="I20:J20 J22 J18 P20 M18 R18:S18 O18 J24">
      <formula1>0</formula1>
      <formula2>4</formula2>
    </dataValidation>
    <dataValidation type="decimal" allowBlank="1" showInputMessage="1" showErrorMessage="1" sqref="L22:O22 Q22:S22">
      <formula1>0.001</formula1>
      <formula2>999999.999</formula2>
    </dataValidation>
    <dataValidation type="decimal" allowBlank="1" showInputMessage="1" showErrorMessage="1" errorTitle="Invalid customer contribution" error="Invalid customer contribution (negative number or unused cell)." sqref="L29:S32">
      <formula1>0</formula1>
      <formula2>1</formula2>
    </dataValidation>
    <dataValidation type="decimal" operator="greaterThanOrEqual" allowBlank="1" showInputMessage="1" showErrorMessage="1" sqref="L36:S36">
      <formula1>0</formula1>
    </dataValidation>
    <dataValidation type="decimal" allowBlank="1" showInputMessage="1" showErrorMessage="1" sqref="P22 P18 K46:S46">
      <formula1>0</formula1>
      <formula2>1</formula2>
    </dataValidation>
    <dataValidation type="decimal" allowBlank="1" showErrorMessage="1" prompt="Red, Amber and Green must sum to 100%." sqref="K43:S45">
      <formula1>0</formula1>
      <formula2>1</formula2>
    </dataValidation>
    <dataValidation type="decimal" operator="greaterThan" allowBlank="1" showInputMessage="1" showErrorMessage="1" errorTitle="Invalid diversity allowance" error="Invalid diversity allowance (negative number or unused cell)." sqref="N18 K18:L18 Q18">
      <formula1>0</formula1>
    </dataValidation>
  </dataValidations>
  <hyperlinks>
    <hyperlink ref="B5:F5" location="'Model map'!A1" display="Click here to return to model map"/>
  </hyperlinks>
  <pageMargins left="0.7" right="0.7" top="0.75" bottom="0.75" header="0.3" footer="0.3"/>
  <pageSetup paperSize="9" fitToHeight="0" orientation="portrait" r:id="rId1"/>
  <headerFooter>
    <oddHeader>&amp;L&amp;A&amp;C&amp;R&amp;P of &amp;N</oddHeader>
    <oddFooter>&amp;F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4" tint="0.59999389629810485"/>
    <pageSetUpPr fitToPage="1"/>
  </sheetPr>
  <dimension ref="A1:IV117"/>
  <sheetViews>
    <sheetView showGridLines="0" zoomScale="80" zoomScaleNormal="80" workbookViewId="0">
      <pane ySplit="5" topLeftCell="A6" activePane="bottomLeft" state="frozen"/>
      <selection activeCell="J6" sqref="J6"/>
      <selection pane="bottomLeft" activeCell="A6" sqref="A6"/>
    </sheetView>
  </sheetViews>
  <sheetFormatPr defaultColWidth="0" defaultRowHeight="15" x14ac:dyDescent="0.25"/>
  <cols>
    <col min="1" max="5" width="2.7109375" style="160" customWidth="1"/>
    <col min="6" max="6" width="59.5703125" style="160" customWidth="1"/>
    <col min="7" max="8" width="20.7109375" style="160" customWidth="1"/>
    <col min="9" max="9" width="2.28515625" style="160" customWidth="1"/>
    <col min="10" max="10" width="50.7109375" style="160" customWidth="1"/>
    <col min="11" max="11" width="2.28515625" style="160" customWidth="1"/>
    <col min="12" max="17" width="15.42578125" style="160" hidden="1" customWidth="1"/>
    <col min="18" max="27" width="20.7109375" style="160" hidden="1" customWidth="1"/>
    <col min="28" max="28" width="2.7109375" style="160" hidden="1" customWidth="1"/>
    <col min="29" max="256" width="20.7109375" style="160" hidden="1" customWidth="1"/>
    <col min="257" max="16384" width="9.140625" style="160" hidden="1"/>
  </cols>
  <sheetData>
    <row r="1" spans="1:97" s="25" customFormat="1" x14ac:dyDescent="0.25">
      <c r="A1" s="25" t="str">
        <f ca="1">MID(CELL("filename",A1),FIND("]",CELL("filename",A1))+1,255)</f>
        <v>General inputs</v>
      </c>
    </row>
    <row r="2" spans="1:97" s="25" customFormat="1" x14ac:dyDescent="0.25">
      <c r="A2" s="25" t="str">
        <f>Cover!D21&amp;" - "&amp;Cover!D23</f>
        <v>SEPD - Final</v>
      </c>
    </row>
    <row r="3" spans="1:97" s="97" customFormat="1" x14ac:dyDescent="0.25">
      <c r="A3" s="97" t="str">
        <f>Cover!D2&amp;" - "&amp;Cover!D8&amp;" v"&amp;Cover!D10&amp;" - "&amp;Cover!D19</f>
        <v>ARP model - Release for charge setting v3 - 2020/21</v>
      </c>
    </row>
    <row r="4" spans="1:97" s="338" customFormat="1" x14ac:dyDescent="0.25">
      <c r="A4" s="392" t="str">
        <f>H115 &amp; IF(H115 = 1, " issue", " issues") &amp;" identified in checks on this sheet"</f>
        <v>0 issues identified in checks on this sheet</v>
      </c>
      <c r="B4" s="393"/>
      <c r="C4" s="393"/>
      <c r="D4" s="393"/>
      <c r="E4" s="393"/>
      <c r="F4" s="393"/>
      <c r="G4" s="393"/>
      <c r="H4" s="394"/>
      <c r="I4" s="394"/>
      <c r="J4" s="393"/>
      <c r="K4" s="383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3"/>
      <c r="AD4" s="383"/>
      <c r="AE4" s="383"/>
      <c r="AF4" s="383"/>
      <c r="AG4" s="383"/>
      <c r="AH4" s="383"/>
      <c r="AI4" s="383"/>
      <c r="AJ4" s="383"/>
      <c r="AK4" s="383"/>
      <c r="AL4" s="383"/>
      <c r="AM4" s="383"/>
      <c r="AN4" s="383"/>
      <c r="AO4" s="383"/>
      <c r="AP4" s="383"/>
      <c r="AQ4" s="383"/>
      <c r="AR4" s="383"/>
      <c r="AS4" s="383"/>
      <c r="AT4" s="383"/>
      <c r="AU4" s="383"/>
      <c r="AV4" s="383"/>
      <c r="AW4" s="383"/>
      <c r="AX4" s="383"/>
      <c r="AY4" s="383"/>
      <c r="AZ4" s="383"/>
      <c r="BA4" s="383"/>
      <c r="BB4" s="383"/>
      <c r="BC4" s="383"/>
      <c r="BD4" s="383"/>
      <c r="BE4" s="383"/>
      <c r="BF4" s="383"/>
      <c r="BG4" s="383"/>
      <c r="BH4" s="383"/>
      <c r="BI4" s="383"/>
      <c r="BJ4" s="383"/>
      <c r="BK4" s="383"/>
      <c r="BL4" s="383"/>
      <c r="BM4" s="383"/>
      <c r="BN4" s="383"/>
      <c r="BO4" s="383"/>
      <c r="BP4" s="383"/>
      <c r="BQ4" s="383"/>
      <c r="BR4" s="383"/>
      <c r="BS4" s="383"/>
      <c r="BT4" s="383"/>
      <c r="BU4" s="383"/>
      <c r="BV4" s="383"/>
      <c r="BW4" s="383"/>
      <c r="BX4" s="383"/>
      <c r="BY4" s="383"/>
      <c r="BZ4" s="383"/>
      <c r="CA4" s="383"/>
      <c r="CB4" s="383"/>
      <c r="CC4" s="383"/>
      <c r="CD4" s="383"/>
      <c r="CE4" s="383"/>
      <c r="CF4" s="383"/>
      <c r="CG4" s="383"/>
      <c r="CH4" s="383"/>
      <c r="CI4" s="383"/>
      <c r="CJ4" s="383"/>
      <c r="CK4" s="383"/>
      <c r="CL4" s="383"/>
      <c r="CM4" s="383"/>
      <c r="CN4" s="383"/>
      <c r="CO4" s="383"/>
      <c r="CP4" s="383"/>
      <c r="CQ4" s="383"/>
      <c r="CR4" s="383"/>
      <c r="CS4" s="383"/>
    </row>
    <row r="5" spans="1:97" x14ac:dyDescent="0.25">
      <c r="B5" s="244" t="s">
        <v>667</v>
      </c>
      <c r="C5" s="24"/>
      <c r="D5" s="24"/>
      <c r="E5" s="24"/>
      <c r="F5" s="24"/>
      <c r="G5" s="235" t="s">
        <v>108</v>
      </c>
      <c r="H5" s="76" t="s">
        <v>109</v>
      </c>
      <c r="J5" s="1" t="s">
        <v>110</v>
      </c>
    </row>
    <row r="6" spans="1:97" x14ac:dyDescent="0.25">
      <c r="G6" s="194"/>
    </row>
    <row r="7" spans="1:97" x14ac:dyDescent="0.25">
      <c r="B7" s="171" t="s">
        <v>107</v>
      </c>
      <c r="C7" s="171"/>
      <c r="D7" s="171"/>
      <c r="E7" s="171"/>
      <c r="F7" s="171"/>
      <c r="G7" s="236"/>
      <c r="H7" s="171"/>
      <c r="I7" s="171"/>
      <c r="J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</row>
    <row r="8" spans="1:97" x14ac:dyDescent="0.25">
      <c r="G8" s="194"/>
    </row>
    <row r="9" spans="1:97" x14ac:dyDescent="0.25">
      <c r="C9" s="152" t="s">
        <v>649</v>
      </c>
      <c r="G9" s="194"/>
    </row>
    <row r="10" spans="1:97" x14ac:dyDescent="0.25">
      <c r="G10" s="194"/>
    </row>
    <row r="11" spans="1:97" x14ac:dyDescent="0.25">
      <c r="D11" s="35"/>
      <c r="E11" s="167" t="s">
        <v>697</v>
      </c>
      <c r="F11" s="167"/>
      <c r="G11" s="167" t="s">
        <v>698</v>
      </c>
      <c r="H11" s="156" t="str">
        <f>charging_year_selected</f>
        <v>2020/21</v>
      </c>
    </row>
    <row r="12" spans="1:97" x14ac:dyDescent="0.25">
      <c r="D12" s="35"/>
      <c r="E12" s="167" t="s">
        <v>682</v>
      </c>
      <c r="F12" s="167"/>
      <c r="G12" s="167" t="s">
        <v>467</v>
      </c>
      <c r="H12" s="246" t="str">
        <f>'ARP_User control'!$H$36</f>
        <v>Current</v>
      </c>
    </row>
    <row r="13" spans="1:97" x14ac:dyDescent="0.25">
      <c r="D13" s="35"/>
    </row>
    <row r="14" spans="1:97" s="338" customFormat="1" x14ac:dyDescent="0.25">
      <c r="B14" s="171" t="s">
        <v>776</v>
      </c>
      <c r="C14" s="171"/>
      <c r="D14" s="171"/>
      <c r="E14" s="171"/>
      <c r="F14" s="171"/>
      <c r="G14" s="236"/>
      <c r="H14" s="171"/>
      <c r="I14" s="171"/>
      <c r="J14" s="171"/>
      <c r="L14" s="171"/>
      <c r="M14" s="171"/>
      <c r="N14" s="171"/>
      <c r="O14" s="171"/>
      <c r="P14" s="171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/>
    </row>
    <row r="15" spans="1:97" s="338" customFormat="1" x14ac:dyDescent="0.25">
      <c r="G15" s="194"/>
    </row>
    <row r="16" spans="1:97" x14ac:dyDescent="0.25">
      <c r="C16" s="22" t="str">
        <f ca="1">INDEX('Version control'!$H$34:$H$59,MATCH($A$1,'Version control'!$F$34:$F$59,0),1)&amp;"-A: Inputs by distribution timeband"</f>
        <v>Section 503-A: Inputs by distribution timeband</v>
      </c>
      <c r="D16" s="22"/>
      <c r="E16" s="22"/>
      <c r="F16" s="22"/>
      <c r="G16" s="297"/>
      <c r="H16" s="22"/>
      <c r="I16" s="22"/>
      <c r="J16" s="22"/>
      <c r="L16" s="171"/>
      <c r="M16" s="171"/>
      <c r="N16" s="171"/>
      <c r="O16" s="171"/>
      <c r="P16" s="171"/>
      <c r="Q16" s="171"/>
      <c r="R16" s="171"/>
      <c r="S16" s="171"/>
      <c r="T16" s="171"/>
      <c r="U16" s="171"/>
      <c r="V16" s="171"/>
      <c r="W16" s="171"/>
      <c r="X16" s="171"/>
      <c r="Y16" s="171"/>
      <c r="Z16" s="171"/>
      <c r="AA16" s="171"/>
    </row>
    <row r="17" spans="3:27" x14ac:dyDescent="0.25">
      <c r="G17" s="194"/>
    </row>
    <row r="18" spans="3:27" x14ac:dyDescent="0.25">
      <c r="D18" s="172" t="s">
        <v>334</v>
      </c>
      <c r="E18" s="172"/>
      <c r="G18" s="194"/>
      <c r="I18" s="160" t="s">
        <v>525</v>
      </c>
      <c r="J18" s="160" t="s">
        <v>1084</v>
      </c>
    </row>
    <row r="19" spans="3:27" x14ac:dyDescent="0.25">
      <c r="E19" s="230" t="s">
        <v>104</v>
      </c>
      <c r="F19" s="230"/>
      <c r="G19" s="237" t="s">
        <v>722</v>
      </c>
      <c r="H19" s="438">
        <f>'ARP_General inputs'!J19</f>
        <v>255</v>
      </c>
      <c r="I19" s="167"/>
      <c r="J19" s="167"/>
    </row>
    <row r="20" spans="3:27" x14ac:dyDescent="0.25">
      <c r="E20" s="227" t="s">
        <v>105</v>
      </c>
      <c r="F20" s="227"/>
      <c r="G20" s="238" t="s">
        <v>722</v>
      </c>
      <c r="H20" s="437">
        <f>'ARP_General inputs'!J20</f>
        <v>4908</v>
      </c>
      <c r="I20" s="167"/>
      <c r="J20" s="167"/>
    </row>
    <row r="21" spans="3:27" x14ac:dyDescent="0.25">
      <c r="E21" s="228" t="s">
        <v>103</v>
      </c>
      <c r="F21" s="228"/>
      <c r="G21" s="239" t="s">
        <v>722</v>
      </c>
      <c r="H21" s="440">
        <f>'ARP_General inputs'!J21</f>
        <v>3597</v>
      </c>
      <c r="I21" s="167"/>
      <c r="J21" s="167"/>
    </row>
    <row r="22" spans="3:27" x14ac:dyDescent="0.25">
      <c r="G22" s="194"/>
      <c r="H22" s="416"/>
    </row>
    <row r="23" spans="3:27" x14ac:dyDescent="0.25">
      <c r="D23" s="172" t="s">
        <v>335</v>
      </c>
      <c r="E23" s="172"/>
      <c r="G23" s="194"/>
      <c r="H23" s="416"/>
      <c r="I23" s="160" t="s">
        <v>525</v>
      </c>
      <c r="J23" s="160" t="s">
        <v>1084</v>
      </c>
    </row>
    <row r="24" spans="3:27" x14ac:dyDescent="0.25">
      <c r="E24" s="166" t="s">
        <v>101</v>
      </c>
      <c r="F24" s="166"/>
      <c r="G24" s="237" t="s">
        <v>722</v>
      </c>
      <c r="H24" s="438">
        <f>'ARP_General inputs'!J24</f>
        <v>783</v>
      </c>
    </row>
    <row r="25" spans="3:27" x14ac:dyDescent="0.25">
      <c r="E25" s="167" t="s">
        <v>102</v>
      </c>
      <c r="F25" s="167"/>
      <c r="G25" s="238" t="s">
        <v>722</v>
      </c>
      <c r="H25" s="437">
        <f>'ARP_General inputs'!J25</f>
        <v>4380</v>
      </c>
    </row>
    <row r="26" spans="3:27" x14ac:dyDescent="0.25">
      <c r="E26" s="168" t="s">
        <v>103</v>
      </c>
      <c r="F26" s="168"/>
      <c r="G26" s="239" t="s">
        <v>722</v>
      </c>
      <c r="H26" s="440">
        <f>'ARP_General inputs'!J26</f>
        <v>3597</v>
      </c>
    </row>
    <row r="27" spans="3:27" x14ac:dyDescent="0.25">
      <c r="G27" s="194"/>
      <c r="H27" s="338"/>
    </row>
    <row r="28" spans="3:27" s="338" customFormat="1" x14ac:dyDescent="0.25">
      <c r="C28" s="22" t="str">
        <f ca="1">INDEX('Version control'!$H$34:$H$59,MATCH($A$1,'Version control'!$F$34:$F$59,0),1)&amp;"-B: LDNO discount inputs"</f>
        <v>Section 503-B: LDNO discount inputs</v>
      </c>
      <c r="D28" s="22"/>
      <c r="E28" s="22"/>
      <c r="F28" s="22"/>
      <c r="G28" s="297"/>
      <c r="H28" s="22"/>
      <c r="I28" s="22"/>
      <c r="J28" s="22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</row>
    <row r="29" spans="3:27" x14ac:dyDescent="0.25">
      <c r="G29" s="194"/>
      <c r="H29" s="338"/>
    </row>
    <row r="30" spans="3:27" x14ac:dyDescent="0.25">
      <c r="D30" s="152" t="s">
        <v>1060</v>
      </c>
      <c r="E30" s="152"/>
      <c r="G30" s="194"/>
      <c r="H30" s="338"/>
    </row>
    <row r="31" spans="3:27" s="474" customFormat="1" x14ac:dyDescent="0.25">
      <c r="D31" s="152"/>
      <c r="E31" s="152"/>
      <c r="G31" s="194"/>
    </row>
    <row r="32" spans="3:27" x14ac:dyDescent="0.25">
      <c r="D32" s="172" t="s">
        <v>326</v>
      </c>
      <c r="E32" s="172"/>
      <c r="G32" s="194"/>
      <c r="H32" s="338"/>
      <c r="I32" s="160" t="s">
        <v>525</v>
      </c>
      <c r="J32" s="160" t="s">
        <v>941</v>
      </c>
    </row>
    <row r="33" spans="3:27" x14ac:dyDescent="0.25">
      <c r="E33" s="230" t="s">
        <v>78</v>
      </c>
      <c r="F33" s="166"/>
      <c r="G33" s="85" t="s">
        <v>111</v>
      </c>
      <c r="H33" s="187">
        <f>'ARP_General inputs'!J33</f>
        <v>0.34755258472512618</v>
      </c>
    </row>
    <row r="34" spans="3:27" x14ac:dyDescent="0.25">
      <c r="E34" s="227" t="s">
        <v>79</v>
      </c>
      <c r="F34" s="167"/>
      <c r="G34" s="84" t="s">
        <v>111</v>
      </c>
      <c r="H34" s="181">
        <f>'ARP_General inputs'!J34</f>
        <v>0.56592745965042113</v>
      </c>
    </row>
    <row r="35" spans="3:27" x14ac:dyDescent="0.25">
      <c r="E35" s="227" t="s">
        <v>80</v>
      </c>
      <c r="F35" s="167"/>
      <c r="G35" s="84" t="s">
        <v>111</v>
      </c>
      <c r="H35" s="181">
        <f>'ARP_General inputs'!J35</f>
        <v>0.30780783362179165</v>
      </c>
    </row>
    <row r="36" spans="3:27" x14ac:dyDescent="0.25">
      <c r="E36" s="228" t="s">
        <v>81</v>
      </c>
      <c r="F36" s="168"/>
      <c r="G36" s="77" t="s">
        <v>111</v>
      </c>
      <c r="H36" s="182">
        <f>'ARP_General inputs'!J36</f>
        <v>0.20760110839034102</v>
      </c>
    </row>
    <row r="37" spans="3:27" x14ac:dyDescent="0.25">
      <c r="G37" s="194"/>
      <c r="H37" s="338"/>
    </row>
    <row r="38" spans="3:27" s="338" customFormat="1" x14ac:dyDescent="0.25">
      <c r="C38" s="22" t="str">
        <f ca="1">INDEX('Version control'!$H$34:$H$59,MATCH($A$1,'Version control'!$F$34:$F$59,0),1)&amp;"-C: CDCM target revenue"</f>
        <v>Section 503-C: CDCM target revenue</v>
      </c>
      <c r="D38" s="22"/>
      <c r="E38" s="22"/>
      <c r="F38" s="22"/>
      <c r="G38" s="297"/>
      <c r="H38" s="22"/>
      <c r="I38" s="22"/>
      <c r="J38" s="22"/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171"/>
      <c r="W38" s="171"/>
      <c r="X38" s="171"/>
      <c r="Y38" s="171"/>
      <c r="Z38" s="171"/>
      <c r="AA38" s="171"/>
    </row>
    <row r="39" spans="3:27" x14ac:dyDescent="0.25">
      <c r="H39" s="338"/>
    </row>
    <row r="40" spans="3:27" s="338" customFormat="1" x14ac:dyDescent="0.25">
      <c r="D40" s="152" t="s">
        <v>943</v>
      </c>
      <c r="E40" s="152"/>
      <c r="G40" s="194"/>
      <c r="H40" s="194"/>
      <c r="I40" s="160" t="s">
        <v>525</v>
      </c>
      <c r="J40" s="160" t="s">
        <v>942</v>
      </c>
      <c r="K40" s="194"/>
      <c r="L40" s="194"/>
      <c r="M40" s="194"/>
      <c r="N40" s="194"/>
      <c r="O40" s="194"/>
      <c r="P40" s="194"/>
      <c r="Q40" s="194"/>
      <c r="R40" s="194"/>
      <c r="S40" s="194"/>
    </row>
    <row r="41" spans="3:27" s="338" customFormat="1" x14ac:dyDescent="0.25">
      <c r="D41" s="152" t="s">
        <v>852</v>
      </c>
      <c r="E41" s="152"/>
      <c r="G41" s="194"/>
      <c r="H41" s="194"/>
      <c r="I41" s="194"/>
      <c r="J41" s="268"/>
      <c r="K41" s="194"/>
      <c r="L41" s="194"/>
      <c r="M41" s="194"/>
      <c r="N41" s="194"/>
      <c r="O41" s="194"/>
      <c r="P41" s="194"/>
      <c r="Q41" s="194"/>
      <c r="R41" s="194"/>
      <c r="S41" s="194"/>
    </row>
    <row r="42" spans="3:27" x14ac:dyDescent="0.25">
      <c r="D42" s="474"/>
      <c r="E42" s="172"/>
      <c r="H42" s="338"/>
    </row>
    <row r="43" spans="3:27" x14ac:dyDescent="0.25">
      <c r="E43" s="167" t="s">
        <v>0</v>
      </c>
      <c r="F43" s="167"/>
      <c r="G43" s="167" t="s">
        <v>124</v>
      </c>
      <c r="H43" s="437">
        <f>'ARP_General inputs'!J43</f>
        <v>473700000</v>
      </c>
    </row>
    <row r="44" spans="3:27" x14ac:dyDescent="0.25">
      <c r="E44" s="167" t="s">
        <v>1</v>
      </c>
      <c r="F44" s="167"/>
      <c r="G44" s="167" t="s">
        <v>124</v>
      </c>
      <c r="H44" s="437">
        <f>'ARP_General inputs'!J44</f>
        <v>-31735237.138100199</v>
      </c>
    </row>
    <row r="45" spans="3:27" x14ac:dyDescent="0.25">
      <c r="E45" s="167" t="s">
        <v>2</v>
      </c>
      <c r="F45" s="167"/>
      <c r="G45" s="167" t="s">
        <v>124</v>
      </c>
      <c r="H45" s="437">
        <f>'ARP_General inputs'!J45</f>
        <v>955378.12380455702</v>
      </c>
    </row>
    <row r="46" spans="3:27" x14ac:dyDescent="0.25">
      <c r="E46" s="168" t="s">
        <v>3</v>
      </c>
      <c r="F46" s="168"/>
      <c r="G46" s="168" t="s">
        <v>636</v>
      </c>
      <c r="H46" s="440">
        <f>'ARP_General inputs'!J46</f>
        <v>1.236</v>
      </c>
    </row>
    <row r="47" spans="3:27" x14ac:dyDescent="0.25">
      <c r="E47" s="167" t="s">
        <v>4</v>
      </c>
      <c r="F47" s="167"/>
      <c r="G47" s="167" t="s">
        <v>124</v>
      </c>
      <c r="H47" s="428">
        <f>SUM(H43:H45)</f>
        <v>442920140.98570436</v>
      </c>
    </row>
    <row r="48" spans="3:27" x14ac:dyDescent="0.25">
      <c r="E48" s="151" t="s">
        <v>648</v>
      </c>
      <c r="F48" s="167"/>
      <c r="G48" s="167" t="s">
        <v>124</v>
      </c>
      <c r="H48" s="428">
        <f>H47 * (H46 - 1)</f>
        <v>104529153.27262622</v>
      </c>
    </row>
    <row r="49" spans="5:8" x14ac:dyDescent="0.25">
      <c r="E49" s="167"/>
      <c r="F49" s="167"/>
      <c r="G49" s="167"/>
      <c r="H49" s="435"/>
    </row>
    <row r="50" spans="5:8" x14ac:dyDescent="0.25">
      <c r="E50" s="167" t="s">
        <v>5</v>
      </c>
      <c r="F50" s="167"/>
      <c r="G50" s="167" t="s">
        <v>124</v>
      </c>
      <c r="H50" s="437">
        <f>'ARP_General inputs'!J50</f>
        <v>276817.17249233002</v>
      </c>
    </row>
    <row r="51" spans="5:8" x14ac:dyDescent="0.25">
      <c r="E51" s="167" t="s">
        <v>6</v>
      </c>
      <c r="F51" s="167"/>
      <c r="G51" s="167" t="s">
        <v>124</v>
      </c>
      <c r="H51" s="437">
        <f>'ARP_General inputs'!J51</f>
        <v>-6723916.0171625894</v>
      </c>
    </row>
    <row r="52" spans="5:8" x14ac:dyDescent="0.25">
      <c r="E52" s="167" t="s">
        <v>7</v>
      </c>
      <c r="F52" s="167"/>
      <c r="G52" s="167" t="s">
        <v>124</v>
      </c>
      <c r="H52" s="437">
        <f>'ARP_General inputs'!J52</f>
        <v>-94685.833755678599</v>
      </c>
    </row>
    <row r="53" spans="5:8" x14ac:dyDescent="0.25">
      <c r="E53" s="167" t="s">
        <v>8</v>
      </c>
      <c r="F53" s="167"/>
      <c r="G53" s="167" t="s">
        <v>124</v>
      </c>
      <c r="H53" s="437">
        <f>'ARP_General inputs'!J53</f>
        <v>2416581.22153879</v>
      </c>
    </row>
    <row r="54" spans="5:8" x14ac:dyDescent="0.25">
      <c r="E54" s="167" t="s">
        <v>9</v>
      </c>
      <c r="F54" s="167"/>
      <c r="G54" s="167" t="s">
        <v>124</v>
      </c>
      <c r="H54" s="437">
        <f>'ARP_General inputs'!J54</f>
        <v>625914.59382382198</v>
      </c>
    </row>
    <row r="55" spans="5:8" x14ac:dyDescent="0.25">
      <c r="E55" s="167" t="s">
        <v>10</v>
      </c>
      <c r="F55" s="167"/>
      <c r="G55" s="167" t="s">
        <v>124</v>
      </c>
      <c r="H55" s="437">
        <f>'ARP_General inputs'!J55</f>
        <v>-132172.57486865998</v>
      </c>
    </row>
    <row r="56" spans="5:8" x14ac:dyDescent="0.25">
      <c r="E56" s="168" t="s">
        <v>11</v>
      </c>
      <c r="F56" s="168"/>
      <c r="G56" s="168" t="s">
        <v>124</v>
      </c>
      <c r="H56" s="440">
        <f>'ARP_General inputs'!J56</f>
        <v>0</v>
      </c>
    </row>
    <row r="57" spans="5:8" x14ac:dyDescent="0.25">
      <c r="E57" s="167" t="s">
        <v>12</v>
      </c>
      <c r="F57" s="167"/>
      <c r="G57" s="167" t="s">
        <v>124</v>
      </c>
      <c r="H57" s="433">
        <f>SUM(H50:H56)</f>
        <v>-3631461.4379319861</v>
      </c>
    </row>
    <row r="58" spans="5:8" x14ac:dyDescent="0.25">
      <c r="E58" s="167"/>
      <c r="F58" s="167"/>
      <c r="G58" s="167"/>
      <c r="H58" s="435"/>
    </row>
    <row r="59" spans="5:8" x14ac:dyDescent="0.25">
      <c r="E59" s="167" t="s">
        <v>13</v>
      </c>
      <c r="F59" s="167"/>
      <c r="G59" s="167" t="s">
        <v>124</v>
      </c>
      <c r="H59" s="437">
        <f>'ARP_General inputs'!J59</f>
        <v>2784739.5173188997</v>
      </c>
    </row>
    <row r="60" spans="5:8" x14ac:dyDescent="0.25">
      <c r="E60" s="167" t="s">
        <v>14</v>
      </c>
      <c r="F60" s="167"/>
      <c r="G60" s="167" t="s">
        <v>124</v>
      </c>
      <c r="H60" s="437">
        <f>'ARP_General inputs'!J60</f>
        <v>639741.51182974502</v>
      </c>
    </row>
    <row r="61" spans="5:8" x14ac:dyDescent="0.25">
      <c r="E61" s="167" t="s">
        <v>15</v>
      </c>
      <c r="F61" s="167"/>
      <c r="G61" s="167" t="s">
        <v>124</v>
      </c>
      <c r="H61" s="437">
        <f>'ARP_General inputs'!J61</f>
        <v>0</v>
      </c>
    </row>
    <row r="62" spans="5:8" x14ac:dyDescent="0.25">
      <c r="E62" s="167" t="s">
        <v>16</v>
      </c>
      <c r="F62" s="167"/>
      <c r="G62" s="167" t="s">
        <v>124</v>
      </c>
      <c r="H62" s="437">
        <f>'ARP_General inputs'!J62</f>
        <v>1685020.90033229</v>
      </c>
    </row>
    <row r="63" spans="5:8" x14ac:dyDescent="0.25">
      <c r="E63" s="167" t="s">
        <v>17</v>
      </c>
      <c r="F63" s="167"/>
      <c r="G63" s="167" t="s">
        <v>124</v>
      </c>
      <c r="H63" s="437">
        <f>'ARP_General inputs'!J63</f>
        <v>0</v>
      </c>
    </row>
    <row r="64" spans="5:8" x14ac:dyDescent="0.25">
      <c r="E64" s="167" t="s">
        <v>18</v>
      </c>
      <c r="F64" s="167"/>
      <c r="G64" s="167" t="s">
        <v>124</v>
      </c>
      <c r="H64" s="437">
        <f>'ARP_General inputs'!J64</f>
        <v>1827900</v>
      </c>
    </row>
    <row r="65" spans="5:8" x14ac:dyDescent="0.25">
      <c r="E65" s="167" t="s">
        <v>19</v>
      </c>
      <c r="F65" s="167"/>
      <c r="G65" s="167" t="s">
        <v>124</v>
      </c>
      <c r="H65" s="437">
        <f>'ARP_General inputs'!J65</f>
        <v>0</v>
      </c>
    </row>
    <row r="66" spans="5:8" x14ac:dyDescent="0.25">
      <c r="E66" s="167" t="s">
        <v>20</v>
      </c>
      <c r="F66" s="167"/>
      <c r="G66" s="167" t="s">
        <v>124</v>
      </c>
      <c r="H66" s="437">
        <f>'ARP_General inputs'!J66</f>
        <v>172133.87</v>
      </c>
    </row>
    <row r="67" spans="5:8" x14ac:dyDescent="0.25">
      <c r="E67" s="167" t="s">
        <v>21</v>
      </c>
      <c r="F67" s="167"/>
      <c r="G67" s="167" t="s">
        <v>124</v>
      </c>
      <c r="H67" s="437">
        <f>'ARP_General inputs'!J67</f>
        <v>0</v>
      </c>
    </row>
    <row r="68" spans="5:8" x14ac:dyDescent="0.25">
      <c r="E68" s="167" t="s">
        <v>22</v>
      </c>
      <c r="F68" s="167"/>
      <c r="G68" s="167" t="s">
        <v>124</v>
      </c>
      <c r="H68" s="437">
        <f>'ARP_General inputs'!J68</f>
        <v>0</v>
      </c>
    </row>
    <row r="69" spans="5:8" x14ac:dyDescent="0.25">
      <c r="E69" s="168" t="s">
        <v>23</v>
      </c>
      <c r="F69" s="168"/>
      <c r="G69" s="168" t="s">
        <v>124</v>
      </c>
      <c r="H69" s="440">
        <f>'ARP_General inputs'!J69</f>
        <v>0</v>
      </c>
    </row>
    <row r="70" spans="5:8" x14ac:dyDescent="0.25">
      <c r="E70" s="167" t="s">
        <v>24</v>
      </c>
      <c r="F70" s="167"/>
      <c r="G70" s="167" t="s">
        <v>124</v>
      </c>
      <c r="H70" s="428">
        <f>SUM(H59:H69)</f>
        <v>7109535.7994809346</v>
      </c>
    </row>
    <row r="71" spans="5:8" x14ac:dyDescent="0.25">
      <c r="E71" s="167"/>
      <c r="F71" s="167"/>
      <c r="G71" s="167"/>
      <c r="H71" s="435"/>
    </row>
    <row r="72" spans="5:8" x14ac:dyDescent="0.25">
      <c r="E72" s="168" t="s">
        <v>25</v>
      </c>
      <c r="F72" s="168"/>
      <c r="G72" s="168" t="s">
        <v>124</v>
      </c>
      <c r="H72" s="440">
        <f>'ARP_General inputs'!J72</f>
        <v>-15152336.356257001</v>
      </c>
    </row>
    <row r="73" spans="5:8" x14ac:dyDescent="0.25">
      <c r="E73" s="167" t="s">
        <v>26</v>
      </c>
      <c r="F73" s="167"/>
      <c r="G73" s="167" t="s">
        <v>124</v>
      </c>
      <c r="H73" s="428">
        <f>H72 + H70 + H57 + H48 + H47</f>
        <v>535775032.26362252</v>
      </c>
    </row>
    <row r="74" spans="5:8" x14ac:dyDescent="0.25">
      <c r="E74" s="167"/>
      <c r="F74" s="167"/>
      <c r="G74" s="167"/>
      <c r="H74" s="435"/>
    </row>
    <row r="75" spans="5:8" x14ac:dyDescent="0.25">
      <c r="E75" s="167" t="s">
        <v>27</v>
      </c>
      <c r="F75" s="167"/>
      <c r="G75" s="167" t="s">
        <v>124</v>
      </c>
      <c r="H75" s="437">
        <f>'ARP_General inputs'!J75</f>
        <v>0</v>
      </c>
    </row>
    <row r="76" spans="5:8" x14ac:dyDescent="0.25">
      <c r="E76" s="167" t="s">
        <v>28</v>
      </c>
      <c r="F76" s="167"/>
      <c r="G76" s="167" t="s">
        <v>124</v>
      </c>
      <c r="H76" s="437">
        <f>'ARP_General inputs'!J76</f>
        <v>0</v>
      </c>
    </row>
    <row r="77" spans="5:8" x14ac:dyDescent="0.25">
      <c r="E77" s="167" t="s">
        <v>29</v>
      </c>
      <c r="F77" s="167"/>
      <c r="G77" s="167" t="s">
        <v>124</v>
      </c>
      <c r="H77" s="437">
        <f>'ARP_General inputs'!J77</f>
        <v>0</v>
      </c>
    </row>
    <row r="78" spans="5:8" x14ac:dyDescent="0.25">
      <c r="E78" s="167" t="s">
        <v>30</v>
      </c>
      <c r="F78" s="167"/>
      <c r="G78" s="167" t="s">
        <v>124</v>
      </c>
      <c r="H78" s="437">
        <f>'ARP_General inputs'!J78</f>
        <v>0</v>
      </c>
    </row>
    <row r="79" spans="5:8" x14ac:dyDescent="0.25">
      <c r="E79" s="168" t="s">
        <v>31</v>
      </c>
      <c r="F79" s="168"/>
      <c r="G79" s="168" t="s">
        <v>124</v>
      </c>
      <c r="H79" s="440">
        <f>'ARP_General inputs'!J79</f>
        <v>0</v>
      </c>
    </row>
    <row r="80" spans="5:8" x14ac:dyDescent="0.25">
      <c r="E80" s="168" t="s">
        <v>32</v>
      </c>
      <c r="F80" s="168"/>
      <c r="G80" s="168" t="s">
        <v>124</v>
      </c>
      <c r="H80" s="432">
        <f>SUM(H75:H79)</f>
        <v>0</v>
      </c>
    </row>
    <row r="81" spans="3:27" x14ac:dyDescent="0.25">
      <c r="E81" s="167" t="s">
        <v>33</v>
      </c>
      <c r="F81" s="167"/>
      <c r="G81" s="167" t="s">
        <v>124</v>
      </c>
      <c r="H81" s="433">
        <f>H73+H80</f>
        <v>535775032.26362252</v>
      </c>
    </row>
    <row r="82" spans="3:27" x14ac:dyDescent="0.25">
      <c r="E82" s="167"/>
      <c r="F82" s="167"/>
      <c r="G82" s="167"/>
      <c r="H82" s="435"/>
    </row>
    <row r="83" spans="3:27" x14ac:dyDescent="0.25">
      <c r="E83" s="167" t="s">
        <v>34</v>
      </c>
      <c r="F83" s="167"/>
      <c r="G83" s="167" t="s">
        <v>124</v>
      </c>
      <c r="H83" s="437">
        <f>'ARP_General inputs'!J83</f>
        <v>21317907.379977446</v>
      </c>
    </row>
    <row r="84" spans="3:27" x14ac:dyDescent="0.25">
      <c r="E84" s="167" t="s">
        <v>35</v>
      </c>
      <c r="F84" s="167"/>
      <c r="G84" s="167" t="s">
        <v>124</v>
      </c>
      <c r="H84" s="437">
        <f>'ARP_General inputs'!J84</f>
        <v>0</v>
      </c>
    </row>
    <row r="85" spans="3:27" x14ac:dyDescent="0.25">
      <c r="E85" s="167" t="s">
        <v>36</v>
      </c>
      <c r="F85" s="167"/>
      <c r="G85" s="167" t="s">
        <v>124</v>
      </c>
      <c r="H85" s="437">
        <f>'ARP_General inputs'!J85</f>
        <v>0</v>
      </c>
    </row>
    <row r="86" spans="3:27" x14ac:dyDescent="0.25">
      <c r="E86" s="168" t="s">
        <v>37</v>
      </c>
      <c r="F86" s="168"/>
      <c r="G86" s="168" t="s">
        <v>124</v>
      </c>
      <c r="H86" s="440">
        <f>'ARP_General inputs'!J86</f>
        <v>0</v>
      </c>
    </row>
    <row r="87" spans="3:27" x14ac:dyDescent="0.25">
      <c r="E87" s="339" t="s">
        <v>38</v>
      </c>
      <c r="F87" s="339"/>
      <c r="G87" s="339" t="s">
        <v>124</v>
      </c>
      <c r="H87" s="428">
        <f>SUM(H83:H86)</f>
        <v>21317907.379977446</v>
      </c>
    </row>
    <row r="88" spans="3:27" x14ac:dyDescent="0.25">
      <c r="E88" s="166" t="s">
        <v>39</v>
      </c>
      <c r="F88" s="166"/>
      <c r="G88" s="166" t="s">
        <v>124</v>
      </c>
      <c r="H88" s="418">
        <f>H81-H87</f>
        <v>514457124.88364506</v>
      </c>
    </row>
    <row r="89" spans="3:27" x14ac:dyDescent="0.25">
      <c r="H89" s="128"/>
    </row>
    <row r="90" spans="3:27" s="338" customFormat="1" x14ac:dyDescent="0.25">
      <c r="C90" s="22" t="str">
        <f ca="1">INDEX('Version control'!$H$34:$H$59,MATCH($A$1,'Version control'!$F$34:$F$59,0),1)&amp;"-D: Financial and general assumptions"</f>
        <v>Section 503-D: Financial and general assumptions</v>
      </c>
      <c r="D90" s="22"/>
      <c r="E90" s="22"/>
      <c r="F90" s="22"/>
      <c r="G90" s="297"/>
      <c r="H90" s="22"/>
      <c r="I90" s="22"/>
      <c r="J90" s="22"/>
      <c r="L90" s="171"/>
      <c r="M90" s="171"/>
      <c r="N90" s="171"/>
      <c r="O90" s="171"/>
      <c r="P90" s="171"/>
      <c r="Q90" s="171"/>
      <c r="R90" s="171"/>
      <c r="S90" s="171"/>
      <c r="T90" s="171"/>
      <c r="U90" s="171"/>
      <c r="V90" s="171"/>
      <c r="W90" s="171"/>
      <c r="X90" s="171"/>
      <c r="Y90" s="171"/>
      <c r="Z90" s="171"/>
      <c r="AA90" s="171"/>
    </row>
    <row r="91" spans="3:27" s="338" customFormat="1" x14ac:dyDescent="0.25"/>
    <row r="92" spans="3:27" x14ac:dyDescent="0.25">
      <c r="E92" s="145" t="s">
        <v>846</v>
      </c>
      <c r="F92" s="339"/>
      <c r="G92" s="339" t="s">
        <v>111</v>
      </c>
      <c r="H92" s="198">
        <f>'ARP_General inputs'!J98</f>
        <v>3.7900000000000003E-2</v>
      </c>
      <c r="I92" s="160" t="s">
        <v>525</v>
      </c>
      <c r="J92" s="163" t="s">
        <v>944</v>
      </c>
    </row>
    <row r="93" spans="3:27" x14ac:dyDescent="0.25">
      <c r="E93" s="145" t="s">
        <v>41</v>
      </c>
      <c r="F93" s="339"/>
      <c r="G93" s="145" t="s">
        <v>720</v>
      </c>
      <c r="H93" s="205">
        <f>'ARP_General inputs'!J99</f>
        <v>365</v>
      </c>
    </row>
    <row r="94" spans="3:27" s="338" customFormat="1" x14ac:dyDescent="0.25">
      <c r="E94" s="339" t="s">
        <v>650</v>
      </c>
      <c r="F94" s="339"/>
      <c r="G94" s="339" t="s">
        <v>338</v>
      </c>
      <c r="H94" s="494">
        <f>days_in_year * hours_in_day</f>
        <v>8760</v>
      </c>
    </row>
    <row r="95" spans="3:27" x14ac:dyDescent="0.25">
      <c r="H95" s="338"/>
    </row>
    <row r="96" spans="3:27" s="338" customFormat="1" x14ac:dyDescent="0.25">
      <c r="C96" s="22" t="str">
        <f ca="1">INDEX('Version control'!$H$34:$H$59,MATCH($A$1,'Version control'!$F$34:$F$59,0),1)&amp;"-E: Transmission exit charges"</f>
        <v>Section 503-E: Transmission exit charges</v>
      </c>
      <c r="D96" s="22"/>
      <c r="E96" s="22"/>
      <c r="F96" s="22"/>
      <c r="G96" s="297"/>
      <c r="H96" s="22"/>
      <c r="I96" s="22"/>
      <c r="J96" s="22"/>
      <c r="L96" s="171"/>
      <c r="M96" s="171"/>
      <c r="N96" s="171"/>
      <c r="O96" s="171"/>
      <c r="P96" s="171"/>
      <c r="Q96" s="171"/>
      <c r="R96" s="171"/>
      <c r="S96" s="171"/>
      <c r="T96" s="171"/>
      <c r="U96" s="171"/>
      <c r="V96" s="171"/>
      <c r="W96" s="171"/>
      <c r="X96" s="171"/>
      <c r="Y96" s="171"/>
      <c r="Z96" s="171"/>
      <c r="AA96" s="171"/>
    </row>
    <row r="97" spans="2:27" s="338" customFormat="1" x14ac:dyDescent="0.25"/>
    <row r="98" spans="2:27" x14ac:dyDescent="0.25">
      <c r="E98" s="145" t="s">
        <v>134</v>
      </c>
      <c r="G98" s="167" t="s">
        <v>721</v>
      </c>
      <c r="H98" s="437">
        <f>'ARP_General inputs'!J103</f>
        <v>16472107.115543775</v>
      </c>
      <c r="I98" s="160" t="s">
        <v>525</v>
      </c>
      <c r="J98" s="160" t="s">
        <v>945</v>
      </c>
    </row>
    <row r="99" spans="2:27" x14ac:dyDescent="0.25">
      <c r="H99" s="416"/>
    </row>
    <row r="100" spans="2:27" s="338" customFormat="1" x14ac:dyDescent="0.25">
      <c r="C100" s="22" t="str">
        <f ca="1">INDEX('Version control'!$H$34:$H$56,MATCH($A$1,'Version control'!$F$34:$F$56,0),1)&amp;"-F: Other expenditure"</f>
        <v>Section 503-F: Other expenditure</v>
      </c>
      <c r="D100" s="22"/>
      <c r="E100" s="22"/>
      <c r="F100" s="22"/>
      <c r="G100" s="297"/>
      <c r="H100" s="406"/>
      <c r="I100" s="22"/>
      <c r="J100" s="22"/>
      <c r="L100" s="171"/>
      <c r="M100" s="171"/>
      <c r="N100" s="171"/>
      <c r="O100" s="171"/>
      <c r="P100" s="171"/>
      <c r="Q100" s="171"/>
      <c r="R100" s="171"/>
      <c r="S100" s="171"/>
      <c r="T100" s="171"/>
      <c r="U100" s="171"/>
      <c r="V100" s="171"/>
      <c r="W100" s="171"/>
      <c r="X100" s="171"/>
      <c r="Y100" s="171"/>
      <c r="Z100" s="171"/>
      <c r="AA100" s="171"/>
    </row>
    <row r="101" spans="2:27" s="338" customFormat="1" x14ac:dyDescent="0.25">
      <c r="H101" s="416"/>
    </row>
    <row r="102" spans="2:27" x14ac:dyDescent="0.25">
      <c r="E102" s="172" t="s">
        <v>96</v>
      </c>
      <c r="F102" s="172"/>
      <c r="H102" s="416"/>
      <c r="I102" s="160" t="s">
        <v>525</v>
      </c>
      <c r="J102" s="160" t="s">
        <v>946</v>
      </c>
    </row>
    <row r="103" spans="2:27" x14ac:dyDescent="0.25">
      <c r="F103" s="40" t="s">
        <v>145</v>
      </c>
      <c r="G103" s="166" t="s">
        <v>721</v>
      </c>
      <c r="H103" s="438">
        <f>'ARP_General inputs'!J108</f>
        <v>58771679.058511339</v>
      </c>
    </row>
    <row r="104" spans="2:27" x14ac:dyDescent="0.25">
      <c r="F104" s="145" t="s">
        <v>146</v>
      </c>
      <c r="G104" s="167" t="s">
        <v>721</v>
      </c>
      <c r="H104" s="437">
        <f>'ARP_General inputs'!J109</f>
        <v>116853936.84700131</v>
      </c>
      <c r="R104" s="161"/>
      <c r="S104" s="161"/>
    </row>
    <row r="105" spans="2:27" x14ac:dyDescent="0.25">
      <c r="F105" s="38" t="s">
        <v>147</v>
      </c>
      <c r="G105" s="168" t="s">
        <v>721</v>
      </c>
      <c r="H105" s="440">
        <f>'ARP_General inputs'!J110</f>
        <v>41998950.399999999</v>
      </c>
      <c r="R105" s="161"/>
      <c r="S105" s="161"/>
    </row>
    <row r="107" spans="2:27" x14ac:dyDescent="0.25">
      <c r="B107" s="171" t="s">
        <v>126</v>
      </c>
      <c r="C107" s="171"/>
      <c r="D107" s="171"/>
      <c r="E107" s="171"/>
      <c r="F107" s="171"/>
      <c r="G107" s="171"/>
      <c r="H107" s="171"/>
      <c r="I107" s="171"/>
      <c r="J107" s="171"/>
      <c r="L107" s="171"/>
      <c r="M107" s="171"/>
      <c r="N107" s="171"/>
      <c r="O107" s="171"/>
      <c r="P107" s="171"/>
      <c r="Q107" s="171"/>
      <c r="R107" s="171"/>
      <c r="S107" s="171"/>
      <c r="T107" s="171"/>
      <c r="U107" s="171"/>
      <c r="V107" s="171"/>
      <c r="W107" s="171"/>
      <c r="X107" s="171"/>
      <c r="Y107" s="171"/>
      <c r="Z107" s="171"/>
      <c r="AA107" s="171"/>
    </row>
    <row r="109" spans="2:27" x14ac:dyDescent="0.25">
      <c r="E109" s="160" t="s">
        <v>622</v>
      </c>
      <c r="G109" s="111" t="s">
        <v>814</v>
      </c>
      <c r="H109" s="316">
        <f t="array" ref="H109">SUM(IF(ISERROR(H6:H106), 1))</f>
        <v>0</v>
      </c>
    </row>
    <row r="111" spans="2:27" x14ac:dyDescent="0.25">
      <c r="E111" s="172" t="s">
        <v>1053</v>
      </c>
    </row>
    <row r="112" spans="2:27" x14ac:dyDescent="0.25">
      <c r="F112" s="166" t="s">
        <v>651</v>
      </c>
      <c r="G112" s="109" t="s">
        <v>814</v>
      </c>
      <c r="H112" s="315">
        <f>IF(SUM(H19:H21) = hours_in_year, 0, 1)</f>
        <v>0</v>
      </c>
    </row>
    <row r="113" spans="2:27" x14ac:dyDescent="0.25">
      <c r="F113" s="168" t="s">
        <v>652</v>
      </c>
      <c r="G113" s="112" t="s">
        <v>814</v>
      </c>
      <c r="H113" s="318">
        <f>IF(SUM(H24:H26) = hours_in_year, 0, 1)</f>
        <v>0</v>
      </c>
    </row>
    <row r="115" spans="2:27" x14ac:dyDescent="0.25">
      <c r="E115" s="160" t="s">
        <v>546</v>
      </c>
      <c r="G115" s="111" t="s">
        <v>814</v>
      </c>
      <c r="H115" s="362">
        <f>SUM(H109,H112:H113)</f>
        <v>0</v>
      </c>
    </row>
    <row r="117" spans="2:27" x14ac:dyDescent="0.25">
      <c r="B117" s="171" t="s">
        <v>127</v>
      </c>
      <c r="C117" s="171"/>
      <c r="D117" s="171"/>
      <c r="E117" s="171"/>
      <c r="F117" s="171"/>
      <c r="G117" s="171"/>
      <c r="H117" s="171"/>
      <c r="I117" s="171"/>
      <c r="J117" s="171"/>
      <c r="L117" s="171"/>
      <c r="M117" s="171"/>
      <c r="N117" s="171"/>
      <c r="O117" s="171"/>
      <c r="P117" s="171"/>
      <c r="Q117" s="171"/>
      <c r="R117" s="171"/>
      <c r="S117" s="171"/>
      <c r="T117" s="171"/>
      <c r="U117" s="171"/>
      <c r="V117" s="171"/>
      <c r="W117" s="171"/>
      <c r="X117" s="171"/>
      <c r="Y117" s="171"/>
      <c r="Z117" s="171"/>
      <c r="AA117" s="171"/>
    </row>
  </sheetData>
  <sheetProtection sheet="1" objects="1" formatCells="0" formatColumns="0" formatRows="0" sort="0" autoFilter="0"/>
  <conditionalFormatting sqref="H109">
    <cfRule type="cellIs" dxfId="56" priority="4" operator="greaterThan">
      <formula>0</formula>
    </cfRule>
  </conditionalFormatting>
  <conditionalFormatting sqref="H112:H115">
    <cfRule type="cellIs" dxfId="55" priority="3" operator="greaterThan">
      <formula>0</formula>
    </cfRule>
  </conditionalFormatting>
  <conditionalFormatting sqref="H115">
    <cfRule type="cellIs" dxfId="54" priority="2" operator="greaterThan">
      <formula>0</formula>
    </cfRule>
  </conditionalFormatting>
  <conditionalFormatting sqref="A4:XFD4">
    <cfRule type="expression" dxfId="53" priority="1">
      <formula>LEFT($A$4,1) &lt;&gt; "0"</formula>
    </cfRule>
  </conditionalFormatting>
  <dataValidations count="5">
    <dataValidation type="decimal" allowBlank="1" showInputMessage="1" showErrorMessage="1" errorTitle="Invalid LDNO discount" error="Invalid LDNO discount (negative number or unused cell)." sqref="H33:H36">
      <formula1>0</formula1>
      <formula2>1</formula2>
    </dataValidation>
    <dataValidation type="decimal" allowBlank="1" showInputMessage="1" showErrorMessage="1" sqref="H93">
      <formula1>365</formula1>
      <formula2>366</formula2>
    </dataValidation>
    <dataValidation type="decimal" operator="greaterThanOrEqual" allowBlank="1" showInputMessage="1" showErrorMessage="1" sqref="H103:H105 H19:H21 H98 H24:H26">
      <formula1>0</formula1>
    </dataValidation>
    <dataValidation type="decimal" operator="greaterThanOrEqual" allowBlank="1" showInputMessage="1" showErrorMessage="1" error="The rate of return must be a non-negative percentage value." sqref="H92">
      <formula1>0</formula1>
    </dataValidation>
    <dataValidation type="whole" allowBlank="1" showInputMessage="1" showErrorMessage="1" sqref="H94">
      <formula1>0</formula1>
      <formula2>9999</formula2>
    </dataValidation>
  </dataValidations>
  <hyperlinks>
    <hyperlink ref="B5:F5" location="'Model map'!A1" display="Click here to return to model map"/>
  </hyperlinks>
  <pageMargins left="0.7" right="0.7" top="0.75" bottom="0.75" header="0.3" footer="0.3"/>
  <pageSetup paperSize="9" fitToHeight="0" orientation="portrait" r:id="rId1"/>
  <headerFooter>
    <oddHeader>&amp;L&amp;A&amp;C&amp;R&amp;P of &amp;N</oddHeader>
    <oddFooter>&amp;F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theme="4" tint="0.59999389629810485"/>
    <pageSetUpPr fitToPage="1"/>
  </sheetPr>
  <dimension ref="A1:KJ60"/>
  <sheetViews>
    <sheetView showGridLines="0" zoomScale="80" zoomScaleNormal="80" workbookViewId="0">
      <pane xSplit="9" ySplit="5" topLeftCell="J6" activePane="bottomRight" state="frozen"/>
      <selection activeCell="N50" sqref="N50"/>
      <selection pane="topRight" activeCell="N50" sqref="N50"/>
      <selection pane="bottomLeft" activeCell="N50" sqref="N50"/>
      <selection pane="bottomRight" activeCell="J6" sqref="J6"/>
    </sheetView>
  </sheetViews>
  <sheetFormatPr defaultColWidth="0" defaultRowHeight="15" x14ac:dyDescent="0.25"/>
  <cols>
    <col min="1" max="3" width="2.7109375" style="88" customWidth="1"/>
    <col min="4" max="4" width="2.7109375" style="91" customWidth="1"/>
    <col min="5" max="5" width="2.7109375" style="175" customWidth="1"/>
    <col min="6" max="6" width="59.5703125" style="88" customWidth="1"/>
    <col min="7" max="8" width="20.7109375" style="88" customWidth="1"/>
    <col min="9" max="9" width="2.28515625" style="88" customWidth="1"/>
    <col min="10" max="42" width="17" style="88" customWidth="1"/>
    <col min="43" max="43" width="2.28515625" style="88" customWidth="1"/>
    <col min="44" max="44" width="50.7109375" style="88" customWidth="1"/>
    <col min="45" max="45" width="2.28515625" style="88" customWidth="1"/>
    <col min="46" max="46" width="24.5703125" style="88" hidden="1" customWidth="1"/>
    <col min="47" max="47" width="3.5703125" style="88" hidden="1" customWidth="1"/>
    <col min="48" max="48" width="15.42578125" style="88" hidden="1" customWidth="1"/>
    <col min="49" max="296" width="24.5703125" style="88" hidden="1" customWidth="1"/>
    <col min="297" max="16384" width="8.7109375" style="88" hidden="1"/>
  </cols>
  <sheetData>
    <row r="1" spans="1:97" s="25" customFormat="1" x14ac:dyDescent="0.25">
      <c r="A1" s="25" t="str">
        <f ca="1">MID(CELL("filename",A1),FIND("]",CELL("filename",A1))+1,255)</f>
        <v>Standing charge factors</v>
      </c>
    </row>
    <row r="2" spans="1:97" s="25" customFormat="1" x14ac:dyDescent="0.25">
      <c r="A2" s="25" t="str">
        <f>Cover!D21&amp;" - "&amp;Cover!D23</f>
        <v>SEPD - Final</v>
      </c>
    </row>
    <row r="3" spans="1:97" s="97" customFormat="1" x14ac:dyDescent="0.25">
      <c r="A3" s="97" t="str">
        <f>Cover!D2&amp;" - "&amp;Cover!D8&amp;" v"&amp;Cover!D10&amp;" - "&amp;Cover!D19</f>
        <v>ARP model - Release for charge setting v3 - 2020/21</v>
      </c>
    </row>
    <row r="4" spans="1:97" s="338" customFormat="1" x14ac:dyDescent="0.25">
      <c r="A4" s="392" t="str">
        <f>H58 &amp; IF(H58 = 1, " issue", " issues") &amp;" identified in checks on this sheet"</f>
        <v>0 issues identified in checks on this sheet</v>
      </c>
      <c r="B4" s="393"/>
      <c r="C4" s="393"/>
      <c r="D4" s="393"/>
      <c r="E4" s="393"/>
      <c r="F4" s="393"/>
      <c r="G4" s="393"/>
      <c r="H4" s="394"/>
      <c r="I4" s="394"/>
      <c r="J4" s="393"/>
      <c r="K4" s="383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3"/>
      <c r="AD4" s="383"/>
      <c r="AE4" s="383"/>
      <c r="AF4" s="383"/>
      <c r="AG4" s="383"/>
      <c r="AH4" s="383"/>
      <c r="AI4" s="383"/>
      <c r="AJ4" s="383"/>
      <c r="AK4" s="383"/>
      <c r="AL4" s="383"/>
      <c r="AM4" s="383"/>
      <c r="AN4" s="383"/>
      <c r="AO4" s="383"/>
      <c r="AP4" s="383"/>
      <c r="AQ4" s="383"/>
      <c r="AR4" s="383"/>
      <c r="AS4" s="383"/>
      <c r="AT4" s="383"/>
      <c r="AU4" s="383"/>
      <c r="AV4" s="383"/>
      <c r="AW4" s="383"/>
      <c r="AX4" s="383"/>
      <c r="AY4" s="383"/>
      <c r="AZ4" s="383"/>
      <c r="BA4" s="383"/>
      <c r="BB4" s="383"/>
      <c r="BC4" s="383"/>
      <c r="BD4" s="383"/>
      <c r="BE4" s="383"/>
      <c r="BF4" s="383"/>
      <c r="BG4" s="383"/>
      <c r="BH4" s="383"/>
      <c r="BI4" s="383"/>
      <c r="BJ4" s="383"/>
      <c r="BK4" s="383"/>
      <c r="BL4" s="383"/>
      <c r="BM4" s="383"/>
      <c r="BN4" s="383"/>
      <c r="BO4" s="383"/>
      <c r="BP4" s="383"/>
      <c r="BQ4" s="383"/>
      <c r="BR4" s="383"/>
      <c r="BS4" s="383"/>
      <c r="BT4" s="383"/>
      <c r="BU4" s="383"/>
      <c r="BV4" s="383"/>
      <c r="BW4" s="383"/>
      <c r="BX4" s="383"/>
      <c r="BY4" s="383"/>
      <c r="BZ4" s="383"/>
      <c r="CA4" s="383"/>
      <c r="CB4" s="383"/>
      <c r="CC4" s="383"/>
      <c r="CD4" s="383"/>
      <c r="CE4" s="383"/>
      <c r="CF4" s="383"/>
      <c r="CG4" s="383"/>
      <c r="CH4" s="383"/>
      <c r="CI4" s="383"/>
      <c r="CJ4" s="383"/>
      <c r="CK4" s="383"/>
      <c r="CL4" s="383"/>
      <c r="CM4" s="383"/>
      <c r="CN4" s="383"/>
      <c r="CO4" s="383"/>
      <c r="CP4" s="383"/>
      <c r="CQ4" s="383"/>
      <c r="CR4" s="383"/>
      <c r="CS4" s="383"/>
    </row>
    <row r="5" spans="1:97" ht="60" x14ac:dyDescent="0.25">
      <c r="B5" s="244" t="s">
        <v>667</v>
      </c>
      <c r="C5" s="24"/>
      <c r="D5" s="24"/>
      <c r="E5" s="24"/>
      <c r="F5" s="24"/>
      <c r="G5" s="1" t="s">
        <v>108</v>
      </c>
      <c r="H5" s="2" t="s">
        <v>109</v>
      </c>
      <c r="I5" s="200"/>
      <c r="J5" s="2" t="s">
        <v>52</v>
      </c>
      <c r="K5" s="2" t="s">
        <v>53</v>
      </c>
      <c r="L5" s="2" t="s">
        <v>84</v>
      </c>
      <c r="M5" s="2" t="s">
        <v>54</v>
      </c>
      <c r="N5" s="2" t="s">
        <v>55</v>
      </c>
      <c r="O5" s="2" t="s">
        <v>85</v>
      </c>
      <c r="P5" s="2" t="s">
        <v>56</v>
      </c>
      <c r="Q5" s="2" t="s">
        <v>57</v>
      </c>
      <c r="R5" s="2" t="s">
        <v>72</v>
      </c>
      <c r="S5" s="2" t="s">
        <v>58</v>
      </c>
      <c r="T5" s="2" t="s">
        <v>59</v>
      </c>
      <c r="U5" s="2" t="s">
        <v>60</v>
      </c>
      <c r="V5" s="2" t="s">
        <v>61</v>
      </c>
      <c r="W5" s="2" t="s">
        <v>73</v>
      </c>
      <c r="X5" s="2" t="s">
        <v>86</v>
      </c>
      <c r="Y5" s="2" t="s">
        <v>87</v>
      </c>
      <c r="Z5" s="2" t="s">
        <v>88</v>
      </c>
      <c r="AA5" s="2" t="s">
        <v>89</v>
      </c>
      <c r="AB5" s="2" t="s">
        <v>90</v>
      </c>
      <c r="AC5" s="2" t="s">
        <v>62</v>
      </c>
      <c r="AD5" s="2" t="s">
        <v>63</v>
      </c>
      <c r="AE5" s="2" t="s">
        <v>64</v>
      </c>
      <c r="AF5" s="2" t="s">
        <v>65</v>
      </c>
      <c r="AG5" s="2" t="s">
        <v>66</v>
      </c>
      <c r="AH5" s="2" t="s">
        <v>67</v>
      </c>
      <c r="AI5" s="2" t="s">
        <v>68</v>
      </c>
      <c r="AJ5" s="2" t="s">
        <v>69</v>
      </c>
      <c r="AK5" s="2" t="s">
        <v>70</v>
      </c>
      <c r="AL5" s="2" t="s">
        <v>71</v>
      </c>
      <c r="AM5" s="2" t="s">
        <v>74</v>
      </c>
      <c r="AN5" s="2" t="s">
        <v>75</v>
      </c>
      <c r="AO5" s="2" t="s">
        <v>76</v>
      </c>
      <c r="AP5" s="2" t="s">
        <v>77</v>
      </c>
      <c r="AR5" s="1" t="s">
        <v>110</v>
      </c>
    </row>
    <row r="7" spans="1:97" x14ac:dyDescent="0.25">
      <c r="B7" s="6" t="s">
        <v>107</v>
      </c>
      <c r="C7" s="7"/>
      <c r="D7" s="62"/>
      <c r="E7" s="150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135"/>
      <c r="AR7" s="135"/>
    </row>
    <row r="9" spans="1:97" x14ac:dyDescent="0.25">
      <c r="C9" s="152" t="s">
        <v>955</v>
      </c>
      <c r="E9" s="160"/>
    </row>
    <row r="10" spans="1:97" x14ac:dyDescent="0.25">
      <c r="C10" s="152" t="s">
        <v>728</v>
      </c>
      <c r="E10" s="160"/>
    </row>
    <row r="11" spans="1:97" s="160" customFormat="1" x14ac:dyDescent="0.25">
      <c r="C11" s="152" t="s">
        <v>729</v>
      </c>
      <c r="D11" s="175"/>
    </row>
    <row r="12" spans="1:97" s="160" customFormat="1" x14ac:dyDescent="0.25">
      <c r="C12" s="152" t="s">
        <v>730</v>
      </c>
      <c r="D12" s="175"/>
    </row>
    <row r="13" spans="1:97" s="160" customFormat="1" x14ac:dyDescent="0.25">
      <c r="C13" s="152"/>
      <c r="D13" s="175"/>
    </row>
    <row r="14" spans="1:97" x14ac:dyDescent="0.25">
      <c r="C14" s="152" t="s">
        <v>489</v>
      </c>
      <c r="E14" s="160"/>
    </row>
    <row r="15" spans="1:97" x14ac:dyDescent="0.25">
      <c r="C15" s="152" t="s">
        <v>398</v>
      </c>
      <c r="E15" s="160"/>
    </row>
    <row r="17" spans="2:46" x14ac:dyDescent="0.25">
      <c r="B17" s="6" t="s">
        <v>533</v>
      </c>
      <c r="C17" s="7"/>
      <c r="D17" s="62"/>
      <c r="E17" s="150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135"/>
      <c r="AR17" s="135"/>
      <c r="AT17" s="32"/>
    </row>
    <row r="18" spans="2:46" x14ac:dyDescent="0.25">
      <c r="C18" s="89"/>
      <c r="AQ18" s="160"/>
    </row>
    <row r="19" spans="2:46" s="338" customFormat="1" x14ac:dyDescent="0.25">
      <c r="C19" s="22" t="str">
        <f ca="1">INDEX('Version control'!$H$34:$H$59,MATCH($A$1,'Version control'!$F$34:$F$59,0),1)&amp;"-A: Adjustments to standing charges"</f>
        <v>Section 504-A: Adjustments to standing charges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T19" s="272"/>
    </row>
    <row r="20" spans="2:46" s="338" customFormat="1" x14ac:dyDescent="0.25">
      <c r="C20" s="161"/>
      <c r="D20" s="175"/>
      <c r="E20" s="175"/>
    </row>
    <row r="21" spans="2:46" s="160" customFormat="1" x14ac:dyDescent="0.25">
      <c r="D21" s="152" t="s">
        <v>632</v>
      </c>
      <c r="E21" s="175"/>
      <c r="F21" s="175"/>
    </row>
    <row r="22" spans="2:46" s="160" customFormat="1" x14ac:dyDescent="0.25">
      <c r="D22" s="161"/>
      <c r="E22" s="175"/>
      <c r="F22" s="175"/>
    </row>
    <row r="23" spans="2:46" x14ac:dyDescent="0.25">
      <c r="D23" s="88"/>
      <c r="E23" s="87" t="s">
        <v>732</v>
      </c>
      <c r="F23" s="172"/>
      <c r="I23" s="88" t="s">
        <v>525</v>
      </c>
      <c r="AQ23" s="160"/>
      <c r="AR23" s="88" t="s">
        <v>951</v>
      </c>
    </row>
    <row r="24" spans="2:46" s="160" customFormat="1" x14ac:dyDescent="0.25">
      <c r="E24" s="152" t="s">
        <v>956</v>
      </c>
    </row>
    <row r="25" spans="2:46" x14ac:dyDescent="0.25">
      <c r="D25" s="89"/>
      <c r="E25" s="91"/>
      <c r="F25" s="180" t="s">
        <v>397</v>
      </c>
      <c r="G25" s="13" t="s">
        <v>111</v>
      </c>
      <c r="H25" s="13"/>
      <c r="I25" s="13"/>
      <c r="J25" s="248">
        <f>'Fixed inputs'!J89</f>
        <v>0</v>
      </c>
      <c r="K25" s="248">
        <f>'Fixed inputs'!K89</f>
        <v>0</v>
      </c>
      <c r="L25" s="248">
        <f>'Fixed inputs'!L89</f>
        <v>0</v>
      </c>
      <c r="M25" s="248">
        <f>'Fixed inputs'!M89</f>
        <v>0</v>
      </c>
      <c r="N25" s="248">
        <f>'Fixed inputs'!N89</f>
        <v>0</v>
      </c>
      <c r="O25" s="248">
        <f>'Fixed inputs'!O89</f>
        <v>0</v>
      </c>
      <c r="P25" s="248">
        <f>'Fixed inputs'!P89</f>
        <v>0</v>
      </c>
      <c r="Q25" s="248">
        <f>'Fixed inputs'!Q89</f>
        <v>0</v>
      </c>
      <c r="R25" s="248">
        <f>'Fixed inputs'!R89</f>
        <v>0</v>
      </c>
      <c r="S25" s="248">
        <f>'Fixed inputs'!S89</f>
        <v>0</v>
      </c>
      <c r="T25" s="248">
        <f>'Fixed inputs'!T89</f>
        <v>0</v>
      </c>
      <c r="U25" s="248">
        <f>'Fixed inputs'!U89</f>
        <v>0</v>
      </c>
      <c r="V25" s="248">
        <f>'Fixed inputs'!V89</f>
        <v>0</v>
      </c>
      <c r="W25" s="248">
        <f>'Fixed inputs'!W89</f>
        <v>0</v>
      </c>
      <c r="X25" s="248">
        <f>'Fixed inputs'!X89</f>
        <v>0</v>
      </c>
      <c r="Y25" s="248">
        <f>'Fixed inputs'!Y89</f>
        <v>0</v>
      </c>
      <c r="Z25" s="248">
        <f>'Fixed inputs'!Z89</f>
        <v>0</v>
      </c>
      <c r="AA25" s="248">
        <f>'Fixed inputs'!AA89</f>
        <v>0</v>
      </c>
      <c r="AB25" s="248">
        <f>'Fixed inputs'!AB89</f>
        <v>0</v>
      </c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13"/>
      <c r="AO25" s="113"/>
      <c r="AP25" s="113"/>
    </row>
    <row r="26" spans="2:46" x14ac:dyDescent="0.25">
      <c r="D26" s="89"/>
      <c r="E26" s="91"/>
      <c r="F26" s="176" t="s">
        <v>43</v>
      </c>
      <c r="G26" s="90" t="s">
        <v>111</v>
      </c>
      <c r="H26" s="90"/>
      <c r="I26" s="90"/>
      <c r="J26" s="247">
        <f>'Fixed inputs'!J90</f>
        <v>0</v>
      </c>
      <c r="K26" s="247">
        <f>'Fixed inputs'!K90</f>
        <v>0</v>
      </c>
      <c r="L26" s="247">
        <f>'Fixed inputs'!L90</f>
        <v>0</v>
      </c>
      <c r="M26" s="247">
        <f>'Fixed inputs'!M90</f>
        <v>0</v>
      </c>
      <c r="N26" s="247">
        <f>'Fixed inputs'!N90</f>
        <v>0</v>
      </c>
      <c r="O26" s="247">
        <f>'Fixed inputs'!O90</f>
        <v>0</v>
      </c>
      <c r="P26" s="247">
        <f>'Fixed inputs'!P90</f>
        <v>0</v>
      </c>
      <c r="Q26" s="247">
        <f>'Fixed inputs'!Q90</f>
        <v>0</v>
      </c>
      <c r="R26" s="247">
        <f>'Fixed inputs'!R90</f>
        <v>0</v>
      </c>
      <c r="S26" s="247">
        <f>'Fixed inputs'!S90</f>
        <v>0</v>
      </c>
      <c r="T26" s="247">
        <f>'Fixed inputs'!T90</f>
        <v>0</v>
      </c>
      <c r="U26" s="247">
        <f>'Fixed inputs'!U90</f>
        <v>0</v>
      </c>
      <c r="V26" s="247">
        <f>'Fixed inputs'!V90</f>
        <v>0</v>
      </c>
      <c r="W26" s="247">
        <f>'Fixed inputs'!W90</f>
        <v>0</v>
      </c>
      <c r="X26" s="247">
        <f>'Fixed inputs'!X90</f>
        <v>0</v>
      </c>
      <c r="Y26" s="247">
        <f>'Fixed inputs'!Y90</f>
        <v>0</v>
      </c>
      <c r="Z26" s="247">
        <f>'Fixed inputs'!Z90</f>
        <v>0</v>
      </c>
      <c r="AA26" s="247">
        <f>'Fixed inputs'!AA90</f>
        <v>0</v>
      </c>
      <c r="AB26" s="247">
        <f>'Fixed inputs'!AB90</f>
        <v>0</v>
      </c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</row>
    <row r="27" spans="2:46" x14ac:dyDescent="0.25">
      <c r="D27" s="89"/>
      <c r="E27" s="91"/>
      <c r="F27" s="176" t="s">
        <v>44</v>
      </c>
      <c r="G27" s="90" t="s">
        <v>111</v>
      </c>
      <c r="H27" s="90"/>
      <c r="I27" s="90"/>
      <c r="J27" s="247">
        <f>'Fixed inputs'!J91</f>
        <v>0</v>
      </c>
      <c r="K27" s="247">
        <f>'Fixed inputs'!K91</f>
        <v>0</v>
      </c>
      <c r="L27" s="247">
        <f>'Fixed inputs'!L91</f>
        <v>0</v>
      </c>
      <c r="M27" s="247">
        <f>'Fixed inputs'!M91</f>
        <v>0</v>
      </c>
      <c r="N27" s="247">
        <f>'Fixed inputs'!N91</f>
        <v>0</v>
      </c>
      <c r="O27" s="247">
        <f>'Fixed inputs'!O91</f>
        <v>0</v>
      </c>
      <c r="P27" s="247">
        <f>'Fixed inputs'!P91</f>
        <v>0</v>
      </c>
      <c r="Q27" s="247">
        <f>'Fixed inputs'!Q91</f>
        <v>0</v>
      </c>
      <c r="R27" s="247">
        <f>'Fixed inputs'!R91</f>
        <v>0</v>
      </c>
      <c r="S27" s="247">
        <f>'Fixed inputs'!S91</f>
        <v>0</v>
      </c>
      <c r="T27" s="247">
        <f>'Fixed inputs'!T91</f>
        <v>0</v>
      </c>
      <c r="U27" s="247">
        <f>'Fixed inputs'!U91</f>
        <v>0</v>
      </c>
      <c r="V27" s="247">
        <f>'Fixed inputs'!V91</f>
        <v>0</v>
      </c>
      <c r="W27" s="247">
        <f>'Fixed inputs'!W91</f>
        <v>0</v>
      </c>
      <c r="X27" s="247">
        <f>'Fixed inputs'!X91</f>
        <v>0</v>
      </c>
      <c r="Y27" s="247">
        <f>'Fixed inputs'!Y91</f>
        <v>0</v>
      </c>
      <c r="Z27" s="247">
        <f>'Fixed inputs'!Z91</f>
        <v>0</v>
      </c>
      <c r="AA27" s="247">
        <f>'Fixed inputs'!AA91</f>
        <v>0</v>
      </c>
      <c r="AB27" s="247">
        <f>'Fixed inputs'!AB91</f>
        <v>0</v>
      </c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</row>
    <row r="28" spans="2:46" x14ac:dyDescent="0.25">
      <c r="D28" s="89"/>
      <c r="E28" s="91"/>
      <c r="F28" s="176" t="s">
        <v>45</v>
      </c>
      <c r="G28" s="90" t="s">
        <v>111</v>
      </c>
      <c r="H28" s="90"/>
      <c r="I28" s="90"/>
      <c r="J28" s="247">
        <f>'Fixed inputs'!J92</f>
        <v>0</v>
      </c>
      <c r="K28" s="247">
        <f>'Fixed inputs'!K92</f>
        <v>0</v>
      </c>
      <c r="L28" s="247">
        <f>'Fixed inputs'!L92</f>
        <v>0</v>
      </c>
      <c r="M28" s="247">
        <f>'Fixed inputs'!M92</f>
        <v>0</v>
      </c>
      <c r="N28" s="247">
        <f>'Fixed inputs'!N92</f>
        <v>0</v>
      </c>
      <c r="O28" s="247">
        <f>'Fixed inputs'!O92</f>
        <v>0</v>
      </c>
      <c r="P28" s="247">
        <f>'Fixed inputs'!P92</f>
        <v>0</v>
      </c>
      <c r="Q28" s="247">
        <f>'Fixed inputs'!Q92</f>
        <v>0</v>
      </c>
      <c r="R28" s="247">
        <f>'Fixed inputs'!R92</f>
        <v>0</v>
      </c>
      <c r="S28" s="247">
        <f>'Fixed inputs'!S92</f>
        <v>0</v>
      </c>
      <c r="T28" s="247">
        <f>'Fixed inputs'!T92</f>
        <v>0</v>
      </c>
      <c r="U28" s="247">
        <f>'Fixed inputs'!U92</f>
        <v>0</v>
      </c>
      <c r="V28" s="247">
        <f>'Fixed inputs'!V92</f>
        <v>0</v>
      </c>
      <c r="W28" s="247">
        <f>'Fixed inputs'!W92</f>
        <v>0</v>
      </c>
      <c r="X28" s="247">
        <f>'Fixed inputs'!X92</f>
        <v>0</v>
      </c>
      <c r="Y28" s="247">
        <f>'Fixed inputs'!Y92</f>
        <v>0</v>
      </c>
      <c r="Z28" s="247">
        <f>'Fixed inputs'!Z92</f>
        <v>0</v>
      </c>
      <c r="AA28" s="247">
        <f>'Fixed inputs'!AA92</f>
        <v>0</v>
      </c>
      <c r="AB28" s="247">
        <f>'Fixed inputs'!AB92</f>
        <v>0</v>
      </c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</row>
    <row r="29" spans="2:46" x14ac:dyDescent="0.25">
      <c r="D29" s="89"/>
      <c r="E29" s="91"/>
      <c r="F29" s="176" t="s">
        <v>46</v>
      </c>
      <c r="G29" s="90" t="s">
        <v>111</v>
      </c>
      <c r="H29" s="90"/>
      <c r="I29" s="90"/>
      <c r="J29" s="247">
        <f>'Fixed inputs'!J93</f>
        <v>0</v>
      </c>
      <c r="K29" s="247">
        <f>'Fixed inputs'!K93</f>
        <v>0</v>
      </c>
      <c r="L29" s="247">
        <f>'Fixed inputs'!L93</f>
        <v>0</v>
      </c>
      <c r="M29" s="247">
        <f>'Fixed inputs'!M93</f>
        <v>0</v>
      </c>
      <c r="N29" s="247">
        <f>'Fixed inputs'!N93</f>
        <v>0</v>
      </c>
      <c r="O29" s="247">
        <f>'Fixed inputs'!O93</f>
        <v>0</v>
      </c>
      <c r="P29" s="247">
        <f>'Fixed inputs'!P93</f>
        <v>0</v>
      </c>
      <c r="Q29" s="247">
        <f>'Fixed inputs'!Q93</f>
        <v>0</v>
      </c>
      <c r="R29" s="247">
        <f>'Fixed inputs'!R93</f>
        <v>0.2</v>
      </c>
      <c r="S29" s="247">
        <f>'Fixed inputs'!S93</f>
        <v>0</v>
      </c>
      <c r="T29" s="247">
        <f>'Fixed inputs'!T93</f>
        <v>0</v>
      </c>
      <c r="U29" s="247">
        <f>'Fixed inputs'!U93</f>
        <v>0</v>
      </c>
      <c r="V29" s="247">
        <f>'Fixed inputs'!V93</f>
        <v>0</v>
      </c>
      <c r="W29" s="247">
        <f>'Fixed inputs'!W93</f>
        <v>0.2</v>
      </c>
      <c r="X29" s="247">
        <f>'Fixed inputs'!X93</f>
        <v>0</v>
      </c>
      <c r="Y29" s="247">
        <f>'Fixed inputs'!Y93</f>
        <v>0</v>
      </c>
      <c r="Z29" s="247">
        <f>'Fixed inputs'!Z93</f>
        <v>0</v>
      </c>
      <c r="AA29" s="247">
        <f>'Fixed inputs'!AA93</f>
        <v>0</v>
      </c>
      <c r="AB29" s="247">
        <f>'Fixed inputs'!AB93</f>
        <v>0</v>
      </c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</row>
    <row r="30" spans="2:46" x14ac:dyDescent="0.25">
      <c r="D30" s="89"/>
      <c r="E30" s="91"/>
      <c r="F30" s="176" t="s">
        <v>47</v>
      </c>
      <c r="G30" s="90" t="s">
        <v>111</v>
      </c>
      <c r="H30" s="90"/>
      <c r="I30" s="90"/>
      <c r="J30" s="247">
        <f>'Fixed inputs'!J94</f>
        <v>0</v>
      </c>
      <c r="K30" s="247">
        <f>'Fixed inputs'!K94</f>
        <v>0</v>
      </c>
      <c r="L30" s="247">
        <f>'Fixed inputs'!L94</f>
        <v>0</v>
      </c>
      <c r="M30" s="247">
        <f>'Fixed inputs'!M94</f>
        <v>0</v>
      </c>
      <c r="N30" s="247">
        <f>'Fixed inputs'!N94</f>
        <v>0</v>
      </c>
      <c r="O30" s="247">
        <f>'Fixed inputs'!O94</f>
        <v>0</v>
      </c>
      <c r="P30" s="247">
        <f>'Fixed inputs'!P94</f>
        <v>0</v>
      </c>
      <c r="Q30" s="247">
        <f>'Fixed inputs'!Q94</f>
        <v>0</v>
      </c>
      <c r="R30" s="247">
        <f>'Fixed inputs'!R94</f>
        <v>1</v>
      </c>
      <c r="S30" s="247">
        <f>'Fixed inputs'!S94</f>
        <v>0</v>
      </c>
      <c r="T30" s="247">
        <f>'Fixed inputs'!T94</f>
        <v>0</v>
      </c>
      <c r="U30" s="247">
        <f>'Fixed inputs'!U94</f>
        <v>0</v>
      </c>
      <c r="V30" s="247">
        <f>'Fixed inputs'!V94</f>
        <v>0</v>
      </c>
      <c r="W30" s="247">
        <f>'Fixed inputs'!W94</f>
        <v>1</v>
      </c>
      <c r="X30" s="247">
        <f>'Fixed inputs'!X94</f>
        <v>0</v>
      </c>
      <c r="Y30" s="247">
        <f>'Fixed inputs'!Y94</f>
        <v>0</v>
      </c>
      <c r="Z30" s="247">
        <f>'Fixed inputs'!Z94</f>
        <v>0</v>
      </c>
      <c r="AA30" s="247">
        <f>'Fixed inputs'!AA94</f>
        <v>0</v>
      </c>
      <c r="AB30" s="247">
        <f>'Fixed inputs'!AB94</f>
        <v>0</v>
      </c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</row>
    <row r="31" spans="2:46" x14ac:dyDescent="0.25">
      <c r="D31" s="89"/>
      <c r="E31" s="91"/>
      <c r="F31" s="176" t="s">
        <v>51</v>
      </c>
      <c r="G31" s="90" t="s">
        <v>111</v>
      </c>
      <c r="H31" s="90"/>
      <c r="I31" s="90"/>
      <c r="J31" s="247">
        <f>'Fixed inputs'!J95</f>
        <v>0</v>
      </c>
      <c r="K31" s="247">
        <f>'Fixed inputs'!K95</f>
        <v>0</v>
      </c>
      <c r="L31" s="247">
        <f>'Fixed inputs'!L95</f>
        <v>0</v>
      </c>
      <c r="M31" s="247">
        <f>'Fixed inputs'!M95</f>
        <v>0</v>
      </c>
      <c r="N31" s="247">
        <f>'Fixed inputs'!N95</f>
        <v>0</v>
      </c>
      <c r="O31" s="247">
        <f>'Fixed inputs'!O95</f>
        <v>0</v>
      </c>
      <c r="P31" s="247">
        <f>'Fixed inputs'!P95</f>
        <v>0</v>
      </c>
      <c r="Q31" s="247">
        <f>'Fixed inputs'!Q95</f>
        <v>0</v>
      </c>
      <c r="R31" s="247">
        <f>'Fixed inputs'!R95</f>
        <v>0</v>
      </c>
      <c r="S31" s="247">
        <f>'Fixed inputs'!S95</f>
        <v>0</v>
      </c>
      <c r="T31" s="247">
        <f>'Fixed inputs'!T95</f>
        <v>0</v>
      </c>
      <c r="U31" s="247">
        <f>'Fixed inputs'!U95</f>
        <v>0</v>
      </c>
      <c r="V31" s="247">
        <f>'Fixed inputs'!V95</f>
        <v>0</v>
      </c>
      <c r="W31" s="247">
        <f>'Fixed inputs'!W95</f>
        <v>0</v>
      </c>
      <c r="X31" s="247">
        <f>'Fixed inputs'!X95</f>
        <v>0</v>
      </c>
      <c r="Y31" s="247">
        <f>'Fixed inputs'!Y95</f>
        <v>0</v>
      </c>
      <c r="Z31" s="247">
        <f>'Fixed inputs'!Z95</f>
        <v>0</v>
      </c>
      <c r="AA31" s="247">
        <f>'Fixed inputs'!AA95</f>
        <v>0</v>
      </c>
      <c r="AB31" s="247">
        <f>'Fixed inputs'!AB95</f>
        <v>0</v>
      </c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</row>
    <row r="32" spans="2:46" x14ac:dyDescent="0.25">
      <c r="D32" s="89"/>
      <c r="E32" s="91"/>
      <c r="F32" s="176" t="s">
        <v>48</v>
      </c>
      <c r="G32" s="90" t="s">
        <v>111</v>
      </c>
      <c r="H32" s="90"/>
      <c r="I32" s="90"/>
      <c r="J32" s="247">
        <f>'Fixed inputs'!J96</f>
        <v>0</v>
      </c>
      <c r="K32" s="247">
        <f>'Fixed inputs'!K96</f>
        <v>0</v>
      </c>
      <c r="L32" s="247">
        <f>'Fixed inputs'!L96</f>
        <v>0</v>
      </c>
      <c r="M32" s="247">
        <f>'Fixed inputs'!M96</f>
        <v>0</v>
      </c>
      <c r="N32" s="247">
        <f>'Fixed inputs'!N96</f>
        <v>0</v>
      </c>
      <c r="O32" s="247">
        <f>'Fixed inputs'!O96</f>
        <v>0</v>
      </c>
      <c r="P32" s="247">
        <f>'Fixed inputs'!P96</f>
        <v>0</v>
      </c>
      <c r="Q32" s="247">
        <f>'Fixed inputs'!Q96</f>
        <v>0</v>
      </c>
      <c r="R32" s="247">
        <f>'Fixed inputs'!R96</f>
        <v>1</v>
      </c>
      <c r="S32" s="247">
        <f>'Fixed inputs'!S96</f>
        <v>0</v>
      </c>
      <c r="T32" s="247">
        <f>'Fixed inputs'!T96</f>
        <v>0</v>
      </c>
      <c r="U32" s="247">
        <f>'Fixed inputs'!U96</f>
        <v>0.2</v>
      </c>
      <c r="V32" s="247">
        <f>'Fixed inputs'!V96</f>
        <v>1</v>
      </c>
      <c r="W32" s="247">
        <f>'Fixed inputs'!W96</f>
        <v>1</v>
      </c>
      <c r="X32" s="247">
        <f>'Fixed inputs'!X96</f>
        <v>0</v>
      </c>
      <c r="Y32" s="247">
        <f>'Fixed inputs'!Y96</f>
        <v>0</v>
      </c>
      <c r="Z32" s="247">
        <f>'Fixed inputs'!Z96</f>
        <v>0</v>
      </c>
      <c r="AA32" s="247">
        <f>'Fixed inputs'!AA96</f>
        <v>0</v>
      </c>
      <c r="AB32" s="247">
        <f>'Fixed inputs'!AB96</f>
        <v>0</v>
      </c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</row>
    <row r="33" spans="4:44" x14ac:dyDescent="0.25">
      <c r="D33" s="89"/>
      <c r="E33" s="91"/>
      <c r="F33" s="176" t="s">
        <v>49</v>
      </c>
      <c r="G33" s="90" t="s">
        <v>111</v>
      </c>
      <c r="H33" s="90"/>
      <c r="I33" s="90"/>
      <c r="J33" s="247">
        <f>'Fixed inputs'!J97</f>
        <v>0</v>
      </c>
      <c r="K33" s="247">
        <f>'Fixed inputs'!K97</f>
        <v>0</v>
      </c>
      <c r="L33" s="247">
        <f>'Fixed inputs'!L97</f>
        <v>0</v>
      </c>
      <c r="M33" s="247">
        <f>'Fixed inputs'!M97</f>
        <v>0</v>
      </c>
      <c r="N33" s="247">
        <f>'Fixed inputs'!N97</f>
        <v>0</v>
      </c>
      <c r="O33" s="247">
        <f>'Fixed inputs'!O97</f>
        <v>0</v>
      </c>
      <c r="P33" s="247">
        <f>'Fixed inputs'!P97</f>
        <v>0</v>
      </c>
      <c r="Q33" s="247">
        <f>'Fixed inputs'!Q97</f>
        <v>1</v>
      </c>
      <c r="R33" s="247">
        <f>'Fixed inputs'!R97</f>
        <v>0</v>
      </c>
      <c r="S33" s="247">
        <f>'Fixed inputs'!S97</f>
        <v>0</v>
      </c>
      <c r="T33" s="247">
        <f>'Fixed inputs'!T97</f>
        <v>0</v>
      </c>
      <c r="U33" s="247">
        <f>'Fixed inputs'!U97</f>
        <v>1</v>
      </c>
      <c r="V33" s="247">
        <f>'Fixed inputs'!V97</f>
        <v>1</v>
      </c>
      <c r="W33" s="247">
        <f>'Fixed inputs'!W97</f>
        <v>0</v>
      </c>
      <c r="X33" s="247">
        <f>'Fixed inputs'!X97</f>
        <v>0</v>
      </c>
      <c r="Y33" s="247">
        <f>'Fixed inputs'!Y97</f>
        <v>0</v>
      </c>
      <c r="Z33" s="247">
        <f>'Fixed inputs'!Z97</f>
        <v>0</v>
      </c>
      <c r="AA33" s="247">
        <f>'Fixed inputs'!AA97</f>
        <v>0</v>
      </c>
      <c r="AB33" s="247">
        <f>'Fixed inputs'!AB97</f>
        <v>0</v>
      </c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</row>
    <row r="34" spans="4:44" x14ac:dyDescent="0.25">
      <c r="D34" s="89"/>
      <c r="E34" s="91"/>
      <c r="F34" s="176" t="s">
        <v>50</v>
      </c>
      <c r="G34" s="90" t="s">
        <v>111</v>
      </c>
      <c r="H34" s="90"/>
      <c r="I34" s="90"/>
      <c r="J34" s="247">
        <f>'Fixed inputs'!J98</f>
        <v>1</v>
      </c>
      <c r="K34" s="247">
        <f>'Fixed inputs'!K98</f>
        <v>1</v>
      </c>
      <c r="L34" s="247">
        <f>'Fixed inputs'!L98</f>
        <v>1</v>
      </c>
      <c r="M34" s="247">
        <f>'Fixed inputs'!M98</f>
        <v>1</v>
      </c>
      <c r="N34" s="247">
        <f>'Fixed inputs'!N98</f>
        <v>1</v>
      </c>
      <c r="O34" s="247">
        <f>'Fixed inputs'!O98</f>
        <v>1</v>
      </c>
      <c r="P34" s="247">
        <f>'Fixed inputs'!P98</f>
        <v>1</v>
      </c>
      <c r="Q34" s="247">
        <f>'Fixed inputs'!Q98</f>
        <v>0</v>
      </c>
      <c r="R34" s="247">
        <f>'Fixed inputs'!R98</f>
        <v>0</v>
      </c>
      <c r="S34" s="247">
        <f>'Fixed inputs'!S98</f>
        <v>1</v>
      </c>
      <c r="T34" s="247">
        <f>'Fixed inputs'!T98</f>
        <v>1</v>
      </c>
      <c r="U34" s="247">
        <f>'Fixed inputs'!U98</f>
        <v>1</v>
      </c>
      <c r="V34" s="247">
        <f>'Fixed inputs'!V98</f>
        <v>0</v>
      </c>
      <c r="W34" s="247">
        <f>'Fixed inputs'!W98</f>
        <v>0</v>
      </c>
      <c r="X34" s="247">
        <f>'Fixed inputs'!X98</f>
        <v>0</v>
      </c>
      <c r="Y34" s="247">
        <f>'Fixed inputs'!Y98</f>
        <v>0</v>
      </c>
      <c r="Z34" s="247">
        <f>'Fixed inputs'!Z98</f>
        <v>0</v>
      </c>
      <c r="AA34" s="247">
        <f>'Fixed inputs'!AA98</f>
        <v>0</v>
      </c>
      <c r="AB34" s="247">
        <f>'Fixed inputs'!AB98</f>
        <v>0</v>
      </c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</row>
    <row r="35" spans="4:44" x14ac:dyDescent="0.25">
      <c r="D35" s="89"/>
      <c r="E35" s="91"/>
      <c r="F35" s="176" t="s">
        <v>141</v>
      </c>
      <c r="G35" s="90" t="s">
        <v>111</v>
      </c>
      <c r="H35" s="90"/>
      <c r="I35" s="90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160"/>
    </row>
    <row r="36" spans="4:44" x14ac:dyDescent="0.25">
      <c r="D36" s="89"/>
      <c r="E36" s="91"/>
      <c r="F36" s="177" t="s">
        <v>140</v>
      </c>
      <c r="G36" s="16" t="s">
        <v>111</v>
      </c>
      <c r="H36" s="16"/>
      <c r="I36" s="16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160"/>
    </row>
    <row r="37" spans="4:44" x14ac:dyDescent="0.25">
      <c r="D37" s="89"/>
      <c r="E37" s="91"/>
      <c r="F37" s="175"/>
      <c r="AQ37" s="160"/>
    </row>
    <row r="38" spans="4:44" s="131" customFormat="1" x14ac:dyDescent="0.25">
      <c r="E38" s="144" t="s">
        <v>760</v>
      </c>
      <c r="F38" s="175"/>
      <c r="AQ38" s="160"/>
    </row>
    <row r="39" spans="4:44" s="131" customFormat="1" x14ac:dyDescent="0.25">
      <c r="D39" s="132"/>
      <c r="F39" s="145" t="s">
        <v>760</v>
      </c>
      <c r="G39" s="145" t="s">
        <v>111</v>
      </c>
      <c r="H39" s="181">
        <f>'Inputs by network level'!P20</f>
        <v>0</v>
      </c>
      <c r="AQ39" s="160"/>
    </row>
    <row r="40" spans="4:44" s="131" customFormat="1" x14ac:dyDescent="0.25">
      <c r="D40" s="132"/>
      <c r="E40" s="147"/>
      <c r="F40" s="175"/>
      <c r="AQ40" s="160"/>
    </row>
    <row r="41" spans="4:44" x14ac:dyDescent="0.25">
      <c r="D41" s="88"/>
      <c r="E41" s="87" t="s">
        <v>733</v>
      </c>
      <c r="F41" s="172"/>
      <c r="AQ41" s="160"/>
    </row>
    <row r="42" spans="4:44" s="160" customFormat="1" x14ac:dyDescent="0.25">
      <c r="E42" s="152" t="s">
        <v>957</v>
      </c>
    </row>
    <row r="43" spans="4:44" x14ac:dyDescent="0.25">
      <c r="D43" s="89"/>
      <c r="E43" s="91"/>
      <c r="F43" s="72" t="s">
        <v>397</v>
      </c>
      <c r="G43" s="13" t="s">
        <v>111</v>
      </c>
      <c r="H43" s="13"/>
      <c r="I43" s="13"/>
      <c r="J43" s="113"/>
      <c r="K43" s="113"/>
      <c r="L43" s="113"/>
      <c r="M43" s="113"/>
      <c r="N43" s="113"/>
      <c r="O43" s="113"/>
      <c r="P43" s="113"/>
      <c r="Q43" s="113"/>
      <c r="R43" s="113"/>
      <c r="S43" s="113"/>
      <c r="T43" s="113"/>
      <c r="U43" s="113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  <c r="AF43" s="113"/>
      <c r="AG43" s="113"/>
      <c r="AH43" s="113"/>
      <c r="AI43" s="113"/>
      <c r="AJ43" s="113"/>
      <c r="AK43" s="113"/>
      <c r="AL43" s="113"/>
      <c r="AM43" s="113"/>
      <c r="AN43" s="113"/>
      <c r="AO43" s="113"/>
      <c r="AP43" s="113"/>
    </row>
    <row r="44" spans="4:44" x14ac:dyDescent="0.25">
      <c r="D44" s="89"/>
      <c r="E44" s="91"/>
      <c r="F44" s="66" t="s">
        <v>43</v>
      </c>
      <c r="G44" s="90" t="s">
        <v>111</v>
      </c>
      <c r="H44" s="90"/>
      <c r="I44" s="90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</row>
    <row r="45" spans="4:44" x14ac:dyDescent="0.25">
      <c r="D45" s="89"/>
      <c r="E45" s="91"/>
      <c r="F45" s="125" t="s">
        <v>44</v>
      </c>
      <c r="G45" s="14" t="s">
        <v>111</v>
      </c>
      <c r="H45" s="14"/>
      <c r="I45" s="14" t="s">
        <v>525</v>
      </c>
      <c r="J45" s="220">
        <f>IF($H$39 = 0, J25, J29 * $H$39)</f>
        <v>0</v>
      </c>
      <c r="K45" s="220">
        <f t="shared" ref="K45:AB45" si="0">IF($H$39 = 0, K25, K29 * $H$39)</f>
        <v>0</v>
      </c>
      <c r="L45" s="220">
        <f t="shared" si="0"/>
        <v>0</v>
      </c>
      <c r="M45" s="220">
        <f t="shared" si="0"/>
        <v>0</v>
      </c>
      <c r="N45" s="220">
        <f t="shared" si="0"/>
        <v>0</v>
      </c>
      <c r="O45" s="220">
        <f t="shared" si="0"/>
        <v>0</v>
      </c>
      <c r="P45" s="220">
        <f t="shared" si="0"/>
        <v>0</v>
      </c>
      <c r="Q45" s="220">
        <f t="shared" si="0"/>
        <v>0</v>
      </c>
      <c r="R45" s="220">
        <f t="shared" si="0"/>
        <v>0</v>
      </c>
      <c r="S45" s="220">
        <f t="shared" si="0"/>
        <v>0</v>
      </c>
      <c r="T45" s="220">
        <f t="shared" si="0"/>
        <v>0</v>
      </c>
      <c r="U45" s="220">
        <f t="shared" si="0"/>
        <v>0</v>
      </c>
      <c r="V45" s="220">
        <f t="shared" si="0"/>
        <v>0</v>
      </c>
      <c r="W45" s="220">
        <f t="shared" si="0"/>
        <v>0</v>
      </c>
      <c r="X45" s="220">
        <f t="shared" si="0"/>
        <v>0</v>
      </c>
      <c r="Y45" s="220">
        <f t="shared" si="0"/>
        <v>0</v>
      </c>
      <c r="Z45" s="220">
        <f t="shared" si="0"/>
        <v>0</v>
      </c>
      <c r="AA45" s="220">
        <f t="shared" si="0"/>
        <v>0</v>
      </c>
      <c r="AB45" s="220">
        <f t="shared" si="0"/>
        <v>0</v>
      </c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R45" s="160" t="s">
        <v>958</v>
      </c>
    </row>
    <row r="46" spans="4:44" x14ac:dyDescent="0.25">
      <c r="D46" s="89"/>
      <c r="E46" s="91"/>
      <c r="F46" s="66" t="s">
        <v>45</v>
      </c>
      <c r="G46" s="90" t="s">
        <v>111</v>
      </c>
      <c r="H46" s="90"/>
      <c r="I46" s="90"/>
      <c r="J46" s="41">
        <f t="shared" ref="J46:AB46" si="1">J28</f>
        <v>0</v>
      </c>
      <c r="K46" s="41">
        <f t="shared" si="1"/>
        <v>0</v>
      </c>
      <c r="L46" s="41">
        <f t="shared" si="1"/>
        <v>0</v>
      </c>
      <c r="M46" s="41">
        <f t="shared" si="1"/>
        <v>0</v>
      </c>
      <c r="N46" s="41">
        <f t="shared" si="1"/>
        <v>0</v>
      </c>
      <c r="O46" s="41">
        <f t="shared" si="1"/>
        <v>0</v>
      </c>
      <c r="P46" s="41">
        <f t="shared" si="1"/>
        <v>0</v>
      </c>
      <c r="Q46" s="41">
        <f t="shared" si="1"/>
        <v>0</v>
      </c>
      <c r="R46" s="41">
        <f t="shared" si="1"/>
        <v>0</v>
      </c>
      <c r="S46" s="41">
        <f t="shared" si="1"/>
        <v>0</v>
      </c>
      <c r="T46" s="41">
        <f t="shared" si="1"/>
        <v>0</v>
      </c>
      <c r="U46" s="41">
        <f t="shared" si="1"/>
        <v>0</v>
      </c>
      <c r="V46" s="41">
        <f t="shared" si="1"/>
        <v>0</v>
      </c>
      <c r="W46" s="41">
        <f t="shared" si="1"/>
        <v>0</v>
      </c>
      <c r="X46" s="41">
        <f t="shared" si="1"/>
        <v>0</v>
      </c>
      <c r="Y46" s="41">
        <f t="shared" si="1"/>
        <v>0</v>
      </c>
      <c r="Z46" s="41">
        <f t="shared" si="1"/>
        <v>0</v>
      </c>
      <c r="AA46" s="41">
        <f t="shared" si="1"/>
        <v>0</v>
      </c>
      <c r="AB46" s="41">
        <f t="shared" si="1"/>
        <v>0</v>
      </c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R46" s="160"/>
    </row>
    <row r="47" spans="4:44" x14ac:dyDescent="0.25">
      <c r="D47" s="89"/>
      <c r="E47" s="91"/>
      <c r="F47" s="66" t="s">
        <v>46</v>
      </c>
      <c r="G47" s="90" t="s">
        <v>111</v>
      </c>
      <c r="H47" s="90"/>
      <c r="I47" s="90"/>
      <c r="J47" s="41">
        <f t="shared" ref="J47:AB47" si="2">J29</f>
        <v>0</v>
      </c>
      <c r="K47" s="41">
        <f t="shared" si="2"/>
        <v>0</v>
      </c>
      <c r="L47" s="41">
        <f t="shared" si="2"/>
        <v>0</v>
      </c>
      <c r="M47" s="41">
        <f t="shared" si="2"/>
        <v>0</v>
      </c>
      <c r="N47" s="41">
        <f t="shared" si="2"/>
        <v>0</v>
      </c>
      <c r="O47" s="41">
        <f t="shared" si="2"/>
        <v>0</v>
      </c>
      <c r="P47" s="41">
        <f t="shared" si="2"/>
        <v>0</v>
      </c>
      <c r="Q47" s="41">
        <f t="shared" si="2"/>
        <v>0</v>
      </c>
      <c r="R47" s="41">
        <f t="shared" si="2"/>
        <v>0.2</v>
      </c>
      <c r="S47" s="41">
        <f t="shared" si="2"/>
        <v>0</v>
      </c>
      <c r="T47" s="41">
        <f t="shared" si="2"/>
        <v>0</v>
      </c>
      <c r="U47" s="41">
        <f t="shared" si="2"/>
        <v>0</v>
      </c>
      <c r="V47" s="41">
        <f t="shared" si="2"/>
        <v>0</v>
      </c>
      <c r="W47" s="41">
        <f t="shared" si="2"/>
        <v>0.2</v>
      </c>
      <c r="X47" s="41">
        <f t="shared" si="2"/>
        <v>0</v>
      </c>
      <c r="Y47" s="41">
        <f t="shared" si="2"/>
        <v>0</v>
      </c>
      <c r="Z47" s="41">
        <f t="shared" si="2"/>
        <v>0</v>
      </c>
      <c r="AA47" s="41">
        <f t="shared" si="2"/>
        <v>0</v>
      </c>
      <c r="AB47" s="41">
        <f t="shared" si="2"/>
        <v>0</v>
      </c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R47" s="160"/>
    </row>
    <row r="48" spans="4:44" x14ac:dyDescent="0.25">
      <c r="D48" s="89"/>
      <c r="E48" s="91"/>
      <c r="F48" s="66" t="s">
        <v>47</v>
      </c>
      <c r="G48" s="90" t="s">
        <v>111</v>
      </c>
      <c r="H48" s="90"/>
      <c r="I48" s="90"/>
      <c r="J48" s="41">
        <f t="shared" ref="J48:AB48" si="3">J30</f>
        <v>0</v>
      </c>
      <c r="K48" s="41">
        <f t="shared" si="3"/>
        <v>0</v>
      </c>
      <c r="L48" s="41">
        <f t="shared" si="3"/>
        <v>0</v>
      </c>
      <c r="M48" s="41">
        <f t="shared" si="3"/>
        <v>0</v>
      </c>
      <c r="N48" s="41">
        <f t="shared" si="3"/>
        <v>0</v>
      </c>
      <c r="O48" s="41">
        <f t="shared" si="3"/>
        <v>0</v>
      </c>
      <c r="P48" s="41">
        <f t="shared" si="3"/>
        <v>0</v>
      </c>
      <c r="Q48" s="41">
        <f t="shared" si="3"/>
        <v>0</v>
      </c>
      <c r="R48" s="41">
        <f t="shared" si="3"/>
        <v>1</v>
      </c>
      <c r="S48" s="41">
        <f t="shared" si="3"/>
        <v>0</v>
      </c>
      <c r="T48" s="41">
        <f t="shared" si="3"/>
        <v>0</v>
      </c>
      <c r="U48" s="41">
        <f t="shared" si="3"/>
        <v>0</v>
      </c>
      <c r="V48" s="41">
        <f t="shared" si="3"/>
        <v>0</v>
      </c>
      <c r="W48" s="41">
        <f t="shared" si="3"/>
        <v>1</v>
      </c>
      <c r="X48" s="41">
        <f t="shared" si="3"/>
        <v>0</v>
      </c>
      <c r="Y48" s="41">
        <f t="shared" si="3"/>
        <v>0</v>
      </c>
      <c r="Z48" s="41">
        <f t="shared" si="3"/>
        <v>0</v>
      </c>
      <c r="AA48" s="41">
        <f t="shared" si="3"/>
        <v>0</v>
      </c>
      <c r="AB48" s="41">
        <f t="shared" si="3"/>
        <v>0</v>
      </c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R48" s="160"/>
    </row>
    <row r="49" spans="2:44" x14ac:dyDescent="0.25">
      <c r="D49" s="89"/>
      <c r="E49" s="91"/>
      <c r="F49" s="125" t="s">
        <v>51</v>
      </c>
      <c r="G49" s="14" t="s">
        <v>111</v>
      </c>
      <c r="H49" s="14"/>
      <c r="I49" s="14" t="s">
        <v>525</v>
      </c>
      <c r="J49" s="220">
        <f>J30</f>
        <v>0</v>
      </c>
      <c r="K49" s="220">
        <f t="shared" ref="K49:AB49" si="4">K30</f>
        <v>0</v>
      </c>
      <c r="L49" s="220">
        <f t="shared" si="4"/>
        <v>0</v>
      </c>
      <c r="M49" s="220">
        <f t="shared" si="4"/>
        <v>0</v>
      </c>
      <c r="N49" s="220">
        <f t="shared" si="4"/>
        <v>0</v>
      </c>
      <c r="O49" s="220">
        <f t="shared" si="4"/>
        <v>0</v>
      </c>
      <c r="P49" s="220">
        <f t="shared" si="4"/>
        <v>0</v>
      </c>
      <c r="Q49" s="220">
        <f t="shared" si="4"/>
        <v>0</v>
      </c>
      <c r="R49" s="220">
        <f t="shared" si="4"/>
        <v>1</v>
      </c>
      <c r="S49" s="220">
        <f t="shared" si="4"/>
        <v>0</v>
      </c>
      <c r="T49" s="220">
        <f t="shared" si="4"/>
        <v>0</v>
      </c>
      <c r="U49" s="220">
        <f t="shared" si="4"/>
        <v>0</v>
      </c>
      <c r="V49" s="220">
        <f t="shared" si="4"/>
        <v>0</v>
      </c>
      <c r="W49" s="220">
        <f t="shared" si="4"/>
        <v>1</v>
      </c>
      <c r="X49" s="220">
        <f t="shared" si="4"/>
        <v>0</v>
      </c>
      <c r="Y49" s="220">
        <f t="shared" si="4"/>
        <v>0</v>
      </c>
      <c r="Z49" s="220">
        <f t="shared" si="4"/>
        <v>0</v>
      </c>
      <c r="AA49" s="220">
        <f t="shared" si="4"/>
        <v>0</v>
      </c>
      <c r="AB49" s="220">
        <f t="shared" si="4"/>
        <v>0</v>
      </c>
      <c r="AC49" s="115"/>
      <c r="AD49" s="115"/>
      <c r="AE49" s="115"/>
      <c r="AF49" s="115"/>
      <c r="AG49" s="115"/>
      <c r="AH49" s="115"/>
      <c r="AI49" s="115"/>
      <c r="AJ49" s="115"/>
      <c r="AK49" s="115"/>
      <c r="AL49" s="115"/>
      <c r="AM49" s="115"/>
      <c r="AN49" s="115"/>
      <c r="AO49" s="115"/>
      <c r="AP49" s="115"/>
      <c r="AR49" s="160" t="s">
        <v>959</v>
      </c>
    </row>
    <row r="50" spans="2:44" x14ac:dyDescent="0.25">
      <c r="D50" s="89"/>
      <c r="E50" s="91"/>
      <c r="F50" s="66" t="s">
        <v>48</v>
      </c>
      <c r="G50" s="90" t="s">
        <v>111</v>
      </c>
      <c r="H50" s="90"/>
      <c r="I50" s="90"/>
      <c r="J50" s="41">
        <f t="shared" ref="J50:AB50" si="5">J32</f>
        <v>0</v>
      </c>
      <c r="K50" s="41">
        <f t="shared" si="5"/>
        <v>0</v>
      </c>
      <c r="L50" s="41">
        <f t="shared" si="5"/>
        <v>0</v>
      </c>
      <c r="M50" s="41">
        <f t="shared" si="5"/>
        <v>0</v>
      </c>
      <c r="N50" s="41">
        <f t="shared" si="5"/>
        <v>0</v>
      </c>
      <c r="O50" s="41">
        <f t="shared" si="5"/>
        <v>0</v>
      </c>
      <c r="P50" s="41">
        <f t="shared" si="5"/>
        <v>0</v>
      </c>
      <c r="Q50" s="41">
        <f t="shared" si="5"/>
        <v>0</v>
      </c>
      <c r="R50" s="41">
        <f t="shared" si="5"/>
        <v>1</v>
      </c>
      <c r="S50" s="41">
        <f t="shared" si="5"/>
        <v>0</v>
      </c>
      <c r="T50" s="41">
        <f t="shared" si="5"/>
        <v>0</v>
      </c>
      <c r="U50" s="41">
        <f t="shared" si="5"/>
        <v>0.2</v>
      </c>
      <c r="V50" s="41">
        <f t="shared" si="5"/>
        <v>1</v>
      </c>
      <c r="W50" s="41">
        <f t="shared" si="5"/>
        <v>1</v>
      </c>
      <c r="X50" s="41">
        <f t="shared" si="5"/>
        <v>0</v>
      </c>
      <c r="Y50" s="41">
        <f t="shared" si="5"/>
        <v>0</v>
      </c>
      <c r="Z50" s="41">
        <f t="shared" si="5"/>
        <v>0</v>
      </c>
      <c r="AA50" s="41">
        <f t="shared" si="5"/>
        <v>0</v>
      </c>
      <c r="AB50" s="41">
        <f t="shared" si="5"/>
        <v>0</v>
      </c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R50" s="160"/>
    </row>
    <row r="51" spans="2:44" x14ac:dyDescent="0.25">
      <c r="D51" s="89"/>
      <c r="E51" s="91"/>
      <c r="F51" s="66" t="s">
        <v>49</v>
      </c>
      <c r="G51" s="90" t="s">
        <v>111</v>
      </c>
      <c r="H51" s="90"/>
      <c r="I51" s="90"/>
      <c r="J51" s="41">
        <f t="shared" ref="J51:AB51" si="6">J33</f>
        <v>0</v>
      </c>
      <c r="K51" s="41">
        <f t="shared" si="6"/>
        <v>0</v>
      </c>
      <c r="L51" s="41">
        <f t="shared" si="6"/>
        <v>0</v>
      </c>
      <c r="M51" s="41">
        <f t="shared" si="6"/>
        <v>0</v>
      </c>
      <c r="N51" s="41">
        <f t="shared" si="6"/>
        <v>0</v>
      </c>
      <c r="O51" s="41">
        <f t="shared" si="6"/>
        <v>0</v>
      </c>
      <c r="P51" s="41">
        <f t="shared" si="6"/>
        <v>0</v>
      </c>
      <c r="Q51" s="41">
        <f t="shared" si="6"/>
        <v>1</v>
      </c>
      <c r="R51" s="41">
        <f t="shared" si="6"/>
        <v>0</v>
      </c>
      <c r="S51" s="41">
        <f t="shared" si="6"/>
        <v>0</v>
      </c>
      <c r="T51" s="41">
        <f t="shared" si="6"/>
        <v>0</v>
      </c>
      <c r="U51" s="41">
        <f t="shared" si="6"/>
        <v>1</v>
      </c>
      <c r="V51" s="41">
        <f t="shared" si="6"/>
        <v>1</v>
      </c>
      <c r="W51" s="41">
        <f t="shared" si="6"/>
        <v>0</v>
      </c>
      <c r="X51" s="41">
        <f t="shared" si="6"/>
        <v>0</v>
      </c>
      <c r="Y51" s="41">
        <f t="shared" si="6"/>
        <v>0</v>
      </c>
      <c r="Z51" s="41">
        <f t="shared" si="6"/>
        <v>0</v>
      </c>
      <c r="AA51" s="41">
        <f t="shared" si="6"/>
        <v>0</v>
      </c>
      <c r="AB51" s="41">
        <f t="shared" si="6"/>
        <v>0</v>
      </c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R51" s="160"/>
    </row>
    <row r="52" spans="2:44" x14ac:dyDescent="0.25">
      <c r="D52" s="89"/>
      <c r="E52" s="91"/>
      <c r="F52" s="66" t="s">
        <v>50</v>
      </c>
      <c r="G52" s="90" t="s">
        <v>111</v>
      </c>
      <c r="H52" s="90"/>
      <c r="I52" s="90"/>
      <c r="J52" s="41">
        <f t="shared" ref="J52:AB52" si="7">J34</f>
        <v>1</v>
      </c>
      <c r="K52" s="41">
        <f t="shared" si="7"/>
        <v>1</v>
      </c>
      <c r="L52" s="41">
        <f t="shared" si="7"/>
        <v>1</v>
      </c>
      <c r="M52" s="41">
        <f t="shared" si="7"/>
        <v>1</v>
      </c>
      <c r="N52" s="41">
        <f t="shared" si="7"/>
        <v>1</v>
      </c>
      <c r="O52" s="41">
        <f t="shared" si="7"/>
        <v>1</v>
      </c>
      <c r="P52" s="41">
        <f t="shared" si="7"/>
        <v>1</v>
      </c>
      <c r="Q52" s="41">
        <f t="shared" si="7"/>
        <v>0</v>
      </c>
      <c r="R52" s="41">
        <f t="shared" si="7"/>
        <v>0</v>
      </c>
      <c r="S52" s="41">
        <f t="shared" si="7"/>
        <v>1</v>
      </c>
      <c r="T52" s="41">
        <f t="shared" si="7"/>
        <v>1</v>
      </c>
      <c r="U52" s="41">
        <f t="shared" si="7"/>
        <v>1</v>
      </c>
      <c r="V52" s="41">
        <f t="shared" si="7"/>
        <v>0</v>
      </c>
      <c r="W52" s="41">
        <f t="shared" si="7"/>
        <v>0</v>
      </c>
      <c r="X52" s="41">
        <f t="shared" si="7"/>
        <v>0</v>
      </c>
      <c r="Y52" s="41">
        <f t="shared" si="7"/>
        <v>0</v>
      </c>
      <c r="Z52" s="41">
        <f t="shared" si="7"/>
        <v>0</v>
      </c>
      <c r="AA52" s="41">
        <f t="shared" si="7"/>
        <v>0</v>
      </c>
      <c r="AB52" s="41">
        <f t="shared" si="7"/>
        <v>0</v>
      </c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R52" s="160"/>
    </row>
    <row r="53" spans="2:44" x14ac:dyDescent="0.25">
      <c r="D53" s="89"/>
      <c r="E53" s="91"/>
      <c r="F53" s="66" t="s">
        <v>141</v>
      </c>
      <c r="G53" s="90" t="s">
        <v>111</v>
      </c>
      <c r="H53" s="90"/>
      <c r="I53" s="90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R53" s="160"/>
    </row>
    <row r="54" spans="2:44" x14ac:dyDescent="0.25">
      <c r="D54" s="89"/>
      <c r="E54" s="91"/>
      <c r="F54" s="67" t="s">
        <v>140</v>
      </c>
      <c r="G54" s="16" t="s">
        <v>111</v>
      </c>
      <c r="H54" s="16"/>
      <c r="I54" s="16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</row>
    <row r="55" spans="2:44" x14ac:dyDescent="0.25">
      <c r="C55" s="89"/>
    </row>
    <row r="56" spans="2:44" s="160" customFormat="1" x14ac:dyDescent="0.25">
      <c r="B56" s="171" t="s">
        <v>126</v>
      </c>
      <c r="C56" s="171"/>
      <c r="D56" s="135"/>
      <c r="E56" s="135"/>
      <c r="F56" s="135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5"/>
      <c r="AI56" s="135"/>
      <c r="AJ56" s="135"/>
      <c r="AK56" s="135"/>
      <c r="AL56" s="135"/>
      <c r="AM56" s="135"/>
      <c r="AN56" s="135"/>
      <c r="AO56" s="135"/>
      <c r="AP56" s="135"/>
      <c r="AQ56" s="135"/>
      <c r="AR56" s="135"/>
    </row>
    <row r="57" spans="2:44" s="160" customFormat="1" x14ac:dyDescent="0.25"/>
    <row r="58" spans="2:44" s="160" customFormat="1" x14ac:dyDescent="0.25">
      <c r="E58" s="160" t="s">
        <v>622</v>
      </c>
      <c r="G58" s="111" t="s">
        <v>814</v>
      </c>
      <c r="H58" s="362">
        <f t="array" ref="H58">SUM(IF(ISERROR(H25:AP54), 1))</f>
        <v>0</v>
      </c>
    </row>
    <row r="59" spans="2:44" s="160" customFormat="1" x14ac:dyDescent="0.25"/>
    <row r="60" spans="2:44" x14ac:dyDescent="0.25">
      <c r="B60" s="6" t="s">
        <v>127</v>
      </c>
      <c r="C60" s="6"/>
      <c r="D60" s="61"/>
      <c r="E60" s="148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135"/>
      <c r="AR60" s="135"/>
    </row>
  </sheetData>
  <sheetProtection sheet="1" objects="1" formatCells="0" formatColumns="0" formatRows="0" sort="0" autoFilter="0"/>
  <conditionalFormatting sqref="H58">
    <cfRule type="cellIs" dxfId="52" priority="2" operator="greaterThan">
      <formula>0</formula>
    </cfRule>
  </conditionalFormatting>
  <conditionalFormatting sqref="A4:XFD4">
    <cfRule type="expression" dxfId="51" priority="1">
      <formula>LEFT($A$4,1) &lt;&gt; "0"</formula>
    </cfRule>
  </conditionalFormatting>
  <hyperlinks>
    <hyperlink ref="B5:F5" location="'Model map'!A1" display="Click here to return to model map"/>
  </hyperlinks>
  <pageMargins left="0.7" right="0.7" top="0.75" bottom="0.75" header="0.3" footer="0.3"/>
  <pageSetup paperSize="9" scale="32" fitToHeight="0" orientation="portrait" r:id="rId1"/>
  <headerFooter>
    <oddHeader>&amp;L&amp;A&amp;C&amp;R&amp;P of &amp;N</oddHeader>
    <oddFooter>&amp;F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4" tint="0.59999389629810485"/>
    <pageSetUpPr fitToPage="1"/>
  </sheetPr>
  <dimension ref="A1:JF310"/>
  <sheetViews>
    <sheetView showGridLines="0" zoomScale="80" zoomScaleNormal="80" workbookViewId="0">
      <pane xSplit="9" ySplit="5" topLeftCell="J6" activePane="bottomRight" state="frozen"/>
      <selection activeCell="N50" sqref="N50"/>
      <selection pane="topRight" activeCell="N50" sqref="N50"/>
      <selection pane="bottomLeft" activeCell="N50" sqref="N50"/>
      <selection pane="bottomRight" activeCell="J6" sqref="J6"/>
    </sheetView>
  </sheetViews>
  <sheetFormatPr defaultColWidth="0" defaultRowHeight="15" x14ac:dyDescent="0.25"/>
  <cols>
    <col min="1" max="4" width="2.7109375" style="21" customWidth="1"/>
    <col min="5" max="5" width="2.7109375" style="160" customWidth="1"/>
    <col min="6" max="6" width="59.5703125" style="21" customWidth="1"/>
    <col min="7" max="8" width="20.7109375" style="21" customWidth="1"/>
    <col min="9" max="9" width="2.28515625" style="21" customWidth="1"/>
    <col min="10" max="21" width="17" style="21" customWidth="1"/>
    <col min="22" max="22" width="2.28515625" style="21" customWidth="1"/>
    <col min="23" max="23" width="50.7109375" style="21" customWidth="1"/>
    <col min="24" max="24" width="2.28515625" style="21" customWidth="1"/>
    <col min="25" max="42" width="17" style="21" hidden="1" customWidth="1"/>
    <col min="43" max="43" width="2.28515625" style="21" hidden="1" customWidth="1"/>
    <col min="44" max="44" width="18.28515625" style="21" hidden="1" customWidth="1"/>
    <col min="45" max="45" width="4.28515625" style="21" hidden="1" customWidth="1"/>
    <col min="46" max="266" width="24.7109375" style="21" hidden="1" customWidth="1"/>
    <col min="267" max="16384" width="8.85546875" style="21" hidden="1"/>
  </cols>
  <sheetData>
    <row r="1" spans="1:97" s="25" customFormat="1" x14ac:dyDescent="0.25">
      <c r="A1" s="25" t="str">
        <f ca="1">MID(CELL("filename",A1),FIND("]",CELL("filename",A1))+1,255)</f>
        <v>Load &amp; loss characteristics</v>
      </c>
    </row>
    <row r="2" spans="1:97" s="25" customFormat="1" x14ac:dyDescent="0.25">
      <c r="A2" s="25" t="str">
        <f>Cover!D21&amp;" - "&amp;Cover!D23</f>
        <v>SEPD - Final</v>
      </c>
    </row>
    <row r="3" spans="1:97" s="97" customFormat="1" x14ac:dyDescent="0.25">
      <c r="A3" s="97" t="str">
        <f>Cover!D2&amp;" - "&amp;Cover!D8&amp;" v"&amp;Cover!D10&amp;" - "&amp;Cover!D19</f>
        <v>ARP model - Release for charge setting v3 - 2020/21</v>
      </c>
    </row>
    <row r="4" spans="1:97" s="338" customFormat="1" x14ac:dyDescent="0.25">
      <c r="A4" s="392" t="str">
        <f>H302 &amp; IF(H302 = 1, " issue", " issues") &amp;" identified in checks on this sheet"</f>
        <v>0 issues identified in checks on this sheet</v>
      </c>
      <c r="B4" s="393"/>
      <c r="C4" s="393"/>
      <c r="D4" s="393"/>
      <c r="E4" s="393"/>
      <c r="F4" s="393"/>
      <c r="G4" s="393"/>
      <c r="H4" s="394"/>
      <c r="I4" s="394"/>
      <c r="J4" s="393"/>
      <c r="K4" s="383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3"/>
      <c r="AD4" s="383"/>
      <c r="AE4" s="383"/>
      <c r="AF4" s="383"/>
      <c r="AG4" s="383"/>
      <c r="AH4" s="383"/>
      <c r="AI4" s="383"/>
      <c r="AJ4" s="383"/>
      <c r="AK4" s="383"/>
      <c r="AL4" s="383"/>
      <c r="AM4" s="383"/>
      <c r="AN4" s="383"/>
      <c r="AO4" s="383"/>
      <c r="AP4" s="383"/>
      <c r="AQ4" s="383"/>
      <c r="AR4" s="383"/>
      <c r="AS4" s="383"/>
      <c r="AT4" s="383"/>
      <c r="AU4" s="383"/>
      <c r="AV4" s="383"/>
      <c r="AW4" s="383"/>
      <c r="AX4" s="383"/>
      <c r="AY4" s="383"/>
      <c r="AZ4" s="383"/>
      <c r="BA4" s="383"/>
      <c r="BB4" s="383"/>
      <c r="BC4" s="383"/>
      <c r="BD4" s="383"/>
      <c r="BE4" s="383"/>
      <c r="BF4" s="383"/>
      <c r="BG4" s="383"/>
      <c r="BH4" s="383"/>
      <c r="BI4" s="383"/>
      <c r="BJ4" s="383"/>
      <c r="BK4" s="383"/>
      <c r="BL4" s="383"/>
      <c r="BM4" s="383"/>
      <c r="BN4" s="383"/>
      <c r="BO4" s="383"/>
      <c r="BP4" s="383"/>
      <c r="BQ4" s="383"/>
      <c r="BR4" s="383"/>
      <c r="BS4" s="383"/>
      <c r="BT4" s="383"/>
      <c r="BU4" s="383"/>
      <c r="BV4" s="383"/>
      <c r="BW4" s="383"/>
      <c r="BX4" s="383"/>
      <c r="BY4" s="383"/>
      <c r="BZ4" s="383"/>
      <c r="CA4" s="383"/>
      <c r="CB4" s="383"/>
      <c r="CC4" s="383"/>
      <c r="CD4" s="383"/>
      <c r="CE4" s="383"/>
      <c r="CF4" s="383"/>
      <c r="CG4" s="383"/>
      <c r="CH4" s="383"/>
      <c r="CI4" s="383"/>
      <c r="CJ4" s="383"/>
      <c r="CK4" s="383"/>
      <c r="CL4" s="383"/>
      <c r="CM4" s="383"/>
      <c r="CN4" s="383"/>
      <c r="CO4" s="383"/>
      <c r="CP4" s="383"/>
      <c r="CQ4" s="383"/>
      <c r="CR4" s="383"/>
      <c r="CS4" s="383"/>
    </row>
    <row r="5" spans="1:97" x14ac:dyDescent="0.25">
      <c r="B5" s="244" t="s">
        <v>667</v>
      </c>
      <c r="C5" s="24"/>
      <c r="D5" s="24"/>
      <c r="E5" s="24"/>
      <c r="F5" s="24"/>
      <c r="G5" s="1" t="s">
        <v>108</v>
      </c>
      <c r="H5" s="2" t="s">
        <v>109</v>
      </c>
      <c r="I5" s="10"/>
      <c r="J5" s="26" t="s">
        <v>397</v>
      </c>
      <c r="K5" s="26" t="s">
        <v>43</v>
      </c>
      <c r="L5" s="26" t="s">
        <v>44</v>
      </c>
      <c r="M5" s="26" t="s">
        <v>45</v>
      </c>
      <c r="N5" s="26" t="s">
        <v>46</v>
      </c>
      <c r="O5" s="26" t="s">
        <v>47</v>
      </c>
      <c r="P5" s="26" t="s">
        <v>51</v>
      </c>
      <c r="Q5" s="26" t="s">
        <v>48</v>
      </c>
      <c r="R5" s="26" t="s">
        <v>49</v>
      </c>
      <c r="S5" s="26" t="s">
        <v>50</v>
      </c>
      <c r="T5" s="26" t="s">
        <v>141</v>
      </c>
      <c r="U5" s="26" t="s">
        <v>140</v>
      </c>
      <c r="W5" s="24" t="s">
        <v>110</v>
      </c>
    </row>
    <row r="6" spans="1:97" x14ac:dyDescent="0.25">
      <c r="H6" s="8"/>
      <c r="I6" s="152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W6" s="8"/>
    </row>
    <row r="7" spans="1:97" x14ac:dyDescent="0.25">
      <c r="B7" s="34" t="s">
        <v>107</v>
      </c>
      <c r="C7" s="34"/>
      <c r="D7" s="34"/>
      <c r="E7" s="171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171"/>
      <c r="V7" s="171"/>
      <c r="W7" s="171"/>
    </row>
    <row r="9" spans="1:97" s="160" customFormat="1" x14ac:dyDescent="0.25">
      <c r="C9" s="152" t="s">
        <v>490</v>
      </c>
    </row>
    <row r="10" spans="1:97" s="160" customFormat="1" x14ac:dyDescent="0.25">
      <c r="C10" s="152" t="s">
        <v>491</v>
      </c>
    </row>
    <row r="11" spans="1:97" x14ac:dyDescent="0.25">
      <c r="C11" s="152" t="s">
        <v>926</v>
      </c>
    </row>
    <row r="13" spans="1:97" x14ac:dyDescent="0.25">
      <c r="B13" s="34" t="s">
        <v>918</v>
      </c>
      <c r="C13" s="34"/>
      <c r="D13" s="34"/>
      <c r="E13" s="171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171"/>
      <c r="V13" s="171"/>
      <c r="W13" s="171"/>
    </row>
    <row r="14" spans="1:97" x14ac:dyDescent="0.25"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W14" s="8"/>
    </row>
    <row r="15" spans="1:97" s="160" customFormat="1" x14ac:dyDescent="0.25">
      <c r="C15" s="152" t="s">
        <v>633</v>
      </c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W15" s="163"/>
    </row>
    <row r="16" spans="1:97" s="160" customFormat="1" x14ac:dyDescent="0.25"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  <c r="S16" s="163"/>
      <c r="T16" s="163"/>
      <c r="U16" s="163"/>
      <c r="W16" s="163"/>
    </row>
    <row r="17" spans="2:23" s="338" customFormat="1" x14ac:dyDescent="0.25">
      <c r="C17" s="22" t="str">
        <f ca="1">INDEX('Version control'!$H$34:$H$59,MATCH($A$1,'Version control'!$F$34:$F$59,0),1)&amp;"-A: Load characteristics"</f>
        <v>Section 505-A: Load characteristics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</row>
    <row r="18" spans="2:23" s="338" customFormat="1" x14ac:dyDescent="0.25">
      <c r="H18" s="163"/>
      <c r="I18" s="163"/>
      <c r="J18" s="163"/>
      <c r="K18" s="163"/>
      <c r="L18" s="163"/>
      <c r="M18" s="163"/>
      <c r="N18" s="163"/>
      <c r="O18" s="163"/>
      <c r="P18" s="163"/>
      <c r="Q18" s="163"/>
      <c r="R18" s="163"/>
      <c r="S18" s="163"/>
      <c r="T18" s="163"/>
      <c r="U18" s="163"/>
      <c r="W18" s="163"/>
    </row>
    <row r="19" spans="2:23" s="160" customFormat="1" x14ac:dyDescent="0.25">
      <c r="E19" s="160" t="s">
        <v>472</v>
      </c>
      <c r="F19" s="157"/>
      <c r="G19" s="238" t="s">
        <v>111</v>
      </c>
      <c r="H19" s="174"/>
      <c r="I19" s="174"/>
      <c r="J19" s="158"/>
      <c r="K19" s="198">
        <f>'Inputs by network level'!K18</f>
        <v>2.7451056800206652E-2</v>
      </c>
      <c r="L19" s="198">
        <f>'Inputs by network level'!L18</f>
        <v>3.5668125491285174E-2</v>
      </c>
      <c r="M19" s="158"/>
      <c r="N19" s="198">
        <f>'Inputs by network level'!N18</f>
        <v>6.5335713438606557E-2</v>
      </c>
      <c r="O19" s="158"/>
      <c r="P19" s="158"/>
      <c r="Q19" s="198">
        <f>'Inputs by network level'!Q18</f>
        <v>0.37</v>
      </c>
      <c r="R19" s="158"/>
      <c r="S19" s="158"/>
      <c r="T19" s="178"/>
      <c r="U19" s="178"/>
    </row>
    <row r="20" spans="2:23" s="160" customFormat="1" x14ac:dyDescent="0.25">
      <c r="E20" s="160" t="s">
        <v>82</v>
      </c>
      <c r="F20" s="157"/>
      <c r="G20" s="238" t="s">
        <v>111</v>
      </c>
      <c r="H20" s="174"/>
      <c r="I20" s="174"/>
      <c r="J20" s="159">
        <f t="shared" ref="J20" si="0">IF(I20 = "", 1, I20 / (1 + J19))</f>
        <v>1</v>
      </c>
      <c r="K20" s="159">
        <f>IF(J20 = "", 1, J20 / (1 + K19))</f>
        <v>0.97328237036837784</v>
      </c>
      <c r="L20" s="159">
        <f t="shared" ref="L20:S20" si="1">IF(K20 = "", 1, K20 / (1 + L19))</f>
        <v>0.93976279313094269</v>
      </c>
      <c r="M20" s="159">
        <f t="shared" si="1"/>
        <v>0.93976279313094269</v>
      </c>
      <c r="N20" s="159">
        <f t="shared" si="1"/>
        <v>0.88212831061267105</v>
      </c>
      <c r="O20" s="159">
        <f t="shared" si="1"/>
        <v>0.88212831061267105</v>
      </c>
      <c r="P20" s="159">
        <f t="shared" si="1"/>
        <v>0.88212831061267105</v>
      </c>
      <c r="Q20" s="159">
        <f t="shared" si="1"/>
        <v>0.64388927781946792</v>
      </c>
      <c r="R20" s="159">
        <f t="shared" si="1"/>
        <v>0.64388927781946792</v>
      </c>
      <c r="S20" s="159">
        <f t="shared" si="1"/>
        <v>0.64388927781946792</v>
      </c>
      <c r="T20" s="178"/>
      <c r="U20" s="178"/>
    </row>
    <row r="21" spans="2:23" s="160" customFormat="1" x14ac:dyDescent="0.25">
      <c r="E21" s="160" t="s">
        <v>473</v>
      </c>
      <c r="F21" s="157"/>
      <c r="G21" s="238" t="s">
        <v>111</v>
      </c>
      <c r="H21" s="174"/>
      <c r="I21" s="174"/>
      <c r="J21" s="159">
        <f>1 / J20 - 1</f>
        <v>0</v>
      </c>
      <c r="K21" s="159">
        <f t="shared" ref="K21:S21" si="2">1 / K20 - 1</f>
        <v>2.7451056800206652E-2</v>
      </c>
      <c r="L21" s="159">
        <f t="shared" si="2"/>
        <v>6.4098310030310079E-2</v>
      </c>
      <c r="M21" s="159">
        <f t="shared" si="2"/>
        <v>6.4098310030310079E-2</v>
      </c>
      <c r="N21" s="159">
        <f t="shared" si="2"/>
        <v>0.13362193228495589</v>
      </c>
      <c r="O21" s="159">
        <f t="shared" si="2"/>
        <v>0.13362193228495589</v>
      </c>
      <c r="P21" s="159">
        <f t="shared" si="2"/>
        <v>0.13362193228495589</v>
      </c>
      <c r="Q21" s="159">
        <f t="shared" si="2"/>
        <v>0.55306204723038976</v>
      </c>
      <c r="R21" s="159">
        <f t="shared" si="2"/>
        <v>0.55306204723038976</v>
      </c>
      <c r="S21" s="159">
        <f t="shared" si="2"/>
        <v>0.55306204723038976</v>
      </c>
      <c r="T21" s="178"/>
      <c r="U21" s="178"/>
    </row>
    <row r="22" spans="2:23" s="160" customFormat="1" x14ac:dyDescent="0.25">
      <c r="E22" s="167" t="s">
        <v>475</v>
      </c>
      <c r="F22" s="157"/>
      <c r="G22" s="238" t="s">
        <v>111</v>
      </c>
      <c r="H22" s="174"/>
      <c r="I22" s="174"/>
      <c r="J22" s="158"/>
      <c r="K22" s="158"/>
      <c r="L22" s="158"/>
      <c r="M22" s="158"/>
      <c r="N22" s="158"/>
      <c r="O22" s="158"/>
      <c r="P22" s="159">
        <f>M21</f>
        <v>6.4098310030310079E-2</v>
      </c>
      <c r="Q22" s="158"/>
      <c r="R22" s="158"/>
      <c r="S22" s="158"/>
      <c r="T22" s="178"/>
      <c r="U22" s="178"/>
    </row>
    <row r="23" spans="2:23" s="339" customFormat="1" x14ac:dyDescent="0.25">
      <c r="E23" s="339" t="s">
        <v>474</v>
      </c>
      <c r="F23" s="157"/>
      <c r="G23" s="238" t="s">
        <v>111</v>
      </c>
      <c r="H23" s="174"/>
      <c r="I23" s="174" t="s">
        <v>525</v>
      </c>
      <c r="J23" s="495">
        <f t="shared" ref="J23:S23" si="3">IF(J22 = "", J21, J22)</f>
        <v>0</v>
      </c>
      <c r="K23" s="495">
        <f t="shared" si="3"/>
        <v>2.7451056800206652E-2</v>
      </c>
      <c r="L23" s="495">
        <f t="shared" si="3"/>
        <v>6.4098310030310079E-2</v>
      </c>
      <c r="M23" s="495">
        <f t="shared" si="3"/>
        <v>6.4098310030310079E-2</v>
      </c>
      <c r="N23" s="495">
        <f t="shared" si="3"/>
        <v>0.13362193228495589</v>
      </c>
      <c r="O23" s="495">
        <f t="shared" si="3"/>
        <v>0.13362193228495589</v>
      </c>
      <c r="P23" s="495">
        <f t="shared" si="3"/>
        <v>6.4098310030310079E-2</v>
      </c>
      <c r="Q23" s="495">
        <f t="shared" si="3"/>
        <v>0.55306204723038976</v>
      </c>
      <c r="R23" s="495">
        <f t="shared" si="3"/>
        <v>0.55306204723038976</v>
      </c>
      <c r="S23" s="495">
        <f t="shared" si="3"/>
        <v>0.55306204723038976</v>
      </c>
      <c r="T23" s="178"/>
      <c r="U23" s="178"/>
      <c r="W23" s="170" t="s">
        <v>1061</v>
      </c>
    </row>
    <row r="24" spans="2:23" s="160" customFormat="1" x14ac:dyDescent="0.25">
      <c r="E24" s="167"/>
      <c r="F24" s="157"/>
      <c r="G24" s="238"/>
      <c r="H24" s="174"/>
      <c r="I24" s="174"/>
      <c r="J24" s="159"/>
      <c r="K24" s="159"/>
      <c r="L24" s="159"/>
      <c r="M24" s="159"/>
      <c r="N24" s="159"/>
      <c r="O24" s="159"/>
      <c r="P24" s="159"/>
      <c r="Q24" s="159"/>
      <c r="R24" s="159"/>
      <c r="S24" s="159"/>
      <c r="T24" s="174"/>
      <c r="U24" s="174"/>
    </row>
    <row r="25" spans="2:23" s="338" customFormat="1" x14ac:dyDescent="0.25">
      <c r="C25" s="22" t="str">
        <f ca="1">INDEX('Version control'!$H$34:$H$59,MATCH($A$1,'Version control'!$F$34:$F$59,0),1)&amp;"-B: Loss adjustment factors"</f>
        <v>Section 505-B: Loss adjustment factors</v>
      </c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</row>
    <row r="26" spans="2:23" s="338" customFormat="1" x14ac:dyDescent="0.25"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3"/>
      <c r="T26" s="163"/>
      <c r="U26" s="163"/>
      <c r="W26" s="163"/>
    </row>
    <row r="27" spans="2:23" x14ac:dyDescent="0.25">
      <c r="E27" s="167" t="s">
        <v>115</v>
      </c>
      <c r="F27" s="155"/>
      <c r="G27" s="84" t="s">
        <v>636</v>
      </c>
      <c r="H27" s="174"/>
      <c r="I27" s="174"/>
      <c r="J27" s="403"/>
      <c r="K27" s="437">
        <f>'Inputs by network level'!K22</f>
        <v>1</v>
      </c>
      <c r="L27" s="437">
        <f>'Inputs by network level'!L22</f>
        <v>1.0049999999999999</v>
      </c>
      <c r="M27" s="437">
        <f>'Inputs by network level'!M22</f>
        <v>1.008</v>
      </c>
      <c r="N27" s="437">
        <f>'Inputs by network level'!N22</f>
        <v>1.016</v>
      </c>
      <c r="O27" s="437">
        <f>'Inputs by network level'!O22</f>
        <v>1.0209999999999999</v>
      </c>
      <c r="P27" s="403"/>
      <c r="Q27" s="437">
        <f>'Inputs by network level'!Q22</f>
        <v>1.0309999999999999</v>
      </c>
      <c r="R27" s="437">
        <f>'Inputs by network level'!R22</f>
        <v>1.046</v>
      </c>
      <c r="S27" s="437">
        <f>'Inputs by network level'!S22</f>
        <v>1.089</v>
      </c>
      <c r="T27" s="403"/>
      <c r="U27" s="403"/>
    </row>
    <row r="28" spans="2:23" x14ac:dyDescent="0.25">
      <c r="E28" s="339" t="s">
        <v>188</v>
      </c>
      <c r="F28" s="155"/>
      <c r="G28" s="84" t="s">
        <v>636</v>
      </c>
      <c r="H28" s="174"/>
      <c r="I28" s="174"/>
      <c r="J28" s="428">
        <f>K27</f>
        <v>1</v>
      </c>
      <c r="K28" s="403"/>
      <c r="L28" s="403"/>
      <c r="M28" s="403"/>
      <c r="N28" s="403"/>
      <c r="O28" s="403"/>
      <c r="P28" s="428">
        <f>O27</f>
        <v>1.0209999999999999</v>
      </c>
      <c r="Q28" s="403"/>
      <c r="R28" s="403"/>
      <c r="S28" s="403"/>
      <c r="T28" s="403"/>
      <c r="U28" s="403"/>
    </row>
    <row r="29" spans="2:23" s="339" customFormat="1" x14ac:dyDescent="0.25">
      <c r="E29" s="339" t="s">
        <v>117</v>
      </c>
      <c r="F29" s="155"/>
      <c r="G29" s="84" t="s">
        <v>636</v>
      </c>
      <c r="H29" s="174"/>
      <c r="I29" s="174" t="s">
        <v>525</v>
      </c>
      <c r="J29" s="420">
        <f t="shared" ref="J29:S29" si="4">J27 + J28</f>
        <v>1</v>
      </c>
      <c r="K29" s="420">
        <f t="shared" si="4"/>
        <v>1</v>
      </c>
      <c r="L29" s="420">
        <f t="shared" si="4"/>
        <v>1.0049999999999999</v>
      </c>
      <c r="M29" s="420">
        <f t="shared" si="4"/>
        <v>1.008</v>
      </c>
      <c r="N29" s="420">
        <f t="shared" si="4"/>
        <v>1.016</v>
      </c>
      <c r="O29" s="420">
        <f t="shared" si="4"/>
        <v>1.0209999999999999</v>
      </c>
      <c r="P29" s="420">
        <f t="shared" si="4"/>
        <v>1.0209999999999999</v>
      </c>
      <c r="Q29" s="420">
        <f t="shared" si="4"/>
        <v>1.0309999999999999</v>
      </c>
      <c r="R29" s="420">
        <f t="shared" si="4"/>
        <v>1.046</v>
      </c>
      <c r="S29" s="420">
        <f t="shared" si="4"/>
        <v>1.089</v>
      </c>
      <c r="T29" s="403"/>
      <c r="U29" s="403"/>
      <c r="W29" s="170" t="s">
        <v>940</v>
      </c>
    </row>
    <row r="30" spans="2:23" x14ac:dyDescent="0.25">
      <c r="F30" s="4"/>
      <c r="G30" s="194"/>
      <c r="H30" s="8"/>
      <c r="I30" s="8"/>
      <c r="J30" s="8"/>
      <c r="K30" s="8"/>
      <c r="L30" s="8"/>
      <c r="M30" s="8"/>
      <c r="N30" s="8"/>
      <c r="O30" s="8"/>
      <c r="Q30" s="8"/>
      <c r="R30" s="8"/>
      <c r="S30" s="8"/>
      <c r="T30" s="8"/>
      <c r="U30" s="8"/>
    </row>
    <row r="31" spans="2:23" x14ac:dyDescent="0.25">
      <c r="B31" s="34" t="s">
        <v>917</v>
      </c>
      <c r="C31" s="34"/>
      <c r="D31" s="34"/>
      <c r="E31" s="171"/>
      <c r="F31" s="34"/>
      <c r="G31" s="236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171"/>
      <c r="V31" s="171"/>
      <c r="W31" s="171"/>
    </row>
    <row r="32" spans="2:23" x14ac:dyDescent="0.25">
      <c r="F32" s="4"/>
      <c r="G32" s="194"/>
      <c r="H32" s="8"/>
      <c r="I32" s="8"/>
      <c r="J32" s="8"/>
      <c r="K32" s="8"/>
      <c r="L32" s="8"/>
      <c r="M32" s="8"/>
      <c r="N32" s="8"/>
      <c r="O32" s="8"/>
      <c r="Q32" s="8"/>
      <c r="R32" s="8"/>
      <c r="S32" s="8"/>
      <c r="T32" s="8"/>
      <c r="U32" s="8"/>
    </row>
    <row r="33" spans="3:23" s="160" customFormat="1" x14ac:dyDescent="0.25">
      <c r="C33" s="152" t="s">
        <v>916</v>
      </c>
      <c r="F33" s="162"/>
      <c r="G33" s="194"/>
      <c r="H33" s="163"/>
      <c r="I33" s="163"/>
      <c r="J33" s="163"/>
      <c r="K33" s="163"/>
      <c r="L33" s="163"/>
      <c r="M33" s="163"/>
      <c r="N33" s="163"/>
      <c r="O33" s="163"/>
      <c r="Q33" s="163"/>
      <c r="R33" s="163"/>
      <c r="S33" s="163"/>
      <c r="T33" s="163"/>
      <c r="U33" s="163"/>
    </row>
    <row r="34" spans="3:23" s="160" customFormat="1" x14ac:dyDescent="0.25">
      <c r="F34" s="162"/>
      <c r="G34" s="194"/>
      <c r="H34" s="163"/>
      <c r="I34" s="163"/>
      <c r="J34" s="163"/>
      <c r="K34" s="163"/>
      <c r="L34" s="163"/>
      <c r="M34" s="163"/>
      <c r="N34" s="163"/>
      <c r="O34" s="163"/>
      <c r="Q34" s="163"/>
      <c r="R34" s="163"/>
      <c r="S34" s="163"/>
      <c r="T34" s="163"/>
      <c r="U34" s="163"/>
    </row>
    <row r="35" spans="3:23" s="338" customFormat="1" x14ac:dyDescent="0.25">
      <c r="C35" s="22" t="str">
        <f ca="1">INDEX('Version control'!$H$34:$H$59,MATCH($A$1,'Version control'!$F$34:$F$59,0),1)&amp;"-C: Proportion of relevant load going through 132kV/HV direct transformation"</f>
        <v>Section 505-C: Proportion of relevant load going through 132kV/HV direct transformation</v>
      </c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spans="3:23" s="338" customFormat="1" x14ac:dyDescent="0.25">
      <c r="H36" s="163"/>
      <c r="I36" s="163"/>
      <c r="J36" s="163"/>
      <c r="K36" s="163"/>
      <c r="L36" s="163"/>
      <c r="M36" s="163"/>
      <c r="N36" s="163"/>
      <c r="O36" s="163"/>
      <c r="P36" s="163"/>
      <c r="Q36" s="163"/>
      <c r="R36" s="163"/>
      <c r="S36" s="163"/>
      <c r="T36" s="163"/>
      <c r="U36" s="163"/>
      <c r="W36" s="163"/>
    </row>
    <row r="37" spans="3:23" s="160" customFormat="1" x14ac:dyDescent="0.25">
      <c r="E37" s="167" t="s">
        <v>51</v>
      </c>
      <c r="F37" s="145"/>
      <c r="G37" s="84" t="s">
        <v>111</v>
      </c>
      <c r="H37" s="198">
        <f>'Inputs by network level'!P20</f>
        <v>0</v>
      </c>
      <c r="I37" s="174"/>
      <c r="J37" s="474"/>
      <c r="K37" s="474"/>
      <c r="L37" s="474"/>
      <c r="M37" s="474"/>
      <c r="N37" s="474"/>
      <c r="O37" s="474"/>
      <c r="P37" s="474"/>
      <c r="Q37" s="474"/>
      <c r="R37" s="474"/>
      <c r="S37" s="474"/>
      <c r="T37" s="474"/>
      <c r="U37" s="474"/>
    </row>
    <row r="38" spans="3:23" s="160" customFormat="1" x14ac:dyDescent="0.25">
      <c r="E38" s="167" t="s">
        <v>486</v>
      </c>
      <c r="F38" s="157"/>
      <c r="G38" s="238" t="s">
        <v>111</v>
      </c>
      <c r="H38" s="174"/>
      <c r="I38" s="174"/>
      <c r="J38" s="178"/>
      <c r="K38" s="178"/>
      <c r="L38" s="178"/>
      <c r="M38" s="299">
        <f>1 - $H$37</f>
        <v>1</v>
      </c>
      <c r="N38" s="299">
        <f>1 - $H$37</f>
        <v>1</v>
      </c>
      <c r="O38" s="299">
        <f>1 - $H$37</f>
        <v>1</v>
      </c>
      <c r="P38" s="300">
        <f>H37</f>
        <v>0</v>
      </c>
      <c r="Q38" s="178"/>
      <c r="R38" s="178"/>
      <c r="S38" s="178"/>
      <c r="T38" s="178"/>
      <c r="U38" s="178"/>
    </row>
    <row r="39" spans="3:23" s="160" customFormat="1" x14ac:dyDescent="0.25">
      <c r="F39" s="157"/>
      <c r="G39" s="238"/>
      <c r="H39" s="174"/>
      <c r="I39" s="163"/>
      <c r="J39" s="163"/>
      <c r="K39" s="163"/>
      <c r="L39" s="163"/>
      <c r="M39" s="163"/>
      <c r="N39" s="163"/>
      <c r="O39" s="163"/>
      <c r="Q39" s="163"/>
      <c r="R39" s="163"/>
      <c r="S39" s="163"/>
      <c r="T39" s="163"/>
      <c r="U39" s="163"/>
    </row>
    <row r="40" spans="3:23" s="338" customFormat="1" x14ac:dyDescent="0.25">
      <c r="C40" s="22" t="str">
        <f ca="1">INDEX('Version control'!$H$34:$H$59,MATCH($A$1,'Version control'!$F$34:$F$59,0),1)&amp;"-D: Network use factors"</f>
        <v>Section 505-D: Network use factors</v>
      </c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</row>
    <row r="41" spans="3:23" s="338" customFormat="1" x14ac:dyDescent="0.25">
      <c r="H41" s="163"/>
      <c r="I41" s="163"/>
      <c r="J41" s="163"/>
      <c r="K41" s="163"/>
      <c r="L41" s="163"/>
      <c r="M41" s="163"/>
      <c r="N41" s="163"/>
      <c r="O41" s="163"/>
      <c r="P41" s="163"/>
      <c r="Q41" s="163"/>
      <c r="R41" s="163"/>
      <c r="S41" s="163"/>
      <c r="T41" s="163"/>
      <c r="U41" s="163"/>
      <c r="W41" s="163"/>
    </row>
    <row r="42" spans="3:23" s="474" customFormat="1" x14ac:dyDescent="0.25">
      <c r="D42" s="152" t="s">
        <v>1062</v>
      </c>
      <c r="H42" s="163"/>
      <c r="I42" s="163"/>
      <c r="J42" s="163"/>
      <c r="K42" s="163"/>
      <c r="L42" s="163"/>
      <c r="M42" s="163"/>
      <c r="N42" s="163"/>
      <c r="O42" s="163"/>
      <c r="P42" s="163"/>
      <c r="Q42" s="163"/>
      <c r="R42" s="163"/>
      <c r="S42" s="163"/>
      <c r="T42" s="163"/>
      <c r="U42" s="163"/>
      <c r="W42" s="163"/>
    </row>
    <row r="43" spans="3:23" s="474" customFormat="1" x14ac:dyDescent="0.25">
      <c r="D43" s="152"/>
      <c r="H43" s="163"/>
      <c r="I43" s="163"/>
      <c r="J43" s="163"/>
      <c r="K43" s="163"/>
      <c r="L43" s="163"/>
      <c r="M43" s="163"/>
      <c r="N43" s="163"/>
      <c r="O43" s="163"/>
      <c r="P43" s="163"/>
      <c r="Q43" s="163"/>
      <c r="R43" s="163"/>
      <c r="S43" s="163"/>
      <c r="T43" s="163"/>
      <c r="U43" s="163"/>
      <c r="W43" s="163"/>
    </row>
    <row r="44" spans="3:23" s="160" customFormat="1" x14ac:dyDescent="0.25">
      <c r="E44" s="172" t="s">
        <v>493</v>
      </c>
      <c r="G44" s="194"/>
    </row>
    <row r="45" spans="3:23" s="160" customFormat="1" x14ac:dyDescent="0.25">
      <c r="E45" s="152" t="s">
        <v>1063</v>
      </c>
      <c r="G45" s="194"/>
    </row>
    <row r="46" spans="3:23" s="160" customFormat="1" x14ac:dyDescent="0.25">
      <c r="F46" s="166" t="s">
        <v>52</v>
      </c>
      <c r="G46" s="85" t="s">
        <v>158</v>
      </c>
      <c r="H46" s="166"/>
      <c r="I46" s="166"/>
      <c r="J46" s="438">
        <f t="array" ref="J46:S78">TRANSPOSE('Fixed inputs'!J60:AP69)</f>
        <v>1</v>
      </c>
      <c r="K46" s="438">
        <v>1</v>
      </c>
      <c r="L46" s="438">
        <v>1</v>
      </c>
      <c r="M46" s="438">
        <v>1</v>
      </c>
      <c r="N46" s="438">
        <v>1</v>
      </c>
      <c r="O46" s="438">
        <v>1</v>
      </c>
      <c r="P46" s="438">
        <v>1</v>
      </c>
      <c r="Q46" s="438">
        <v>1</v>
      </c>
      <c r="R46" s="438">
        <v>1</v>
      </c>
      <c r="S46" s="438">
        <v>1</v>
      </c>
      <c r="T46" s="402"/>
      <c r="U46" s="402"/>
      <c r="W46" s="163"/>
    </row>
    <row r="47" spans="3:23" s="160" customFormat="1" x14ac:dyDescent="0.25">
      <c r="F47" s="167" t="s">
        <v>53</v>
      </c>
      <c r="G47" s="195" t="s">
        <v>158</v>
      </c>
      <c r="J47" s="439">
        <v>1</v>
      </c>
      <c r="K47" s="439">
        <v>1</v>
      </c>
      <c r="L47" s="439">
        <v>1</v>
      </c>
      <c r="M47" s="439">
        <v>1</v>
      </c>
      <c r="N47" s="439">
        <v>1</v>
      </c>
      <c r="O47" s="439">
        <v>1</v>
      </c>
      <c r="P47" s="439">
        <v>1</v>
      </c>
      <c r="Q47" s="439">
        <v>1</v>
      </c>
      <c r="R47" s="439">
        <v>1</v>
      </c>
      <c r="S47" s="439">
        <v>1</v>
      </c>
      <c r="T47" s="403"/>
      <c r="U47" s="403"/>
    </row>
    <row r="48" spans="3:23" s="160" customFormat="1" x14ac:dyDescent="0.25">
      <c r="F48" s="167" t="s">
        <v>84</v>
      </c>
      <c r="G48" s="195" t="s">
        <v>158</v>
      </c>
      <c r="J48" s="439">
        <v>1</v>
      </c>
      <c r="K48" s="439">
        <v>1</v>
      </c>
      <c r="L48" s="439">
        <v>1</v>
      </c>
      <c r="M48" s="439">
        <v>1</v>
      </c>
      <c r="N48" s="439">
        <v>1</v>
      </c>
      <c r="O48" s="439">
        <v>1</v>
      </c>
      <c r="P48" s="439">
        <v>1</v>
      </c>
      <c r="Q48" s="439">
        <v>1</v>
      </c>
      <c r="R48" s="439">
        <v>1</v>
      </c>
      <c r="S48" s="439">
        <v>1</v>
      </c>
      <c r="T48" s="403"/>
      <c r="U48" s="403"/>
    </row>
    <row r="49" spans="6:21" s="160" customFormat="1" x14ac:dyDescent="0.25">
      <c r="F49" s="167" t="s">
        <v>54</v>
      </c>
      <c r="G49" s="195" t="s">
        <v>158</v>
      </c>
      <c r="J49" s="439">
        <v>1</v>
      </c>
      <c r="K49" s="439">
        <v>1</v>
      </c>
      <c r="L49" s="439">
        <v>1</v>
      </c>
      <c r="M49" s="439">
        <v>1</v>
      </c>
      <c r="N49" s="439">
        <v>1</v>
      </c>
      <c r="O49" s="439">
        <v>1</v>
      </c>
      <c r="P49" s="439">
        <v>1</v>
      </c>
      <c r="Q49" s="439">
        <v>1</v>
      </c>
      <c r="R49" s="439">
        <v>1</v>
      </c>
      <c r="S49" s="439">
        <v>1</v>
      </c>
      <c r="T49" s="403"/>
      <c r="U49" s="403"/>
    </row>
    <row r="50" spans="6:21" s="160" customFormat="1" x14ac:dyDescent="0.25">
      <c r="F50" s="167" t="s">
        <v>55</v>
      </c>
      <c r="G50" s="195" t="s">
        <v>158</v>
      </c>
      <c r="J50" s="439">
        <v>1</v>
      </c>
      <c r="K50" s="439">
        <v>1</v>
      </c>
      <c r="L50" s="439">
        <v>1</v>
      </c>
      <c r="M50" s="439">
        <v>1</v>
      </c>
      <c r="N50" s="439">
        <v>1</v>
      </c>
      <c r="O50" s="439">
        <v>1</v>
      </c>
      <c r="P50" s="439">
        <v>1</v>
      </c>
      <c r="Q50" s="439">
        <v>1</v>
      </c>
      <c r="R50" s="439">
        <v>1</v>
      </c>
      <c r="S50" s="439">
        <v>1</v>
      </c>
      <c r="T50" s="403"/>
      <c r="U50" s="403"/>
    </row>
    <row r="51" spans="6:21" s="160" customFormat="1" x14ac:dyDescent="0.25">
      <c r="F51" s="167" t="s">
        <v>85</v>
      </c>
      <c r="G51" s="195" t="s">
        <v>158</v>
      </c>
      <c r="J51" s="439">
        <v>1</v>
      </c>
      <c r="K51" s="439">
        <v>1</v>
      </c>
      <c r="L51" s="439">
        <v>1</v>
      </c>
      <c r="M51" s="439">
        <v>1</v>
      </c>
      <c r="N51" s="439">
        <v>1</v>
      </c>
      <c r="O51" s="439">
        <v>1</v>
      </c>
      <c r="P51" s="439">
        <v>1</v>
      </c>
      <c r="Q51" s="439">
        <v>1</v>
      </c>
      <c r="R51" s="439">
        <v>1</v>
      </c>
      <c r="S51" s="439">
        <v>1</v>
      </c>
      <c r="T51" s="403"/>
      <c r="U51" s="403"/>
    </row>
    <row r="52" spans="6:21" s="160" customFormat="1" x14ac:dyDescent="0.25">
      <c r="F52" s="167" t="s">
        <v>56</v>
      </c>
      <c r="G52" s="195" t="s">
        <v>158</v>
      </c>
      <c r="J52" s="439">
        <v>1</v>
      </c>
      <c r="K52" s="439">
        <v>1</v>
      </c>
      <c r="L52" s="439">
        <v>1</v>
      </c>
      <c r="M52" s="439">
        <v>1</v>
      </c>
      <c r="N52" s="439">
        <v>1</v>
      </c>
      <c r="O52" s="439">
        <v>1</v>
      </c>
      <c r="P52" s="439">
        <v>1</v>
      </c>
      <c r="Q52" s="439">
        <v>1</v>
      </c>
      <c r="R52" s="439">
        <v>1</v>
      </c>
      <c r="S52" s="439">
        <v>1</v>
      </c>
      <c r="T52" s="403"/>
      <c r="U52" s="403"/>
    </row>
    <row r="53" spans="6:21" s="160" customFormat="1" x14ac:dyDescent="0.25">
      <c r="F53" s="167" t="s">
        <v>57</v>
      </c>
      <c r="G53" s="195" t="s">
        <v>158</v>
      </c>
      <c r="J53" s="439">
        <v>1</v>
      </c>
      <c r="K53" s="439">
        <v>1</v>
      </c>
      <c r="L53" s="439">
        <v>1</v>
      </c>
      <c r="M53" s="439">
        <v>1</v>
      </c>
      <c r="N53" s="439">
        <v>1</v>
      </c>
      <c r="O53" s="439">
        <v>1</v>
      </c>
      <c r="P53" s="439">
        <v>1</v>
      </c>
      <c r="Q53" s="439">
        <v>1</v>
      </c>
      <c r="R53" s="439">
        <v>1</v>
      </c>
      <c r="S53" s="439">
        <v>0</v>
      </c>
      <c r="T53" s="403"/>
      <c r="U53" s="403"/>
    </row>
    <row r="54" spans="6:21" s="160" customFormat="1" x14ac:dyDescent="0.25">
      <c r="F54" s="167" t="s">
        <v>72</v>
      </c>
      <c r="G54" s="195" t="s">
        <v>158</v>
      </c>
      <c r="J54" s="439">
        <v>1</v>
      </c>
      <c r="K54" s="439">
        <v>1</v>
      </c>
      <c r="L54" s="439">
        <v>1</v>
      </c>
      <c r="M54" s="439">
        <v>1</v>
      </c>
      <c r="N54" s="439">
        <v>1</v>
      </c>
      <c r="O54" s="439">
        <v>1</v>
      </c>
      <c r="P54" s="439">
        <v>1</v>
      </c>
      <c r="Q54" s="439">
        <v>1</v>
      </c>
      <c r="R54" s="439">
        <v>0</v>
      </c>
      <c r="S54" s="439">
        <v>0</v>
      </c>
      <c r="T54" s="403"/>
      <c r="U54" s="403"/>
    </row>
    <row r="55" spans="6:21" s="160" customFormat="1" x14ac:dyDescent="0.25">
      <c r="F55" s="167" t="s">
        <v>58</v>
      </c>
      <c r="G55" s="195" t="s">
        <v>158</v>
      </c>
      <c r="J55" s="439">
        <v>1</v>
      </c>
      <c r="K55" s="439">
        <v>1</v>
      </c>
      <c r="L55" s="439">
        <v>1</v>
      </c>
      <c r="M55" s="439">
        <v>1</v>
      </c>
      <c r="N55" s="439">
        <v>1</v>
      </c>
      <c r="O55" s="439">
        <v>1</v>
      </c>
      <c r="P55" s="439">
        <v>1</v>
      </c>
      <c r="Q55" s="439">
        <v>1</v>
      </c>
      <c r="R55" s="439">
        <v>1</v>
      </c>
      <c r="S55" s="439">
        <v>1</v>
      </c>
      <c r="T55" s="403"/>
      <c r="U55" s="403"/>
    </row>
    <row r="56" spans="6:21" s="160" customFormat="1" x14ac:dyDescent="0.25">
      <c r="F56" s="167" t="s">
        <v>59</v>
      </c>
      <c r="G56" s="195" t="s">
        <v>158</v>
      </c>
      <c r="J56" s="439">
        <v>1</v>
      </c>
      <c r="K56" s="439">
        <v>1</v>
      </c>
      <c r="L56" s="439">
        <v>1</v>
      </c>
      <c r="M56" s="439">
        <v>1</v>
      </c>
      <c r="N56" s="439">
        <v>1</v>
      </c>
      <c r="O56" s="439">
        <v>1</v>
      </c>
      <c r="P56" s="439">
        <v>1</v>
      </c>
      <c r="Q56" s="439">
        <v>1</v>
      </c>
      <c r="R56" s="439">
        <v>1</v>
      </c>
      <c r="S56" s="439">
        <v>1</v>
      </c>
      <c r="T56" s="403"/>
      <c r="U56" s="403"/>
    </row>
    <row r="57" spans="6:21" s="160" customFormat="1" x14ac:dyDescent="0.25">
      <c r="F57" s="167" t="s">
        <v>60</v>
      </c>
      <c r="G57" s="195" t="s">
        <v>158</v>
      </c>
      <c r="J57" s="439">
        <v>1</v>
      </c>
      <c r="K57" s="439">
        <v>1</v>
      </c>
      <c r="L57" s="439">
        <v>1</v>
      </c>
      <c r="M57" s="439">
        <v>1</v>
      </c>
      <c r="N57" s="439">
        <v>1</v>
      </c>
      <c r="O57" s="439">
        <v>1</v>
      </c>
      <c r="P57" s="439">
        <v>1</v>
      </c>
      <c r="Q57" s="439">
        <v>1</v>
      </c>
      <c r="R57" s="439">
        <v>1</v>
      </c>
      <c r="S57" s="439">
        <v>1</v>
      </c>
      <c r="T57" s="403"/>
      <c r="U57" s="403"/>
    </row>
    <row r="58" spans="6:21" s="160" customFormat="1" x14ac:dyDescent="0.25">
      <c r="F58" s="167" t="s">
        <v>61</v>
      </c>
      <c r="G58" s="195" t="s">
        <v>158</v>
      </c>
      <c r="J58" s="439">
        <v>1</v>
      </c>
      <c r="K58" s="439">
        <v>1</v>
      </c>
      <c r="L58" s="439">
        <v>1</v>
      </c>
      <c r="M58" s="439">
        <v>1</v>
      </c>
      <c r="N58" s="439">
        <v>1</v>
      </c>
      <c r="O58" s="439">
        <v>1</v>
      </c>
      <c r="P58" s="439">
        <v>1</v>
      </c>
      <c r="Q58" s="439">
        <v>1</v>
      </c>
      <c r="R58" s="439">
        <v>1</v>
      </c>
      <c r="S58" s="439">
        <v>0</v>
      </c>
      <c r="T58" s="403"/>
      <c r="U58" s="403"/>
    </row>
    <row r="59" spans="6:21" s="160" customFormat="1" x14ac:dyDescent="0.25">
      <c r="F59" s="167" t="s">
        <v>73</v>
      </c>
      <c r="G59" s="195" t="s">
        <v>158</v>
      </c>
      <c r="J59" s="439">
        <v>1</v>
      </c>
      <c r="K59" s="439">
        <v>1</v>
      </c>
      <c r="L59" s="439">
        <v>1</v>
      </c>
      <c r="M59" s="439">
        <v>1</v>
      </c>
      <c r="N59" s="439">
        <v>1</v>
      </c>
      <c r="O59" s="439">
        <v>1</v>
      </c>
      <c r="P59" s="439">
        <v>1</v>
      </c>
      <c r="Q59" s="439">
        <v>1</v>
      </c>
      <c r="R59" s="439">
        <v>0</v>
      </c>
      <c r="S59" s="439">
        <v>0</v>
      </c>
      <c r="T59" s="403"/>
      <c r="U59" s="403"/>
    </row>
    <row r="60" spans="6:21" s="160" customFormat="1" x14ac:dyDescent="0.25">
      <c r="F60" s="167" t="s">
        <v>86</v>
      </c>
      <c r="G60" s="195" t="s">
        <v>158</v>
      </c>
      <c r="J60" s="439">
        <v>1</v>
      </c>
      <c r="K60" s="439">
        <v>1</v>
      </c>
      <c r="L60" s="439">
        <v>1</v>
      </c>
      <c r="M60" s="439">
        <v>1</v>
      </c>
      <c r="N60" s="439">
        <v>1</v>
      </c>
      <c r="O60" s="439">
        <v>1</v>
      </c>
      <c r="P60" s="439">
        <v>1</v>
      </c>
      <c r="Q60" s="439">
        <v>1</v>
      </c>
      <c r="R60" s="439">
        <v>1</v>
      </c>
      <c r="S60" s="439">
        <v>1</v>
      </c>
      <c r="T60" s="403"/>
      <c r="U60" s="403"/>
    </row>
    <row r="61" spans="6:21" s="160" customFormat="1" x14ac:dyDescent="0.25">
      <c r="F61" s="167" t="s">
        <v>87</v>
      </c>
      <c r="G61" s="195" t="s">
        <v>158</v>
      </c>
      <c r="J61" s="439">
        <v>1</v>
      </c>
      <c r="K61" s="439">
        <v>1</v>
      </c>
      <c r="L61" s="439">
        <v>1</v>
      </c>
      <c r="M61" s="439">
        <v>1</v>
      </c>
      <c r="N61" s="439">
        <v>1</v>
      </c>
      <c r="O61" s="439">
        <v>1</v>
      </c>
      <c r="P61" s="439">
        <v>1</v>
      </c>
      <c r="Q61" s="439">
        <v>1</v>
      </c>
      <c r="R61" s="439">
        <v>1</v>
      </c>
      <c r="S61" s="439">
        <v>1</v>
      </c>
      <c r="T61" s="403"/>
      <c r="U61" s="403"/>
    </row>
    <row r="62" spans="6:21" s="160" customFormat="1" x14ac:dyDescent="0.25">
      <c r="F62" s="167" t="s">
        <v>88</v>
      </c>
      <c r="G62" s="195" t="s">
        <v>158</v>
      </c>
      <c r="J62" s="439">
        <v>1</v>
      </c>
      <c r="K62" s="439">
        <v>1</v>
      </c>
      <c r="L62" s="439">
        <v>1</v>
      </c>
      <c r="M62" s="439">
        <v>1</v>
      </c>
      <c r="N62" s="439">
        <v>1</v>
      </c>
      <c r="O62" s="439">
        <v>1</v>
      </c>
      <c r="P62" s="439">
        <v>1</v>
      </c>
      <c r="Q62" s="439">
        <v>1</v>
      </c>
      <c r="R62" s="439">
        <v>1</v>
      </c>
      <c r="S62" s="439">
        <v>1</v>
      </c>
      <c r="T62" s="403"/>
      <c r="U62" s="403"/>
    </row>
    <row r="63" spans="6:21" s="160" customFormat="1" x14ac:dyDescent="0.25">
      <c r="F63" s="167" t="s">
        <v>89</v>
      </c>
      <c r="G63" s="195" t="s">
        <v>158</v>
      </c>
      <c r="J63" s="439">
        <v>1</v>
      </c>
      <c r="K63" s="439">
        <v>1</v>
      </c>
      <c r="L63" s="439">
        <v>1</v>
      </c>
      <c r="M63" s="439">
        <v>1</v>
      </c>
      <c r="N63" s="439">
        <v>1</v>
      </c>
      <c r="O63" s="439">
        <v>1</v>
      </c>
      <c r="P63" s="439">
        <v>1</v>
      </c>
      <c r="Q63" s="439">
        <v>1</v>
      </c>
      <c r="R63" s="439">
        <v>1</v>
      </c>
      <c r="S63" s="439">
        <v>1</v>
      </c>
      <c r="T63" s="403"/>
      <c r="U63" s="403"/>
    </row>
    <row r="64" spans="6:21" s="160" customFormat="1" x14ac:dyDescent="0.25">
      <c r="F64" s="167" t="s">
        <v>90</v>
      </c>
      <c r="G64" s="195" t="s">
        <v>158</v>
      </c>
      <c r="J64" s="439">
        <v>1</v>
      </c>
      <c r="K64" s="439">
        <v>1</v>
      </c>
      <c r="L64" s="439">
        <v>1</v>
      </c>
      <c r="M64" s="439">
        <v>1</v>
      </c>
      <c r="N64" s="439">
        <v>1</v>
      </c>
      <c r="O64" s="439">
        <v>1</v>
      </c>
      <c r="P64" s="439">
        <v>1</v>
      </c>
      <c r="Q64" s="439">
        <v>1</v>
      </c>
      <c r="R64" s="439">
        <v>1</v>
      </c>
      <c r="S64" s="439">
        <v>1</v>
      </c>
      <c r="T64" s="403"/>
      <c r="U64" s="403"/>
    </row>
    <row r="65" spans="5:21" s="160" customFormat="1" x14ac:dyDescent="0.25">
      <c r="F65" s="167" t="s">
        <v>62</v>
      </c>
      <c r="G65" s="195" t="s">
        <v>158</v>
      </c>
      <c r="J65" s="439">
        <v>-1</v>
      </c>
      <c r="K65" s="439">
        <v>-1</v>
      </c>
      <c r="L65" s="439">
        <v>-1</v>
      </c>
      <c r="M65" s="439">
        <v>-1</v>
      </c>
      <c r="N65" s="439">
        <v>-1</v>
      </c>
      <c r="O65" s="439">
        <v>-1</v>
      </c>
      <c r="P65" s="439">
        <v>-1</v>
      </c>
      <c r="Q65" s="439">
        <v>-1</v>
      </c>
      <c r="R65" s="439">
        <v>-1</v>
      </c>
      <c r="S65" s="439">
        <v>-1</v>
      </c>
      <c r="T65" s="403"/>
      <c r="U65" s="403"/>
    </row>
    <row r="66" spans="5:21" s="160" customFormat="1" x14ac:dyDescent="0.25">
      <c r="F66" s="167" t="s">
        <v>63</v>
      </c>
      <c r="G66" s="195" t="s">
        <v>158</v>
      </c>
      <c r="J66" s="439">
        <v>-1</v>
      </c>
      <c r="K66" s="439">
        <v>-1</v>
      </c>
      <c r="L66" s="439">
        <v>-1</v>
      </c>
      <c r="M66" s="439">
        <v>-1</v>
      </c>
      <c r="N66" s="439">
        <v>-1</v>
      </c>
      <c r="O66" s="439">
        <v>-1</v>
      </c>
      <c r="P66" s="439">
        <v>-1</v>
      </c>
      <c r="Q66" s="439">
        <v>-1</v>
      </c>
      <c r="R66" s="439">
        <v>-1</v>
      </c>
      <c r="S66" s="439">
        <v>0</v>
      </c>
      <c r="T66" s="403"/>
      <c r="U66" s="403"/>
    </row>
    <row r="67" spans="5:21" s="160" customFormat="1" x14ac:dyDescent="0.25">
      <c r="F67" s="167" t="s">
        <v>64</v>
      </c>
      <c r="G67" s="195" t="s">
        <v>158</v>
      </c>
      <c r="J67" s="439">
        <v>-1</v>
      </c>
      <c r="K67" s="439">
        <v>-1</v>
      </c>
      <c r="L67" s="439">
        <v>-1</v>
      </c>
      <c r="M67" s="439">
        <v>-1</v>
      </c>
      <c r="N67" s="439">
        <v>-1</v>
      </c>
      <c r="O67" s="439">
        <v>-1</v>
      </c>
      <c r="P67" s="439">
        <v>-1</v>
      </c>
      <c r="Q67" s="439">
        <v>-1</v>
      </c>
      <c r="R67" s="439">
        <v>-1</v>
      </c>
      <c r="S67" s="439">
        <v>-1</v>
      </c>
      <c r="T67" s="403"/>
      <c r="U67" s="403"/>
    </row>
    <row r="68" spans="5:21" s="160" customFormat="1" x14ac:dyDescent="0.25">
      <c r="F68" s="167" t="s">
        <v>65</v>
      </c>
      <c r="G68" s="195" t="s">
        <v>158</v>
      </c>
      <c r="J68" s="439">
        <v>-1</v>
      </c>
      <c r="K68" s="439">
        <v>-1</v>
      </c>
      <c r="L68" s="439">
        <v>-1</v>
      </c>
      <c r="M68" s="439">
        <v>-1</v>
      </c>
      <c r="N68" s="439">
        <v>-1</v>
      </c>
      <c r="O68" s="439">
        <v>-1</v>
      </c>
      <c r="P68" s="439">
        <v>-1</v>
      </c>
      <c r="Q68" s="439">
        <v>-1</v>
      </c>
      <c r="R68" s="439">
        <v>-1</v>
      </c>
      <c r="S68" s="439">
        <v>-1</v>
      </c>
      <c r="T68" s="403"/>
      <c r="U68" s="403"/>
    </row>
    <row r="69" spans="5:21" s="160" customFormat="1" x14ac:dyDescent="0.25">
      <c r="F69" s="167" t="s">
        <v>66</v>
      </c>
      <c r="G69" s="195" t="s">
        <v>158</v>
      </c>
      <c r="J69" s="439">
        <v>-1</v>
      </c>
      <c r="K69" s="439">
        <v>-1</v>
      </c>
      <c r="L69" s="439">
        <v>-1</v>
      </c>
      <c r="M69" s="439">
        <v>-1</v>
      </c>
      <c r="N69" s="439">
        <v>-1</v>
      </c>
      <c r="O69" s="439">
        <v>-1</v>
      </c>
      <c r="P69" s="439">
        <v>-1</v>
      </c>
      <c r="Q69" s="439">
        <v>-1</v>
      </c>
      <c r="R69" s="439">
        <v>-1</v>
      </c>
      <c r="S69" s="439">
        <v>-1</v>
      </c>
      <c r="T69" s="403"/>
      <c r="U69" s="403"/>
    </row>
    <row r="70" spans="5:21" s="160" customFormat="1" x14ac:dyDescent="0.25">
      <c r="F70" s="167" t="s">
        <v>67</v>
      </c>
      <c r="G70" s="195" t="s">
        <v>158</v>
      </c>
      <c r="J70" s="439">
        <v>-1</v>
      </c>
      <c r="K70" s="439">
        <v>-1</v>
      </c>
      <c r="L70" s="439">
        <v>-1</v>
      </c>
      <c r="M70" s="439">
        <v>-1</v>
      </c>
      <c r="N70" s="439">
        <v>-1</v>
      </c>
      <c r="O70" s="439">
        <v>-1</v>
      </c>
      <c r="P70" s="439">
        <v>-1</v>
      </c>
      <c r="Q70" s="439">
        <v>-1</v>
      </c>
      <c r="R70" s="439">
        <v>-1</v>
      </c>
      <c r="S70" s="439">
        <v>-1</v>
      </c>
      <c r="T70" s="403"/>
      <c r="U70" s="403"/>
    </row>
    <row r="71" spans="5:21" s="160" customFormat="1" x14ac:dyDescent="0.25">
      <c r="F71" s="167" t="s">
        <v>68</v>
      </c>
      <c r="G71" s="195" t="s">
        <v>158</v>
      </c>
      <c r="J71" s="439">
        <v>-1</v>
      </c>
      <c r="K71" s="439">
        <v>-1</v>
      </c>
      <c r="L71" s="439">
        <v>-1</v>
      </c>
      <c r="M71" s="439">
        <v>-1</v>
      </c>
      <c r="N71" s="439">
        <v>-1</v>
      </c>
      <c r="O71" s="439">
        <v>-1</v>
      </c>
      <c r="P71" s="439">
        <v>-1</v>
      </c>
      <c r="Q71" s="439">
        <v>-1</v>
      </c>
      <c r="R71" s="439">
        <v>-1</v>
      </c>
      <c r="S71" s="439">
        <v>0</v>
      </c>
      <c r="T71" s="403"/>
      <c r="U71" s="403"/>
    </row>
    <row r="72" spans="5:21" s="160" customFormat="1" x14ac:dyDescent="0.25">
      <c r="F72" s="167" t="s">
        <v>69</v>
      </c>
      <c r="G72" s="195" t="s">
        <v>158</v>
      </c>
      <c r="J72" s="439">
        <v>-1</v>
      </c>
      <c r="K72" s="439">
        <v>-1</v>
      </c>
      <c r="L72" s="439">
        <v>-1</v>
      </c>
      <c r="M72" s="439">
        <v>-1</v>
      </c>
      <c r="N72" s="439">
        <v>-1</v>
      </c>
      <c r="O72" s="439">
        <v>-1</v>
      </c>
      <c r="P72" s="439">
        <v>-1</v>
      </c>
      <c r="Q72" s="439">
        <v>-1</v>
      </c>
      <c r="R72" s="439">
        <v>-1</v>
      </c>
      <c r="S72" s="439">
        <v>0</v>
      </c>
      <c r="T72" s="403"/>
      <c r="U72" s="403"/>
    </row>
    <row r="73" spans="5:21" s="160" customFormat="1" x14ac:dyDescent="0.25">
      <c r="F73" s="167" t="s">
        <v>70</v>
      </c>
      <c r="G73" s="195" t="s">
        <v>158</v>
      </c>
      <c r="J73" s="439">
        <v>-1</v>
      </c>
      <c r="K73" s="439">
        <v>-1</v>
      </c>
      <c r="L73" s="439">
        <v>-1</v>
      </c>
      <c r="M73" s="439">
        <v>-1</v>
      </c>
      <c r="N73" s="439">
        <v>-1</v>
      </c>
      <c r="O73" s="439">
        <v>-1</v>
      </c>
      <c r="P73" s="439">
        <v>-1</v>
      </c>
      <c r="Q73" s="439">
        <v>-1</v>
      </c>
      <c r="R73" s="439">
        <v>-1</v>
      </c>
      <c r="S73" s="439">
        <v>0</v>
      </c>
      <c r="T73" s="403"/>
      <c r="U73" s="403"/>
    </row>
    <row r="74" spans="5:21" s="160" customFormat="1" x14ac:dyDescent="0.25">
      <c r="F74" s="167" t="s">
        <v>71</v>
      </c>
      <c r="G74" s="195" t="s">
        <v>158</v>
      </c>
      <c r="J74" s="439">
        <v>-1</v>
      </c>
      <c r="K74" s="439">
        <v>-1</v>
      </c>
      <c r="L74" s="439">
        <v>-1</v>
      </c>
      <c r="M74" s="439">
        <v>-1</v>
      </c>
      <c r="N74" s="439">
        <v>-1</v>
      </c>
      <c r="O74" s="439">
        <v>-1</v>
      </c>
      <c r="P74" s="439">
        <v>-1</v>
      </c>
      <c r="Q74" s="439">
        <v>-1</v>
      </c>
      <c r="R74" s="439">
        <v>-1</v>
      </c>
      <c r="S74" s="439">
        <v>0</v>
      </c>
      <c r="T74" s="403"/>
      <c r="U74" s="403"/>
    </row>
    <row r="75" spans="5:21" s="160" customFormat="1" x14ac:dyDescent="0.25">
      <c r="F75" s="167" t="s">
        <v>74</v>
      </c>
      <c r="G75" s="195" t="s">
        <v>158</v>
      </c>
      <c r="J75" s="439">
        <v>-1</v>
      </c>
      <c r="K75" s="439">
        <v>-1</v>
      </c>
      <c r="L75" s="439">
        <v>-1</v>
      </c>
      <c r="M75" s="439">
        <v>-1</v>
      </c>
      <c r="N75" s="439">
        <v>-1</v>
      </c>
      <c r="O75" s="439">
        <v>-1</v>
      </c>
      <c r="P75" s="439">
        <v>-1</v>
      </c>
      <c r="Q75" s="439">
        <v>-1</v>
      </c>
      <c r="R75" s="439">
        <v>0</v>
      </c>
      <c r="S75" s="439">
        <v>0</v>
      </c>
      <c r="T75" s="403"/>
      <c r="U75" s="403"/>
    </row>
    <row r="76" spans="5:21" s="160" customFormat="1" x14ac:dyDescent="0.25">
      <c r="F76" s="167" t="s">
        <v>75</v>
      </c>
      <c r="G76" s="195" t="s">
        <v>158</v>
      </c>
      <c r="J76" s="439">
        <v>-1</v>
      </c>
      <c r="K76" s="439">
        <v>-1</v>
      </c>
      <c r="L76" s="439">
        <v>-1</v>
      </c>
      <c r="M76" s="439">
        <v>-1</v>
      </c>
      <c r="N76" s="439">
        <v>-1</v>
      </c>
      <c r="O76" s="439">
        <v>-1</v>
      </c>
      <c r="P76" s="439">
        <v>-1</v>
      </c>
      <c r="Q76" s="439">
        <v>-1</v>
      </c>
      <c r="R76" s="439">
        <v>0</v>
      </c>
      <c r="S76" s="439">
        <v>0</v>
      </c>
      <c r="T76" s="403"/>
      <c r="U76" s="403"/>
    </row>
    <row r="77" spans="5:21" s="160" customFormat="1" x14ac:dyDescent="0.25">
      <c r="F77" s="167" t="s">
        <v>76</v>
      </c>
      <c r="G77" s="195" t="s">
        <v>158</v>
      </c>
      <c r="J77" s="439">
        <v>-1</v>
      </c>
      <c r="K77" s="439">
        <v>-1</v>
      </c>
      <c r="L77" s="439">
        <v>-1</v>
      </c>
      <c r="M77" s="439">
        <v>-1</v>
      </c>
      <c r="N77" s="439">
        <v>-1</v>
      </c>
      <c r="O77" s="439">
        <v>-1</v>
      </c>
      <c r="P77" s="439">
        <v>-1</v>
      </c>
      <c r="Q77" s="439">
        <v>-1</v>
      </c>
      <c r="R77" s="439">
        <v>0</v>
      </c>
      <c r="S77" s="439">
        <v>0</v>
      </c>
      <c r="T77" s="403"/>
      <c r="U77" s="403"/>
    </row>
    <row r="78" spans="5:21" s="160" customFormat="1" x14ac:dyDescent="0.25">
      <c r="F78" s="168" t="s">
        <v>77</v>
      </c>
      <c r="G78" s="77" t="s">
        <v>158</v>
      </c>
      <c r="H78" s="168"/>
      <c r="I78" s="168"/>
      <c r="J78" s="440">
        <v>-1</v>
      </c>
      <c r="K78" s="440">
        <v>-1</v>
      </c>
      <c r="L78" s="440">
        <v>-1</v>
      </c>
      <c r="M78" s="440">
        <v>-1</v>
      </c>
      <c r="N78" s="440">
        <v>-1</v>
      </c>
      <c r="O78" s="440">
        <v>-1</v>
      </c>
      <c r="P78" s="440">
        <v>-1</v>
      </c>
      <c r="Q78" s="440">
        <v>-1</v>
      </c>
      <c r="R78" s="440">
        <v>0</v>
      </c>
      <c r="S78" s="440">
        <v>0</v>
      </c>
      <c r="T78" s="404"/>
      <c r="U78" s="404"/>
    </row>
    <row r="79" spans="5:21" s="160" customFormat="1" x14ac:dyDescent="0.25">
      <c r="G79" s="194"/>
      <c r="J79" s="416"/>
      <c r="K79" s="416"/>
      <c r="L79" s="416"/>
      <c r="M79" s="416"/>
      <c r="N79" s="416"/>
      <c r="O79" s="416"/>
      <c r="P79" s="416"/>
      <c r="Q79" s="416"/>
      <c r="R79" s="416"/>
      <c r="S79" s="416"/>
      <c r="T79" s="416"/>
      <c r="U79" s="416"/>
    </row>
    <row r="80" spans="5:21" x14ac:dyDescent="0.25">
      <c r="E80" s="36" t="s">
        <v>655</v>
      </c>
      <c r="F80" s="160"/>
      <c r="G80" s="194"/>
      <c r="J80" s="416"/>
      <c r="K80" s="416"/>
      <c r="L80" s="416"/>
      <c r="M80" s="416"/>
      <c r="N80" s="416"/>
      <c r="O80" s="416"/>
      <c r="P80" s="416"/>
      <c r="Q80" s="416"/>
      <c r="R80" s="416"/>
      <c r="S80" s="416"/>
      <c r="T80" s="416"/>
      <c r="U80" s="416"/>
    </row>
    <row r="81" spans="1:23" s="160" customFormat="1" x14ac:dyDescent="0.25">
      <c r="E81" s="152" t="s">
        <v>487</v>
      </c>
      <c r="G81" s="194"/>
      <c r="J81" s="416"/>
      <c r="K81" s="416"/>
      <c r="L81" s="416"/>
      <c r="M81" s="416"/>
      <c r="N81" s="416"/>
      <c r="O81" s="416"/>
      <c r="P81" s="416"/>
      <c r="Q81" s="416"/>
      <c r="R81" s="416"/>
      <c r="S81" s="416"/>
      <c r="T81" s="416"/>
      <c r="U81" s="416"/>
    </row>
    <row r="82" spans="1:23" x14ac:dyDescent="0.25">
      <c r="A82" s="88"/>
      <c r="E82" s="21"/>
      <c r="F82" s="166" t="s">
        <v>52</v>
      </c>
      <c r="G82" s="85" t="s">
        <v>158</v>
      </c>
      <c r="H82" s="13"/>
      <c r="I82" s="13"/>
      <c r="J82" s="431">
        <f t="shared" ref="J82:S82" si="5">IF(J$38 = "", J46, J46 * J$38)</f>
        <v>1</v>
      </c>
      <c r="K82" s="431">
        <f t="shared" si="5"/>
        <v>1</v>
      </c>
      <c r="L82" s="431">
        <f t="shared" si="5"/>
        <v>1</v>
      </c>
      <c r="M82" s="431">
        <f t="shared" si="5"/>
        <v>1</v>
      </c>
      <c r="N82" s="431">
        <f t="shared" si="5"/>
        <v>1</v>
      </c>
      <c r="O82" s="431">
        <f t="shared" si="5"/>
        <v>1</v>
      </c>
      <c r="P82" s="431">
        <f t="shared" si="5"/>
        <v>0</v>
      </c>
      <c r="Q82" s="431">
        <f t="shared" si="5"/>
        <v>1</v>
      </c>
      <c r="R82" s="431">
        <f t="shared" si="5"/>
        <v>1</v>
      </c>
      <c r="S82" s="431">
        <f t="shared" si="5"/>
        <v>1</v>
      </c>
      <c r="T82" s="402"/>
      <c r="U82" s="402"/>
      <c r="W82" s="8"/>
    </row>
    <row r="83" spans="1:23" x14ac:dyDescent="0.25">
      <c r="A83" s="88"/>
      <c r="E83" s="21"/>
      <c r="F83" s="167" t="s">
        <v>53</v>
      </c>
      <c r="G83" s="195" t="s">
        <v>158</v>
      </c>
      <c r="J83" s="441">
        <f t="shared" ref="J83:S83" si="6">IF(J$38 = "", J47, J47 * J$38)</f>
        <v>1</v>
      </c>
      <c r="K83" s="441">
        <f t="shared" si="6"/>
        <v>1</v>
      </c>
      <c r="L83" s="441">
        <f t="shared" si="6"/>
        <v>1</v>
      </c>
      <c r="M83" s="441">
        <f t="shared" si="6"/>
        <v>1</v>
      </c>
      <c r="N83" s="441">
        <f t="shared" si="6"/>
        <v>1</v>
      </c>
      <c r="O83" s="441">
        <f t="shared" si="6"/>
        <v>1</v>
      </c>
      <c r="P83" s="441">
        <f t="shared" si="6"/>
        <v>0</v>
      </c>
      <c r="Q83" s="441">
        <f t="shared" si="6"/>
        <v>1</v>
      </c>
      <c r="R83" s="441">
        <f t="shared" si="6"/>
        <v>1</v>
      </c>
      <c r="S83" s="441">
        <f t="shared" si="6"/>
        <v>1</v>
      </c>
      <c r="T83" s="403"/>
      <c r="U83" s="403"/>
    </row>
    <row r="84" spans="1:23" x14ac:dyDescent="0.25">
      <c r="A84" s="88"/>
      <c r="E84" s="21"/>
      <c r="F84" s="167" t="s">
        <v>84</v>
      </c>
      <c r="G84" s="195" t="s">
        <v>158</v>
      </c>
      <c r="J84" s="441">
        <f t="shared" ref="J84:S84" si="7">IF(J$38 = "", J48, J48 * J$38)</f>
        <v>1</v>
      </c>
      <c r="K84" s="441">
        <f t="shared" si="7"/>
        <v>1</v>
      </c>
      <c r="L84" s="441">
        <f t="shared" si="7"/>
        <v>1</v>
      </c>
      <c r="M84" s="441">
        <f t="shared" si="7"/>
        <v>1</v>
      </c>
      <c r="N84" s="441">
        <f t="shared" si="7"/>
        <v>1</v>
      </c>
      <c r="O84" s="441">
        <f t="shared" si="7"/>
        <v>1</v>
      </c>
      <c r="P84" s="441">
        <f t="shared" si="7"/>
        <v>0</v>
      </c>
      <c r="Q84" s="441">
        <f t="shared" si="7"/>
        <v>1</v>
      </c>
      <c r="R84" s="441">
        <f t="shared" si="7"/>
        <v>1</v>
      </c>
      <c r="S84" s="441">
        <f t="shared" si="7"/>
        <v>1</v>
      </c>
      <c r="T84" s="403"/>
      <c r="U84" s="403"/>
    </row>
    <row r="85" spans="1:23" x14ac:dyDescent="0.25">
      <c r="A85" s="88"/>
      <c r="E85" s="21"/>
      <c r="F85" s="167" t="s">
        <v>54</v>
      </c>
      <c r="G85" s="195" t="s">
        <v>158</v>
      </c>
      <c r="J85" s="441">
        <f t="shared" ref="J85:S85" si="8">IF(J$38 = "", J49, J49 * J$38)</f>
        <v>1</v>
      </c>
      <c r="K85" s="441">
        <f t="shared" si="8"/>
        <v>1</v>
      </c>
      <c r="L85" s="441">
        <f t="shared" si="8"/>
        <v>1</v>
      </c>
      <c r="M85" s="441">
        <f t="shared" si="8"/>
        <v>1</v>
      </c>
      <c r="N85" s="441">
        <f t="shared" si="8"/>
        <v>1</v>
      </c>
      <c r="O85" s="441">
        <f t="shared" si="8"/>
        <v>1</v>
      </c>
      <c r="P85" s="441">
        <f t="shared" si="8"/>
        <v>0</v>
      </c>
      <c r="Q85" s="441">
        <f t="shared" si="8"/>
        <v>1</v>
      </c>
      <c r="R85" s="441">
        <f t="shared" si="8"/>
        <v>1</v>
      </c>
      <c r="S85" s="441">
        <f t="shared" si="8"/>
        <v>1</v>
      </c>
      <c r="T85" s="403"/>
      <c r="U85" s="403"/>
    </row>
    <row r="86" spans="1:23" x14ac:dyDescent="0.25">
      <c r="A86" s="88"/>
      <c r="E86" s="21"/>
      <c r="F86" s="167" t="s">
        <v>55</v>
      </c>
      <c r="G86" s="195" t="s">
        <v>158</v>
      </c>
      <c r="J86" s="441">
        <f t="shared" ref="J86:S86" si="9">IF(J$38 = "", J50, J50 * J$38)</f>
        <v>1</v>
      </c>
      <c r="K86" s="441">
        <f t="shared" si="9"/>
        <v>1</v>
      </c>
      <c r="L86" s="441">
        <f t="shared" si="9"/>
        <v>1</v>
      </c>
      <c r="M86" s="441">
        <f t="shared" si="9"/>
        <v>1</v>
      </c>
      <c r="N86" s="441">
        <f t="shared" si="9"/>
        <v>1</v>
      </c>
      <c r="O86" s="441">
        <f t="shared" si="9"/>
        <v>1</v>
      </c>
      <c r="P86" s="441">
        <f t="shared" si="9"/>
        <v>0</v>
      </c>
      <c r="Q86" s="441">
        <f t="shared" si="9"/>
        <v>1</v>
      </c>
      <c r="R86" s="441">
        <f t="shared" si="9"/>
        <v>1</v>
      </c>
      <c r="S86" s="441">
        <f t="shared" si="9"/>
        <v>1</v>
      </c>
      <c r="T86" s="403"/>
      <c r="U86" s="403"/>
    </row>
    <row r="87" spans="1:23" x14ac:dyDescent="0.25">
      <c r="A87" s="88"/>
      <c r="E87" s="21"/>
      <c r="F87" s="167" t="s">
        <v>85</v>
      </c>
      <c r="G87" s="195" t="s">
        <v>158</v>
      </c>
      <c r="J87" s="441">
        <f t="shared" ref="J87:S87" si="10">IF(J$38 = "", J51, J51 * J$38)</f>
        <v>1</v>
      </c>
      <c r="K87" s="441">
        <f t="shared" si="10"/>
        <v>1</v>
      </c>
      <c r="L87" s="441">
        <f t="shared" si="10"/>
        <v>1</v>
      </c>
      <c r="M87" s="441">
        <f t="shared" si="10"/>
        <v>1</v>
      </c>
      <c r="N87" s="441">
        <f t="shared" si="10"/>
        <v>1</v>
      </c>
      <c r="O87" s="441">
        <f t="shared" si="10"/>
        <v>1</v>
      </c>
      <c r="P87" s="441">
        <f t="shared" si="10"/>
        <v>0</v>
      </c>
      <c r="Q87" s="441">
        <f t="shared" si="10"/>
        <v>1</v>
      </c>
      <c r="R87" s="441">
        <f t="shared" si="10"/>
        <v>1</v>
      </c>
      <c r="S87" s="441">
        <f t="shared" si="10"/>
        <v>1</v>
      </c>
      <c r="T87" s="403"/>
      <c r="U87" s="403"/>
    </row>
    <row r="88" spans="1:23" x14ac:dyDescent="0.25">
      <c r="A88" s="88"/>
      <c r="E88" s="21"/>
      <c r="F88" s="167" t="s">
        <v>56</v>
      </c>
      <c r="G88" s="195" t="s">
        <v>158</v>
      </c>
      <c r="J88" s="441">
        <f t="shared" ref="J88:S88" si="11">IF(J$38 = "", J52, J52 * J$38)</f>
        <v>1</v>
      </c>
      <c r="K88" s="441">
        <f t="shared" si="11"/>
        <v>1</v>
      </c>
      <c r="L88" s="441">
        <f t="shared" si="11"/>
        <v>1</v>
      </c>
      <c r="M88" s="441">
        <f t="shared" si="11"/>
        <v>1</v>
      </c>
      <c r="N88" s="441">
        <f t="shared" si="11"/>
        <v>1</v>
      </c>
      <c r="O88" s="441">
        <f t="shared" si="11"/>
        <v>1</v>
      </c>
      <c r="P88" s="441">
        <f t="shared" si="11"/>
        <v>0</v>
      </c>
      <c r="Q88" s="441">
        <f t="shared" si="11"/>
        <v>1</v>
      </c>
      <c r="R88" s="441">
        <f t="shared" si="11"/>
        <v>1</v>
      </c>
      <c r="S88" s="441">
        <f t="shared" si="11"/>
        <v>1</v>
      </c>
      <c r="T88" s="403"/>
      <c r="U88" s="403"/>
    </row>
    <row r="89" spans="1:23" x14ac:dyDescent="0.25">
      <c r="A89" s="88"/>
      <c r="E89" s="21"/>
      <c r="F89" s="167" t="s">
        <v>57</v>
      </c>
      <c r="G89" s="195" t="s">
        <v>158</v>
      </c>
      <c r="J89" s="441">
        <f t="shared" ref="J89:S89" si="12">IF(J$38 = "", J53, J53 * J$38)</f>
        <v>1</v>
      </c>
      <c r="K89" s="441">
        <f t="shared" si="12"/>
        <v>1</v>
      </c>
      <c r="L89" s="441">
        <f t="shared" si="12"/>
        <v>1</v>
      </c>
      <c r="M89" s="441">
        <f t="shared" si="12"/>
        <v>1</v>
      </c>
      <c r="N89" s="441">
        <f t="shared" si="12"/>
        <v>1</v>
      </c>
      <c r="O89" s="441">
        <f t="shared" si="12"/>
        <v>1</v>
      </c>
      <c r="P89" s="441">
        <f t="shared" si="12"/>
        <v>0</v>
      </c>
      <c r="Q89" s="441">
        <f t="shared" si="12"/>
        <v>1</v>
      </c>
      <c r="R89" s="441">
        <f t="shared" si="12"/>
        <v>1</v>
      </c>
      <c r="S89" s="441">
        <f t="shared" si="12"/>
        <v>0</v>
      </c>
      <c r="T89" s="403"/>
      <c r="U89" s="403"/>
    </row>
    <row r="90" spans="1:23" x14ac:dyDescent="0.25">
      <c r="A90" s="88"/>
      <c r="E90" s="21"/>
      <c r="F90" s="167" t="s">
        <v>72</v>
      </c>
      <c r="G90" s="195" t="s">
        <v>158</v>
      </c>
      <c r="J90" s="441">
        <f t="shared" ref="J90:S90" si="13">IF(J$38 = "", J54, J54 * J$38)</f>
        <v>1</v>
      </c>
      <c r="K90" s="441">
        <f t="shared" si="13"/>
        <v>1</v>
      </c>
      <c r="L90" s="441">
        <f t="shared" si="13"/>
        <v>1</v>
      </c>
      <c r="M90" s="441">
        <f t="shared" si="13"/>
        <v>1</v>
      </c>
      <c r="N90" s="441">
        <f t="shared" si="13"/>
        <v>1</v>
      </c>
      <c r="O90" s="441">
        <f t="shared" si="13"/>
        <v>1</v>
      </c>
      <c r="P90" s="441">
        <f t="shared" si="13"/>
        <v>0</v>
      </c>
      <c r="Q90" s="441">
        <f t="shared" si="13"/>
        <v>1</v>
      </c>
      <c r="R90" s="441">
        <f t="shared" si="13"/>
        <v>0</v>
      </c>
      <c r="S90" s="441">
        <f t="shared" si="13"/>
        <v>0</v>
      </c>
      <c r="T90" s="403"/>
      <c r="U90" s="403"/>
    </row>
    <row r="91" spans="1:23" x14ac:dyDescent="0.25">
      <c r="A91" s="88"/>
      <c r="E91" s="21"/>
      <c r="F91" s="167" t="s">
        <v>58</v>
      </c>
      <c r="G91" s="195" t="s">
        <v>158</v>
      </c>
      <c r="J91" s="441">
        <f t="shared" ref="J91:S91" si="14">IF(J$38 = "", J55, J55 * J$38)</f>
        <v>1</v>
      </c>
      <c r="K91" s="441">
        <f t="shared" si="14"/>
        <v>1</v>
      </c>
      <c r="L91" s="441">
        <f t="shared" si="14"/>
        <v>1</v>
      </c>
      <c r="M91" s="441">
        <f t="shared" si="14"/>
        <v>1</v>
      </c>
      <c r="N91" s="441">
        <f t="shared" si="14"/>
        <v>1</v>
      </c>
      <c r="O91" s="441">
        <f t="shared" si="14"/>
        <v>1</v>
      </c>
      <c r="P91" s="441">
        <f t="shared" si="14"/>
        <v>0</v>
      </c>
      <c r="Q91" s="441">
        <f t="shared" si="14"/>
        <v>1</v>
      </c>
      <c r="R91" s="441">
        <f t="shared" si="14"/>
        <v>1</v>
      </c>
      <c r="S91" s="441">
        <f t="shared" si="14"/>
        <v>1</v>
      </c>
      <c r="T91" s="403"/>
      <c r="U91" s="403"/>
    </row>
    <row r="92" spans="1:23" x14ac:dyDescent="0.25">
      <c r="A92" s="88"/>
      <c r="E92" s="21"/>
      <c r="F92" s="167" t="s">
        <v>59</v>
      </c>
      <c r="G92" s="195" t="s">
        <v>158</v>
      </c>
      <c r="J92" s="441">
        <f t="shared" ref="J92:S92" si="15">IF(J$38 = "", J56, J56 * J$38)</f>
        <v>1</v>
      </c>
      <c r="K92" s="441">
        <f t="shared" si="15"/>
        <v>1</v>
      </c>
      <c r="L92" s="441">
        <f t="shared" si="15"/>
        <v>1</v>
      </c>
      <c r="M92" s="441">
        <f t="shared" si="15"/>
        <v>1</v>
      </c>
      <c r="N92" s="441">
        <f t="shared" si="15"/>
        <v>1</v>
      </c>
      <c r="O92" s="441">
        <f t="shared" si="15"/>
        <v>1</v>
      </c>
      <c r="P92" s="441">
        <f t="shared" si="15"/>
        <v>0</v>
      </c>
      <c r="Q92" s="441">
        <f t="shared" si="15"/>
        <v>1</v>
      </c>
      <c r="R92" s="441">
        <f t="shared" si="15"/>
        <v>1</v>
      </c>
      <c r="S92" s="441">
        <f t="shared" si="15"/>
        <v>1</v>
      </c>
      <c r="T92" s="403"/>
      <c r="U92" s="403"/>
    </row>
    <row r="93" spans="1:23" x14ac:dyDescent="0.25">
      <c r="A93" s="88"/>
      <c r="E93" s="21"/>
      <c r="F93" s="167" t="s">
        <v>60</v>
      </c>
      <c r="G93" s="195" t="s">
        <v>158</v>
      </c>
      <c r="J93" s="441">
        <f t="shared" ref="J93:S93" si="16">IF(J$38 = "", J57, J57 * J$38)</f>
        <v>1</v>
      </c>
      <c r="K93" s="441">
        <f t="shared" si="16"/>
        <v>1</v>
      </c>
      <c r="L93" s="441">
        <f t="shared" si="16"/>
        <v>1</v>
      </c>
      <c r="M93" s="441">
        <f t="shared" si="16"/>
        <v>1</v>
      </c>
      <c r="N93" s="441">
        <f t="shared" si="16"/>
        <v>1</v>
      </c>
      <c r="O93" s="441">
        <f t="shared" si="16"/>
        <v>1</v>
      </c>
      <c r="P93" s="441">
        <f t="shared" si="16"/>
        <v>0</v>
      </c>
      <c r="Q93" s="441">
        <f t="shared" si="16"/>
        <v>1</v>
      </c>
      <c r="R93" s="441">
        <f t="shared" si="16"/>
        <v>1</v>
      </c>
      <c r="S93" s="441">
        <f t="shared" si="16"/>
        <v>1</v>
      </c>
      <c r="T93" s="403"/>
      <c r="U93" s="403"/>
    </row>
    <row r="94" spans="1:23" x14ac:dyDescent="0.25">
      <c r="A94" s="88"/>
      <c r="E94" s="21"/>
      <c r="F94" s="167" t="s">
        <v>61</v>
      </c>
      <c r="G94" s="195" t="s">
        <v>158</v>
      </c>
      <c r="J94" s="441">
        <f t="shared" ref="J94:S94" si="17">IF(J$38 = "", J58, J58 * J$38)</f>
        <v>1</v>
      </c>
      <c r="K94" s="441">
        <f t="shared" si="17"/>
        <v>1</v>
      </c>
      <c r="L94" s="441">
        <f t="shared" si="17"/>
        <v>1</v>
      </c>
      <c r="M94" s="441">
        <f t="shared" si="17"/>
        <v>1</v>
      </c>
      <c r="N94" s="441">
        <f t="shared" si="17"/>
        <v>1</v>
      </c>
      <c r="O94" s="441">
        <f t="shared" si="17"/>
        <v>1</v>
      </c>
      <c r="P94" s="441">
        <f t="shared" si="17"/>
        <v>0</v>
      </c>
      <c r="Q94" s="441">
        <f t="shared" si="17"/>
        <v>1</v>
      </c>
      <c r="R94" s="441">
        <f t="shared" si="17"/>
        <v>1</v>
      </c>
      <c r="S94" s="441">
        <f t="shared" si="17"/>
        <v>0</v>
      </c>
      <c r="T94" s="403"/>
      <c r="U94" s="403"/>
    </row>
    <row r="95" spans="1:23" x14ac:dyDescent="0.25">
      <c r="A95" s="88"/>
      <c r="E95" s="21"/>
      <c r="F95" s="167" t="s">
        <v>73</v>
      </c>
      <c r="G95" s="195" t="s">
        <v>158</v>
      </c>
      <c r="J95" s="441">
        <f t="shared" ref="J95:S95" si="18">IF(J$38 = "", J59, J59 * J$38)</f>
        <v>1</v>
      </c>
      <c r="K95" s="441">
        <f t="shared" si="18"/>
        <v>1</v>
      </c>
      <c r="L95" s="441">
        <f t="shared" si="18"/>
        <v>1</v>
      </c>
      <c r="M95" s="441">
        <f t="shared" si="18"/>
        <v>1</v>
      </c>
      <c r="N95" s="441">
        <f t="shared" si="18"/>
        <v>1</v>
      </c>
      <c r="O95" s="441">
        <f t="shared" si="18"/>
        <v>1</v>
      </c>
      <c r="P95" s="441">
        <f t="shared" si="18"/>
        <v>0</v>
      </c>
      <c r="Q95" s="441">
        <f t="shared" si="18"/>
        <v>1</v>
      </c>
      <c r="R95" s="441">
        <f t="shared" si="18"/>
        <v>0</v>
      </c>
      <c r="S95" s="441">
        <f t="shared" si="18"/>
        <v>0</v>
      </c>
      <c r="T95" s="403"/>
      <c r="U95" s="403"/>
    </row>
    <row r="96" spans="1:23" x14ac:dyDescent="0.25">
      <c r="A96" s="88"/>
      <c r="E96" s="21"/>
      <c r="F96" s="167" t="s">
        <v>86</v>
      </c>
      <c r="G96" s="195" t="s">
        <v>158</v>
      </c>
      <c r="J96" s="441">
        <f t="shared" ref="J96:S96" si="19">IF(J$38 = "", J60, J60 * J$38)</f>
        <v>1</v>
      </c>
      <c r="K96" s="441">
        <f t="shared" si="19"/>
        <v>1</v>
      </c>
      <c r="L96" s="441">
        <f t="shared" si="19"/>
        <v>1</v>
      </c>
      <c r="M96" s="441">
        <f t="shared" si="19"/>
        <v>1</v>
      </c>
      <c r="N96" s="441">
        <f t="shared" si="19"/>
        <v>1</v>
      </c>
      <c r="O96" s="441">
        <f t="shared" si="19"/>
        <v>1</v>
      </c>
      <c r="P96" s="441">
        <f t="shared" si="19"/>
        <v>0</v>
      </c>
      <c r="Q96" s="441">
        <f t="shared" si="19"/>
        <v>1</v>
      </c>
      <c r="R96" s="441">
        <f t="shared" si="19"/>
        <v>1</v>
      </c>
      <c r="S96" s="441">
        <f t="shared" si="19"/>
        <v>1</v>
      </c>
      <c r="T96" s="403"/>
      <c r="U96" s="403"/>
    </row>
    <row r="97" spans="1:21" x14ac:dyDescent="0.25">
      <c r="A97" s="88"/>
      <c r="E97" s="21"/>
      <c r="F97" s="167" t="s">
        <v>87</v>
      </c>
      <c r="G97" s="195" t="s">
        <v>158</v>
      </c>
      <c r="J97" s="441">
        <f t="shared" ref="J97:S97" si="20">IF(J$38 = "", J61, J61 * J$38)</f>
        <v>1</v>
      </c>
      <c r="K97" s="441">
        <f t="shared" si="20"/>
        <v>1</v>
      </c>
      <c r="L97" s="441">
        <f t="shared" si="20"/>
        <v>1</v>
      </c>
      <c r="M97" s="441">
        <f t="shared" si="20"/>
        <v>1</v>
      </c>
      <c r="N97" s="441">
        <f t="shared" si="20"/>
        <v>1</v>
      </c>
      <c r="O97" s="441">
        <f t="shared" si="20"/>
        <v>1</v>
      </c>
      <c r="P97" s="441">
        <f t="shared" si="20"/>
        <v>0</v>
      </c>
      <c r="Q97" s="441">
        <f t="shared" si="20"/>
        <v>1</v>
      </c>
      <c r="R97" s="441">
        <f t="shared" si="20"/>
        <v>1</v>
      </c>
      <c r="S97" s="441">
        <f t="shared" si="20"/>
        <v>1</v>
      </c>
      <c r="T97" s="403"/>
      <c r="U97" s="403"/>
    </row>
    <row r="98" spans="1:21" x14ac:dyDescent="0.25">
      <c r="A98" s="88"/>
      <c r="E98" s="21"/>
      <c r="F98" s="167" t="s">
        <v>88</v>
      </c>
      <c r="G98" s="195" t="s">
        <v>158</v>
      </c>
      <c r="J98" s="441">
        <f t="shared" ref="J98:S98" si="21">IF(J$38 = "", J62, J62 * J$38)</f>
        <v>1</v>
      </c>
      <c r="K98" s="441">
        <f t="shared" si="21"/>
        <v>1</v>
      </c>
      <c r="L98" s="441">
        <f t="shared" si="21"/>
        <v>1</v>
      </c>
      <c r="M98" s="441">
        <f t="shared" si="21"/>
        <v>1</v>
      </c>
      <c r="N98" s="441">
        <f t="shared" si="21"/>
        <v>1</v>
      </c>
      <c r="O98" s="441">
        <f t="shared" si="21"/>
        <v>1</v>
      </c>
      <c r="P98" s="441">
        <f t="shared" si="21"/>
        <v>0</v>
      </c>
      <c r="Q98" s="441">
        <f t="shared" si="21"/>
        <v>1</v>
      </c>
      <c r="R98" s="441">
        <f t="shared" si="21"/>
        <v>1</v>
      </c>
      <c r="S98" s="441">
        <f t="shared" si="21"/>
        <v>1</v>
      </c>
      <c r="T98" s="403"/>
      <c r="U98" s="403"/>
    </row>
    <row r="99" spans="1:21" x14ac:dyDescent="0.25">
      <c r="A99" s="88"/>
      <c r="E99" s="21"/>
      <c r="F99" s="167" t="s">
        <v>89</v>
      </c>
      <c r="G99" s="195" t="s">
        <v>158</v>
      </c>
      <c r="J99" s="441">
        <f t="shared" ref="J99:S99" si="22">IF(J$38 = "", J63, J63 * J$38)</f>
        <v>1</v>
      </c>
      <c r="K99" s="441">
        <f t="shared" si="22"/>
        <v>1</v>
      </c>
      <c r="L99" s="441">
        <f t="shared" si="22"/>
        <v>1</v>
      </c>
      <c r="M99" s="441">
        <f t="shared" si="22"/>
        <v>1</v>
      </c>
      <c r="N99" s="441">
        <f t="shared" si="22"/>
        <v>1</v>
      </c>
      <c r="O99" s="441">
        <f t="shared" si="22"/>
        <v>1</v>
      </c>
      <c r="P99" s="441">
        <f t="shared" si="22"/>
        <v>0</v>
      </c>
      <c r="Q99" s="441">
        <f t="shared" si="22"/>
        <v>1</v>
      </c>
      <c r="R99" s="441">
        <f t="shared" si="22"/>
        <v>1</v>
      </c>
      <c r="S99" s="441">
        <f t="shared" si="22"/>
        <v>1</v>
      </c>
      <c r="T99" s="403"/>
      <c r="U99" s="403"/>
    </row>
    <row r="100" spans="1:21" x14ac:dyDescent="0.25">
      <c r="A100" s="88"/>
      <c r="E100" s="21"/>
      <c r="F100" s="167" t="s">
        <v>90</v>
      </c>
      <c r="G100" s="195" t="s">
        <v>158</v>
      </c>
      <c r="J100" s="441">
        <f t="shared" ref="J100:S100" si="23">IF(J$38 = "", J64, J64 * J$38)</f>
        <v>1</v>
      </c>
      <c r="K100" s="441">
        <f t="shared" si="23"/>
        <v>1</v>
      </c>
      <c r="L100" s="441">
        <f t="shared" si="23"/>
        <v>1</v>
      </c>
      <c r="M100" s="441">
        <f t="shared" si="23"/>
        <v>1</v>
      </c>
      <c r="N100" s="441">
        <f t="shared" si="23"/>
        <v>1</v>
      </c>
      <c r="O100" s="441">
        <f t="shared" si="23"/>
        <v>1</v>
      </c>
      <c r="P100" s="441">
        <f t="shared" si="23"/>
        <v>0</v>
      </c>
      <c r="Q100" s="441">
        <f t="shared" si="23"/>
        <v>1</v>
      </c>
      <c r="R100" s="441">
        <f t="shared" si="23"/>
        <v>1</v>
      </c>
      <c r="S100" s="441">
        <f t="shared" si="23"/>
        <v>1</v>
      </c>
      <c r="T100" s="403"/>
      <c r="U100" s="403"/>
    </row>
    <row r="101" spans="1:21" x14ac:dyDescent="0.25">
      <c r="A101" s="88"/>
      <c r="E101" s="21"/>
      <c r="F101" s="167" t="s">
        <v>62</v>
      </c>
      <c r="G101" s="195" t="s">
        <v>158</v>
      </c>
      <c r="J101" s="441">
        <f t="shared" ref="J101:S101" si="24">IF(J$38 = "", J65, J65 * J$38)</f>
        <v>-1</v>
      </c>
      <c r="K101" s="441">
        <f t="shared" si="24"/>
        <v>-1</v>
      </c>
      <c r="L101" s="441">
        <f t="shared" si="24"/>
        <v>-1</v>
      </c>
      <c r="M101" s="441">
        <f t="shared" si="24"/>
        <v>-1</v>
      </c>
      <c r="N101" s="441">
        <f t="shared" si="24"/>
        <v>-1</v>
      </c>
      <c r="O101" s="441">
        <f t="shared" si="24"/>
        <v>-1</v>
      </c>
      <c r="P101" s="441">
        <f t="shared" si="24"/>
        <v>0</v>
      </c>
      <c r="Q101" s="441">
        <f t="shared" si="24"/>
        <v>-1</v>
      </c>
      <c r="R101" s="441">
        <f t="shared" si="24"/>
        <v>-1</v>
      </c>
      <c r="S101" s="441">
        <f t="shared" si="24"/>
        <v>-1</v>
      </c>
      <c r="T101" s="403"/>
      <c r="U101" s="403"/>
    </row>
    <row r="102" spans="1:21" x14ac:dyDescent="0.25">
      <c r="A102" s="88"/>
      <c r="E102" s="21"/>
      <c r="F102" s="167" t="s">
        <v>63</v>
      </c>
      <c r="G102" s="195" t="s">
        <v>158</v>
      </c>
      <c r="J102" s="441">
        <f t="shared" ref="J102:S102" si="25">IF(J$38 = "", J66, J66 * J$38)</f>
        <v>-1</v>
      </c>
      <c r="K102" s="441">
        <f t="shared" si="25"/>
        <v>-1</v>
      </c>
      <c r="L102" s="441">
        <f t="shared" si="25"/>
        <v>-1</v>
      </c>
      <c r="M102" s="441">
        <f t="shared" si="25"/>
        <v>-1</v>
      </c>
      <c r="N102" s="441">
        <f t="shared" si="25"/>
        <v>-1</v>
      </c>
      <c r="O102" s="441">
        <f t="shared" si="25"/>
        <v>-1</v>
      </c>
      <c r="P102" s="441">
        <f t="shared" si="25"/>
        <v>0</v>
      </c>
      <c r="Q102" s="441">
        <f t="shared" si="25"/>
        <v>-1</v>
      </c>
      <c r="R102" s="441">
        <f t="shared" si="25"/>
        <v>-1</v>
      </c>
      <c r="S102" s="441">
        <f t="shared" si="25"/>
        <v>0</v>
      </c>
      <c r="T102" s="403"/>
      <c r="U102" s="403"/>
    </row>
    <row r="103" spans="1:21" x14ac:dyDescent="0.25">
      <c r="A103" s="88"/>
      <c r="E103" s="21"/>
      <c r="F103" s="167" t="s">
        <v>64</v>
      </c>
      <c r="G103" s="195" t="s">
        <v>158</v>
      </c>
      <c r="J103" s="441">
        <f t="shared" ref="J103:S103" si="26">IF(J$38 = "", J67, J67 * J$38)</f>
        <v>-1</v>
      </c>
      <c r="K103" s="441">
        <f t="shared" si="26"/>
        <v>-1</v>
      </c>
      <c r="L103" s="441">
        <f t="shared" si="26"/>
        <v>-1</v>
      </c>
      <c r="M103" s="441">
        <f t="shared" si="26"/>
        <v>-1</v>
      </c>
      <c r="N103" s="441">
        <f t="shared" si="26"/>
        <v>-1</v>
      </c>
      <c r="O103" s="441">
        <f t="shared" si="26"/>
        <v>-1</v>
      </c>
      <c r="P103" s="441">
        <f t="shared" si="26"/>
        <v>0</v>
      </c>
      <c r="Q103" s="441">
        <f t="shared" si="26"/>
        <v>-1</v>
      </c>
      <c r="R103" s="441">
        <f t="shared" si="26"/>
        <v>-1</v>
      </c>
      <c r="S103" s="441">
        <f t="shared" si="26"/>
        <v>-1</v>
      </c>
      <c r="T103" s="403"/>
      <c r="U103" s="403"/>
    </row>
    <row r="104" spans="1:21" x14ac:dyDescent="0.25">
      <c r="A104" s="88"/>
      <c r="E104" s="21"/>
      <c r="F104" s="167" t="s">
        <v>65</v>
      </c>
      <c r="G104" s="195" t="s">
        <v>158</v>
      </c>
      <c r="J104" s="441">
        <f t="shared" ref="J104:S104" si="27">IF(J$38 = "", J68, J68 * J$38)</f>
        <v>-1</v>
      </c>
      <c r="K104" s="441">
        <f t="shared" si="27"/>
        <v>-1</v>
      </c>
      <c r="L104" s="441">
        <f t="shared" si="27"/>
        <v>-1</v>
      </c>
      <c r="M104" s="441">
        <f t="shared" si="27"/>
        <v>-1</v>
      </c>
      <c r="N104" s="441">
        <f t="shared" si="27"/>
        <v>-1</v>
      </c>
      <c r="O104" s="441">
        <f t="shared" si="27"/>
        <v>-1</v>
      </c>
      <c r="P104" s="441">
        <f t="shared" si="27"/>
        <v>0</v>
      </c>
      <c r="Q104" s="441">
        <f t="shared" si="27"/>
        <v>-1</v>
      </c>
      <c r="R104" s="441">
        <f t="shared" si="27"/>
        <v>-1</v>
      </c>
      <c r="S104" s="441">
        <f t="shared" si="27"/>
        <v>-1</v>
      </c>
      <c r="T104" s="403"/>
      <c r="U104" s="403"/>
    </row>
    <row r="105" spans="1:21" x14ac:dyDescent="0.25">
      <c r="A105" s="88"/>
      <c r="E105" s="21"/>
      <c r="F105" s="167" t="s">
        <v>66</v>
      </c>
      <c r="G105" s="195" t="s">
        <v>158</v>
      </c>
      <c r="J105" s="441">
        <f t="shared" ref="J105:S105" si="28">IF(J$38 = "", J69, J69 * J$38)</f>
        <v>-1</v>
      </c>
      <c r="K105" s="441">
        <f t="shared" si="28"/>
        <v>-1</v>
      </c>
      <c r="L105" s="441">
        <f t="shared" si="28"/>
        <v>-1</v>
      </c>
      <c r="M105" s="441">
        <f t="shared" si="28"/>
        <v>-1</v>
      </c>
      <c r="N105" s="441">
        <f t="shared" si="28"/>
        <v>-1</v>
      </c>
      <c r="O105" s="441">
        <f t="shared" si="28"/>
        <v>-1</v>
      </c>
      <c r="P105" s="441">
        <f t="shared" si="28"/>
        <v>0</v>
      </c>
      <c r="Q105" s="441">
        <f t="shared" si="28"/>
        <v>-1</v>
      </c>
      <c r="R105" s="441">
        <f t="shared" si="28"/>
        <v>-1</v>
      </c>
      <c r="S105" s="441">
        <f t="shared" si="28"/>
        <v>-1</v>
      </c>
      <c r="T105" s="403"/>
      <c r="U105" s="403"/>
    </row>
    <row r="106" spans="1:21" x14ac:dyDescent="0.25">
      <c r="A106" s="88"/>
      <c r="E106" s="21"/>
      <c r="F106" s="167" t="s">
        <v>67</v>
      </c>
      <c r="G106" s="195" t="s">
        <v>158</v>
      </c>
      <c r="J106" s="441">
        <f t="shared" ref="J106:S106" si="29">IF(J$38 = "", J70, J70 * J$38)</f>
        <v>-1</v>
      </c>
      <c r="K106" s="441">
        <f t="shared" si="29"/>
        <v>-1</v>
      </c>
      <c r="L106" s="441">
        <f t="shared" si="29"/>
        <v>-1</v>
      </c>
      <c r="M106" s="441">
        <f t="shared" si="29"/>
        <v>-1</v>
      </c>
      <c r="N106" s="441">
        <f t="shared" si="29"/>
        <v>-1</v>
      </c>
      <c r="O106" s="441">
        <f t="shared" si="29"/>
        <v>-1</v>
      </c>
      <c r="P106" s="441">
        <f t="shared" si="29"/>
        <v>0</v>
      </c>
      <c r="Q106" s="441">
        <f t="shared" si="29"/>
        <v>-1</v>
      </c>
      <c r="R106" s="441">
        <f t="shared" si="29"/>
        <v>-1</v>
      </c>
      <c r="S106" s="441">
        <f t="shared" si="29"/>
        <v>-1</v>
      </c>
      <c r="T106" s="403"/>
      <c r="U106" s="403"/>
    </row>
    <row r="107" spans="1:21" x14ac:dyDescent="0.25">
      <c r="A107" s="88"/>
      <c r="E107" s="21"/>
      <c r="F107" s="167" t="s">
        <v>68</v>
      </c>
      <c r="G107" s="195" t="s">
        <v>158</v>
      </c>
      <c r="J107" s="441">
        <f t="shared" ref="J107:S107" si="30">IF(J$38 = "", J71, J71 * J$38)</f>
        <v>-1</v>
      </c>
      <c r="K107" s="441">
        <f t="shared" si="30"/>
        <v>-1</v>
      </c>
      <c r="L107" s="441">
        <f t="shared" si="30"/>
        <v>-1</v>
      </c>
      <c r="M107" s="441">
        <f t="shared" si="30"/>
        <v>-1</v>
      </c>
      <c r="N107" s="441">
        <f t="shared" si="30"/>
        <v>-1</v>
      </c>
      <c r="O107" s="441">
        <f t="shared" si="30"/>
        <v>-1</v>
      </c>
      <c r="P107" s="441">
        <f t="shared" si="30"/>
        <v>0</v>
      </c>
      <c r="Q107" s="441">
        <f t="shared" si="30"/>
        <v>-1</v>
      </c>
      <c r="R107" s="441">
        <f t="shared" si="30"/>
        <v>-1</v>
      </c>
      <c r="S107" s="441">
        <f t="shared" si="30"/>
        <v>0</v>
      </c>
      <c r="T107" s="403"/>
      <c r="U107" s="403"/>
    </row>
    <row r="108" spans="1:21" x14ac:dyDescent="0.25">
      <c r="A108" s="88"/>
      <c r="E108" s="21"/>
      <c r="F108" s="167" t="s">
        <v>69</v>
      </c>
      <c r="G108" s="195" t="s">
        <v>158</v>
      </c>
      <c r="J108" s="441">
        <f t="shared" ref="J108:S108" si="31">IF(J$38 = "", J72, J72 * J$38)</f>
        <v>-1</v>
      </c>
      <c r="K108" s="441">
        <f t="shared" si="31"/>
        <v>-1</v>
      </c>
      <c r="L108" s="441">
        <f t="shared" si="31"/>
        <v>-1</v>
      </c>
      <c r="M108" s="441">
        <f t="shared" si="31"/>
        <v>-1</v>
      </c>
      <c r="N108" s="441">
        <f t="shared" si="31"/>
        <v>-1</v>
      </c>
      <c r="O108" s="441">
        <f t="shared" si="31"/>
        <v>-1</v>
      </c>
      <c r="P108" s="441">
        <f t="shared" si="31"/>
        <v>0</v>
      </c>
      <c r="Q108" s="441">
        <f t="shared" si="31"/>
        <v>-1</v>
      </c>
      <c r="R108" s="441">
        <f t="shared" si="31"/>
        <v>-1</v>
      </c>
      <c r="S108" s="441">
        <f t="shared" si="31"/>
        <v>0</v>
      </c>
      <c r="T108" s="403"/>
      <c r="U108" s="403"/>
    </row>
    <row r="109" spans="1:21" x14ac:dyDescent="0.25">
      <c r="A109" s="88"/>
      <c r="E109" s="21"/>
      <c r="F109" s="167" t="s">
        <v>70</v>
      </c>
      <c r="G109" s="195" t="s">
        <v>158</v>
      </c>
      <c r="J109" s="441">
        <f t="shared" ref="J109:S109" si="32">IF(J$38 = "", J73, J73 * J$38)</f>
        <v>-1</v>
      </c>
      <c r="K109" s="441">
        <f t="shared" si="32"/>
        <v>-1</v>
      </c>
      <c r="L109" s="441">
        <f t="shared" si="32"/>
        <v>-1</v>
      </c>
      <c r="M109" s="441">
        <f t="shared" si="32"/>
        <v>-1</v>
      </c>
      <c r="N109" s="441">
        <f t="shared" si="32"/>
        <v>-1</v>
      </c>
      <c r="O109" s="441">
        <f t="shared" si="32"/>
        <v>-1</v>
      </c>
      <c r="P109" s="441">
        <f t="shared" si="32"/>
        <v>0</v>
      </c>
      <c r="Q109" s="441">
        <f t="shared" si="32"/>
        <v>-1</v>
      </c>
      <c r="R109" s="441">
        <f t="shared" si="32"/>
        <v>-1</v>
      </c>
      <c r="S109" s="441">
        <f t="shared" si="32"/>
        <v>0</v>
      </c>
      <c r="T109" s="403"/>
      <c r="U109" s="403"/>
    </row>
    <row r="110" spans="1:21" x14ac:dyDescent="0.25">
      <c r="A110" s="88"/>
      <c r="E110" s="21"/>
      <c r="F110" s="167" t="s">
        <v>71</v>
      </c>
      <c r="G110" s="195" t="s">
        <v>158</v>
      </c>
      <c r="J110" s="441">
        <f t="shared" ref="J110:S110" si="33">IF(J$38 = "", J74, J74 * J$38)</f>
        <v>-1</v>
      </c>
      <c r="K110" s="441">
        <f t="shared" si="33"/>
        <v>-1</v>
      </c>
      <c r="L110" s="441">
        <f t="shared" si="33"/>
        <v>-1</v>
      </c>
      <c r="M110" s="441">
        <f t="shared" si="33"/>
        <v>-1</v>
      </c>
      <c r="N110" s="441">
        <f t="shared" si="33"/>
        <v>-1</v>
      </c>
      <c r="O110" s="441">
        <f t="shared" si="33"/>
        <v>-1</v>
      </c>
      <c r="P110" s="441">
        <f t="shared" si="33"/>
        <v>0</v>
      </c>
      <c r="Q110" s="441">
        <f t="shared" si="33"/>
        <v>-1</v>
      </c>
      <c r="R110" s="441">
        <f t="shared" si="33"/>
        <v>-1</v>
      </c>
      <c r="S110" s="441">
        <f t="shared" si="33"/>
        <v>0</v>
      </c>
      <c r="T110" s="403"/>
      <c r="U110" s="403"/>
    </row>
    <row r="111" spans="1:21" x14ac:dyDescent="0.25">
      <c r="A111" s="88"/>
      <c r="E111" s="21"/>
      <c r="F111" s="167" t="s">
        <v>74</v>
      </c>
      <c r="G111" s="195" t="s">
        <v>158</v>
      </c>
      <c r="J111" s="441">
        <f t="shared" ref="J111:S111" si="34">IF(J$38 = "", J75, J75 * J$38)</f>
        <v>-1</v>
      </c>
      <c r="K111" s="441">
        <f t="shared" si="34"/>
        <v>-1</v>
      </c>
      <c r="L111" s="441">
        <f t="shared" si="34"/>
        <v>-1</v>
      </c>
      <c r="M111" s="441">
        <f t="shared" si="34"/>
        <v>-1</v>
      </c>
      <c r="N111" s="441">
        <f t="shared" si="34"/>
        <v>-1</v>
      </c>
      <c r="O111" s="441">
        <f t="shared" si="34"/>
        <v>-1</v>
      </c>
      <c r="P111" s="441">
        <f t="shared" si="34"/>
        <v>0</v>
      </c>
      <c r="Q111" s="441">
        <f t="shared" si="34"/>
        <v>-1</v>
      </c>
      <c r="R111" s="441">
        <f t="shared" si="34"/>
        <v>0</v>
      </c>
      <c r="S111" s="441">
        <f t="shared" si="34"/>
        <v>0</v>
      </c>
      <c r="T111" s="403"/>
      <c r="U111" s="403"/>
    </row>
    <row r="112" spans="1:21" x14ac:dyDescent="0.25">
      <c r="A112" s="88"/>
      <c r="E112" s="21"/>
      <c r="F112" s="167" t="s">
        <v>75</v>
      </c>
      <c r="G112" s="195" t="s">
        <v>158</v>
      </c>
      <c r="J112" s="441">
        <f t="shared" ref="J112:S112" si="35">IF(J$38 = "", J76, J76 * J$38)</f>
        <v>-1</v>
      </c>
      <c r="K112" s="441">
        <f t="shared" si="35"/>
        <v>-1</v>
      </c>
      <c r="L112" s="441">
        <f t="shared" si="35"/>
        <v>-1</v>
      </c>
      <c r="M112" s="441">
        <f t="shared" si="35"/>
        <v>-1</v>
      </c>
      <c r="N112" s="441">
        <f t="shared" si="35"/>
        <v>-1</v>
      </c>
      <c r="O112" s="441">
        <f t="shared" si="35"/>
        <v>-1</v>
      </c>
      <c r="P112" s="441">
        <f t="shared" si="35"/>
        <v>0</v>
      </c>
      <c r="Q112" s="441">
        <f t="shared" si="35"/>
        <v>-1</v>
      </c>
      <c r="R112" s="441">
        <f t="shared" si="35"/>
        <v>0</v>
      </c>
      <c r="S112" s="441">
        <f t="shared" si="35"/>
        <v>0</v>
      </c>
      <c r="T112" s="403"/>
      <c r="U112" s="403"/>
    </row>
    <row r="113" spans="1:23" x14ac:dyDescent="0.25">
      <c r="A113" s="88"/>
      <c r="E113" s="21"/>
      <c r="F113" s="167" t="s">
        <v>76</v>
      </c>
      <c r="G113" s="195" t="s">
        <v>158</v>
      </c>
      <c r="J113" s="441">
        <f t="shared" ref="J113:S113" si="36">IF(J$38 = "", J77, J77 * J$38)</f>
        <v>-1</v>
      </c>
      <c r="K113" s="441">
        <f t="shared" si="36"/>
        <v>-1</v>
      </c>
      <c r="L113" s="441">
        <f t="shared" si="36"/>
        <v>-1</v>
      </c>
      <c r="M113" s="441">
        <f t="shared" si="36"/>
        <v>-1</v>
      </c>
      <c r="N113" s="441">
        <f t="shared" si="36"/>
        <v>-1</v>
      </c>
      <c r="O113" s="441">
        <f t="shared" si="36"/>
        <v>-1</v>
      </c>
      <c r="P113" s="441">
        <f t="shared" si="36"/>
        <v>0</v>
      </c>
      <c r="Q113" s="441">
        <f t="shared" si="36"/>
        <v>-1</v>
      </c>
      <c r="R113" s="441">
        <f t="shared" si="36"/>
        <v>0</v>
      </c>
      <c r="S113" s="441">
        <f t="shared" si="36"/>
        <v>0</v>
      </c>
      <c r="T113" s="403"/>
      <c r="U113" s="403"/>
    </row>
    <row r="114" spans="1:23" x14ac:dyDescent="0.25">
      <c r="A114" s="88"/>
      <c r="E114" s="21"/>
      <c r="F114" s="168" t="s">
        <v>77</v>
      </c>
      <c r="G114" s="77" t="s">
        <v>158</v>
      </c>
      <c r="H114" s="16"/>
      <c r="I114" s="16"/>
      <c r="J114" s="432">
        <f t="shared" ref="J114:S114" si="37">IF(J$38 = "", J78, J78 * J$38)</f>
        <v>-1</v>
      </c>
      <c r="K114" s="432">
        <f t="shared" si="37"/>
        <v>-1</v>
      </c>
      <c r="L114" s="432">
        <f t="shared" si="37"/>
        <v>-1</v>
      </c>
      <c r="M114" s="432">
        <f t="shared" si="37"/>
        <v>-1</v>
      </c>
      <c r="N114" s="432">
        <f t="shared" si="37"/>
        <v>-1</v>
      </c>
      <c r="O114" s="432">
        <f t="shared" si="37"/>
        <v>-1</v>
      </c>
      <c r="P114" s="432">
        <f t="shared" si="37"/>
        <v>0</v>
      </c>
      <c r="Q114" s="432">
        <f t="shared" si="37"/>
        <v>-1</v>
      </c>
      <c r="R114" s="432">
        <f t="shared" si="37"/>
        <v>0</v>
      </c>
      <c r="S114" s="432">
        <f t="shared" si="37"/>
        <v>0</v>
      </c>
      <c r="T114" s="404"/>
      <c r="U114" s="404"/>
    </row>
    <row r="115" spans="1:23" x14ac:dyDescent="0.25">
      <c r="E115" s="21"/>
      <c r="F115" s="160"/>
      <c r="G115" s="194"/>
      <c r="J115" s="416"/>
      <c r="K115" s="416"/>
      <c r="L115" s="416"/>
      <c r="M115" s="416"/>
      <c r="N115" s="416"/>
      <c r="O115" s="416"/>
      <c r="P115" s="416"/>
      <c r="Q115" s="416"/>
      <c r="R115" s="416"/>
      <c r="S115" s="416"/>
      <c r="T115" s="416"/>
      <c r="U115" s="416"/>
    </row>
    <row r="116" spans="1:23" s="160" customFormat="1" x14ac:dyDescent="0.25">
      <c r="E116" s="172" t="s">
        <v>492</v>
      </c>
      <c r="G116" s="194"/>
      <c r="I116" s="160" t="s">
        <v>525</v>
      </c>
      <c r="J116" s="416"/>
      <c r="K116" s="416"/>
      <c r="L116" s="416"/>
      <c r="M116" s="416"/>
      <c r="N116" s="416"/>
      <c r="O116" s="416"/>
      <c r="P116" s="416"/>
      <c r="Q116" s="416"/>
      <c r="R116" s="416"/>
      <c r="S116" s="416"/>
      <c r="T116" s="416"/>
      <c r="U116" s="416"/>
      <c r="W116" s="163" t="s">
        <v>1054</v>
      </c>
    </row>
    <row r="117" spans="1:23" s="160" customFormat="1" x14ac:dyDescent="0.25">
      <c r="E117" s="152" t="s">
        <v>392</v>
      </c>
      <c r="G117" s="194"/>
      <c r="J117" s="416"/>
      <c r="K117" s="416"/>
      <c r="L117" s="416"/>
      <c r="M117" s="416"/>
      <c r="N117" s="416"/>
      <c r="O117" s="416"/>
      <c r="P117" s="416"/>
      <c r="Q117" s="416"/>
      <c r="R117" s="416"/>
      <c r="S117" s="416"/>
      <c r="T117" s="416"/>
      <c r="U117" s="416"/>
    </row>
    <row r="118" spans="1:23" s="160" customFormat="1" x14ac:dyDescent="0.25">
      <c r="F118" s="166" t="s">
        <v>52</v>
      </c>
      <c r="G118" s="85" t="s">
        <v>149</v>
      </c>
      <c r="H118" s="166"/>
      <c r="I118" s="166"/>
      <c r="J118" s="438">
        <f t="array" ref="J118:S150">TRANSPOSE('Fixed inputs'!J73:AP82)</f>
        <v>1</v>
      </c>
      <c r="K118" s="438">
        <v>1</v>
      </c>
      <c r="L118" s="438">
        <v>1</v>
      </c>
      <c r="M118" s="438">
        <v>1</v>
      </c>
      <c r="N118" s="438">
        <v>1</v>
      </c>
      <c r="O118" s="438">
        <v>1</v>
      </c>
      <c r="P118" s="438">
        <v>1</v>
      </c>
      <c r="Q118" s="438">
        <v>1</v>
      </c>
      <c r="R118" s="438">
        <v>1</v>
      </c>
      <c r="S118" s="438">
        <v>1</v>
      </c>
      <c r="T118" s="402"/>
      <c r="U118" s="402"/>
    </row>
    <row r="119" spans="1:23" s="160" customFormat="1" x14ac:dyDescent="0.25">
      <c r="F119" s="167" t="s">
        <v>53</v>
      </c>
      <c r="G119" s="195" t="s">
        <v>149</v>
      </c>
      <c r="J119" s="439">
        <v>1</v>
      </c>
      <c r="K119" s="439">
        <v>1</v>
      </c>
      <c r="L119" s="439">
        <v>1</v>
      </c>
      <c r="M119" s="439">
        <v>1</v>
      </c>
      <c r="N119" s="439">
        <v>1</v>
      </c>
      <c r="O119" s="439">
        <v>1</v>
      </c>
      <c r="P119" s="439">
        <v>1</v>
      </c>
      <c r="Q119" s="439">
        <v>1</v>
      </c>
      <c r="R119" s="439">
        <v>1</v>
      </c>
      <c r="S119" s="439">
        <v>1</v>
      </c>
      <c r="T119" s="403"/>
      <c r="U119" s="403"/>
    </row>
    <row r="120" spans="1:23" s="160" customFormat="1" x14ac:dyDescent="0.25">
      <c r="F120" s="167" t="s">
        <v>84</v>
      </c>
      <c r="G120" s="195" t="s">
        <v>149</v>
      </c>
      <c r="J120" s="439">
        <v>1</v>
      </c>
      <c r="K120" s="439">
        <v>1</v>
      </c>
      <c r="L120" s="439">
        <v>1</v>
      </c>
      <c r="M120" s="439">
        <v>1</v>
      </c>
      <c r="N120" s="439">
        <v>1</v>
      </c>
      <c r="O120" s="439">
        <v>1</v>
      </c>
      <c r="P120" s="439">
        <v>1</v>
      </c>
      <c r="Q120" s="439">
        <v>1</v>
      </c>
      <c r="R120" s="439">
        <v>1</v>
      </c>
      <c r="S120" s="439">
        <v>1</v>
      </c>
      <c r="T120" s="403"/>
      <c r="U120" s="403"/>
    </row>
    <row r="121" spans="1:23" s="160" customFormat="1" x14ac:dyDescent="0.25">
      <c r="F121" s="167" t="s">
        <v>54</v>
      </c>
      <c r="G121" s="195" t="s">
        <v>149</v>
      </c>
      <c r="J121" s="439">
        <v>1</v>
      </c>
      <c r="K121" s="439">
        <v>1</v>
      </c>
      <c r="L121" s="439">
        <v>1</v>
      </c>
      <c r="M121" s="439">
        <v>1</v>
      </c>
      <c r="N121" s="439">
        <v>1</v>
      </c>
      <c r="O121" s="439">
        <v>1</v>
      </c>
      <c r="P121" s="439">
        <v>1</v>
      </c>
      <c r="Q121" s="439">
        <v>1</v>
      </c>
      <c r="R121" s="439">
        <v>1</v>
      </c>
      <c r="S121" s="439">
        <v>1</v>
      </c>
      <c r="T121" s="403"/>
      <c r="U121" s="403"/>
    </row>
    <row r="122" spans="1:23" s="160" customFormat="1" x14ac:dyDescent="0.25">
      <c r="F122" s="167" t="s">
        <v>55</v>
      </c>
      <c r="G122" s="195" t="s">
        <v>149</v>
      </c>
      <c r="J122" s="439">
        <v>1</v>
      </c>
      <c r="K122" s="439">
        <v>1</v>
      </c>
      <c r="L122" s="439">
        <v>1</v>
      </c>
      <c r="M122" s="439">
        <v>1</v>
      </c>
      <c r="N122" s="439">
        <v>1</v>
      </c>
      <c r="O122" s="439">
        <v>1</v>
      </c>
      <c r="P122" s="439">
        <v>1</v>
      </c>
      <c r="Q122" s="439">
        <v>1</v>
      </c>
      <c r="R122" s="439">
        <v>1</v>
      </c>
      <c r="S122" s="439">
        <v>1</v>
      </c>
      <c r="T122" s="403"/>
      <c r="U122" s="403"/>
    </row>
    <row r="123" spans="1:23" s="160" customFormat="1" x14ac:dyDescent="0.25">
      <c r="F123" s="167" t="s">
        <v>85</v>
      </c>
      <c r="G123" s="195" t="s">
        <v>149</v>
      </c>
      <c r="J123" s="439">
        <v>1</v>
      </c>
      <c r="K123" s="439">
        <v>1</v>
      </c>
      <c r="L123" s="439">
        <v>1</v>
      </c>
      <c r="M123" s="439">
        <v>1</v>
      </c>
      <c r="N123" s="439">
        <v>1</v>
      </c>
      <c r="O123" s="439">
        <v>1</v>
      </c>
      <c r="P123" s="439">
        <v>1</v>
      </c>
      <c r="Q123" s="439">
        <v>1</v>
      </c>
      <c r="R123" s="439">
        <v>1</v>
      </c>
      <c r="S123" s="439">
        <v>1</v>
      </c>
      <c r="T123" s="403"/>
      <c r="U123" s="403"/>
    </row>
    <row r="124" spans="1:23" s="160" customFormat="1" x14ac:dyDescent="0.25">
      <c r="F124" s="167" t="s">
        <v>56</v>
      </c>
      <c r="G124" s="195" t="s">
        <v>149</v>
      </c>
      <c r="J124" s="439">
        <v>1</v>
      </c>
      <c r="K124" s="439">
        <v>1</v>
      </c>
      <c r="L124" s="439">
        <v>1</v>
      </c>
      <c r="M124" s="439">
        <v>1</v>
      </c>
      <c r="N124" s="439">
        <v>1</v>
      </c>
      <c r="O124" s="439">
        <v>1</v>
      </c>
      <c r="P124" s="439">
        <v>1</v>
      </c>
      <c r="Q124" s="439">
        <v>1</v>
      </c>
      <c r="R124" s="439">
        <v>1</v>
      </c>
      <c r="S124" s="439">
        <v>1</v>
      </c>
      <c r="T124" s="403"/>
      <c r="U124" s="403"/>
    </row>
    <row r="125" spans="1:23" s="160" customFormat="1" x14ac:dyDescent="0.25">
      <c r="F125" s="167" t="s">
        <v>57</v>
      </c>
      <c r="G125" s="195" t="s">
        <v>149</v>
      </c>
      <c r="J125" s="439">
        <v>1</v>
      </c>
      <c r="K125" s="439">
        <v>1</v>
      </c>
      <c r="L125" s="439">
        <v>1</v>
      </c>
      <c r="M125" s="439">
        <v>1</v>
      </c>
      <c r="N125" s="439">
        <v>1</v>
      </c>
      <c r="O125" s="439">
        <v>1</v>
      </c>
      <c r="P125" s="439">
        <v>1</v>
      </c>
      <c r="Q125" s="439">
        <v>1</v>
      </c>
      <c r="R125" s="439">
        <v>1</v>
      </c>
      <c r="S125" s="439">
        <v>0</v>
      </c>
      <c r="T125" s="403"/>
      <c r="U125" s="403"/>
    </row>
    <row r="126" spans="1:23" s="160" customFormat="1" x14ac:dyDescent="0.25">
      <c r="F126" s="167" t="s">
        <v>72</v>
      </c>
      <c r="G126" s="195" t="s">
        <v>149</v>
      </c>
      <c r="J126" s="439">
        <v>1</v>
      </c>
      <c r="K126" s="439">
        <v>1</v>
      </c>
      <c r="L126" s="439">
        <v>1</v>
      </c>
      <c r="M126" s="439">
        <v>1</v>
      </c>
      <c r="N126" s="439">
        <v>1</v>
      </c>
      <c r="O126" s="439">
        <v>1</v>
      </c>
      <c r="P126" s="439">
        <v>1</v>
      </c>
      <c r="Q126" s="439">
        <v>1</v>
      </c>
      <c r="R126" s="439">
        <v>0</v>
      </c>
      <c r="S126" s="439">
        <v>0</v>
      </c>
      <c r="T126" s="403"/>
      <c r="U126" s="403"/>
    </row>
    <row r="127" spans="1:23" s="160" customFormat="1" x14ac:dyDescent="0.25">
      <c r="F127" s="167" t="s">
        <v>58</v>
      </c>
      <c r="G127" s="195" t="s">
        <v>149</v>
      </c>
      <c r="J127" s="439">
        <v>1</v>
      </c>
      <c r="K127" s="439">
        <v>1</v>
      </c>
      <c r="L127" s="439">
        <v>1</v>
      </c>
      <c r="M127" s="439">
        <v>1</v>
      </c>
      <c r="N127" s="439">
        <v>1</v>
      </c>
      <c r="O127" s="439">
        <v>1</v>
      </c>
      <c r="P127" s="439">
        <v>1</v>
      </c>
      <c r="Q127" s="439">
        <v>1</v>
      </c>
      <c r="R127" s="439">
        <v>1</v>
      </c>
      <c r="S127" s="439">
        <v>1</v>
      </c>
      <c r="T127" s="403"/>
      <c r="U127" s="403"/>
    </row>
    <row r="128" spans="1:23" s="160" customFormat="1" x14ac:dyDescent="0.25">
      <c r="F128" s="167" t="s">
        <v>59</v>
      </c>
      <c r="G128" s="195" t="s">
        <v>149</v>
      </c>
      <c r="J128" s="439">
        <v>1</v>
      </c>
      <c r="K128" s="439">
        <v>1</v>
      </c>
      <c r="L128" s="439">
        <v>1</v>
      </c>
      <c r="M128" s="439">
        <v>1</v>
      </c>
      <c r="N128" s="439">
        <v>1</v>
      </c>
      <c r="O128" s="439">
        <v>1</v>
      </c>
      <c r="P128" s="439">
        <v>1</v>
      </c>
      <c r="Q128" s="439">
        <v>1</v>
      </c>
      <c r="R128" s="439">
        <v>1</v>
      </c>
      <c r="S128" s="439">
        <v>1</v>
      </c>
      <c r="T128" s="403"/>
      <c r="U128" s="403"/>
    </row>
    <row r="129" spans="6:21" s="160" customFormat="1" x14ac:dyDescent="0.25">
      <c r="F129" s="167" t="s">
        <v>60</v>
      </c>
      <c r="G129" s="195" t="s">
        <v>149</v>
      </c>
      <c r="J129" s="439">
        <v>1</v>
      </c>
      <c r="K129" s="439">
        <v>1</v>
      </c>
      <c r="L129" s="439">
        <v>1</v>
      </c>
      <c r="M129" s="439">
        <v>1</v>
      </c>
      <c r="N129" s="439">
        <v>1</v>
      </c>
      <c r="O129" s="439">
        <v>1</v>
      </c>
      <c r="P129" s="439">
        <v>1</v>
      </c>
      <c r="Q129" s="439">
        <v>1</v>
      </c>
      <c r="R129" s="439">
        <v>1</v>
      </c>
      <c r="S129" s="439">
        <v>1</v>
      </c>
      <c r="T129" s="403"/>
      <c r="U129" s="403"/>
    </row>
    <row r="130" spans="6:21" s="160" customFormat="1" x14ac:dyDescent="0.25">
      <c r="F130" s="167" t="s">
        <v>61</v>
      </c>
      <c r="G130" s="195" t="s">
        <v>149</v>
      </c>
      <c r="J130" s="439">
        <v>1</v>
      </c>
      <c r="K130" s="439">
        <v>1</v>
      </c>
      <c r="L130" s="439">
        <v>1</v>
      </c>
      <c r="M130" s="439">
        <v>1</v>
      </c>
      <c r="N130" s="439">
        <v>1</v>
      </c>
      <c r="O130" s="439">
        <v>1</v>
      </c>
      <c r="P130" s="439">
        <v>1</v>
      </c>
      <c r="Q130" s="439">
        <v>1</v>
      </c>
      <c r="R130" s="439">
        <v>1</v>
      </c>
      <c r="S130" s="439">
        <v>0</v>
      </c>
      <c r="T130" s="403"/>
      <c r="U130" s="403"/>
    </row>
    <row r="131" spans="6:21" s="160" customFormat="1" x14ac:dyDescent="0.25">
      <c r="F131" s="167" t="s">
        <v>73</v>
      </c>
      <c r="G131" s="195" t="s">
        <v>149</v>
      </c>
      <c r="J131" s="439">
        <v>1</v>
      </c>
      <c r="K131" s="439">
        <v>1</v>
      </c>
      <c r="L131" s="439">
        <v>1</v>
      </c>
      <c r="M131" s="439">
        <v>1</v>
      </c>
      <c r="N131" s="439">
        <v>1</v>
      </c>
      <c r="O131" s="439">
        <v>1</v>
      </c>
      <c r="P131" s="439">
        <v>1</v>
      </c>
      <c r="Q131" s="439">
        <v>1</v>
      </c>
      <c r="R131" s="439">
        <v>0</v>
      </c>
      <c r="S131" s="439">
        <v>0</v>
      </c>
      <c r="T131" s="403"/>
      <c r="U131" s="403"/>
    </row>
    <row r="132" spans="6:21" s="160" customFormat="1" x14ac:dyDescent="0.25">
      <c r="F132" s="167" t="s">
        <v>86</v>
      </c>
      <c r="G132" s="195" t="s">
        <v>149</v>
      </c>
      <c r="J132" s="439">
        <v>1</v>
      </c>
      <c r="K132" s="439">
        <v>1</v>
      </c>
      <c r="L132" s="439">
        <v>1</v>
      </c>
      <c r="M132" s="439">
        <v>1</v>
      </c>
      <c r="N132" s="439">
        <v>1</v>
      </c>
      <c r="O132" s="439">
        <v>1</v>
      </c>
      <c r="P132" s="439">
        <v>1</v>
      </c>
      <c r="Q132" s="439">
        <v>1</v>
      </c>
      <c r="R132" s="439">
        <v>1</v>
      </c>
      <c r="S132" s="439">
        <v>1</v>
      </c>
      <c r="T132" s="403"/>
      <c r="U132" s="403"/>
    </row>
    <row r="133" spans="6:21" s="160" customFormat="1" x14ac:dyDescent="0.25">
      <c r="F133" s="167" t="s">
        <v>87</v>
      </c>
      <c r="G133" s="195" t="s">
        <v>149</v>
      </c>
      <c r="J133" s="439">
        <v>1</v>
      </c>
      <c r="K133" s="439">
        <v>1</v>
      </c>
      <c r="L133" s="439">
        <v>1</v>
      </c>
      <c r="M133" s="439">
        <v>1</v>
      </c>
      <c r="N133" s="439">
        <v>1</v>
      </c>
      <c r="O133" s="439">
        <v>1</v>
      </c>
      <c r="P133" s="439">
        <v>1</v>
      </c>
      <c r="Q133" s="439">
        <v>1</v>
      </c>
      <c r="R133" s="439">
        <v>1</v>
      </c>
      <c r="S133" s="439">
        <v>1</v>
      </c>
      <c r="T133" s="403"/>
      <c r="U133" s="403"/>
    </row>
    <row r="134" spans="6:21" s="160" customFormat="1" x14ac:dyDescent="0.25">
      <c r="F134" s="167" t="s">
        <v>88</v>
      </c>
      <c r="G134" s="195" t="s">
        <v>149</v>
      </c>
      <c r="J134" s="439">
        <v>1</v>
      </c>
      <c r="K134" s="439">
        <v>1</v>
      </c>
      <c r="L134" s="439">
        <v>1</v>
      </c>
      <c r="M134" s="439">
        <v>1</v>
      </c>
      <c r="N134" s="439">
        <v>1</v>
      </c>
      <c r="O134" s="439">
        <v>1</v>
      </c>
      <c r="P134" s="439">
        <v>1</v>
      </c>
      <c r="Q134" s="439">
        <v>1</v>
      </c>
      <c r="R134" s="439">
        <v>1</v>
      </c>
      <c r="S134" s="439">
        <v>1</v>
      </c>
      <c r="T134" s="403"/>
      <c r="U134" s="403"/>
    </row>
    <row r="135" spans="6:21" s="160" customFormat="1" x14ac:dyDescent="0.25">
      <c r="F135" s="167" t="s">
        <v>89</v>
      </c>
      <c r="G135" s="195" t="s">
        <v>149</v>
      </c>
      <c r="J135" s="439">
        <v>1</v>
      </c>
      <c r="K135" s="439">
        <v>1</v>
      </c>
      <c r="L135" s="439">
        <v>1</v>
      </c>
      <c r="M135" s="439">
        <v>1</v>
      </c>
      <c r="N135" s="439">
        <v>1</v>
      </c>
      <c r="O135" s="439">
        <v>1</v>
      </c>
      <c r="P135" s="439">
        <v>1</v>
      </c>
      <c r="Q135" s="439">
        <v>1</v>
      </c>
      <c r="R135" s="439">
        <v>1</v>
      </c>
      <c r="S135" s="439">
        <v>1</v>
      </c>
      <c r="T135" s="403"/>
      <c r="U135" s="403"/>
    </row>
    <row r="136" spans="6:21" s="160" customFormat="1" x14ac:dyDescent="0.25">
      <c r="F136" s="167" t="s">
        <v>90</v>
      </c>
      <c r="G136" s="195" t="s">
        <v>149</v>
      </c>
      <c r="J136" s="439">
        <v>1</v>
      </c>
      <c r="K136" s="439">
        <v>1</v>
      </c>
      <c r="L136" s="439">
        <v>1</v>
      </c>
      <c r="M136" s="439">
        <v>1</v>
      </c>
      <c r="N136" s="439">
        <v>1</v>
      </c>
      <c r="O136" s="439">
        <v>1</v>
      </c>
      <c r="P136" s="439">
        <v>1</v>
      </c>
      <c r="Q136" s="439">
        <v>1</v>
      </c>
      <c r="R136" s="439">
        <v>1</v>
      </c>
      <c r="S136" s="439">
        <v>1</v>
      </c>
      <c r="T136" s="403"/>
      <c r="U136" s="403"/>
    </row>
    <row r="137" spans="6:21" s="160" customFormat="1" x14ac:dyDescent="0.25">
      <c r="F137" s="167" t="s">
        <v>62</v>
      </c>
      <c r="G137" s="195" t="s">
        <v>149</v>
      </c>
      <c r="J137" s="439">
        <v>-1</v>
      </c>
      <c r="K137" s="439">
        <v>-1</v>
      </c>
      <c r="L137" s="439">
        <v>-1</v>
      </c>
      <c r="M137" s="439">
        <v>-1</v>
      </c>
      <c r="N137" s="439">
        <v>-1</v>
      </c>
      <c r="O137" s="439">
        <v>-1</v>
      </c>
      <c r="P137" s="439">
        <v>-1</v>
      </c>
      <c r="Q137" s="439">
        <v>-1</v>
      </c>
      <c r="R137" s="439">
        <v>-1</v>
      </c>
      <c r="S137" s="439">
        <v>0</v>
      </c>
      <c r="T137" s="403"/>
      <c r="U137" s="403"/>
    </row>
    <row r="138" spans="6:21" s="160" customFormat="1" x14ac:dyDescent="0.25">
      <c r="F138" s="167" t="s">
        <v>63</v>
      </c>
      <c r="G138" s="195" t="s">
        <v>149</v>
      </c>
      <c r="J138" s="439">
        <v>-1</v>
      </c>
      <c r="K138" s="439">
        <v>-1</v>
      </c>
      <c r="L138" s="439">
        <v>-1</v>
      </c>
      <c r="M138" s="439">
        <v>-1</v>
      </c>
      <c r="N138" s="439">
        <v>-1</v>
      </c>
      <c r="O138" s="439">
        <v>-1</v>
      </c>
      <c r="P138" s="439">
        <v>-1</v>
      </c>
      <c r="Q138" s="439">
        <v>-1</v>
      </c>
      <c r="R138" s="439">
        <v>0</v>
      </c>
      <c r="S138" s="439">
        <v>0</v>
      </c>
      <c r="T138" s="403"/>
      <c r="U138" s="403"/>
    </row>
    <row r="139" spans="6:21" s="160" customFormat="1" x14ac:dyDescent="0.25">
      <c r="F139" s="167" t="s">
        <v>64</v>
      </c>
      <c r="G139" s="195" t="s">
        <v>149</v>
      </c>
      <c r="J139" s="439">
        <v>-1</v>
      </c>
      <c r="K139" s="439">
        <v>-1</v>
      </c>
      <c r="L139" s="439">
        <v>-1</v>
      </c>
      <c r="M139" s="439">
        <v>-1</v>
      </c>
      <c r="N139" s="439">
        <v>-1</v>
      </c>
      <c r="O139" s="439">
        <v>-1</v>
      </c>
      <c r="P139" s="439">
        <v>-1</v>
      </c>
      <c r="Q139" s="439">
        <v>-1</v>
      </c>
      <c r="R139" s="439">
        <v>-1</v>
      </c>
      <c r="S139" s="439">
        <v>0</v>
      </c>
      <c r="T139" s="403"/>
      <c r="U139" s="403"/>
    </row>
    <row r="140" spans="6:21" s="160" customFormat="1" x14ac:dyDescent="0.25">
      <c r="F140" s="167" t="s">
        <v>65</v>
      </c>
      <c r="G140" s="195" t="s">
        <v>149</v>
      </c>
      <c r="J140" s="439">
        <v>-1</v>
      </c>
      <c r="K140" s="439">
        <v>-1</v>
      </c>
      <c r="L140" s="439">
        <v>-1</v>
      </c>
      <c r="M140" s="439">
        <v>-1</v>
      </c>
      <c r="N140" s="439">
        <v>-1</v>
      </c>
      <c r="O140" s="439">
        <v>-1</v>
      </c>
      <c r="P140" s="439">
        <v>-1</v>
      </c>
      <c r="Q140" s="439">
        <v>-1</v>
      </c>
      <c r="R140" s="439">
        <v>-1</v>
      </c>
      <c r="S140" s="439">
        <v>0</v>
      </c>
      <c r="T140" s="403"/>
      <c r="U140" s="403"/>
    </row>
    <row r="141" spans="6:21" s="160" customFormat="1" x14ac:dyDescent="0.25">
      <c r="F141" s="167" t="s">
        <v>66</v>
      </c>
      <c r="G141" s="195" t="s">
        <v>149</v>
      </c>
      <c r="J141" s="439">
        <v>-1</v>
      </c>
      <c r="K141" s="439">
        <v>-1</v>
      </c>
      <c r="L141" s="439">
        <v>-1</v>
      </c>
      <c r="M141" s="439">
        <v>-1</v>
      </c>
      <c r="N141" s="439">
        <v>-1</v>
      </c>
      <c r="O141" s="439">
        <v>-1</v>
      </c>
      <c r="P141" s="439">
        <v>-1</v>
      </c>
      <c r="Q141" s="439">
        <v>-1</v>
      </c>
      <c r="R141" s="439">
        <v>-1</v>
      </c>
      <c r="S141" s="439">
        <v>0</v>
      </c>
      <c r="T141" s="403"/>
      <c r="U141" s="403"/>
    </row>
    <row r="142" spans="6:21" s="160" customFormat="1" x14ac:dyDescent="0.25">
      <c r="F142" s="167" t="s">
        <v>67</v>
      </c>
      <c r="G142" s="195" t="s">
        <v>149</v>
      </c>
      <c r="J142" s="439">
        <v>-1</v>
      </c>
      <c r="K142" s="439">
        <v>-1</v>
      </c>
      <c r="L142" s="439">
        <v>-1</v>
      </c>
      <c r="M142" s="439">
        <v>-1</v>
      </c>
      <c r="N142" s="439">
        <v>-1</v>
      </c>
      <c r="O142" s="439">
        <v>-1</v>
      </c>
      <c r="P142" s="439">
        <v>-1</v>
      </c>
      <c r="Q142" s="439">
        <v>-1</v>
      </c>
      <c r="R142" s="439">
        <v>-1</v>
      </c>
      <c r="S142" s="439">
        <v>0</v>
      </c>
      <c r="T142" s="403"/>
      <c r="U142" s="403"/>
    </row>
    <row r="143" spans="6:21" s="160" customFormat="1" x14ac:dyDescent="0.25">
      <c r="F143" s="167" t="s">
        <v>68</v>
      </c>
      <c r="G143" s="195" t="s">
        <v>149</v>
      </c>
      <c r="J143" s="439">
        <v>-1</v>
      </c>
      <c r="K143" s="439">
        <v>-1</v>
      </c>
      <c r="L143" s="439">
        <v>-1</v>
      </c>
      <c r="M143" s="439">
        <v>-1</v>
      </c>
      <c r="N143" s="439">
        <v>-1</v>
      </c>
      <c r="O143" s="439">
        <v>-1</v>
      </c>
      <c r="P143" s="439">
        <v>-1</v>
      </c>
      <c r="Q143" s="439">
        <v>-1</v>
      </c>
      <c r="R143" s="439">
        <v>0</v>
      </c>
      <c r="S143" s="439">
        <v>0</v>
      </c>
      <c r="T143" s="403"/>
      <c r="U143" s="403"/>
    </row>
    <row r="144" spans="6:21" s="160" customFormat="1" x14ac:dyDescent="0.25">
      <c r="F144" s="167" t="s">
        <v>69</v>
      </c>
      <c r="G144" s="195" t="s">
        <v>149</v>
      </c>
      <c r="J144" s="439">
        <v>-1</v>
      </c>
      <c r="K144" s="439">
        <v>-1</v>
      </c>
      <c r="L144" s="439">
        <v>-1</v>
      </c>
      <c r="M144" s="439">
        <v>-1</v>
      </c>
      <c r="N144" s="439">
        <v>-1</v>
      </c>
      <c r="O144" s="439">
        <v>-1</v>
      </c>
      <c r="P144" s="439">
        <v>-1</v>
      </c>
      <c r="Q144" s="439">
        <v>-1</v>
      </c>
      <c r="R144" s="439">
        <v>0</v>
      </c>
      <c r="S144" s="439">
        <v>0</v>
      </c>
      <c r="T144" s="403"/>
      <c r="U144" s="403"/>
    </row>
    <row r="145" spans="5:23" s="160" customFormat="1" x14ac:dyDescent="0.25">
      <c r="F145" s="167" t="s">
        <v>70</v>
      </c>
      <c r="G145" s="195" t="s">
        <v>149</v>
      </c>
      <c r="J145" s="439">
        <v>-1</v>
      </c>
      <c r="K145" s="439">
        <v>-1</v>
      </c>
      <c r="L145" s="439">
        <v>-1</v>
      </c>
      <c r="M145" s="439">
        <v>-1</v>
      </c>
      <c r="N145" s="439">
        <v>-1</v>
      </c>
      <c r="O145" s="439">
        <v>-1</v>
      </c>
      <c r="P145" s="439">
        <v>-1</v>
      </c>
      <c r="Q145" s="439">
        <v>-1</v>
      </c>
      <c r="R145" s="439">
        <v>0</v>
      </c>
      <c r="S145" s="439">
        <v>0</v>
      </c>
      <c r="T145" s="403"/>
      <c r="U145" s="403"/>
    </row>
    <row r="146" spans="5:23" s="160" customFormat="1" x14ac:dyDescent="0.25">
      <c r="F146" s="167" t="s">
        <v>71</v>
      </c>
      <c r="G146" s="195" t="s">
        <v>149</v>
      </c>
      <c r="J146" s="439">
        <v>-1</v>
      </c>
      <c r="K146" s="439">
        <v>-1</v>
      </c>
      <c r="L146" s="439">
        <v>-1</v>
      </c>
      <c r="M146" s="439">
        <v>-1</v>
      </c>
      <c r="N146" s="439">
        <v>-1</v>
      </c>
      <c r="O146" s="439">
        <v>-1</v>
      </c>
      <c r="P146" s="439">
        <v>-1</v>
      </c>
      <c r="Q146" s="439">
        <v>-1</v>
      </c>
      <c r="R146" s="439">
        <v>0</v>
      </c>
      <c r="S146" s="439">
        <v>0</v>
      </c>
      <c r="T146" s="403"/>
      <c r="U146" s="403"/>
    </row>
    <row r="147" spans="5:23" s="160" customFormat="1" x14ac:dyDescent="0.25">
      <c r="F147" s="167" t="s">
        <v>74</v>
      </c>
      <c r="G147" s="195" t="s">
        <v>149</v>
      </c>
      <c r="J147" s="439">
        <v>-1</v>
      </c>
      <c r="K147" s="439">
        <v>-1</v>
      </c>
      <c r="L147" s="439">
        <v>-1</v>
      </c>
      <c r="M147" s="439">
        <v>-1</v>
      </c>
      <c r="N147" s="439">
        <v>-1</v>
      </c>
      <c r="O147" s="439">
        <v>-1</v>
      </c>
      <c r="P147" s="439">
        <v>-1</v>
      </c>
      <c r="Q147" s="439">
        <v>0</v>
      </c>
      <c r="R147" s="439">
        <v>0</v>
      </c>
      <c r="S147" s="439">
        <v>0</v>
      </c>
      <c r="T147" s="403"/>
      <c r="U147" s="403"/>
    </row>
    <row r="148" spans="5:23" s="160" customFormat="1" x14ac:dyDescent="0.25">
      <c r="F148" s="167" t="s">
        <v>75</v>
      </c>
      <c r="G148" s="195" t="s">
        <v>149</v>
      </c>
      <c r="J148" s="439">
        <v>-1</v>
      </c>
      <c r="K148" s="439">
        <v>-1</v>
      </c>
      <c r="L148" s="439">
        <v>-1</v>
      </c>
      <c r="M148" s="439">
        <v>-1</v>
      </c>
      <c r="N148" s="439">
        <v>-1</v>
      </c>
      <c r="O148" s="439">
        <v>-1</v>
      </c>
      <c r="P148" s="439">
        <v>-1</v>
      </c>
      <c r="Q148" s="439">
        <v>0</v>
      </c>
      <c r="R148" s="439">
        <v>0</v>
      </c>
      <c r="S148" s="439">
        <v>0</v>
      </c>
      <c r="T148" s="403"/>
      <c r="U148" s="403"/>
    </row>
    <row r="149" spans="5:23" s="160" customFormat="1" x14ac:dyDescent="0.25">
      <c r="F149" s="167" t="s">
        <v>76</v>
      </c>
      <c r="G149" s="195" t="s">
        <v>149</v>
      </c>
      <c r="J149" s="439">
        <v>-1</v>
      </c>
      <c r="K149" s="439">
        <v>-1</v>
      </c>
      <c r="L149" s="439">
        <v>-1</v>
      </c>
      <c r="M149" s="439">
        <v>-1</v>
      </c>
      <c r="N149" s="439">
        <v>-1</v>
      </c>
      <c r="O149" s="439">
        <v>-1</v>
      </c>
      <c r="P149" s="439">
        <v>-1</v>
      </c>
      <c r="Q149" s="439">
        <v>0</v>
      </c>
      <c r="R149" s="439">
        <v>0</v>
      </c>
      <c r="S149" s="439">
        <v>0</v>
      </c>
      <c r="T149" s="403"/>
      <c r="U149" s="403"/>
    </row>
    <row r="150" spans="5:23" s="160" customFormat="1" x14ac:dyDescent="0.25">
      <c r="F150" s="168" t="s">
        <v>77</v>
      </c>
      <c r="G150" s="77" t="s">
        <v>149</v>
      </c>
      <c r="H150" s="168"/>
      <c r="I150" s="168"/>
      <c r="J150" s="440">
        <v>-1</v>
      </c>
      <c r="K150" s="440">
        <v>-1</v>
      </c>
      <c r="L150" s="440">
        <v>-1</v>
      </c>
      <c r="M150" s="440">
        <v>-1</v>
      </c>
      <c r="N150" s="440">
        <v>-1</v>
      </c>
      <c r="O150" s="440">
        <v>-1</v>
      </c>
      <c r="P150" s="440">
        <v>-1</v>
      </c>
      <c r="Q150" s="440">
        <v>0</v>
      </c>
      <c r="R150" s="440">
        <v>0</v>
      </c>
      <c r="S150" s="440">
        <v>0</v>
      </c>
      <c r="T150" s="404"/>
      <c r="U150" s="404"/>
    </row>
    <row r="151" spans="5:23" s="160" customFormat="1" x14ac:dyDescent="0.25">
      <c r="G151" s="194"/>
      <c r="J151" s="416"/>
      <c r="K151" s="416"/>
      <c r="L151" s="416"/>
      <c r="M151" s="416"/>
      <c r="N151" s="416"/>
      <c r="O151" s="416"/>
      <c r="P151" s="416"/>
      <c r="Q151" s="416"/>
      <c r="R151" s="416"/>
      <c r="S151" s="416"/>
      <c r="T151" s="416"/>
      <c r="U151" s="416"/>
    </row>
    <row r="152" spans="5:23" s="88" customFormat="1" x14ac:dyDescent="0.25">
      <c r="E152" s="172" t="s">
        <v>656</v>
      </c>
      <c r="F152" s="160"/>
      <c r="G152" s="194"/>
      <c r="I152" s="88" t="s">
        <v>525</v>
      </c>
      <c r="J152" s="416"/>
      <c r="K152" s="416"/>
      <c r="L152" s="416"/>
      <c r="M152" s="416"/>
      <c r="N152" s="416"/>
      <c r="O152" s="416"/>
      <c r="P152" s="416"/>
      <c r="Q152" s="416"/>
      <c r="R152" s="416"/>
      <c r="S152" s="416"/>
      <c r="T152" s="416"/>
      <c r="U152" s="416"/>
      <c r="W152" s="8" t="s">
        <v>1054</v>
      </c>
    </row>
    <row r="153" spans="5:23" s="88" customFormat="1" x14ac:dyDescent="0.25">
      <c r="E153" s="65" t="s">
        <v>392</v>
      </c>
      <c r="F153" s="160"/>
      <c r="G153" s="194"/>
      <c r="J153" s="416"/>
      <c r="K153" s="416"/>
      <c r="L153" s="416"/>
      <c r="M153" s="416"/>
      <c r="N153" s="416"/>
      <c r="O153" s="416"/>
      <c r="P153" s="416"/>
      <c r="Q153" s="416"/>
      <c r="R153" s="416"/>
      <c r="S153" s="416"/>
      <c r="T153" s="416"/>
      <c r="U153" s="416"/>
    </row>
    <row r="154" spans="5:23" s="160" customFormat="1" x14ac:dyDescent="0.25">
      <c r="E154" s="152" t="s">
        <v>487</v>
      </c>
      <c r="G154" s="194"/>
      <c r="J154" s="416"/>
      <c r="K154" s="416"/>
      <c r="L154" s="416"/>
      <c r="M154" s="416"/>
      <c r="N154" s="416"/>
      <c r="O154" s="416"/>
      <c r="P154" s="416"/>
      <c r="Q154" s="416"/>
      <c r="R154" s="416"/>
      <c r="S154" s="416"/>
      <c r="T154" s="416"/>
      <c r="U154" s="416"/>
    </row>
    <row r="155" spans="5:23" s="88" customFormat="1" x14ac:dyDescent="0.25">
      <c r="F155" s="166" t="s">
        <v>52</v>
      </c>
      <c r="G155" s="85" t="s">
        <v>149</v>
      </c>
      <c r="H155" s="13"/>
      <c r="I155" s="13"/>
      <c r="J155" s="431">
        <f>IF(J$38 = "", J118, J118 * J$38)</f>
        <v>1</v>
      </c>
      <c r="K155" s="431">
        <f t="shared" ref="K155:S155" si="38">IF(K$38 = "", K118, K118 * K$38)</f>
        <v>1</v>
      </c>
      <c r="L155" s="431">
        <f t="shared" si="38"/>
        <v>1</v>
      </c>
      <c r="M155" s="431">
        <f t="shared" si="38"/>
        <v>1</v>
      </c>
      <c r="N155" s="431">
        <f t="shared" si="38"/>
        <v>1</v>
      </c>
      <c r="O155" s="431">
        <f t="shared" si="38"/>
        <v>1</v>
      </c>
      <c r="P155" s="431">
        <f t="shared" si="38"/>
        <v>0</v>
      </c>
      <c r="Q155" s="431">
        <f t="shared" si="38"/>
        <v>1</v>
      </c>
      <c r="R155" s="431">
        <f t="shared" si="38"/>
        <v>1</v>
      </c>
      <c r="S155" s="431">
        <f t="shared" si="38"/>
        <v>1</v>
      </c>
      <c r="T155" s="402"/>
      <c r="U155" s="402"/>
    </row>
    <row r="156" spans="5:23" s="88" customFormat="1" x14ac:dyDescent="0.25">
      <c r="F156" s="167" t="s">
        <v>53</v>
      </c>
      <c r="G156" s="195" t="s">
        <v>149</v>
      </c>
      <c r="J156" s="441">
        <f t="shared" ref="J156:S156" si="39">IF(J$38 = "", J119, J119 * J$38)</f>
        <v>1</v>
      </c>
      <c r="K156" s="441">
        <f t="shared" si="39"/>
        <v>1</v>
      </c>
      <c r="L156" s="441">
        <f t="shared" si="39"/>
        <v>1</v>
      </c>
      <c r="M156" s="441">
        <f t="shared" si="39"/>
        <v>1</v>
      </c>
      <c r="N156" s="441">
        <f t="shared" si="39"/>
        <v>1</v>
      </c>
      <c r="O156" s="441">
        <f t="shared" si="39"/>
        <v>1</v>
      </c>
      <c r="P156" s="441">
        <f t="shared" si="39"/>
        <v>0</v>
      </c>
      <c r="Q156" s="441">
        <f t="shared" si="39"/>
        <v>1</v>
      </c>
      <c r="R156" s="441">
        <f t="shared" si="39"/>
        <v>1</v>
      </c>
      <c r="S156" s="441">
        <f t="shared" si="39"/>
        <v>1</v>
      </c>
      <c r="T156" s="403"/>
      <c r="U156" s="403"/>
    </row>
    <row r="157" spans="5:23" s="88" customFormat="1" x14ac:dyDescent="0.25">
      <c r="F157" s="167" t="s">
        <v>84</v>
      </c>
      <c r="G157" s="195" t="s">
        <v>149</v>
      </c>
      <c r="J157" s="441">
        <f t="shared" ref="J157:S157" si="40">IF(J$38 = "", J120, J120 * J$38)</f>
        <v>1</v>
      </c>
      <c r="K157" s="441">
        <f t="shared" si="40"/>
        <v>1</v>
      </c>
      <c r="L157" s="441">
        <f t="shared" si="40"/>
        <v>1</v>
      </c>
      <c r="M157" s="441">
        <f t="shared" si="40"/>
        <v>1</v>
      </c>
      <c r="N157" s="441">
        <f t="shared" si="40"/>
        <v>1</v>
      </c>
      <c r="O157" s="441">
        <f t="shared" si="40"/>
        <v>1</v>
      </c>
      <c r="P157" s="441">
        <f t="shared" si="40"/>
        <v>0</v>
      </c>
      <c r="Q157" s="441">
        <f t="shared" si="40"/>
        <v>1</v>
      </c>
      <c r="R157" s="441">
        <f t="shared" si="40"/>
        <v>1</v>
      </c>
      <c r="S157" s="441">
        <f t="shared" si="40"/>
        <v>1</v>
      </c>
      <c r="T157" s="403"/>
      <c r="U157" s="403"/>
    </row>
    <row r="158" spans="5:23" s="88" customFormat="1" x14ac:dyDescent="0.25">
      <c r="F158" s="167" t="s">
        <v>54</v>
      </c>
      <c r="G158" s="195" t="s">
        <v>149</v>
      </c>
      <c r="J158" s="441">
        <f t="shared" ref="J158:S158" si="41">IF(J$38 = "", J121, J121 * J$38)</f>
        <v>1</v>
      </c>
      <c r="K158" s="441">
        <f t="shared" si="41"/>
        <v>1</v>
      </c>
      <c r="L158" s="441">
        <f t="shared" si="41"/>
        <v>1</v>
      </c>
      <c r="M158" s="441">
        <f t="shared" si="41"/>
        <v>1</v>
      </c>
      <c r="N158" s="441">
        <f t="shared" si="41"/>
        <v>1</v>
      </c>
      <c r="O158" s="441">
        <f t="shared" si="41"/>
        <v>1</v>
      </c>
      <c r="P158" s="441">
        <f t="shared" si="41"/>
        <v>0</v>
      </c>
      <c r="Q158" s="441">
        <f t="shared" si="41"/>
        <v>1</v>
      </c>
      <c r="R158" s="441">
        <f t="shared" si="41"/>
        <v>1</v>
      </c>
      <c r="S158" s="441">
        <f t="shared" si="41"/>
        <v>1</v>
      </c>
      <c r="T158" s="403"/>
      <c r="U158" s="403"/>
    </row>
    <row r="159" spans="5:23" s="88" customFormat="1" x14ac:dyDescent="0.25">
      <c r="F159" s="167" t="s">
        <v>55</v>
      </c>
      <c r="G159" s="195" t="s">
        <v>149</v>
      </c>
      <c r="J159" s="441">
        <f t="shared" ref="J159:S159" si="42">IF(J$38 = "", J122, J122 * J$38)</f>
        <v>1</v>
      </c>
      <c r="K159" s="441">
        <f t="shared" si="42"/>
        <v>1</v>
      </c>
      <c r="L159" s="441">
        <f t="shared" si="42"/>
        <v>1</v>
      </c>
      <c r="M159" s="441">
        <f t="shared" si="42"/>
        <v>1</v>
      </c>
      <c r="N159" s="441">
        <f t="shared" si="42"/>
        <v>1</v>
      </c>
      <c r="O159" s="441">
        <f t="shared" si="42"/>
        <v>1</v>
      </c>
      <c r="P159" s="441">
        <f t="shared" si="42"/>
        <v>0</v>
      </c>
      <c r="Q159" s="441">
        <f t="shared" si="42"/>
        <v>1</v>
      </c>
      <c r="R159" s="441">
        <f t="shared" si="42"/>
        <v>1</v>
      </c>
      <c r="S159" s="441">
        <f t="shared" si="42"/>
        <v>1</v>
      </c>
      <c r="T159" s="403"/>
      <c r="U159" s="403"/>
    </row>
    <row r="160" spans="5:23" s="88" customFormat="1" x14ac:dyDescent="0.25">
      <c r="F160" s="167" t="s">
        <v>85</v>
      </c>
      <c r="G160" s="195" t="s">
        <v>149</v>
      </c>
      <c r="J160" s="441">
        <f t="shared" ref="J160:S160" si="43">IF(J$38 = "", J123, J123 * J$38)</f>
        <v>1</v>
      </c>
      <c r="K160" s="441">
        <f t="shared" si="43"/>
        <v>1</v>
      </c>
      <c r="L160" s="441">
        <f t="shared" si="43"/>
        <v>1</v>
      </c>
      <c r="M160" s="441">
        <f t="shared" si="43"/>
        <v>1</v>
      </c>
      <c r="N160" s="441">
        <f t="shared" si="43"/>
        <v>1</v>
      </c>
      <c r="O160" s="441">
        <f t="shared" si="43"/>
        <v>1</v>
      </c>
      <c r="P160" s="441">
        <f t="shared" si="43"/>
        <v>0</v>
      </c>
      <c r="Q160" s="441">
        <f t="shared" si="43"/>
        <v>1</v>
      </c>
      <c r="R160" s="441">
        <f t="shared" si="43"/>
        <v>1</v>
      </c>
      <c r="S160" s="441">
        <f t="shared" si="43"/>
        <v>1</v>
      </c>
      <c r="T160" s="403"/>
      <c r="U160" s="403"/>
    </row>
    <row r="161" spans="6:21" s="88" customFormat="1" x14ac:dyDescent="0.25">
      <c r="F161" s="167" t="s">
        <v>56</v>
      </c>
      <c r="G161" s="195" t="s">
        <v>149</v>
      </c>
      <c r="J161" s="441">
        <f t="shared" ref="J161:S161" si="44">IF(J$38 = "", J124, J124 * J$38)</f>
        <v>1</v>
      </c>
      <c r="K161" s="441">
        <f t="shared" si="44"/>
        <v>1</v>
      </c>
      <c r="L161" s="441">
        <f t="shared" si="44"/>
        <v>1</v>
      </c>
      <c r="M161" s="441">
        <f t="shared" si="44"/>
        <v>1</v>
      </c>
      <c r="N161" s="441">
        <f t="shared" si="44"/>
        <v>1</v>
      </c>
      <c r="O161" s="441">
        <f t="shared" si="44"/>
        <v>1</v>
      </c>
      <c r="P161" s="441">
        <f t="shared" si="44"/>
        <v>0</v>
      </c>
      <c r="Q161" s="441">
        <f t="shared" si="44"/>
        <v>1</v>
      </c>
      <c r="R161" s="441">
        <f t="shared" si="44"/>
        <v>1</v>
      </c>
      <c r="S161" s="441">
        <f t="shared" si="44"/>
        <v>1</v>
      </c>
      <c r="T161" s="403"/>
      <c r="U161" s="403"/>
    </row>
    <row r="162" spans="6:21" s="88" customFormat="1" x14ac:dyDescent="0.25">
      <c r="F162" s="167" t="s">
        <v>57</v>
      </c>
      <c r="G162" s="195" t="s">
        <v>149</v>
      </c>
      <c r="J162" s="441">
        <f t="shared" ref="J162:S162" si="45">IF(J$38 = "", J125, J125 * J$38)</f>
        <v>1</v>
      </c>
      <c r="K162" s="441">
        <f t="shared" si="45"/>
        <v>1</v>
      </c>
      <c r="L162" s="441">
        <f t="shared" si="45"/>
        <v>1</v>
      </c>
      <c r="M162" s="441">
        <f t="shared" si="45"/>
        <v>1</v>
      </c>
      <c r="N162" s="441">
        <f t="shared" si="45"/>
        <v>1</v>
      </c>
      <c r="O162" s="441">
        <f t="shared" si="45"/>
        <v>1</v>
      </c>
      <c r="P162" s="441">
        <f t="shared" si="45"/>
        <v>0</v>
      </c>
      <c r="Q162" s="441">
        <f t="shared" si="45"/>
        <v>1</v>
      </c>
      <c r="R162" s="441">
        <f t="shared" si="45"/>
        <v>1</v>
      </c>
      <c r="S162" s="441">
        <f t="shared" si="45"/>
        <v>0</v>
      </c>
      <c r="T162" s="403"/>
      <c r="U162" s="403"/>
    </row>
    <row r="163" spans="6:21" s="88" customFormat="1" x14ac:dyDescent="0.25">
      <c r="F163" s="167" t="s">
        <v>72</v>
      </c>
      <c r="G163" s="195" t="s">
        <v>149</v>
      </c>
      <c r="J163" s="441">
        <f t="shared" ref="J163:S163" si="46">IF(J$38 = "", J126, J126 * J$38)</f>
        <v>1</v>
      </c>
      <c r="K163" s="441">
        <f t="shared" si="46"/>
        <v>1</v>
      </c>
      <c r="L163" s="441">
        <f t="shared" si="46"/>
        <v>1</v>
      </c>
      <c r="M163" s="441">
        <f t="shared" si="46"/>
        <v>1</v>
      </c>
      <c r="N163" s="441">
        <f t="shared" si="46"/>
        <v>1</v>
      </c>
      <c r="O163" s="441">
        <f t="shared" si="46"/>
        <v>1</v>
      </c>
      <c r="P163" s="441">
        <f t="shared" si="46"/>
        <v>0</v>
      </c>
      <c r="Q163" s="441">
        <f t="shared" si="46"/>
        <v>1</v>
      </c>
      <c r="R163" s="441">
        <f t="shared" si="46"/>
        <v>0</v>
      </c>
      <c r="S163" s="441">
        <f t="shared" si="46"/>
        <v>0</v>
      </c>
      <c r="T163" s="403"/>
      <c r="U163" s="403"/>
    </row>
    <row r="164" spans="6:21" s="88" customFormat="1" x14ac:dyDescent="0.25">
      <c r="F164" s="167" t="s">
        <v>58</v>
      </c>
      <c r="G164" s="195" t="s">
        <v>149</v>
      </c>
      <c r="J164" s="441">
        <f t="shared" ref="J164:S164" si="47">IF(J$38 = "", J127, J127 * J$38)</f>
        <v>1</v>
      </c>
      <c r="K164" s="441">
        <f t="shared" si="47"/>
        <v>1</v>
      </c>
      <c r="L164" s="441">
        <f t="shared" si="47"/>
        <v>1</v>
      </c>
      <c r="M164" s="441">
        <f t="shared" si="47"/>
        <v>1</v>
      </c>
      <c r="N164" s="441">
        <f t="shared" si="47"/>
        <v>1</v>
      </c>
      <c r="O164" s="441">
        <f t="shared" si="47"/>
        <v>1</v>
      </c>
      <c r="P164" s="441">
        <f t="shared" si="47"/>
        <v>0</v>
      </c>
      <c r="Q164" s="441">
        <f t="shared" si="47"/>
        <v>1</v>
      </c>
      <c r="R164" s="441">
        <f t="shared" si="47"/>
        <v>1</v>
      </c>
      <c r="S164" s="441">
        <f t="shared" si="47"/>
        <v>1</v>
      </c>
      <c r="T164" s="403"/>
      <c r="U164" s="403"/>
    </row>
    <row r="165" spans="6:21" s="88" customFormat="1" x14ac:dyDescent="0.25">
      <c r="F165" s="167" t="s">
        <v>59</v>
      </c>
      <c r="G165" s="195" t="s">
        <v>149</v>
      </c>
      <c r="J165" s="441">
        <f t="shared" ref="J165:S165" si="48">IF(J$38 = "", J128, J128 * J$38)</f>
        <v>1</v>
      </c>
      <c r="K165" s="441">
        <f t="shared" si="48"/>
        <v>1</v>
      </c>
      <c r="L165" s="441">
        <f t="shared" si="48"/>
        <v>1</v>
      </c>
      <c r="M165" s="441">
        <f t="shared" si="48"/>
        <v>1</v>
      </c>
      <c r="N165" s="441">
        <f t="shared" si="48"/>
        <v>1</v>
      </c>
      <c r="O165" s="441">
        <f t="shared" si="48"/>
        <v>1</v>
      </c>
      <c r="P165" s="441">
        <f t="shared" si="48"/>
        <v>0</v>
      </c>
      <c r="Q165" s="441">
        <f t="shared" si="48"/>
        <v>1</v>
      </c>
      <c r="R165" s="441">
        <f t="shared" si="48"/>
        <v>1</v>
      </c>
      <c r="S165" s="441">
        <f t="shared" si="48"/>
        <v>1</v>
      </c>
      <c r="T165" s="403"/>
      <c r="U165" s="403"/>
    </row>
    <row r="166" spans="6:21" s="88" customFormat="1" x14ac:dyDescent="0.25">
      <c r="F166" s="167" t="s">
        <v>60</v>
      </c>
      <c r="G166" s="195" t="s">
        <v>149</v>
      </c>
      <c r="J166" s="441">
        <f t="shared" ref="J166:S166" si="49">IF(J$38 = "", J129, J129 * J$38)</f>
        <v>1</v>
      </c>
      <c r="K166" s="441">
        <f t="shared" si="49"/>
        <v>1</v>
      </c>
      <c r="L166" s="441">
        <f t="shared" si="49"/>
        <v>1</v>
      </c>
      <c r="M166" s="441">
        <f t="shared" si="49"/>
        <v>1</v>
      </c>
      <c r="N166" s="441">
        <f t="shared" si="49"/>
        <v>1</v>
      </c>
      <c r="O166" s="441">
        <f t="shared" si="49"/>
        <v>1</v>
      </c>
      <c r="P166" s="441">
        <f t="shared" si="49"/>
        <v>0</v>
      </c>
      <c r="Q166" s="441">
        <f t="shared" si="49"/>
        <v>1</v>
      </c>
      <c r="R166" s="441">
        <f t="shared" si="49"/>
        <v>1</v>
      </c>
      <c r="S166" s="441">
        <f t="shared" si="49"/>
        <v>1</v>
      </c>
      <c r="T166" s="403"/>
      <c r="U166" s="403"/>
    </row>
    <row r="167" spans="6:21" s="88" customFormat="1" x14ac:dyDescent="0.25">
      <c r="F167" s="167" t="s">
        <v>61</v>
      </c>
      <c r="G167" s="195" t="s">
        <v>149</v>
      </c>
      <c r="J167" s="441">
        <f t="shared" ref="J167:S167" si="50">IF(J$38 = "", J130, J130 * J$38)</f>
        <v>1</v>
      </c>
      <c r="K167" s="441">
        <f t="shared" si="50"/>
        <v>1</v>
      </c>
      <c r="L167" s="441">
        <f t="shared" si="50"/>
        <v>1</v>
      </c>
      <c r="M167" s="441">
        <f t="shared" si="50"/>
        <v>1</v>
      </c>
      <c r="N167" s="441">
        <f t="shared" si="50"/>
        <v>1</v>
      </c>
      <c r="O167" s="441">
        <f t="shared" si="50"/>
        <v>1</v>
      </c>
      <c r="P167" s="441">
        <f t="shared" si="50"/>
        <v>0</v>
      </c>
      <c r="Q167" s="441">
        <f t="shared" si="50"/>
        <v>1</v>
      </c>
      <c r="R167" s="441">
        <f t="shared" si="50"/>
        <v>1</v>
      </c>
      <c r="S167" s="441">
        <f t="shared" si="50"/>
        <v>0</v>
      </c>
      <c r="T167" s="403"/>
      <c r="U167" s="403"/>
    </row>
    <row r="168" spans="6:21" s="88" customFormat="1" x14ac:dyDescent="0.25">
      <c r="F168" s="167" t="s">
        <v>73</v>
      </c>
      <c r="G168" s="195" t="s">
        <v>149</v>
      </c>
      <c r="J168" s="441">
        <f t="shared" ref="J168:S168" si="51">IF(J$38 = "", J131, J131 * J$38)</f>
        <v>1</v>
      </c>
      <c r="K168" s="441">
        <f t="shared" si="51"/>
        <v>1</v>
      </c>
      <c r="L168" s="441">
        <f t="shared" si="51"/>
        <v>1</v>
      </c>
      <c r="M168" s="441">
        <f t="shared" si="51"/>
        <v>1</v>
      </c>
      <c r="N168" s="441">
        <f t="shared" si="51"/>
        <v>1</v>
      </c>
      <c r="O168" s="441">
        <f t="shared" si="51"/>
        <v>1</v>
      </c>
      <c r="P168" s="441">
        <f t="shared" si="51"/>
        <v>0</v>
      </c>
      <c r="Q168" s="441">
        <f t="shared" si="51"/>
        <v>1</v>
      </c>
      <c r="R168" s="441">
        <f t="shared" si="51"/>
        <v>0</v>
      </c>
      <c r="S168" s="441">
        <f t="shared" si="51"/>
        <v>0</v>
      </c>
      <c r="T168" s="403"/>
      <c r="U168" s="403"/>
    </row>
    <row r="169" spans="6:21" s="88" customFormat="1" x14ac:dyDescent="0.25">
      <c r="F169" s="167" t="s">
        <v>86</v>
      </c>
      <c r="G169" s="195" t="s">
        <v>149</v>
      </c>
      <c r="J169" s="441">
        <f t="shared" ref="J169:S169" si="52">IF(J$38 = "", J132, J132 * J$38)</f>
        <v>1</v>
      </c>
      <c r="K169" s="441">
        <f t="shared" si="52"/>
        <v>1</v>
      </c>
      <c r="L169" s="441">
        <f t="shared" si="52"/>
        <v>1</v>
      </c>
      <c r="M169" s="441">
        <f t="shared" si="52"/>
        <v>1</v>
      </c>
      <c r="N169" s="441">
        <f t="shared" si="52"/>
        <v>1</v>
      </c>
      <c r="O169" s="441">
        <f t="shared" si="52"/>
        <v>1</v>
      </c>
      <c r="P169" s="441">
        <f t="shared" si="52"/>
        <v>0</v>
      </c>
      <c r="Q169" s="441">
        <f t="shared" si="52"/>
        <v>1</v>
      </c>
      <c r="R169" s="441">
        <f t="shared" si="52"/>
        <v>1</v>
      </c>
      <c r="S169" s="441">
        <f t="shared" si="52"/>
        <v>1</v>
      </c>
      <c r="T169" s="403"/>
      <c r="U169" s="403"/>
    </row>
    <row r="170" spans="6:21" s="88" customFormat="1" x14ac:dyDescent="0.25">
      <c r="F170" s="167" t="s">
        <v>87</v>
      </c>
      <c r="G170" s="195" t="s">
        <v>149</v>
      </c>
      <c r="J170" s="441">
        <f t="shared" ref="J170:S170" si="53">IF(J$38 = "", J133, J133 * J$38)</f>
        <v>1</v>
      </c>
      <c r="K170" s="441">
        <f t="shared" si="53"/>
        <v>1</v>
      </c>
      <c r="L170" s="441">
        <f t="shared" si="53"/>
        <v>1</v>
      </c>
      <c r="M170" s="441">
        <f t="shared" si="53"/>
        <v>1</v>
      </c>
      <c r="N170" s="441">
        <f t="shared" si="53"/>
        <v>1</v>
      </c>
      <c r="O170" s="441">
        <f t="shared" si="53"/>
        <v>1</v>
      </c>
      <c r="P170" s="441">
        <f t="shared" si="53"/>
        <v>0</v>
      </c>
      <c r="Q170" s="441">
        <f t="shared" si="53"/>
        <v>1</v>
      </c>
      <c r="R170" s="441">
        <f t="shared" si="53"/>
        <v>1</v>
      </c>
      <c r="S170" s="441">
        <f t="shared" si="53"/>
        <v>1</v>
      </c>
      <c r="T170" s="403"/>
      <c r="U170" s="403"/>
    </row>
    <row r="171" spans="6:21" s="88" customFormat="1" x14ac:dyDescent="0.25">
      <c r="F171" s="167" t="s">
        <v>88</v>
      </c>
      <c r="G171" s="195" t="s">
        <v>149</v>
      </c>
      <c r="J171" s="441">
        <f t="shared" ref="J171:S171" si="54">IF(J$38 = "", J134, J134 * J$38)</f>
        <v>1</v>
      </c>
      <c r="K171" s="441">
        <f t="shared" si="54"/>
        <v>1</v>
      </c>
      <c r="L171" s="441">
        <f t="shared" si="54"/>
        <v>1</v>
      </c>
      <c r="M171" s="441">
        <f t="shared" si="54"/>
        <v>1</v>
      </c>
      <c r="N171" s="441">
        <f t="shared" si="54"/>
        <v>1</v>
      </c>
      <c r="O171" s="441">
        <f t="shared" si="54"/>
        <v>1</v>
      </c>
      <c r="P171" s="441">
        <f t="shared" si="54"/>
        <v>0</v>
      </c>
      <c r="Q171" s="441">
        <f t="shared" si="54"/>
        <v>1</v>
      </c>
      <c r="R171" s="441">
        <f t="shared" si="54"/>
        <v>1</v>
      </c>
      <c r="S171" s="441">
        <f t="shared" si="54"/>
        <v>1</v>
      </c>
      <c r="T171" s="403"/>
      <c r="U171" s="403"/>
    </row>
    <row r="172" spans="6:21" s="88" customFormat="1" x14ac:dyDescent="0.25">
      <c r="F172" s="167" t="s">
        <v>89</v>
      </c>
      <c r="G172" s="195" t="s">
        <v>149</v>
      </c>
      <c r="J172" s="441">
        <f t="shared" ref="J172:S172" si="55">IF(J$38 = "", J135, J135 * J$38)</f>
        <v>1</v>
      </c>
      <c r="K172" s="441">
        <f t="shared" si="55"/>
        <v>1</v>
      </c>
      <c r="L172" s="441">
        <f t="shared" si="55"/>
        <v>1</v>
      </c>
      <c r="M172" s="441">
        <f t="shared" si="55"/>
        <v>1</v>
      </c>
      <c r="N172" s="441">
        <f t="shared" si="55"/>
        <v>1</v>
      </c>
      <c r="O172" s="441">
        <f t="shared" si="55"/>
        <v>1</v>
      </c>
      <c r="P172" s="441">
        <f t="shared" si="55"/>
        <v>0</v>
      </c>
      <c r="Q172" s="441">
        <f t="shared" si="55"/>
        <v>1</v>
      </c>
      <c r="R172" s="441">
        <f t="shared" si="55"/>
        <v>1</v>
      </c>
      <c r="S172" s="441">
        <f t="shared" si="55"/>
        <v>1</v>
      </c>
      <c r="T172" s="403"/>
      <c r="U172" s="403"/>
    </row>
    <row r="173" spans="6:21" s="88" customFormat="1" x14ac:dyDescent="0.25">
      <c r="F173" s="167" t="s">
        <v>90</v>
      </c>
      <c r="G173" s="195" t="s">
        <v>149</v>
      </c>
      <c r="J173" s="441">
        <f t="shared" ref="J173:S173" si="56">IF(J$38 = "", J136, J136 * J$38)</f>
        <v>1</v>
      </c>
      <c r="K173" s="441">
        <f t="shared" si="56"/>
        <v>1</v>
      </c>
      <c r="L173" s="441">
        <f t="shared" si="56"/>
        <v>1</v>
      </c>
      <c r="M173" s="441">
        <f t="shared" si="56"/>
        <v>1</v>
      </c>
      <c r="N173" s="441">
        <f t="shared" si="56"/>
        <v>1</v>
      </c>
      <c r="O173" s="441">
        <f t="shared" si="56"/>
        <v>1</v>
      </c>
      <c r="P173" s="441">
        <f t="shared" si="56"/>
        <v>0</v>
      </c>
      <c r="Q173" s="441">
        <f t="shared" si="56"/>
        <v>1</v>
      </c>
      <c r="R173" s="441">
        <f t="shared" si="56"/>
        <v>1</v>
      </c>
      <c r="S173" s="441">
        <f t="shared" si="56"/>
        <v>1</v>
      </c>
      <c r="T173" s="403"/>
      <c r="U173" s="403"/>
    </row>
    <row r="174" spans="6:21" s="88" customFormat="1" x14ac:dyDescent="0.25">
      <c r="F174" s="167" t="s">
        <v>62</v>
      </c>
      <c r="G174" s="195" t="s">
        <v>149</v>
      </c>
      <c r="J174" s="441">
        <f t="shared" ref="J174:S174" si="57">IF(J$38 = "", J137, J137 * J$38)</f>
        <v>-1</v>
      </c>
      <c r="K174" s="441">
        <f t="shared" si="57"/>
        <v>-1</v>
      </c>
      <c r="L174" s="441">
        <f t="shared" si="57"/>
        <v>-1</v>
      </c>
      <c r="M174" s="441">
        <f t="shared" si="57"/>
        <v>-1</v>
      </c>
      <c r="N174" s="441">
        <f t="shared" si="57"/>
        <v>-1</v>
      </c>
      <c r="O174" s="441">
        <f t="shared" si="57"/>
        <v>-1</v>
      </c>
      <c r="P174" s="441">
        <f t="shared" si="57"/>
        <v>0</v>
      </c>
      <c r="Q174" s="441">
        <f t="shared" si="57"/>
        <v>-1</v>
      </c>
      <c r="R174" s="441">
        <f t="shared" si="57"/>
        <v>-1</v>
      </c>
      <c r="S174" s="441">
        <f t="shared" si="57"/>
        <v>0</v>
      </c>
      <c r="T174" s="403"/>
      <c r="U174" s="403"/>
    </row>
    <row r="175" spans="6:21" s="88" customFormat="1" x14ac:dyDescent="0.25">
      <c r="F175" s="167" t="s">
        <v>63</v>
      </c>
      <c r="G175" s="195" t="s">
        <v>149</v>
      </c>
      <c r="J175" s="441">
        <f t="shared" ref="J175:S175" si="58">IF(J$38 = "", J138, J138 * J$38)</f>
        <v>-1</v>
      </c>
      <c r="K175" s="441">
        <f t="shared" si="58"/>
        <v>-1</v>
      </c>
      <c r="L175" s="441">
        <f t="shared" si="58"/>
        <v>-1</v>
      </c>
      <c r="M175" s="441">
        <f t="shared" si="58"/>
        <v>-1</v>
      </c>
      <c r="N175" s="441">
        <f t="shared" si="58"/>
        <v>-1</v>
      </c>
      <c r="O175" s="441">
        <f t="shared" si="58"/>
        <v>-1</v>
      </c>
      <c r="P175" s="441">
        <f t="shared" si="58"/>
        <v>0</v>
      </c>
      <c r="Q175" s="441">
        <f t="shared" si="58"/>
        <v>-1</v>
      </c>
      <c r="R175" s="441">
        <f t="shared" si="58"/>
        <v>0</v>
      </c>
      <c r="S175" s="441">
        <f t="shared" si="58"/>
        <v>0</v>
      </c>
      <c r="T175" s="403"/>
      <c r="U175" s="403"/>
    </row>
    <row r="176" spans="6:21" s="88" customFormat="1" x14ac:dyDescent="0.25">
      <c r="F176" s="167" t="s">
        <v>64</v>
      </c>
      <c r="G176" s="195" t="s">
        <v>149</v>
      </c>
      <c r="J176" s="441">
        <f t="shared" ref="J176:S176" si="59">IF(J$38 = "", J139, J139 * J$38)</f>
        <v>-1</v>
      </c>
      <c r="K176" s="441">
        <f t="shared" si="59"/>
        <v>-1</v>
      </c>
      <c r="L176" s="441">
        <f t="shared" si="59"/>
        <v>-1</v>
      </c>
      <c r="M176" s="441">
        <f t="shared" si="59"/>
        <v>-1</v>
      </c>
      <c r="N176" s="441">
        <f t="shared" si="59"/>
        <v>-1</v>
      </c>
      <c r="O176" s="441">
        <f t="shared" si="59"/>
        <v>-1</v>
      </c>
      <c r="P176" s="441">
        <f t="shared" si="59"/>
        <v>0</v>
      </c>
      <c r="Q176" s="441">
        <f t="shared" si="59"/>
        <v>-1</v>
      </c>
      <c r="R176" s="441">
        <f t="shared" si="59"/>
        <v>-1</v>
      </c>
      <c r="S176" s="441">
        <f t="shared" si="59"/>
        <v>0</v>
      </c>
      <c r="T176" s="403"/>
      <c r="U176" s="403"/>
    </row>
    <row r="177" spans="3:23" s="88" customFormat="1" x14ac:dyDescent="0.25">
      <c r="F177" s="167" t="s">
        <v>65</v>
      </c>
      <c r="G177" s="195" t="s">
        <v>149</v>
      </c>
      <c r="J177" s="441">
        <f t="shared" ref="J177:S177" si="60">IF(J$38 = "", J140, J140 * J$38)</f>
        <v>-1</v>
      </c>
      <c r="K177" s="441">
        <f t="shared" si="60"/>
        <v>-1</v>
      </c>
      <c r="L177" s="441">
        <f t="shared" si="60"/>
        <v>-1</v>
      </c>
      <c r="M177" s="441">
        <f t="shared" si="60"/>
        <v>-1</v>
      </c>
      <c r="N177" s="441">
        <f t="shared" si="60"/>
        <v>-1</v>
      </c>
      <c r="O177" s="441">
        <f t="shared" si="60"/>
        <v>-1</v>
      </c>
      <c r="P177" s="441">
        <f t="shared" si="60"/>
        <v>0</v>
      </c>
      <c r="Q177" s="441">
        <f t="shared" si="60"/>
        <v>-1</v>
      </c>
      <c r="R177" s="441">
        <f t="shared" si="60"/>
        <v>-1</v>
      </c>
      <c r="S177" s="441">
        <f t="shared" si="60"/>
        <v>0</v>
      </c>
      <c r="T177" s="403"/>
      <c r="U177" s="403"/>
    </row>
    <row r="178" spans="3:23" s="88" customFormat="1" x14ac:dyDescent="0.25">
      <c r="F178" s="167" t="s">
        <v>66</v>
      </c>
      <c r="G178" s="195" t="s">
        <v>149</v>
      </c>
      <c r="J178" s="441">
        <f t="shared" ref="J178:S178" si="61">IF(J$38 = "", J141, J141 * J$38)</f>
        <v>-1</v>
      </c>
      <c r="K178" s="441">
        <f t="shared" si="61"/>
        <v>-1</v>
      </c>
      <c r="L178" s="441">
        <f t="shared" si="61"/>
        <v>-1</v>
      </c>
      <c r="M178" s="441">
        <f t="shared" si="61"/>
        <v>-1</v>
      </c>
      <c r="N178" s="441">
        <f t="shared" si="61"/>
        <v>-1</v>
      </c>
      <c r="O178" s="441">
        <f t="shared" si="61"/>
        <v>-1</v>
      </c>
      <c r="P178" s="441">
        <f t="shared" si="61"/>
        <v>0</v>
      </c>
      <c r="Q178" s="441">
        <f t="shared" si="61"/>
        <v>-1</v>
      </c>
      <c r="R178" s="441">
        <f t="shared" si="61"/>
        <v>-1</v>
      </c>
      <c r="S178" s="441">
        <f t="shared" si="61"/>
        <v>0</v>
      </c>
      <c r="T178" s="403"/>
      <c r="U178" s="403"/>
    </row>
    <row r="179" spans="3:23" s="88" customFormat="1" x14ac:dyDescent="0.25">
      <c r="F179" s="167" t="s">
        <v>67</v>
      </c>
      <c r="G179" s="195" t="s">
        <v>149</v>
      </c>
      <c r="J179" s="441">
        <f t="shared" ref="J179:S179" si="62">IF(J$38 = "", J142, J142 * J$38)</f>
        <v>-1</v>
      </c>
      <c r="K179" s="441">
        <f t="shared" si="62"/>
        <v>-1</v>
      </c>
      <c r="L179" s="441">
        <f t="shared" si="62"/>
        <v>-1</v>
      </c>
      <c r="M179" s="441">
        <f t="shared" si="62"/>
        <v>-1</v>
      </c>
      <c r="N179" s="441">
        <f t="shared" si="62"/>
        <v>-1</v>
      </c>
      <c r="O179" s="441">
        <f t="shared" si="62"/>
        <v>-1</v>
      </c>
      <c r="P179" s="441">
        <f t="shared" si="62"/>
        <v>0</v>
      </c>
      <c r="Q179" s="441">
        <f t="shared" si="62"/>
        <v>-1</v>
      </c>
      <c r="R179" s="441">
        <f t="shared" si="62"/>
        <v>-1</v>
      </c>
      <c r="S179" s="441">
        <f t="shared" si="62"/>
        <v>0</v>
      </c>
      <c r="T179" s="403"/>
      <c r="U179" s="403"/>
    </row>
    <row r="180" spans="3:23" s="88" customFormat="1" x14ac:dyDescent="0.25">
      <c r="F180" s="167" t="s">
        <v>68</v>
      </c>
      <c r="G180" s="195" t="s">
        <v>149</v>
      </c>
      <c r="J180" s="441">
        <f t="shared" ref="J180:S180" si="63">IF(J$38 = "", J143, J143 * J$38)</f>
        <v>-1</v>
      </c>
      <c r="K180" s="441">
        <f t="shared" si="63"/>
        <v>-1</v>
      </c>
      <c r="L180" s="441">
        <f t="shared" si="63"/>
        <v>-1</v>
      </c>
      <c r="M180" s="441">
        <f t="shared" si="63"/>
        <v>-1</v>
      </c>
      <c r="N180" s="441">
        <f t="shared" si="63"/>
        <v>-1</v>
      </c>
      <c r="O180" s="441">
        <f t="shared" si="63"/>
        <v>-1</v>
      </c>
      <c r="P180" s="441">
        <f t="shared" si="63"/>
        <v>0</v>
      </c>
      <c r="Q180" s="441">
        <f t="shared" si="63"/>
        <v>-1</v>
      </c>
      <c r="R180" s="441">
        <f t="shared" si="63"/>
        <v>0</v>
      </c>
      <c r="S180" s="441">
        <f t="shared" si="63"/>
        <v>0</v>
      </c>
      <c r="T180" s="403"/>
      <c r="U180" s="403"/>
    </row>
    <row r="181" spans="3:23" s="88" customFormat="1" x14ac:dyDescent="0.25">
      <c r="F181" s="167" t="s">
        <v>69</v>
      </c>
      <c r="G181" s="195" t="s">
        <v>149</v>
      </c>
      <c r="J181" s="441">
        <f t="shared" ref="J181:S181" si="64">IF(J$38 = "", J144, J144 * J$38)</f>
        <v>-1</v>
      </c>
      <c r="K181" s="441">
        <f t="shared" si="64"/>
        <v>-1</v>
      </c>
      <c r="L181" s="441">
        <f t="shared" si="64"/>
        <v>-1</v>
      </c>
      <c r="M181" s="441">
        <f t="shared" si="64"/>
        <v>-1</v>
      </c>
      <c r="N181" s="441">
        <f t="shared" si="64"/>
        <v>-1</v>
      </c>
      <c r="O181" s="441">
        <f t="shared" si="64"/>
        <v>-1</v>
      </c>
      <c r="P181" s="441">
        <f t="shared" si="64"/>
        <v>0</v>
      </c>
      <c r="Q181" s="441">
        <f t="shared" si="64"/>
        <v>-1</v>
      </c>
      <c r="R181" s="441">
        <f t="shared" si="64"/>
        <v>0</v>
      </c>
      <c r="S181" s="441">
        <f t="shared" si="64"/>
        <v>0</v>
      </c>
      <c r="T181" s="403"/>
      <c r="U181" s="403"/>
    </row>
    <row r="182" spans="3:23" s="88" customFormat="1" x14ac:dyDescent="0.25">
      <c r="F182" s="167" t="s">
        <v>70</v>
      </c>
      <c r="G182" s="195" t="s">
        <v>149</v>
      </c>
      <c r="J182" s="441">
        <f t="shared" ref="J182:S182" si="65">IF(J$38 = "", J145, J145 * J$38)</f>
        <v>-1</v>
      </c>
      <c r="K182" s="441">
        <f t="shared" si="65"/>
        <v>-1</v>
      </c>
      <c r="L182" s="441">
        <f t="shared" si="65"/>
        <v>-1</v>
      </c>
      <c r="M182" s="441">
        <f t="shared" si="65"/>
        <v>-1</v>
      </c>
      <c r="N182" s="441">
        <f t="shared" si="65"/>
        <v>-1</v>
      </c>
      <c r="O182" s="441">
        <f t="shared" si="65"/>
        <v>-1</v>
      </c>
      <c r="P182" s="441">
        <f t="shared" si="65"/>
        <v>0</v>
      </c>
      <c r="Q182" s="441">
        <f t="shared" si="65"/>
        <v>-1</v>
      </c>
      <c r="R182" s="441">
        <f t="shared" si="65"/>
        <v>0</v>
      </c>
      <c r="S182" s="441">
        <f t="shared" si="65"/>
        <v>0</v>
      </c>
      <c r="T182" s="403"/>
      <c r="U182" s="403"/>
    </row>
    <row r="183" spans="3:23" s="88" customFormat="1" x14ac:dyDescent="0.25">
      <c r="F183" s="167" t="s">
        <v>71</v>
      </c>
      <c r="G183" s="195" t="s">
        <v>149</v>
      </c>
      <c r="J183" s="441">
        <f t="shared" ref="J183:S183" si="66">IF(J$38 = "", J146, J146 * J$38)</f>
        <v>-1</v>
      </c>
      <c r="K183" s="441">
        <f t="shared" si="66"/>
        <v>-1</v>
      </c>
      <c r="L183" s="441">
        <f t="shared" si="66"/>
        <v>-1</v>
      </c>
      <c r="M183" s="441">
        <f t="shared" si="66"/>
        <v>-1</v>
      </c>
      <c r="N183" s="441">
        <f t="shared" si="66"/>
        <v>-1</v>
      </c>
      <c r="O183" s="441">
        <f t="shared" si="66"/>
        <v>-1</v>
      </c>
      <c r="P183" s="441">
        <f t="shared" si="66"/>
        <v>0</v>
      </c>
      <c r="Q183" s="441">
        <f t="shared" si="66"/>
        <v>-1</v>
      </c>
      <c r="R183" s="441">
        <f t="shared" si="66"/>
        <v>0</v>
      </c>
      <c r="S183" s="441">
        <f t="shared" si="66"/>
        <v>0</v>
      </c>
      <c r="T183" s="403"/>
      <c r="U183" s="403"/>
    </row>
    <row r="184" spans="3:23" s="88" customFormat="1" x14ac:dyDescent="0.25">
      <c r="F184" s="167" t="s">
        <v>74</v>
      </c>
      <c r="G184" s="195" t="s">
        <v>149</v>
      </c>
      <c r="J184" s="441">
        <f t="shared" ref="J184:S184" si="67">IF(J$38 = "", J147, J147 * J$38)</f>
        <v>-1</v>
      </c>
      <c r="K184" s="441">
        <f t="shared" si="67"/>
        <v>-1</v>
      </c>
      <c r="L184" s="441">
        <f t="shared" si="67"/>
        <v>-1</v>
      </c>
      <c r="M184" s="441">
        <f t="shared" si="67"/>
        <v>-1</v>
      </c>
      <c r="N184" s="441">
        <f t="shared" si="67"/>
        <v>-1</v>
      </c>
      <c r="O184" s="441">
        <f t="shared" si="67"/>
        <v>-1</v>
      </c>
      <c r="P184" s="441">
        <f t="shared" si="67"/>
        <v>0</v>
      </c>
      <c r="Q184" s="441">
        <f t="shared" si="67"/>
        <v>0</v>
      </c>
      <c r="R184" s="441">
        <f t="shared" si="67"/>
        <v>0</v>
      </c>
      <c r="S184" s="441">
        <f t="shared" si="67"/>
        <v>0</v>
      </c>
      <c r="T184" s="403"/>
      <c r="U184" s="403"/>
    </row>
    <row r="185" spans="3:23" s="88" customFormat="1" x14ac:dyDescent="0.25">
      <c r="F185" s="167" t="s">
        <v>75</v>
      </c>
      <c r="G185" s="195" t="s">
        <v>149</v>
      </c>
      <c r="J185" s="441">
        <f t="shared" ref="J185:S185" si="68">IF(J$38 = "", J148, J148 * J$38)</f>
        <v>-1</v>
      </c>
      <c r="K185" s="441">
        <f t="shared" si="68"/>
        <v>-1</v>
      </c>
      <c r="L185" s="441">
        <f t="shared" si="68"/>
        <v>-1</v>
      </c>
      <c r="M185" s="441">
        <f t="shared" si="68"/>
        <v>-1</v>
      </c>
      <c r="N185" s="441">
        <f t="shared" si="68"/>
        <v>-1</v>
      </c>
      <c r="O185" s="441">
        <f t="shared" si="68"/>
        <v>-1</v>
      </c>
      <c r="P185" s="441">
        <f t="shared" si="68"/>
        <v>0</v>
      </c>
      <c r="Q185" s="441">
        <f t="shared" si="68"/>
        <v>0</v>
      </c>
      <c r="R185" s="441">
        <f t="shared" si="68"/>
        <v>0</v>
      </c>
      <c r="S185" s="441">
        <f t="shared" si="68"/>
        <v>0</v>
      </c>
      <c r="T185" s="403"/>
      <c r="U185" s="403"/>
    </row>
    <row r="186" spans="3:23" s="88" customFormat="1" x14ac:dyDescent="0.25">
      <c r="F186" s="167" t="s">
        <v>76</v>
      </c>
      <c r="G186" s="195" t="s">
        <v>149</v>
      </c>
      <c r="J186" s="441">
        <f t="shared" ref="J186:S186" si="69">IF(J$38 = "", J149, J149 * J$38)</f>
        <v>-1</v>
      </c>
      <c r="K186" s="441">
        <f t="shared" si="69"/>
        <v>-1</v>
      </c>
      <c r="L186" s="441">
        <f t="shared" si="69"/>
        <v>-1</v>
      </c>
      <c r="M186" s="441">
        <f t="shared" si="69"/>
        <v>-1</v>
      </c>
      <c r="N186" s="441">
        <f t="shared" si="69"/>
        <v>-1</v>
      </c>
      <c r="O186" s="441">
        <f t="shared" si="69"/>
        <v>-1</v>
      </c>
      <c r="P186" s="441">
        <f t="shared" si="69"/>
        <v>0</v>
      </c>
      <c r="Q186" s="441">
        <f t="shared" si="69"/>
        <v>0</v>
      </c>
      <c r="R186" s="441">
        <f t="shared" si="69"/>
        <v>0</v>
      </c>
      <c r="S186" s="441">
        <f t="shared" si="69"/>
        <v>0</v>
      </c>
      <c r="T186" s="403"/>
      <c r="U186" s="403"/>
    </row>
    <row r="187" spans="3:23" s="88" customFormat="1" x14ac:dyDescent="0.25">
      <c r="F187" s="168" t="s">
        <v>77</v>
      </c>
      <c r="G187" s="77" t="s">
        <v>149</v>
      </c>
      <c r="H187" s="16"/>
      <c r="I187" s="16"/>
      <c r="J187" s="432">
        <f t="shared" ref="J187:S187" si="70">IF(J$38 = "", J150, J150 * J$38)</f>
        <v>-1</v>
      </c>
      <c r="K187" s="432">
        <f t="shared" si="70"/>
        <v>-1</v>
      </c>
      <c r="L187" s="432">
        <f t="shared" si="70"/>
        <v>-1</v>
      </c>
      <c r="M187" s="432">
        <f t="shared" si="70"/>
        <v>-1</v>
      </c>
      <c r="N187" s="432">
        <f t="shared" si="70"/>
        <v>-1</v>
      </c>
      <c r="O187" s="432">
        <f t="shared" si="70"/>
        <v>-1</v>
      </c>
      <c r="P187" s="432">
        <f t="shared" si="70"/>
        <v>0</v>
      </c>
      <c r="Q187" s="432">
        <f t="shared" si="70"/>
        <v>0</v>
      </c>
      <c r="R187" s="432">
        <f t="shared" si="70"/>
        <v>0</v>
      </c>
      <c r="S187" s="432">
        <f t="shared" si="70"/>
        <v>0</v>
      </c>
      <c r="T187" s="404"/>
      <c r="U187" s="404"/>
    </row>
    <row r="188" spans="3:23" s="88" customFormat="1" x14ac:dyDescent="0.25">
      <c r="E188" s="160"/>
      <c r="G188" s="194"/>
      <c r="J188" s="416"/>
      <c r="K188" s="416"/>
      <c r="L188" s="416"/>
      <c r="M188" s="416"/>
      <c r="N188" s="416"/>
      <c r="O188" s="416"/>
      <c r="P188" s="416"/>
      <c r="Q188" s="416"/>
      <c r="R188" s="416"/>
      <c r="S188" s="416"/>
      <c r="T188" s="416"/>
      <c r="U188" s="416"/>
    </row>
    <row r="189" spans="3:23" s="338" customFormat="1" x14ac:dyDescent="0.25">
      <c r="C189" s="22" t="str">
        <f ca="1">INDEX('Version control'!$H$34:$H$59,MATCH($A$1,'Version control'!$F$34:$F$59,0),1)&amp;"-E: User loss factors"</f>
        <v>Section 505-E: User loss factors</v>
      </c>
      <c r="D189" s="22"/>
      <c r="E189" s="22"/>
      <c r="F189" s="22"/>
      <c r="G189" s="22"/>
      <c r="H189" s="22"/>
      <c r="I189" s="22"/>
      <c r="J189" s="406"/>
      <c r="K189" s="406"/>
      <c r="L189" s="406"/>
      <c r="M189" s="406"/>
      <c r="N189" s="406"/>
      <c r="O189" s="406"/>
      <c r="P189" s="406"/>
      <c r="Q189" s="406"/>
      <c r="R189" s="406"/>
      <c r="S189" s="406"/>
      <c r="T189" s="406"/>
      <c r="U189" s="406"/>
      <c r="V189" s="22"/>
      <c r="W189" s="22"/>
    </row>
    <row r="190" spans="3:23" s="338" customFormat="1" x14ac:dyDescent="0.25">
      <c r="H190" s="163"/>
      <c r="I190" s="163"/>
      <c r="J190" s="442"/>
      <c r="K190" s="442"/>
      <c r="L190" s="442"/>
      <c r="M190" s="442"/>
      <c r="N190" s="442"/>
      <c r="O190" s="442"/>
      <c r="P190" s="442"/>
      <c r="Q190" s="442"/>
      <c r="R190" s="442"/>
      <c r="S190" s="442"/>
      <c r="T190" s="442"/>
      <c r="U190" s="442"/>
      <c r="W190" s="163"/>
    </row>
    <row r="191" spans="3:23" x14ac:dyDescent="0.25">
      <c r="E191" s="36" t="s">
        <v>495</v>
      </c>
      <c r="F191" s="160"/>
      <c r="G191" s="194"/>
      <c r="J191" s="416"/>
      <c r="K191" s="416"/>
      <c r="L191" s="416"/>
      <c r="M191" s="416"/>
      <c r="N191" s="416"/>
      <c r="O191" s="416"/>
      <c r="P191" s="416"/>
      <c r="Q191" s="416"/>
      <c r="R191" s="416"/>
      <c r="S191" s="416"/>
      <c r="T191" s="416"/>
      <c r="U191" s="416"/>
      <c r="W191" s="163"/>
    </row>
    <row r="192" spans="3:23" x14ac:dyDescent="0.25">
      <c r="E192" s="65" t="s">
        <v>531</v>
      </c>
      <c r="F192" s="160"/>
      <c r="G192" s="194"/>
      <c r="J192" s="416"/>
      <c r="K192" s="416"/>
      <c r="L192" s="416"/>
      <c r="M192" s="416"/>
      <c r="N192" s="416"/>
      <c r="O192" s="416"/>
      <c r="P192" s="416"/>
      <c r="Q192" s="416"/>
      <c r="R192" s="416"/>
      <c r="S192" s="416"/>
      <c r="T192" s="416"/>
      <c r="U192" s="416"/>
    </row>
    <row r="193" spans="5:23" s="160" customFormat="1" x14ac:dyDescent="0.25">
      <c r="E193" s="152" t="s">
        <v>532</v>
      </c>
      <c r="G193" s="194"/>
      <c r="H193" s="86" t="s">
        <v>343</v>
      </c>
      <c r="J193" s="416"/>
      <c r="K193" s="416"/>
      <c r="L193" s="416"/>
      <c r="M193" s="416"/>
      <c r="N193" s="416"/>
      <c r="O193" s="416"/>
      <c r="P193" s="416"/>
      <c r="Q193" s="416"/>
      <c r="R193" s="416"/>
      <c r="S193" s="416"/>
      <c r="T193" s="416"/>
      <c r="U193" s="416"/>
    </row>
    <row r="194" spans="5:23" x14ac:dyDescent="0.25">
      <c r="E194" s="21"/>
      <c r="F194" s="40" t="s">
        <v>52</v>
      </c>
      <c r="G194" s="85" t="s">
        <v>636</v>
      </c>
      <c r="H194" s="431">
        <f t="shared" ref="H194:H226" si="71">MAX(J194:S194)</f>
        <v>1.089</v>
      </c>
      <c r="I194" s="13"/>
      <c r="J194" s="431">
        <f>OR(SUM(J82:$S82) = 1, SUM(J82:$S82) = -1) * J$29</f>
        <v>0</v>
      </c>
      <c r="K194" s="431">
        <f>OR(SUM(K82:$S82) = 1, SUM(K82:$S82) = -1) * K$29</f>
        <v>0</v>
      </c>
      <c r="L194" s="431">
        <f>OR(SUM(L82:$S82) = 1, SUM(L82:$S82) = -1) * L$29</f>
        <v>0</v>
      </c>
      <c r="M194" s="431">
        <f>OR(SUM(M82:$S82) = 1, SUM(M82:$S82) = -1) * M$29</f>
        <v>0</v>
      </c>
      <c r="N194" s="431">
        <f>OR(SUM(N82:$S82) = 1, SUM(N82:$S82) = -1) * N$29</f>
        <v>0</v>
      </c>
      <c r="O194" s="431">
        <f>OR(SUM(O82:$S82) = 1, SUM(O82:$S82) = -1) * O$29</f>
        <v>0</v>
      </c>
      <c r="P194" s="431">
        <f>OR(SUM(P82:$S82) = 1, SUM(P82:$S82) = -1) * P$29</f>
        <v>0</v>
      </c>
      <c r="Q194" s="431">
        <f>OR(SUM(Q82:$S82) = 1, SUM(Q82:$S82) = -1) * Q$29</f>
        <v>0</v>
      </c>
      <c r="R194" s="431">
        <f>OR(SUM(R82:$S82) = 1, SUM(R82:$S82) = -1) * R$29</f>
        <v>0</v>
      </c>
      <c r="S194" s="431">
        <f>OR(SUM(S82:$S82) = 1, SUM(S82:$S82) = -1) * S$29</f>
        <v>1.089</v>
      </c>
      <c r="T194" s="402"/>
      <c r="U194" s="402"/>
      <c r="W194" s="8"/>
    </row>
    <row r="195" spans="5:23" x14ac:dyDescent="0.25">
      <c r="E195" s="21"/>
      <c r="F195" s="145" t="s">
        <v>53</v>
      </c>
      <c r="G195" s="195" t="s">
        <v>636</v>
      </c>
      <c r="H195" s="441">
        <f t="shared" si="71"/>
        <v>1.089</v>
      </c>
      <c r="J195" s="441">
        <f>OR(SUM(J83:$S83) = 1, SUM(J83:$S83) = -1) * J$29</f>
        <v>0</v>
      </c>
      <c r="K195" s="441">
        <f>OR(SUM(K83:$S83) = 1, SUM(K83:$S83) = -1) * K$29</f>
        <v>0</v>
      </c>
      <c r="L195" s="441">
        <f>OR(SUM(L83:$S83) = 1, SUM(L83:$S83) = -1) * L$29</f>
        <v>0</v>
      </c>
      <c r="M195" s="441">
        <f>OR(SUM(M83:$S83) = 1, SUM(M83:$S83) = -1) * M$29</f>
        <v>0</v>
      </c>
      <c r="N195" s="441">
        <f>OR(SUM(N83:$S83) = 1, SUM(N83:$S83) = -1) * N$29</f>
        <v>0</v>
      </c>
      <c r="O195" s="441">
        <f>OR(SUM(O83:$S83) = 1, SUM(O83:$S83) = -1) * O$29</f>
        <v>0</v>
      </c>
      <c r="P195" s="441">
        <f>OR(SUM(P83:$S83) = 1, SUM(P83:$S83) = -1) * P$29</f>
        <v>0</v>
      </c>
      <c r="Q195" s="441">
        <f>OR(SUM(Q83:$S83) = 1, SUM(Q83:$S83) = -1) * Q$29</f>
        <v>0</v>
      </c>
      <c r="R195" s="441">
        <f>OR(SUM(R83:$S83) = 1, SUM(R83:$S83) = -1) * R$29</f>
        <v>0</v>
      </c>
      <c r="S195" s="441">
        <f>OR(SUM(S83:$S83) = 1, SUM(S83:$S83) = -1) * S$29</f>
        <v>1.089</v>
      </c>
      <c r="T195" s="403"/>
      <c r="U195" s="403"/>
      <c r="W195" s="8"/>
    </row>
    <row r="196" spans="5:23" x14ac:dyDescent="0.25">
      <c r="E196" s="21"/>
      <c r="F196" s="145" t="s">
        <v>84</v>
      </c>
      <c r="G196" s="195" t="s">
        <v>636</v>
      </c>
      <c r="H196" s="441">
        <f t="shared" si="71"/>
        <v>1.089</v>
      </c>
      <c r="J196" s="441">
        <f>OR(SUM(J84:$S84) = 1, SUM(J84:$S84) = -1) * J$29</f>
        <v>0</v>
      </c>
      <c r="K196" s="441">
        <f>OR(SUM(K84:$S84) = 1, SUM(K84:$S84) = -1) * K$29</f>
        <v>0</v>
      </c>
      <c r="L196" s="441">
        <f>OR(SUM(L84:$S84) = 1, SUM(L84:$S84) = -1) * L$29</f>
        <v>0</v>
      </c>
      <c r="M196" s="441">
        <f>OR(SUM(M84:$S84) = 1, SUM(M84:$S84) = -1) * M$29</f>
        <v>0</v>
      </c>
      <c r="N196" s="441">
        <f>OR(SUM(N84:$S84) = 1, SUM(N84:$S84) = -1) * N$29</f>
        <v>0</v>
      </c>
      <c r="O196" s="441">
        <f>OR(SUM(O84:$S84) = 1, SUM(O84:$S84) = -1) * O$29</f>
        <v>0</v>
      </c>
      <c r="P196" s="441">
        <f>OR(SUM(P84:$S84) = 1, SUM(P84:$S84) = -1) * P$29</f>
        <v>0</v>
      </c>
      <c r="Q196" s="441">
        <f>OR(SUM(Q84:$S84) = 1, SUM(Q84:$S84) = -1) * Q$29</f>
        <v>0</v>
      </c>
      <c r="R196" s="441">
        <f>OR(SUM(R84:$S84) = 1, SUM(R84:$S84) = -1) * R$29</f>
        <v>0</v>
      </c>
      <c r="S196" s="441">
        <f>OR(SUM(S84:$S84) = 1, SUM(S84:$S84) = -1) * S$29</f>
        <v>1.089</v>
      </c>
      <c r="T196" s="403"/>
      <c r="U196" s="403"/>
      <c r="W196" s="8"/>
    </row>
    <row r="197" spans="5:23" x14ac:dyDescent="0.25">
      <c r="E197" s="21"/>
      <c r="F197" s="145" t="s">
        <v>54</v>
      </c>
      <c r="G197" s="195" t="s">
        <v>636</v>
      </c>
      <c r="H197" s="441">
        <f t="shared" si="71"/>
        <v>1.089</v>
      </c>
      <c r="J197" s="441">
        <f>OR(SUM(J85:$S85) = 1, SUM(J85:$S85) = -1) * J$29</f>
        <v>0</v>
      </c>
      <c r="K197" s="441">
        <f>OR(SUM(K85:$S85) = 1, SUM(K85:$S85) = -1) * K$29</f>
        <v>0</v>
      </c>
      <c r="L197" s="441">
        <f>OR(SUM(L85:$S85) = 1, SUM(L85:$S85) = -1) * L$29</f>
        <v>0</v>
      </c>
      <c r="M197" s="441">
        <f>OR(SUM(M85:$S85) = 1, SUM(M85:$S85) = -1) * M$29</f>
        <v>0</v>
      </c>
      <c r="N197" s="441">
        <f>OR(SUM(N85:$S85) = 1, SUM(N85:$S85) = -1) * N$29</f>
        <v>0</v>
      </c>
      <c r="O197" s="441">
        <f>OR(SUM(O85:$S85) = 1, SUM(O85:$S85) = -1) * O$29</f>
        <v>0</v>
      </c>
      <c r="P197" s="441">
        <f>OR(SUM(P85:$S85) = 1, SUM(P85:$S85) = -1) * P$29</f>
        <v>0</v>
      </c>
      <c r="Q197" s="441">
        <f>OR(SUM(Q85:$S85) = 1, SUM(Q85:$S85) = -1) * Q$29</f>
        <v>0</v>
      </c>
      <c r="R197" s="441">
        <f>OR(SUM(R85:$S85) = 1, SUM(R85:$S85) = -1) * R$29</f>
        <v>0</v>
      </c>
      <c r="S197" s="441">
        <f>OR(SUM(S85:$S85) = 1, SUM(S85:$S85) = -1) * S$29</f>
        <v>1.089</v>
      </c>
      <c r="T197" s="403"/>
      <c r="U197" s="403"/>
    </row>
    <row r="198" spans="5:23" x14ac:dyDescent="0.25">
      <c r="E198" s="21"/>
      <c r="F198" s="145" t="s">
        <v>55</v>
      </c>
      <c r="G198" s="195" t="s">
        <v>636</v>
      </c>
      <c r="H198" s="441">
        <f t="shared" si="71"/>
        <v>1.089</v>
      </c>
      <c r="J198" s="441">
        <f>OR(SUM(J86:$S86) = 1, SUM(J86:$S86) = -1) * J$29</f>
        <v>0</v>
      </c>
      <c r="K198" s="441">
        <f>OR(SUM(K86:$S86) = 1, SUM(K86:$S86) = -1) * K$29</f>
        <v>0</v>
      </c>
      <c r="L198" s="441">
        <f>OR(SUM(L86:$S86) = 1, SUM(L86:$S86) = -1) * L$29</f>
        <v>0</v>
      </c>
      <c r="M198" s="441">
        <f>OR(SUM(M86:$S86) = 1, SUM(M86:$S86) = -1) * M$29</f>
        <v>0</v>
      </c>
      <c r="N198" s="441">
        <f>OR(SUM(N86:$S86) = 1, SUM(N86:$S86) = -1) * N$29</f>
        <v>0</v>
      </c>
      <c r="O198" s="441">
        <f>OR(SUM(O86:$S86) = 1, SUM(O86:$S86) = -1) * O$29</f>
        <v>0</v>
      </c>
      <c r="P198" s="441">
        <f>OR(SUM(P86:$S86) = 1, SUM(P86:$S86) = -1) * P$29</f>
        <v>0</v>
      </c>
      <c r="Q198" s="441">
        <f>OR(SUM(Q86:$S86) = 1, SUM(Q86:$S86) = -1) * Q$29</f>
        <v>0</v>
      </c>
      <c r="R198" s="441">
        <f>OR(SUM(R86:$S86) = 1, SUM(R86:$S86) = -1) * R$29</f>
        <v>0</v>
      </c>
      <c r="S198" s="441">
        <f>OR(SUM(S86:$S86) = 1, SUM(S86:$S86) = -1) * S$29</f>
        <v>1.089</v>
      </c>
      <c r="T198" s="403"/>
      <c r="U198" s="403"/>
    </row>
    <row r="199" spans="5:23" x14ac:dyDescent="0.25">
      <c r="E199" s="21"/>
      <c r="F199" s="145" t="s">
        <v>85</v>
      </c>
      <c r="G199" s="195" t="s">
        <v>636</v>
      </c>
      <c r="H199" s="441">
        <f t="shared" si="71"/>
        <v>1.089</v>
      </c>
      <c r="J199" s="441">
        <f>OR(SUM(J87:$S87) = 1, SUM(J87:$S87) = -1) * J$29</f>
        <v>0</v>
      </c>
      <c r="K199" s="441">
        <f>OR(SUM(K87:$S87) = 1, SUM(K87:$S87) = -1) * K$29</f>
        <v>0</v>
      </c>
      <c r="L199" s="441">
        <f>OR(SUM(L87:$S87) = 1, SUM(L87:$S87) = -1) * L$29</f>
        <v>0</v>
      </c>
      <c r="M199" s="441">
        <f>OR(SUM(M87:$S87) = 1, SUM(M87:$S87) = -1) * M$29</f>
        <v>0</v>
      </c>
      <c r="N199" s="441">
        <f>OR(SUM(N87:$S87) = 1, SUM(N87:$S87) = -1) * N$29</f>
        <v>0</v>
      </c>
      <c r="O199" s="441">
        <f>OR(SUM(O87:$S87) = 1, SUM(O87:$S87) = -1) * O$29</f>
        <v>0</v>
      </c>
      <c r="P199" s="441">
        <f>OR(SUM(P87:$S87) = 1, SUM(P87:$S87) = -1) * P$29</f>
        <v>0</v>
      </c>
      <c r="Q199" s="441">
        <f>OR(SUM(Q87:$S87) = 1, SUM(Q87:$S87) = -1) * Q$29</f>
        <v>0</v>
      </c>
      <c r="R199" s="441">
        <f>OR(SUM(R87:$S87) = 1, SUM(R87:$S87) = -1) * R$29</f>
        <v>0</v>
      </c>
      <c r="S199" s="441">
        <f>OR(SUM(S87:$S87) = 1, SUM(S87:$S87) = -1) * S$29</f>
        <v>1.089</v>
      </c>
      <c r="T199" s="403"/>
      <c r="U199" s="403"/>
    </row>
    <row r="200" spans="5:23" x14ac:dyDescent="0.25">
      <c r="E200" s="21"/>
      <c r="F200" s="145" t="s">
        <v>56</v>
      </c>
      <c r="G200" s="195" t="s">
        <v>636</v>
      </c>
      <c r="H200" s="441">
        <f t="shared" si="71"/>
        <v>1.089</v>
      </c>
      <c r="J200" s="441">
        <f>OR(SUM(J88:$S88) = 1, SUM(J88:$S88) = -1) * J$29</f>
        <v>0</v>
      </c>
      <c r="K200" s="441">
        <f>OR(SUM(K88:$S88) = 1, SUM(K88:$S88) = -1) * K$29</f>
        <v>0</v>
      </c>
      <c r="L200" s="441">
        <f>OR(SUM(L88:$S88) = 1, SUM(L88:$S88) = -1) * L$29</f>
        <v>0</v>
      </c>
      <c r="M200" s="441">
        <f>OR(SUM(M88:$S88) = 1, SUM(M88:$S88) = -1) * M$29</f>
        <v>0</v>
      </c>
      <c r="N200" s="441">
        <f>OR(SUM(N88:$S88) = 1, SUM(N88:$S88) = -1) * N$29</f>
        <v>0</v>
      </c>
      <c r="O200" s="441">
        <f>OR(SUM(O88:$S88) = 1, SUM(O88:$S88) = -1) * O$29</f>
        <v>0</v>
      </c>
      <c r="P200" s="441">
        <f>OR(SUM(P88:$S88) = 1, SUM(P88:$S88) = -1) * P$29</f>
        <v>0</v>
      </c>
      <c r="Q200" s="441">
        <f>OR(SUM(Q88:$S88) = 1, SUM(Q88:$S88) = -1) * Q$29</f>
        <v>0</v>
      </c>
      <c r="R200" s="441">
        <f>OR(SUM(R88:$S88) = 1, SUM(R88:$S88) = -1) * R$29</f>
        <v>0</v>
      </c>
      <c r="S200" s="441">
        <f>OR(SUM(S88:$S88) = 1, SUM(S88:$S88) = -1) * S$29</f>
        <v>1.089</v>
      </c>
      <c r="T200" s="403"/>
      <c r="U200" s="403"/>
    </row>
    <row r="201" spans="5:23" x14ac:dyDescent="0.25">
      <c r="E201" s="21"/>
      <c r="F201" s="145" t="s">
        <v>57</v>
      </c>
      <c r="G201" s="195" t="s">
        <v>636</v>
      </c>
      <c r="H201" s="441">
        <f t="shared" si="71"/>
        <v>1.046</v>
      </c>
      <c r="J201" s="441">
        <f>OR(SUM(J89:$S89) = 1, SUM(J89:$S89) = -1) * J$29</f>
        <v>0</v>
      </c>
      <c r="K201" s="441">
        <f>OR(SUM(K89:$S89) = 1, SUM(K89:$S89) = -1) * K$29</f>
        <v>0</v>
      </c>
      <c r="L201" s="441">
        <f>OR(SUM(L89:$S89) = 1, SUM(L89:$S89) = -1) * L$29</f>
        <v>0</v>
      </c>
      <c r="M201" s="441">
        <f>OR(SUM(M89:$S89) = 1, SUM(M89:$S89) = -1) * M$29</f>
        <v>0</v>
      </c>
      <c r="N201" s="441">
        <f>OR(SUM(N89:$S89) = 1, SUM(N89:$S89) = -1) * N$29</f>
        <v>0</v>
      </c>
      <c r="O201" s="441">
        <f>OR(SUM(O89:$S89) = 1, SUM(O89:$S89) = -1) * O$29</f>
        <v>0</v>
      </c>
      <c r="P201" s="441">
        <f>OR(SUM(P89:$S89) = 1, SUM(P89:$S89) = -1) * P$29</f>
        <v>0</v>
      </c>
      <c r="Q201" s="441">
        <f>OR(SUM(Q89:$S89) = 1, SUM(Q89:$S89) = -1) * Q$29</f>
        <v>0</v>
      </c>
      <c r="R201" s="441">
        <f>OR(SUM(R89:$S89) = 1, SUM(R89:$S89) = -1) * R$29</f>
        <v>1.046</v>
      </c>
      <c r="S201" s="441">
        <f>OR(SUM(S89:$S89) = 1, SUM(S89:$S89) = -1) * S$29</f>
        <v>0</v>
      </c>
      <c r="T201" s="403"/>
      <c r="U201" s="403"/>
    </row>
    <row r="202" spans="5:23" x14ac:dyDescent="0.25">
      <c r="E202" s="21"/>
      <c r="F202" s="145" t="s">
        <v>72</v>
      </c>
      <c r="G202" s="195" t="s">
        <v>636</v>
      </c>
      <c r="H202" s="441">
        <f t="shared" si="71"/>
        <v>1.0309999999999999</v>
      </c>
      <c r="J202" s="441">
        <f>OR(SUM(J90:$S90) = 1, SUM(J90:$S90) = -1) * J$29</f>
        <v>0</v>
      </c>
      <c r="K202" s="441">
        <f>OR(SUM(K90:$S90) = 1, SUM(K90:$S90) = -1) * K$29</f>
        <v>0</v>
      </c>
      <c r="L202" s="441">
        <f>OR(SUM(L90:$S90) = 1, SUM(L90:$S90) = -1) * L$29</f>
        <v>0</v>
      </c>
      <c r="M202" s="441">
        <f>OR(SUM(M90:$S90) = 1, SUM(M90:$S90) = -1) * M$29</f>
        <v>0</v>
      </c>
      <c r="N202" s="441">
        <f>OR(SUM(N90:$S90) = 1, SUM(N90:$S90) = -1) * N$29</f>
        <v>0</v>
      </c>
      <c r="O202" s="441">
        <f>OR(SUM(O90:$S90) = 1, SUM(O90:$S90) = -1) * O$29</f>
        <v>0</v>
      </c>
      <c r="P202" s="441">
        <f>OR(SUM(P90:$S90) = 1, SUM(P90:$S90) = -1) * P$29</f>
        <v>1.0209999999999999</v>
      </c>
      <c r="Q202" s="441">
        <f>OR(SUM(Q90:$S90) = 1, SUM(Q90:$S90) = -1) * Q$29</f>
        <v>1.0309999999999999</v>
      </c>
      <c r="R202" s="441">
        <f>OR(SUM(R90:$S90) = 1, SUM(R90:$S90) = -1) * R$29</f>
        <v>0</v>
      </c>
      <c r="S202" s="441">
        <f>OR(SUM(S90:$S90) = 1, SUM(S90:$S90) = -1) * S$29</f>
        <v>0</v>
      </c>
      <c r="T202" s="403"/>
      <c r="U202" s="403"/>
    </row>
    <row r="203" spans="5:23" x14ac:dyDescent="0.25">
      <c r="E203" s="21"/>
      <c r="F203" s="145" t="s">
        <v>58</v>
      </c>
      <c r="G203" s="195" t="s">
        <v>636</v>
      </c>
      <c r="H203" s="441">
        <f t="shared" si="71"/>
        <v>1.089</v>
      </c>
      <c r="J203" s="441">
        <f>OR(SUM(J91:$S91) = 1, SUM(J91:$S91) = -1) * J$29</f>
        <v>0</v>
      </c>
      <c r="K203" s="441">
        <f>OR(SUM(K91:$S91) = 1, SUM(K91:$S91) = -1) * K$29</f>
        <v>0</v>
      </c>
      <c r="L203" s="441">
        <f>OR(SUM(L91:$S91) = 1, SUM(L91:$S91) = -1) * L$29</f>
        <v>0</v>
      </c>
      <c r="M203" s="441">
        <f>OR(SUM(M91:$S91) = 1, SUM(M91:$S91) = -1) * M$29</f>
        <v>0</v>
      </c>
      <c r="N203" s="441">
        <f>OR(SUM(N91:$S91) = 1, SUM(N91:$S91) = -1) * N$29</f>
        <v>0</v>
      </c>
      <c r="O203" s="441">
        <f>OR(SUM(O91:$S91) = 1, SUM(O91:$S91) = -1) * O$29</f>
        <v>0</v>
      </c>
      <c r="P203" s="441">
        <f>OR(SUM(P91:$S91) = 1, SUM(P91:$S91) = -1) * P$29</f>
        <v>0</v>
      </c>
      <c r="Q203" s="441">
        <f>OR(SUM(Q91:$S91) = 1, SUM(Q91:$S91) = -1) * Q$29</f>
        <v>0</v>
      </c>
      <c r="R203" s="441">
        <f>OR(SUM(R91:$S91) = 1, SUM(R91:$S91) = -1) * R$29</f>
        <v>0</v>
      </c>
      <c r="S203" s="441">
        <f>OR(SUM(S91:$S91) = 1, SUM(S91:$S91) = -1) * S$29</f>
        <v>1.089</v>
      </c>
      <c r="T203" s="403"/>
      <c r="U203" s="403"/>
    </row>
    <row r="204" spans="5:23" x14ac:dyDescent="0.25">
      <c r="E204" s="21"/>
      <c r="F204" s="145" t="s">
        <v>59</v>
      </c>
      <c r="G204" s="195" t="s">
        <v>636</v>
      </c>
      <c r="H204" s="441">
        <f t="shared" si="71"/>
        <v>1.089</v>
      </c>
      <c r="J204" s="441">
        <f>OR(SUM(J92:$S92) = 1, SUM(J92:$S92) = -1) * J$29</f>
        <v>0</v>
      </c>
      <c r="K204" s="441">
        <f>OR(SUM(K92:$S92) = 1, SUM(K92:$S92) = -1) * K$29</f>
        <v>0</v>
      </c>
      <c r="L204" s="441">
        <f>OR(SUM(L92:$S92) = 1, SUM(L92:$S92) = -1) * L$29</f>
        <v>0</v>
      </c>
      <c r="M204" s="441">
        <f>OR(SUM(M92:$S92) = 1, SUM(M92:$S92) = -1) * M$29</f>
        <v>0</v>
      </c>
      <c r="N204" s="441">
        <f>OR(SUM(N92:$S92) = 1, SUM(N92:$S92) = -1) * N$29</f>
        <v>0</v>
      </c>
      <c r="O204" s="441">
        <f>OR(SUM(O92:$S92) = 1, SUM(O92:$S92) = -1) * O$29</f>
        <v>0</v>
      </c>
      <c r="P204" s="441">
        <f>OR(SUM(P92:$S92) = 1, SUM(P92:$S92) = -1) * P$29</f>
        <v>0</v>
      </c>
      <c r="Q204" s="441">
        <f>OR(SUM(Q92:$S92) = 1, SUM(Q92:$S92) = -1) * Q$29</f>
        <v>0</v>
      </c>
      <c r="R204" s="441">
        <f>OR(SUM(R92:$S92) = 1, SUM(R92:$S92) = -1) * R$29</f>
        <v>0</v>
      </c>
      <c r="S204" s="441">
        <f>OR(SUM(S92:$S92) = 1, SUM(S92:$S92) = -1) * S$29</f>
        <v>1.089</v>
      </c>
      <c r="T204" s="403"/>
      <c r="U204" s="403"/>
    </row>
    <row r="205" spans="5:23" x14ac:dyDescent="0.25">
      <c r="E205" s="21"/>
      <c r="F205" s="145" t="s">
        <v>60</v>
      </c>
      <c r="G205" s="195" t="s">
        <v>636</v>
      </c>
      <c r="H205" s="441">
        <f t="shared" si="71"/>
        <v>1.089</v>
      </c>
      <c r="J205" s="441">
        <f>OR(SUM(J93:$S93) = 1, SUM(J93:$S93) = -1) * J$29</f>
        <v>0</v>
      </c>
      <c r="K205" s="441">
        <f>OR(SUM(K93:$S93) = 1, SUM(K93:$S93) = -1) * K$29</f>
        <v>0</v>
      </c>
      <c r="L205" s="441">
        <f>OR(SUM(L93:$S93) = 1, SUM(L93:$S93) = -1) * L$29</f>
        <v>0</v>
      </c>
      <c r="M205" s="441">
        <f>OR(SUM(M93:$S93) = 1, SUM(M93:$S93) = -1) * M$29</f>
        <v>0</v>
      </c>
      <c r="N205" s="441">
        <f>OR(SUM(N93:$S93) = 1, SUM(N93:$S93) = -1) * N$29</f>
        <v>0</v>
      </c>
      <c r="O205" s="441">
        <f>OR(SUM(O93:$S93) = 1, SUM(O93:$S93) = -1) * O$29</f>
        <v>0</v>
      </c>
      <c r="P205" s="441">
        <f>OR(SUM(P93:$S93) = 1, SUM(P93:$S93) = -1) * P$29</f>
        <v>0</v>
      </c>
      <c r="Q205" s="441">
        <f>OR(SUM(Q93:$S93) = 1, SUM(Q93:$S93) = -1) * Q$29</f>
        <v>0</v>
      </c>
      <c r="R205" s="441">
        <f>OR(SUM(R93:$S93) = 1, SUM(R93:$S93) = -1) * R$29</f>
        <v>0</v>
      </c>
      <c r="S205" s="441">
        <f>OR(SUM(S93:$S93) = 1, SUM(S93:$S93) = -1) * S$29</f>
        <v>1.089</v>
      </c>
      <c r="T205" s="403"/>
      <c r="U205" s="403"/>
    </row>
    <row r="206" spans="5:23" x14ac:dyDescent="0.25">
      <c r="E206" s="21"/>
      <c r="F206" s="145" t="s">
        <v>61</v>
      </c>
      <c r="G206" s="195" t="s">
        <v>636</v>
      </c>
      <c r="H206" s="441">
        <f t="shared" si="71"/>
        <v>1.046</v>
      </c>
      <c r="J206" s="441">
        <f>OR(SUM(J94:$S94) = 1, SUM(J94:$S94) = -1) * J$29</f>
        <v>0</v>
      </c>
      <c r="K206" s="441">
        <f>OR(SUM(K94:$S94) = 1, SUM(K94:$S94) = -1) * K$29</f>
        <v>0</v>
      </c>
      <c r="L206" s="441">
        <f>OR(SUM(L94:$S94) = 1, SUM(L94:$S94) = -1) * L$29</f>
        <v>0</v>
      </c>
      <c r="M206" s="441">
        <f>OR(SUM(M94:$S94) = 1, SUM(M94:$S94) = -1) * M$29</f>
        <v>0</v>
      </c>
      <c r="N206" s="441">
        <f>OR(SUM(N94:$S94) = 1, SUM(N94:$S94) = -1) * N$29</f>
        <v>0</v>
      </c>
      <c r="O206" s="441">
        <f>OR(SUM(O94:$S94) = 1, SUM(O94:$S94) = -1) * O$29</f>
        <v>0</v>
      </c>
      <c r="P206" s="441">
        <f>OR(SUM(P94:$S94) = 1, SUM(P94:$S94) = -1) * P$29</f>
        <v>0</v>
      </c>
      <c r="Q206" s="441">
        <f>OR(SUM(Q94:$S94) = 1, SUM(Q94:$S94) = -1) * Q$29</f>
        <v>0</v>
      </c>
      <c r="R206" s="441">
        <f>OR(SUM(R94:$S94) = 1, SUM(R94:$S94) = -1) * R$29</f>
        <v>1.046</v>
      </c>
      <c r="S206" s="441">
        <f>OR(SUM(S94:$S94) = 1, SUM(S94:$S94) = -1) * S$29</f>
        <v>0</v>
      </c>
      <c r="T206" s="403"/>
      <c r="U206" s="403"/>
    </row>
    <row r="207" spans="5:23" x14ac:dyDescent="0.25">
      <c r="E207" s="21"/>
      <c r="F207" s="145" t="s">
        <v>73</v>
      </c>
      <c r="G207" s="195" t="s">
        <v>636</v>
      </c>
      <c r="H207" s="441">
        <f t="shared" si="71"/>
        <v>1.0309999999999999</v>
      </c>
      <c r="J207" s="441">
        <f>OR(SUM(J95:$S95) = 1, SUM(J95:$S95) = -1) * J$29</f>
        <v>0</v>
      </c>
      <c r="K207" s="441">
        <f>OR(SUM(K95:$S95) = 1, SUM(K95:$S95) = -1) * K$29</f>
        <v>0</v>
      </c>
      <c r="L207" s="441">
        <f>OR(SUM(L95:$S95) = 1, SUM(L95:$S95) = -1) * L$29</f>
        <v>0</v>
      </c>
      <c r="M207" s="441">
        <f>OR(SUM(M95:$S95) = 1, SUM(M95:$S95) = -1) * M$29</f>
        <v>0</v>
      </c>
      <c r="N207" s="441">
        <f>OR(SUM(N95:$S95) = 1, SUM(N95:$S95) = -1) * N$29</f>
        <v>0</v>
      </c>
      <c r="O207" s="441">
        <f>OR(SUM(O95:$S95) = 1, SUM(O95:$S95) = -1) * O$29</f>
        <v>0</v>
      </c>
      <c r="P207" s="441">
        <f>OR(SUM(P95:$S95) = 1, SUM(P95:$S95) = -1) * P$29</f>
        <v>1.0209999999999999</v>
      </c>
      <c r="Q207" s="441">
        <f>OR(SUM(Q95:$S95) = 1, SUM(Q95:$S95) = -1) * Q$29</f>
        <v>1.0309999999999999</v>
      </c>
      <c r="R207" s="441">
        <f>OR(SUM(R95:$S95) = 1, SUM(R95:$S95) = -1) * R$29</f>
        <v>0</v>
      </c>
      <c r="S207" s="441">
        <f>OR(SUM(S95:$S95) = 1, SUM(S95:$S95) = -1) * S$29</f>
        <v>0</v>
      </c>
      <c r="T207" s="403"/>
      <c r="U207" s="403"/>
    </row>
    <row r="208" spans="5:23" x14ac:dyDescent="0.25">
      <c r="E208" s="21"/>
      <c r="F208" s="145" t="s">
        <v>86</v>
      </c>
      <c r="G208" s="195" t="s">
        <v>636</v>
      </c>
      <c r="H208" s="441">
        <f t="shared" si="71"/>
        <v>1.089</v>
      </c>
      <c r="J208" s="441">
        <f>OR(SUM(J96:$S96) = 1, SUM(J96:$S96) = -1) * J$29</f>
        <v>0</v>
      </c>
      <c r="K208" s="441">
        <f>OR(SUM(K96:$S96) = 1, SUM(K96:$S96) = -1) * K$29</f>
        <v>0</v>
      </c>
      <c r="L208" s="441">
        <f>OR(SUM(L96:$S96) = 1, SUM(L96:$S96) = -1) * L$29</f>
        <v>0</v>
      </c>
      <c r="M208" s="441">
        <f>OR(SUM(M96:$S96) = 1, SUM(M96:$S96) = -1) * M$29</f>
        <v>0</v>
      </c>
      <c r="N208" s="441">
        <f>OR(SUM(N96:$S96) = 1, SUM(N96:$S96) = -1) * N$29</f>
        <v>0</v>
      </c>
      <c r="O208" s="441">
        <f>OR(SUM(O96:$S96) = 1, SUM(O96:$S96) = -1) * O$29</f>
        <v>0</v>
      </c>
      <c r="P208" s="441">
        <f>OR(SUM(P96:$S96) = 1, SUM(P96:$S96) = -1) * P$29</f>
        <v>0</v>
      </c>
      <c r="Q208" s="441">
        <f>OR(SUM(Q96:$S96) = 1, SUM(Q96:$S96) = -1) * Q$29</f>
        <v>0</v>
      </c>
      <c r="R208" s="441">
        <f>OR(SUM(R96:$S96) = 1, SUM(R96:$S96) = -1) * R$29</f>
        <v>0</v>
      </c>
      <c r="S208" s="441">
        <f>OR(SUM(S96:$S96) = 1, SUM(S96:$S96) = -1) * S$29</f>
        <v>1.089</v>
      </c>
      <c r="T208" s="403"/>
      <c r="U208" s="403"/>
    </row>
    <row r="209" spans="5:21" x14ac:dyDescent="0.25">
      <c r="E209" s="21"/>
      <c r="F209" s="145" t="s">
        <v>87</v>
      </c>
      <c r="G209" s="195" t="s">
        <v>636</v>
      </c>
      <c r="H209" s="441">
        <f t="shared" si="71"/>
        <v>1.089</v>
      </c>
      <c r="J209" s="441">
        <f>OR(SUM(J97:$S97) = 1, SUM(J97:$S97) = -1) * J$29</f>
        <v>0</v>
      </c>
      <c r="K209" s="441">
        <f>OR(SUM(K97:$S97) = 1, SUM(K97:$S97) = -1) * K$29</f>
        <v>0</v>
      </c>
      <c r="L209" s="441">
        <f>OR(SUM(L97:$S97) = 1, SUM(L97:$S97) = -1) * L$29</f>
        <v>0</v>
      </c>
      <c r="M209" s="441">
        <f>OR(SUM(M97:$S97) = 1, SUM(M97:$S97) = -1) * M$29</f>
        <v>0</v>
      </c>
      <c r="N209" s="441">
        <f>OR(SUM(N97:$S97) = 1, SUM(N97:$S97) = -1) * N$29</f>
        <v>0</v>
      </c>
      <c r="O209" s="441">
        <f>OR(SUM(O97:$S97) = 1, SUM(O97:$S97) = -1) * O$29</f>
        <v>0</v>
      </c>
      <c r="P209" s="441">
        <f>OR(SUM(P97:$S97) = 1, SUM(P97:$S97) = -1) * P$29</f>
        <v>0</v>
      </c>
      <c r="Q209" s="441">
        <f>OR(SUM(Q97:$S97) = 1, SUM(Q97:$S97) = -1) * Q$29</f>
        <v>0</v>
      </c>
      <c r="R209" s="441">
        <f>OR(SUM(R97:$S97) = 1, SUM(R97:$S97) = -1) * R$29</f>
        <v>0</v>
      </c>
      <c r="S209" s="441">
        <f>OR(SUM(S97:$S97) = 1, SUM(S97:$S97) = -1) * S$29</f>
        <v>1.089</v>
      </c>
      <c r="T209" s="403"/>
      <c r="U209" s="403"/>
    </row>
    <row r="210" spans="5:21" x14ac:dyDescent="0.25">
      <c r="E210" s="21"/>
      <c r="F210" s="145" t="s">
        <v>88</v>
      </c>
      <c r="G210" s="195" t="s">
        <v>636</v>
      </c>
      <c r="H210" s="441">
        <f t="shared" si="71"/>
        <v>1.089</v>
      </c>
      <c r="J210" s="441">
        <f>OR(SUM(J98:$S98) = 1, SUM(J98:$S98) = -1) * J$29</f>
        <v>0</v>
      </c>
      <c r="K210" s="441">
        <f>OR(SUM(K98:$S98) = 1, SUM(K98:$S98) = -1) * K$29</f>
        <v>0</v>
      </c>
      <c r="L210" s="441">
        <f>OR(SUM(L98:$S98) = 1, SUM(L98:$S98) = -1) * L$29</f>
        <v>0</v>
      </c>
      <c r="M210" s="441">
        <f>OR(SUM(M98:$S98) = 1, SUM(M98:$S98) = -1) * M$29</f>
        <v>0</v>
      </c>
      <c r="N210" s="441">
        <f>OR(SUM(N98:$S98) = 1, SUM(N98:$S98) = -1) * N$29</f>
        <v>0</v>
      </c>
      <c r="O210" s="441">
        <f>OR(SUM(O98:$S98) = 1, SUM(O98:$S98) = -1) * O$29</f>
        <v>0</v>
      </c>
      <c r="P210" s="441">
        <f>OR(SUM(P98:$S98) = 1, SUM(P98:$S98) = -1) * P$29</f>
        <v>0</v>
      </c>
      <c r="Q210" s="441">
        <f>OR(SUM(Q98:$S98) = 1, SUM(Q98:$S98) = -1) * Q$29</f>
        <v>0</v>
      </c>
      <c r="R210" s="441">
        <f>OR(SUM(R98:$S98) = 1, SUM(R98:$S98) = -1) * R$29</f>
        <v>0</v>
      </c>
      <c r="S210" s="441">
        <f>OR(SUM(S98:$S98) = 1, SUM(S98:$S98) = -1) * S$29</f>
        <v>1.089</v>
      </c>
      <c r="T210" s="403"/>
      <c r="U210" s="403"/>
    </row>
    <row r="211" spans="5:21" x14ac:dyDescent="0.25">
      <c r="E211" s="21"/>
      <c r="F211" s="145" t="s">
        <v>89</v>
      </c>
      <c r="G211" s="195" t="s">
        <v>636</v>
      </c>
      <c r="H211" s="441">
        <f t="shared" si="71"/>
        <v>1.089</v>
      </c>
      <c r="J211" s="441">
        <f>OR(SUM(J99:$S99) = 1, SUM(J99:$S99) = -1) * J$29</f>
        <v>0</v>
      </c>
      <c r="K211" s="441">
        <f>OR(SUM(K99:$S99) = 1, SUM(K99:$S99) = -1) * K$29</f>
        <v>0</v>
      </c>
      <c r="L211" s="441">
        <f>OR(SUM(L99:$S99) = 1, SUM(L99:$S99) = -1) * L$29</f>
        <v>0</v>
      </c>
      <c r="M211" s="441">
        <f>OR(SUM(M99:$S99) = 1, SUM(M99:$S99) = -1) * M$29</f>
        <v>0</v>
      </c>
      <c r="N211" s="441">
        <f>OR(SUM(N99:$S99) = 1, SUM(N99:$S99) = -1) * N$29</f>
        <v>0</v>
      </c>
      <c r="O211" s="441">
        <f>OR(SUM(O99:$S99) = 1, SUM(O99:$S99) = -1) * O$29</f>
        <v>0</v>
      </c>
      <c r="P211" s="441">
        <f>OR(SUM(P99:$S99) = 1, SUM(P99:$S99) = -1) * P$29</f>
        <v>0</v>
      </c>
      <c r="Q211" s="441">
        <f>OR(SUM(Q99:$S99) = 1, SUM(Q99:$S99) = -1) * Q$29</f>
        <v>0</v>
      </c>
      <c r="R211" s="441">
        <f>OR(SUM(R99:$S99) = 1, SUM(R99:$S99) = -1) * R$29</f>
        <v>0</v>
      </c>
      <c r="S211" s="441">
        <f>OR(SUM(S99:$S99) = 1, SUM(S99:$S99) = -1) * S$29</f>
        <v>1.089</v>
      </c>
      <c r="T211" s="403"/>
      <c r="U211" s="403"/>
    </row>
    <row r="212" spans="5:21" x14ac:dyDescent="0.25">
      <c r="E212" s="21"/>
      <c r="F212" s="145" t="s">
        <v>90</v>
      </c>
      <c r="G212" s="195" t="s">
        <v>636</v>
      </c>
      <c r="H212" s="441">
        <f t="shared" si="71"/>
        <v>1.089</v>
      </c>
      <c r="J212" s="441">
        <f>OR(SUM(J100:$S100) = 1, SUM(J100:$S100) = -1) * J$29</f>
        <v>0</v>
      </c>
      <c r="K212" s="441">
        <f>OR(SUM(K100:$S100) = 1, SUM(K100:$S100) = -1) * K$29</f>
        <v>0</v>
      </c>
      <c r="L212" s="441">
        <f>OR(SUM(L100:$S100) = 1, SUM(L100:$S100) = -1) * L$29</f>
        <v>0</v>
      </c>
      <c r="M212" s="441">
        <f>OR(SUM(M100:$S100) = 1, SUM(M100:$S100) = -1) * M$29</f>
        <v>0</v>
      </c>
      <c r="N212" s="441">
        <f>OR(SUM(N100:$S100) = 1, SUM(N100:$S100) = -1) * N$29</f>
        <v>0</v>
      </c>
      <c r="O212" s="441">
        <f>OR(SUM(O100:$S100) = 1, SUM(O100:$S100) = -1) * O$29</f>
        <v>0</v>
      </c>
      <c r="P212" s="441">
        <f>OR(SUM(P100:$S100) = 1, SUM(P100:$S100) = -1) * P$29</f>
        <v>0</v>
      </c>
      <c r="Q212" s="441">
        <f>OR(SUM(Q100:$S100) = 1, SUM(Q100:$S100) = -1) * Q$29</f>
        <v>0</v>
      </c>
      <c r="R212" s="441">
        <f>OR(SUM(R100:$S100) = 1, SUM(R100:$S100) = -1) * R$29</f>
        <v>0</v>
      </c>
      <c r="S212" s="441">
        <f>OR(SUM(S100:$S100) = 1, SUM(S100:$S100) = -1) * S$29</f>
        <v>1.089</v>
      </c>
      <c r="T212" s="403"/>
      <c r="U212" s="403"/>
    </row>
    <row r="213" spans="5:21" x14ac:dyDescent="0.25">
      <c r="E213" s="21"/>
      <c r="F213" s="145" t="s">
        <v>62</v>
      </c>
      <c r="G213" s="195" t="s">
        <v>636</v>
      </c>
      <c r="H213" s="441">
        <f t="shared" si="71"/>
        <v>1.089</v>
      </c>
      <c r="J213" s="441">
        <f>OR(SUM(J101:$S101) = 1, SUM(J101:$S101) = -1) * J$29</f>
        <v>0</v>
      </c>
      <c r="K213" s="441">
        <f>OR(SUM(K101:$S101) = 1, SUM(K101:$S101) = -1) * K$29</f>
        <v>0</v>
      </c>
      <c r="L213" s="441">
        <f>OR(SUM(L101:$S101) = 1, SUM(L101:$S101) = -1) * L$29</f>
        <v>0</v>
      </c>
      <c r="M213" s="441">
        <f>OR(SUM(M101:$S101) = 1, SUM(M101:$S101) = -1) * M$29</f>
        <v>0</v>
      </c>
      <c r="N213" s="441">
        <f>OR(SUM(N101:$S101) = 1, SUM(N101:$S101) = -1) * N$29</f>
        <v>0</v>
      </c>
      <c r="O213" s="441">
        <f>OR(SUM(O101:$S101) = 1, SUM(O101:$S101) = -1) * O$29</f>
        <v>0</v>
      </c>
      <c r="P213" s="441">
        <f>OR(SUM(P101:$S101) = 1, SUM(P101:$S101) = -1) * P$29</f>
        <v>0</v>
      </c>
      <c r="Q213" s="441">
        <f>OR(SUM(Q101:$S101) = 1, SUM(Q101:$S101) = -1) * Q$29</f>
        <v>0</v>
      </c>
      <c r="R213" s="441">
        <f>OR(SUM(R101:$S101) = 1, SUM(R101:$S101) = -1) * R$29</f>
        <v>0</v>
      </c>
      <c r="S213" s="441">
        <f>OR(SUM(S101:$S101) = 1, SUM(S101:$S101) = -1) * S$29</f>
        <v>1.089</v>
      </c>
      <c r="T213" s="403"/>
      <c r="U213" s="403"/>
    </row>
    <row r="214" spans="5:21" x14ac:dyDescent="0.25">
      <c r="E214" s="21"/>
      <c r="F214" s="145" t="s">
        <v>63</v>
      </c>
      <c r="G214" s="195" t="s">
        <v>636</v>
      </c>
      <c r="H214" s="441">
        <f t="shared" si="71"/>
        <v>1.046</v>
      </c>
      <c r="J214" s="441">
        <f>OR(SUM(J102:$S102) = 1, SUM(J102:$S102) = -1) * J$29</f>
        <v>0</v>
      </c>
      <c r="K214" s="441">
        <f>OR(SUM(K102:$S102) = 1, SUM(K102:$S102) = -1) * K$29</f>
        <v>0</v>
      </c>
      <c r="L214" s="441">
        <f>OR(SUM(L102:$S102) = 1, SUM(L102:$S102) = -1) * L$29</f>
        <v>0</v>
      </c>
      <c r="M214" s="441">
        <f>OR(SUM(M102:$S102) = 1, SUM(M102:$S102) = -1) * M$29</f>
        <v>0</v>
      </c>
      <c r="N214" s="441">
        <f>OR(SUM(N102:$S102) = 1, SUM(N102:$S102) = -1) * N$29</f>
        <v>0</v>
      </c>
      <c r="O214" s="441">
        <f>OR(SUM(O102:$S102) = 1, SUM(O102:$S102) = -1) * O$29</f>
        <v>0</v>
      </c>
      <c r="P214" s="441">
        <f>OR(SUM(P102:$S102) = 1, SUM(P102:$S102) = -1) * P$29</f>
        <v>0</v>
      </c>
      <c r="Q214" s="441">
        <f>OR(SUM(Q102:$S102) = 1, SUM(Q102:$S102) = -1) * Q$29</f>
        <v>0</v>
      </c>
      <c r="R214" s="441">
        <f>OR(SUM(R102:$S102) = 1, SUM(R102:$S102) = -1) * R$29</f>
        <v>1.046</v>
      </c>
      <c r="S214" s="441">
        <f>OR(SUM(S102:$S102) = 1, SUM(S102:$S102) = -1) * S$29</f>
        <v>0</v>
      </c>
      <c r="T214" s="403"/>
      <c r="U214" s="403"/>
    </row>
    <row r="215" spans="5:21" x14ac:dyDescent="0.25">
      <c r="E215" s="21"/>
      <c r="F215" s="145" t="s">
        <v>64</v>
      </c>
      <c r="G215" s="195" t="s">
        <v>636</v>
      </c>
      <c r="H215" s="441">
        <f t="shared" si="71"/>
        <v>1.089</v>
      </c>
      <c r="J215" s="441">
        <f>OR(SUM(J103:$S103) = 1, SUM(J103:$S103) = -1) * J$29</f>
        <v>0</v>
      </c>
      <c r="K215" s="441">
        <f>OR(SUM(K103:$S103) = 1, SUM(K103:$S103) = -1) * K$29</f>
        <v>0</v>
      </c>
      <c r="L215" s="441">
        <f>OR(SUM(L103:$S103) = 1, SUM(L103:$S103) = -1) * L$29</f>
        <v>0</v>
      </c>
      <c r="M215" s="441">
        <f>OR(SUM(M103:$S103) = 1, SUM(M103:$S103) = -1) * M$29</f>
        <v>0</v>
      </c>
      <c r="N215" s="441">
        <f>OR(SUM(N103:$S103) = 1, SUM(N103:$S103) = -1) * N$29</f>
        <v>0</v>
      </c>
      <c r="O215" s="441">
        <f>OR(SUM(O103:$S103) = 1, SUM(O103:$S103) = -1) * O$29</f>
        <v>0</v>
      </c>
      <c r="P215" s="441">
        <f>OR(SUM(P103:$S103) = 1, SUM(P103:$S103) = -1) * P$29</f>
        <v>0</v>
      </c>
      <c r="Q215" s="441">
        <f>OR(SUM(Q103:$S103) = 1, SUM(Q103:$S103) = -1) * Q$29</f>
        <v>0</v>
      </c>
      <c r="R215" s="441">
        <f>OR(SUM(R103:$S103) = 1, SUM(R103:$S103) = -1) * R$29</f>
        <v>0</v>
      </c>
      <c r="S215" s="441">
        <f>OR(SUM(S103:$S103) = 1, SUM(S103:$S103) = -1) * S$29</f>
        <v>1.089</v>
      </c>
      <c r="T215" s="403"/>
      <c r="U215" s="403"/>
    </row>
    <row r="216" spans="5:21" x14ac:dyDescent="0.25">
      <c r="E216" s="21"/>
      <c r="F216" s="145" t="s">
        <v>65</v>
      </c>
      <c r="G216" s="195" t="s">
        <v>636</v>
      </c>
      <c r="H216" s="441">
        <f t="shared" si="71"/>
        <v>1.089</v>
      </c>
      <c r="J216" s="441">
        <f>OR(SUM(J104:$S104) = 1, SUM(J104:$S104) = -1) * J$29</f>
        <v>0</v>
      </c>
      <c r="K216" s="441">
        <f>OR(SUM(K104:$S104) = 1, SUM(K104:$S104) = -1) * K$29</f>
        <v>0</v>
      </c>
      <c r="L216" s="441">
        <f>OR(SUM(L104:$S104) = 1, SUM(L104:$S104) = -1) * L$29</f>
        <v>0</v>
      </c>
      <c r="M216" s="441">
        <f>OR(SUM(M104:$S104) = 1, SUM(M104:$S104) = -1) * M$29</f>
        <v>0</v>
      </c>
      <c r="N216" s="441">
        <f>OR(SUM(N104:$S104) = 1, SUM(N104:$S104) = -1) * N$29</f>
        <v>0</v>
      </c>
      <c r="O216" s="441">
        <f>OR(SUM(O104:$S104) = 1, SUM(O104:$S104) = -1) * O$29</f>
        <v>0</v>
      </c>
      <c r="P216" s="441">
        <f>OR(SUM(P104:$S104) = 1, SUM(P104:$S104) = -1) * P$29</f>
        <v>0</v>
      </c>
      <c r="Q216" s="441">
        <f>OR(SUM(Q104:$S104) = 1, SUM(Q104:$S104) = -1) * Q$29</f>
        <v>0</v>
      </c>
      <c r="R216" s="441">
        <f>OR(SUM(R104:$S104) = 1, SUM(R104:$S104) = -1) * R$29</f>
        <v>0</v>
      </c>
      <c r="S216" s="441">
        <f>OR(SUM(S104:$S104) = 1, SUM(S104:$S104) = -1) * S$29</f>
        <v>1.089</v>
      </c>
      <c r="T216" s="403"/>
      <c r="U216" s="403"/>
    </row>
    <row r="217" spans="5:21" x14ac:dyDescent="0.25">
      <c r="E217" s="21"/>
      <c r="F217" s="145" t="s">
        <v>66</v>
      </c>
      <c r="G217" s="195" t="s">
        <v>636</v>
      </c>
      <c r="H217" s="441">
        <f t="shared" si="71"/>
        <v>1.089</v>
      </c>
      <c r="J217" s="441">
        <f>OR(SUM(J105:$S105) = 1, SUM(J105:$S105) = -1) * J$29</f>
        <v>0</v>
      </c>
      <c r="K217" s="441">
        <f>OR(SUM(K105:$S105) = 1, SUM(K105:$S105) = -1) * K$29</f>
        <v>0</v>
      </c>
      <c r="L217" s="441">
        <f>OR(SUM(L105:$S105) = 1, SUM(L105:$S105) = -1) * L$29</f>
        <v>0</v>
      </c>
      <c r="M217" s="441">
        <f>OR(SUM(M105:$S105) = 1, SUM(M105:$S105) = -1) * M$29</f>
        <v>0</v>
      </c>
      <c r="N217" s="441">
        <f>OR(SUM(N105:$S105) = 1, SUM(N105:$S105) = -1) * N$29</f>
        <v>0</v>
      </c>
      <c r="O217" s="441">
        <f>OR(SUM(O105:$S105) = 1, SUM(O105:$S105) = -1) * O$29</f>
        <v>0</v>
      </c>
      <c r="P217" s="441">
        <f>OR(SUM(P105:$S105) = 1, SUM(P105:$S105) = -1) * P$29</f>
        <v>0</v>
      </c>
      <c r="Q217" s="441">
        <f>OR(SUM(Q105:$S105) = 1, SUM(Q105:$S105) = -1) * Q$29</f>
        <v>0</v>
      </c>
      <c r="R217" s="441">
        <f>OR(SUM(R105:$S105) = 1, SUM(R105:$S105) = -1) * R$29</f>
        <v>0</v>
      </c>
      <c r="S217" s="441">
        <f>OR(SUM(S105:$S105) = 1, SUM(S105:$S105) = -1) * S$29</f>
        <v>1.089</v>
      </c>
      <c r="T217" s="403"/>
      <c r="U217" s="403"/>
    </row>
    <row r="218" spans="5:21" x14ac:dyDescent="0.25">
      <c r="E218" s="21"/>
      <c r="F218" s="145" t="s">
        <v>67</v>
      </c>
      <c r="G218" s="195" t="s">
        <v>636</v>
      </c>
      <c r="H218" s="441">
        <f t="shared" si="71"/>
        <v>1.089</v>
      </c>
      <c r="J218" s="441">
        <f>OR(SUM(J106:$S106) = 1, SUM(J106:$S106) = -1) * J$29</f>
        <v>0</v>
      </c>
      <c r="K218" s="441">
        <f>OR(SUM(K106:$S106) = 1, SUM(K106:$S106) = -1) * K$29</f>
        <v>0</v>
      </c>
      <c r="L218" s="441">
        <f>OR(SUM(L106:$S106) = 1, SUM(L106:$S106) = -1) * L$29</f>
        <v>0</v>
      </c>
      <c r="M218" s="441">
        <f>OR(SUM(M106:$S106) = 1, SUM(M106:$S106) = -1) * M$29</f>
        <v>0</v>
      </c>
      <c r="N218" s="441">
        <f>OR(SUM(N106:$S106) = 1, SUM(N106:$S106) = -1) * N$29</f>
        <v>0</v>
      </c>
      <c r="O218" s="441">
        <f>OR(SUM(O106:$S106) = 1, SUM(O106:$S106) = -1) * O$29</f>
        <v>0</v>
      </c>
      <c r="P218" s="441">
        <f>OR(SUM(P106:$S106) = 1, SUM(P106:$S106) = -1) * P$29</f>
        <v>0</v>
      </c>
      <c r="Q218" s="441">
        <f>OR(SUM(Q106:$S106) = 1, SUM(Q106:$S106) = -1) * Q$29</f>
        <v>0</v>
      </c>
      <c r="R218" s="441">
        <f>OR(SUM(R106:$S106) = 1, SUM(R106:$S106) = -1) * R$29</f>
        <v>0</v>
      </c>
      <c r="S218" s="441">
        <f>OR(SUM(S106:$S106) = 1, SUM(S106:$S106) = -1) * S$29</f>
        <v>1.089</v>
      </c>
      <c r="T218" s="403"/>
      <c r="U218" s="403"/>
    </row>
    <row r="219" spans="5:21" x14ac:dyDescent="0.25">
      <c r="E219" s="21"/>
      <c r="F219" s="145" t="s">
        <v>68</v>
      </c>
      <c r="G219" s="195" t="s">
        <v>636</v>
      </c>
      <c r="H219" s="441">
        <f t="shared" si="71"/>
        <v>1.046</v>
      </c>
      <c r="J219" s="441">
        <f>OR(SUM(J107:$S107) = 1, SUM(J107:$S107) = -1) * J$29</f>
        <v>0</v>
      </c>
      <c r="K219" s="441">
        <f>OR(SUM(K107:$S107) = 1, SUM(K107:$S107) = -1) * K$29</f>
        <v>0</v>
      </c>
      <c r="L219" s="441">
        <f>OR(SUM(L107:$S107) = 1, SUM(L107:$S107) = -1) * L$29</f>
        <v>0</v>
      </c>
      <c r="M219" s="441">
        <f>OR(SUM(M107:$S107) = 1, SUM(M107:$S107) = -1) * M$29</f>
        <v>0</v>
      </c>
      <c r="N219" s="441">
        <f>OR(SUM(N107:$S107) = 1, SUM(N107:$S107) = -1) * N$29</f>
        <v>0</v>
      </c>
      <c r="O219" s="441">
        <f>OR(SUM(O107:$S107) = 1, SUM(O107:$S107) = -1) * O$29</f>
        <v>0</v>
      </c>
      <c r="P219" s="441">
        <f>OR(SUM(P107:$S107) = 1, SUM(P107:$S107) = -1) * P$29</f>
        <v>0</v>
      </c>
      <c r="Q219" s="441">
        <f>OR(SUM(Q107:$S107) = 1, SUM(Q107:$S107) = -1) * Q$29</f>
        <v>0</v>
      </c>
      <c r="R219" s="441">
        <f>OR(SUM(R107:$S107) = 1, SUM(R107:$S107) = -1) * R$29</f>
        <v>1.046</v>
      </c>
      <c r="S219" s="441">
        <f>OR(SUM(S107:$S107) = 1, SUM(S107:$S107) = -1) * S$29</f>
        <v>0</v>
      </c>
      <c r="T219" s="403"/>
      <c r="U219" s="403"/>
    </row>
    <row r="220" spans="5:21" x14ac:dyDescent="0.25">
      <c r="E220" s="21"/>
      <c r="F220" s="145" t="s">
        <v>69</v>
      </c>
      <c r="G220" s="195" t="s">
        <v>636</v>
      </c>
      <c r="H220" s="441">
        <f t="shared" si="71"/>
        <v>1.046</v>
      </c>
      <c r="J220" s="441">
        <f>OR(SUM(J108:$S108) = 1, SUM(J108:$S108) = -1) * J$29</f>
        <v>0</v>
      </c>
      <c r="K220" s="441">
        <f>OR(SUM(K108:$S108) = 1, SUM(K108:$S108) = -1) * K$29</f>
        <v>0</v>
      </c>
      <c r="L220" s="441">
        <f>OR(SUM(L108:$S108) = 1, SUM(L108:$S108) = -1) * L$29</f>
        <v>0</v>
      </c>
      <c r="M220" s="441">
        <f>OR(SUM(M108:$S108) = 1, SUM(M108:$S108) = -1) * M$29</f>
        <v>0</v>
      </c>
      <c r="N220" s="441">
        <f>OR(SUM(N108:$S108) = 1, SUM(N108:$S108) = -1) * N$29</f>
        <v>0</v>
      </c>
      <c r="O220" s="441">
        <f>OR(SUM(O108:$S108) = 1, SUM(O108:$S108) = -1) * O$29</f>
        <v>0</v>
      </c>
      <c r="P220" s="441">
        <f>OR(SUM(P108:$S108) = 1, SUM(P108:$S108) = -1) * P$29</f>
        <v>0</v>
      </c>
      <c r="Q220" s="441">
        <f>OR(SUM(Q108:$S108) = 1, SUM(Q108:$S108) = -1) * Q$29</f>
        <v>0</v>
      </c>
      <c r="R220" s="441">
        <f>OR(SUM(R108:$S108) = 1, SUM(R108:$S108) = -1) * R$29</f>
        <v>1.046</v>
      </c>
      <c r="S220" s="441">
        <f>OR(SUM(S108:$S108) = 1, SUM(S108:$S108) = -1) * S$29</f>
        <v>0</v>
      </c>
      <c r="T220" s="403"/>
      <c r="U220" s="403"/>
    </row>
    <row r="221" spans="5:21" x14ac:dyDescent="0.25">
      <c r="E221" s="21"/>
      <c r="F221" s="145" t="s">
        <v>70</v>
      </c>
      <c r="G221" s="195" t="s">
        <v>636</v>
      </c>
      <c r="H221" s="441">
        <f t="shared" si="71"/>
        <v>1.046</v>
      </c>
      <c r="J221" s="441">
        <f>OR(SUM(J109:$S109) = 1, SUM(J109:$S109) = -1) * J$29</f>
        <v>0</v>
      </c>
      <c r="K221" s="441">
        <f>OR(SUM(K109:$S109) = 1, SUM(K109:$S109) = -1) * K$29</f>
        <v>0</v>
      </c>
      <c r="L221" s="441">
        <f>OR(SUM(L109:$S109) = 1, SUM(L109:$S109) = -1) * L$29</f>
        <v>0</v>
      </c>
      <c r="M221" s="441">
        <f>OR(SUM(M109:$S109) = 1, SUM(M109:$S109) = -1) * M$29</f>
        <v>0</v>
      </c>
      <c r="N221" s="441">
        <f>OR(SUM(N109:$S109) = 1, SUM(N109:$S109) = -1) * N$29</f>
        <v>0</v>
      </c>
      <c r="O221" s="441">
        <f>OR(SUM(O109:$S109) = 1, SUM(O109:$S109) = -1) * O$29</f>
        <v>0</v>
      </c>
      <c r="P221" s="441">
        <f>OR(SUM(P109:$S109) = 1, SUM(P109:$S109) = -1) * P$29</f>
        <v>0</v>
      </c>
      <c r="Q221" s="441">
        <f>OR(SUM(Q109:$S109) = 1, SUM(Q109:$S109) = -1) * Q$29</f>
        <v>0</v>
      </c>
      <c r="R221" s="441">
        <f>OR(SUM(R109:$S109) = 1, SUM(R109:$S109) = -1) * R$29</f>
        <v>1.046</v>
      </c>
      <c r="S221" s="441">
        <f>OR(SUM(S109:$S109) = 1, SUM(S109:$S109) = -1) * S$29</f>
        <v>0</v>
      </c>
      <c r="T221" s="403"/>
      <c r="U221" s="403"/>
    </row>
    <row r="222" spans="5:21" x14ac:dyDescent="0.25">
      <c r="E222" s="21"/>
      <c r="F222" s="145" t="s">
        <v>71</v>
      </c>
      <c r="G222" s="195" t="s">
        <v>636</v>
      </c>
      <c r="H222" s="441">
        <f t="shared" si="71"/>
        <v>1.046</v>
      </c>
      <c r="J222" s="441">
        <f>OR(SUM(J110:$S110) = 1, SUM(J110:$S110) = -1) * J$29</f>
        <v>0</v>
      </c>
      <c r="K222" s="441">
        <f>OR(SUM(K110:$S110) = 1, SUM(K110:$S110) = -1) * K$29</f>
        <v>0</v>
      </c>
      <c r="L222" s="441">
        <f>OR(SUM(L110:$S110) = 1, SUM(L110:$S110) = -1) * L$29</f>
        <v>0</v>
      </c>
      <c r="M222" s="441">
        <f>OR(SUM(M110:$S110) = 1, SUM(M110:$S110) = -1) * M$29</f>
        <v>0</v>
      </c>
      <c r="N222" s="441">
        <f>OR(SUM(N110:$S110) = 1, SUM(N110:$S110) = -1) * N$29</f>
        <v>0</v>
      </c>
      <c r="O222" s="441">
        <f>OR(SUM(O110:$S110) = 1, SUM(O110:$S110) = -1) * O$29</f>
        <v>0</v>
      </c>
      <c r="P222" s="441">
        <f>OR(SUM(P110:$S110) = 1, SUM(P110:$S110) = -1) * P$29</f>
        <v>0</v>
      </c>
      <c r="Q222" s="441">
        <f>OR(SUM(Q110:$S110) = 1, SUM(Q110:$S110) = -1) * Q$29</f>
        <v>0</v>
      </c>
      <c r="R222" s="441">
        <f>OR(SUM(R110:$S110) = 1, SUM(R110:$S110) = -1) * R$29</f>
        <v>1.046</v>
      </c>
      <c r="S222" s="441">
        <f>OR(SUM(S110:$S110) = 1, SUM(S110:$S110) = -1) * S$29</f>
        <v>0</v>
      </c>
      <c r="T222" s="403"/>
      <c r="U222" s="403"/>
    </row>
    <row r="223" spans="5:21" x14ac:dyDescent="0.25">
      <c r="E223" s="21"/>
      <c r="F223" s="145" t="s">
        <v>74</v>
      </c>
      <c r="G223" s="195" t="s">
        <v>636</v>
      </c>
      <c r="H223" s="441">
        <f t="shared" si="71"/>
        <v>1.0309999999999999</v>
      </c>
      <c r="J223" s="441">
        <f>OR(SUM(J111:$S111) = 1, SUM(J111:$S111) = -1) * J$29</f>
        <v>0</v>
      </c>
      <c r="K223" s="441">
        <f>OR(SUM(K111:$S111) = 1, SUM(K111:$S111) = -1) * K$29</f>
        <v>0</v>
      </c>
      <c r="L223" s="441">
        <f>OR(SUM(L111:$S111) = 1, SUM(L111:$S111) = -1) * L$29</f>
        <v>0</v>
      </c>
      <c r="M223" s="441">
        <f>OR(SUM(M111:$S111) = 1, SUM(M111:$S111) = -1) * M$29</f>
        <v>0</v>
      </c>
      <c r="N223" s="441">
        <f>OR(SUM(N111:$S111) = 1, SUM(N111:$S111) = -1) * N$29</f>
        <v>0</v>
      </c>
      <c r="O223" s="441">
        <f>OR(SUM(O111:$S111) = 1, SUM(O111:$S111) = -1) * O$29</f>
        <v>0</v>
      </c>
      <c r="P223" s="441">
        <f>OR(SUM(P111:$S111) = 1, SUM(P111:$S111) = -1) * P$29</f>
        <v>1.0209999999999999</v>
      </c>
      <c r="Q223" s="441">
        <f>OR(SUM(Q111:$S111) = 1, SUM(Q111:$S111) = -1) * Q$29</f>
        <v>1.0309999999999999</v>
      </c>
      <c r="R223" s="441">
        <f>OR(SUM(R111:$S111) = 1, SUM(R111:$S111) = -1) * R$29</f>
        <v>0</v>
      </c>
      <c r="S223" s="441">
        <f>OR(SUM(S111:$S111) = 1, SUM(S111:$S111) = -1) * S$29</f>
        <v>0</v>
      </c>
      <c r="T223" s="403"/>
      <c r="U223" s="403"/>
    </row>
    <row r="224" spans="5:21" x14ac:dyDescent="0.25">
      <c r="E224" s="21"/>
      <c r="F224" s="145" t="s">
        <v>75</v>
      </c>
      <c r="G224" s="195" t="s">
        <v>636</v>
      </c>
      <c r="H224" s="441">
        <f t="shared" si="71"/>
        <v>1.0309999999999999</v>
      </c>
      <c r="J224" s="441">
        <f>OR(SUM(J112:$S112) = 1, SUM(J112:$S112) = -1) * J$29</f>
        <v>0</v>
      </c>
      <c r="K224" s="441">
        <f>OR(SUM(K112:$S112) = 1, SUM(K112:$S112) = -1) * K$29</f>
        <v>0</v>
      </c>
      <c r="L224" s="441">
        <f>OR(SUM(L112:$S112) = 1, SUM(L112:$S112) = -1) * L$29</f>
        <v>0</v>
      </c>
      <c r="M224" s="441">
        <f>OR(SUM(M112:$S112) = 1, SUM(M112:$S112) = -1) * M$29</f>
        <v>0</v>
      </c>
      <c r="N224" s="441">
        <f>OR(SUM(N112:$S112) = 1, SUM(N112:$S112) = -1) * N$29</f>
        <v>0</v>
      </c>
      <c r="O224" s="441">
        <f>OR(SUM(O112:$S112) = 1, SUM(O112:$S112) = -1) * O$29</f>
        <v>0</v>
      </c>
      <c r="P224" s="441">
        <f>OR(SUM(P112:$S112) = 1, SUM(P112:$S112) = -1) * P$29</f>
        <v>1.0209999999999999</v>
      </c>
      <c r="Q224" s="441">
        <f>OR(SUM(Q112:$S112) = 1, SUM(Q112:$S112) = -1) * Q$29</f>
        <v>1.0309999999999999</v>
      </c>
      <c r="R224" s="441">
        <f>OR(SUM(R112:$S112) = 1, SUM(R112:$S112) = -1) * R$29</f>
        <v>0</v>
      </c>
      <c r="S224" s="441">
        <f>OR(SUM(S112:$S112) = 1, SUM(S112:$S112) = -1) * S$29</f>
        <v>0</v>
      </c>
      <c r="T224" s="403"/>
      <c r="U224" s="403"/>
    </row>
    <row r="225" spans="1:23" x14ac:dyDescent="0.25">
      <c r="E225" s="21"/>
      <c r="F225" s="145" t="s">
        <v>76</v>
      </c>
      <c r="G225" s="195" t="s">
        <v>636</v>
      </c>
      <c r="H225" s="441">
        <f t="shared" si="71"/>
        <v>1.0309999999999999</v>
      </c>
      <c r="J225" s="441">
        <f>OR(SUM(J113:$S113) = 1, SUM(J113:$S113) = -1) * J$29</f>
        <v>0</v>
      </c>
      <c r="K225" s="441">
        <f>OR(SUM(K113:$S113) = 1, SUM(K113:$S113) = -1) * K$29</f>
        <v>0</v>
      </c>
      <c r="L225" s="441">
        <f>OR(SUM(L113:$S113) = 1, SUM(L113:$S113) = -1) * L$29</f>
        <v>0</v>
      </c>
      <c r="M225" s="441">
        <f>OR(SUM(M113:$S113) = 1, SUM(M113:$S113) = -1) * M$29</f>
        <v>0</v>
      </c>
      <c r="N225" s="441">
        <f>OR(SUM(N113:$S113) = 1, SUM(N113:$S113) = -1) * N$29</f>
        <v>0</v>
      </c>
      <c r="O225" s="441">
        <f>OR(SUM(O113:$S113) = 1, SUM(O113:$S113) = -1) * O$29</f>
        <v>0</v>
      </c>
      <c r="P225" s="441">
        <f>OR(SUM(P113:$S113) = 1, SUM(P113:$S113) = -1) * P$29</f>
        <v>1.0209999999999999</v>
      </c>
      <c r="Q225" s="441">
        <f>OR(SUM(Q113:$S113) = 1, SUM(Q113:$S113) = -1) * Q$29</f>
        <v>1.0309999999999999</v>
      </c>
      <c r="R225" s="441">
        <f>OR(SUM(R113:$S113) = 1, SUM(R113:$S113) = -1) * R$29</f>
        <v>0</v>
      </c>
      <c r="S225" s="441">
        <f>OR(SUM(S113:$S113) = 1, SUM(S113:$S113) = -1) * S$29</f>
        <v>0</v>
      </c>
      <c r="T225" s="403"/>
      <c r="U225" s="403"/>
    </row>
    <row r="226" spans="1:23" x14ac:dyDescent="0.25">
      <c r="E226" s="21"/>
      <c r="F226" s="38" t="s">
        <v>77</v>
      </c>
      <c r="G226" s="77" t="s">
        <v>636</v>
      </c>
      <c r="H226" s="432">
        <f t="shared" si="71"/>
        <v>1.0309999999999999</v>
      </c>
      <c r="I226" s="16"/>
      <c r="J226" s="432">
        <f>OR(SUM(J114:$S114) = 1, SUM(J114:$S114) = -1) * J$29</f>
        <v>0</v>
      </c>
      <c r="K226" s="432">
        <f>OR(SUM(K114:$S114) = 1, SUM(K114:$S114) = -1) * K$29</f>
        <v>0</v>
      </c>
      <c r="L226" s="432">
        <f>OR(SUM(L114:$S114) = 1, SUM(L114:$S114) = -1) * L$29</f>
        <v>0</v>
      </c>
      <c r="M226" s="432">
        <f>OR(SUM(M114:$S114) = 1, SUM(M114:$S114) = -1) * M$29</f>
        <v>0</v>
      </c>
      <c r="N226" s="432">
        <f>OR(SUM(N114:$S114) = 1, SUM(N114:$S114) = -1) * N$29</f>
        <v>0</v>
      </c>
      <c r="O226" s="432">
        <f>OR(SUM(O114:$S114) = 1, SUM(O114:$S114) = -1) * O$29</f>
        <v>0</v>
      </c>
      <c r="P226" s="432">
        <f>OR(SUM(P114:$S114) = 1, SUM(P114:$S114) = -1) * P$29</f>
        <v>1.0209999999999999</v>
      </c>
      <c r="Q226" s="432">
        <f>OR(SUM(Q114:$S114) = 1, SUM(Q114:$S114) = -1) * Q$29</f>
        <v>1.0309999999999999</v>
      </c>
      <c r="R226" s="432">
        <f>OR(SUM(R114:$S114) = 1, SUM(R114:$S114) = -1) * R$29</f>
        <v>0</v>
      </c>
      <c r="S226" s="432">
        <f>OR(SUM(S114:$S114) = 1, SUM(S114:$S114) = -1) * S$29</f>
        <v>0</v>
      </c>
      <c r="T226" s="404"/>
      <c r="U226" s="404"/>
    </row>
    <row r="227" spans="1:23" x14ac:dyDescent="0.25">
      <c r="E227" s="21"/>
      <c r="F227" s="160"/>
      <c r="G227" s="194"/>
    </row>
    <row r="228" spans="1:23" x14ac:dyDescent="0.25">
      <c r="E228" s="36" t="s">
        <v>496</v>
      </c>
      <c r="F228" s="160"/>
      <c r="G228" s="194"/>
      <c r="I228" s="21" t="s">
        <v>525</v>
      </c>
      <c r="W228" s="8" t="s">
        <v>960</v>
      </c>
    </row>
    <row r="229" spans="1:23" s="160" customFormat="1" x14ac:dyDescent="0.25">
      <c r="E229" s="152" t="s">
        <v>487</v>
      </c>
      <c r="G229" s="194"/>
    </row>
    <row r="230" spans="1:23" x14ac:dyDescent="0.25">
      <c r="A230" s="88"/>
      <c r="E230" s="21"/>
      <c r="F230" s="40" t="s">
        <v>52</v>
      </c>
      <c r="G230" s="85" t="s">
        <v>636</v>
      </c>
      <c r="H230" s="18"/>
      <c r="I230" s="13"/>
      <c r="J230" s="418">
        <f>$H194 * J155</f>
        <v>1.089</v>
      </c>
      <c r="K230" s="418">
        <f t="shared" ref="K230:S230" si="72">$H194 * K155</f>
        <v>1.089</v>
      </c>
      <c r="L230" s="418">
        <f t="shared" si="72"/>
        <v>1.089</v>
      </c>
      <c r="M230" s="418">
        <f t="shared" si="72"/>
        <v>1.089</v>
      </c>
      <c r="N230" s="418">
        <f t="shared" si="72"/>
        <v>1.089</v>
      </c>
      <c r="O230" s="418">
        <f t="shared" si="72"/>
        <v>1.089</v>
      </c>
      <c r="P230" s="418">
        <f t="shared" si="72"/>
        <v>0</v>
      </c>
      <c r="Q230" s="418">
        <f t="shared" si="72"/>
        <v>1.089</v>
      </c>
      <c r="R230" s="418">
        <f t="shared" si="72"/>
        <v>1.089</v>
      </c>
      <c r="S230" s="418">
        <f t="shared" si="72"/>
        <v>1.089</v>
      </c>
      <c r="T230" s="402"/>
      <c r="U230" s="402"/>
    </row>
    <row r="231" spans="1:23" x14ac:dyDescent="0.25">
      <c r="A231" s="88"/>
      <c r="E231" s="21"/>
      <c r="F231" s="145" t="s">
        <v>53</v>
      </c>
      <c r="G231" s="195" t="s">
        <v>636</v>
      </c>
      <c r="H231" s="33"/>
      <c r="J231" s="420">
        <f t="shared" ref="J231:S231" si="73">$H195 * J156</f>
        <v>1.089</v>
      </c>
      <c r="K231" s="420">
        <f t="shared" si="73"/>
        <v>1.089</v>
      </c>
      <c r="L231" s="420">
        <f t="shared" si="73"/>
        <v>1.089</v>
      </c>
      <c r="M231" s="420">
        <f t="shared" si="73"/>
        <v>1.089</v>
      </c>
      <c r="N231" s="420">
        <f t="shared" si="73"/>
        <v>1.089</v>
      </c>
      <c r="O231" s="420">
        <f t="shared" si="73"/>
        <v>1.089</v>
      </c>
      <c r="P231" s="420">
        <f t="shared" si="73"/>
        <v>0</v>
      </c>
      <c r="Q231" s="420">
        <f t="shared" si="73"/>
        <v>1.089</v>
      </c>
      <c r="R231" s="420">
        <f t="shared" si="73"/>
        <v>1.089</v>
      </c>
      <c r="S231" s="420">
        <f t="shared" si="73"/>
        <v>1.089</v>
      </c>
      <c r="T231" s="403"/>
      <c r="U231" s="403"/>
      <c r="W231" s="8"/>
    </row>
    <row r="232" spans="1:23" x14ac:dyDescent="0.25">
      <c r="A232" s="88"/>
      <c r="E232" s="21"/>
      <c r="F232" s="145" t="s">
        <v>84</v>
      </c>
      <c r="G232" s="195" t="s">
        <v>636</v>
      </c>
      <c r="H232" s="33"/>
      <c r="J232" s="420">
        <f t="shared" ref="J232:S232" si="74">$H196 * J157</f>
        <v>1.089</v>
      </c>
      <c r="K232" s="420">
        <f t="shared" si="74"/>
        <v>1.089</v>
      </c>
      <c r="L232" s="420">
        <f t="shared" si="74"/>
        <v>1.089</v>
      </c>
      <c r="M232" s="420">
        <f t="shared" si="74"/>
        <v>1.089</v>
      </c>
      <c r="N232" s="420">
        <f t="shared" si="74"/>
        <v>1.089</v>
      </c>
      <c r="O232" s="420">
        <f t="shared" si="74"/>
        <v>1.089</v>
      </c>
      <c r="P232" s="420">
        <f t="shared" si="74"/>
        <v>0</v>
      </c>
      <c r="Q232" s="420">
        <f t="shared" si="74"/>
        <v>1.089</v>
      </c>
      <c r="R232" s="420">
        <f t="shared" si="74"/>
        <v>1.089</v>
      </c>
      <c r="S232" s="420">
        <f t="shared" si="74"/>
        <v>1.089</v>
      </c>
      <c r="T232" s="403"/>
      <c r="U232" s="403"/>
      <c r="W232" s="8"/>
    </row>
    <row r="233" spans="1:23" x14ac:dyDescent="0.25">
      <c r="A233" s="88"/>
      <c r="E233" s="21"/>
      <c r="F233" s="145" t="s">
        <v>54</v>
      </c>
      <c r="G233" s="195" t="s">
        <v>636</v>
      </c>
      <c r="H233" s="33"/>
      <c r="J233" s="420">
        <f t="shared" ref="J233:S233" si="75">$H197 * J158</f>
        <v>1.089</v>
      </c>
      <c r="K233" s="420">
        <f t="shared" si="75"/>
        <v>1.089</v>
      </c>
      <c r="L233" s="420">
        <f t="shared" si="75"/>
        <v>1.089</v>
      </c>
      <c r="M233" s="420">
        <f t="shared" si="75"/>
        <v>1.089</v>
      </c>
      <c r="N233" s="420">
        <f t="shared" si="75"/>
        <v>1.089</v>
      </c>
      <c r="O233" s="420">
        <f t="shared" si="75"/>
        <v>1.089</v>
      </c>
      <c r="P233" s="420">
        <f t="shared" si="75"/>
        <v>0</v>
      </c>
      <c r="Q233" s="420">
        <f t="shared" si="75"/>
        <v>1.089</v>
      </c>
      <c r="R233" s="420">
        <f t="shared" si="75"/>
        <v>1.089</v>
      </c>
      <c r="S233" s="420">
        <f t="shared" si="75"/>
        <v>1.089</v>
      </c>
      <c r="T233" s="403"/>
      <c r="U233" s="403"/>
    </row>
    <row r="234" spans="1:23" x14ac:dyDescent="0.25">
      <c r="A234" s="88"/>
      <c r="E234" s="21"/>
      <c r="F234" s="145" t="s">
        <v>55</v>
      </c>
      <c r="G234" s="195" t="s">
        <v>636</v>
      </c>
      <c r="H234" s="33"/>
      <c r="J234" s="420">
        <f t="shared" ref="J234:S234" si="76">$H198 * J159</f>
        <v>1.089</v>
      </c>
      <c r="K234" s="420">
        <f t="shared" si="76"/>
        <v>1.089</v>
      </c>
      <c r="L234" s="420">
        <f t="shared" si="76"/>
        <v>1.089</v>
      </c>
      <c r="M234" s="420">
        <f t="shared" si="76"/>
        <v>1.089</v>
      </c>
      <c r="N234" s="420">
        <f t="shared" si="76"/>
        <v>1.089</v>
      </c>
      <c r="O234" s="420">
        <f t="shared" si="76"/>
        <v>1.089</v>
      </c>
      <c r="P234" s="420">
        <f t="shared" si="76"/>
        <v>0</v>
      </c>
      <c r="Q234" s="420">
        <f t="shared" si="76"/>
        <v>1.089</v>
      </c>
      <c r="R234" s="420">
        <f t="shared" si="76"/>
        <v>1.089</v>
      </c>
      <c r="S234" s="420">
        <f t="shared" si="76"/>
        <v>1.089</v>
      </c>
      <c r="T234" s="403"/>
      <c r="U234" s="403"/>
    </row>
    <row r="235" spans="1:23" x14ac:dyDescent="0.25">
      <c r="A235" s="88"/>
      <c r="E235" s="21"/>
      <c r="F235" s="145" t="s">
        <v>85</v>
      </c>
      <c r="G235" s="195" t="s">
        <v>636</v>
      </c>
      <c r="H235" s="33"/>
      <c r="J235" s="420">
        <f t="shared" ref="J235:S235" si="77">$H199 * J160</f>
        <v>1.089</v>
      </c>
      <c r="K235" s="420">
        <f t="shared" si="77"/>
        <v>1.089</v>
      </c>
      <c r="L235" s="420">
        <f t="shared" si="77"/>
        <v>1.089</v>
      </c>
      <c r="M235" s="420">
        <f t="shared" si="77"/>
        <v>1.089</v>
      </c>
      <c r="N235" s="420">
        <f t="shared" si="77"/>
        <v>1.089</v>
      </c>
      <c r="O235" s="420">
        <f t="shared" si="77"/>
        <v>1.089</v>
      </c>
      <c r="P235" s="420">
        <f t="shared" si="77"/>
        <v>0</v>
      </c>
      <c r="Q235" s="420">
        <f t="shared" si="77"/>
        <v>1.089</v>
      </c>
      <c r="R235" s="420">
        <f t="shared" si="77"/>
        <v>1.089</v>
      </c>
      <c r="S235" s="420">
        <f t="shared" si="77"/>
        <v>1.089</v>
      </c>
      <c r="T235" s="403"/>
      <c r="U235" s="403"/>
    </row>
    <row r="236" spans="1:23" x14ac:dyDescent="0.25">
      <c r="A236" s="88"/>
      <c r="E236" s="21"/>
      <c r="F236" s="145" t="s">
        <v>56</v>
      </c>
      <c r="G236" s="195" t="s">
        <v>636</v>
      </c>
      <c r="H236" s="33"/>
      <c r="J236" s="420">
        <f t="shared" ref="J236:S236" si="78">$H200 * J161</f>
        <v>1.089</v>
      </c>
      <c r="K236" s="420">
        <f t="shared" si="78"/>
        <v>1.089</v>
      </c>
      <c r="L236" s="420">
        <f t="shared" si="78"/>
        <v>1.089</v>
      </c>
      <c r="M236" s="420">
        <f t="shared" si="78"/>
        <v>1.089</v>
      </c>
      <c r="N236" s="420">
        <f t="shared" si="78"/>
        <v>1.089</v>
      </c>
      <c r="O236" s="420">
        <f t="shared" si="78"/>
        <v>1.089</v>
      </c>
      <c r="P236" s="420">
        <f t="shared" si="78"/>
        <v>0</v>
      </c>
      <c r="Q236" s="420">
        <f t="shared" si="78"/>
        <v>1.089</v>
      </c>
      <c r="R236" s="420">
        <f t="shared" si="78"/>
        <v>1.089</v>
      </c>
      <c r="S236" s="420">
        <f t="shared" si="78"/>
        <v>1.089</v>
      </c>
      <c r="T236" s="403"/>
      <c r="U236" s="403"/>
    </row>
    <row r="237" spans="1:23" x14ac:dyDescent="0.25">
      <c r="A237" s="88"/>
      <c r="E237" s="21"/>
      <c r="F237" s="145" t="s">
        <v>57</v>
      </c>
      <c r="G237" s="195" t="s">
        <v>636</v>
      </c>
      <c r="H237" s="33"/>
      <c r="J237" s="420">
        <f t="shared" ref="J237:S237" si="79">$H201 * J162</f>
        <v>1.046</v>
      </c>
      <c r="K237" s="420">
        <f t="shared" si="79"/>
        <v>1.046</v>
      </c>
      <c r="L237" s="420">
        <f t="shared" si="79"/>
        <v>1.046</v>
      </c>
      <c r="M237" s="420">
        <f t="shared" si="79"/>
        <v>1.046</v>
      </c>
      <c r="N237" s="420">
        <f t="shared" si="79"/>
        <v>1.046</v>
      </c>
      <c r="O237" s="420">
        <f t="shared" si="79"/>
        <v>1.046</v>
      </c>
      <c r="P237" s="420">
        <f t="shared" si="79"/>
        <v>0</v>
      </c>
      <c r="Q237" s="420">
        <f t="shared" si="79"/>
        <v>1.046</v>
      </c>
      <c r="R237" s="420">
        <f t="shared" si="79"/>
        <v>1.046</v>
      </c>
      <c r="S237" s="420">
        <f t="shared" si="79"/>
        <v>0</v>
      </c>
      <c r="T237" s="403"/>
      <c r="U237" s="403"/>
    </row>
    <row r="238" spans="1:23" x14ac:dyDescent="0.25">
      <c r="A238" s="88"/>
      <c r="E238" s="21"/>
      <c r="F238" s="145" t="s">
        <v>72</v>
      </c>
      <c r="G238" s="195" t="s">
        <v>636</v>
      </c>
      <c r="H238" s="33"/>
      <c r="J238" s="420">
        <f t="shared" ref="J238:S238" si="80">$H202 * J163</f>
        <v>1.0309999999999999</v>
      </c>
      <c r="K238" s="420">
        <f t="shared" si="80"/>
        <v>1.0309999999999999</v>
      </c>
      <c r="L238" s="420">
        <f t="shared" si="80"/>
        <v>1.0309999999999999</v>
      </c>
      <c r="M238" s="420">
        <f t="shared" si="80"/>
        <v>1.0309999999999999</v>
      </c>
      <c r="N238" s="420">
        <f t="shared" si="80"/>
        <v>1.0309999999999999</v>
      </c>
      <c r="O238" s="420">
        <f t="shared" si="80"/>
        <v>1.0309999999999999</v>
      </c>
      <c r="P238" s="420">
        <f t="shared" si="80"/>
        <v>0</v>
      </c>
      <c r="Q238" s="420">
        <f t="shared" si="80"/>
        <v>1.0309999999999999</v>
      </c>
      <c r="R238" s="420">
        <f t="shared" si="80"/>
        <v>0</v>
      </c>
      <c r="S238" s="420">
        <f t="shared" si="80"/>
        <v>0</v>
      </c>
      <c r="T238" s="403"/>
      <c r="U238" s="403"/>
    </row>
    <row r="239" spans="1:23" x14ac:dyDescent="0.25">
      <c r="A239" s="88"/>
      <c r="E239" s="21"/>
      <c r="F239" s="145" t="s">
        <v>58</v>
      </c>
      <c r="G239" s="195" t="s">
        <v>636</v>
      </c>
      <c r="H239" s="33"/>
      <c r="J239" s="420">
        <f t="shared" ref="J239:S239" si="81">$H203 * J164</f>
        <v>1.089</v>
      </c>
      <c r="K239" s="420">
        <f t="shared" si="81"/>
        <v>1.089</v>
      </c>
      <c r="L239" s="420">
        <f t="shared" si="81"/>
        <v>1.089</v>
      </c>
      <c r="M239" s="420">
        <f t="shared" si="81"/>
        <v>1.089</v>
      </c>
      <c r="N239" s="420">
        <f t="shared" si="81"/>
        <v>1.089</v>
      </c>
      <c r="O239" s="420">
        <f t="shared" si="81"/>
        <v>1.089</v>
      </c>
      <c r="P239" s="420">
        <f t="shared" si="81"/>
        <v>0</v>
      </c>
      <c r="Q239" s="420">
        <f t="shared" si="81"/>
        <v>1.089</v>
      </c>
      <c r="R239" s="420">
        <f t="shared" si="81"/>
        <v>1.089</v>
      </c>
      <c r="S239" s="420">
        <f t="shared" si="81"/>
        <v>1.089</v>
      </c>
      <c r="T239" s="403"/>
      <c r="U239" s="403"/>
    </row>
    <row r="240" spans="1:23" x14ac:dyDescent="0.25">
      <c r="A240" s="88"/>
      <c r="E240" s="21"/>
      <c r="F240" s="145" t="s">
        <v>59</v>
      </c>
      <c r="G240" s="195" t="s">
        <v>636</v>
      </c>
      <c r="H240" s="33"/>
      <c r="J240" s="420">
        <f t="shared" ref="J240:S240" si="82">$H204 * J165</f>
        <v>1.089</v>
      </c>
      <c r="K240" s="420">
        <f t="shared" si="82"/>
        <v>1.089</v>
      </c>
      <c r="L240" s="420">
        <f t="shared" si="82"/>
        <v>1.089</v>
      </c>
      <c r="M240" s="420">
        <f t="shared" si="82"/>
        <v>1.089</v>
      </c>
      <c r="N240" s="420">
        <f t="shared" si="82"/>
        <v>1.089</v>
      </c>
      <c r="O240" s="420">
        <f t="shared" si="82"/>
        <v>1.089</v>
      </c>
      <c r="P240" s="420">
        <f t="shared" si="82"/>
        <v>0</v>
      </c>
      <c r="Q240" s="420">
        <f t="shared" si="82"/>
        <v>1.089</v>
      </c>
      <c r="R240" s="420">
        <f t="shared" si="82"/>
        <v>1.089</v>
      </c>
      <c r="S240" s="420">
        <f t="shared" si="82"/>
        <v>1.089</v>
      </c>
      <c r="T240" s="403"/>
      <c r="U240" s="403"/>
    </row>
    <row r="241" spans="1:21" x14ac:dyDescent="0.25">
      <c r="A241" s="88"/>
      <c r="E241" s="21"/>
      <c r="F241" s="145" t="s">
        <v>60</v>
      </c>
      <c r="G241" s="195" t="s">
        <v>636</v>
      </c>
      <c r="H241" s="33"/>
      <c r="J241" s="420">
        <f t="shared" ref="J241:S241" si="83">$H205 * J166</f>
        <v>1.089</v>
      </c>
      <c r="K241" s="420">
        <f t="shared" si="83"/>
        <v>1.089</v>
      </c>
      <c r="L241" s="420">
        <f t="shared" si="83"/>
        <v>1.089</v>
      </c>
      <c r="M241" s="420">
        <f t="shared" si="83"/>
        <v>1.089</v>
      </c>
      <c r="N241" s="420">
        <f t="shared" si="83"/>
        <v>1.089</v>
      </c>
      <c r="O241" s="420">
        <f t="shared" si="83"/>
        <v>1.089</v>
      </c>
      <c r="P241" s="420">
        <f t="shared" si="83"/>
        <v>0</v>
      </c>
      <c r="Q241" s="420">
        <f t="shared" si="83"/>
        <v>1.089</v>
      </c>
      <c r="R241" s="420">
        <f t="shared" si="83"/>
        <v>1.089</v>
      </c>
      <c r="S241" s="420">
        <f t="shared" si="83"/>
        <v>1.089</v>
      </c>
      <c r="T241" s="403"/>
      <c r="U241" s="403"/>
    </row>
    <row r="242" spans="1:21" x14ac:dyDescent="0.25">
      <c r="A242" s="88"/>
      <c r="E242" s="21"/>
      <c r="F242" s="145" t="s">
        <v>61</v>
      </c>
      <c r="G242" s="195" t="s">
        <v>636</v>
      </c>
      <c r="H242" s="33"/>
      <c r="J242" s="420">
        <f t="shared" ref="J242:S242" si="84">$H206 * J167</f>
        <v>1.046</v>
      </c>
      <c r="K242" s="420">
        <f t="shared" si="84"/>
        <v>1.046</v>
      </c>
      <c r="L242" s="420">
        <f t="shared" si="84"/>
        <v>1.046</v>
      </c>
      <c r="M242" s="420">
        <f t="shared" si="84"/>
        <v>1.046</v>
      </c>
      <c r="N242" s="420">
        <f t="shared" si="84"/>
        <v>1.046</v>
      </c>
      <c r="O242" s="420">
        <f t="shared" si="84"/>
        <v>1.046</v>
      </c>
      <c r="P242" s="420">
        <f t="shared" si="84"/>
        <v>0</v>
      </c>
      <c r="Q242" s="420">
        <f t="shared" si="84"/>
        <v>1.046</v>
      </c>
      <c r="R242" s="420">
        <f t="shared" si="84"/>
        <v>1.046</v>
      </c>
      <c r="S242" s="420">
        <f t="shared" si="84"/>
        <v>0</v>
      </c>
      <c r="T242" s="403"/>
      <c r="U242" s="403"/>
    </row>
    <row r="243" spans="1:21" x14ac:dyDescent="0.25">
      <c r="A243" s="88"/>
      <c r="E243" s="21"/>
      <c r="F243" s="145" t="s">
        <v>73</v>
      </c>
      <c r="G243" s="195" t="s">
        <v>636</v>
      </c>
      <c r="H243" s="33"/>
      <c r="J243" s="420">
        <f t="shared" ref="J243:S243" si="85">$H207 * J168</f>
        <v>1.0309999999999999</v>
      </c>
      <c r="K243" s="420">
        <f t="shared" si="85"/>
        <v>1.0309999999999999</v>
      </c>
      <c r="L243" s="420">
        <f t="shared" si="85"/>
        <v>1.0309999999999999</v>
      </c>
      <c r="M243" s="420">
        <f t="shared" si="85"/>
        <v>1.0309999999999999</v>
      </c>
      <c r="N243" s="420">
        <f t="shared" si="85"/>
        <v>1.0309999999999999</v>
      </c>
      <c r="O243" s="420">
        <f t="shared" si="85"/>
        <v>1.0309999999999999</v>
      </c>
      <c r="P243" s="420">
        <f t="shared" si="85"/>
        <v>0</v>
      </c>
      <c r="Q243" s="420">
        <f t="shared" si="85"/>
        <v>1.0309999999999999</v>
      </c>
      <c r="R243" s="420">
        <f t="shared" si="85"/>
        <v>0</v>
      </c>
      <c r="S243" s="420">
        <f t="shared" si="85"/>
        <v>0</v>
      </c>
      <c r="T243" s="403"/>
      <c r="U243" s="403"/>
    </row>
    <row r="244" spans="1:21" x14ac:dyDescent="0.25">
      <c r="A244" s="88"/>
      <c r="E244" s="21"/>
      <c r="F244" s="145" t="s">
        <v>86</v>
      </c>
      <c r="G244" s="195" t="s">
        <v>636</v>
      </c>
      <c r="H244" s="33"/>
      <c r="J244" s="420">
        <f t="shared" ref="J244:S244" si="86">$H208 * J169</f>
        <v>1.089</v>
      </c>
      <c r="K244" s="420">
        <f t="shared" si="86"/>
        <v>1.089</v>
      </c>
      <c r="L244" s="420">
        <f t="shared" si="86"/>
        <v>1.089</v>
      </c>
      <c r="M244" s="420">
        <f t="shared" si="86"/>
        <v>1.089</v>
      </c>
      <c r="N244" s="420">
        <f t="shared" si="86"/>
        <v>1.089</v>
      </c>
      <c r="O244" s="420">
        <f t="shared" si="86"/>
        <v>1.089</v>
      </c>
      <c r="P244" s="420">
        <f t="shared" si="86"/>
        <v>0</v>
      </c>
      <c r="Q244" s="420">
        <f t="shared" si="86"/>
        <v>1.089</v>
      </c>
      <c r="R244" s="420">
        <f t="shared" si="86"/>
        <v>1.089</v>
      </c>
      <c r="S244" s="420">
        <f t="shared" si="86"/>
        <v>1.089</v>
      </c>
      <c r="T244" s="403"/>
      <c r="U244" s="403"/>
    </row>
    <row r="245" spans="1:21" x14ac:dyDescent="0.25">
      <c r="A245" s="88"/>
      <c r="E245" s="21"/>
      <c r="F245" s="145" t="s">
        <v>87</v>
      </c>
      <c r="G245" s="195" t="s">
        <v>636</v>
      </c>
      <c r="H245" s="33"/>
      <c r="J245" s="420">
        <f t="shared" ref="J245:S245" si="87">$H209 * J170</f>
        <v>1.089</v>
      </c>
      <c r="K245" s="420">
        <f t="shared" si="87"/>
        <v>1.089</v>
      </c>
      <c r="L245" s="420">
        <f t="shared" si="87"/>
        <v>1.089</v>
      </c>
      <c r="M245" s="420">
        <f t="shared" si="87"/>
        <v>1.089</v>
      </c>
      <c r="N245" s="420">
        <f t="shared" si="87"/>
        <v>1.089</v>
      </c>
      <c r="O245" s="420">
        <f t="shared" si="87"/>
        <v>1.089</v>
      </c>
      <c r="P245" s="420">
        <f t="shared" si="87"/>
        <v>0</v>
      </c>
      <c r="Q245" s="420">
        <f t="shared" si="87"/>
        <v>1.089</v>
      </c>
      <c r="R245" s="420">
        <f t="shared" si="87"/>
        <v>1.089</v>
      </c>
      <c r="S245" s="420">
        <f t="shared" si="87"/>
        <v>1.089</v>
      </c>
      <c r="T245" s="403"/>
      <c r="U245" s="403"/>
    </row>
    <row r="246" spans="1:21" x14ac:dyDescent="0.25">
      <c r="A246" s="88"/>
      <c r="E246" s="21"/>
      <c r="F246" s="145" t="s">
        <v>88</v>
      </c>
      <c r="G246" s="195" t="s">
        <v>636</v>
      </c>
      <c r="H246" s="33"/>
      <c r="J246" s="420">
        <f t="shared" ref="J246:S246" si="88">$H210 * J171</f>
        <v>1.089</v>
      </c>
      <c r="K246" s="420">
        <f t="shared" si="88"/>
        <v>1.089</v>
      </c>
      <c r="L246" s="420">
        <f t="shared" si="88"/>
        <v>1.089</v>
      </c>
      <c r="M246" s="420">
        <f t="shared" si="88"/>
        <v>1.089</v>
      </c>
      <c r="N246" s="420">
        <f t="shared" si="88"/>
        <v>1.089</v>
      </c>
      <c r="O246" s="420">
        <f t="shared" si="88"/>
        <v>1.089</v>
      </c>
      <c r="P246" s="420">
        <f t="shared" si="88"/>
        <v>0</v>
      </c>
      <c r="Q246" s="420">
        <f t="shared" si="88"/>
        <v>1.089</v>
      </c>
      <c r="R246" s="420">
        <f t="shared" si="88"/>
        <v>1.089</v>
      </c>
      <c r="S246" s="420">
        <f t="shared" si="88"/>
        <v>1.089</v>
      </c>
      <c r="T246" s="403"/>
      <c r="U246" s="403"/>
    </row>
    <row r="247" spans="1:21" x14ac:dyDescent="0.25">
      <c r="A247" s="88"/>
      <c r="E247" s="21"/>
      <c r="F247" s="145" t="s">
        <v>89</v>
      </c>
      <c r="G247" s="195" t="s">
        <v>636</v>
      </c>
      <c r="H247" s="33"/>
      <c r="J247" s="420">
        <f t="shared" ref="J247:S247" si="89">$H211 * J172</f>
        <v>1.089</v>
      </c>
      <c r="K247" s="420">
        <f t="shared" si="89"/>
        <v>1.089</v>
      </c>
      <c r="L247" s="420">
        <f t="shared" si="89"/>
        <v>1.089</v>
      </c>
      <c r="M247" s="420">
        <f t="shared" si="89"/>
        <v>1.089</v>
      </c>
      <c r="N247" s="420">
        <f t="shared" si="89"/>
        <v>1.089</v>
      </c>
      <c r="O247" s="420">
        <f t="shared" si="89"/>
        <v>1.089</v>
      </c>
      <c r="P247" s="420">
        <f t="shared" si="89"/>
        <v>0</v>
      </c>
      <c r="Q247" s="420">
        <f t="shared" si="89"/>
        <v>1.089</v>
      </c>
      <c r="R247" s="420">
        <f t="shared" si="89"/>
        <v>1.089</v>
      </c>
      <c r="S247" s="420">
        <f t="shared" si="89"/>
        <v>1.089</v>
      </c>
      <c r="T247" s="403"/>
      <c r="U247" s="403"/>
    </row>
    <row r="248" spans="1:21" x14ac:dyDescent="0.25">
      <c r="A248" s="88"/>
      <c r="E248" s="21"/>
      <c r="F248" s="145" t="s">
        <v>90</v>
      </c>
      <c r="G248" s="195" t="s">
        <v>636</v>
      </c>
      <c r="H248" s="33"/>
      <c r="J248" s="420">
        <f t="shared" ref="J248:S248" si="90">$H212 * J173</f>
        <v>1.089</v>
      </c>
      <c r="K248" s="420">
        <f t="shared" si="90"/>
        <v>1.089</v>
      </c>
      <c r="L248" s="420">
        <f t="shared" si="90"/>
        <v>1.089</v>
      </c>
      <c r="M248" s="420">
        <f t="shared" si="90"/>
        <v>1.089</v>
      </c>
      <c r="N248" s="420">
        <f t="shared" si="90"/>
        <v>1.089</v>
      </c>
      <c r="O248" s="420">
        <f t="shared" si="90"/>
        <v>1.089</v>
      </c>
      <c r="P248" s="420">
        <f t="shared" si="90"/>
        <v>0</v>
      </c>
      <c r="Q248" s="420">
        <f t="shared" si="90"/>
        <v>1.089</v>
      </c>
      <c r="R248" s="420">
        <f t="shared" si="90"/>
        <v>1.089</v>
      </c>
      <c r="S248" s="420">
        <f t="shared" si="90"/>
        <v>1.089</v>
      </c>
      <c r="T248" s="403"/>
      <c r="U248" s="403"/>
    </row>
    <row r="249" spans="1:21" x14ac:dyDescent="0.25">
      <c r="A249" s="88"/>
      <c r="E249" s="21"/>
      <c r="F249" s="145" t="s">
        <v>62</v>
      </c>
      <c r="G249" s="195" t="s">
        <v>636</v>
      </c>
      <c r="H249" s="33"/>
      <c r="J249" s="420">
        <f t="shared" ref="J249:S249" si="91">$H213 * J174</f>
        <v>-1.089</v>
      </c>
      <c r="K249" s="420">
        <f t="shared" si="91"/>
        <v>-1.089</v>
      </c>
      <c r="L249" s="420">
        <f t="shared" si="91"/>
        <v>-1.089</v>
      </c>
      <c r="M249" s="420">
        <f t="shared" si="91"/>
        <v>-1.089</v>
      </c>
      <c r="N249" s="420">
        <f t="shared" si="91"/>
        <v>-1.089</v>
      </c>
      <c r="O249" s="420">
        <f t="shared" si="91"/>
        <v>-1.089</v>
      </c>
      <c r="P249" s="420">
        <f t="shared" si="91"/>
        <v>0</v>
      </c>
      <c r="Q249" s="420">
        <f t="shared" si="91"/>
        <v>-1.089</v>
      </c>
      <c r="R249" s="420">
        <f t="shared" si="91"/>
        <v>-1.089</v>
      </c>
      <c r="S249" s="420">
        <f t="shared" si="91"/>
        <v>0</v>
      </c>
      <c r="T249" s="403"/>
      <c r="U249" s="403"/>
    </row>
    <row r="250" spans="1:21" x14ac:dyDescent="0.25">
      <c r="A250" s="88"/>
      <c r="E250" s="21"/>
      <c r="F250" s="145" t="s">
        <v>63</v>
      </c>
      <c r="G250" s="195" t="s">
        <v>636</v>
      </c>
      <c r="H250" s="33"/>
      <c r="J250" s="420">
        <f t="shared" ref="J250:S250" si="92">$H214 * J175</f>
        <v>-1.046</v>
      </c>
      <c r="K250" s="420">
        <f t="shared" si="92"/>
        <v>-1.046</v>
      </c>
      <c r="L250" s="420">
        <f t="shared" si="92"/>
        <v>-1.046</v>
      </c>
      <c r="M250" s="420">
        <f t="shared" si="92"/>
        <v>-1.046</v>
      </c>
      <c r="N250" s="420">
        <f t="shared" si="92"/>
        <v>-1.046</v>
      </c>
      <c r="O250" s="420">
        <f t="shared" si="92"/>
        <v>-1.046</v>
      </c>
      <c r="P250" s="420">
        <f t="shared" si="92"/>
        <v>0</v>
      </c>
      <c r="Q250" s="420">
        <f t="shared" si="92"/>
        <v>-1.046</v>
      </c>
      <c r="R250" s="420">
        <f t="shared" si="92"/>
        <v>0</v>
      </c>
      <c r="S250" s="420">
        <f t="shared" si="92"/>
        <v>0</v>
      </c>
      <c r="T250" s="403"/>
      <c r="U250" s="403"/>
    </row>
    <row r="251" spans="1:21" x14ac:dyDescent="0.25">
      <c r="A251" s="88"/>
      <c r="E251" s="21"/>
      <c r="F251" s="145" t="s">
        <v>64</v>
      </c>
      <c r="G251" s="195" t="s">
        <v>636</v>
      </c>
      <c r="H251" s="33"/>
      <c r="J251" s="420">
        <f t="shared" ref="J251:S251" si="93">$H215 * J176</f>
        <v>-1.089</v>
      </c>
      <c r="K251" s="420">
        <f t="shared" si="93"/>
        <v>-1.089</v>
      </c>
      <c r="L251" s="420">
        <f t="shared" si="93"/>
        <v>-1.089</v>
      </c>
      <c r="M251" s="420">
        <f t="shared" si="93"/>
        <v>-1.089</v>
      </c>
      <c r="N251" s="420">
        <f t="shared" si="93"/>
        <v>-1.089</v>
      </c>
      <c r="O251" s="420">
        <f t="shared" si="93"/>
        <v>-1.089</v>
      </c>
      <c r="P251" s="420">
        <f t="shared" si="93"/>
        <v>0</v>
      </c>
      <c r="Q251" s="420">
        <f t="shared" si="93"/>
        <v>-1.089</v>
      </c>
      <c r="R251" s="420">
        <f t="shared" si="93"/>
        <v>-1.089</v>
      </c>
      <c r="S251" s="420">
        <f t="shared" si="93"/>
        <v>0</v>
      </c>
      <c r="T251" s="403"/>
      <c r="U251" s="403"/>
    </row>
    <row r="252" spans="1:21" x14ac:dyDescent="0.25">
      <c r="A252" s="88"/>
      <c r="E252" s="21"/>
      <c r="F252" s="145" t="s">
        <v>65</v>
      </c>
      <c r="G252" s="195" t="s">
        <v>636</v>
      </c>
      <c r="H252" s="33"/>
      <c r="J252" s="420">
        <f t="shared" ref="J252:S252" si="94">$H216 * J177</f>
        <v>-1.089</v>
      </c>
      <c r="K252" s="420">
        <f t="shared" si="94"/>
        <v>-1.089</v>
      </c>
      <c r="L252" s="420">
        <f t="shared" si="94"/>
        <v>-1.089</v>
      </c>
      <c r="M252" s="420">
        <f t="shared" si="94"/>
        <v>-1.089</v>
      </c>
      <c r="N252" s="420">
        <f t="shared" si="94"/>
        <v>-1.089</v>
      </c>
      <c r="O252" s="420">
        <f t="shared" si="94"/>
        <v>-1.089</v>
      </c>
      <c r="P252" s="420">
        <f t="shared" si="94"/>
        <v>0</v>
      </c>
      <c r="Q252" s="420">
        <f t="shared" si="94"/>
        <v>-1.089</v>
      </c>
      <c r="R252" s="420">
        <f t="shared" si="94"/>
        <v>-1.089</v>
      </c>
      <c r="S252" s="420">
        <f t="shared" si="94"/>
        <v>0</v>
      </c>
      <c r="T252" s="403"/>
      <c r="U252" s="403"/>
    </row>
    <row r="253" spans="1:21" x14ac:dyDescent="0.25">
      <c r="A253" s="88"/>
      <c r="E253" s="21"/>
      <c r="F253" s="145" t="s">
        <v>66</v>
      </c>
      <c r="G253" s="195" t="s">
        <v>636</v>
      </c>
      <c r="H253" s="33"/>
      <c r="J253" s="420">
        <f t="shared" ref="J253:S253" si="95">$H217 * J178</f>
        <v>-1.089</v>
      </c>
      <c r="K253" s="420">
        <f t="shared" si="95"/>
        <v>-1.089</v>
      </c>
      <c r="L253" s="420">
        <f t="shared" si="95"/>
        <v>-1.089</v>
      </c>
      <c r="M253" s="420">
        <f t="shared" si="95"/>
        <v>-1.089</v>
      </c>
      <c r="N253" s="420">
        <f t="shared" si="95"/>
        <v>-1.089</v>
      </c>
      <c r="O253" s="420">
        <f t="shared" si="95"/>
        <v>-1.089</v>
      </c>
      <c r="P253" s="420">
        <f t="shared" si="95"/>
        <v>0</v>
      </c>
      <c r="Q253" s="420">
        <f t="shared" si="95"/>
        <v>-1.089</v>
      </c>
      <c r="R253" s="420">
        <f t="shared" si="95"/>
        <v>-1.089</v>
      </c>
      <c r="S253" s="420">
        <f t="shared" si="95"/>
        <v>0</v>
      </c>
      <c r="T253" s="403"/>
      <c r="U253" s="403"/>
    </row>
    <row r="254" spans="1:21" x14ac:dyDescent="0.25">
      <c r="A254" s="88"/>
      <c r="E254" s="21"/>
      <c r="F254" s="145" t="s">
        <v>67</v>
      </c>
      <c r="G254" s="195" t="s">
        <v>636</v>
      </c>
      <c r="H254" s="33"/>
      <c r="J254" s="420">
        <f t="shared" ref="J254:S254" si="96">$H218 * J179</f>
        <v>-1.089</v>
      </c>
      <c r="K254" s="420">
        <f t="shared" si="96"/>
        <v>-1.089</v>
      </c>
      <c r="L254" s="420">
        <f t="shared" si="96"/>
        <v>-1.089</v>
      </c>
      <c r="M254" s="420">
        <f t="shared" si="96"/>
        <v>-1.089</v>
      </c>
      <c r="N254" s="420">
        <f t="shared" si="96"/>
        <v>-1.089</v>
      </c>
      <c r="O254" s="420">
        <f t="shared" si="96"/>
        <v>-1.089</v>
      </c>
      <c r="P254" s="420">
        <f t="shared" si="96"/>
        <v>0</v>
      </c>
      <c r="Q254" s="420">
        <f t="shared" si="96"/>
        <v>-1.089</v>
      </c>
      <c r="R254" s="420">
        <f t="shared" si="96"/>
        <v>-1.089</v>
      </c>
      <c r="S254" s="420">
        <f t="shared" si="96"/>
        <v>0</v>
      </c>
      <c r="T254" s="403"/>
      <c r="U254" s="403"/>
    </row>
    <row r="255" spans="1:21" x14ac:dyDescent="0.25">
      <c r="A255" s="88"/>
      <c r="E255" s="21"/>
      <c r="F255" s="145" t="s">
        <v>68</v>
      </c>
      <c r="G255" s="195" t="s">
        <v>636</v>
      </c>
      <c r="H255" s="33"/>
      <c r="J255" s="420">
        <f t="shared" ref="J255:S255" si="97">$H219 * J180</f>
        <v>-1.046</v>
      </c>
      <c r="K255" s="420">
        <f t="shared" si="97"/>
        <v>-1.046</v>
      </c>
      <c r="L255" s="420">
        <f t="shared" si="97"/>
        <v>-1.046</v>
      </c>
      <c r="M255" s="420">
        <f t="shared" si="97"/>
        <v>-1.046</v>
      </c>
      <c r="N255" s="420">
        <f t="shared" si="97"/>
        <v>-1.046</v>
      </c>
      <c r="O255" s="420">
        <f t="shared" si="97"/>
        <v>-1.046</v>
      </c>
      <c r="P255" s="420">
        <f t="shared" si="97"/>
        <v>0</v>
      </c>
      <c r="Q255" s="420">
        <f t="shared" si="97"/>
        <v>-1.046</v>
      </c>
      <c r="R255" s="420">
        <f t="shared" si="97"/>
        <v>0</v>
      </c>
      <c r="S255" s="420">
        <f t="shared" si="97"/>
        <v>0</v>
      </c>
      <c r="T255" s="403"/>
      <c r="U255" s="403"/>
    </row>
    <row r="256" spans="1:21" x14ac:dyDescent="0.25">
      <c r="A256" s="88"/>
      <c r="E256" s="21"/>
      <c r="F256" s="145" t="s">
        <v>69</v>
      </c>
      <c r="G256" s="195" t="s">
        <v>636</v>
      </c>
      <c r="H256" s="33"/>
      <c r="J256" s="420">
        <f t="shared" ref="J256:S256" si="98">$H220 * J181</f>
        <v>-1.046</v>
      </c>
      <c r="K256" s="420">
        <f t="shared" si="98"/>
        <v>-1.046</v>
      </c>
      <c r="L256" s="420">
        <f t="shared" si="98"/>
        <v>-1.046</v>
      </c>
      <c r="M256" s="420">
        <f t="shared" si="98"/>
        <v>-1.046</v>
      </c>
      <c r="N256" s="420">
        <f t="shared" si="98"/>
        <v>-1.046</v>
      </c>
      <c r="O256" s="420">
        <f t="shared" si="98"/>
        <v>-1.046</v>
      </c>
      <c r="P256" s="420">
        <f t="shared" si="98"/>
        <v>0</v>
      </c>
      <c r="Q256" s="420">
        <f t="shared" si="98"/>
        <v>-1.046</v>
      </c>
      <c r="R256" s="420">
        <f t="shared" si="98"/>
        <v>0</v>
      </c>
      <c r="S256" s="420">
        <f t="shared" si="98"/>
        <v>0</v>
      </c>
      <c r="T256" s="403"/>
      <c r="U256" s="403"/>
    </row>
    <row r="257" spans="1:23" x14ac:dyDescent="0.25">
      <c r="A257" s="88"/>
      <c r="E257" s="21"/>
      <c r="F257" s="145" t="s">
        <v>70</v>
      </c>
      <c r="G257" s="195" t="s">
        <v>636</v>
      </c>
      <c r="H257" s="33"/>
      <c r="J257" s="420">
        <f t="shared" ref="J257:S257" si="99">$H221 * J182</f>
        <v>-1.046</v>
      </c>
      <c r="K257" s="420">
        <f t="shared" si="99"/>
        <v>-1.046</v>
      </c>
      <c r="L257" s="420">
        <f t="shared" si="99"/>
        <v>-1.046</v>
      </c>
      <c r="M257" s="420">
        <f t="shared" si="99"/>
        <v>-1.046</v>
      </c>
      <c r="N257" s="420">
        <f t="shared" si="99"/>
        <v>-1.046</v>
      </c>
      <c r="O257" s="420">
        <f t="shared" si="99"/>
        <v>-1.046</v>
      </c>
      <c r="P257" s="420">
        <f t="shared" si="99"/>
        <v>0</v>
      </c>
      <c r="Q257" s="420">
        <f t="shared" si="99"/>
        <v>-1.046</v>
      </c>
      <c r="R257" s="420">
        <f t="shared" si="99"/>
        <v>0</v>
      </c>
      <c r="S257" s="420">
        <f t="shared" si="99"/>
        <v>0</v>
      </c>
      <c r="T257" s="403"/>
      <c r="U257" s="403"/>
    </row>
    <row r="258" spans="1:23" x14ac:dyDescent="0.25">
      <c r="A258" s="88"/>
      <c r="E258" s="21"/>
      <c r="F258" s="145" t="s">
        <v>71</v>
      </c>
      <c r="G258" s="195" t="s">
        <v>636</v>
      </c>
      <c r="H258" s="33"/>
      <c r="J258" s="420">
        <f t="shared" ref="J258:S258" si="100">$H222 * J183</f>
        <v>-1.046</v>
      </c>
      <c r="K258" s="420">
        <f t="shared" si="100"/>
        <v>-1.046</v>
      </c>
      <c r="L258" s="420">
        <f t="shared" si="100"/>
        <v>-1.046</v>
      </c>
      <c r="M258" s="420">
        <f t="shared" si="100"/>
        <v>-1.046</v>
      </c>
      <c r="N258" s="420">
        <f t="shared" si="100"/>
        <v>-1.046</v>
      </c>
      <c r="O258" s="420">
        <f t="shared" si="100"/>
        <v>-1.046</v>
      </c>
      <c r="P258" s="420">
        <f t="shared" si="100"/>
        <v>0</v>
      </c>
      <c r="Q258" s="420">
        <f t="shared" si="100"/>
        <v>-1.046</v>
      </c>
      <c r="R258" s="420">
        <f t="shared" si="100"/>
        <v>0</v>
      </c>
      <c r="S258" s="420">
        <f t="shared" si="100"/>
        <v>0</v>
      </c>
      <c r="T258" s="403"/>
      <c r="U258" s="403"/>
    </row>
    <row r="259" spans="1:23" x14ac:dyDescent="0.25">
      <c r="A259" s="88"/>
      <c r="E259" s="21"/>
      <c r="F259" s="145" t="s">
        <v>74</v>
      </c>
      <c r="G259" s="195" t="s">
        <v>636</v>
      </c>
      <c r="H259" s="33"/>
      <c r="J259" s="420">
        <f t="shared" ref="J259:S259" si="101">$H223 * J184</f>
        <v>-1.0309999999999999</v>
      </c>
      <c r="K259" s="420">
        <f t="shared" si="101"/>
        <v>-1.0309999999999999</v>
      </c>
      <c r="L259" s="420">
        <f t="shared" si="101"/>
        <v>-1.0309999999999999</v>
      </c>
      <c r="M259" s="420">
        <f t="shared" si="101"/>
        <v>-1.0309999999999999</v>
      </c>
      <c r="N259" s="420">
        <f t="shared" si="101"/>
        <v>-1.0309999999999999</v>
      </c>
      <c r="O259" s="420">
        <f t="shared" si="101"/>
        <v>-1.0309999999999999</v>
      </c>
      <c r="P259" s="420">
        <f t="shared" si="101"/>
        <v>0</v>
      </c>
      <c r="Q259" s="420">
        <f t="shared" si="101"/>
        <v>0</v>
      </c>
      <c r="R259" s="420">
        <f t="shared" si="101"/>
        <v>0</v>
      </c>
      <c r="S259" s="420">
        <f t="shared" si="101"/>
        <v>0</v>
      </c>
      <c r="T259" s="403"/>
      <c r="U259" s="403"/>
    </row>
    <row r="260" spans="1:23" x14ac:dyDescent="0.25">
      <c r="A260" s="88"/>
      <c r="E260" s="21"/>
      <c r="F260" s="145" t="s">
        <v>75</v>
      </c>
      <c r="G260" s="195" t="s">
        <v>636</v>
      </c>
      <c r="H260" s="33"/>
      <c r="J260" s="420">
        <f t="shared" ref="J260:S260" si="102">$H224 * J185</f>
        <v>-1.0309999999999999</v>
      </c>
      <c r="K260" s="420">
        <f t="shared" si="102"/>
        <v>-1.0309999999999999</v>
      </c>
      <c r="L260" s="420">
        <f t="shared" si="102"/>
        <v>-1.0309999999999999</v>
      </c>
      <c r="M260" s="420">
        <f t="shared" si="102"/>
        <v>-1.0309999999999999</v>
      </c>
      <c r="N260" s="420">
        <f t="shared" si="102"/>
        <v>-1.0309999999999999</v>
      </c>
      <c r="O260" s="420">
        <f t="shared" si="102"/>
        <v>-1.0309999999999999</v>
      </c>
      <c r="P260" s="420">
        <f t="shared" si="102"/>
        <v>0</v>
      </c>
      <c r="Q260" s="420">
        <f t="shared" si="102"/>
        <v>0</v>
      </c>
      <c r="R260" s="420">
        <f t="shared" si="102"/>
        <v>0</v>
      </c>
      <c r="S260" s="420">
        <f t="shared" si="102"/>
        <v>0</v>
      </c>
      <c r="T260" s="403"/>
      <c r="U260" s="403"/>
    </row>
    <row r="261" spans="1:23" x14ac:dyDescent="0.25">
      <c r="A261" s="88"/>
      <c r="E261" s="21"/>
      <c r="F261" s="145" t="s">
        <v>76</v>
      </c>
      <c r="G261" s="195" t="s">
        <v>636</v>
      </c>
      <c r="H261" s="33"/>
      <c r="J261" s="420">
        <f t="shared" ref="J261:S261" si="103">$H225 * J186</f>
        <v>-1.0309999999999999</v>
      </c>
      <c r="K261" s="420">
        <f t="shared" si="103"/>
        <v>-1.0309999999999999</v>
      </c>
      <c r="L261" s="420">
        <f t="shared" si="103"/>
        <v>-1.0309999999999999</v>
      </c>
      <c r="M261" s="420">
        <f t="shared" si="103"/>
        <v>-1.0309999999999999</v>
      </c>
      <c r="N261" s="420">
        <f t="shared" si="103"/>
        <v>-1.0309999999999999</v>
      </c>
      <c r="O261" s="420">
        <f t="shared" si="103"/>
        <v>-1.0309999999999999</v>
      </c>
      <c r="P261" s="420">
        <f t="shared" si="103"/>
        <v>0</v>
      </c>
      <c r="Q261" s="420">
        <f t="shared" si="103"/>
        <v>0</v>
      </c>
      <c r="R261" s="420">
        <f t="shared" si="103"/>
        <v>0</v>
      </c>
      <c r="S261" s="420">
        <f t="shared" si="103"/>
        <v>0</v>
      </c>
      <c r="T261" s="403"/>
      <c r="U261" s="403"/>
    </row>
    <row r="262" spans="1:23" x14ac:dyDescent="0.25">
      <c r="A262" s="88"/>
      <c r="E262" s="21"/>
      <c r="F262" s="38" t="s">
        <v>77</v>
      </c>
      <c r="G262" s="77" t="s">
        <v>636</v>
      </c>
      <c r="H262" s="20"/>
      <c r="I262" s="16"/>
      <c r="J262" s="422">
        <f t="shared" ref="J262:S262" si="104">$H226 * J187</f>
        <v>-1.0309999999999999</v>
      </c>
      <c r="K262" s="422">
        <f t="shared" si="104"/>
        <v>-1.0309999999999999</v>
      </c>
      <c r="L262" s="422">
        <f t="shared" si="104"/>
        <v>-1.0309999999999999</v>
      </c>
      <c r="M262" s="422">
        <f t="shared" si="104"/>
        <v>-1.0309999999999999</v>
      </c>
      <c r="N262" s="422">
        <f t="shared" si="104"/>
        <v>-1.0309999999999999</v>
      </c>
      <c r="O262" s="422">
        <f t="shared" si="104"/>
        <v>-1.0309999999999999</v>
      </c>
      <c r="P262" s="422">
        <f t="shared" si="104"/>
        <v>0</v>
      </c>
      <c r="Q262" s="422">
        <f t="shared" si="104"/>
        <v>0</v>
      </c>
      <c r="R262" s="422">
        <f t="shared" si="104"/>
        <v>0</v>
      </c>
      <c r="S262" s="422">
        <f t="shared" si="104"/>
        <v>0</v>
      </c>
      <c r="T262" s="404"/>
      <c r="U262" s="404"/>
    </row>
    <row r="263" spans="1:23" x14ac:dyDescent="0.25">
      <c r="E263" s="21"/>
      <c r="F263" s="160"/>
      <c r="G263" s="194"/>
      <c r="J263" s="416"/>
      <c r="K263" s="416"/>
      <c r="L263" s="416"/>
      <c r="M263" s="416"/>
      <c r="N263" s="416"/>
      <c r="O263" s="416"/>
      <c r="P263" s="416"/>
      <c r="Q263" s="416"/>
      <c r="R263" s="416"/>
      <c r="S263" s="416"/>
      <c r="T263" s="416"/>
      <c r="U263" s="416"/>
    </row>
    <row r="264" spans="1:23" s="160" customFormat="1" x14ac:dyDescent="0.25">
      <c r="E264" s="172" t="s">
        <v>495</v>
      </c>
      <c r="G264" s="194"/>
      <c r="I264" s="160" t="s">
        <v>525</v>
      </c>
      <c r="J264" s="416"/>
      <c r="K264" s="416"/>
      <c r="L264" s="416"/>
      <c r="M264" s="416"/>
      <c r="N264" s="416"/>
      <c r="O264" s="416"/>
      <c r="P264" s="416"/>
      <c r="Q264" s="416"/>
      <c r="R264" s="416"/>
      <c r="S264" s="416"/>
      <c r="T264" s="416"/>
      <c r="U264" s="416"/>
      <c r="W264" s="163" t="s">
        <v>960</v>
      </c>
    </row>
    <row r="265" spans="1:23" s="160" customFormat="1" x14ac:dyDescent="0.25">
      <c r="E265" s="152" t="s">
        <v>487</v>
      </c>
      <c r="G265" s="194"/>
      <c r="J265" s="416"/>
      <c r="K265" s="416"/>
      <c r="L265" s="416"/>
      <c r="M265" s="416"/>
      <c r="N265" s="416"/>
      <c r="O265" s="416"/>
      <c r="P265" s="416"/>
      <c r="Q265" s="416"/>
      <c r="R265" s="416"/>
      <c r="S265" s="416"/>
      <c r="T265" s="416"/>
      <c r="U265" s="416"/>
    </row>
    <row r="266" spans="1:23" s="160" customFormat="1" x14ac:dyDescent="0.25">
      <c r="F266" s="40" t="s">
        <v>52</v>
      </c>
      <c r="G266" s="85" t="s">
        <v>636</v>
      </c>
      <c r="H266" s="141"/>
      <c r="I266" s="166"/>
      <c r="J266" s="402"/>
      <c r="K266" s="402"/>
      <c r="L266" s="402"/>
      <c r="M266" s="402"/>
      <c r="N266" s="402"/>
      <c r="O266" s="402"/>
      <c r="P266" s="402"/>
      <c r="Q266" s="402"/>
      <c r="R266" s="402"/>
      <c r="S266" s="402"/>
      <c r="T266" s="402"/>
      <c r="U266" s="402"/>
    </row>
    <row r="267" spans="1:23" s="160" customFormat="1" x14ac:dyDescent="0.25">
      <c r="F267" s="145" t="s">
        <v>53</v>
      </c>
      <c r="G267" s="195" t="s">
        <v>636</v>
      </c>
      <c r="H267" s="165"/>
      <c r="J267" s="403"/>
      <c r="K267" s="403"/>
      <c r="L267" s="403"/>
      <c r="M267" s="403"/>
      <c r="N267" s="403"/>
      <c r="O267" s="403"/>
      <c r="P267" s="403"/>
      <c r="Q267" s="403"/>
      <c r="R267" s="403"/>
      <c r="S267" s="403"/>
      <c r="T267" s="403"/>
      <c r="U267" s="403"/>
      <c r="W267" s="163"/>
    </row>
    <row r="268" spans="1:23" s="160" customFormat="1" x14ac:dyDescent="0.25">
      <c r="F268" s="145" t="s">
        <v>84</v>
      </c>
      <c r="G268" s="195" t="s">
        <v>636</v>
      </c>
      <c r="H268" s="165"/>
      <c r="J268" s="403"/>
      <c r="K268" s="403"/>
      <c r="L268" s="403"/>
      <c r="M268" s="403"/>
      <c r="N268" s="403"/>
      <c r="O268" s="403"/>
      <c r="P268" s="403"/>
      <c r="Q268" s="403"/>
      <c r="R268" s="403"/>
      <c r="S268" s="403"/>
      <c r="T268" s="403"/>
      <c r="U268" s="403"/>
      <c r="W268" s="163"/>
    </row>
    <row r="269" spans="1:23" s="160" customFormat="1" x14ac:dyDescent="0.25">
      <c r="F269" s="145" t="s">
        <v>54</v>
      </c>
      <c r="G269" s="195" t="s">
        <v>636</v>
      </c>
      <c r="H269" s="165"/>
      <c r="J269" s="403"/>
      <c r="K269" s="403"/>
      <c r="L269" s="403"/>
      <c r="M269" s="403"/>
      <c r="N269" s="403"/>
      <c r="O269" s="403"/>
      <c r="P269" s="403"/>
      <c r="Q269" s="403"/>
      <c r="R269" s="403"/>
      <c r="S269" s="403"/>
      <c r="T269" s="403"/>
      <c r="U269" s="403"/>
    </row>
    <row r="270" spans="1:23" s="160" customFormat="1" x14ac:dyDescent="0.25">
      <c r="F270" s="145" t="s">
        <v>55</v>
      </c>
      <c r="G270" s="195" t="s">
        <v>636</v>
      </c>
      <c r="H270" s="165"/>
      <c r="J270" s="403"/>
      <c r="K270" s="403"/>
      <c r="L270" s="403"/>
      <c r="M270" s="403"/>
      <c r="N270" s="403"/>
      <c r="O270" s="403"/>
      <c r="P270" s="403"/>
      <c r="Q270" s="403"/>
      <c r="R270" s="403"/>
      <c r="S270" s="403"/>
      <c r="T270" s="403"/>
      <c r="U270" s="403"/>
    </row>
    <row r="271" spans="1:23" s="160" customFormat="1" x14ac:dyDescent="0.25">
      <c r="F271" s="145" t="s">
        <v>85</v>
      </c>
      <c r="G271" s="195" t="s">
        <v>636</v>
      </c>
      <c r="H271" s="165"/>
      <c r="J271" s="403"/>
      <c r="K271" s="403"/>
      <c r="L271" s="403"/>
      <c r="M271" s="403"/>
      <c r="N271" s="403"/>
      <c r="O271" s="403"/>
      <c r="P271" s="403"/>
      <c r="Q271" s="403"/>
      <c r="R271" s="403"/>
      <c r="S271" s="403"/>
      <c r="T271" s="403"/>
      <c r="U271" s="403"/>
    </row>
    <row r="272" spans="1:23" s="160" customFormat="1" x14ac:dyDescent="0.25">
      <c r="F272" s="145" t="s">
        <v>56</v>
      </c>
      <c r="G272" s="195" t="s">
        <v>636</v>
      </c>
      <c r="H272" s="165"/>
      <c r="J272" s="403"/>
      <c r="K272" s="403"/>
      <c r="L272" s="403"/>
      <c r="M272" s="403"/>
      <c r="N272" s="403"/>
      <c r="O272" s="403"/>
      <c r="P272" s="403"/>
      <c r="Q272" s="403"/>
      <c r="R272" s="403"/>
      <c r="S272" s="403"/>
      <c r="T272" s="403"/>
      <c r="U272" s="403"/>
    </row>
    <row r="273" spans="1:21" s="160" customFormat="1" x14ac:dyDescent="0.25">
      <c r="F273" s="145" t="s">
        <v>57</v>
      </c>
      <c r="G273" s="195" t="s">
        <v>636</v>
      </c>
      <c r="H273" s="165"/>
      <c r="J273" s="403"/>
      <c r="K273" s="403"/>
      <c r="L273" s="403"/>
      <c r="M273" s="403"/>
      <c r="N273" s="403"/>
      <c r="O273" s="403"/>
      <c r="P273" s="403"/>
      <c r="Q273" s="403"/>
      <c r="R273" s="403"/>
      <c r="S273" s="403"/>
      <c r="T273" s="403"/>
      <c r="U273" s="403"/>
    </row>
    <row r="274" spans="1:21" s="160" customFormat="1" x14ac:dyDescent="0.25">
      <c r="F274" s="145" t="s">
        <v>72</v>
      </c>
      <c r="G274" s="195" t="s">
        <v>636</v>
      </c>
      <c r="H274" s="165"/>
      <c r="J274" s="403"/>
      <c r="K274" s="403"/>
      <c r="L274" s="403"/>
      <c r="M274" s="403"/>
      <c r="N274" s="403"/>
      <c r="O274" s="403"/>
      <c r="P274" s="403"/>
      <c r="Q274" s="403"/>
      <c r="R274" s="403"/>
      <c r="S274" s="403"/>
      <c r="T274" s="403"/>
      <c r="U274" s="403"/>
    </row>
    <row r="275" spans="1:21" s="160" customFormat="1" x14ac:dyDescent="0.25">
      <c r="F275" s="145" t="s">
        <v>58</v>
      </c>
      <c r="G275" s="195" t="s">
        <v>636</v>
      </c>
      <c r="H275" s="165"/>
      <c r="J275" s="403"/>
      <c r="K275" s="403"/>
      <c r="L275" s="403"/>
      <c r="M275" s="403"/>
      <c r="N275" s="403"/>
      <c r="O275" s="403"/>
      <c r="P275" s="403"/>
      <c r="Q275" s="403"/>
      <c r="R275" s="403"/>
      <c r="S275" s="403"/>
      <c r="T275" s="403"/>
      <c r="U275" s="403"/>
    </row>
    <row r="276" spans="1:21" s="160" customFormat="1" x14ac:dyDescent="0.25">
      <c r="F276" s="145" t="s">
        <v>59</v>
      </c>
      <c r="G276" s="195" t="s">
        <v>636</v>
      </c>
      <c r="H276" s="165"/>
      <c r="J276" s="403"/>
      <c r="K276" s="403"/>
      <c r="L276" s="403"/>
      <c r="M276" s="403"/>
      <c r="N276" s="403"/>
      <c r="O276" s="403"/>
      <c r="P276" s="403"/>
      <c r="Q276" s="403"/>
      <c r="R276" s="403"/>
      <c r="S276" s="403"/>
      <c r="T276" s="403"/>
      <c r="U276" s="403"/>
    </row>
    <row r="277" spans="1:21" s="160" customFormat="1" x14ac:dyDescent="0.25">
      <c r="F277" s="145" t="s">
        <v>60</v>
      </c>
      <c r="G277" s="195" t="s">
        <v>636</v>
      </c>
      <c r="H277" s="165"/>
      <c r="J277" s="403"/>
      <c r="K277" s="403"/>
      <c r="L277" s="403"/>
      <c r="M277" s="403"/>
      <c r="N277" s="403"/>
      <c r="O277" s="403"/>
      <c r="P277" s="403"/>
      <c r="Q277" s="403"/>
      <c r="R277" s="403"/>
      <c r="S277" s="403"/>
      <c r="T277" s="403"/>
      <c r="U277" s="403"/>
    </row>
    <row r="278" spans="1:21" s="160" customFormat="1" x14ac:dyDescent="0.25">
      <c r="F278" s="145" t="s">
        <v>61</v>
      </c>
      <c r="G278" s="195" t="s">
        <v>636</v>
      </c>
      <c r="H278" s="165"/>
      <c r="J278" s="403"/>
      <c r="K278" s="403"/>
      <c r="L278" s="403"/>
      <c r="M278" s="403"/>
      <c r="N278" s="403"/>
      <c r="O278" s="403"/>
      <c r="P278" s="403"/>
      <c r="Q278" s="403"/>
      <c r="R278" s="403"/>
      <c r="S278" s="403"/>
      <c r="T278" s="403"/>
      <c r="U278" s="403"/>
    </row>
    <row r="279" spans="1:21" s="160" customFormat="1" x14ac:dyDescent="0.25">
      <c r="F279" s="145" t="s">
        <v>73</v>
      </c>
      <c r="G279" s="195" t="s">
        <v>636</v>
      </c>
      <c r="H279" s="165"/>
      <c r="J279" s="403"/>
      <c r="K279" s="403"/>
      <c r="L279" s="403"/>
      <c r="M279" s="403"/>
      <c r="N279" s="403"/>
      <c r="O279" s="403"/>
      <c r="P279" s="403"/>
      <c r="Q279" s="403"/>
      <c r="R279" s="403"/>
      <c r="S279" s="403"/>
      <c r="T279" s="403"/>
      <c r="U279" s="403"/>
    </row>
    <row r="280" spans="1:21" s="160" customFormat="1" x14ac:dyDescent="0.25">
      <c r="F280" s="145" t="s">
        <v>86</v>
      </c>
      <c r="G280" s="195" t="s">
        <v>636</v>
      </c>
      <c r="H280" s="165"/>
      <c r="J280" s="403"/>
      <c r="K280" s="403"/>
      <c r="L280" s="403"/>
      <c r="M280" s="403"/>
      <c r="N280" s="403"/>
      <c r="O280" s="403"/>
      <c r="P280" s="403"/>
      <c r="Q280" s="403"/>
      <c r="R280" s="403"/>
      <c r="S280" s="403"/>
      <c r="T280" s="403"/>
      <c r="U280" s="403"/>
    </row>
    <row r="281" spans="1:21" s="160" customFormat="1" x14ac:dyDescent="0.25">
      <c r="F281" s="145" t="s">
        <v>87</v>
      </c>
      <c r="G281" s="195" t="s">
        <v>636</v>
      </c>
      <c r="H281" s="165"/>
      <c r="J281" s="403"/>
      <c r="K281" s="403"/>
      <c r="L281" s="403"/>
      <c r="M281" s="403"/>
      <c r="N281" s="403"/>
      <c r="O281" s="403"/>
      <c r="P281" s="403"/>
      <c r="Q281" s="403"/>
      <c r="R281" s="403"/>
      <c r="S281" s="403"/>
      <c r="T281" s="403"/>
      <c r="U281" s="403"/>
    </row>
    <row r="282" spans="1:21" s="160" customFormat="1" x14ac:dyDescent="0.25">
      <c r="F282" s="145" t="s">
        <v>88</v>
      </c>
      <c r="G282" s="195" t="s">
        <v>636</v>
      </c>
      <c r="H282" s="165"/>
      <c r="J282" s="403"/>
      <c r="K282" s="403"/>
      <c r="L282" s="403"/>
      <c r="M282" s="403"/>
      <c r="N282" s="403"/>
      <c r="O282" s="403"/>
      <c r="P282" s="403"/>
      <c r="Q282" s="403"/>
      <c r="R282" s="403"/>
      <c r="S282" s="403"/>
      <c r="T282" s="403"/>
      <c r="U282" s="403"/>
    </row>
    <row r="283" spans="1:21" s="160" customFormat="1" x14ac:dyDescent="0.25">
      <c r="F283" s="145" t="s">
        <v>89</v>
      </c>
      <c r="G283" s="195" t="s">
        <v>636</v>
      </c>
      <c r="H283" s="165"/>
      <c r="J283" s="403"/>
      <c r="K283" s="403"/>
      <c r="L283" s="403"/>
      <c r="M283" s="403"/>
      <c r="N283" s="403"/>
      <c r="O283" s="403"/>
      <c r="P283" s="403"/>
      <c r="Q283" s="403"/>
      <c r="R283" s="403"/>
      <c r="S283" s="403"/>
      <c r="T283" s="403"/>
      <c r="U283" s="403"/>
    </row>
    <row r="284" spans="1:21" s="160" customFormat="1" x14ac:dyDescent="0.25">
      <c r="F284" s="145" t="s">
        <v>90</v>
      </c>
      <c r="G284" s="195" t="s">
        <v>636</v>
      </c>
      <c r="H284" s="165"/>
      <c r="J284" s="403"/>
      <c r="K284" s="403"/>
      <c r="L284" s="403"/>
      <c r="M284" s="403"/>
      <c r="N284" s="403"/>
      <c r="O284" s="403"/>
      <c r="P284" s="403"/>
      <c r="Q284" s="403"/>
      <c r="R284" s="403"/>
      <c r="S284" s="403"/>
      <c r="T284" s="403"/>
      <c r="U284" s="403"/>
    </row>
    <row r="285" spans="1:21" s="160" customFormat="1" x14ac:dyDescent="0.25">
      <c r="A285" s="338"/>
      <c r="F285" s="145" t="s">
        <v>62</v>
      </c>
      <c r="G285" s="195" t="s">
        <v>636</v>
      </c>
      <c r="H285" s="165"/>
      <c r="J285" s="420">
        <f>$H213 * J101</f>
        <v>-1.089</v>
      </c>
      <c r="K285" s="420">
        <f t="shared" ref="K285:S285" si="105">$H213 * K101</f>
        <v>-1.089</v>
      </c>
      <c r="L285" s="420">
        <f t="shared" si="105"/>
        <v>-1.089</v>
      </c>
      <c r="M285" s="420">
        <f t="shared" si="105"/>
        <v>-1.089</v>
      </c>
      <c r="N285" s="420">
        <f t="shared" si="105"/>
        <v>-1.089</v>
      </c>
      <c r="O285" s="420">
        <f t="shared" si="105"/>
        <v>-1.089</v>
      </c>
      <c r="P285" s="420">
        <f t="shared" si="105"/>
        <v>0</v>
      </c>
      <c r="Q285" s="420">
        <f t="shared" si="105"/>
        <v>-1.089</v>
      </c>
      <c r="R285" s="420">
        <f t="shared" si="105"/>
        <v>-1.089</v>
      </c>
      <c r="S285" s="420">
        <f t="shared" si="105"/>
        <v>-1.089</v>
      </c>
      <c r="T285" s="403"/>
      <c r="U285" s="403"/>
    </row>
    <row r="286" spans="1:21" s="160" customFormat="1" x14ac:dyDescent="0.25">
      <c r="A286" s="338"/>
      <c r="F286" s="145" t="s">
        <v>63</v>
      </c>
      <c r="G286" s="195" t="s">
        <v>636</v>
      </c>
      <c r="H286" s="165"/>
      <c r="J286" s="420">
        <f t="shared" ref="J286:S286" si="106">$H214 * J102</f>
        <v>-1.046</v>
      </c>
      <c r="K286" s="420">
        <f t="shared" si="106"/>
        <v>-1.046</v>
      </c>
      <c r="L286" s="420">
        <f t="shared" si="106"/>
        <v>-1.046</v>
      </c>
      <c r="M286" s="420">
        <f t="shared" si="106"/>
        <v>-1.046</v>
      </c>
      <c r="N286" s="420">
        <f t="shared" si="106"/>
        <v>-1.046</v>
      </c>
      <c r="O286" s="420">
        <f t="shared" si="106"/>
        <v>-1.046</v>
      </c>
      <c r="P286" s="420">
        <f t="shared" si="106"/>
        <v>0</v>
      </c>
      <c r="Q286" s="420">
        <f t="shared" si="106"/>
        <v>-1.046</v>
      </c>
      <c r="R286" s="420">
        <f t="shared" si="106"/>
        <v>-1.046</v>
      </c>
      <c r="S286" s="420">
        <f t="shared" si="106"/>
        <v>0</v>
      </c>
      <c r="T286" s="403"/>
      <c r="U286" s="403"/>
    </row>
    <row r="287" spans="1:21" s="160" customFormat="1" x14ac:dyDescent="0.25">
      <c r="A287" s="338"/>
      <c r="F287" s="145" t="s">
        <v>64</v>
      </c>
      <c r="G287" s="195" t="s">
        <v>636</v>
      </c>
      <c r="H287" s="165"/>
      <c r="J287" s="420">
        <f t="shared" ref="J287:S287" si="107">$H215 * J103</f>
        <v>-1.089</v>
      </c>
      <c r="K287" s="420">
        <f t="shared" si="107"/>
        <v>-1.089</v>
      </c>
      <c r="L287" s="420">
        <f t="shared" si="107"/>
        <v>-1.089</v>
      </c>
      <c r="M287" s="420">
        <f t="shared" si="107"/>
        <v>-1.089</v>
      </c>
      <c r="N287" s="420">
        <f t="shared" si="107"/>
        <v>-1.089</v>
      </c>
      <c r="O287" s="420">
        <f t="shared" si="107"/>
        <v>-1.089</v>
      </c>
      <c r="P287" s="420">
        <f t="shared" si="107"/>
        <v>0</v>
      </c>
      <c r="Q287" s="420">
        <f t="shared" si="107"/>
        <v>-1.089</v>
      </c>
      <c r="R287" s="420">
        <f t="shared" si="107"/>
        <v>-1.089</v>
      </c>
      <c r="S287" s="420">
        <f t="shared" si="107"/>
        <v>-1.089</v>
      </c>
      <c r="T287" s="403"/>
      <c r="U287" s="403"/>
    </row>
    <row r="288" spans="1:21" s="160" customFormat="1" x14ac:dyDescent="0.25">
      <c r="A288" s="338"/>
      <c r="F288" s="145" t="s">
        <v>65</v>
      </c>
      <c r="G288" s="195" t="s">
        <v>636</v>
      </c>
      <c r="H288" s="165"/>
      <c r="J288" s="420">
        <f t="shared" ref="J288:S288" si="108">$H216 * J104</f>
        <v>-1.089</v>
      </c>
      <c r="K288" s="420">
        <f t="shared" si="108"/>
        <v>-1.089</v>
      </c>
      <c r="L288" s="420">
        <f t="shared" si="108"/>
        <v>-1.089</v>
      </c>
      <c r="M288" s="420">
        <f t="shared" si="108"/>
        <v>-1.089</v>
      </c>
      <c r="N288" s="420">
        <f t="shared" si="108"/>
        <v>-1.089</v>
      </c>
      <c r="O288" s="420">
        <f t="shared" si="108"/>
        <v>-1.089</v>
      </c>
      <c r="P288" s="420">
        <f t="shared" si="108"/>
        <v>0</v>
      </c>
      <c r="Q288" s="420">
        <f t="shared" si="108"/>
        <v>-1.089</v>
      </c>
      <c r="R288" s="420">
        <f t="shared" si="108"/>
        <v>-1.089</v>
      </c>
      <c r="S288" s="420">
        <f t="shared" si="108"/>
        <v>-1.089</v>
      </c>
      <c r="T288" s="403"/>
      <c r="U288" s="403"/>
    </row>
    <row r="289" spans="1:44" s="160" customFormat="1" x14ac:dyDescent="0.25">
      <c r="A289" s="338"/>
      <c r="F289" s="145" t="s">
        <v>66</v>
      </c>
      <c r="G289" s="195" t="s">
        <v>636</v>
      </c>
      <c r="H289" s="165"/>
      <c r="J289" s="420">
        <f t="shared" ref="J289:S289" si="109">$H217 * J105</f>
        <v>-1.089</v>
      </c>
      <c r="K289" s="420">
        <f t="shared" si="109"/>
        <v>-1.089</v>
      </c>
      <c r="L289" s="420">
        <f t="shared" si="109"/>
        <v>-1.089</v>
      </c>
      <c r="M289" s="420">
        <f t="shared" si="109"/>
        <v>-1.089</v>
      </c>
      <c r="N289" s="420">
        <f t="shared" si="109"/>
        <v>-1.089</v>
      </c>
      <c r="O289" s="420">
        <f t="shared" si="109"/>
        <v>-1.089</v>
      </c>
      <c r="P289" s="420">
        <f t="shared" si="109"/>
        <v>0</v>
      </c>
      <c r="Q289" s="420">
        <f t="shared" si="109"/>
        <v>-1.089</v>
      </c>
      <c r="R289" s="420">
        <f t="shared" si="109"/>
        <v>-1.089</v>
      </c>
      <c r="S289" s="420">
        <f t="shared" si="109"/>
        <v>-1.089</v>
      </c>
      <c r="T289" s="403"/>
      <c r="U289" s="403"/>
    </row>
    <row r="290" spans="1:44" s="160" customFormat="1" x14ac:dyDescent="0.25">
      <c r="A290" s="338"/>
      <c r="F290" s="145" t="s">
        <v>67</v>
      </c>
      <c r="G290" s="195" t="s">
        <v>636</v>
      </c>
      <c r="H290" s="165"/>
      <c r="J290" s="420">
        <f t="shared" ref="J290:S290" si="110">$H218 * J106</f>
        <v>-1.089</v>
      </c>
      <c r="K290" s="420">
        <f t="shared" si="110"/>
        <v>-1.089</v>
      </c>
      <c r="L290" s="420">
        <f t="shared" si="110"/>
        <v>-1.089</v>
      </c>
      <c r="M290" s="420">
        <f t="shared" si="110"/>
        <v>-1.089</v>
      </c>
      <c r="N290" s="420">
        <f t="shared" si="110"/>
        <v>-1.089</v>
      </c>
      <c r="O290" s="420">
        <f t="shared" si="110"/>
        <v>-1.089</v>
      </c>
      <c r="P290" s="420">
        <f t="shared" si="110"/>
        <v>0</v>
      </c>
      <c r="Q290" s="420">
        <f t="shared" si="110"/>
        <v>-1.089</v>
      </c>
      <c r="R290" s="420">
        <f t="shared" si="110"/>
        <v>-1.089</v>
      </c>
      <c r="S290" s="420">
        <f t="shared" si="110"/>
        <v>-1.089</v>
      </c>
      <c r="T290" s="403"/>
      <c r="U290" s="403"/>
    </row>
    <row r="291" spans="1:44" s="160" customFormat="1" x14ac:dyDescent="0.25">
      <c r="A291" s="338"/>
      <c r="F291" s="145" t="s">
        <v>68</v>
      </c>
      <c r="G291" s="195" t="s">
        <v>636</v>
      </c>
      <c r="H291" s="165"/>
      <c r="J291" s="420">
        <f t="shared" ref="J291:S291" si="111">$H219 * J107</f>
        <v>-1.046</v>
      </c>
      <c r="K291" s="420">
        <f t="shared" si="111"/>
        <v>-1.046</v>
      </c>
      <c r="L291" s="420">
        <f t="shared" si="111"/>
        <v>-1.046</v>
      </c>
      <c r="M291" s="420">
        <f t="shared" si="111"/>
        <v>-1.046</v>
      </c>
      <c r="N291" s="420">
        <f t="shared" si="111"/>
        <v>-1.046</v>
      </c>
      <c r="O291" s="420">
        <f t="shared" si="111"/>
        <v>-1.046</v>
      </c>
      <c r="P291" s="420">
        <f t="shared" si="111"/>
        <v>0</v>
      </c>
      <c r="Q291" s="420">
        <f t="shared" si="111"/>
        <v>-1.046</v>
      </c>
      <c r="R291" s="420">
        <f t="shared" si="111"/>
        <v>-1.046</v>
      </c>
      <c r="S291" s="420">
        <f t="shared" si="111"/>
        <v>0</v>
      </c>
      <c r="T291" s="403"/>
      <c r="U291" s="403"/>
    </row>
    <row r="292" spans="1:44" s="160" customFormat="1" x14ac:dyDescent="0.25">
      <c r="A292" s="338"/>
      <c r="F292" s="145" t="s">
        <v>69</v>
      </c>
      <c r="G292" s="195" t="s">
        <v>636</v>
      </c>
      <c r="H292" s="165"/>
      <c r="J292" s="420">
        <f t="shared" ref="J292:S292" si="112">$H220 * J108</f>
        <v>-1.046</v>
      </c>
      <c r="K292" s="420">
        <f t="shared" si="112"/>
        <v>-1.046</v>
      </c>
      <c r="L292" s="420">
        <f t="shared" si="112"/>
        <v>-1.046</v>
      </c>
      <c r="M292" s="420">
        <f t="shared" si="112"/>
        <v>-1.046</v>
      </c>
      <c r="N292" s="420">
        <f t="shared" si="112"/>
        <v>-1.046</v>
      </c>
      <c r="O292" s="420">
        <f t="shared" si="112"/>
        <v>-1.046</v>
      </c>
      <c r="P292" s="420">
        <f t="shared" si="112"/>
        <v>0</v>
      </c>
      <c r="Q292" s="420">
        <f t="shared" si="112"/>
        <v>-1.046</v>
      </c>
      <c r="R292" s="420">
        <f t="shared" si="112"/>
        <v>-1.046</v>
      </c>
      <c r="S292" s="420">
        <f t="shared" si="112"/>
        <v>0</v>
      </c>
      <c r="T292" s="403"/>
      <c r="U292" s="403"/>
    </row>
    <row r="293" spans="1:44" s="160" customFormat="1" x14ac:dyDescent="0.25">
      <c r="A293" s="338"/>
      <c r="F293" s="145" t="s">
        <v>70</v>
      </c>
      <c r="G293" s="195" t="s">
        <v>636</v>
      </c>
      <c r="H293" s="165"/>
      <c r="J293" s="420">
        <f t="shared" ref="J293:S293" si="113">$H221 * J109</f>
        <v>-1.046</v>
      </c>
      <c r="K293" s="420">
        <f t="shared" si="113"/>
        <v>-1.046</v>
      </c>
      <c r="L293" s="420">
        <f t="shared" si="113"/>
        <v>-1.046</v>
      </c>
      <c r="M293" s="420">
        <f t="shared" si="113"/>
        <v>-1.046</v>
      </c>
      <c r="N293" s="420">
        <f t="shared" si="113"/>
        <v>-1.046</v>
      </c>
      <c r="O293" s="420">
        <f t="shared" si="113"/>
        <v>-1.046</v>
      </c>
      <c r="P293" s="420">
        <f t="shared" si="113"/>
        <v>0</v>
      </c>
      <c r="Q293" s="420">
        <f t="shared" si="113"/>
        <v>-1.046</v>
      </c>
      <c r="R293" s="420">
        <f t="shared" si="113"/>
        <v>-1.046</v>
      </c>
      <c r="S293" s="420">
        <f t="shared" si="113"/>
        <v>0</v>
      </c>
      <c r="T293" s="403"/>
      <c r="U293" s="403"/>
    </row>
    <row r="294" spans="1:44" s="160" customFormat="1" x14ac:dyDescent="0.25">
      <c r="A294" s="338"/>
      <c r="F294" s="145" t="s">
        <v>71</v>
      </c>
      <c r="G294" s="195" t="s">
        <v>636</v>
      </c>
      <c r="H294" s="165"/>
      <c r="J294" s="420">
        <f t="shared" ref="J294:S294" si="114">$H222 * J110</f>
        <v>-1.046</v>
      </c>
      <c r="K294" s="420">
        <f t="shared" si="114"/>
        <v>-1.046</v>
      </c>
      <c r="L294" s="420">
        <f t="shared" si="114"/>
        <v>-1.046</v>
      </c>
      <c r="M294" s="420">
        <f t="shared" si="114"/>
        <v>-1.046</v>
      </c>
      <c r="N294" s="420">
        <f t="shared" si="114"/>
        <v>-1.046</v>
      </c>
      <c r="O294" s="420">
        <f t="shared" si="114"/>
        <v>-1.046</v>
      </c>
      <c r="P294" s="420">
        <f t="shared" si="114"/>
        <v>0</v>
      </c>
      <c r="Q294" s="420">
        <f t="shared" si="114"/>
        <v>-1.046</v>
      </c>
      <c r="R294" s="420">
        <f t="shared" si="114"/>
        <v>-1.046</v>
      </c>
      <c r="S294" s="420">
        <f t="shared" si="114"/>
        <v>0</v>
      </c>
      <c r="T294" s="403"/>
      <c r="U294" s="403"/>
    </row>
    <row r="295" spans="1:44" s="160" customFormat="1" x14ac:dyDescent="0.25">
      <c r="A295" s="338"/>
      <c r="F295" s="145" t="s">
        <v>74</v>
      </c>
      <c r="G295" s="195" t="s">
        <v>636</v>
      </c>
      <c r="H295" s="165"/>
      <c r="J295" s="420">
        <f t="shared" ref="J295:S295" si="115">$H223 * J111</f>
        <v>-1.0309999999999999</v>
      </c>
      <c r="K295" s="420">
        <f t="shared" si="115"/>
        <v>-1.0309999999999999</v>
      </c>
      <c r="L295" s="420">
        <f t="shared" si="115"/>
        <v>-1.0309999999999999</v>
      </c>
      <c r="M295" s="420">
        <f t="shared" si="115"/>
        <v>-1.0309999999999999</v>
      </c>
      <c r="N295" s="420">
        <f t="shared" si="115"/>
        <v>-1.0309999999999999</v>
      </c>
      <c r="O295" s="420">
        <f t="shared" si="115"/>
        <v>-1.0309999999999999</v>
      </c>
      <c r="P295" s="420">
        <f t="shared" si="115"/>
        <v>0</v>
      </c>
      <c r="Q295" s="420">
        <f t="shared" si="115"/>
        <v>-1.0309999999999999</v>
      </c>
      <c r="R295" s="420">
        <f t="shared" si="115"/>
        <v>0</v>
      </c>
      <c r="S295" s="420">
        <f t="shared" si="115"/>
        <v>0</v>
      </c>
      <c r="T295" s="403"/>
      <c r="U295" s="403"/>
    </row>
    <row r="296" spans="1:44" s="160" customFormat="1" x14ac:dyDescent="0.25">
      <c r="A296" s="338"/>
      <c r="F296" s="145" t="s">
        <v>75</v>
      </c>
      <c r="G296" s="195" t="s">
        <v>636</v>
      </c>
      <c r="H296" s="165"/>
      <c r="J296" s="420">
        <f t="shared" ref="J296:S296" si="116">$H224 * J112</f>
        <v>-1.0309999999999999</v>
      </c>
      <c r="K296" s="420">
        <f t="shared" si="116"/>
        <v>-1.0309999999999999</v>
      </c>
      <c r="L296" s="420">
        <f t="shared" si="116"/>
        <v>-1.0309999999999999</v>
      </c>
      <c r="M296" s="420">
        <f t="shared" si="116"/>
        <v>-1.0309999999999999</v>
      </c>
      <c r="N296" s="420">
        <f t="shared" si="116"/>
        <v>-1.0309999999999999</v>
      </c>
      <c r="O296" s="420">
        <f t="shared" si="116"/>
        <v>-1.0309999999999999</v>
      </c>
      <c r="P296" s="420">
        <f t="shared" si="116"/>
        <v>0</v>
      </c>
      <c r="Q296" s="420">
        <f t="shared" si="116"/>
        <v>-1.0309999999999999</v>
      </c>
      <c r="R296" s="420">
        <f t="shared" si="116"/>
        <v>0</v>
      </c>
      <c r="S296" s="420">
        <f t="shared" si="116"/>
        <v>0</v>
      </c>
      <c r="T296" s="403"/>
      <c r="U296" s="403"/>
    </row>
    <row r="297" spans="1:44" s="160" customFormat="1" x14ac:dyDescent="0.25">
      <c r="A297" s="338"/>
      <c r="F297" s="145" t="s">
        <v>76</v>
      </c>
      <c r="G297" s="195" t="s">
        <v>636</v>
      </c>
      <c r="H297" s="165"/>
      <c r="J297" s="420">
        <f t="shared" ref="J297:S297" si="117">$H225 * J113</f>
        <v>-1.0309999999999999</v>
      </c>
      <c r="K297" s="420">
        <f t="shared" si="117"/>
        <v>-1.0309999999999999</v>
      </c>
      <c r="L297" s="420">
        <f t="shared" si="117"/>
        <v>-1.0309999999999999</v>
      </c>
      <c r="M297" s="420">
        <f t="shared" si="117"/>
        <v>-1.0309999999999999</v>
      </c>
      <c r="N297" s="420">
        <f t="shared" si="117"/>
        <v>-1.0309999999999999</v>
      </c>
      <c r="O297" s="420">
        <f t="shared" si="117"/>
        <v>-1.0309999999999999</v>
      </c>
      <c r="P297" s="420">
        <f t="shared" si="117"/>
        <v>0</v>
      </c>
      <c r="Q297" s="420">
        <f t="shared" si="117"/>
        <v>-1.0309999999999999</v>
      </c>
      <c r="R297" s="420">
        <f t="shared" si="117"/>
        <v>0</v>
      </c>
      <c r="S297" s="420">
        <f t="shared" si="117"/>
        <v>0</v>
      </c>
      <c r="T297" s="403"/>
      <c r="U297" s="403"/>
    </row>
    <row r="298" spans="1:44" s="160" customFormat="1" x14ac:dyDescent="0.25">
      <c r="A298" s="338"/>
      <c r="F298" s="38" t="s">
        <v>77</v>
      </c>
      <c r="G298" s="77" t="s">
        <v>636</v>
      </c>
      <c r="H298" s="20"/>
      <c r="I298" s="168"/>
      <c r="J298" s="422">
        <f t="shared" ref="J298:S298" si="118">$H226 * J114</f>
        <v>-1.0309999999999999</v>
      </c>
      <c r="K298" s="422">
        <f t="shared" si="118"/>
        <v>-1.0309999999999999</v>
      </c>
      <c r="L298" s="422">
        <f t="shared" si="118"/>
        <v>-1.0309999999999999</v>
      </c>
      <c r="M298" s="422">
        <f t="shared" si="118"/>
        <v>-1.0309999999999999</v>
      </c>
      <c r="N298" s="422">
        <f t="shared" si="118"/>
        <v>-1.0309999999999999</v>
      </c>
      <c r="O298" s="422">
        <f t="shared" si="118"/>
        <v>-1.0309999999999999</v>
      </c>
      <c r="P298" s="422">
        <f t="shared" si="118"/>
        <v>0</v>
      </c>
      <c r="Q298" s="422">
        <f t="shared" si="118"/>
        <v>-1.0309999999999999</v>
      </c>
      <c r="R298" s="422">
        <f t="shared" si="118"/>
        <v>0</v>
      </c>
      <c r="S298" s="422">
        <f t="shared" si="118"/>
        <v>0</v>
      </c>
      <c r="T298" s="404"/>
      <c r="U298" s="404"/>
    </row>
    <row r="299" spans="1:44" s="160" customFormat="1" x14ac:dyDescent="0.25">
      <c r="G299" s="194"/>
    </row>
    <row r="300" spans="1:44" s="160" customFormat="1" x14ac:dyDescent="0.25">
      <c r="B300" s="171" t="s">
        <v>126</v>
      </c>
      <c r="C300" s="171"/>
      <c r="D300" s="135"/>
      <c r="E300" s="135"/>
      <c r="F300" s="135"/>
      <c r="G300" s="291"/>
      <c r="H300" s="135"/>
      <c r="I300" s="135"/>
      <c r="J300" s="135"/>
      <c r="K300" s="135"/>
      <c r="L300" s="135"/>
      <c r="M300" s="135"/>
      <c r="N300" s="135"/>
      <c r="O300" s="135"/>
      <c r="P300" s="135"/>
      <c r="Q300" s="135"/>
      <c r="R300" s="135"/>
      <c r="S300" s="135"/>
      <c r="T300" s="135"/>
      <c r="U300" s="135"/>
      <c r="V300" s="135"/>
      <c r="W300" s="135"/>
      <c r="X300" s="135"/>
      <c r="Y300" s="135"/>
      <c r="Z300" s="135"/>
      <c r="AA300" s="135"/>
      <c r="AB300" s="135"/>
      <c r="AC300" s="135"/>
      <c r="AD300" s="135"/>
      <c r="AE300" s="135"/>
      <c r="AF300" s="135"/>
      <c r="AG300" s="135"/>
      <c r="AH300" s="135"/>
      <c r="AI300" s="135"/>
      <c r="AJ300" s="135"/>
      <c r="AK300" s="135"/>
      <c r="AL300" s="135"/>
      <c r="AM300" s="135"/>
      <c r="AN300" s="135"/>
      <c r="AO300" s="135"/>
      <c r="AP300" s="135"/>
      <c r="AQ300" s="135"/>
      <c r="AR300" s="135"/>
    </row>
    <row r="301" spans="1:44" s="160" customFormat="1" x14ac:dyDescent="0.25">
      <c r="G301" s="194"/>
    </row>
    <row r="302" spans="1:44" s="160" customFormat="1" x14ac:dyDescent="0.25">
      <c r="E302" s="160" t="s">
        <v>622</v>
      </c>
      <c r="G302" s="111" t="s">
        <v>814</v>
      </c>
      <c r="H302" s="362">
        <f t="array" ref="H302">SUM(IF(ISERROR(H19:W300), 1))</f>
        <v>0</v>
      </c>
    </row>
    <row r="303" spans="1:44" s="160" customFormat="1" x14ac:dyDescent="0.25"/>
    <row r="304" spans="1:44" s="11" customFormat="1" x14ac:dyDescent="0.25">
      <c r="B304" s="34" t="s">
        <v>127</v>
      </c>
      <c r="C304" s="34"/>
      <c r="D304" s="34"/>
      <c r="E304" s="171"/>
      <c r="F304" s="34"/>
      <c r="G304" s="34"/>
      <c r="H304" s="34"/>
      <c r="I304" s="34"/>
      <c r="J304" s="34"/>
      <c r="K304" s="60"/>
      <c r="L304" s="60"/>
      <c r="M304" s="60"/>
      <c r="N304" s="60"/>
      <c r="O304" s="60"/>
      <c r="P304" s="60"/>
      <c r="Q304" s="60"/>
      <c r="R304" s="60"/>
      <c r="S304" s="60"/>
      <c r="T304" s="60"/>
      <c r="U304" s="171"/>
      <c r="V304" s="171"/>
      <c r="W304" s="171"/>
    </row>
    <row r="310" spans="6:6" x14ac:dyDescent="0.25">
      <c r="F310" s="160"/>
    </row>
  </sheetData>
  <sheetProtection sheet="1" objects="1" formatCells="0" formatColumns="0" formatRows="0" sort="0" autoFilter="0"/>
  <conditionalFormatting sqref="H302">
    <cfRule type="cellIs" dxfId="50" priority="2" operator="greaterThan">
      <formula>0</formula>
    </cfRule>
  </conditionalFormatting>
  <conditionalFormatting sqref="A4:XFD4">
    <cfRule type="expression" dxfId="49" priority="1">
      <formula>LEFT($A$4,1) &lt;&gt; "0"</formula>
    </cfRule>
  </conditionalFormatting>
  <dataValidations count="1">
    <dataValidation type="decimal" allowBlank="1" showInputMessage="1" showErrorMessage="1" errorTitle="Invalid diversity allowance" error="Invalid diversity allowance (negative number or unused cell)." sqref="H37">
      <formula1>0</formula1>
      <formula2>4</formula2>
    </dataValidation>
  </dataValidations>
  <hyperlinks>
    <hyperlink ref="B5:F5" location="'Model map'!A1" display="Click here to return to model map"/>
  </hyperlinks>
  <pageMargins left="0.7" right="0.7" top="0.75" bottom="0.75" header="0.3" footer="0.3"/>
  <pageSetup paperSize="9" fitToHeight="0" orientation="portrait" r:id="rId1"/>
  <headerFooter>
    <oddHeader>&amp;L&amp;A&amp;C&amp;R&amp;P of &amp;N</oddHead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6" tint="0.39997558519241921"/>
  </sheetPr>
  <dimension ref="A1:CS77"/>
  <sheetViews>
    <sheetView showGridLines="0" zoomScale="80" zoomScaleNormal="80" workbookViewId="0">
      <pane ySplit="3" topLeftCell="A4" activePane="bottomLeft" state="frozen"/>
      <selection pane="bottomLeft" activeCell="L13" sqref="L13"/>
    </sheetView>
  </sheetViews>
  <sheetFormatPr defaultColWidth="0" defaultRowHeight="15" x14ac:dyDescent="0.25"/>
  <cols>
    <col min="1" max="5" width="2.7109375" style="101" customWidth="1"/>
    <col min="6" max="6" width="20.7109375" style="101" customWidth="1"/>
    <col min="7" max="7" width="22.7109375" style="101" customWidth="1"/>
    <col min="8" max="8" width="24.28515625" style="101" customWidth="1"/>
    <col min="9" max="9" width="30.7109375" style="101" customWidth="1"/>
    <col min="10" max="10" width="19.28515625" style="225" bestFit="1" customWidth="1"/>
    <col min="11" max="11" width="10.7109375" style="101" customWidth="1"/>
    <col min="12" max="12" width="82.7109375" style="101" customWidth="1"/>
    <col min="13" max="13" width="2.7109375" style="101" customWidth="1"/>
    <col min="14" max="16384" width="9.140625" style="101" hidden="1"/>
  </cols>
  <sheetData>
    <row r="1" spans="1:97" s="100" customFormat="1" x14ac:dyDescent="0.25">
      <c r="A1" s="25" t="str">
        <f ca="1">MID(CELL("filename",A1),FIND("]",CELL("filename",A1))+1,255)</f>
        <v>Version control</v>
      </c>
    </row>
    <row r="2" spans="1:97" s="100" customFormat="1" x14ac:dyDescent="0.25">
      <c r="A2" s="100" t="str">
        <f>Cover!D21&amp;" - "&amp;Cover!D23</f>
        <v>SEPD - Final</v>
      </c>
    </row>
    <row r="3" spans="1:97" s="97" customFormat="1" x14ac:dyDescent="0.25">
      <c r="A3" s="97" t="str">
        <f>Cover!D2&amp;" - "&amp;Cover!D8&amp;" v"&amp;Cover!D10&amp;" - "&amp;Cover!D19</f>
        <v>ARP model - Release for charge setting v3 - 2020/21</v>
      </c>
    </row>
    <row r="4" spans="1:97" s="474" customFormat="1" x14ac:dyDescent="0.25">
      <c r="A4" s="392" t="str">
        <f>J60 &amp; IF(J60 = 1, " issue", " issues") &amp;" identified in checks on this sheet"</f>
        <v>0 issues identified in checks on this sheet</v>
      </c>
      <c r="B4" s="393"/>
      <c r="C4" s="393"/>
      <c r="D4" s="393"/>
      <c r="E4" s="393"/>
      <c r="F4" s="393"/>
      <c r="G4" s="393"/>
      <c r="H4" s="394"/>
      <c r="I4" s="394"/>
      <c r="J4" s="393"/>
      <c r="K4" s="383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3"/>
      <c r="AD4" s="383"/>
      <c r="AE4" s="383"/>
      <c r="AF4" s="383"/>
      <c r="AG4" s="383"/>
      <c r="AH4" s="383"/>
      <c r="AI4" s="383"/>
      <c r="AJ4" s="383"/>
      <c r="AK4" s="383"/>
      <c r="AL4" s="383"/>
      <c r="AM4" s="383"/>
      <c r="AN4" s="383"/>
      <c r="AO4" s="383"/>
      <c r="AP4" s="383"/>
      <c r="AQ4" s="383"/>
      <c r="AR4" s="383"/>
      <c r="AS4" s="383"/>
      <c r="AT4" s="383"/>
      <c r="AU4" s="383"/>
      <c r="AV4" s="383"/>
      <c r="AW4" s="383"/>
      <c r="AX4" s="383"/>
      <c r="AY4" s="383"/>
      <c r="AZ4" s="383"/>
      <c r="BA4" s="383"/>
      <c r="BB4" s="383"/>
      <c r="BC4" s="383"/>
      <c r="BD4" s="383"/>
      <c r="BE4" s="383"/>
      <c r="BF4" s="383"/>
      <c r="BG4" s="383"/>
      <c r="BH4" s="383"/>
      <c r="BI4" s="383"/>
      <c r="BJ4" s="383"/>
      <c r="BK4" s="383"/>
      <c r="BL4" s="383"/>
      <c r="BM4" s="383"/>
      <c r="BN4" s="383"/>
      <c r="BO4" s="383"/>
      <c r="BP4" s="383"/>
      <c r="BQ4" s="383"/>
      <c r="BR4" s="383"/>
      <c r="BS4" s="383"/>
      <c r="BT4" s="383"/>
      <c r="BU4" s="383"/>
      <c r="BV4" s="383"/>
      <c r="BW4" s="383"/>
      <c r="BX4" s="383"/>
      <c r="BY4" s="383"/>
      <c r="BZ4" s="383"/>
      <c r="CA4" s="383"/>
      <c r="CB4" s="383"/>
      <c r="CC4" s="383"/>
      <c r="CD4" s="383"/>
      <c r="CE4" s="383"/>
      <c r="CF4" s="383"/>
      <c r="CG4" s="383"/>
      <c r="CH4" s="383"/>
      <c r="CI4" s="383"/>
      <c r="CJ4" s="383"/>
      <c r="CK4" s="383"/>
      <c r="CL4" s="383"/>
      <c r="CM4" s="383"/>
      <c r="CN4" s="383"/>
      <c r="CO4" s="383"/>
      <c r="CP4" s="383"/>
      <c r="CQ4" s="383"/>
      <c r="CR4" s="383"/>
      <c r="CS4" s="383"/>
    </row>
    <row r="5" spans="1:97" x14ac:dyDescent="0.25">
      <c r="A5" s="98"/>
      <c r="B5" s="102" t="s">
        <v>348</v>
      </c>
      <c r="C5" s="102"/>
      <c r="D5" s="102"/>
      <c r="E5" s="102"/>
      <c r="F5" s="102"/>
      <c r="G5" s="103"/>
      <c r="H5" s="103"/>
      <c r="I5" s="103"/>
      <c r="J5" s="103"/>
      <c r="K5" s="103"/>
      <c r="L5" s="102"/>
    </row>
    <row r="6" spans="1:97" x14ac:dyDescent="0.25">
      <c r="A6" s="98"/>
      <c r="B6" s="98"/>
      <c r="C6" s="98"/>
      <c r="D6" s="98"/>
      <c r="E6" s="98"/>
      <c r="F6" s="98"/>
      <c r="G6" s="99"/>
      <c r="H6" s="99"/>
      <c r="I6" s="99"/>
      <c r="J6" s="224"/>
      <c r="K6" s="99"/>
      <c r="L6" s="98"/>
    </row>
    <row r="7" spans="1:97" x14ac:dyDescent="0.25">
      <c r="A7" s="98"/>
      <c r="B7" s="98"/>
      <c r="C7" s="98"/>
      <c r="D7" s="98"/>
      <c r="F7" s="98" t="s">
        <v>349</v>
      </c>
      <c r="H7" s="387">
        <f>LOOKUP(2,1/(F20:F30&lt;&gt;""),F20:F30)</f>
        <v>43389</v>
      </c>
      <c r="I7" s="104"/>
      <c r="J7" s="104"/>
      <c r="K7" s="98"/>
      <c r="L7" s="98"/>
    </row>
    <row r="8" spans="1:97" x14ac:dyDescent="0.25">
      <c r="A8" s="98"/>
      <c r="B8" s="98"/>
      <c r="C8" s="98"/>
      <c r="D8" s="98"/>
      <c r="F8" s="98"/>
      <c r="H8" s="223"/>
      <c r="I8" s="99"/>
      <c r="J8" s="224"/>
      <c r="K8" s="98"/>
      <c r="L8" s="98"/>
    </row>
    <row r="9" spans="1:97" x14ac:dyDescent="0.25">
      <c r="A9" s="98"/>
      <c r="B9" s="98"/>
      <c r="C9" s="98"/>
      <c r="D9" s="98"/>
      <c r="F9" s="98" t="s">
        <v>346</v>
      </c>
      <c r="H9" s="388" t="str">
        <f>LOOKUP(2,1/(G20:G30&lt;&gt;""),G20:G30)</f>
        <v>Release for charge setting</v>
      </c>
      <c r="I9" s="105"/>
      <c r="J9" s="105"/>
      <c r="K9" s="98"/>
      <c r="L9" s="98"/>
    </row>
    <row r="10" spans="1:97" x14ac:dyDescent="0.25">
      <c r="A10" s="98"/>
      <c r="B10" s="98"/>
      <c r="C10" s="98"/>
      <c r="D10" s="98"/>
      <c r="F10" s="98"/>
      <c r="H10" s="223"/>
      <c r="I10" s="98"/>
      <c r="J10" s="223"/>
      <c r="K10" s="98"/>
      <c r="L10" s="98"/>
    </row>
    <row r="11" spans="1:97" x14ac:dyDescent="0.25">
      <c r="A11" s="98"/>
      <c r="B11" s="98"/>
      <c r="C11" s="98"/>
      <c r="D11" s="98"/>
      <c r="F11" s="598" t="s">
        <v>1204</v>
      </c>
      <c r="H11" s="388">
        <f>LOOKUP(2,1/(H20:H30&lt;&gt;""),H20:H30)</f>
        <v>3</v>
      </c>
      <c r="I11" s="105"/>
      <c r="J11" s="105"/>
      <c r="K11" s="98"/>
      <c r="L11" s="98"/>
    </row>
    <row r="12" spans="1:97" x14ac:dyDescent="0.25">
      <c r="A12" s="98"/>
      <c r="B12" s="98"/>
      <c r="C12" s="98"/>
      <c r="D12" s="98"/>
      <c r="F12" s="98"/>
      <c r="H12" s="223"/>
      <c r="I12" s="99"/>
      <c r="J12" s="224"/>
      <c r="K12" s="98"/>
      <c r="L12" s="98"/>
    </row>
    <row r="13" spans="1:97" s="338" customFormat="1" x14ac:dyDescent="0.25">
      <c r="A13" s="382"/>
      <c r="B13" s="382"/>
      <c r="C13" s="382"/>
      <c r="D13" s="382"/>
      <c r="F13" s="223" t="s">
        <v>888</v>
      </c>
      <c r="H13" s="384" t="str">
        <f>LOOKUP(2,1/(I20:I30&lt;&gt;""),I20:I30)</f>
        <v>01 April 2020 DCUSA Charging Methodologies Pre-Release (released 09/10/2018)</v>
      </c>
      <c r="I13" s="385"/>
      <c r="J13" s="385"/>
      <c r="K13" s="385"/>
      <c r="L13" s="382"/>
      <c r="M13" s="382"/>
      <c r="N13" s="383"/>
    </row>
    <row r="14" spans="1:97" s="338" customFormat="1" x14ac:dyDescent="0.25">
      <c r="A14" s="382"/>
      <c r="B14" s="382"/>
      <c r="C14" s="382"/>
      <c r="D14" s="382"/>
      <c r="F14" s="382"/>
      <c r="H14" s="386"/>
      <c r="I14" s="385"/>
      <c r="J14" s="385"/>
      <c r="K14" s="385"/>
      <c r="L14" s="382"/>
      <c r="M14" s="382"/>
      <c r="N14" s="383"/>
    </row>
    <row r="15" spans="1:97" x14ac:dyDescent="0.25">
      <c r="A15" s="98"/>
      <c r="B15" s="98"/>
      <c r="C15" s="98"/>
      <c r="D15" s="98"/>
      <c r="F15" s="223" t="s">
        <v>922</v>
      </c>
      <c r="H15" s="388" t="str">
        <f>LOOKUP(2,1/(J20:J30&lt;&gt;""),J20:J30)</f>
        <v>Schedules 16 &amp; 20</v>
      </c>
      <c r="I15" s="99"/>
      <c r="J15" s="224"/>
      <c r="K15" s="98"/>
      <c r="L15" s="98"/>
    </row>
    <row r="16" spans="1:97" x14ac:dyDescent="0.25">
      <c r="A16" s="98"/>
      <c r="B16" s="98"/>
      <c r="C16" s="98"/>
      <c r="D16" s="98"/>
      <c r="E16" s="98"/>
      <c r="F16" s="98"/>
      <c r="H16" s="99"/>
      <c r="I16" s="99"/>
      <c r="J16" s="224"/>
      <c r="K16" s="98"/>
      <c r="L16" s="98"/>
    </row>
    <row r="17" spans="1:12" x14ac:dyDescent="0.25">
      <c r="A17" s="98"/>
      <c r="B17" s="102" t="s">
        <v>356</v>
      </c>
      <c r="C17" s="102"/>
      <c r="D17" s="102"/>
      <c r="E17" s="102"/>
      <c r="F17" s="102"/>
      <c r="G17" s="103"/>
      <c r="H17" s="103"/>
      <c r="I17" s="103"/>
      <c r="J17" s="103"/>
      <c r="K17" s="103"/>
      <c r="L17" s="102"/>
    </row>
    <row r="18" spans="1:12" x14ac:dyDescent="0.25">
      <c r="A18" s="98"/>
      <c r="B18" s="98"/>
      <c r="C18" s="98"/>
      <c r="D18" s="98"/>
      <c r="E18" s="98"/>
      <c r="F18" s="98"/>
      <c r="G18" s="99"/>
      <c r="H18" s="98"/>
      <c r="I18" s="98"/>
      <c r="J18" s="223"/>
      <c r="K18" s="98"/>
      <c r="L18" s="98"/>
    </row>
    <row r="19" spans="1:12" x14ac:dyDescent="0.25">
      <c r="A19" s="98"/>
      <c r="B19" s="98"/>
      <c r="C19" s="98"/>
      <c r="D19" s="98"/>
      <c r="E19" s="98"/>
      <c r="F19" s="106" t="s">
        <v>350</v>
      </c>
      <c r="G19" s="107" t="s">
        <v>351</v>
      </c>
      <c r="H19" s="106" t="s">
        <v>1199</v>
      </c>
      <c r="I19" s="107" t="s">
        <v>920</v>
      </c>
      <c r="J19" s="107" t="s">
        <v>921</v>
      </c>
      <c r="K19" s="107" t="s">
        <v>175</v>
      </c>
      <c r="L19" s="107" t="s">
        <v>352</v>
      </c>
    </row>
    <row r="20" spans="1:12" ht="30" x14ac:dyDescent="0.25">
      <c r="A20" s="98"/>
      <c r="B20" s="98"/>
      <c r="C20" s="98"/>
      <c r="D20" s="98"/>
      <c r="E20" s="98"/>
      <c r="F20" s="505">
        <v>43250</v>
      </c>
      <c r="G20" s="501" t="s">
        <v>1193</v>
      </c>
      <c r="H20" s="501">
        <v>1</v>
      </c>
      <c r="I20" s="501" t="s">
        <v>927</v>
      </c>
      <c r="J20" s="501" t="s">
        <v>1197</v>
      </c>
      <c r="K20" s="501" t="s">
        <v>795</v>
      </c>
      <c r="L20" s="501" t="s">
        <v>924</v>
      </c>
    </row>
    <row r="21" spans="1:12" ht="30" x14ac:dyDescent="0.25">
      <c r="A21" s="98"/>
      <c r="B21" s="98"/>
      <c r="C21" s="98"/>
      <c r="D21" s="98"/>
      <c r="E21" s="98"/>
      <c r="F21" s="505">
        <v>43301</v>
      </c>
      <c r="G21" s="501" t="s">
        <v>1193</v>
      </c>
      <c r="H21" s="501">
        <v>2</v>
      </c>
      <c r="I21" s="501" t="s">
        <v>1194</v>
      </c>
      <c r="J21" s="501" t="s">
        <v>1197</v>
      </c>
      <c r="K21" s="501" t="s">
        <v>795</v>
      </c>
      <c r="L21" s="501" t="s">
        <v>1195</v>
      </c>
    </row>
    <row r="22" spans="1:12" s="225" customFormat="1" ht="45" x14ac:dyDescent="0.25">
      <c r="A22" s="223"/>
      <c r="B22" s="223"/>
      <c r="C22" s="223"/>
      <c r="D22" s="223"/>
      <c r="E22" s="223"/>
      <c r="F22" s="505">
        <v>43389</v>
      </c>
      <c r="G22" s="501" t="s">
        <v>1200</v>
      </c>
      <c r="H22" s="501">
        <v>3</v>
      </c>
      <c r="I22" s="596" t="s">
        <v>1201</v>
      </c>
      <c r="J22" s="501" t="s">
        <v>1197</v>
      </c>
      <c r="K22" s="596" t="s">
        <v>795</v>
      </c>
      <c r="L22" s="596" t="s">
        <v>1202</v>
      </c>
    </row>
    <row r="23" spans="1:12" s="225" customFormat="1" x14ac:dyDescent="0.25">
      <c r="A23" s="223"/>
      <c r="B23" s="223"/>
      <c r="C23" s="223"/>
      <c r="D23" s="223"/>
      <c r="E23" s="223"/>
      <c r="F23" s="505"/>
      <c r="G23" s="501"/>
      <c r="H23" s="501"/>
      <c r="I23" s="501"/>
      <c r="J23" s="501"/>
      <c r="K23" s="501"/>
      <c r="L23" s="501"/>
    </row>
    <row r="24" spans="1:12" s="225" customFormat="1" x14ac:dyDescent="0.25">
      <c r="A24" s="223"/>
      <c r="B24" s="223"/>
      <c r="C24" s="223"/>
      <c r="D24" s="223"/>
      <c r="E24" s="223"/>
      <c r="F24" s="505"/>
      <c r="G24" s="501"/>
      <c r="H24" s="501"/>
      <c r="I24" s="501"/>
      <c r="J24" s="501"/>
      <c r="K24" s="501"/>
      <c r="L24" s="501"/>
    </row>
    <row r="25" spans="1:12" s="225" customFormat="1" x14ac:dyDescent="0.25">
      <c r="A25" s="223"/>
      <c r="B25" s="223"/>
      <c r="C25" s="223"/>
      <c r="D25" s="223"/>
      <c r="E25" s="223"/>
      <c r="F25" s="505"/>
      <c r="G25" s="501"/>
      <c r="H25" s="501"/>
      <c r="I25" s="501"/>
      <c r="J25" s="501"/>
      <c r="K25" s="501"/>
      <c r="L25" s="501"/>
    </row>
    <row r="26" spans="1:12" s="225" customFormat="1" x14ac:dyDescent="0.25">
      <c r="A26" s="223"/>
      <c r="B26" s="223"/>
      <c r="C26" s="223"/>
      <c r="D26" s="223"/>
      <c r="E26" s="223"/>
      <c r="F26" s="505"/>
      <c r="G26" s="501"/>
      <c r="H26" s="501"/>
      <c r="I26" s="501"/>
      <c r="J26" s="501"/>
      <c r="K26" s="501"/>
      <c r="L26" s="501"/>
    </row>
    <row r="27" spans="1:12" x14ac:dyDescent="0.25">
      <c r="A27" s="98"/>
      <c r="B27" s="98"/>
      <c r="C27" s="98"/>
      <c r="D27" s="98"/>
      <c r="E27" s="98"/>
      <c r="F27" s="505"/>
      <c r="G27" s="501"/>
      <c r="H27" s="501"/>
      <c r="I27" s="501"/>
      <c r="J27" s="501"/>
      <c r="K27" s="501"/>
      <c r="L27" s="501"/>
    </row>
    <row r="28" spans="1:12" x14ac:dyDescent="0.25">
      <c r="A28" s="98"/>
      <c r="B28" s="98"/>
      <c r="C28" s="98"/>
      <c r="D28" s="98"/>
      <c r="E28" s="98"/>
      <c r="F28" s="505"/>
      <c r="G28" s="501"/>
      <c r="H28" s="501"/>
      <c r="I28" s="501"/>
      <c r="J28" s="501"/>
      <c r="K28" s="501"/>
      <c r="L28" s="501"/>
    </row>
    <row r="29" spans="1:12" x14ac:dyDescent="0.25">
      <c r="A29" s="98"/>
      <c r="B29" s="98"/>
      <c r="C29" s="98"/>
      <c r="D29" s="98"/>
      <c r="E29" s="98"/>
      <c r="F29" s="505"/>
      <c r="G29" s="501"/>
      <c r="H29" s="501"/>
      <c r="I29" s="501"/>
      <c r="J29" s="501"/>
      <c r="K29" s="501"/>
      <c r="L29" s="501"/>
    </row>
    <row r="31" spans="1:12" x14ac:dyDescent="0.25">
      <c r="B31" s="102" t="s">
        <v>357</v>
      </c>
      <c r="C31" s="102"/>
      <c r="D31" s="102"/>
      <c r="E31" s="102"/>
      <c r="F31" s="102"/>
      <c r="G31" s="103"/>
      <c r="H31" s="103"/>
      <c r="I31" s="103"/>
      <c r="J31" s="103"/>
      <c r="K31" s="103"/>
      <c r="L31" s="102"/>
    </row>
    <row r="33" spans="5:10" x14ac:dyDescent="0.25">
      <c r="E33" s="108" t="s">
        <v>358</v>
      </c>
      <c r="F33" s="337"/>
      <c r="G33" s="112"/>
      <c r="H33" s="112"/>
      <c r="I33" s="112"/>
      <c r="J33" s="112"/>
    </row>
    <row r="34" spans="5:10" x14ac:dyDescent="0.25">
      <c r="F34" s="110" t="str">
        <f>"ARP_"&amp;F38</f>
        <v>ARP_Inputs by customer type</v>
      </c>
      <c r="G34" s="111"/>
      <c r="H34" s="506" t="s">
        <v>895</v>
      </c>
      <c r="I34" s="111" t="s">
        <v>814</v>
      </c>
      <c r="J34" s="205">
        <f>'ARP_Inputs by customer type'!$H$1384</f>
        <v>0</v>
      </c>
    </row>
    <row r="35" spans="5:10" x14ac:dyDescent="0.25">
      <c r="F35" s="110" t="str">
        <f>"ARP_"&amp;F39</f>
        <v>ARP_Inputs by network level</v>
      </c>
      <c r="G35" s="111"/>
      <c r="H35" s="506" t="s">
        <v>896</v>
      </c>
      <c r="I35" s="111" t="s">
        <v>814</v>
      </c>
      <c r="J35" s="205">
        <f>'ARP_Inputs by network level'!$H$218</f>
        <v>0</v>
      </c>
    </row>
    <row r="36" spans="5:10" x14ac:dyDescent="0.25">
      <c r="F36" s="110" t="str">
        <f>"ARP_"&amp;F40</f>
        <v>ARP_General inputs</v>
      </c>
      <c r="G36" s="111"/>
      <c r="H36" s="506" t="s">
        <v>897</v>
      </c>
      <c r="I36" s="111" t="s">
        <v>814</v>
      </c>
      <c r="J36" s="205">
        <f>'ARP_General inputs'!$H$122</f>
        <v>0</v>
      </c>
    </row>
    <row r="37" spans="5:10" x14ac:dyDescent="0.25">
      <c r="F37" s="110" t="s">
        <v>637</v>
      </c>
      <c r="G37" s="111"/>
      <c r="H37" s="506" t="s">
        <v>1108</v>
      </c>
      <c r="I37" s="111" t="s">
        <v>814</v>
      </c>
      <c r="J37" s="205">
        <f>'Fixed inputs'!H174</f>
        <v>0</v>
      </c>
    </row>
    <row r="38" spans="5:10" x14ac:dyDescent="0.25">
      <c r="E38" s="110"/>
      <c r="F38" s="110" t="s">
        <v>661</v>
      </c>
      <c r="G38" s="111"/>
      <c r="H38" s="506" t="s">
        <v>1109</v>
      </c>
      <c r="I38" s="111" t="s">
        <v>814</v>
      </c>
      <c r="J38" s="205">
        <f>'Inputs by customer type'!H88</f>
        <v>0</v>
      </c>
    </row>
    <row r="39" spans="5:10" x14ac:dyDescent="0.25">
      <c r="E39" s="110"/>
      <c r="F39" s="110" t="s">
        <v>323</v>
      </c>
      <c r="G39" s="111"/>
      <c r="H39" s="506" t="s">
        <v>1110</v>
      </c>
      <c r="I39" s="111" t="s">
        <v>814</v>
      </c>
      <c r="J39" s="206">
        <f>'Inputs by network level'!H59</f>
        <v>0</v>
      </c>
    </row>
    <row r="40" spans="5:10" x14ac:dyDescent="0.25">
      <c r="E40" s="110"/>
      <c r="F40" s="110" t="s">
        <v>776</v>
      </c>
      <c r="G40" s="111"/>
      <c r="H40" s="506" t="s">
        <v>1111</v>
      </c>
      <c r="I40" s="111" t="s">
        <v>814</v>
      </c>
      <c r="J40" s="205">
        <f>'General inputs'!H115</f>
        <v>0</v>
      </c>
    </row>
    <row r="41" spans="5:10" x14ac:dyDescent="0.25">
      <c r="F41" s="110" t="s">
        <v>640</v>
      </c>
      <c r="G41" s="111"/>
      <c r="H41" s="506" t="s">
        <v>1112</v>
      </c>
      <c r="I41" s="111" t="s">
        <v>814</v>
      </c>
      <c r="J41" s="206">
        <f>'Standing charge factors'!H58</f>
        <v>0</v>
      </c>
    </row>
    <row r="42" spans="5:10" x14ac:dyDescent="0.25">
      <c r="F42" s="110" t="s">
        <v>641</v>
      </c>
      <c r="G42" s="111"/>
      <c r="H42" s="506" t="s">
        <v>1113</v>
      </c>
      <c r="I42" s="111" t="s">
        <v>814</v>
      </c>
      <c r="J42" s="206">
        <f>'Load &amp; loss characteristics'!H302</f>
        <v>0</v>
      </c>
    </row>
    <row r="43" spans="5:10" x14ac:dyDescent="0.25">
      <c r="F43" s="110" t="s">
        <v>362</v>
      </c>
      <c r="G43" s="111"/>
      <c r="H43" s="506" t="s">
        <v>1114</v>
      </c>
      <c r="I43" s="111" t="s">
        <v>814</v>
      </c>
      <c r="J43" s="206">
        <f>'Customer contributions'!H104</f>
        <v>0</v>
      </c>
    </row>
    <row r="44" spans="5:10" x14ac:dyDescent="0.25">
      <c r="F44" s="110" t="s">
        <v>363</v>
      </c>
      <c r="G44" s="111"/>
      <c r="H44" s="506" t="s">
        <v>1115</v>
      </c>
      <c r="I44" s="111" t="s">
        <v>814</v>
      </c>
      <c r="J44" s="206">
        <f>'Volume adjustments'!H140</f>
        <v>0</v>
      </c>
    </row>
    <row r="45" spans="5:10" x14ac:dyDescent="0.25">
      <c r="F45" s="110" t="s">
        <v>354</v>
      </c>
      <c r="G45" s="111"/>
      <c r="H45" s="506" t="s">
        <v>1116</v>
      </c>
      <c r="I45" s="111" t="s">
        <v>814</v>
      </c>
      <c r="J45" s="206">
        <f>'Pseudo-load coefficients'!H543</f>
        <v>0</v>
      </c>
    </row>
    <row r="46" spans="5:10" x14ac:dyDescent="0.25">
      <c r="F46" s="110" t="s">
        <v>642</v>
      </c>
      <c r="G46" s="111"/>
      <c r="H46" s="506" t="s">
        <v>1117</v>
      </c>
      <c r="I46" s="111" t="s">
        <v>814</v>
      </c>
      <c r="J46" s="206">
        <f>'System peak demand'!H281</f>
        <v>0</v>
      </c>
    </row>
    <row r="47" spans="5:10" x14ac:dyDescent="0.25">
      <c r="F47" s="110" t="s">
        <v>355</v>
      </c>
      <c r="G47" s="111"/>
      <c r="H47" s="506" t="s">
        <v>1118</v>
      </c>
      <c r="I47" s="111" t="s">
        <v>814</v>
      </c>
      <c r="J47" s="206">
        <f>'Service model assets'!H38</f>
        <v>0</v>
      </c>
    </row>
    <row r="48" spans="5:10" x14ac:dyDescent="0.25">
      <c r="F48" s="110" t="s">
        <v>442</v>
      </c>
      <c r="G48" s="111"/>
      <c r="H48" s="506" t="s">
        <v>1119</v>
      </c>
      <c r="I48" s="111" t="s">
        <v>814</v>
      </c>
      <c r="J48" s="206">
        <f>'Unit costs'!H131</f>
        <v>0</v>
      </c>
    </row>
    <row r="49" spans="2:12" x14ac:dyDescent="0.25">
      <c r="F49" s="110" t="s">
        <v>364</v>
      </c>
      <c r="G49" s="111"/>
      <c r="H49" s="506" t="s">
        <v>1120</v>
      </c>
      <c r="I49" s="111" t="s">
        <v>814</v>
      </c>
      <c r="J49" s="206">
        <f>'Initial unit rates'!H294</f>
        <v>0</v>
      </c>
    </row>
    <row r="50" spans="2:12" x14ac:dyDescent="0.25">
      <c r="F50" s="110" t="s">
        <v>643</v>
      </c>
      <c r="G50" s="111"/>
      <c r="H50" s="506" t="s">
        <v>1121</v>
      </c>
      <c r="I50" s="111" t="s">
        <v>814</v>
      </c>
      <c r="J50" s="206">
        <f>'Service model charges'!H48</f>
        <v>0</v>
      </c>
    </row>
    <row r="51" spans="2:12" x14ac:dyDescent="0.25">
      <c r="F51" s="110" t="s">
        <v>644</v>
      </c>
      <c r="G51" s="111"/>
      <c r="H51" s="506" t="s">
        <v>1122</v>
      </c>
      <c r="I51" s="111" t="s">
        <v>814</v>
      </c>
      <c r="J51" s="206">
        <f>'Unit rate charges'!H223</f>
        <v>0</v>
      </c>
    </row>
    <row r="52" spans="2:12" x14ac:dyDescent="0.25">
      <c r="F52" s="110" t="s">
        <v>572</v>
      </c>
      <c r="G52" s="111"/>
      <c r="H52" s="506" t="s">
        <v>1123</v>
      </c>
      <c r="I52" s="111" t="s">
        <v>814</v>
      </c>
      <c r="J52" s="206">
        <f>'Reactive power charges'!H254</f>
        <v>0</v>
      </c>
    </row>
    <row r="53" spans="2:12" x14ac:dyDescent="0.25">
      <c r="F53" s="110" t="s">
        <v>366</v>
      </c>
      <c r="G53" s="111"/>
      <c r="H53" s="506" t="s">
        <v>1124</v>
      </c>
      <c r="I53" s="111" t="s">
        <v>814</v>
      </c>
      <c r="J53" s="206">
        <f>'Capacity charges'!H295</f>
        <v>0</v>
      </c>
    </row>
    <row r="54" spans="2:12" x14ac:dyDescent="0.25">
      <c r="F54" s="110" t="s">
        <v>367</v>
      </c>
      <c r="G54" s="111"/>
      <c r="H54" s="506" t="s">
        <v>1125</v>
      </c>
      <c r="I54" s="111" t="s">
        <v>814</v>
      </c>
      <c r="J54" s="206">
        <f>'Fixed charges'!H165</f>
        <v>0</v>
      </c>
    </row>
    <row r="55" spans="2:12" x14ac:dyDescent="0.25">
      <c r="F55" s="110" t="s">
        <v>368</v>
      </c>
      <c r="G55" s="111"/>
      <c r="H55" s="506" t="s">
        <v>1126</v>
      </c>
      <c r="I55" s="111" t="s">
        <v>814</v>
      </c>
      <c r="J55" s="206">
        <f>'Revenue matching'!H156</f>
        <v>0</v>
      </c>
    </row>
    <row r="56" spans="2:12" x14ac:dyDescent="0.25">
      <c r="F56" s="110" t="s">
        <v>309</v>
      </c>
      <c r="G56" s="111"/>
      <c r="H56" s="506" t="s">
        <v>1127</v>
      </c>
      <c r="I56" s="111" t="s">
        <v>814</v>
      </c>
      <c r="J56" s="206">
        <f>Rounding!H117</f>
        <v>0</v>
      </c>
    </row>
    <row r="57" spans="2:12" x14ac:dyDescent="0.25">
      <c r="F57" s="110" t="s">
        <v>777</v>
      </c>
      <c r="G57" s="111"/>
      <c r="H57" s="506" t="s">
        <v>1128</v>
      </c>
      <c r="I57" s="111" t="s">
        <v>814</v>
      </c>
      <c r="J57" s="205">
        <f>'Net revenue summary'!$H$130</f>
        <v>0</v>
      </c>
    </row>
    <row r="58" spans="2:12" x14ac:dyDescent="0.25">
      <c r="F58" s="110" t="s">
        <v>645</v>
      </c>
      <c r="G58" s="111"/>
      <c r="H58" s="506" t="s">
        <v>1129</v>
      </c>
      <c r="I58" s="111" t="s">
        <v>814</v>
      </c>
      <c r="J58" s="206">
        <f>'Tariff summary'!$H$659</f>
        <v>0</v>
      </c>
    </row>
    <row r="59" spans="2:12" x14ac:dyDescent="0.25">
      <c r="F59" s="110" t="s">
        <v>699</v>
      </c>
      <c r="G59" s="111"/>
      <c r="H59" s="506" t="s">
        <v>898</v>
      </c>
      <c r="I59" s="111" t="s">
        <v>814</v>
      </c>
      <c r="J59" s="205">
        <f>'Typical bills'!$H$124</f>
        <v>0</v>
      </c>
    </row>
    <row r="60" spans="2:12" s="225" customFormat="1" x14ac:dyDescent="0.25">
      <c r="F60" s="500" t="s">
        <v>128</v>
      </c>
      <c r="G60" s="480"/>
      <c r="H60" s="480"/>
      <c r="I60" s="480" t="s">
        <v>814</v>
      </c>
      <c r="J60" s="326">
        <f>IFERROR(SUM(J34:J59), 1)</f>
        <v>0</v>
      </c>
    </row>
    <row r="61" spans="2:12" x14ac:dyDescent="0.25">
      <c r="E61" s="111"/>
      <c r="F61" s="111"/>
      <c r="G61" s="111"/>
      <c r="H61" s="111"/>
      <c r="I61" s="111"/>
      <c r="J61" s="111"/>
    </row>
    <row r="62" spans="2:12" x14ac:dyDescent="0.25">
      <c r="B62" s="102" t="s">
        <v>359</v>
      </c>
      <c r="C62" s="102"/>
      <c r="D62" s="102"/>
      <c r="E62" s="102"/>
      <c r="F62" s="102"/>
      <c r="G62" s="103"/>
      <c r="H62" s="103"/>
      <c r="I62" s="103"/>
      <c r="J62" s="103"/>
      <c r="K62" s="103"/>
      <c r="L62" s="102"/>
    </row>
    <row r="64" spans="2:12" x14ac:dyDescent="0.25">
      <c r="F64" s="107" t="s">
        <v>360</v>
      </c>
    </row>
    <row r="65" spans="2:12" x14ac:dyDescent="0.25">
      <c r="F65" s="507" t="s">
        <v>353</v>
      </c>
    </row>
    <row r="66" spans="2:12" x14ac:dyDescent="0.25">
      <c r="F66" s="507" t="s">
        <v>925</v>
      </c>
    </row>
    <row r="67" spans="2:12" x14ac:dyDescent="0.25">
      <c r="F67" s="507" t="s">
        <v>1193</v>
      </c>
    </row>
    <row r="68" spans="2:12" s="225" customFormat="1" ht="30" x14ac:dyDescent="0.25">
      <c r="F68" s="597" t="s">
        <v>1200</v>
      </c>
    </row>
    <row r="69" spans="2:12" s="225" customFormat="1" x14ac:dyDescent="0.25">
      <c r="F69" s="507"/>
    </row>
    <row r="70" spans="2:12" s="225" customFormat="1" x14ac:dyDescent="0.25">
      <c r="F70" s="507"/>
    </row>
    <row r="71" spans="2:12" s="225" customFormat="1" x14ac:dyDescent="0.25">
      <c r="F71" s="507"/>
    </row>
    <row r="72" spans="2:12" s="225" customFormat="1" x14ac:dyDescent="0.25">
      <c r="F72" s="507"/>
    </row>
    <row r="73" spans="2:12" s="225" customFormat="1" x14ac:dyDescent="0.25">
      <c r="F73" s="507"/>
    </row>
    <row r="74" spans="2:12" s="225" customFormat="1" x14ac:dyDescent="0.25">
      <c r="F74" s="507"/>
    </row>
    <row r="75" spans="2:12" x14ac:dyDescent="0.25">
      <c r="F75" s="507" t="s">
        <v>361</v>
      </c>
    </row>
    <row r="77" spans="2:12" x14ac:dyDescent="0.25">
      <c r="B77" s="102" t="s">
        <v>127</v>
      </c>
      <c r="C77" s="102"/>
      <c r="D77" s="102"/>
      <c r="E77" s="102"/>
      <c r="F77" s="102"/>
      <c r="G77" s="103"/>
      <c r="H77" s="103"/>
      <c r="I77" s="103"/>
      <c r="J77" s="103"/>
      <c r="K77" s="103"/>
      <c r="L77" s="102"/>
    </row>
  </sheetData>
  <sheetProtection sheet="1" objects="1" formatCells="0" formatColumns="0" formatRows="0" sort="0" autoFilter="0"/>
  <dataConsolidate/>
  <conditionalFormatting sqref="J34:J60">
    <cfRule type="cellIs" dxfId="125" priority="2" operator="greaterThan">
      <formula>0</formula>
    </cfRule>
  </conditionalFormatting>
  <conditionalFormatting sqref="A4:XFD4">
    <cfRule type="expression" dxfId="124" priority="1">
      <formula>LEFT($A$4,1) &lt;&gt; "0"</formula>
    </cfRule>
  </conditionalFormatting>
  <dataValidations count="3">
    <dataValidation type="whole" operator="greaterThan" allowBlank="1" showInputMessage="1" showErrorMessage="1" errorTitle="Stage model version" error="A positive integer value has not been selected" promptTitle="Stage model version" prompt="Input must be an integer. The value should return to 1 when a new development stage is reached." sqref="H20:H29">
      <formula1>0</formula1>
    </dataValidation>
    <dataValidation type="date" operator="greaterThan" allowBlank="1" showInputMessage="1" showErrorMessage="1" promptTitle="Model date" prompt="Input a date" sqref="F20:F29">
      <formula1>43028</formula1>
    </dataValidation>
    <dataValidation type="list" allowBlank="1" showInputMessage="1" showErrorMessage="1" errorTitle="Development stage" error="Selection is not consistent with the list of options specified below" promptTitle="Development stage" prompt="Select from the list of options" sqref="G20:G29">
      <formula1>$F$65:$F$75</formula1>
    </dataValidation>
  </dataValidations>
  <hyperlinks>
    <hyperlink ref="I65" location="'Cover'!A1" display="Cover"/>
    <hyperlink ref="I66" location="'Version control'!A1" display="Version control"/>
    <hyperlink ref="I75" location="'Model map'!A1" display="Model map"/>
    <hyperlink ref="I76" location="'Inputs &gt;&gt;'!A1" display="Inputs &gt;&gt;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4" tint="0.59999389629810485"/>
    <pageSetUpPr fitToPage="1"/>
  </sheetPr>
  <dimension ref="A1:KG106"/>
  <sheetViews>
    <sheetView showGridLines="0" zoomScale="80" zoomScaleNormal="80" workbookViewId="0">
      <pane xSplit="9" ySplit="5" topLeftCell="J6" activePane="bottomRight" state="frozen"/>
      <selection activeCell="N50" sqref="N50"/>
      <selection pane="topRight" activeCell="N50" sqref="N50"/>
      <selection pane="bottomLeft" activeCell="N50" sqref="N50"/>
      <selection pane="bottomRight" activeCell="J6" sqref="J6"/>
    </sheetView>
  </sheetViews>
  <sheetFormatPr defaultColWidth="0" defaultRowHeight="15" x14ac:dyDescent="0.25"/>
  <cols>
    <col min="1" max="3" width="2.7109375" style="17" customWidth="1"/>
    <col min="4" max="4" width="2.7109375" style="21" customWidth="1"/>
    <col min="5" max="5" width="2.7109375" style="160" customWidth="1"/>
    <col min="6" max="6" width="59.5703125" style="17" customWidth="1"/>
    <col min="7" max="8" width="20.7109375" style="17" customWidth="1"/>
    <col min="9" max="9" width="2.28515625" style="17" customWidth="1"/>
    <col min="10" max="21" width="17" style="17" customWidth="1"/>
    <col min="22" max="22" width="2.28515625" style="17" customWidth="1"/>
    <col min="23" max="23" width="50.7109375" style="17" customWidth="1"/>
    <col min="24" max="24" width="2.28515625" style="17" customWidth="1"/>
    <col min="25" max="42" width="17" style="17" hidden="1" customWidth="1"/>
    <col min="43" max="43" width="2.28515625" style="17" hidden="1" customWidth="1"/>
    <col min="44" max="44" width="18.28515625" style="17" hidden="1" customWidth="1"/>
    <col min="45" max="45" width="4.28515625" style="17" hidden="1" customWidth="1"/>
    <col min="46" max="293" width="24.7109375" style="17" hidden="1" customWidth="1"/>
    <col min="294" max="16384" width="8.85546875" style="17" hidden="1"/>
  </cols>
  <sheetData>
    <row r="1" spans="1:97" s="25" customFormat="1" x14ac:dyDescent="0.25">
      <c r="A1" s="25" t="str">
        <f ca="1">MID(CELL("filename",A1),FIND("]",CELL("filename",A1))+1,255)</f>
        <v>Customer contributions</v>
      </c>
    </row>
    <row r="2" spans="1:97" s="25" customFormat="1" x14ac:dyDescent="0.25">
      <c r="A2" s="25" t="str">
        <f>Cover!D21&amp;" - "&amp;Cover!D23</f>
        <v>SEPD - Final</v>
      </c>
    </row>
    <row r="3" spans="1:97" s="97" customFormat="1" x14ac:dyDescent="0.25">
      <c r="A3" s="97" t="str">
        <f>Cover!D2&amp;" - "&amp;Cover!D8&amp;" v"&amp;Cover!D10&amp;" - "&amp;Cover!D19</f>
        <v>ARP model - Release for charge setting v3 - 2020/21</v>
      </c>
    </row>
    <row r="4" spans="1:97" s="338" customFormat="1" x14ac:dyDescent="0.25">
      <c r="A4" s="392" t="str">
        <f>H104 &amp; IF(H104 = 1, " issue", " issues") &amp;" identified in checks on this sheet"</f>
        <v>0 issues identified in checks on this sheet</v>
      </c>
      <c r="B4" s="393"/>
      <c r="C4" s="393"/>
      <c r="D4" s="393"/>
      <c r="E4" s="393"/>
      <c r="F4" s="393"/>
      <c r="G4" s="393"/>
      <c r="H4" s="394"/>
      <c r="I4" s="394"/>
      <c r="J4" s="393"/>
      <c r="K4" s="383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3"/>
      <c r="AD4" s="383"/>
      <c r="AE4" s="383"/>
      <c r="AF4" s="383"/>
      <c r="AG4" s="383"/>
      <c r="AH4" s="383"/>
      <c r="AI4" s="383"/>
      <c r="AJ4" s="383"/>
      <c r="AK4" s="383"/>
      <c r="AL4" s="383"/>
      <c r="AM4" s="383"/>
      <c r="AN4" s="383"/>
      <c r="AO4" s="383"/>
      <c r="AP4" s="383"/>
      <c r="AQ4" s="383"/>
      <c r="AR4" s="383"/>
      <c r="AS4" s="383"/>
      <c r="AT4" s="383"/>
      <c r="AU4" s="383"/>
      <c r="AV4" s="383"/>
      <c r="AW4" s="383"/>
      <c r="AX4" s="383"/>
      <c r="AY4" s="383"/>
      <c r="AZ4" s="383"/>
      <c r="BA4" s="383"/>
      <c r="BB4" s="383"/>
      <c r="BC4" s="383"/>
      <c r="BD4" s="383"/>
      <c r="BE4" s="383"/>
      <c r="BF4" s="383"/>
      <c r="BG4" s="383"/>
      <c r="BH4" s="383"/>
      <c r="BI4" s="383"/>
      <c r="BJ4" s="383"/>
      <c r="BK4" s="383"/>
      <c r="BL4" s="383"/>
      <c r="BM4" s="383"/>
      <c r="BN4" s="383"/>
      <c r="BO4" s="383"/>
      <c r="BP4" s="383"/>
      <c r="BQ4" s="383"/>
      <c r="BR4" s="383"/>
      <c r="BS4" s="383"/>
      <c r="BT4" s="383"/>
      <c r="BU4" s="383"/>
      <c r="BV4" s="383"/>
      <c r="BW4" s="383"/>
      <c r="BX4" s="383"/>
      <c r="BY4" s="383"/>
      <c r="BZ4" s="383"/>
      <c r="CA4" s="383"/>
      <c r="CB4" s="383"/>
      <c r="CC4" s="383"/>
      <c r="CD4" s="383"/>
      <c r="CE4" s="383"/>
      <c r="CF4" s="383"/>
      <c r="CG4" s="383"/>
      <c r="CH4" s="383"/>
      <c r="CI4" s="383"/>
      <c r="CJ4" s="383"/>
      <c r="CK4" s="383"/>
      <c r="CL4" s="383"/>
      <c r="CM4" s="383"/>
      <c r="CN4" s="383"/>
      <c r="CO4" s="383"/>
      <c r="CP4" s="383"/>
      <c r="CQ4" s="383"/>
      <c r="CR4" s="383"/>
      <c r="CS4" s="383"/>
    </row>
    <row r="5" spans="1:97" x14ac:dyDescent="0.25">
      <c r="B5" s="244" t="s">
        <v>667</v>
      </c>
      <c r="C5" s="24"/>
      <c r="D5" s="24"/>
      <c r="E5" s="24"/>
      <c r="F5" s="24"/>
      <c r="G5" s="1" t="s">
        <v>108</v>
      </c>
      <c r="H5" s="2" t="s">
        <v>109</v>
      </c>
      <c r="I5" s="160"/>
      <c r="J5" s="383"/>
      <c r="K5" s="383"/>
      <c r="L5" s="383"/>
      <c r="M5" s="383"/>
      <c r="N5" s="383"/>
      <c r="O5" s="383"/>
      <c r="P5" s="383"/>
      <c r="Q5" s="383"/>
      <c r="R5" s="383"/>
      <c r="S5" s="383"/>
      <c r="T5" s="383"/>
      <c r="U5" s="383"/>
      <c r="W5" s="1" t="s">
        <v>110</v>
      </c>
    </row>
    <row r="6" spans="1:97" s="160" customFormat="1" x14ac:dyDescent="0.25"/>
    <row r="7" spans="1:97" x14ac:dyDescent="0.25">
      <c r="B7" s="34" t="s">
        <v>107</v>
      </c>
      <c r="C7" s="34"/>
      <c r="D7" s="34"/>
      <c r="E7" s="171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171"/>
      <c r="W7" s="171"/>
    </row>
    <row r="9" spans="1:97" x14ac:dyDescent="0.25">
      <c r="C9" s="152" t="s">
        <v>1064</v>
      </c>
    </row>
    <row r="10" spans="1:97" s="474" customFormat="1" x14ac:dyDescent="0.25">
      <c r="C10" s="152" t="s">
        <v>1065</v>
      </c>
    </row>
    <row r="12" spans="1:97" x14ac:dyDescent="0.25">
      <c r="B12" s="34" t="s">
        <v>362</v>
      </c>
      <c r="C12" s="34"/>
      <c r="D12" s="34"/>
      <c r="E12" s="171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171"/>
      <c r="W12" s="171"/>
    </row>
    <row r="14" spans="1:97" s="160" customFormat="1" x14ac:dyDescent="0.25">
      <c r="C14" s="152" t="s">
        <v>634</v>
      </c>
    </row>
    <row r="15" spans="1:97" s="160" customFormat="1" x14ac:dyDescent="0.25"/>
    <row r="16" spans="1:97" s="338" customFormat="1" x14ac:dyDescent="0.25">
      <c r="C16" s="22" t="str">
        <f ca="1">INDEX('Version control'!$H$34:$H$59,MATCH($A$1,'Version control'!$F$34:$F$59,0),1)&amp;"-A: Network use factors"</f>
        <v>Section 506-A: Network use factors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</row>
    <row r="17" spans="4:23" s="338" customFormat="1" x14ac:dyDescent="0.25"/>
    <row r="18" spans="4:23" x14ac:dyDescent="0.25">
      <c r="D18" s="17"/>
      <c r="E18" s="36" t="s">
        <v>170</v>
      </c>
      <c r="F18" s="21"/>
      <c r="H18" s="8"/>
      <c r="I18" s="8" t="s">
        <v>525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W18" s="8" t="s">
        <v>950</v>
      </c>
    </row>
    <row r="19" spans="4:23" s="21" customFormat="1" x14ac:dyDescent="0.25">
      <c r="E19" s="65" t="s">
        <v>319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W19" s="8"/>
    </row>
    <row r="20" spans="4:23" x14ac:dyDescent="0.25">
      <c r="D20" s="17"/>
      <c r="E20" s="17"/>
      <c r="F20" s="29"/>
      <c r="G20" s="29"/>
      <c r="H20" s="28"/>
      <c r="I20" s="28"/>
      <c r="J20" s="221" t="s">
        <v>100</v>
      </c>
      <c r="K20" s="221" t="s">
        <v>99</v>
      </c>
      <c r="L20" s="221" t="s">
        <v>98</v>
      </c>
      <c r="M20" s="221" t="s">
        <v>97</v>
      </c>
      <c r="O20" s="8"/>
      <c r="P20" s="8"/>
      <c r="Q20" s="8"/>
      <c r="R20" s="8"/>
      <c r="S20" s="8"/>
      <c r="T20" s="8"/>
      <c r="U20" s="8"/>
    </row>
    <row r="21" spans="4:23" x14ac:dyDescent="0.25">
      <c r="D21" s="17"/>
      <c r="E21" s="17"/>
      <c r="F21" s="37" t="s">
        <v>52</v>
      </c>
      <c r="G21" s="238" t="s">
        <v>149</v>
      </c>
      <c r="H21" s="43"/>
      <c r="I21" s="43"/>
      <c r="J21" s="250">
        <f t="array" ref="J21:M53">TRANSPOSE('Fixed inputs'!J53:AP56)</f>
        <v>0</v>
      </c>
      <c r="K21" s="250">
        <v>0</v>
      </c>
      <c r="L21" s="250">
        <v>0</v>
      </c>
      <c r="M21" s="250">
        <v>1</v>
      </c>
      <c r="O21" s="160"/>
      <c r="P21" s="160"/>
      <c r="Q21" s="160"/>
      <c r="R21" s="160"/>
      <c r="S21" s="8"/>
      <c r="T21" s="8"/>
      <c r="U21" s="8"/>
      <c r="W21" s="8"/>
    </row>
    <row r="22" spans="4:23" x14ac:dyDescent="0.25">
      <c r="D22" s="17"/>
      <c r="E22" s="17"/>
      <c r="F22" s="35" t="s">
        <v>53</v>
      </c>
      <c r="G22" s="194" t="s">
        <v>149</v>
      </c>
      <c r="H22" s="8"/>
      <c r="I22" s="8"/>
      <c r="J22" s="251">
        <v>0</v>
      </c>
      <c r="K22" s="251">
        <v>0</v>
      </c>
      <c r="L22" s="251">
        <v>0</v>
      </c>
      <c r="M22" s="251">
        <v>1</v>
      </c>
      <c r="O22" s="160"/>
      <c r="P22" s="160"/>
      <c r="Q22" s="160"/>
      <c r="R22" s="160"/>
      <c r="S22" s="8"/>
      <c r="T22" s="8"/>
      <c r="U22" s="8"/>
      <c r="W22" s="8"/>
    </row>
    <row r="23" spans="4:23" x14ac:dyDescent="0.25">
      <c r="D23" s="17"/>
      <c r="E23" s="17"/>
      <c r="F23" s="35" t="s">
        <v>84</v>
      </c>
      <c r="G23" s="194" t="s">
        <v>149</v>
      </c>
      <c r="H23" s="8"/>
      <c r="I23" s="8"/>
      <c r="J23" s="251">
        <v>0</v>
      </c>
      <c r="K23" s="251">
        <v>0</v>
      </c>
      <c r="L23" s="251">
        <v>0</v>
      </c>
      <c r="M23" s="251">
        <v>1</v>
      </c>
      <c r="O23" s="160"/>
      <c r="P23" s="160"/>
      <c r="Q23" s="160"/>
      <c r="R23" s="160"/>
      <c r="S23" s="8"/>
      <c r="T23" s="8"/>
      <c r="U23" s="8"/>
      <c r="W23" s="8"/>
    </row>
    <row r="24" spans="4:23" x14ac:dyDescent="0.25">
      <c r="D24" s="17"/>
      <c r="E24" s="17"/>
      <c r="F24" s="35" t="s">
        <v>54</v>
      </c>
      <c r="G24" s="194" t="s">
        <v>149</v>
      </c>
      <c r="H24" s="8"/>
      <c r="I24" s="8"/>
      <c r="J24" s="251">
        <v>0</v>
      </c>
      <c r="K24" s="251">
        <v>0</v>
      </c>
      <c r="L24" s="251">
        <v>0</v>
      </c>
      <c r="M24" s="251">
        <v>1</v>
      </c>
      <c r="O24" s="160"/>
      <c r="P24" s="160"/>
      <c r="Q24" s="160"/>
      <c r="R24" s="160"/>
      <c r="S24" s="8"/>
      <c r="T24" s="8"/>
      <c r="U24" s="8"/>
      <c r="W24" s="8"/>
    </row>
    <row r="25" spans="4:23" x14ac:dyDescent="0.25">
      <c r="D25" s="17"/>
      <c r="E25" s="17"/>
      <c r="F25" s="35" t="s">
        <v>55</v>
      </c>
      <c r="G25" s="194" t="s">
        <v>149</v>
      </c>
      <c r="H25" s="8"/>
      <c r="I25" s="8"/>
      <c r="J25" s="251">
        <v>0</v>
      </c>
      <c r="K25" s="251">
        <v>0</v>
      </c>
      <c r="L25" s="251">
        <v>0</v>
      </c>
      <c r="M25" s="251">
        <v>1</v>
      </c>
      <c r="O25" s="160"/>
      <c r="P25" s="160"/>
      <c r="Q25" s="160"/>
      <c r="R25" s="160"/>
      <c r="S25" s="8"/>
      <c r="T25" s="8"/>
      <c r="U25" s="8"/>
      <c r="W25" s="8"/>
    </row>
    <row r="26" spans="4:23" x14ac:dyDescent="0.25">
      <c r="D26" s="17"/>
      <c r="E26" s="17"/>
      <c r="F26" s="35" t="s">
        <v>85</v>
      </c>
      <c r="G26" s="194" t="s">
        <v>149</v>
      </c>
      <c r="H26" s="8"/>
      <c r="I26" s="8"/>
      <c r="J26" s="251">
        <v>0</v>
      </c>
      <c r="K26" s="251">
        <v>0</v>
      </c>
      <c r="L26" s="251">
        <v>0</v>
      </c>
      <c r="M26" s="251">
        <v>1</v>
      </c>
      <c r="O26" s="160"/>
      <c r="P26" s="160"/>
      <c r="Q26" s="160"/>
      <c r="R26" s="160"/>
      <c r="S26" s="8"/>
      <c r="T26" s="8"/>
      <c r="U26" s="8"/>
      <c r="W26" s="8"/>
    </row>
    <row r="27" spans="4:23" x14ac:dyDescent="0.25">
      <c r="D27" s="17"/>
      <c r="E27" s="17"/>
      <c r="F27" s="35" t="s">
        <v>56</v>
      </c>
      <c r="G27" s="194" t="s">
        <v>149</v>
      </c>
      <c r="H27" s="8"/>
      <c r="I27" s="8"/>
      <c r="J27" s="251">
        <v>0</v>
      </c>
      <c r="K27" s="251">
        <v>0</v>
      </c>
      <c r="L27" s="251">
        <v>0</v>
      </c>
      <c r="M27" s="251">
        <v>1</v>
      </c>
      <c r="O27" s="160"/>
      <c r="P27" s="160"/>
      <c r="Q27" s="160"/>
      <c r="R27" s="160"/>
      <c r="S27" s="8"/>
      <c r="T27" s="8"/>
      <c r="U27" s="8"/>
      <c r="W27" s="8"/>
    </row>
    <row r="28" spans="4:23" x14ac:dyDescent="0.25">
      <c r="D28" s="17"/>
      <c r="E28" s="17"/>
      <c r="F28" s="35" t="s">
        <v>57</v>
      </c>
      <c r="G28" s="194" t="s">
        <v>149</v>
      </c>
      <c r="H28" s="8"/>
      <c r="I28" s="8"/>
      <c r="J28" s="251">
        <v>0</v>
      </c>
      <c r="K28" s="251">
        <v>0</v>
      </c>
      <c r="L28" s="251">
        <v>1</v>
      </c>
      <c r="M28" s="251">
        <v>0</v>
      </c>
      <c r="O28" s="160"/>
      <c r="P28" s="160"/>
      <c r="Q28" s="160"/>
      <c r="R28" s="160"/>
      <c r="S28" s="8"/>
      <c r="T28" s="8"/>
      <c r="U28" s="8"/>
      <c r="W28" s="8"/>
    </row>
    <row r="29" spans="4:23" x14ac:dyDescent="0.25">
      <c r="D29" s="17"/>
      <c r="E29" s="17"/>
      <c r="F29" s="35" t="s">
        <v>72</v>
      </c>
      <c r="G29" s="194" t="s">
        <v>149</v>
      </c>
      <c r="H29" s="8"/>
      <c r="I29" s="8"/>
      <c r="J29" s="251">
        <v>0</v>
      </c>
      <c r="K29" s="251">
        <v>1</v>
      </c>
      <c r="L29" s="251">
        <v>0</v>
      </c>
      <c r="M29" s="251">
        <v>0</v>
      </c>
      <c r="O29" s="160"/>
      <c r="P29" s="160"/>
      <c r="Q29" s="160"/>
      <c r="R29" s="160"/>
      <c r="S29" s="8"/>
      <c r="T29" s="8"/>
      <c r="U29" s="8"/>
      <c r="W29" s="8"/>
    </row>
    <row r="30" spans="4:23" x14ac:dyDescent="0.25">
      <c r="D30" s="17"/>
      <c r="E30" s="17"/>
      <c r="F30" s="35" t="s">
        <v>58</v>
      </c>
      <c r="G30" s="194" t="s">
        <v>149</v>
      </c>
      <c r="H30" s="8"/>
      <c r="I30" s="8"/>
      <c r="J30" s="251">
        <v>0</v>
      </c>
      <c r="K30" s="251">
        <v>0</v>
      </c>
      <c r="L30" s="251">
        <v>0</v>
      </c>
      <c r="M30" s="251">
        <v>1</v>
      </c>
      <c r="O30" s="160"/>
      <c r="P30" s="160"/>
      <c r="Q30" s="160"/>
      <c r="R30" s="160"/>
      <c r="S30" s="8"/>
      <c r="T30" s="8"/>
      <c r="U30" s="8"/>
      <c r="W30" s="8"/>
    </row>
    <row r="31" spans="4:23" x14ac:dyDescent="0.25">
      <c r="D31" s="17"/>
      <c r="E31" s="17"/>
      <c r="F31" s="35" t="s">
        <v>59</v>
      </c>
      <c r="G31" s="194" t="s">
        <v>149</v>
      </c>
      <c r="H31" s="8"/>
      <c r="I31" s="8"/>
      <c r="J31" s="251">
        <v>0</v>
      </c>
      <c r="K31" s="251">
        <v>0</v>
      </c>
      <c r="L31" s="251">
        <v>0</v>
      </c>
      <c r="M31" s="251">
        <v>1</v>
      </c>
      <c r="O31" s="160"/>
      <c r="P31" s="160"/>
      <c r="Q31" s="160"/>
      <c r="R31" s="160"/>
      <c r="S31" s="8"/>
      <c r="T31" s="8"/>
      <c r="U31" s="8"/>
      <c r="W31" s="8"/>
    </row>
    <row r="32" spans="4:23" x14ac:dyDescent="0.25">
      <c r="D32" s="17"/>
      <c r="E32" s="17"/>
      <c r="F32" s="35" t="s">
        <v>60</v>
      </c>
      <c r="G32" s="194" t="s">
        <v>149</v>
      </c>
      <c r="H32" s="8"/>
      <c r="I32" s="8"/>
      <c r="J32" s="251">
        <v>0</v>
      </c>
      <c r="K32" s="251">
        <v>0</v>
      </c>
      <c r="L32" s="251">
        <v>0</v>
      </c>
      <c r="M32" s="251">
        <v>1</v>
      </c>
      <c r="O32" s="160"/>
      <c r="P32" s="160"/>
      <c r="Q32" s="160"/>
      <c r="R32" s="160"/>
      <c r="S32" s="8"/>
      <c r="T32" s="8"/>
      <c r="U32" s="8"/>
      <c r="W32" s="8"/>
    </row>
    <row r="33" spans="4:23" x14ac:dyDescent="0.25">
      <c r="D33" s="17"/>
      <c r="E33" s="17"/>
      <c r="F33" s="35" t="s">
        <v>61</v>
      </c>
      <c r="G33" s="194" t="s">
        <v>149</v>
      </c>
      <c r="H33" s="8"/>
      <c r="I33" s="8"/>
      <c r="J33" s="251">
        <v>0</v>
      </c>
      <c r="K33" s="251">
        <v>0</v>
      </c>
      <c r="L33" s="251">
        <v>1</v>
      </c>
      <c r="M33" s="251">
        <v>0</v>
      </c>
      <c r="O33" s="160"/>
      <c r="P33" s="160"/>
      <c r="Q33" s="160"/>
      <c r="R33" s="160"/>
      <c r="S33" s="8"/>
      <c r="T33" s="8"/>
      <c r="U33" s="8"/>
      <c r="W33" s="8"/>
    </row>
    <row r="34" spans="4:23" x14ac:dyDescent="0.25">
      <c r="D34" s="17"/>
      <c r="E34" s="17"/>
      <c r="F34" s="35" t="s">
        <v>73</v>
      </c>
      <c r="G34" s="194" t="s">
        <v>149</v>
      </c>
      <c r="H34" s="8"/>
      <c r="I34" s="8"/>
      <c r="J34" s="251">
        <v>0</v>
      </c>
      <c r="K34" s="251">
        <v>1</v>
      </c>
      <c r="L34" s="251">
        <v>0</v>
      </c>
      <c r="M34" s="251">
        <v>0</v>
      </c>
      <c r="O34" s="160"/>
      <c r="P34" s="160"/>
      <c r="Q34" s="160"/>
      <c r="R34" s="160"/>
      <c r="S34" s="8"/>
      <c r="T34" s="8"/>
      <c r="U34" s="8"/>
      <c r="W34" s="8"/>
    </row>
    <row r="35" spans="4:23" x14ac:dyDescent="0.25">
      <c r="D35" s="17"/>
      <c r="E35" s="17"/>
      <c r="F35" s="35" t="s">
        <v>86</v>
      </c>
      <c r="G35" s="194" t="s">
        <v>149</v>
      </c>
      <c r="H35" s="8"/>
      <c r="I35" s="8"/>
      <c r="J35" s="251">
        <v>0</v>
      </c>
      <c r="K35" s="251">
        <v>0</v>
      </c>
      <c r="L35" s="251">
        <v>0</v>
      </c>
      <c r="M35" s="251">
        <v>1</v>
      </c>
      <c r="O35" s="160"/>
      <c r="P35" s="160"/>
      <c r="Q35" s="160"/>
      <c r="R35" s="160"/>
      <c r="S35" s="8"/>
      <c r="T35" s="8"/>
      <c r="U35" s="8"/>
      <c r="W35" s="8"/>
    </row>
    <row r="36" spans="4:23" x14ac:dyDescent="0.25">
      <c r="D36" s="17"/>
      <c r="E36" s="17"/>
      <c r="F36" s="35" t="s">
        <v>87</v>
      </c>
      <c r="G36" s="194" t="s">
        <v>149</v>
      </c>
      <c r="H36" s="8"/>
      <c r="I36" s="8"/>
      <c r="J36" s="251">
        <v>0</v>
      </c>
      <c r="K36" s="251">
        <v>0</v>
      </c>
      <c r="L36" s="251">
        <v>0</v>
      </c>
      <c r="M36" s="251">
        <v>1</v>
      </c>
      <c r="O36" s="160"/>
      <c r="P36" s="160"/>
      <c r="Q36" s="160"/>
      <c r="R36" s="160"/>
      <c r="S36" s="8"/>
      <c r="T36" s="8"/>
      <c r="U36" s="8"/>
      <c r="W36" s="8"/>
    </row>
    <row r="37" spans="4:23" x14ac:dyDescent="0.25">
      <c r="D37" s="17"/>
      <c r="E37" s="17"/>
      <c r="F37" s="35" t="s">
        <v>88</v>
      </c>
      <c r="G37" s="194" t="s">
        <v>149</v>
      </c>
      <c r="H37" s="8"/>
      <c r="I37" s="8"/>
      <c r="J37" s="251">
        <v>0</v>
      </c>
      <c r="K37" s="251">
        <v>0</v>
      </c>
      <c r="L37" s="251">
        <v>0</v>
      </c>
      <c r="M37" s="251">
        <v>1</v>
      </c>
      <c r="O37" s="160"/>
      <c r="P37" s="160"/>
      <c r="Q37" s="160"/>
      <c r="R37" s="160"/>
      <c r="S37" s="8"/>
      <c r="T37" s="8"/>
      <c r="U37" s="8"/>
      <c r="W37" s="8"/>
    </row>
    <row r="38" spans="4:23" x14ac:dyDescent="0.25">
      <c r="D38" s="17"/>
      <c r="E38" s="17"/>
      <c r="F38" s="35" t="s">
        <v>89</v>
      </c>
      <c r="G38" s="194" t="s">
        <v>149</v>
      </c>
      <c r="H38" s="8"/>
      <c r="I38" s="8"/>
      <c r="J38" s="251">
        <v>0</v>
      </c>
      <c r="K38" s="251">
        <v>0</v>
      </c>
      <c r="L38" s="251">
        <v>0</v>
      </c>
      <c r="M38" s="251">
        <v>1</v>
      </c>
      <c r="O38" s="160"/>
      <c r="P38" s="160"/>
      <c r="Q38" s="160"/>
      <c r="R38" s="160"/>
      <c r="S38" s="8"/>
      <c r="T38" s="8"/>
      <c r="U38" s="8"/>
      <c r="W38" s="8"/>
    </row>
    <row r="39" spans="4:23" x14ac:dyDescent="0.25">
      <c r="D39" s="17"/>
      <c r="E39" s="17"/>
      <c r="F39" s="35" t="s">
        <v>90</v>
      </c>
      <c r="G39" s="194" t="s">
        <v>149</v>
      </c>
      <c r="H39" s="8"/>
      <c r="I39" s="8"/>
      <c r="J39" s="251">
        <v>0</v>
      </c>
      <c r="K39" s="251">
        <v>0</v>
      </c>
      <c r="L39" s="251">
        <v>0</v>
      </c>
      <c r="M39" s="251">
        <v>1</v>
      </c>
      <c r="O39" s="160"/>
      <c r="P39" s="160"/>
      <c r="Q39" s="160"/>
      <c r="R39" s="160"/>
      <c r="S39" s="8"/>
      <c r="T39" s="8"/>
      <c r="U39" s="8"/>
      <c r="W39" s="8"/>
    </row>
    <row r="40" spans="4:23" x14ac:dyDescent="0.25">
      <c r="D40" s="17"/>
      <c r="E40" s="17"/>
      <c r="F40" s="35" t="s">
        <v>62</v>
      </c>
      <c r="G40" s="194" t="s">
        <v>149</v>
      </c>
      <c r="H40" s="8"/>
      <c r="I40" s="8"/>
      <c r="J40" s="251">
        <v>0</v>
      </c>
      <c r="K40" s="251">
        <v>0</v>
      </c>
      <c r="L40" s="251">
        <v>0</v>
      </c>
      <c r="M40" s="251">
        <v>1</v>
      </c>
      <c r="O40" s="160"/>
      <c r="P40" s="160"/>
      <c r="Q40" s="160"/>
      <c r="R40" s="160"/>
      <c r="S40" s="8"/>
      <c r="T40" s="8"/>
      <c r="U40" s="8"/>
      <c r="W40" s="8"/>
    </row>
    <row r="41" spans="4:23" x14ac:dyDescent="0.25">
      <c r="D41" s="17"/>
      <c r="E41" s="17"/>
      <c r="F41" s="35" t="s">
        <v>63</v>
      </c>
      <c r="G41" s="194" t="s">
        <v>149</v>
      </c>
      <c r="H41" s="8"/>
      <c r="I41" s="8"/>
      <c r="J41" s="251">
        <v>0</v>
      </c>
      <c r="K41" s="251">
        <v>0</v>
      </c>
      <c r="L41" s="251">
        <v>1</v>
      </c>
      <c r="M41" s="251">
        <v>0</v>
      </c>
      <c r="O41" s="160"/>
      <c r="P41" s="160"/>
      <c r="Q41" s="160"/>
      <c r="R41" s="160"/>
      <c r="S41" s="8"/>
      <c r="T41" s="8"/>
      <c r="U41" s="8"/>
      <c r="W41" s="8"/>
    </row>
    <row r="42" spans="4:23" x14ac:dyDescent="0.25">
      <c r="D42" s="17"/>
      <c r="E42" s="17"/>
      <c r="F42" s="35" t="s">
        <v>64</v>
      </c>
      <c r="G42" s="194" t="s">
        <v>149</v>
      </c>
      <c r="H42" s="8"/>
      <c r="I42" s="8"/>
      <c r="J42" s="251">
        <v>0</v>
      </c>
      <c r="K42" s="251">
        <v>0</v>
      </c>
      <c r="L42" s="251">
        <v>0</v>
      </c>
      <c r="M42" s="251">
        <v>1</v>
      </c>
      <c r="O42" s="160"/>
      <c r="P42" s="160"/>
      <c r="Q42" s="160"/>
      <c r="R42" s="160"/>
      <c r="S42" s="8"/>
      <c r="T42" s="8"/>
      <c r="U42" s="8"/>
      <c r="W42" s="8"/>
    </row>
    <row r="43" spans="4:23" x14ac:dyDescent="0.25">
      <c r="D43" s="17"/>
      <c r="E43" s="17"/>
      <c r="F43" s="35" t="s">
        <v>65</v>
      </c>
      <c r="G43" s="194" t="s">
        <v>149</v>
      </c>
      <c r="H43" s="8"/>
      <c r="I43" s="8"/>
      <c r="J43" s="251">
        <v>0</v>
      </c>
      <c r="K43" s="251">
        <v>0</v>
      </c>
      <c r="L43" s="251">
        <v>0</v>
      </c>
      <c r="M43" s="251">
        <v>1</v>
      </c>
      <c r="O43" s="160"/>
      <c r="P43" s="160"/>
      <c r="Q43" s="160"/>
      <c r="R43" s="160"/>
      <c r="S43" s="8"/>
      <c r="T43" s="8"/>
      <c r="U43" s="8"/>
      <c r="W43" s="8"/>
    </row>
    <row r="44" spans="4:23" x14ac:dyDescent="0.25">
      <c r="D44" s="17"/>
      <c r="E44" s="17"/>
      <c r="F44" s="35" t="s">
        <v>66</v>
      </c>
      <c r="G44" s="194" t="s">
        <v>149</v>
      </c>
      <c r="H44" s="8"/>
      <c r="I44" s="8"/>
      <c r="J44" s="251">
        <v>0</v>
      </c>
      <c r="K44" s="251">
        <v>0</v>
      </c>
      <c r="L44" s="251">
        <v>0</v>
      </c>
      <c r="M44" s="251">
        <v>1</v>
      </c>
      <c r="O44" s="160"/>
      <c r="P44" s="160"/>
      <c r="Q44" s="160"/>
      <c r="R44" s="160"/>
      <c r="S44" s="8"/>
      <c r="T44" s="8"/>
      <c r="U44" s="8"/>
      <c r="W44" s="8"/>
    </row>
    <row r="45" spans="4:23" x14ac:dyDescent="0.25">
      <c r="D45" s="17"/>
      <c r="E45" s="17"/>
      <c r="F45" s="35" t="s">
        <v>67</v>
      </c>
      <c r="G45" s="194" t="s">
        <v>149</v>
      </c>
      <c r="H45" s="8"/>
      <c r="I45" s="8"/>
      <c r="J45" s="251">
        <v>0</v>
      </c>
      <c r="K45" s="251">
        <v>0</v>
      </c>
      <c r="L45" s="251">
        <v>0</v>
      </c>
      <c r="M45" s="251">
        <v>1</v>
      </c>
      <c r="O45" s="160"/>
      <c r="P45" s="160"/>
      <c r="Q45" s="160"/>
      <c r="R45" s="160"/>
      <c r="S45" s="8"/>
      <c r="T45" s="8"/>
      <c r="U45" s="8"/>
      <c r="W45" s="8"/>
    </row>
    <row r="46" spans="4:23" x14ac:dyDescent="0.25">
      <c r="D46" s="17"/>
      <c r="E46" s="17"/>
      <c r="F46" s="35" t="s">
        <v>68</v>
      </c>
      <c r="G46" s="194" t="s">
        <v>149</v>
      </c>
      <c r="H46" s="8"/>
      <c r="I46" s="8"/>
      <c r="J46" s="251">
        <v>0</v>
      </c>
      <c r="K46" s="251">
        <v>0</v>
      </c>
      <c r="L46" s="251">
        <v>1</v>
      </c>
      <c r="M46" s="251">
        <v>0</v>
      </c>
      <c r="O46" s="160"/>
      <c r="P46" s="160"/>
      <c r="Q46" s="160"/>
      <c r="R46" s="160"/>
      <c r="S46" s="8"/>
      <c r="T46" s="8"/>
      <c r="U46" s="8"/>
      <c r="W46" s="8"/>
    </row>
    <row r="47" spans="4:23" x14ac:dyDescent="0.25">
      <c r="D47" s="17"/>
      <c r="E47" s="17"/>
      <c r="F47" s="35" t="s">
        <v>69</v>
      </c>
      <c r="G47" s="194" t="s">
        <v>149</v>
      </c>
      <c r="H47" s="8"/>
      <c r="I47" s="8"/>
      <c r="J47" s="251">
        <v>0</v>
      </c>
      <c r="K47" s="251">
        <v>0</v>
      </c>
      <c r="L47" s="251">
        <v>1</v>
      </c>
      <c r="M47" s="251">
        <v>0</v>
      </c>
      <c r="O47" s="160"/>
      <c r="P47" s="160"/>
      <c r="Q47" s="160"/>
      <c r="R47" s="160"/>
      <c r="S47" s="8"/>
      <c r="T47" s="8"/>
      <c r="U47" s="8"/>
      <c r="W47" s="8"/>
    </row>
    <row r="48" spans="4:23" x14ac:dyDescent="0.25">
      <c r="D48" s="17"/>
      <c r="E48" s="17"/>
      <c r="F48" s="35" t="s">
        <v>70</v>
      </c>
      <c r="G48" s="194" t="s">
        <v>149</v>
      </c>
      <c r="H48" s="8"/>
      <c r="I48" s="8"/>
      <c r="J48" s="251">
        <v>0</v>
      </c>
      <c r="K48" s="251">
        <v>0</v>
      </c>
      <c r="L48" s="251">
        <v>1</v>
      </c>
      <c r="M48" s="251">
        <v>0</v>
      </c>
      <c r="O48" s="160"/>
      <c r="P48" s="160"/>
      <c r="Q48" s="160"/>
      <c r="R48" s="160"/>
      <c r="S48" s="8"/>
      <c r="T48" s="8"/>
      <c r="U48" s="8"/>
      <c r="W48" s="8"/>
    </row>
    <row r="49" spans="3:23" x14ac:dyDescent="0.25">
      <c r="D49" s="17"/>
      <c r="E49" s="17"/>
      <c r="F49" s="35" t="s">
        <v>71</v>
      </c>
      <c r="G49" s="194" t="s">
        <v>149</v>
      </c>
      <c r="H49" s="8"/>
      <c r="I49" s="8"/>
      <c r="J49" s="251">
        <v>0</v>
      </c>
      <c r="K49" s="251">
        <v>0</v>
      </c>
      <c r="L49" s="251">
        <v>1</v>
      </c>
      <c r="M49" s="251">
        <v>0</v>
      </c>
      <c r="O49" s="160"/>
      <c r="P49" s="160"/>
      <c r="Q49" s="160"/>
      <c r="R49" s="160"/>
      <c r="S49" s="8"/>
      <c r="T49" s="8"/>
      <c r="U49" s="8"/>
      <c r="W49" s="8"/>
    </row>
    <row r="50" spans="3:23" x14ac:dyDescent="0.25">
      <c r="D50" s="17"/>
      <c r="E50" s="17"/>
      <c r="F50" s="35" t="s">
        <v>74</v>
      </c>
      <c r="G50" s="194" t="s">
        <v>149</v>
      </c>
      <c r="H50" s="8"/>
      <c r="I50" s="8"/>
      <c r="J50" s="251">
        <v>0</v>
      </c>
      <c r="K50" s="251">
        <v>1</v>
      </c>
      <c r="L50" s="251">
        <v>0</v>
      </c>
      <c r="M50" s="251">
        <v>0</v>
      </c>
      <c r="O50" s="160"/>
      <c r="P50" s="160"/>
      <c r="Q50" s="160"/>
      <c r="R50" s="160"/>
      <c r="S50" s="8"/>
      <c r="T50" s="8"/>
      <c r="U50" s="8"/>
      <c r="W50" s="8"/>
    </row>
    <row r="51" spans="3:23" x14ac:dyDescent="0.25">
      <c r="D51" s="17"/>
      <c r="E51" s="17"/>
      <c r="F51" s="35" t="s">
        <v>75</v>
      </c>
      <c r="G51" s="194" t="s">
        <v>149</v>
      </c>
      <c r="H51" s="8"/>
      <c r="I51" s="8"/>
      <c r="J51" s="251">
        <v>0</v>
      </c>
      <c r="K51" s="251">
        <v>1</v>
      </c>
      <c r="L51" s="251">
        <v>0</v>
      </c>
      <c r="M51" s="251">
        <v>0</v>
      </c>
      <c r="O51" s="160"/>
      <c r="P51" s="160"/>
      <c r="Q51" s="160"/>
      <c r="R51" s="160"/>
      <c r="S51" s="8"/>
      <c r="T51" s="8"/>
      <c r="U51" s="8"/>
      <c r="W51" s="8"/>
    </row>
    <row r="52" spans="3:23" x14ac:dyDescent="0.25">
      <c r="D52" s="17"/>
      <c r="E52" s="17"/>
      <c r="F52" s="35" t="s">
        <v>76</v>
      </c>
      <c r="G52" s="194" t="s">
        <v>149</v>
      </c>
      <c r="H52" s="8"/>
      <c r="I52" s="8"/>
      <c r="J52" s="251">
        <v>0</v>
      </c>
      <c r="K52" s="251">
        <v>1</v>
      </c>
      <c r="L52" s="251">
        <v>0</v>
      </c>
      <c r="M52" s="251">
        <v>0</v>
      </c>
      <c r="O52" s="160"/>
      <c r="P52" s="160"/>
      <c r="Q52" s="160"/>
      <c r="R52" s="160"/>
      <c r="S52" s="8"/>
      <c r="T52" s="8"/>
      <c r="U52" s="8"/>
      <c r="W52" s="8"/>
    </row>
    <row r="53" spans="3:23" x14ac:dyDescent="0.25">
      <c r="D53" s="17"/>
      <c r="E53" s="17"/>
      <c r="F53" s="38" t="s">
        <v>77</v>
      </c>
      <c r="G53" s="239" t="s">
        <v>149</v>
      </c>
      <c r="H53" s="39"/>
      <c r="I53" s="39"/>
      <c r="J53" s="252">
        <v>0</v>
      </c>
      <c r="K53" s="252">
        <v>1</v>
      </c>
      <c r="L53" s="252">
        <v>0</v>
      </c>
      <c r="M53" s="252">
        <v>0</v>
      </c>
      <c r="O53" s="160"/>
      <c r="P53" s="160"/>
      <c r="Q53" s="160"/>
      <c r="R53" s="160"/>
      <c r="S53" s="8"/>
      <c r="T53" s="8"/>
      <c r="U53" s="8"/>
      <c r="W53" s="8"/>
    </row>
    <row r="54" spans="3:23" x14ac:dyDescent="0.25">
      <c r="D54" s="17"/>
      <c r="E54" s="21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W54" s="8"/>
    </row>
    <row r="55" spans="3:23" s="474" customFormat="1" x14ac:dyDescent="0.25">
      <c r="C55" s="22" t="str">
        <f ca="1">INDEX('Version control'!$H$34:$H$59,MATCH($A$1,'Version control'!$F$34:$F$59,0),1)&amp;"-B: Customer contributions"</f>
        <v>Section 506-B: Customer contributions</v>
      </c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</row>
    <row r="56" spans="3:23" s="474" customFormat="1" x14ac:dyDescent="0.25"/>
    <row r="57" spans="3:23" s="21" customFormat="1" x14ac:dyDescent="0.25">
      <c r="E57" s="36" t="s">
        <v>736</v>
      </c>
      <c r="H57" s="8"/>
      <c r="I57" s="8" t="s">
        <v>525</v>
      </c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W57" s="163" t="s">
        <v>961</v>
      </c>
    </row>
    <row r="58" spans="3:23" s="21" customFormat="1" x14ac:dyDescent="0.25">
      <c r="E58" s="65" t="s">
        <v>320</v>
      </c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W58" s="8"/>
    </row>
    <row r="59" spans="3:23" x14ac:dyDescent="0.25">
      <c r="D59" s="17"/>
      <c r="E59" s="36"/>
      <c r="F59" s="58"/>
      <c r="G59" s="58"/>
      <c r="H59" s="58"/>
      <c r="I59" s="58"/>
      <c r="J59" s="58" t="s">
        <v>397</v>
      </c>
      <c r="K59" s="59" t="s">
        <v>43</v>
      </c>
      <c r="L59" s="59" t="s">
        <v>44</v>
      </c>
      <c r="M59" s="59" t="s">
        <v>45</v>
      </c>
      <c r="N59" s="59" t="s">
        <v>46</v>
      </c>
      <c r="O59" s="59" t="s">
        <v>47</v>
      </c>
      <c r="P59" s="59" t="s">
        <v>51</v>
      </c>
      <c r="Q59" s="59" t="s">
        <v>48</v>
      </c>
      <c r="R59" s="59" t="s">
        <v>49</v>
      </c>
      <c r="S59" s="59" t="s">
        <v>50</v>
      </c>
      <c r="T59" s="59" t="s">
        <v>141</v>
      </c>
      <c r="U59" s="59" t="s">
        <v>140</v>
      </c>
    </row>
    <row r="60" spans="3:23" x14ac:dyDescent="0.25">
      <c r="D60" s="17"/>
      <c r="E60" s="17"/>
      <c r="F60" s="37" t="s">
        <v>97</v>
      </c>
      <c r="G60" s="84" t="s">
        <v>111</v>
      </c>
      <c r="H60" s="43"/>
      <c r="I60" s="43"/>
      <c r="J60" s="178"/>
      <c r="K60" s="178"/>
      <c r="L60" s="181">
        <f>'Inputs by network level'!L29</f>
        <v>0</v>
      </c>
      <c r="M60" s="181">
        <f>'Inputs by network level'!M29</f>
        <v>0</v>
      </c>
      <c r="N60" s="181">
        <f>'Inputs by network level'!N29</f>
        <v>1.2370413198693E-2</v>
      </c>
      <c r="O60" s="181">
        <f>'Inputs by network level'!O29</f>
        <v>2.4400925983857801E-2</v>
      </c>
      <c r="P60" s="181">
        <f>'Inputs by network level'!P29</f>
        <v>0</v>
      </c>
      <c r="Q60" s="181">
        <f>'Inputs by network level'!Q29</f>
        <v>0.34379931777325301</v>
      </c>
      <c r="R60" s="181">
        <f>'Inputs by network level'!R29</f>
        <v>0.42351973684210498</v>
      </c>
      <c r="S60" s="181">
        <f>'Inputs by network level'!S29</f>
        <v>0.95595667870036105</v>
      </c>
      <c r="T60" s="178"/>
      <c r="U60" s="178"/>
      <c r="W60" s="8"/>
    </row>
    <row r="61" spans="3:23" x14ac:dyDescent="0.25">
      <c r="D61" s="17"/>
      <c r="E61" s="17"/>
      <c r="F61" s="35" t="s">
        <v>98</v>
      </c>
      <c r="G61" s="195" t="s">
        <v>111</v>
      </c>
      <c r="H61" s="8"/>
      <c r="I61" s="8"/>
      <c r="J61" s="178"/>
      <c r="K61" s="178"/>
      <c r="L61" s="207">
        <f>'Inputs by network level'!L30</f>
        <v>0</v>
      </c>
      <c r="M61" s="207">
        <f>'Inputs by network level'!M30</f>
        <v>0</v>
      </c>
      <c r="N61" s="207">
        <f>'Inputs by network level'!N30</f>
        <v>1.2370413198693E-2</v>
      </c>
      <c r="O61" s="207">
        <f>'Inputs by network level'!O30</f>
        <v>2.4400925983857801E-2</v>
      </c>
      <c r="P61" s="207">
        <f>'Inputs by network level'!P30</f>
        <v>0</v>
      </c>
      <c r="Q61" s="207">
        <f>'Inputs by network level'!Q30</f>
        <v>0.34379931777325301</v>
      </c>
      <c r="R61" s="207">
        <f>'Inputs by network level'!R30</f>
        <v>0.42351973684210498</v>
      </c>
      <c r="S61" s="207">
        <f>'Inputs by network level'!S30</f>
        <v>0</v>
      </c>
      <c r="T61" s="178"/>
      <c r="U61" s="178"/>
      <c r="W61" s="8"/>
    </row>
    <row r="62" spans="3:23" x14ac:dyDescent="0.25">
      <c r="D62" s="17"/>
      <c r="E62" s="17"/>
      <c r="F62" s="35" t="s">
        <v>99</v>
      </c>
      <c r="G62" s="195" t="s">
        <v>111</v>
      </c>
      <c r="H62" s="8"/>
      <c r="I62" s="8"/>
      <c r="J62" s="178"/>
      <c r="K62" s="178"/>
      <c r="L62" s="207">
        <f>'Inputs by network level'!L31</f>
        <v>0</v>
      </c>
      <c r="M62" s="207">
        <f>'Inputs by network level'!M31</f>
        <v>0</v>
      </c>
      <c r="N62" s="207">
        <f>'Inputs by network level'!N31</f>
        <v>3.4530744799792602E-2</v>
      </c>
      <c r="O62" s="207">
        <f>'Inputs by network level'!O31</f>
        <v>6.6381013698021907E-2</v>
      </c>
      <c r="P62" s="207">
        <f>'Inputs by network level'!P31</f>
        <v>0</v>
      </c>
      <c r="Q62" s="207">
        <f>'Inputs by network level'!Q31</f>
        <v>0.38323267678152101</v>
      </c>
      <c r="R62" s="207">
        <f>'Inputs by network level'!R31</f>
        <v>0</v>
      </c>
      <c r="S62" s="207">
        <f>'Inputs by network level'!S31</f>
        <v>0</v>
      </c>
      <c r="T62" s="178"/>
      <c r="U62" s="178"/>
      <c r="W62" s="8"/>
    </row>
    <row r="63" spans="3:23" x14ac:dyDescent="0.25">
      <c r="D63" s="17"/>
      <c r="E63" s="17"/>
      <c r="F63" s="38" t="s">
        <v>100</v>
      </c>
      <c r="G63" s="77" t="s">
        <v>111</v>
      </c>
      <c r="H63" s="39"/>
      <c r="I63" s="39"/>
      <c r="J63" s="179"/>
      <c r="K63" s="179"/>
      <c r="L63" s="182">
        <f>'Inputs by network level'!L32</f>
        <v>0</v>
      </c>
      <c r="M63" s="182">
        <f>'Inputs by network level'!M32</f>
        <v>0</v>
      </c>
      <c r="N63" s="182">
        <f>'Inputs by network level'!N32</f>
        <v>3.4530744799792602E-2</v>
      </c>
      <c r="O63" s="182">
        <f>'Inputs by network level'!O32</f>
        <v>6.6381013698021907E-2</v>
      </c>
      <c r="P63" s="182">
        <f>'Inputs by network level'!P32</f>
        <v>0</v>
      </c>
      <c r="Q63" s="182">
        <f>'Inputs by network level'!Q32</f>
        <v>0</v>
      </c>
      <c r="R63" s="182">
        <f>'Inputs by network level'!R32</f>
        <v>0</v>
      </c>
      <c r="S63" s="182">
        <f>'Inputs by network level'!S32</f>
        <v>0</v>
      </c>
      <c r="T63" s="179"/>
      <c r="U63" s="179"/>
      <c r="W63" s="8"/>
    </row>
    <row r="64" spans="3:23" s="21" customFormat="1" x14ac:dyDescent="0.25">
      <c r="G64" s="194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W64" s="8"/>
    </row>
    <row r="65" spans="4:23" s="21" customFormat="1" x14ac:dyDescent="0.25">
      <c r="E65" s="36" t="s">
        <v>737</v>
      </c>
      <c r="H65" s="194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W65" s="8"/>
    </row>
    <row r="66" spans="4:23" s="21" customFormat="1" x14ac:dyDescent="0.25">
      <c r="E66" s="65" t="s">
        <v>321</v>
      </c>
      <c r="H66" s="194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W66" s="8"/>
    </row>
    <row r="67" spans="4:23" x14ac:dyDescent="0.25">
      <c r="D67" s="17"/>
      <c r="E67" s="17"/>
      <c r="F67" s="58"/>
      <c r="G67" s="58"/>
      <c r="H67" s="292"/>
      <c r="I67" s="58"/>
      <c r="J67" s="58" t="s">
        <v>397</v>
      </c>
      <c r="K67" s="59" t="s">
        <v>43</v>
      </c>
      <c r="L67" s="59" t="s">
        <v>44</v>
      </c>
      <c r="M67" s="59" t="s">
        <v>45</v>
      </c>
      <c r="N67" s="59" t="s">
        <v>46</v>
      </c>
      <c r="O67" s="59" t="s">
        <v>47</v>
      </c>
      <c r="P67" s="59" t="s">
        <v>51</v>
      </c>
      <c r="Q67" s="59" t="s">
        <v>48</v>
      </c>
      <c r="R67" s="59" t="s">
        <v>49</v>
      </c>
      <c r="S67" s="59" t="s">
        <v>50</v>
      </c>
      <c r="T67" s="59" t="s">
        <v>141</v>
      </c>
      <c r="U67" s="59" t="s">
        <v>140</v>
      </c>
      <c r="W67" s="8"/>
    </row>
    <row r="68" spans="4:23" x14ac:dyDescent="0.25">
      <c r="D68" s="17"/>
      <c r="E68" s="17"/>
      <c r="F68" s="37" t="s">
        <v>52</v>
      </c>
      <c r="G68" s="145"/>
      <c r="H68" s="84" t="s">
        <v>111</v>
      </c>
      <c r="I68" s="15"/>
      <c r="J68" s="81"/>
      <c r="K68" s="81"/>
      <c r="L68" s="41">
        <f t="shared" ref="L68:S77" si="0">$M21 * L$60 + $L21 * L$61 + $K21 * L$62 + $J21 * L$63</f>
        <v>0</v>
      </c>
      <c r="M68" s="41">
        <f t="shared" si="0"/>
        <v>0</v>
      </c>
      <c r="N68" s="41">
        <f t="shared" si="0"/>
        <v>1.2370413198693E-2</v>
      </c>
      <c r="O68" s="41">
        <f t="shared" si="0"/>
        <v>2.4400925983857801E-2</v>
      </c>
      <c r="P68" s="41">
        <f t="shared" si="0"/>
        <v>0</v>
      </c>
      <c r="Q68" s="41">
        <f t="shared" si="0"/>
        <v>0.34379931777325301</v>
      </c>
      <c r="R68" s="41">
        <f t="shared" si="0"/>
        <v>0.42351973684210498</v>
      </c>
      <c r="S68" s="41">
        <f t="shared" si="0"/>
        <v>0.95595667870036105</v>
      </c>
      <c r="T68" s="81"/>
      <c r="U68" s="81"/>
    </row>
    <row r="69" spans="4:23" x14ac:dyDescent="0.25">
      <c r="D69" s="17"/>
      <c r="E69" s="17"/>
      <c r="F69" s="35" t="s">
        <v>53</v>
      </c>
      <c r="G69" s="35"/>
      <c r="H69" s="195" t="s">
        <v>111</v>
      </c>
      <c r="J69" s="81"/>
      <c r="K69" s="81"/>
      <c r="L69" s="41">
        <f t="shared" si="0"/>
        <v>0</v>
      </c>
      <c r="M69" s="41">
        <f t="shared" si="0"/>
        <v>0</v>
      </c>
      <c r="N69" s="41">
        <f t="shared" si="0"/>
        <v>1.2370413198693E-2</v>
      </c>
      <c r="O69" s="41">
        <f t="shared" si="0"/>
        <v>2.4400925983857801E-2</v>
      </c>
      <c r="P69" s="41">
        <f t="shared" si="0"/>
        <v>0</v>
      </c>
      <c r="Q69" s="41">
        <f t="shared" si="0"/>
        <v>0.34379931777325301</v>
      </c>
      <c r="R69" s="41">
        <f t="shared" si="0"/>
        <v>0.42351973684210498</v>
      </c>
      <c r="S69" s="41">
        <f t="shared" si="0"/>
        <v>0.95595667870036105</v>
      </c>
      <c r="T69" s="81"/>
      <c r="U69" s="81"/>
    </row>
    <row r="70" spans="4:23" x14ac:dyDescent="0.25">
      <c r="D70" s="17"/>
      <c r="E70" s="17"/>
      <c r="F70" s="35" t="s">
        <v>84</v>
      </c>
      <c r="G70" s="35"/>
      <c r="H70" s="195" t="s">
        <v>111</v>
      </c>
      <c r="J70" s="81"/>
      <c r="K70" s="81"/>
      <c r="L70" s="41">
        <f t="shared" si="0"/>
        <v>0</v>
      </c>
      <c r="M70" s="41">
        <f t="shared" si="0"/>
        <v>0</v>
      </c>
      <c r="N70" s="41">
        <f t="shared" si="0"/>
        <v>1.2370413198693E-2</v>
      </c>
      <c r="O70" s="41">
        <f t="shared" si="0"/>
        <v>2.4400925983857801E-2</v>
      </c>
      <c r="P70" s="41">
        <f t="shared" si="0"/>
        <v>0</v>
      </c>
      <c r="Q70" s="41">
        <f t="shared" si="0"/>
        <v>0.34379931777325301</v>
      </c>
      <c r="R70" s="41">
        <f t="shared" si="0"/>
        <v>0.42351973684210498</v>
      </c>
      <c r="S70" s="41">
        <f t="shared" si="0"/>
        <v>0.95595667870036105</v>
      </c>
      <c r="T70" s="81"/>
      <c r="U70" s="81"/>
    </row>
    <row r="71" spans="4:23" x14ac:dyDescent="0.25">
      <c r="D71" s="17"/>
      <c r="E71" s="17"/>
      <c r="F71" s="35" t="s">
        <v>54</v>
      </c>
      <c r="G71" s="35"/>
      <c r="H71" s="195" t="s">
        <v>111</v>
      </c>
      <c r="J71" s="81"/>
      <c r="K71" s="81"/>
      <c r="L71" s="41">
        <f t="shared" si="0"/>
        <v>0</v>
      </c>
      <c r="M71" s="41">
        <f t="shared" si="0"/>
        <v>0</v>
      </c>
      <c r="N71" s="41">
        <f t="shared" si="0"/>
        <v>1.2370413198693E-2</v>
      </c>
      <c r="O71" s="41">
        <f t="shared" si="0"/>
        <v>2.4400925983857801E-2</v>
      </c>
      <c r="P71" s="41">
        <f t="shared" si="0"/>
        <v>0</v>
      </c>
      <c r="Q71" s="41">
        <f t="shared" si="0"/>
        <v>0.34379931777325301</v>
      </c>
      <c r="R71" s="41">
        <f t="shared" si="0"/>
        <v>0.42351973684210498</v>
      </c>
      <c r="S71" s="41">
        <f t="shared" si="0"/>
        <v>0.95595667870036105</v>
      </c>
      <c r="T71" s="81"/>
      <c r="U71" s="81"/>
    </row>
    <row r="72" spans="4:23" x14ac:dyDescent="0.25">
      <c r="D72" s="17"/>
      <c r="E72" s="17"/>
      <c r="F72" s="35" t="s">
        <v>55</v>
      </c>
      <c r="G72" s="35"/>
      <c r="H72" s="195" t="s">
        <v>111</v>
      </c>
      <c r="J72" s="81"/>
      <c r="K72" s="81"/>
      <c r="L72" s="41">
        <f t="shared" si="0"/>
        <v>0</v>
      </c>
      <c r="M72" s="41">
        <f t="shared" si="0"/>
        <v>0</v>
      </c>
      <c r="N72" s="41">
        <f t="shared" si="0"/>
        <v>1.2370413198693E-2</v>
      </c>
      <c r="O72" s="41">
        <f t="shared" si="0"/>
        <v>2.4400925983857801E-2</v>
      </c>
      <c r="P72" s="41">
        <f t="shared" si="0"/>
        <v>0</v>
      </c>
      <c r="Q72" s="41">
        <f t="shared" si="0"/>
        <v>0.34379931777325301</v>
      </c>
      <c r="R72" s="41">
        <f t="shared" si="0"/>
        <v>0.42351973684210498</v>
      </c>
      <c r="S72" s="41">
        <f t="shared" si="0"/>
        <v>0.95595667870036105</v>
      </c>
      <c r="T72" s="81"/>
      <c r="U72" s="81"/>
    </row>
    <row r="73" spans="4:23" x14ac:dyDescent="0.25">
      <c r="D73" s="17"/>
      <c r="E73" s="17"/>
      <c r="F73" s="35" t="s">
        <v>85</v>
      </c>
      <c r="G73" s="35"/>
      <c r="H73" s="195" t="s">
        <v>111</v>
      </c>
      <c r="J73" s="81"/>
      <c r="K73" s="81"/>
      <c r="L73" s="41">
        <f t="shared" si="0"/>
        <v>0</v>
      </c>
      <c r="M73" s="41">
        <f t="shared" si="0"/>
        <v>0</v>
      </c>
      <c r="N73" s="41">
        <f t="shared" si="0"/>
        <v>1.2370413198693E-2</v>
      </c>
      <c r="O73" s="41">
        <f t="shared" si="0"/>
        <v>2.4400925983857801E-2</v>
      </c>
      <c r="P73" s="41">
        <f t="shared" si="0"/>
        <v>0</v>
      </c>
      <c r="Q73" s="41">
        <f t="shared" si="0"/>
        <v>0.34379931777325301</v>
      </c>
      <c r="R73" s="41">
        <f t="shared" si="0"/>
        <v>0.42351973684210498</v>
      </c>
      <c r="S73" s="41">
        <f t="shared" si="0"/>
        <v>0.95595667870036105</v>
      </c>
      <c r="T73" s="81"/>
      <c r="U73" s="81"/>
    </row>
    <row r="74" spans="4:23" x14ac:dyDescent="0.25">
      <c r="D74" s="17"/>
      <c r="E74" s="17"/>
      <c r="F74" s="35" t="s">
        <v>56</v>
      </c>
      <c r="G74" s="35"/>
      <c r="H74" s="195" t="s">
        <v>111</v>
      </c>
      <c r="J74" s="81"/>
      <c r="K74" s="81"/>
      <c r="L74" s="41">
        <f t="shared" si="0"/>
        <v>0</v>
      </c>
      <c r="M74" s="41">
        <f t="shared" si="0"/>
        <v>0</v>
      </c>
      <c r="N74" s="41">
        <f t="shared" si="0"/>
        <v>1.2370413198693E-2</v>
      </c>
      <c r="O74" s="41">
        <f t="shared" si="0"/>
        <v>2.4400925983857801E-2</v>
      </c>
      <c r="P74" s="41">
        <f t="shared" si="0"/>
        <v>0</v>
      </c>
      <c r="Q74" s="41">
        <f t="shared" si="0"/>
        <v>0.34379931777325301</v>
      </c>
      <c r="R74" s="41">
        <f t="shared" si="0"/>
        <v>0.42351973684210498</v>
      </c>
      <c r="S74" s="41">
        <f t="shared" si="0"/>
        <v>0.95595667870036105</v>
      </c>
      <c r="T74" s="81"/>
      <c r="U74" s="81"/>
    </row>
    <row r="75" spans="4:23" x14ac:dyDescent="0.25">
      <c r="D75" s="17"/>
      <c r="E75" s="17"/>
      <c r="F75" s="35" t="s">
        <v>57</v>
      </c>
      <c r="G75" s="35"/>
      <c r="H75" s="195" t="s">
        <v>111</v>
      </c>
      <c r="J75" s="81"/>
      <c r="K75" s="81"/>
      <c r="L75" s="41">
        <f t="shared" si="0"/>
        <v>0</v>
      </c>
      <c r="M75" s="41">
        <f t="shared" si="0"/>
        <v>0</v>
      </c>
      <c r="N75" s="41">
        <f t="shared" si="0"/>
        <v>1.2370413198693E-2</v>
      </c>
      <c r="O75" s="41">
        <f t="shared" si="0"/>
        <v>2.4400925983857801E-2</v>
      </c>
      <c r="P75" s="41">
        <f t="shared" si="0"/>
        <v>0</v>
      </c>
      <c r="Q75" s="41">
        <f t="shared" si="0"/>
        <v>0.34379931777325301</v>
      </c>
      <c r="R75" s="41">
        <f t="shared" si="0"/>
        <v>0.42351973684210498</v>
      </c>
      <c r="S75" s="41">
        <f t="shared" si="0"/>
        <v>0</v>
      </c>
      <c r="T75" s="81"/>
      <c r="U75" s="81"/>
    </row>
    <row r="76" spans="4:23" x14ac:dyDescent="0.25">
      <c r="D76" s="17"/>
      <c r="E76" s="17"/>
      <c r="F76" s="35" t="s">
        <v>72</v>
      </c>
      <c r="G76" s="35"/>
      <c r="H76" s="195" t="s">
        <v>111</v>
      </c>
      <c r="J76" s="81"/>
      <c r="K76" s="81"/>
      <c r="L76" s="41">
        <f t="shared" si="0"/>
        <v>0</v>
      </c>
      <c r="M76" s="41">
        <f t="shared" si="0"/>
        <v>0</v>
      </c>
      <c r="N76" s="41">
        <f t="shared" si="0"/>
        <v>3.4530744799792602E-2</v>
      </c>
      <c r="O76" s="41">
        <f t="shared" si="0"/>
        <v>6.6381013698021907E-2</v>
      </c>
      <c r="P76" s="41">
        <f t="shared" si="0"/>
        <v>0</v>
      </c>
      <c r="Q76" s="41">
        <f t="shared" si="0"/>
        <v>0.38323267678152101</v>
      </c>
      <c r="R76" s="41">
        <f t="shared" si="0"/>
        <v>0</v>
      </c>
      <c r="S76" s="41">
        <f t="shared" si="0"/>
        <v>0</v>
      </c>
      <c r="T76" s="81"/>
      <c r="U76" s="81"/>
    </row>
    <row r="77" spans="4:23" x14ac:dyDescent="0.25">
      <c r="D77" s="17"/>
      <c r="E77" s="17"/>
      <c r="F77" s="35" t="s">
        <v>58</v>
      </c>
      <c r="G77" s="35"/>
      <c r="H77" s="195" t="s">
        <v>111</v>
      </c>
      <c r="J77" s="81"/>
      <c r="K77" s="81"/>
      <c r="L77" s="41">
        <f t="shared" si="0"/>
        <v>0</v>
      </c>
      <c r="M77" s="41">
        <f t="shared" si="0"/>
        <v>0</v>
      </c>
      <c r="N77" s="41">
        <f t="shared" si="0"/>
        <v>1.2370413198693E-2</v>
      </c>
      <c r="O77" s="41">
        <f t="shared" si="0"/>
        <v>2.4400925983857801E-2</v>
      </c>
      <c r="P77" s="41">
        <f t="shared" si="0"/>
        <v>0</v>
      </c>
      <c r="Q77" s="41">
        <f t="shared" si="0"/>
        <v>0.34379931777325301</v>
      </c>
      <c r="R77" s="41">
        <f t="shared" si="0"/>
        <v>0.42351973684210498</v>
      </c>
      <c r="S77" s="41">
        <f t="shared" si="0"/>
        <v>0.95595667870036105</v>
      </c>
      <c r="T77" s="81"/>
      <c r="U77" s="81"/>
    </row>
    <row r="78" spans="4:23" x14ac:dyDescent="0.25">
      <c r="D78" s="17"/>
      <c r="E78" s="17"/>
      <c r="F78" s="35" t="s">
        <v>59</v>
      </c>
      <c r="G78" s="35"/>
      <c r="H78" s="195" t="s">
        <v>111</v>
      </c>
      <c r="J78" s="81"/>
      <c r="K78" s="81"/>
      <c r="L78" s="41">
        <f t="shared" ref="L78:S87" si="1">$M31 * L$60 + $L31 * L$61 + $K31 * L$62 + $J31 * L$63</f>
        <v>0</v>
      </c>
      <c r="M78" s="41">
        <f t="shared" si="1"/>
        <v>0</v>
      </c>
      <c r="N78" s="41">
        <f t="shared" si="1"/>
        <v>1.2370413198693E-2</v>
      </c>
      <c r="O78" s="41">
        <f t="shared" si="1"/>
        <v>2.4400925983857801E-2</v>
      </c>
      <c r="P78" s="41">
        <f t="shared" si="1"/>
        <v>0</v>
      </c>
      <c r="Q78" s="41">
        <f t="shared" si="1"/>
        <v>0.34379931777325301</v>
      </c>
      <c r="R78" s="41">
        <f t="shared" si="1"/>
        <v>0.42351973684210498</v>
      </c>
      <c r="S78" s="41">
        <f t="shared" si="1"/>
        <v>0.95595667870036105</v>
      </c>
      <c r="T78" s="81"/>
      <c r="U78" s="81"/>
    </row>
    <row r="79" spans="4:23" x14ac:dyDescent="0.25">
      <c r="D79" s="17"/>
      <c r="E79" s="17"/>
      <c r="F79" s="35" t="s">
        <v>60</v>
      </c>
      <c r="G79" s="35"/>
      <c r="H79" s="195" t="s">
        <v>111</v>
      </c>
      <c r="J79" s="81"/>
      <c r="K79" s="81"/>
      <c r="L79" s="41">
        <f t="shared" si="1"/>
        <v>0</v>
      </c>
      <c r="M79" s="41">
        <f t="shared" si="1"/>
        <v>0</v>
      </c>
      <c r="N79" s="41">
        <f t="shared" si="1"/>
        <v>1.2370413198693E-2</v>
      </c>
      <c r="O79" s="41">
        <f t="shared" si="1"/>
        <v>2.4400925983857801E-2</v>
      </c>
      <c r="P79" s="41">
        <f t="shared" si="1"/>
        <v>0</v>
      </c>
      <c r="Q79" s="41">
        <f t="shared" si="1"/>
        <v>0.34379931777325301</v>
      </c>
      <c r="R79" s="41">
        <f t="shared" si="1"/>
        <v>0.42351973684210498</v>
      </c>
      <c r="S79" s="41">
        <f t="shared" si="1"/>
        <v>0.95595667870036105</v>
      </c>
      <c r="T79" s="81"/>
      <c r="U79" s="81"/>
    </row>
    <row r="80" spans="4:23" x14ac:dyDescent="0.25">
      <c r="D80" s="17"/>
      <c r="E80" s="17"/>
      <c r="F80" s="35" t="s">
        <v>61</v>
      </c>
      <c r="G80" s="35"/>
      <c r="H80" s="195" t="s">
        <v>111</v>
      </c>
      <c r="J80" s="81"/>
      <c r="K80" s="81"/>
      <c r="L80" s="41">
        <f t="shared" si="1"/>
        <v>0</v>
      </c>
      <c r="M80" s="41">
        <f t="shared" si="1"/>
        <v>0</v>
      </c>
      <c r="N80" s="41">
        <f t="shared" si="1"/>
        <v>1.2370413198693E-2</v>
      </c>
      <c r="O80" s="41">
        <f t="shared" si="1"/>
        <v>2.4400925983857801E-2</v>
      </c>
      <c r="P80" s="41">
        <f t="shared" si="1"/>
        <v>0</v>
      </c>
      <c r="Q80" s="41">
        <f t="shared" si="1"/>
        <v>0.34379931777325301</v>
      </c>
      <c r="R80" s="41">
        <f t="shared" si="1"/>
        <v>0.42351973684210498</v>
      </c>
      <c r="S80" s="41">
        <f t="shared" si="1"/>
        <v>0</v>
      </c>
      <c r="T80" s="81"/>
      <c r="U80" s="81"/>
    </row>
    <row r="81" spans="4:21" x14ac:dyDescent="0.25">
      <c r="D81" s="17"/>
      <c r="E81" s="17"/>
      <c r="F81" s="35" t="s">
        <v>73</v>
      </c>
      <c r="G81" s="35"/>
      <c r="H81" s="195" t="s">
        <v>111</v>
      </c>
      <c r="J81" s="81"/>
      <c r="K81" s="81"/>
      <c r="L81" s="41">
        <f t="shared" si="1"/>
        <v>0</v>
      </c>
      <c r="M81" s="41">
        <f t="shared" si="1"/>
        <v>0</v>
      </c>
      <c r="N81" s="41">
        <f t="shared" si="1"/>
        <v>3.4530744799792602E-2</v>
      </c>
      <c r="O81" s="41">
        <f t="shared" si="1"/>
        <v>6.6381013698021907E-2</v>
      </c>
      <c r="P81" s="41">
        <f t="shared" si="1"/>
        <v>0</v>
      </c>
      <c r="Q81" s="41">
        <f t="shared" si="1"/>
        <v>0.38323267678152101</v>
      </c>
      <c r="R81" s="41">
        <f t="shared" si="1"/>
        <v>0</v>
      </c>
      <c r="S81" s="41">
        <f t="shared" si="1"/>
        <v>0</v>
      </c>
      <c r="T81" s="81"/>
      <c r="U81" s="81"/>
    </row>
    <row r="82" spans="4:21" x14ac:dyDescent="0.25">
      <c r="D82" s="17"/>
      <c r="E82" s="17"/>
      <c r="F82" s="35" t="s">
        <v>86</v>
      </c>
      <c r="G82" s="35"/>
      <c r="H82" s="195" t="s">
        <v>111</v>
      </c>
      <c r="J82" s="81"/>
      <c r="K82" s="81"/>
      <c r="L82" s="41">
        <f t="shared" si="1"/>
        <v>0</v>
      </c>
      <c r="M82" s="41">
        <f t="shared" si="1"/>
        <v>0</v>
      </c>
      <c r="N82" s="41">
        <f t="shared" si="1"/>
        <v>1.2370413198693E-2</v>
      </c>
      <c r="O82" s="41">
        <f t="shared" si="1"/>
        <v>2.4400925983857801E-2</v>
      </c>
      <c r="P82" s="41">
        <f t="shared" si="1"/>
        <v>0</v>
      </c>
      <c r="Q82" s="41">
        <f t="shared" si="1"/>
        <v>0.34379931777325301</v>
      </c>
      <c r="R82" s="41">
        <f t="shared" si="1"/>
        <v>0.42351973684210498</v>
      </c>
      <c r="S82" s="41">
        <f t="shared" si="1"/>
        <v>0.95595667870036105</v>
      </c>
      <c r="T82" s="81"/>
      <c r="U82" s="81"/>
    </row>
    <row r="83" spans="4:21" x14ac:dyDescent="0.25">
      <c r="D83" s="17"/>
      <c r="E83" s="17"/>
      <c r="F83" s="35" t="s">
        <v>87</v>
      </c>
      <c r="G83" s="35"/>
      <c r="H83" s="195" t="s">
        <v>111</v>
      </c>
      <c r="J83" s="81"/>
      <c r="K83" s="81"/>
      <c r="L83" s="41">
        <f t="shared" si="1"/>
        <v>0</v>
      </c>
      <c r="M83" s="41">
        <f t="shared" si="1"/>
        <v>0</v>
      </c>
      <c r="N83" s="41">
        <f t="shared" si="1"/>
        <v>1.2370413198693E-2</v>
      </c>
      <c r="O83" s="41">
        <f t="shared" si="1"/>
        <v>2.4400925983857801E-2</v>
      </c>
      <c r="P83" s="41">
        <f t="shared" si="1"/>
        <v>0</v>
      </c>
      <c r="Q83" s="41">
        <f t="shared" si="1"/>
        <v>0.34379931777325301</v>
      </c>
      <c r="R83" s="41">
        <f t="shared" si="1"/>
        <v>0.42351973684210498</v>
      </c>
      <c r="S83" s="41">
        <f t="shared" si="1"/>
        <v>0.95595667870036105</v>
      </c>
      <c r="T83" s="81"/>
      <c r="U83" s="81"/>
    </row>
    <row r="84" spans="4:21" x14ac:dyDescent="0.25">
      <c r="D84" s="17"/>
      <c r="E84" s="17"/>
      <c r="F84" s="35" t="s">
        <v>88</v>
      </c>
      <c r="G84" s="35"/>
      <c r="H84" s="195" t="s">
        <v>111</v>
      </c>
      <c r="J84" s="81"/>
      <c r="K84" s="81"/>
      <c r="L84" s="41">
        <f t="shared" si="1"/>
        <v>0</v>
      </c>
      <c r="M84" s="41">
        <f t="shared" si="1"/>
        <v>0</v>
      </c>
      <c r="N84" s="41">
        <f t="shared" si="1"/>
        <v>1.2370413198693E-2</v>
      </c>
      <c r="O84" s="41">
        <f t="shared" si="1"/>
        <v>2.4400925983857801E-2</v>
      </c>
      <c r="P84" s="41">
        <f t="shared" si="1"/>
        <v>0</v>
      </c>
      <c r="Q84" s="41">
        <f t="shared" si="1"/>
        <v>0.34379931777325301</v>
      </c>
      <c r="R84" s="41">
        <f t="shared" si="1"/>
        <v>0.42351973684210498</v>
      </c>
      <c r="S84" s="41">
        <f t="shared" si="1"/>
        <v>0.95595667870036105</v>
      </c>
      <c r="T84" s="81"/>
      <c r="U84" s="81"/>
    </row>
    <row r="85" spans="4:21" x14ac:dyDescent="0.25">
      <c r="D85" s="17"/>
      <c r="E85" s="17"/>
      <c r="F85" s="35" t="s">
        <v>89</v>
      </c>
      <c r="G85" s="35"/>
      <c r="H85" s="195" t="s">
        <v>111</v>
      </c>
      <c r="J85" s="81"/>
      <c r="K85" s="81"/>
      <c r="L85" s="41">
        <f t="shared" si="1"/>
        <v>0</v>
      </c>
      <c r="M85" s="41">
        <f t="shared" si="1"/>
        <v>0</v>
      </c>
      <c r="N85" s="41">
        <f t="shared" si="1"/>
        <v>1.2370413198693E-2</v>
      </c>
      <c r="O85" s="41">
        <f t="shared" si="1"/>
        <v>2.4400925983857801E-2</v>
      </c>
      <c r="P85" s="41">
        <f t="shared" si="1"/>
        <v>0</v>
      </c>
      <c r="Q85" s="41">
        <f t="shared" si="1"/>
        <v>0.34379931777325301</v>
      </c>
      <c r="R85" s="41">
        <f t="shared" si="1"/>
        <v>0.42351973684210498</v>
      </c>
      <c r="S85" s="41">
        <f t="shared" si="1"/>
        <v>0.95595667870036105</v>
      </c>
      <c r="T85" s="81"/>
      <c r="U85" s="81"/>
    </row>
    <row r="86" spans="4:21" x14ac:dyDescent="0.25">
      <c r="D86" s="17"/>
      <c r="E86" s="17"/>
      <c r="F86" s="35" t="s">
        <v>90</v>
      </c>
      <c r="G86" s="35"/>
      <c r="H86" s="195" t="s">
        <v>111</v>
      </c>
      <c r="J86" s="81"/>
      <c r="K86" s="81"/>
      <c r="L86" s="41">
        <f t="shared" si="1"/>
        <v>0</v>
      </c>
      <c r="M86" s="41">
        <f t="shared" si="1"/>
        <v>0</v>
      </c>
      <c r="N86" s="41">
        <f t="shared" si="1"/>
        <v>1.2370413198693E-2</v>
      </c>
      <c r="O86" s="41">
        <f t="shared" si="1"/>
        <v>2.4400925983857801E-2</v>
      </c>
      <c r="P86" s="41">
        <f t="shared" si="1"/>
        <v>0</v>
      </c>
      <c r="Q86" s="41">
        <f t="shared" si="1"/>
        <v>0.34379931777325301</v>
      </c>
      <c r="R86" s="41">
        <f t="shared" si="1"/>
        <v>0.42351973684210498</v>
      </c>
      <c r="S86" s="41">
        <f t="shared" si="1"/>
        <v>0.95595667870036105</v>
      </c>
      <c r="T86" s="81"/>
      <c r="U86" s="81"/>
    </row>
    <row r="87" spans="4:21" x14ac:dyDescent="0.25">
      <c r="D87" s="17"/>
      <c r="E87" s="17"/>
      <c r="F87" s="35" t="s">
        <v>62</v>
      </c>
      <c r="G87" s="35"/>
      <c r="H87" s="195" t="s">
        <v>111</v>
      </c>
      <c r="J87" s="81"/>
      <c r="K87" s="81"/>
      <c r="L87" s="41">
        <f t="shared" si="1"/>
        <v>0</v>
      </c>
      <c r="M87" s="41">
        <f t="shared" si="1"/>
        <v>0</v>
      </c>
      <c r="N87" s="41">
        <f t="shared" si="1"/>
        <v>1.2370413198693E-2</v>
      </c>
      <c r="O87" s="41">
        <f t="shared" si="1"/>
        <v>2.4400925983857801E-2</v>
      </c>
      <c r="P87" s="41">
        <f t="shared" si="1"/>
        <v>0</v>
      </c>
      <c r="Q87" s="41">
        <f t="shared" si="1"/>
        <v>0.34379931777325301</v>
      </c>
      <c r="R87" s="41">
        <f t="shared" si="1"/>
        <v>0.42351973684210498</v>
      </c>
      <c r="S87" s="41">
        <f t="shared" si="1"/>
        <v>0.95595667870036105</v>
      </c>
      <c r="T87" s="81"/>
      <c r="U87" s="81"/>
    </row>
    <row r="88" spans="4:21" x14ac:dyDescent="0.25">
      <c r="D88" s="17"/>
      <c r="E88" s="17"/>
      <c r="F88" s="35" t="s">
        <v>63</v>
      </c>
      <c r="G88" s="35"/>
      <c r="H88" s="195" t="s">
        <v>111</v>
      </c>
      <c r="J88" s="81"/>
      <c r="K88" s="81"/>
      <c r="L88" s="41">
        <f t="shared" ref="L88:S97" si="2">$M41 * L$60 + $L41 * L$61 + $K41 * L$62 + $J41 * L$63</f>
        <v>0</v>
      </c>
      <c r="M88" s="41">
        <f t="shared" si="2"/>
        <v>0</v>
      </c>
      <c r="N88" s="41">
        <f t="shared" si="2"/>
        <v>1.2370413198693E-2</v>
      </c>
      <c r="O88" s="41">
        <f t="shared" si="2"/>
        <v>2.4400925983857801E-2</v>
      </c>
      <c r="P88" s="41">
        <f t="shared" si="2"/>
        <v>0</v>
      </c>
      <c r="Q88" s="41">
        <f t="shared" si="2"/>
        <v>0.34379931777325301</v>
      </c>
      <c r="R88" s="41">
        <f t="shared" si="2"/>
        <v>0.42351973684210498</v>
      </c>
      <c r="S88" s="41">
        <f t="shared" si="2"/>
        <v>0</v>
      </c>
      <c r="T88" s="81"/>
      <c r="U88" s="81"/>
    </row>
    <row r="89" spans="4:21" x14ac:dyDescent="0.25">
      <c r="D89" s="17"/>
      <c r="E89" s="17"/>
      <c r="F89" s="35" t="s">
        <v>64</v>
      </c>
      <c r="G89" s="35"/>
      <c r="H89" s="195" t="s">
        <v>111</v>
      </c>
      <c r="J89" s="81"/>
      <c r="K89" s="81"/>
      <c r="L89" s="41">
        <f t="shared" si="2"/>
        <v>0</v>
      </c>
      <c r="M89" s="41">
        <f t="shared" si="2"/>
        <v>0</v>
      </c>
      <c r="N89" s="41">
        <f t="shared" si="2"/>
        <v>1.2370413198693E-2</v>
      </c>
      <c r="O89" s="41">
        <f t="shared" si="2"/>
        <v>2.4400925983857801E-2</v>
      </c>
      <c r="P89" s="41">
        <f t="shared" si="2"/>
        <v>0</v>
      </c>
      <c r="Q89" s="41">
        <f t="shared" si="2"/>
        <v>0.34379931777325301</v>
      </c>
      <c r="R89" s="41">
        <f t="shared" si="2"/>
        <v>0.42351973684210498</v>
      </c>
      <c r="S89" s="41">
        <f t="shared" si="2"/>
        <v>0.95595667870036105</v>
      </c>
      <c r="T89" s="81"/>
      <c r="U89" s="81"/>
    </row>
    <row r="90" spans="4:21" x14ac:dyDescent="0.25">
      <c r="D90" s="17"/>
      <c r="E90" s="17"/>
      <c r="F90" s="35" t="s">
        <v>65</v>
      </c>
      <c r="G90" s="35"/>
      <c r="H90" s="195" t="s">
        <v>111</v>
      </c>
      <c r="J90" s="81"/>
      <c r="K90" s="81"/>
      <c r="L90" s="41">
        <f t="shared" si="2"/>
        <v>0</v>
      </c>
      <c r="M90" s="41">
        <f t="shared" si="2"/>
        <v>0</v>
      </c>
      <c r="N90" s="41">
        <f t="shared" si="2"/>
        <v>1.2370413198693E-2</v>
      </c>
      <c r="O90" s="41">
        <f t="shared" si="2"/>
        <v>2.4400925983857801E-2</v>
      </c>
      <c r="P90" s="41">
        <f t="shared" si="2"/>
        <v>0</v>
      </c>
      <c r="Q90" s="41">
        <f t="shared" si="2"/>
        <v>0.34379931777325301</v>
      </c>
      <c r="R90" s="41">
        <f t="shared" si="2"/>
        <v>0.42351973684210498</v>
      </c>
      <c r="S90" s="41">
        <f t="shared" si="2"/>
        <v>0.95595667870036105</v>
      </c>
      <c r="T90" s="81"/>
      <c r="U90" s="81"/>
    </row>
    <row r="91" spans="4:21" x14ac:dyDescent="0.25">
      <c r="D91" s="17"/>
      <c r="E91" s="17"/>
      <c r="F91" s="35" t="s">
        <v>66</v>
      </c>
      <c r="G91" s="35"/>
      <c r="H91" s="195" t="s">
        <v>111</v>
      </c>
      <c r="J91" s="81"/>
      <c r="K91" s="81"/>
      <c r="L91" s="41">
        <f t="shared" si="2"/>
        <v>0</v>
      </c>
      <c r="M91" s="41">
        <f t="shared" si="2"/>
        <v>0</v>
      </c>
      <c r="N91" s="41">
        <f t="shared" si="2"/>
        <v>1.2370413198693E-2</v>
      </c>
      <c r="O91" s="41">
        <f t="shared" si="2"/>
        <v>2.4400925983857801E-2</v>
      </c>
      <c r="P91" s="41">
        <f t="shared" si="2"/>
        <v>0</v>
      </c>
      <c r="Q91" s="41">
        <f t="shared" si="2"/>
        <v>0.34379931777325301</v>
      </c>
      <c r="R91" s="41">
        <f t="shared" si="2"/>
        <v>0.42351973684210498</v>
      </c>
      <c r="S91" s="41">
        <f t="shared" si="2"/>
        <v>0.95595667870036105</v>
      </c>
      <c r="T91" s="81"/>
      <c r="U91" s="81"/>
    </row>
    <row r="92" spans="4:21" x14ac:dyDescent="0.25">
      <c r="D92" s="17"/>
      <c r="E92" s="17"/>
      <c r="F92" s="35" t="s">
        <v>67</v>
      </c>
      <c r="G92" s="35"/>
      <c r="H92" s="195" t="s">
        <v>111</v>
      </c>
      <c r="J92" s="81"/>
      <c r="K92" s="81"/>
      <c r="L92" s="41">
        <f t="shared" si="2"/>
        <v>0</v>
      </c>
      <c r="M92" s="41">
        <f t="shared" si="2"/>
        <v>0</v>
      </c>
      <c r="N92" s="41">
        <f t="shared" si="2"/>
        <v>1.2370413198693E-2</v>
      </c>
      <c r="O92" s="41">
        <f t="shared" si="2"/>
        <v>2.4400925983857801E-2</v>
      </c>
      <c r="P92" s="41">
        <f t="shared" si="2"/>
        <v>0</v>
      </c>
      <c r="Q92" s="41">
        <f t="shared" si="2"/>
        <v>0.34379931777325301</v>
      </c>
      <c r="R92" s="41">
        <f t="shared" si="2"/>
        <v>0.42351973684210498</v>
      </c>
      <c r="S92" s="41">
        <f t="shared" si="2"/>
        <v>0.95595667870036105</v>
      </c>
      <c r="T92" s="81"/>
      <c r="U92" s="81"/>
    </row>
    <row r="93" spans="4:21" x14ac:dyDescent="0.25">
      <c r="D93" s="17"/>
      <c r="E93" s="17"/>
      <c r="F93" s="35" t="s">
        <v>68</v>
      </c>
      <c r="G93" s="35"/>
      <c r="H93" s="195" t="s">
        <v>111</v>
      </c>
      <c r="J93" s="81"/>
      <c r="K93" s="81"/>
      <c r="L93" s="41">
        <f t="shared" si="2"/>
        <v>0</v>
      </c>
      <c r="M93" s="41">
        <f t="shared" si="2"/>
        <v>0</v>
      </c>
      <c r="N93" s="41">
        <f t="shared" si="2"/>
        <v>1.2370413198693E-2</v>
      </c>
      <c r="O93" s="41">
        <f t="shared" si="2"/>
        <v>2.4400925983857801E-2</v>
      </c>
      <c r="P93" s="41">
        <f t="shared" si="2"/>
        <v>0</v>
      </c>
      <c r="Q93" s="41">
        <f t="shared" si="2"/>
        <v>0.34379931777325301</v>
      </c>
      <c r="R93" s="41">
        <f t="shared" si="2"/>
        <v>0.42351973684210498</v>
      </c>
      <c r="S93" s="41">
        <f t="shared" si="2"/>
        <v>0</v>
      </c>
      <c r="T93" s="81"/>
      <c r="U93" s="81"/>
    </row>
    <row r="94" spans="4:21" x14ac:dyDescent="0.25">
      <c r="D94" s="17"/>
      <c r="E94" s="17"/>
      <c r="F94" s="35" t="s">
        <v>69</v>
      </c>
      <c r="G94" s="35"/>
      <c r="H94" s="195" t="s">
        <v>111</v>
      </c>
      <c r="J94" s="81"/>
      <c r="K94" s="81"/>
      <c r="L94" s="41">
        <f t="shared" si="2"/>
        <v>0</v>
      </c>
      <c r="M94" s="41">
        <f t="shared" si="2"/>
        <v>0</v>
      </c>
      <c r="N94" s="41">
        <f t="shared" si="2"/>
        <v>1.2370413198693E-2</v>
      </c>
      <c r="O94" s="41">
        <f t="shared" si="2"/>
        <v>2.4400925983857801E-2</v>
      </c>
      <c r="P94" s="41">
        <f t="shared" si="2"/>
        <v>0</v>
      </c>
      <c r="Q94" s="41">
        <f t="shared" si="2"/>
        <v>0.34379931777325301</v>
      </c>
      <c r="R94" s="41">
        <f t="shared" si="2"/>
        <v>0.42351973684210498</v>
      </c>
      <c r="S94" s="41">
        <f t="shared" si="2"/>
        <v>0</v>
      </c>
      <c r="T94" s="81"/>
      <c r="U94" s="81"/>
    </row>
    <row r="95" spans="4:21" x14ac:dyDescent="0.25">
      <c r="D95" s="17"/>
      <c r="E95" s="17"/>
      <c r="F95" s="35" t="s">
        <v>70</v>
      </c>
      <c r="G95" s="35"/>
      <c r="H95" s="195" t="s">
        <v>111</v>
      </c>
      <c r="J95" s="81"/>
      <c r="K95" s="81"/>
      <c r="L95" s="41">
        <f t="shared" si="2"/>
        <v>0</v>
      </c>
      <c r="M95" s="41">
        <f t="shared" si="2"/>
        <v>0</v>
      </c>
      <c r="N95" s="41">
        <f t="shared" si="2"/>
        <v>1.2370413198693E-2</v>
      </c>
      <c r="O95" s="41">
        <f t="shared" si="2"/>
        <v>2.4400925983857801E-2</v>
      </c>
      <c r="P95" s="41">
        <f t="shared" si="2"/>
        <v>0</v>
      </c>
      <c r="Q95" s="41">
        <f t="shared" si="2"/>
        <v>0.34379931777325301</v>
      </c>
      <c r="R95" s="41">
        <f t="shared" si="2"/>
        <v>0.42351973684210498</v>
      </c>
      <c r="S95" s="41">
        <f t="shared" si="2"/>
        <v>0</v>
      </c>
      <c r="T95" s="81"/>
      <c r="U95" s="81"/>
    </row>
    <row r="96" spans="4:21" x14ac:dyDescent="0.25">
      <c r="D96" s="17"/>
      <c r="E96" s="17"/>
      <c r="F96" s="35" t="s">
        <v>71</v>
      </c>
      <c r="G96" s="35"/>
      <c r="H96" s="195" t="s">
        <v>111</v>
      </c>
      <c r="J96" s="81"/>
      <c r="K96" s="81"/>
      <c r="L96" s="41">
        <f t="shared" si="2"/>
        <v>0</v>
      </c>
      <c r="M96" s="41">
        <f t="shared" si="2"/>
        <v>0</v>
      </c>
      <c r="N96" s="41">
        <f t="shared" si="2"/>
        <v>1.2370413198693E-2</v>
      </c>
      <c r="O96" s="41">
        <f t="shared" si="2"/>
        <v>2.4400925983857801E-2</v>
      </c>
      <c r="P96" s="41">
        <f t="shared" si="2"/>
        <v>0</v>
      </c>
      <c r="Q96" s="41">
        <f t="shared" si="2"/>
        <v>0.34379931777325301</v>
      </c>
      <c r="R96" s="41">
        <f t="shared" si="2"/>
        <v>0.42351973684210498</v>
      </c>
      <c r="S96" s="41">
        <f t="shared" si="2"/>
        <v>0</v>
      </c>
      <c r="T96" s="81"/>
      <c r="U96" s="81"/>
    </row>
    <row r="97" spans="2:23" x14ac:dyDescent="0.25">
      <c r="D97" s="17"/>
      <c r="E97" s="17"/>
      <c r="F97" s="35" t="s">
        <v>74</v>
      </c>
      <c r="G97" s="35"/>
      <c r="H97" s="195" t="s">
        <v>111</v>
      </c>
      <c r="J97" s="81"/>
      <c r="K97" s="81"/>
      <c r="L97" s="41">
        <f t="shared" si="2"/>
        <v>0</v>
      </c>
      <c r="M97" s="41">
        <f t="shared" si="2"/>
        <v>0</v>
      </c>
      <c r="N97" s="41">
        <f t="shared" si="2"/>
        <v>3.4530744799792602E-2</v>
      </c>
      <c r="O97" s="41">
        <f t="shared" si="2"/>
        <v>6.6381013698021907E-2</v>
      </c>
      <c r="P97" s="41">
        <f t="shared" si="2"/>
        <v>0</v>
      </c>
      <c r="Q97" s="41">
        <f t="shared" si="2"/>
        <v>0.38323267678152101</v>
      </c>
      <c r="R97" s="41">
        <f t="shared" si="2"/>
        <v>0</v>
      </c>
      <c r="S97" s="41">
        <f t="shared" si="2"/>
        <v>0</v>
      </c>
      <c r="T97" s="81"/>
      <c r="U97" s="81"/>
    </row>
    <row r="98" spans="2:23" x14ac:dyDescent="0.25">
      <c r="D98" s="17"/>
      <c r="E98" s="17"/>
      <c r="F98" s="35" t="s">
        <v>75</v>
      </c>
      <c r="G98" s="35"/>
      <c r="H98" s="195" t="s">
        <v>111</v>
      </c>
      <c r="J98" s="81"/>
      <c r="K98" s="81"/>
      <c r="L98" s="41">
        <f t="shared" ref="L98:S100" si="3">$M51 * L$60 + $L51 * L$61 + $K51 * L$62 + $J51 * L$63</f>
        <v>0</v>
      </c>
      <c r="M98" s="41">
        <f t="shared" si="3"/>
        <v>0</v>
      </c>
      <c r="N98" s="41">
        <f t="shared" si="3"/>
        <v>3.4530744799792602E-2</v>
      </c>
      <c r="O98" s="41">
        <f t="shared" si="3"/>
        <v>6.6381013698021907E-2</v>
      </c>
      <c r="P98" s="41">
        <f t="shared" si="3"/>
        <v>0</v>
      </c>
      <c r="Q98" s="41">
        <f t="shared" si="3"/>
        <v>0.38323267678152101</v>
      </c>
      <c r="R98" s="41">
        <f t="shared" si="3"/>
        <v>0</v>
      </c>
      <c r="S98" s="41">
        <f t="shared" si="3"/>
        <v>0</v>
      </c>
      <c r="T98" s="81"/>
      <c r="U98" s="81"/>
    </row>
    <row r="99" spans="2:23" x14ac:dyDescent="0.25">
      <c r="D99" s="17"/>
      <c r="E99" s="17"/>
      <c r="F99" s="35" t="s">
        <v>76</v>
      </c>
      <c r="G99" s="35"/>
      <c r="H99" s="195" t="s">
        <v>111</v>
      </c>
      <c r="J99" s="81"/>
      <c r="K99" s="81"/>
      <c r="L99" s="41">
        <f t="shared" si="3"/>
        <v>0</v>
      </c>
      <c r="M99" s="41">
        <f t="shared" si="3"/>
        <v>0</v>
      </c>
      <c r="N99" s="41">
        <f t="shared" si="3"/>
        <v>3.4530744799792602E-2</v>
      </c>
      <c r="O99" s="41">
        <f t="shared" si="3"/>
        <v>6.6381013698021907E-2</v>
      </c>
      <c r="P99" s="41">
        <f t="shared" si="3"/>
        <v>0</v>
      </c>
      <c r="Q99" s="41">
        <f t="shared" si="3"/>
        <v>0.38323267678152101</v>
      </c>
      <c r="R99" s="41">
        <f t="shared" si="3"/>
        <v>0</v>
      </c>
      <c r="S99" s="41">
        <f t="shared" si="3"/>
        <v>0</v>
      </c>
      <c r="T99" s="81"/>
      <c r="U99" s="81"/>
    </row>
    <row r="100" spans="2:23" x14ac:dyDescent="0.25">
      <c r="D100" s="17"/>
      <c r="E100" s="17"/>
      <c r="F100" s="38" t="s">
        <v>77</v>
      </c>
      <c r="G100" s="38"/>
      <c r="H100" s="77" t="s">
        <v>111</v>
      </c>
      <c r="I100" s="16"/>
      <c r="J100" s="83"/>
      <c r="K100" s="83"/>
      <c r="L100" s="42">
        <f t="shared" si="3"/>
        <v>0</v>
      </c>
      <c r="M100" s="42">
        <f t="shared" si="3"/>
        <v>0</v>
      </c>
      <c r="N100" s="42">
        <f t="shared" si="3"/>
        <v>3.4530744799792602E-2</v>
      </c>
      <c r="O100" s="42">
        <f t="shared" si="3"/>
        <v>6.6381013698021907E-2</v>
      </c>
      <c r="P100" s="42">
        <f t="shared" si="3"/>
        <v>0</v>
      </c>
      <c r="Q100" s="42">
        <f t="shared" si="3"/>
        <v>0.38323267678152101</v>
      </c>
      <c r="R100" s="42">
        <f t="shared" si="3"/>
        <v>0</v>
      </c>
      <c r="S100" s="42">
        <f t="shared" si="3"/>
        <v>0</v>
      </c>
      <c r="T100" s="83"/>
      <c r="U100" s="83"/>
    </row>
    <row r="102" spans="2:23" s="160" customFormat="1" x14ac:dyDescent="0.25">
      <c r="B102" s="134" t="s">
        <v>126</v>
      </c>
      <c r="C102" s="135"/>
      <c r="D102" s="134"/>
      <c r="E102" s="134"/>
      <c r="F102" s="135"/>
      <c r="G102" s="135"/>
      <c r="H102" s="135"/>
      <c r="I102" s="135"/>
      <c r="J102" s="135"/>
      <c r="K102" s="135"/>
      <c r="L102" s="135"/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</row>
    <row r="103" spans="2:23" s="160" customFormat="1" x14ac:dyDescent="0.25"/>
    <row r="104" spans="2:23" s="160" customFormat="1" x14ac:dyDescent="0.25">
      <c r="E104" s="160" t="s">
        <v>622</v>
      </c>
      <c r="G104" s="111" t="s">
        <v>814</v>
      </c>
      <c r="H104" s="362">
        <f t="array" ref="H104">SUM(IF(ISERROR(H21:U100), 1))</f>
        <v>0</v>
      </c>
    </row>
    <row r="105" spans="2:23" s="160" customFormat="1" x14ac:dyDescent="0.25"/>
    <row r="106" spans="2:23" x14ac:dyDescent="0.25">
      <c r="B106" s="6" t="s">
        <v>127</v>
      </c>
      <c r="C106" s="7"/>
      <c r="D106" s="6"/>
      <c r="E106" s="134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135"/>
      <c r="W106" s="135"/>
    </row>
  </sheetData>
  <sheetProtection sheet="1" objects="1" formatCells="0" formatColumns="0" formatRows="0" sort="0" autoFilter="0"/>
  <conditionalFormatting sqref="H104">
    <cfRule type="cellIs" dxfId="48" priority="3" operator="greaterThan">
      <formula>0</formula>
    </cfRule>
  </conditionalFormatting>
  <conditionalFormatting sqref="A4:XFD4">
    <cfRule type="expression" dxfId="47" priority="2">
      <formula>LEFT($A$4,1) &lt;&gt; "0"</formula>
    </cfRule>
  </conditionalFormatting>
  <conditionalFormatting sqref="J5:U5">
    <cfRule type="expression" dxfId="46" priority="1">
      <formula>LEFT($A$4,1) &lt;&gt; "0"</formula>
    </cfRule>
  </conditionalFormatting>
  <hyperlinks>
    <hyperlink ref="B5:F5" location="'Model map'!A1" display="Click here to return to model map"/>
  </hyperlinks>
  <pageMargins left="0.7" right="0.7" top="0.75" bottom="0.75" header="0.3" footer="0.3"/>
  <pageSetup paperSize="9" fitToHeight="0" orientation="portrait" r:id="rId1"/>
  <headerFooter>
    <oddHeader>&amp;L&amp;A&amp;C&amp;R&amp;P of &amp;N</oddHeader>
    <oddFooter>&amp;F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4" tint="0.59999389629810485"/>
    <pageSetUpPr fitToPage="1"/>
  </sheetPr>
  <dimension ref="A1:KR142"/>
  <sheetViews>
    <sheetView showGridLines="0" zoomScale="80" zoomScaleNormal="80" workbookViewId="0">
      <pane xSplit="9" ySplit="5" topLeftCell="J6" activePane="bottomRight" state="frozen"/>
      <selection activeCell="N50" sqref="N50"/>
      <selection pane="topRight" activeCell="N50" sqref="N50"/>
      <selection pane="bottomLeft" activeCell="N50" sqref="N50"/>
      <selection pane="bottomRight" activeCell="J6" sqref="J6"/>
    </sheetView>
  </sheetViews>
  <sheetFormatPr defaultColWidth="0" defaultRowHeight="15" x14ac:dyDescent="0.25"/>
  <cols>
    <col min="1" max="3" width="2.7109375" customWidth="1"/>
    <col min="4" max="4" width="2.7109375" style="21" customWidth="1"/>
    <col min="5" max="5" width="2.7109375" style="160" customWidth="1"/>
    <col min="6" max="6" width="59.5703125" customWidth="1"/>
    <col min="7" max="8" width="20.7109375" customWidth="1"/>
    <col min="9" max="9" width="2.28515625" customWidth="1"/>
    <col min="10" max="25" width="17" customWidth="1"/>
    <col min="26" max="42" width="17" style="21" customWidth="1"/>
    <col min="43" max="43" width="2.28515625" style="21" customWidth="1"/>
    <col min="44" max="44" width="50.7109375" style="21" customWidth="1"/>
    <col min="45" max="45" width="2.28515625" style="21" customWidth="1"/>
    <col min="46" max="58" width="17" style="21" hidden="1" customWidth="1"/>
    <col min="59" max="59" width="3.7109375" hidden="1" customWidth="1"/>
    <col min="60" max="60" width="18.28515625" hidden="1" customWidth="1"/>
    <col min="61" max="61" width="4.28515625" hidden="1" customWidth="1"/>
    <col min="62" max="62" width="24.7109375" hidden="1" customWidth="1"/>
    <col min="63" max="63" width="3.5703125" hidden="1" customWidth="1"/>
    <col min="64" max="64" width="15.42578125" hidden="1" customWidth="1"/>
    <col min="65" max="304" width="24.7109375" hidden="1" customWidth="1"/>
    <col min="305" max="16384" width="8.85546875" hidden="1"/>
  </cols>
  <sheetData>
    <row r="1" spans="1:97" s="25" customFormat="1" x14ac:dyDescent="0.25">
      <c r="A1" s="25" t="str">
        <f ca="1">MID(CELL("filename",A1),FIND("]",CELL("filename",A1))+1,255)</f>
        <v>Volume adjustments</v>
      </c>
    </row>
    <row r="2" spans="1:97" s="25" customFormat="1" x14ac:dyDescent="0.25">
      <c r="A2" s="25" t="str">
        <f>Cover!D21&amp;" - "&amp;Cover!D23</f>
        <v>SEPD - Final</v>
      </c>
    </row>
    <row r="3" spans="1:97" s="97" customFormat="1" x14ac:dyDescent="0.25">
      <c r="A3" s="97" t="str">
        <f>Cover!D2&amp;" - "&amp;Cover!D8&amp;" v"&amp;Cover!D10&amp;" - "&amp;Cover!D19</f>
        <v>ARP model - Release for charge setting v3 - 2020/21</v>
      </c>
    </row>
    <row r="4" spans="1:97" s="338" customFormat="1" x14ac:dyDescent="0.25">
      <c r="A4" s="392" t="str">
        <f>H140 &amp; IF(H140 = 1, " issue", " issues") &amp;" identified in checks on this sheet"</f>
        <v>0 issues identified in checks on this sheet</v>
      </c>
      <c r="B4" s="393"/>
      <c r="C4" s="393"/>
      <c r="D4" s="393"/>
      <c r="E4" s="393"/>
      <c r="F4" s="393"/>
      <c r="G4" s="393"/>
      <c r="H4" s="394"/>
      <c r="I4" s="394"/>
      <c r="J4" s="393"/>
      <c r="K4" s="383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3"/>
      <c r="AD4" s="383"/>
      <c r="AE4" s="383"/>
      <c r="AF4" s="383"/>
      <c r="AG4" s="383"/>
      <c r="AH4" s="383"/>
      <c r="AI4" s="383"/>
      <c r="AJ4" s="383"/>
      <c r="AK4" s="383"/>
      <c r="AL4" s="383"/>
      <c r="AM4" s="383"/>
      <c r="AN4" s="383"/>
      <c r="AO4" s="383"/>
      <c r="AP4" s="383"/>
      <c r="AQ4" s="383"/>
      <c r="AR4" s="383"/>
      <c r="AS4" s="383"/>
      <c r="AT4" s="383"/>
      <c r="AU4" s="383"/>
      <c r="AV4" s="383"/>
      <c r="AW4" s="383"/>
      <c r="AX4" s="383"/>
      <c r="AY4" s="383"/>
      <c r="AZ4" s="383"/>
      <c r="BA4" s="383"/>
      <c r="BB4" s="383"/>
      <c r="BC4" s="383"/>
      <c r="BD4" s="383"/>
      <c r="BE4" s="383"/>
      <c r="BF4" s="383"/>
      <c r="BG4" s="383"/>
      <c r="BH4" s="383"/>
      <c r="BI4" s="383"/>
      <c r="BJ4" s="383"/>
      <c r="BK4" s="383"/>
      <c r="BL4" s="383"/>
      <c r="BM4" s="383"/>
      <c r="BN4" s="383"/>
      <c r="BO4" s="383"/>
      <c r="BP4" s="383"/>
      <c r="BQ4" s="383"/>
      <c r="BR4" s="383"/>
      <c r="BS4" s="383"/>
      <c r="BT4" s="383"/>
      <c r="BU4" s="383"/>
      <c r="BV4" s="383"/>
      <c r="BW4" s="383"/>
      <c r="BX4" s="383"/>
      <c r="BY4" s="383"/>
      <c r="BZ4" s="383"/>
      <c r="CA4" s="383"/>
      <c r="CB4" s="383"/>
      <c r="CC4" s="383"/>
      <c r="CD4" s="383"/>
      <c r="CE4" s="383"/>
      <c r="CF4" s="383"/>
      <c r="CG4" s="383"/>
      <c r="CH4" s="383"/>
      <c r="CI4" s="383"/>
      <c r="CJ4" s="383"/>
      <c r="CK4" s="383"/>
      <c r="CL4" s="383"/>
      <c r="CM4" s="383"/>
      <c r="CN4" s="383"/>
      <c r="CO4" s="383"/>
      <c r="CP4" s="383"/>
      <c r="CQ4" s="383"/>
      <c r="CR4" s="383"/>
      <c r="CS4" s="383"/>
    </row>
    <row r="5" spans="1:97" s="21" customFormat="1" ht="60" x14ac:dyDescent="0.25">
      <c r="B5" s="244" t="s">
        <v>667</v>
      </c>
      <c r="C5" s="24"/>
      <c r="D5" s="24"/>
      <c r="E5" s="24"/>
      <c r="F5" s="24"/>
      <c r="G5" s="1" t="s">
        <v>108</v>
      </c>
      <c r="H5" s="2" t="s">
        <v>109</v>
      </c>
      <c r="I5" s="200"/>
      <c r="J5" s="2" t="s">
        <v>52</v>
      </c>
      <c r="K5" s="2" t="s">
        <v>53</v>
      </c>
      <c r="L5" s="2" t="s">
        <v>84</v>
      </c>
      <c r="M5" s="2" t="s">
        <v>54</v>
      </c>
      <c r="N5" s="2" t="s">
        <v>55</v>
      </c>
      <c r="O5" s="2" t="s">
        <v>85</v>
      </c>
      <c r="P5" s="2" t="s">
        <v>56</v>
      </c>
      <c r="Q5" s="2" t="s">
        <v>57</v>
      </c>
      <c r="R5" s="2" t="s">
        <v>72</v>
      </c>
      <c r="S5" s="2" t="s">
        <v>58</v>
      </c>
      <c r="T5" s="2" t="s">
        <v>59</v>
      </c>
      <c r="U5" s="2" t="s">
        <v>60</v>
      </c>
      <c r="V5" s="2" t="s">
        <v>61</v>
      </c>
      <c r="W5" s="2" t="s">
        <v>73</v>
      </c>
      <c r="X5" s="2" t="s">
        <v>86</v>
      </c>
      <c r="Y5" s="2" t="s">
        <v>87</v>
      </c>
      <c r="Z5" s="2" t="s">
        <v>88</v>
      </c>
      <c r="AA5" s="2" t="s">
        <v>89</v>
      </c>
      <c r="AB5" s="2" t="s">
        <v>90</v>
      </c>
      <c r="AC5" s="2" t="s">
        <v>62</v>
      </c>
      <c r="AD5" s="2" t="s">
        <v>63</v>
      </c>
      <c r="AE5" s="2" t="s">
        <v>64</v>
      </c>
      <c r="AF5" s="2" t="s">
        <v>65</v>
      </c>
      <c r="AG5" s="2" t="s">
        <v>66</v>
      </c>
      <c r="AH5" s="2" t="s">
        <v>67</v>
      </c>
      <c r="AI5" s="2" t="s">
        <v>68</v>
      </c>
      <c r="AJ5" s="2" t="s">
        <v>69</v>
      </c>
      <c r="AK5" s="2" t="s">
        <v>70</v>
      </c>
      <c r="AL5" s="2" t="s">
        <v>71</v>
      </c>
      <c r="AM5" s="2" t="s">
        <v>74</v>
      </c>
      <c r="AN5" s="2" t="s">
        <v>75</v>
      </c>
      <c r="AO5" s="2" t="s">
        <v>76</v>
      </c>
      <c r="AP5" s="2" t="s">
        <v>77</v>
      </c>
      <c r="AR5" s="1" t="s">
        <v>110</v>
      </c>
    </row>
    <row r="6" spans="1:97" s="21" customFormat="1" x14ac:dyDescent="0.25">
      <c r="E6" s="160"/>
    </row>
    <row r="7" spans="1:97" x14ac:dyDescent="0.25">
      <c r="B7" s="34" t="s">
        <v>107</v>
      </c>
      <c r="C7" s="34"/>
      <c r="D7" s="34"/>
      <c r="E7" s="171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160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H7" s="34"/>
    </row>
    <row r="9" spans="1:97" s="160" customFormat="1" x14ac:dyDescent="0.25">
      <c r="C9" s="152" t="s">
        <v>497</v>
      </c>
    </row>
    <row r="10" spans="1:97" s="21" customFormat="1" x14ac:dyDescent="0.25">
      <c r="C10" s="152" t="s">
        <v>801</v>
      </c>
      <c r="E10" s="160"/>
    </row>
    <row r="11" spans="1:97" s="21" customFormat="1" x14ac:dyDescent="0.25">
      <c r="C11" s="152" t="s">
        <v>802</v>
      </c>
      <c r="E11" s="160"/>
    </row>
    <row r="12" spans="1:97" s="338" customFormat="1" x14ac:dyDescent="0.25"/>
    <row r="13" spans="1:97" s="88" customFormat="1" x14ac:dyDescent="0.25">
      <c r="B13" s="34" t="s">
        <v>165</v>
      </c>
      <c r="C13" s="34"/>
      <c r="D13" s="34"/>
      <c r="E13" s="171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160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H13" s="34"/>
    </row>
    <row r="14" spans="1:97" s="160" customFormat="1" x14ac:dyDescent="0.25">
      <c r="C14" s="152"/>
    </row>
    <row r="15" spans="1:97" s="338" customFormat="1" x14ac:dyDescent="0.25">
      <c r="C15" s="22" t="str">
        <f ca="1">INDEX('Version control'!$H$34:$H$59,MATCH($A$1,'Version control'!$F$34:$F$59,0),1)&amp;"-A: LDNO discounts"</f>
        <v>Section 507-A: LDNO discounts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H15" s="171"/>
    </row>
    <row r="16" spans="1:97" s="338" customFormat="1" x14ac:dyDescent="0.25">
      <c r="C16" s="152"/>
    </row>
    <row r="17" spans="4:60" x14ac:dyDescent="0.25">
      <c r="D17" s="152" t="s">
        <v>499</v>
      </c>
      <c r="E17" s="21"/>
      <c r="F17" s="160"/>
    </row>
    <row r="18" spans="4:60" s="160" customFormat="1" x14ac:dyDescent="0.25">
      <c r="D18" s="152" t="s">
        <v>500</v>
      </c>
    </row>
    <row r="19" spans="4:60" s="160" customFormat="1" x14ac:dyDescent="0.25">
      <c r="D19" s="152"/>
    </row>
    <row r="20" spans="4:60" s="21" customFormat="1" x14ac:dyDescent="0.25">
      <c r="E20" s="3" t="s">
        <v>173</v>
      </c>
      <c r="I20" s="167" t="s">
        <v>525</v>
      </c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R20" s="160"/>
    </row>
    <row r="21" spans="4:60" s="21" customFormat="1" x14ac:dyDescent="0.25">
      <c r="E21" s="65" t="s">
        <v>498</v>
      </c>
      <c r="AR21" s="21" t="s">
        <v>962</v>
      </c>
    </row>
    <row r="22" spans="4:60" x14ac:dyDescent="0.25">
      <c r="D22"/>
      <c r="E22"/>
      <c r="F22" s="166" t="s">
        <v>78</v>
      </c>
      <c r="G22" s="166" t="s">
        <v>111</v>
      </c>
      <c r="H22" s="187">
        <f>'General inputs'!H33</f>
        <v>0.34755258472512618</v>
      </c>
      <c r="I22" s="15"/>
      <c r="J22" s="15"/>
      <c r="K22" s="15"/>
      <c r="L22" s="27"/>
      <c r="M22" s="27"/>
      <c r="N22" s="15"/>
      <c r="O22" s="15"/>
      <c r="BH22" s="8"/>
    </row>
    <row r="23" spans="4:60" s="21" customFormat="1" x14ac:dyDescent="0.25">
      <c r="F23" s="167" t="s">
        <v>79</v>
      </c>
      <c r="G23" s="167" t="s">
        <v>111</v>
      </c>
      <c r="H23" s="181">
        <f>'General inputs'!H34</f>
        <v>0.56592745965042113</v>
      </c>
      <c r="I23" s="15"/>
      <c r="J23" s="15"/>
      <c r="K23" s="15"/>
      <c r="L23" s="27"/>
      <c r="M23" s="27"/>
      <c r="N23" s="15"/>
      <c r="O23" s="15"/>
      <c r="BH23" s="8"/>
    </row>
    <row r="24" spans="4:60" s="21" customFormat="1" x14ac:dyDescent="0.25">
      <c r="F24" s="167" t="s">
        <v>80</v>
      </c>
      <c r="G24" s="167" t="s">
        <v>111</v>
      </c>
      <c r="H24" s="181">
        <f>'General inputs'!H35</f>
        <v>0.30780783362179165</v>
      </c>
      <c r="I24" s="15"/>
      <c r="J24" s="15"/>
      <c r="K24" s="15"/>
      <c r="L24" s="27"/>
      <c r="M24" s="27"/>
      <c r="N24" s="15"/>
      <c r="O24" s="15"/>
      <c r="BH24" s="8"/>
    </row>
    <row r="25" spans="4:60" s="21" customFormat="1" x14ac:dyDescent="0.25">
      <c r="F25" s="168" t="s">
        <v>81</v>
      </c>
      <c r="G25" s="168" t="s">
        <v>111</v>
      </c>
      <c r="H25" s="182">
        <f>'General inputs'!H36</f>
        <v>0.20760110839034102</v>
      </c>
      <c r="I25" s="15"/>
      <c r="J25" s="15"/>
      <c r="K25" s="15"/>
      <c r="L25" s="27"/>
      <c r="M25" s="27"/>
      <c r="N25" s="15"/>
      <c r="O25" s="15"/>
      <c r="BH25" s="8"/>
    </row>
    <row r="26" spans="4:60" s="21" customFormat="1" x14ac:dyDescent="0.25">
      <c r="F26" s="160"/>
    </row>
    <row r="27" spans="4:60" s="21" customFormat="1" x14ac:dyDescent="0.25">
      <c r="E27" s="36" t="s">
        <v>174</v>
      </c>
      <c r="G27" s="15"/>
      <c r="H27" s="15"/>
      <c r="I27" s="167" t="s">
        <v>525</v>
      </c>
      <c r="J27" s="15"/>
      <c r="K27" s="15"/>
      <c r="L27" s="19"/>
      <c r="M27" s="19"/>
      <c r="N27" s="15"/>
      <c r="O27" s="15"/>
      <c r="AR27" s="160" t="s">
        <v>1196</v>
      </c>
      <c r="BH27" s="8"/>
    </row>
    <row r="28" spans="4:60" s="21" customFormat="1" x14ac:dyDescent="0.25">
      <c r="E28" s="65" t="s">
        <v>799</v>
      </c>
    </row>
    <row r="29" spans="4:60" s="338" customFormat="1" x14ac:dyDescent="0.25">
      <c r="E29" s="152" t="s">
        <v>800</v>
      </c>
    </row>
    <row r="30" spans="4:60" s="21" customFormat="1" x14ac:dyDescent="0.25">
      <c r="F30" s="166" t="s">
        <v>78</v>
      </c>
      <c r="G30" s="166" t="s">
        <v>149</v>
      </c>
      <c r="H30" s="166"/>
      <c r="I30" s="166"/>
      <c r="J30" s="479">
        <f>'Fixed inputs'!J46</f>
        <v>1</v>
      </c>
      <c r="K30" s="479">
        <f>'Fixed inputs'!K46</f>
        <v>1</v>
      </c>
      <c r="L30" s="479">
        <f>'Fixed inputs'!L46</f>
        <v>1</v>
      </c>
      <c r="M30" s="479">
        <f>'Fixed inputs'!M46</f>
        <v>1</v>
      </c>
      <c r="N30" s="479">
        <f>'Fixed inputs'!N46</f>
        <v>1</v>
      </c>
      <c r="O30" s="479">
        <f>'Fixed inputs'!O46</f>
        <v>1</v>
      </c>
      <c r="P30" s="479">
        <f>'Fixed inputs'!P46</f>
        <v>1</v>
      </c>
      <c r="Q30" s="479">
        <f>'Fixed inputs'!Q46</f>
        <v>0</v>
      </c>
      <c r="R30" s="479">
        <f>'Fixed inputs'!R46</f>
        <v>0</v>
      </c>
      <c r="S30" s="479">
        <f>'Fixed inputs'!S46</f>
        <v>1</v>
      </c>
      <c r="T30" s="479">
        <f>'Fixed inputs'!T46</f>
        <v>1</v>
      </c>
      <c r="U30" s="479">
        <f>'Fixed inputs'!U46</f>
        <v>1</v>
      </c>
      <c r="V30" s="479">
        <f>'Fixed inputs'!V46</f>
        <v>0</v>
      </c>
      <c r="W30" s="479">
        <f>'Fixed inputs'!W46</f>
        <v>0</v>
      </c>
      <c r="X30" s="479">
        <f>'Fixed inputs'!X46</f>
        <v>1</v>
      </c>
      <c r="Y30" s="479">
        <f>'Fixed inputs'!Y46</f>
        <v>1</v>
      </c>
      <c r="Z30" s="479">
        <f>'Fixed inputs'!Z46</f>
        <v>1</v>
      </c>
      <c r="AA30" s="479">
        <f>'Fixed inputs'!AA46</f>
        <v>1</v>
      </c>
      <c r="AB30" s="479">
        <f>'Fixed inputs'!AB46</f>
        <v>1</v>
      </c>
      <c r="AC30" s="479">
        <f>'Fixed inputs'!AC46</f>
        <v>0</v>
      </c>
      <c r="AD30" s="479">
        <f>'Fixed inputs'!AD46</f>
        <v>0</v>
      </c>
      <c r="AE30" s="479">
        <f>'Fixed inputs'!AE46</f>
        <v>0</v>
      </c>
      <c r="AF30" s="479">
        <f>'Fixed inputs'!AF46</f>
        <v>0</v>
      </c>
      <c r="AG30" s="479">
        <f>'Fixed inputs'!AG46</f>
        <v>0</v>
      </c>
      <c r="AH30" s="479">
        <f>'Fixed inputs'!AH46</f>
        <v>0</v>
      </c>
      <c r="AI30" s="479">
        <f>'Fixed inputs'!AI46</f>
        <v>0</v>
      </c>
      <c r="AJ30" s="479">
        <f>'Fixed inputs'!AJ46</f>
        <v>0</v>
      </c>
      <c r="AK30" s="479">
        <f>'Fixed inputs'!AK46</f>
        <v>0</v>
      </c>
      <c r="AL30" s="479">
        <f>'Fixed inputs'!AL46</f>
        <v>0</v>
      </c>
      <c r="AM30" s="479">
        <f>'Fixed inputs'!AM46</f>
        <v>0</v>
      </c>
      <c r="AN30" s="479">
        <f>'Fixed inputs'!AN46</f>
        <v>0</v>
      </c>
      <c r="AO30" s="479">
        <f>'Fixed inputs'!AO46</f>
        <v>0</v>
      </c>
      <c r="AP30" s="479">
        <f>'Fixed inputs'!AP46</f>
        <v>0</v>
      </c>
      <c r="BH30" s="8"/>
    </row>
    <row r="31" spans="4:60" s="21" customFormat="1" x14ac:dyDescent="0.25">
      <c r="F31" s="167" t="s">
        <v>79</v>
      </c>
      <c r="G31" s="167" t="s">
        <v>149</v>
      </c>
      <c r="H31" s="167"/>
      <c r="I31" s="167"/>
      <c r="J31" s="250">
        <f>'Fixed inputs'!J47</f>
        <v>1</v>
      </c>
      <c r="K31" s="250">
        <f>'Fixed inputs'!K47</f>
        <v>1</v>
      </c>
      <c r="L31" s="250">
        <f>'Fixed inputs'!L47</f>
        <v>1</v>
      </c>
      <c r="M31" s="250">
        <f>'Fixed inputs'!M47</f>
        <v>1</v>
      </c>
      <c r="N31" s="250">
        <f>'Fixed inputs'!N47</f>
        <v>1</v>
      </c>
      <c r="O31" s="250">
        <f>'Fixed inputs'!O47</f>
        <v>1</v>
      </c>
      <c r="P31" s="250">
        <f>'Fixed inputs'!P47</f>
        <v>1</v>
      </c>
      <c r="Q31" s="250">
        <f>'Fixed inputs'!Q47</f>
        <v>0</v>
      </c>
      <c r="R31" s="250">
        <f>'Fixed inputs'!R47</f>
        <v>0</v>
      </c>
      <c r="S31" s="250">
        <f>'Fixed inputs'!S47</f>
        <v>1</v>
      </c>
      <c r="T31" s="250">
        <f>'Fixed inputs'!T47</f>
        <v>1</v>
      </c>
      <c r="U31" s="250">
        <f>'Fixed inputs'!U47</f>
        <v>1</v>
      </c>
      <c r="V31" s="250">
        <f>'Fixed inputs'!V47</f>
        <v>0</v>
      </c>
      <c r="W31" s="250">
        <f>'Fixed inputs'!W47</f>
        <v>0</v>
      </c>
      <c r="X31" s="250">
        <f>'Fixed inputs'!X47</f>
        <v>1</v>
      </c>
      <c r="Y31" s="250">
        <f>'Fixed inputs'!Y47</f>
        <v>1</v>
      </c>
      <c r="Z31" s="250">
        <f>'Fixed inputs'!Z47</f>
        <v>1</v>
      </c>
      <c r="AA31" s="250">
        <f>'Fixed inputs'!AA47</f>
        <v>1</v>
      </c>
      <c r="AB31" s="250">
        <f>'Fixed inputs'!AB47</f>
        <v>1</v>
      </c>
      <c r="AC31" s="250">
        <f>'Fixed inputs'!AC47</f>
        <v>0</v>
      </c>
      <c r="AD31" s="250">
        <f>'Fixed inputs'!AD47</f>
        <v>0</v>
      </c>
      <c r="AE31" s="250">
        <f>'Fixed inputs'!AE47</f>
        <v>0</v>
      </c>
      <c r="AF31" s="250">
        <f>'Fixed inputs'!AF47</f>
        <v>0</v>
      </c>
      <c r="AG31" s="250">
        <f>'Fixed inputs'!AG47</f>
        <v>0</v>
      </c>
      <c r="AH31" s="250">
        <f>'Fixed inputs'!AH47</f>
        <v>0</v>
      </c>
      <c r="AI31" s="250">
        <f>'Fixed inputs'!AI47</f>
        <v>0</v>
      </c>
      <c r="AJ31" s="250">
        <f>'Fixed inputs'!AJ47</f>
        <v>0</v>
      </c>
      <c r="AK31" s="250">
        <f>'Fixed inputs'!AK47</f>
        <v>0</v>
      </c>
      <c r="AL31" s="250">
        <f>'Fixed inputs'!AL47</f>
        <v>0</v>
      </c>
      <c r="AM31" s="250">
        <f>'Fixed inputs'!AM47</f>
        <v>0</v>
      </c>
      <c r="AN31" s="250">
        <f>'Fixed inputs'!AN47</f>
        <v>0</v>
      </c>
      <c r="AO31" s="250">
        <f>'Fixed inputs'!AO47</f>
        <v>0</v>
      </c>
      <c r="AP31" s="250">
        <f>'Fixed inputs'!AP47</f>
        <v>0</v>
      </c>
      <c r="BH31" s="8"/>
    </row>
    <row r="32" spans="4:60" s="21" customFormat="1" x14ac:dyDescent="0.25">
      <c r="F32" s="167" t="s">
        <v>80</v>
      </c>
      <c r="G32" s="167" t="s">
        <v>149</v>
      </c>
      <c r="H32" s="167"/>
      <c r="I32" s="167"/>
      <c r="J32" s="250">
        <f>'Fixed inputs'!J48</f>
        <v>0</v>
      </c>
      <c r="K32" s="250">
        <f>'Fixed inputs'!K48</f>
        <v>0</v>
      </c>
      <c r="L32" s="250">
        <f>'Fixed inputs'!L48</f>
        <v>0</v>
      </c>
      <c r="M32" s="250">
        <f>'Fixed inputs'!M48</f>
        <v>0</v>
      </c>
      <c r="N32" s="250">
        <f>'Fixed inputs'!N48</f>
        <v>0</v>
      </c>
      <c r="O32" s="250">
        <f>'Fixed inputs'!O48</f>
        <v>0</v>
      </c>
      <c r="P32" s="250">
        <f>'Fixed inputs'!P48</f>
        <v>0</v>
      </c>
      <c r="Q32" s="250">
        <f>'Fixed inputs'!Q48</f>
        <v>0</v>
      </c>
      <c r="R32" s="250">
        <f>'Fixed inputs'!R48</f>
        <v>0</v>
      </c>
      <c r="S32" s="250">
        <f>'Fixed inputs'!S48</f>
        <v>0</v>
      </c>
      <c r="T32" s="250">
        <f>'Fixed inputs'!T48</f>
        <v>0</v>
      </c>
      <c r="U32" s="250">
        <f>'Fixed inputs'!U48</f>
        <v>0</v>
      </c>
      <c r="V32" s="250">
        <f>'Fixed inputs'!V48</f>
        <v>1</v>
      </c>
      <c r="W32" s="250">
        <f>'Fixed inputs'!W48</f>
        <v>0</v>
      </c>
      <c r="X32" s="250">
        <f>'Fixed inputs'!X48</f>
        <v>0</v>
      </c>
      <c r="Y32" s="250">
        <f>'Fixed inputs'!Y48</f>
        <v>0</v>
      </c>
      <c r="Z32" s="250">
        <f>'Fixed inputs'!Z48</f>
        <v>0</v>
      </c>
      <c r="AA32" s="250">
        <f>'Fixed inputs'!AA48</f>
        <v>0</v>
      </c>
      <c r="AB32" s="250">
        <f>'Fixed inputs'!AB48</f>
        <v>0</v>
      </c>
      <c r="AC32" s="250">
        <f>'Fixed inputs'!AC48</f>
        <v>0</v>
      </c>
      <c r="AD32" s="250">
        <f>'Fixed inputs'!AD48</f>
        <v>0</v>
      </c>
      <c r="AE32" s="250">
        <f>'Fixed inputs'!AE48</f>
        <v>0</v>
      </c>
      <c r="AF32" s="250">
        <f>'Fixed inputs'!AF48</f>
        <v>0</v>
      </c>
      <c r="AG32" s="250">
        <f>'Fixed inputs'!AG48</f>
        <v>0</v>
      </c>
      <c r="AH32" s="250">
        <f>'Fixed inputs'!AH48</f>
        <v>0</v>
      </c>
      <c r="AI32" s="250">
        <f>'Fixed inputs'!AI48</f>
        <v>0</v>
      </c>
      <c r="AJ32" s="250">
        <f>'Fixed inputs'!AJ48</f>
        <v>0</v>
      </c>
      <c r="AK32" s="250">
        <f>'Fixed inputs'!AK48</f>
        <v>0</v>
      </c>
      <c r="AL32" s="250">
        <f>'Fixed inputs'!AL48</f>
        <v>0</v>
      </c>
      <c r="AM32" s="250">
        <f>'Fixed inputs'!AM48</f>
        <v>0</v>
      </c>
      <c r="AN32" s="250">
        <f>'Fixed inputs'!AN48</f>
        <v>0</v>
      </c>
      <c r="AO32" s="250">
        <f>'Fixed inputs'!AO48</f>
        <v>0</v>
      </c>
      <c r="AP32" s="250">
        <f>'Fixed inputs'!AP48</f>
        <v>0</v>
      </c>
      <c r="BH32" s="8"/>
    </row>
    <row r="33" spans="4:60" s="21" customFormat="1" x14ac:dyDescent="0.25">
      <c r="F33" s="168" t="s">
        <v>81</v>
      </c>
      <c r="G33" s="168" t="s">
        <v>149</v>
      </c>
      <c r="H33" s="168"/>
      <c r="I33" s="168"/>
      <c r="J33" s="252">
        <f>'Fixed inputs'!J49</f>
        <v>0</v>
      </c>
      <c r="K33" s="252">
        <f>'Fixed inputs'!K49</f>
        <v>0</v>
      </c>
      <c r="L33" s="252">
        <f>'Fixed inputs'!L49</f>
        <v>0</v>
      </c>
      <c r="M33" s="252">
        <f>'Fixed inputs'!M49</f>
        <v>0</v>
      </c>
      <c r="N33" s="252">
        <f>'Fixed inputs'!N49</f>
        <v>0</v>
      </c>
      <c r="O33" s="252">
        <f>'Fixed inputs'!O49</f>
        <v>0</v>
      </c>
      <c r="P33" s="252">
        <f>'Fixed inputs'!P49</f>
        <v>0</v>
      </c>
      <c r="Q33" s="252">
        <f>'Fixed inputs'!Q49</f>
        <v>0</v>
      </c>
      <c r="R33" s="252">
        <f>'Fixed inputs'!R49</f>
        <v>0</v>
      </c>
      <c r="S33" s="252">
        <f>'Fixed inputs'!S49</f>
        <v>0</v>
      </c>
      <c r="T33" s="252">
        <f>'Fixed inputs'!T49</f>
        <v>0</v>
      </c>
      <c r="U33" s="252">
        <f>'Fixed inputs'!U49</f>
        <v>0</v>
      </c>
      <c r="V33" s="252">
        <f>'Fixed inputs'!V49</f>
        <v>0</v>
      </c>
      <c r="W33" s="252">
        <f>'Fixed inputs'!W49</f>
        <v>1</v>
      </c>
      <c r="X33" s="252">
        <f>'Fixed inputs'!X49</f>
        <v>0</v>
      </c>
      <c r="Y33" s="252">
        <f>'Fixed inputs'!Y49</f>
        <v>0</v>
      </c>
      <c r="Z33" s="252">
        <f>'Fixed inputs'!Z49</f>
        <v>0</v>
      </c>
      <c r="AA33" s="252">
        <f>'Fixed inputs'!AA49</f>
        <v>0</v>
      </c>
      <c r="AB33" s="252">
        <f>'Fixed inputs'!AB49</f>
        <v>0</v>
      </c>
      <c r="AC33" s="252">
        <f>'Fixed inputs'!AC49</f>
        <v>0</v>
      </c>
      <c r="AD33" s="252">
        <f>'Fixed inputs'!AD49</f>
        <v>0</v>
      </c>
      <c r="AE33" s="252">
        <f>'Fixed inputs'!AE49</f>
        <v>0</v>
      </c>
      <c r="AF33" s="252">
        <f>'Fixed inputs'!AF49</f>
        <v>0</v>
      </c>
      <c r="AG33" s="252">
        <f>'Fixed inputs'!AG49</f>
        <v>0</v>
      </c>
      <c r="AH33" s="252">
        <f>'Fixed inputs'!AH49</f>
        <v>0</v>
      </c>
      <c r="AI33" s="252">
        <f>'Fixed inputs'!AI49</f>
        <v>0</v>
      </c>
      <c r="AJ33" s="252">
        <f>'Fixed inputs'!AJ49</f>
        <v>0</v>
      </c>
      <c r="AK33" s="252">
        <f>'Fixed inputs'!AK49</f>
        <v>0</v>
      </c>
      <c r="AL33" s="252">
        <f>'Fixed inputs'!AL49</f>
        <v>0</v>
      </c>
      <c r="AM33" s="252">
        <f>'Fixed inputs'!AM49</f>
        <v>0</v>
      </c>
      <c r="AN33" s="252">
        <f>'Fixed inputs'!AN49</f>
        <v>0</v>
      </c>
      <c r="AO33" s="252">
        <f>'Fixed inputs'!AO49</f>
        <v>0</v>
      </c>
      <c r="AP33" s="252">
        <f>'Fixed inputs'!AP49</f>
        <v>0</v>
      </c>
      <c r="BH33" s="8"/>
    </row>
    <row r="34" spans="4:60" s="21" customFormat="1" x14ac:dyDescent="0.25">
      <c r="F34" s="145" t="s">
        <v>166</v>
      </c>
      <c r="G34" s="145" t="s">
        <v>111</v>
      </c>
      <c r="H34" s="167"/>
      <c r="I34" s="167"/>
      <c r="J34" s="321">
        <f>J30 * $H$22</f>
        <v>0.34755258472512618</v>
      </c>
      <c r="K34" s="321">
        <f t="shared" ref="K34:AP34" si="0">K30 * $H$22</f>
        <v>0.34755258472512618</v>
      </c>
      <c r="L34" s="321">
        <f t="shared" si="0"/>
        <v>0.34755258472512618</v>
      </c>
      <c r="M34" s="321">
        <f t="shared" si="0"/>
        <v>0.34755258472512618</v>
      </c>
      <c r="N34" s="321">
        <f t="shared" si="0"/>
        <v>0.34755258472512618</v>
      </c>
      <c r="O34" s="321">
        <f t="shared" si="0"/>
        <v>0.34755258472512618</v>
      </c>
      <c r="P34" s="321">
        <f t="shared" si="0"/>
        <v>0.34755258472512618</v>
      </c>
      <c r="Q34" s="321">
        <f t="shared" si="0"/>
        <v>0</v>
      </c>
      <c r="R34" s="321">
        <f t="shared" si="0"/>
        <v>0</v>
      </c>
      <c r="S34" s="321">
        <f t="shared" si="0"/>
        <v>0.34755258472512618</v>
      </c>
      <c r="T34" s="321">
        <f t="shared" si="0"/>
        <v>0.34755258472512618</v>
      </c>
      <c r="U34" s="321">
        <f t="shared" si="0"/>
        <v>0.34755258472512618</v>
      </c>
      <c r="V34" s="321">
        <f t="shared" ref="V34" si="1">V30 * $H$22</f>
        <v>0</v>
      </c>
      <c r="W34" s="321">
        <f t="shared" si="0"/>
        <v>0</v>
      </c>
      <c r="X34" s="321">
        <f t="shared" si="0"/>
        <v>0.34755258472512618</v>
      </c>
      <c r="Y34" s="321">
        <f t="shared" si="0"/>
        <v>0.34755258472512618</v>
      </c>
      <c r="Z34" s="321">
        <f t="shared" si="0"/>
        <v>0.34755258472512618</v>
      </c>
      <c r="AA34" s="321">
        <f t="shared" si="0"/>
        <v>0.34755258472512618</v>
      </c>
      <c r="AB34" s="321">
        <f t="shared" si="0"/>
        <v>0.34755258472512618</v>
      </c>
      <c r="AC34" s="321">
        <f t="shared" si="0"/>
        <v>0</v>
      </c>
      <c r="AD34" s="321">
        <f t="shared" si="0"/>
        <v>0</v>
      </c>
      <c r="AE34" s="321">
        <f t="shared" si="0"/>
        <v>0</v>
      </c>
      <c r="AF34" s="321">
        <f t="shared" si="0"/>
        <v>0</v>
      </c>
      <c r="AG34" s="321">
        <f t="shared" si="0"/>
        <v>0</v>
      </c>
      <c r="AH34" s="321">
        <f t="shared" si="0"/>
        <v>0</v>
      </c>
      <c r="AI34" s="321">
        <f t="shared" si="0"/>
        <v>0</v>
      </c>
      <c r="AJ34" s="321">
        <f t="shared" si="0"/>
        <v>0</v>
      </c>
      <c r="AK34" s="321">
        <f t="shared" si="0"/>
        <v>0</v>
      </c>
      <c r="AL34" s="321">
        <f t="shared" si="0"/>
        <v>0</v>
      </c>
      <c r="AM34" s="321">
        <f t="shared" si="0"/>
        <v>0</v>
      </c>
      <c r="AN34" s="321">
        <f t="shared" si="0"/>
        <v>0</v>
      </c>
      <c r="AO34" s="321">
        <f t="shared" si="0"/>
        <v>0</v>
      </c>
      <c r="AP34" s="321">
        <f t="shared" si="0"/>
        <v>0</v>
      </c>
      <c r="BH34" s="8"/>
    </row>
    <row r="35" spans="4:60" s="21" customFormat="1" x14ac:dyDescent="0.25">
      <c r="F35" s="145" t="s">
        <v>167</v>
      </c>
      <c r="G35" s="145" t="s">
        <v>111</v>
      </c>
      <c r="H35" s="167"/>
      <c r="I35" s="167"/>
      <c r="J35" s="321">
        <f>SUMPRODUCT(J31:J33,$H$23:$H$25)</f>
        <v>0.56592745965042113</v>
      </c>
      <c r="K35" s="321">
        <f t="shared" ref="K35:AP35" si="2">SUMPRODUCT(K31:K33,$H$23:$H$25)</f>
        <v>0.56592745965042113</v>
      </c>
      <c r="L35" s="321">
        <f t="shared" si="2"/>
        <v>0.56592745965042113</v>
      </c>
      <c r="M35" s="321">
        <f t="shared" si="2"/>
        <v>0.56592745965042113</v>
      </c>
      <c r="N35" s="321">
        <f t="shared" si="2"/>
        <v>0.56592745965042113</v>
      </c>
      <c r="O35" s="321">
        <f t="shared" si="2"/>
        <v>0.56592745965042113</v>
      </c>
      <c r="P35" s="321">
        <f t="shared" si="2"/>
        <v>0.56592745965042113</v>
      </c>
      <c r="Q35" s="321">
        <f t="shared" si="2"/>
        <v>0</v>
      </c>
      <c r="R35" s="321">
        <f t="shared" si="2"/>
        <v>0</v>
      </c>
      <c r="S35" s="321">
        <f t="shared" si="2"/>
        <v>0.56592745965042113</v>
      </c>
      <c r="T35" s="321">
        <f t="shared" si="2"/>
        <v>0.56592745965042113</v>
      </c>
      <c r="U35" s="321">
        <f t="shared" si="2"/>
        <v>0.56592745965042113</v>
      </c>
      <c r="V35" s="321">
        <f t="shared" ref="V35" si="3">SUMPRODUCT(V31:V33,$H$23:$H$25)</f>
        <v>0.30780783362179165</v>
      </c>
      <c r="W35" s="321">
        <f t="shared" si="2"/>
        <v>0.20760110839034102</v>
      </c>
      <c r="X35" s="321">
        <f t="shared" si="2"/>
        <v>0.56592745965042113</v>
      </c>
      <c r="Y35" s="321">
        <f t="shared" si="2"/>
        <v>0.56592745965042113</v>
      </c>
      <c r="Z35" s="321">
        <f t="shared" si="2"/>
        <v>0.56592745965042113</v>
      </c>
      <c r="AA35" s="321">
        <f t="shared" si="2"/>
        <v>0.56592745965042113</v>
      </c>
      <c r="AB35" s="321">
        <f t="shared" si="2"/>
        <v>0.56592745965042113</v>
      </c>
      <c r="AC35" s="321">
        <f t="shared" si="2"/>
        <v>0</v>
      </c>
      <c r="AD35" s="321">
        <f t="shared" si="2"/>
        <v>0</v>
      </c>
      <c r="AE35" s="321">
        <f t="shared" si="2"/>
        <v>0</v>
      </c>
      <c r="AF35" s="321">
        <f t="shared" si="2"/>
        <v>0</v>
      </c>
      <c r="AG35" s="321">
        <f t="shared" si="2"/>
        <v>0</v>
      </c>
      <c r="AH35" s="321">
        <f t="shared" si="2"/>
        <v>0</v>
      </c>
      <c r="AI35" s="321">
        <f t="shared" si="2"/>
        <v>0</v>
      </c>
      <c r="AJ35" s="321">
        <f t="shared" si="2"/>
        <v>0</v>
      </c>
      <c r="AK35" s="321">
        <f t="shared" si="2"/>
        <v>0</v>
      </c>
      <c r="AL35" s="321">
        <f t="shared" si="2"/>
        <v>0</v>
      </c>
      <c r="AM35" s="321">
        <f t="shared" si="2"/>
        <v>0</v>
      </c>
      <c r="AN35" s="321">
        <f t="shared" si="2"/>
        <v>0</v>
      </c>
      <c r="AO35" s="321">
        <f t="shared" si="2"/>
        <v>0</v>
      </c>
      <c r="AP35" s="321">
        <f t="shared" si="2"/>
        <v>0</v>
      </c>
      <c r="BH35" s="8"/>
    </row>
    <row r="36" spans="4:60" s="21" customFormat="1" x14ac:dyDescent="0.25">
      <c r="D36" s="36"/>
      <c r="F36" s="160"/>
      <c r="G36" s="15"/>
      <c r="H36" s="15"/>
      <c r="I36" s="15"/>
      <c r="J36" s="15"/>
      <c r="K36" s="15"/>
      <c r="L36" s="27"/>
      <c r="M36" s="27"/>
      <c r="N36" s="15"/>
      <c r="O36" s="15"/>
      <c r="BH36" s="8"/>
    </row>
    <row r="37" spans="4:60" s="21" customFormat="1" x14ac:dyDescent="0.25">
      <c r="E37" s="36" t="s">
        <v>189</v>
      </c>
      <c r="G37" s="15"/>
      <c r="H37" s="15"/>
      <c r="I37" s="15" t="s">
        <v>525</v>
      </c>
      <c r="J37" s="15"/>
      <c r="K37" s="15"/>
      <c r="L37" s="27"/>
      <c r="M37" s="27"/>
      <c r="N37" s="15"/>
      <c r="O37" s="15"/>
      <c r="AR37" s="474" t="s">
        <v>1196</v>
      </c>
      <c r="BH37" s="8"/>
    </row>
    <row r="38" spans="4:60" s="21" customFormat="1" x14ac:dyDescent="0.25">
      <c r="E38" s="65" t="s">
        <v>501</v>
      </c>
    </row>
    <row r="39" spans="4:60" s="21" customFormat="1" x14ac:dyDescent="0.25">
      <c r="F39" s="145" t="s">
        <v>534</v>
      </c>
      <c r="G39" s="145" t="s">
        <v>192</v>
      </c>
      <c r="H39" s="167"/>
      <c r="I39" s="167"/>
      <c r="J39" s="259" t="b">
        <f>'Fixed inputs'!J106</f>
        <v>0</v>
      </c>
      <c r="K39" s="259" t="b">
        <f>'Fixed inputs'!K106</f>
        <v>0</v>
      </c>
      <c r="L39" s="259" t="b">
        <f>'Fixed inputs'!L106</f>
        <v>0</v>
      </c>
      <c r="M39" s="259" t="b">
        <f>'Fixed inputs'!M106</f>
        <v>0</v>
      </c>
      <c r="N39" s="259" t="b">
        <f>'Fixed inputs'!N106</f>
        <v>0</v>
      </c>
      <c r="O39" s="259" t="b">
        <f>'Fixed inputs'!O106</f>
        <v>0</v>
      </c>
      <c r="P39" s="259" t="b">
        <f>'Fixed inputs'!P106</f>
        <v>0</v>
      </c>
      <c r="Q39" s="259" t="b">
        <f>'Fixed inputs'!Q106</f>
        <v>0</v>
      </c>
      <c r="R39" s="259" t="b">
        <f>'Fixed inputs'!R106</f>
        <v>0</v>
      </c>
      <c r="S39" s="259" t="b">
        <f>'Fixed inputs'!S106</f>
        <v>0</v>
      </c>
      <c r="T39" s="259" t="b">
        <f>'Fixed inputs'!T106</f>
        <v>0</v>
      </c>
      <c r="U39" s="259" t="b">
        <f>'Fixed inputs'!U106</f>
        <v>0</v>
      </c>
      <c r="V39" s="259" t="b">
        <f>'Fixed inputs'!V106</f>
        <v>0</v>
      </c>
      <c r="W39" s="259" t="b">
        <f>'Fixed inputs'!W106</f>
        <v>0</v>
      </c>
      <c r="X39" s="259" t="b">
        <f>'Fixed inputs'!X106</f>
        <v>0</v>
      </c>
      <c r="Y39" s="259" t="b">
        <f>'Fixed inputs'!Y106</f>
        <v>0</v>
      </c>
      <c r="Z39" s="259" t="b">
        <f>'Fixed inputs'!Z106</f>
        <v>0</v>
      </c>
      <c r="AA39" s="259" t="b">
        <f>'Fixed inputs'!AA106</f>
        <v>0</v>
      </c>
      <c r="AB39" s="259" t="b">
        <f>'Fixed inputs'!AB106</f>
        <v>0</v>
      </c>
      <c r="AC39" s="259" t="b">
        <f>'Fixed inputs'!AC106</f>
        <v>1</v>
      </c>
      <c r="AD39" s="259" t="b">
        <f>'Fixed inputs'!AD106</f>
        <v>1</v>
      </c>
      <c r="AE39" s="259" t="b">
        <f>'Fixed inputs'!AE106</f>
        <v>1</v>
      </c>
      <c r="AF39" s="259" t="b">
        <f>'Fixed inputs'!AF106</f>
        <v>1</v>
      </c>
      <c r="AG39" s="259" t="b">
        <f>'Fixed inputs'!AG106</f>
        <v>1</v>
      </c>
      <c r="AH39" s="259" t="b">
        <f>'Fixed inputs'!AH106</f>
        <v>1</v>
      </c>
      <c r="AI39" s="259" t="b">
        <f>'Fixed inputs'!AI106</f>
        <v>1</v>
      </c>
      <c r="AJ39" s="259" t="b">
        <f>'Fixed inputs'!AJ106</f>
        <v>1</v>
      </c>
      <c r="AK39" s="259" t="b">
        <f>'Fixed inputs'!AK106</f>
        <v>1</v>
      </c>
      <c r="AL39" s="259" t="b">
        <f>'Fixed inputs'!AL106</f>
        <v>1</v>
      </c>
      <c r="AM39" s="259" t="b">
        <f>'Fixed inputs'!AM106</f>
        <v>1</v>
      </c>
      <c r="AN39" s="259" t="b">
        <f>'Fixed inputs'!AN106</f>
        <v>1</v>
      </c>
      <c r="AO39" s="259" t="b">
        <f>'Fixed inputs'!AO106</f>
        <v>1</v>
      </c>
      <c r="AP39" s="259" t="b">
        <f>'Fixed inputs'!AP106</f>
        <v>1</v>
      </c>
      <c r="BH39" s="8"/>
    </row>
    <row r="40" spans="4:60" s="131" customFormat="1" x14ac:dyDescent="0.25">
      <c r="F40" s="145" t="s">
        <v>535</v>
      </c>
      <c r="G40" s="145" t="s">
        <v>192</v>
      </c>
      <c r="H40" s="167"/>
      <c r="I40" s="167"/>
      <c r="J40" s="259" t="b">
        <f>'Fixed inputs'!J110</f>
        <v>0</v>
      </c>
      <c r="K40" s="259" t="b">
        <f>'Fixed inputs'!K110</f>
        <v>0</v>
      </c>
      <c r="L40" s="259" t="b">
        <f>'Fixed inputs'!L110</f>
        <v>0</v>
      </c>
      <c r="M40" s="259" t="b">
        <f>'Fixed inputs'!M110</f>
        <v>0</v>
      </c>
      <c r="N40" s="259" t="b">
        <f>'Fixed inputs'!N110</f>
        <v>0</v>
      </c>
      <c r="O40" s="259" t="b">
        <f>'Fixed inputs'!O110</f>
        <v>0</v>
      </c>
      <c r="P40" s="259" t="b">
        <f>'Fixed inputs'!P110</f>
        <v>0</v>
      </c>
      <c r="Q40" s="259" t="b">
        <f>'Fixed inputs'!Q110</f>
        <v>0</v>
      </c>
      <c r="R40" s="259" t="b">
        <f>'Fixed inputs'!R110</f>
        <v>0</v>
      </c>
      <c r="S40" s="259" t="b">
        <f>'Fixed inputs'!S110</f>
        <v>0</v>
      </c>
      <c r="T40" s="259" t="b">
        <f>'Fixed inputs'!T110</f>
        <v>0</v>
      </c>
      <c r="U40" s="259" t="b">
        <f>'Fixed inputs'!U110</f>
        <v>0</v>
      </c>
      <c r="V40" s="259" t="b">
        <f>'Fixed inputs'!V110</f>
        <v>0</v>
      </c>
      <c r="W40" s="259" t="b">
        <f>'Fixed inputs'!W110</f>
        <v>0</v>
      </c>
      <c r="X40" s="259" t="b">
        <f>'Fixed inputs'!X110</f>
        <v>0</v>
      </c>
      <c r="Y40" s="259" t="b">
        <f>'Fixed inputs'!Y110</f>
        <v>0</v>
      </c>
      <c r="Z40" s="259" t="b">
        <f>'Fixed inputs'!Z110</f>
        <v>0</v>
      </c>
      <c r="AA40" s="259" t="b">
        <f>'Fixed inputs'!AA110</f>
        <v>0</v>
      </c>
      <c r="AB40" s="259" t="b">
        <f>'Fixed inputs'!AB110</f>
        <v>0</v>
      </c>
      <c r="AC40" s="259" t="b">
        <f>'Fixed inputs'!AC110</f>
        <v>1</v>
      </c>
      <c r="AD40" s="259" t="b">
        <f>'Fixed inputs'!AD110</f>
        <v>1</v>
      </c>
      <c r="AE40" s="259" t="b">
        <f>'Fixed inputs'!AE110</f>
        <v>1</v>
      </c>
      <c r="AF40" s="259" t="b">
        <f>'Fixed inputs'!AF110</f>
        <v>1</v>
      </c>
      <c r="AG40" s="259" t="b">
        <f>'Fixed inputs'!AG110</f>
        <v>1</v>
      </c>
      <c r="AH40" s="259" t="b">
        <f>'Fixed inputs'!AH110</f>
        <v>1</v>
      </c>
      <c r="AI40" s="259" t="b">
        <f>'Fixed inputs'!AI110</f>
        <v>1</v>
      </c>
      <c r="AJ40" s="259" t="b">
        <f>'Fixed inputs'!AJ110</f>
        <v>1</v>
      </c>
      <c r="AK40" s="259" t="b">
        <f>'Fixed inputs'!AK110</f>
        <v>1</v>
      </c>
      <c r="AL40" s="259" t="b">
        <f>'Fixed inputs'!AL110</f>
        <v>1</v>
      </c>
      <c r="AM40" s="259" t="b">
        <f>'Fixed inputs'!AM110</f>
        <v>1</v>
      </c>
      <c r="AN40" s="259" t="b">
        <f>'Fixed inputs'!AN110</f>
        <v>1</v>
      </c>
      <c r="AO40" s="259" t="b">
        <f>'Fixed inputs'!AO110</f>
        <v>1</v>
      </c>
      <c r="AP40" s="259" t="b">
        <f>'Fixed inputs'!AP110</f>
        <v>1</v>
      </c>
      <c r="BH40" s="136"/>
    </row>
    <row r="41" spans="4:60" s="131" customFormat="1" x14ac:dyDescent="0.25">
      <c r="F41" s="145" t="s">
        <v>536</v>
      </c>
      <c r="G41" s="145" t="s">
        <v>192</v>
      </c>
      <c r="H41" s="167"/>
      <c r="I41" s="167"/>
      <c r="J41" s="259" t="b">
        <f>'Fixed inputs'!J114</f>
        <v>0</v>
      </c>
      <c r="K41" s="259" t="b">
        <f>'Fixed inputs'!K114</f>
        <v>0</v>
      </c>
      <c r="L41" s="259" t="b">
        <f>'Fixed inputs'!L114</f>
        <v>0</v>
      </c>
      <c r="M41" s="259" t="b">
        <f>'Fixed inputs'!M114</f>
        <v>0</v>
      </c>
      <c r="N41" s="259" t="b">
        <f>'Fixed inputs'!N114</f>
        <v>0</v>
      </c>
      <c r="O41" s="259" t="b">
        <f>'Fixed inputs'!O114</f>
        <v>0</v>
      </c>
      <c r="P41" s="259" t="b">
        <f>'Fixed inputs'!P114</f>
        <v>0</v>
      </c>
      <c r="Q41" s="259" t="b">
        <f>'Fixed inputs'!Q114</f>
        <v>0</v>
      </c>
      <c r="R41" s="259" t="b">
        <f>'Fixed inputs'!R114</f>
        <v>0</v>
      </c>
      <c r="S41" s="259" t="b">
        <f>'Fixed inputs'!S114</f>
        <v>0</v>
      </c>
      <c r="T41" s="259" t="b">
        <f>'Fixed inputs'!T114</f>
        <v>0</v>
      </c>
      <c r="U41" s="259" t="b">
        <f>'Fixed inputs'!U114</f>
        <v>0</v>
      </c>
      <c r="V41" s="259" t="b">
        <f>'Fixed inputs'!V114</f>
        <v>0</v>
      </c>
      <c r="W41" s="259" t="b">
        <f>'Fixed inputs'!W114</f>
        <v>0</v>
      </c>
      <c r="X41" s="259" t="b">
        <f>'Fixed inputs'!X114</f>
        <v>0</v>
      </c>
      <c r="Y41" s="259" t="b">
        <f>'Fixed inputs'!Y114</f>
        <v>0</v>
      </c>
      <c r="Z41" s="259" t="b">
        <f>'Fixed inputs'!Z114</f>
        <v>0</v>
      </c>
      <c r="AA41" s="259" t="b">
        <f>'Fixed inputs'!AA114</f>
        <v>0</v>
      </c>
      <c r="AB41" s="259" t="b">
        <f>'Fixed inputs'!AB114</f>
        <v>0</v>
      </c>
      <c r="AC41" s="259" t="b">
        <f>'Fixed inputs'!AC114</f>
        <v>1</v>
      </c>
      <c r="AD41" s="259" t="b">
        <f>'Fixed inputs'!AD114</f>
        <v>1</v>
      </c>
      <c r="AE41" s="259" t="b">
        <f>'Fixed inputs'!AE114</f>
        <v>1</v>
      </c>
      <c r="AF41" s="259" t="b">
        <f>'Fixed inputs'!AF114</f>
        <v>1</v>
      </c>
      <c r="AG41" s="259" t="b">
        <f>'Fixed inputs'!AG114</f>
        <v>1</v>
      </c>
      <c r="AH41" s="259" t="b">
        <f>'Fixed inputs'!AH114</f>
        <v>1</v>
      </c>
      <c r="AI41" s="259" t="b">
        <f>'Fixed inputs'!AI114</f>
        <v>1</v>
      </c>
      <c r="AJ41" s="259" t="b">
        <f>'Fixed inputs'!AJ114</f>
        <v>1</v>
      </c>
      <c r="AK41" s="259" t="b">
        <f>'Fixed inputs'!AK114</f>
        <v>1</v>
      </c>
      <c r="AL41" s="259" t="b">
        <f>'Fixed inputs'!AL114</f>
        <v>1</v>
      </c>
      <c r="AM41" s="259" t="b">
        <f>'Fixed inputs'!AM114</f>
        <v>1</v>
      </c>
      <c r="AN41" s="259" t="b">
        <f>'Fixed inputs'!AN114</f>
        <v>1</v>
      </c>
      <c r="AO41" s="259" t="b">
        <f>'Fixed inputs'!AO114</f>
        <v>1</v>
      </c>
      <c r="AP41" s="259" t="b">
        <f>'Fixed inputs'!AP114</f>
        <v>1</v>
      </c>
      <c r="BH41" s="136"/>
    </row>
    <row r="42" spans="4:60" s="131" customFormat="1" x14ac:dyDescent="0.25">
      <c r="F42" s="145" t="s">
        <v>537</v>
      </c>
      <c r="G42" s="145" t="s">
        <v>192</v>
      </c>
      <c r="H42" s="167"/>
      <c r="I42" s="167"/>
      <c r="J42" s="259" t="b">
        <f>'Fixed inputs'!J118</f>
        <v>0</v>
      </c>
      <c r="K42" s="259" t="b">
        <f>'Fixed inputs'!K118</f>
        <v>0</v>
      </c>
      <c r="L42" s="259" t="b">
        <f>'Fixed inputs'!L118</f>
        <v>0</v>
      </c>
      <c r="M42" s="259" t="b">
        <f>'Fixed inputs'!M118</f>
        <v>0</v>
      </c>
      <c r="N42" s="259" t="b">
        <f>'Fixed inputs'!N118</f>
        <v>0</v>
      </c>
      <c r="O42" s="259" t="b">
        <f>'Fixed inputs'!O118</f>
        <v>0</v>
      </c>
      <c r="P42" s="259" t="b">
        <f>'Fixed inputs'!P118</f>
        <v>0</v>
      </c>
      <c r="Q42" s="259" t="b">
        <f>'Fixed inputs'!Q118</f>
        <v>0</v>
      </c>
      <c r="R42" s="259" t="b">
        <f>'Fixed inputs'!R118</f>
        <v>0</v>
      </c>
      <c r="S42" s="259" t="b">
        <f>'Fixed inputs'!S118</f>
        <v>0</v>
      </c>
      <c r="T42" s="259" t="b">
        <f>'Fixed inputs'!T118</f>
        <v>0</v>
      </c>
      <c r="U42" s="259" t="b">
        <f>'Fixed inputs'!U118</f>
        <v>0</v>
      </c>
      <c r="V42" s="259" t="b">
        <f>'Fixed inputs'!V118</f>
        <v>0</v>
      </c>
      <c r="W42" s="259" t="b">
        <f>'Fixed inputs'!W118</f>
        <v>0</v>
      </c>
      <c r="X42" s="259" t="b">
        <f>'Fixed inputs'!X118</f>
        <v>0</v>
      </c>
      <c r="Y42" s="259" t="b">
        <f>'Fixed inputs'!Y118</f>
        <v>0</v>
      </c>
      <c r="Z42" s="259" t="b">
        <f>'Fixed inputs'!Z118</f>
        <v>0</v>
      </c>
      <c r="AA42" s="259" t="b">
        <f>'Fixed inputs'!AA118</f>
        <v>0</v>
      </c>
      <c r="AB42" s="259" t="b">
        <f>'Fixed inputs'!AB118</f>
        <v>0</v>
      </c>
      <c r="AC42" s="259" t="b">
        <f>'Fixed inputs'!AC118</f>
        <v>1</v>
      </c>
      <c r="AD42" s="259" t="b">
        <f>'Fixed inputs'!AD118</f>
        <v>1</v>
      </c>
      <c r="AE42" s="259" t="b">
        <f>'Fixed inputs'!AE118</f>
        <v>1</v>
      </c>
      <c r="AF42" s="259" t="b">
        <f>'Fixed inputs'!AF118</f>
        <v>1</v>
      </c>
      <c r="AG42" s="259" t="b">
        <f>'Fixed inputs'!AG118</f>
        <v>1</v>
      </c>
      <c r="AH42" s="259" t="b">
        <f>'Fixed inputs'!AH118</f>
        <v>1</v>
      </c>
      <c r="AI42" s="259" t="b">
        <f>'Fixed inputs'!AI118</f>
        <v>1</v>
      </c>
      <c r="AJ42" s="259" t="b">
        <f>'Fixed inputs'!AJ118</f>
        <v>1</v>
      </c>
      <c r="AK42" s="259" t="b">
        <f>'Fixed inputs'!AK118</f>
        <v>1</v>
      </c>
      <c r="AL42" s="259" t="b">
        <f>'Fixed inputs'!AL118</f>
        <v>1</v>
      </c>
      <c r="AM42" s="259" t="b">
        <f>'Fixed inputs'!AM118</f>
        <v>1</v>
      </c>
      <c r="AN42" s="259" t="b">
        <f>'Fixed inputs'!AN118</f>
        <v>1</v>
      </c>
      <c r="AO42" s="259" t="b">
        <f>'Fixed inputs'!AO118</f>
        <v>1</v>
      </c>
      <c r="AP42" s="259" t="b">
        <f>'Fixed inputs'!AP118</f>
        <v>1</v>
      </c>
      <c r="BH42" s="136"/>
    </row>
    <row r="43" spans="4:60" s="131" customFormat="1" x14ac:dyDescent="0.25">
      <c r="F43" s="145" t="s">
        <v>538</v>
      </c>
      <c r="G43" s="145" t="s">
        <v>192</v>
      </c>
      <c r="H43" s="167"/>
      <c r="I43" s="167"/>
      <c r="J43" s="259" t="b">
        <f>'Fixed inputs'!J122</f>
        <v>0</v>
      </c>
      <c r="K43" s="259" t="b">
        <f>'Fixed inputs'!K122</f>
        <v>0</v>
      </c>
      <c r="L43" s="259" t="b">
        <f>'Fixed inputs'!L122</f>
        <v>0</v>
      </c>
      <c r="M43" s="259" t="b">
        <f>'Fixed inputs'!M122</f>
        <v>0</v>
      </c>
      <c r="N43" s="259" t="b">
        <f>'Fixed inputs'!N122</f>
        <v>0</v>
      </c>
      <c r="O43" s="259" t="b">
        <f>'Fixed inputs'!O122</f>
        <v>0</v>
      </c>
      <c r="P43" s="259" t="b">
        <f>'Fixed inputs'!P122</f>
        <v>0</v>
      </c>
      <c r="Q43" s="259" t="b">
        <f>'Fixed inputs'!Q122</f>
        <v>0</v>
      </c>
      <c r="R43" s="259" t="b">
        <f>'Fixed inputs'!R122</f>
        <v>0</v>
      </c>
      <c r="S43" s="259" t="b">
        <f>'Fixed inputs'!S122</f>
        <v>0</v>
      </c>
      <c r="T43" s="259" t="b">
        <f>'Fixed inputs'!T122</f>
        <v>0</v>
      </c>
      <c r="U43" s="259" t="b">
        <f>'Fixed inputs'!U122</f>
        <v>0</v>
      </c>
      <c r="V43" s="259" t="b">
        <f>'Fixed inputs'!V122</f>
        <v>0</v>
      </c>
      <c r="W43" s="259" t="b">
        <f>'Fixed inputs'!W122</f>
        <v>0</v>
      </c>
      <c r="X43" s="259" t="b">
        <f>'Fixed inputs'!X122</f>
        <v>0</v>
      </c>
      <c r="Y43" s="259" t="b">
        <f>'Fixed inputs'!Y122</f>
        <v>0</v>
      </c>
      <c r="Z43" s="259" t="b">
        <f>'Fixed inputs'!Z122</f>
        <v>0</v>
      </c>
      <c r="AA43" s="259" t="b">
        <f>'Fixed inputs'!AA122</f>
        <v>0</v>
      </c>
      <c r="AB43" s="259" t="b">
        <f>'Fixed inputs'!AB122</f>
        <v>0</v>
      </c>
      <c r="AC43" s="259" t="b">
        <f>'Fixed inputs'!AC122</f>
        <v>1</v>
      </c>
      <c r="AD43" s="259" t="b">
        <f>'Fixed inputs'!AD122</f>
        <v>1</v>
      </c>
      <c r="AE43" s="259" t="b">
        <f>'Fixed inputs'!AE122</f>
        <v>1</v>
      </c>
      <c r="AF43" s="259" t="b">
        <f>'Fixed inputs'!AF122</f>
        <v>1</v>
      </c>
      <c r="AG43" s="259" t="b">
        <f>'Fixed inputs'!AG122</f>
        <v>1</v>
      </c>
      <c r="AH43" s="259" t="b">
        <f>'Fixed inputs'!AH122</f>
        <v>1</v>
      </c>
      <c r="AI43" s="259" t="b">
        <f>'Fixed inputs'!AI122</f>
        <v>1</v>
      </c>
      <c r="AJ43" s="259" t="b">
        <f>'Fixed inputs'!AJ122</f>
        <v>1</v>
      </c>
      <c r="AK43" s="259" t="b">
        <f>'Fixed inputs'!AK122</f>
        <v>1</v>
      </c>
      <c r="AL43" s="259" t="b">
        <f>'Fixed inputs'!AL122</f>
        <v>1</v>
      </c>
      <c r="AM43" s="259" t="b">
        <f>'Fixed inputs'!AM122</f>
        <v>1</v>
      </c>
      <c r="AN43" s="259" t="b">
        <f>'Fixed inputs'!AN122</f>
        <v>1</v>
      </c>
      <c r="AO43" s="259" t="b">
        <f>'Fixed inputs'!AO122</f>
        <v>1</v>
      </c>
      <c r="AP43" s="259" t="b">
        <f>'Fixed inputs'!AP122</f>
        <v>1</v>
      </c>
      <c r="BH43" s="136"/>
    </row>
    <row r="44" spans="4:60" s="160" customFormat="1" x14ac:dyDescent="0.25">
      <c r="D44" s="172"/>
      <c r="G44" s="167"/>
      <c r="H44" s="167"/>
      <c r="I44" s="167"/>
      <c r="J44" s="167"/>
      <c r="K44" s="167"/>
      <c r="L44" s="170"/>
      <c r="M44" s="170"/>
      <c r="N44" s="167"/>
      <c r="O44" s="167"/>
      <c r="BH44" s="163"/>
    </row>
    <row r="45" spans="4:60" s="21" customFormat="1" x14ac:dyDescent="0.25">
      <c r="F45" s="145" t="s">
        <v>193</v>
      </c>
      <c r="G45" s="145" t="s">
        <v>111</v>
      </c>
      <c r="H45" s="167"/>
      <c r="I45" s="167"/>
      <c r="J45" s="181">
        <f>'Fixed inputs'!J107</f>
        <v>0</v>
      </c>
      <c r="K45" s="181">
        <f>'Fixed inputs'!K107</f>
        <v>0</v>
      </c>
      <c r="L45" s="181">
        <f>'Fixed inputs'!L107</f>
        <v>0</v>
      </c>
      <c r="M45" s="181">
        <f>'Fixed inputs'!M107</f>
        <v>0</v>
      </c>
      <c r="N45" s="181">
        <f>'Fixed inputs'!N107</f>
        <v>0</v>
      </c>
      <c r="O45" s="181">
        <f>'Fixed inputs'!O107</f>
        <v>0</v>
      </c>
      <c r="P45" s="181">
        <f>'Fixed inputs'!P107</f>
        <v>0</v>
      </c>
      <c r="Q45" s="181">
        <f>'Fixed inputs'!Q107</f>
        <v>0</v>
      </c>
      <c r="R45" s="181">
        <f>'Fixed inputs'!R107</f>
        <v>0</v>
      </c>
      <c r="S45" s="181">
        <f>'Fixed inputs'!S107</f>
        <v>0</v>
      </c>
      <c r="T45" s="181">
        <f>'Fixed inputs'!T107</f>
        <v>0</v>
      </c>
      <c r="U45" s="181">
        <f>'Fixed inputs'!U107</f>
        <v>0</v>
      </c>
      <c r="V45" s="181">
        <f>'Fixed inputs'!V107</f>
        <v>0</v>
      </c>
      <c r="W45" s="181">
        <f>'Fixed inputs'!W107</f>
        <v>0</v>
      </c>
      <c r="X45" s="181">
        <f>'Fixed inputs'!X107</f>
        <v>0</v>
      </c>
      <c r="Y45" s="181">
        <f>'Fixed inputs'!Y107</f>
        <v>0</v>
      </c>
      <c r="Z45" s="181">
        <f>'Fixed inputs'!Z107</f>
        <v>0</v>
      </c>
      <c r="AA45" s="181">
        <f>'Fixed inputs'!AA107</f>
        <v>0</v>
      </c>
      <c r="AB45" s="181">
        <f>'Fixed inputs'!AB107</f>
        <v>0</v>
      </c>
      <c r="AC45" s="181">
        <f>'Fixed inputs'!AC107</f>
        <v>0</v>
      </c>
      <c r="AD45" s="181">
        <f>'Fixed inputs'!AD107</f>
        <v>0</v>
      </c>
      <c r="AE45" s="181">
        <f>'Fixed inputs'!AE107</f>
        <v>0</v>
      </c>
      <c r="AF45" s="181">
        <f>'Fixed inputs'!AF107</f>
        <v>0</v>
      </c>
      <c r="AG45" s="181">
        <f>'Fixed inputs'!AG107</f>
        <v>0</v>
      </c>
      <c r="AH45" s="181">
        <f>'Fixed inputs'!AH107</f>
        <v>0</v>
      </c>
      <c r="AI45" s="181">
        <f>'Fixed inputs'!AI107</f>
        <v>0</v>
      </c>
      <c r="AJ45" s="181">
        <f>'Fixed inputs'!AJ107</f>
        <v>0</v>
      </c>
      <c r="AK45" s="181">
        <f>'Fixed inputs'!AK107</f>
        <v>0</v>
      </c>
      <c r="AL45" s="181">
        <f>'Fixed inputs'!AL107</f>
        <v>0</v>
      </c>
      <c r="AM45" s="181">
        <f>'Fixed inputs'!AM107</f>
        <v>0</v>
      </c>
      <c r="AN45" s="181">
        <f>'Fixed inputs'!AN107</f>
        <v>0</v>
      </c>
      <c r="AO45" s="181">
        <f>'Fixed inputs'!AO107</f>
        <v>0</v>
      </c>
      <c r="AP45" s="181">
        <f>'Fixed inputs'!AP107</f>
        <v>0</v>
      </c>
      <c r="BH45" s="8"/>
    </row>
    <row r="46" spans="4:60" s="21" customFormat="1" x14ac:dyDescent="0.25">
      <c r="F46" s="145" t="s">
        <v>194</v>
      </c>
      <c r="G46" s="145" t="s">
        <v>111</v>
      </c>
      <c r="H46" s="167"/>
      <c r="I46" s="167"/>
      <c r="J46" s="181">
        <f>'Fixed inputs'!J111</f>
        <v>0</v>
      </c>
      <c r="K46" s="181">
        <f>'Fixed inputs'!K111</f>
        <v>0</v>
      </c>
      <c r="L46" s="181">
        <f>'Fixed inputs'!L111</f>
        <v>0</v>
      </c>
      <c r="M46" s="181">
        <f>'Fixed inputs'!M111</f>
        <v>0</v>
      </c>
      <c r="N46" s="181">
        <f>'Fixed inputs'!N111</f>
        <v>0</v>
      </c>
      <c r="O46" s="181">
        <f>'Fixed inputs'!O111</f>
        <v>0</v>
      </c>
      <c r="P46" s="181">
        <f>'Fixed inputs'!P111</f>
        <v>0</v>
      </c>
      <c r="Q46" s="181">
        <f>'Fixed inputs'!Q111</f>
        <v>0</v>
      </c>
      <c r="R46" s="181">
        <f>'Fixed inputs'!R111</f>
        <v>0</v>
      </c>
      <c r="S46" s="181">
        <f>'Fixed inputs'!S111</f>
        <v>0</v>
      </c>
      <c r="T46" s="181">
        <f>'Fixed inputs'!T111</f>
        <v>0</v>
      </c>
      <c r="U46" s="181">
        <f>'Fixed inputs'!U111</f>
        <v>0</v>
      </c>
      <c r="V46" s="181">
        <f>'Fixed inputs'!V111</f>
        <v>0</v>
      </c>
      <c r="W46" s="181">
        <f>'Fixed inputs'!W111</f>
        <v>0</v>
      </c>
      <c r="X46" s="181">
        <f>'Fixed inputs'!X111</f>
        <v>0</v>
      </c>
      <c r="Y46" s="181">
        <f>'Fixed inputs'!Y111</f>
        <v>0</v>
      </c>
      <c r="Z46" s="181">
        <f>'Fixed inputs'!Z111</f>
        <v>0</v>
      </c>
      <c r="AA46" s="181">
        <f>'Fixed inputs'!AA111</f>
        <v>0</v>
      </c>
      <c r="AB46" s="181">
        <f>'Fixed inputs'!AB111</f>
        <v>0</v>
      </c>
      <c r="AC46" s="181">
        <f>'Fixed inputs'!AC111</f>
        <v>1</v>
      </c>
      <c r="AD46" s="181">
        <f>'Fixed inputs'!AD111</f>
        <v>1</v>
      </c>
      <c r="AE46" s="181">
        <f>'Fixed inputs'!AE111</f>
        <v>1</v>
      </c>
      <c r="AF46" s="181">
        <f>'Fixed inputs'!AF111</f>
        <v>1</v>
      </c>
      <c r="AG46" s="181">
        <f>'Fixed inputs'!AG111</f>
        <v>1</v>
      </c>
      <c r="AH46" s="181">
        <f>'Fixed inputs'!AH111</f>
        <v>1</v>
      </c>
      <c r="AI46" s="181">
        <f>'Fixed inputs'!AI111</f>
        <v>1</v>
      </c>
      <c r="AJ46" s="181">
        <f>'Fixed inputs'!AJ111</f>
        <v>1</v>
      </c>
      <c r="AK46" s="181">
        <f>'Fixed inputs'!AK111</f>
        <v>1</v>
      </c>
      <c r="AL46" s="181">
        <f>'Fixed inputs'!AL111</f>
        <v>1</v>
      </c>
      <c r="AM46" s="181">
        <f>'Fixed inputs'!AM111</f>
        <v>1</v>
      </c>
      <c r="AN46" s="181">
        <f>'Fixed inputs'!AN111</f>
        <v>1</v>
      </c>
      <c r="AO46" s="181">
        <f>'Fixed inputs'!AO111</f>
        <v>1</v>
      </c>
      <c r="AP46" s="181">
        <f>'Fixed inputs'!AP111</f>
        <v>1</v>
      </c>
      <c r="BH46" s="8"/>
    </row>
    <row r="47" spans="4:60" s="21" customFormat="1" x14ac:dyDescent="0.25">
      <c r="F47" s="145" t="s">
        <v>198</v>
      </c>
      <c r="G47" s="145" t="s">
        <v>111</v>
      </c>
      <c r="H47" s="167"/>
      <c r="I47" s="167"/>
      <c r="J47" s="181">
        <f>'Fixed inputs'!J115</f>
        <v>0</v>
      </c>
      <c r="K47" s="181">
        <f>'Fixed inputs'!K115</f>
        <v>0</v>
      </c>
      <c r="L47" s="181">
        <f>'Fixed inputs'!L115</f>
        <v>0</v>
      </c>
      <c r="M47" s="181">
        <f>'Fixed inputs'!M115</f>
        <v>0</v>
      </c>
      <c r="N47" s="181">
        <f>'Fixed inputs'!N115</f>
        <v>0</v>
      </c>
      <c r="O47" s="181">
        <f>'Fixed inputs'!O115</f>
        <v>0</v>
      </c>
      <c r="P47" s="181">
        <f>'Fixed inputs'!P115</f>
        <v>0</v>
      </c>
      <c r="Q47" s="181">
        <f>'Fixed inputs'!Q115</f>
        <v>0</v>
      </c>
      <c r="R47" s="181">
        <f>'Fixed inputs'!R115</f>
        <v>0</v>
      </c>
      <c r="S47" s="181">
        <f>'Fixed inputs'!S115</f>
        <v>0</v>
      </c>
      <c r="T47" s="181">
        <f>'Fixed inputs'!T115</f>
        <v>0</v>
      </c>
      <c r="U47" s="181">
        <f>'Fixed inputs'!U115</f>
        <v>0</v>
      </c>
      <c r="V47" s="181">
        <f>'Fixed inputs'!V115</f>
        <v>0</v>
      </c>
      <c r="W47" s="181">
        <f>'Fixed inputs'!W115</f>
        <v>0</v>
      </c>
      <c r="X47" s="181">
        <f>'Fixed inputs'!X115</f>
        <v>0</v>
      </c>
      <c r="Y47" s="181">
        <f>'Fixed inputs'!Y115</f>
        <v>0</v>
      </c>
      <c r="Z47" s="181">
        <f>'Fixed inputs'!Z115</f>
        <v>0</v>
      </c>
      <c r="AA47" s="181">
        <f>'Fixed inputs'!AA115</f>
        <v>0</v>
      </c>
      <c r="AB47" s="181">
        <f>'Fixed inputs'!AB115</f>
        <v>0</v>
      </c>
      <c r="AC47" s="181">
        <f>'Fixed inputs'!AC115</f>
        <v>0</v>
      </c>
      <c r="AD47" s="181">
        <f>'Fixed inputs'!AD115</f>
        <v>0</v>
      </c>
      <c r="AE47" s="181">
        <f>'Fixed inputs'!AE115</f>
        <v>0</v>
      </c>
      <c r="AF47" s="181">
        <f>'Fixed inputs'!AF115</f>
        <v>0</v>
      </c>
      <c r="AG47" s="181">
        <f>'Fixed inputs'!AG115</f>
        <v>0</v>
      </c>
      <c r="AH47" s="181">
        <f>'Fixed inputs'!AH115</f>
        <v>0</v>
      </c>
      <c r="AI47" s="181">
        <f>'Fixed inputs'!AI115</f>
        <v>0</v>
      </c>
      <c r="AJ47" s="181">
        <f>'Fixed inputs'!AJ115</f>
        <v>0</v>
      </c>
      <c r="AK47" s="181">
        <f>'Fixed inputs'!AK115</f>
        <v>0</v>
      </c>
      <c r="AL47" s="181">
        <f>'Fixed inputs'!AL115</f>
        <v>0</v>
      </c>
      <c r="AM47" s="181">
        <f>'Fixed inputs'!AM115</f>
        <v>0</v>
      </c>
      <c r="AN47" s="181">
        <f>'Fixed inputs'!AN115</f>
        <v>0</v>
      </c>
      <c r="AO47" s="181">
        <f>'Fixed inputs'!AO115</f>
        <v>0</v>
      </c>
      <c r="AP47" s="181">
        <f>'Fixed inputs'!AP115</f>
        <v>0</v>
      </c>
      <c r="BH47" s="8"/>
    </row>
    <row r="48" spans="4:60" s="21" customFormat="1" x14ac:dyDescent="0.25">
      <c r="F48" s="145" t="s">
        <v>199</v>
      </c>
      <c r="G48" s="145" t="s">
        <v>111</v>
      </c>
      <c r="H48" s="167"/>
      <c r="I48" s="167"/>
      <c r="J48" s="181">
        <f>'Fixed inputs'!J119</f>
        <v>0</v>
      </c>
      <c r="K48" s="181">
        <f>'Fixed inputs'!K119</f>
        <v>0</v>
      </c>
      <c r="L48" s="181">
        <f>'Fixed inputs'!L119</f>
        <v>0</v>
      </c>
      <c r="M48" s="181">
        <f>'Fixed inputs'!M119</f>
        <v>0</v>
      </c>
      <c r="N48" s="181">
        <f>'Fixed inputs'!N119</f>
        <v>0</v>
      </c>
      <c r="O48" s="181">
        <f>'Fixed inputs'!O119</f>
        <v>0</v>
      </c>
      <c r="P48" s="181">
        <f>'Fixed inputs'!P119</f>
        <v>0</v>
      </c>
      <c r="Q48" s="181">
        <f>'Fixed inputs'!Q119</f>
        <v>0</v>
      </c>
      <c r="R48" s="181">
        <f>'Fixed inputs'!R119</f>
        <v>0</v>
      </c>
      <c r="S48" s="181">
        <f>'Fixed inputs'!S119</f>
        <v>0</v>
      </c>
      <c r="T48" s="181">
        <f>'Fixed inputs'!T119</f>
        <v>0</v>
      </c>
      <c r="U48" s="181">
        <f>'Fixed inputs'!U119</f>
        <v>0</v>
      </c>
      <c r="V48" s="181">
        <f>'Fixed inputs'!V119</f>
        <v>0</v>
      </c>
      <c r="W48" s="181">
        <f>'Fixed inputs'!W119</f>
        <v>0</v>
      </c>
      <c r="X48" s="181">
        <f>'Fixed inputs'!X119</f>
        <v>0</v>
      </c>
      <c r="Y48" s="181">
        <f>'Fixed inputs'!Y119</f>
        <v>0</v>
      </c>
      <c r="Z48" s="181">
        <f>'Fixed inputs'!Z119</f>
        <v>0</v>
      </c>
      <c r="AA48" s="181">
        <f>'Fixed inputs'!AA119</f>
        <v>0</v>
      </c>
      <c r="AB48" s="181">
        <f>'Fixed inputs'!AB119</f>
        <v>0</v>
      </c>
      <c r="AC48" s="181">
        <f>'Fixed inputs'!AC119</f>
        <v>0</v>
      </c>
      <c r="AD48" s="181">
        <f>'Fixed inputs'!AD119</f>
        <v>0</v>
      </c>
      <c r="AE48" s="181">
        <f>'Fixed inputs'!AE119</f>
        <v>0</v>
      </c>
      <c r="AF48" s="181">
        <f>'Fixed inputs'!AF119</f>
        <v>0</v>
      </c>
      <c r="AG48" s="181">
        <f>'Fixed inputs'!AG119</f>
        <v>0</v>
      </c>
      <c r="AH48" s="181">
        <f>'Fixed inputs'!AH119</f>
        <v>0</v>
      </c>
      <c r="AI48" s="181">
        <f>'Fixed inputs'!AI119</f>
        <v>0</v>
      </c>
      <c r="AJ48" s="181">
        <f>'Fixed inputs'!AJ119</f>
        <v>0</v>
      </c>
      <c r="AK48" s="181">
        <f>'Fixed inputs'!AK119</f>
        <v>0</v>
      </c>
      <c r="AL48" s="181">
        <f>'Fixed inputs'!AL119</f>
        <v>0</v>
      </c>
      <c r="AM48" s="181">
        <f>'Fixed inputs'!AM119</f>
        <v>0</v>
      </c>
      <c r="AN48" s="181">
        <f>'Fixed inputs'!AN119</f>
        <v>0</v>
      </c>
      <c r="AO48" s="181">
        <f>'Fixed inputs'!AO119</f>
        <v>0</v>
      </c>
      <c r="AP48" s="181">
        <f>'Fixed inputs'!AP119</f>
        <v>0</v>
      </c>
      <c r="BH48" s="8"/>
    </row>
    <row r="49" spans="2:60" s="21" customFormat="1" x14ac:dyDescent="0.25">
      <c r="F49" s="145" t="s">
        <v>200</v>
      </c>
      <c r="G49" s="145" t="s">
        <v>111</v>
      </c>
      <c r="H49" s="167"/>
      <c r="I49" s="167"/>
      <c r="J49" s="181">
        <f>'Fixed inputs'!J123</f>
        <v>0</v>
      </c>
      <c r="K49" s="181">
        <f>'Fixed inputs'!K123</f>
        <v>0</v>
      </c>
      <c r="L49" s="181">
        <f>'Fixed inputs'!L123</f>
        <v>0</v>
      </c>
      <c r="M49" s="181">
        <f>'Fixed inputs'!M123</f>
        <v>0</v>
      </c>
      <c r="N49" s="181">
        <f>'Fixed inputs'!N123</f>
        <v>0</v>
      </c>
      <c r="O49" s="181">
        <f>'Fixed inputs'!O123</f>
        <v>0</v>
      </c>
      <c r="P49" s="181">
        <f>'Fixed inputs'!P123</f>
        <v>0</v>
      </c>
      <c r="Q49" s="181">
        <f>'Fixed inputs'!Q123</f>
        <v>0</v>
      </c>
      <c r="R49" s="181">
        <f>'Fixed inputs'!R123</f>
        <v>0</v>
      </c>
      <c r="S49" s="181">
        <f>'Fixed inputs'!S123</f>
        <v>0</v>
      </c>
      <c r="T49" s="181">
        <f>'Fixed inputs'!T123</f>
        <v>0</v>
      </c>
      <c r="U49" s="181">
        <f>'Fixed inputs'!U123</f>
        <v>0</v>
      </c>
      <c r="V49" s="181">
        <f>'Fixed inputs'!V123</f>
        <v>0</v>
      </c>
      <c r="W49" s="181">
        <f>'Fixed inputs'!W123</f>
        <v>0</v>
      </c>
      <c r="X49" s="181">
        <f>'Fixed inputs'!X123</f>
        <v>0</v>
      </c>
      <c r="Y49" s="181">
        <f>'Fixed inputs'!Y123</f>
        <v>0</v>
      </c>
      <c r="Z49" s="181">
        <f>'Fixed inputs'!Z123</f>
        <v>0</v>
      </c>
      <c r="AA49" s="181">
        <f>'Fixed inputs'!AA123</f>
        <v>0</v>
      </c>
      <c r="AB49" s="181">
        <f>'Fixed inputs'!AB123</f>
        <v>0</v>
      </c>
      <c r="AC49" s="181">
        <f>'Fixed inputs'!AC123</f>
        <v>0</v>
      </c>
      <c r="AD49" s="181">
        <f>'Fixed inputs'!AD123</f>
        <v>0</v>
      </c>
      <c r="AE49" s="181">
        <f>'Fixed inputs'!AE123</f>
        <v>0</v>
      </c>
      <c r="AF49" s="181">
        <f>'Fixed inputs'!AF123</f>
        <v>0</v>
      </c>
      <c r="AG49" s="181">
        <f>'Fixed inputs'!AG123</f>
        <v>0</v>
      </c>
      <c r="AH49" s="181">
        <f>'Fixed inputs'!AH123</f>
        <v>0</v>
      </c>
      <c r="AI49" s="181">
        <f>'Fixed inputs'!AI123</f>
        <v>0</v>
      </c>
      <c r="AJ49" s="181">
        <f>'Fixed inputs'!AJ123</f>
        <v>0</v>
      </c>
      <c r="AK49" s="181">
        <f>'Fixed inputs'!AK123</f>
        <v>0</v>
      </c>
      <c r="AL49" s="181">
        <f>'Fixed inputs'!AL123</f>
        <v>0</v>
      </c>
      <c r="AM49" s="181">
        <f>'Fixed inputs'!AM123</f>
        <v>0</v>
      </c>
      <c r="AN49" s="181">
        <f>'Fixed inputs'!AN123</f>
        <v>0</v>
      </c>
      <c r="AO49" s="181">
        <f>'Fixed inputs'!AO123</f>
        <v>0</v>
      </c>
      <c r="AP49" s="181">
        <f>'Fixed inputs'!AP123</f>
        <v>0</v>
      </c>
      <c r="BH49" s="8"/>
    </row>
    <row r="50" spans="2:60" s="21" customFormat="1" x14ac:dyDescent="0.25">
      <c r="C50" s="36"/>
      <c r="E50" s="160"/>
      <c r="F50" s="15"/>
      <c r="G50" s="15"/>
      <c r="H50" s="15"/>
      <c r="I50" s="15"/>
      <c r="J50" s="15"/>
      <c r="K50" s="15"/>
      <c r="L50" s="27"/>
      <c r="M50" s="27"/>
      <c r="N50" s="15"/>
      <c r="O50" s="15"/>
      <c r="BH50" s="8"/>
    </row>
    <row r="51" spans="2:60" s="88" customFormat="1" x14ac:dyDescent="0.25">
      <c r="B51" s="34" t="s">
        <v>185</v>
      </c>
      <c r="C51" s="34"/>
      <c r="D51" s="34"/>
      <c r="E51" s="171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160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H51" s="34"/>
    </row>
    <row r="52" spans="2:60" s="160" customFormat="1" x14ac:dyDescent="0.25">
      <c r="C52" s="172"/>
      <c r="F52" s="167"/>
      <c r="G52" s="167"/>
      <c r="H52" s="167"/>
      <c r="I52" s="167"/>
      <c r="J52" s="167"/>
      <c r="K52" s="167"/>
      <c r="L52" s="170"/>
      <c r="M52" s="170"/>
      <c r="N52" s="167"/>
      <c r="O52" s="167"/>
      <c r="BH52" s="163"/>
    </row>
    <row r="53" spans="2:60" s="21" customFormat="1" x14ac:dyDescent="0.25">
      <c r="C53" s="152" t="s">
        <v>718</v>
      </c>
      <c r="E53" s="160"/>
      <c r="F53" s="15"/>
      <c r="G53" s="15"/>
      <c r="H53" s="15"/>
      <c r="I53" s="15"/>
      <c r="J53" s="15"/>
      <c r="K53" s="15"/>
      <c r="L53" s="27"/>
      <c r="M53" s="27"/>
      <c r="N53" s="15"/>
      <c r="O53" s="15"/>
      <c r="BH53" s="8"/>
    </row>
    <row r="54" spans="2:60" s="160" customFormat="1" x14ac:dyDescent="0.25">
      <c r="C54" s="172"/>
      <c r="F54" s="167"/>
      <c r="G54" s="167"/>
      <c r="H54" s="167"/>
      <c r="I54" s="167"/>
      <c r="J54" s="167"/>
      <c r="K54" s="167"/>
      <c r="L54" s="170"/>
      <c r="M54" s="170"/>
      <c r="N54" s="167"/>
      <c r="O54" s="167"/>
      <c r="BH54" s="163"/>
    </row>
    <row r="55" spans="2:60" s="21" customFormat="1" x14ac:dyDescent="0.25">
      <c r="C55" s="22" t="str">
        <f ca="1">INDEX('Version control'!$H$34:$H$59,MATCH($A$1,'Version control'!$F$34:$F$59,0),1)&amp;"-B: Volume discounting"</f>
        <v>Section 507-B: Volume discounting</v>
      </c>
      <c r="D55" s="22"/>
      <c r="E55" s="22"/>
      <c r="F55" s="119"/>
      <c r="G55" s="119"/>
      <c r="H55" s="119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BH55" s="8"/>
    </row>
    <row r="56" spans="2:60" s="338" customFormat="1" x14ac:dyDescent="0.25">
      <c r="C56" s="172"/>
      <c r="F56" s="339"/>
      <c r="G56" s="339"/>
      <c r="H56" s="339"/>
      <c r="I56" s="339"/>
      <c r="J56" s="339"/>
      <c r="K56" s="339"/>
      <c r="L56" s="170"/>
      <c r="M56" s="170"/>
      <c r="N56" s="339"/>
      <c r="O56" s="339"/>
      <c r="BH56" s="163"/>
    </row>
    <row r="57" spans="2:60" s="160" customFormat="1" x14ac:dyDescent="0.25">
      <c r="C57" s="65"/>
      <c r="E57" s="172" t="s">
        <v>151</v>
      </c>
      <c r="G57" s="167"/>
      <c r="H57" s="167"/>
      <c r="I57" s="15" t="s">
        <v>525</v>
      </c>
      <c r="J57" s="15"/>
      <c r="K57" s="15"/>
      <c r="L57" s="27"/>
      <c r="M57" s="27"/>
      <c r="N57" s="15"/>
      <c r="O57" s="15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 t="s">
        <v>941</v>
      </c>
      <c r="BH57" s="163"/>
    </row>
    <row r="58" spans="2:60" s="474" customFormat="1" x14ac:dyDescent="0.25">
      <c r="C58" s="152"/>
      <c r="E58" s="172"/>
      <c r="G58" s="339"/>
      <c r="H58" s="339"/>
      <c r="I58" s="339"/>
      <c r="J58" s="339"/>
      <c r="K58" s="339"/>
      <c r="L58" s="170"/>
      <c r="M58" s="170"/>
      <c r="N58" s="339"/>
      <c r="O58" s="339"/>
      <c r="BH58" s="163"/>
    </row>
    <row r="59" spans="2:60" s="21" customFormat="1" x14ac:dyDescent="0.25">
      <c r="F59" s="145" t="s">
        <v>162</v>
      </c>
      <c r="G59" s="145" t="s">
        <v>137</v>
      </c>
      <c r="H59" s="167"/>
      <c r="I59" s="167"/>
      <c r="J59" s="437">
        <f>'Inputs by customer type'!J24</f>
        <v>9531037.1113550775</v>
      </c>
      <c r="K59" s="437">
        <f>'Inputs by customer type'!K24</f>
        <v>829359.55798209063</v>
      </c>
      <c r="L59" s="437">
        <f>'Inputs by customer type'!L24</f>
        <v>198584.80851954999</v>
      </c>
      <c r="M59" s="437">
        <f>'Inputs by customer type'!M24</f>
        <v>2689300.0489968094</v>
      </c>
      <c r="N59" s="437">
        <f>'Inputs by customer type'!N24</f>
        <v>446135.31452730647</v>
      </c>
      <c r="O59" s="437">
        <f>'Inputs by customer type'!O24</f>
        <v>42294.937322173275</v>
      </c>
      <c r="P59" s="437">
        <f>'Inputs by customer type'!P24</f>
        <v>103112.00714729202</v>
      </c>
      <c r="Q59" s="437">
        <f>'Inputs by customer type'!Q24</f>
        <v>0</v>
      </c>
      <c r="R59" s="437">
        <f>'Inputs by customer type'!R24</f>
        <v>282.01794456199212</v>
      </c>
      <c r="S59" s="437">
        <f>'Inputs by customer type'!S24</f>
        <v>7860.2223380748837</v>
      </c>
      <c r="T59" s="437">
        <f>'Inputs by customer type'!T24</f>
        <v>31138.137808719577</v>
      </c>
      <c r="U59" s="437">
        <f>'Inputs by customer type'!U24</f>
        <v>620967.59047240799</v>
      </c>
      <c r="V59" s="437">
        <f>'Inputs by customer type'!V24</f>
        <v>32405.101745710148</v>
      </c>
      <c r="W59" s="437">
        <f>'Inputs by customer type'!W24</f>
        <v>451823.76166343415</v>
      </c>
      <c r="X59" s="437">
        <f>'Inputs by customer type'!X24</f>
        <v>24506.465925337929</v>
      </c>
      <c r="Y59" s="437">
        <f>'Inputs by customer type'!Y24</f>
        <v>15376.103638428405</v>
      </c>
      <c r="Z59" s="437">
        <f>'Inputs by customer type'!Z24</f>
        <v>714.0158417184947</v>
      </c>
      <c r="AA59" s="437">
        <f>'Inputs by customer type'!AA24</f>
        <v>149.6510564463434</v>
      </c>
      <c r="AB59" s="437">
        <f>'Inputs by customer type'!AB24</f>
        <v>11658.410074193856</v>
      </c>
      <c r="AC59" s="437">
        <f>'Inputs by customer type'!AC24</f>
        <v>4225.3710170849599</v>
      </c>
      <c r="AD59" s="437">
        <f>'Inputs by customer type'!AD24</f>
        <v>263.02538443584314</v>
      </c>
      <c r="AE59" s="437">
        <f>'Inputs by customer type'!AE24</f>
        <v>35961.144003908586</v>
      </c>
      <c r="AF59" s="437">
        <f>'Inputs by customer type'!AF24</f>
        <v>0</v>
      </c>
      <c r="AG59" s="437">
        <f>'Inputs by customer type'!AG24</f>
        <v>1371.2423324055203</v>
      </c>
      <c r="AH59" s="437">
        <f>'Inputs by customer type'!AH24</f>
        <v>0</v>
      </c>
      <c r="AI59" s="437">
        <f>'Inputs by customer type'!AI24</f>
        <v>0</v>
      </c>
      <c r="AJ59" s="437">
        <f>'Inputs by customer type'!AJ24</f>
        <v>0</v>
      </c>
      <c r="AK59" s="437">
        <f>'Inputs by customer type'!AK24</f>
        <v>0</v>
      </c>
      <c r="AL59" s="437">
        <f>'Inputs by customer type'!AL24</f>
        <v>0</v>
      </c>
      <c r="AM59" s="437">
        <f>'Inputs by customer type'!AM24</f>
        <v>468706.30956186936</v>
      </c>
      <c r="AN59" s="437">
        <f>'Inputs by customer type'!AN24</f>
        <v>0</v>
      </c>
      <c r="AO59" s="437">
        <f>'Inputs by customer type'!AO24</f>
        <v>57940.367337102631</v>
      </c>
      <c r="AP59" s="437">
        <f>'Inputs by customer type'!AP24</f>
        <v>0</v>
      </c>
      <c r="BH59" s="8"/>
    </row>
    <row r="60" spans="2:60" s="21" customFormat="1" x14ac:dyDescent="0.25">
      <c r="F60" s="145" t="s">
        <v>163</v>
      </c>
      <c r="G60" s="145" t="s">
        <v>137</v>
      </c>
      <c r="H60" s="167"/>
      <c r="I60" s="167"/>
      <c r="J60" s="437">
        <f>'Inputs by customer type'!J33</f>
        <v>50529.318635033887</v>
      </c>
      <c r="K60" s="437">
        <f>'Inputs by customer type'!K33</f>
        <v>2826.5797541852289</v>
      </c>
      <c r="L60" s="437">
        <f>'Inputs by customer type'!L33</f>
        <v>0</v>
      </c>
      <c r="M60" s="437">
        <f>'Inputs by customer type'!M33</f>
        <v>9109.385454381918</v>
      </c>
      <c r="N60" s="437">
        <f>'Inputs by customer type'!N33</f>
        <v>122.97201795974398</v>
      </c>
      <c r="O60" s="437">
        <f>'Inputs by customer type'!O33</f>
        <v>0</v>
      </c>
      <c r="P60" s="437">
        <f>'Inputs by customer type'!P33</f>
        <v>460.11276428235038</v>
      </c>
      <c r="Q60" s="437">
        <f>'Inputs by customer type'!Q33</f>
        <v>0</v>
      </c>
      <c r="R60" s="437">
        <f>'Inputs by customer type'!R33</f>
        <v>0</v>
      </c>
      <c r="S60" s="437">
        <f>'Inputs by customer type'!S33</f>
        <v>0.64704682591866147</v>
      </c>
      <c r="T60" s="437">
        <f>'Inputs by customer type'!T33</f>
        <v>53.240169966642156</v>
      </c>
      <c r="U60" s="437">
        <f>'Inputs by customer type'!U33</f>
        <v>2012.5375530019282</v>
      </c>
      <c r="V60" s="437">
        <f>'Inputs by customer type'!V33</f>
        <v>0</v>
      </c>
      <c r="W60" s="437">
        <f>'Inputs by customer type'!W33</f>
        <v>0</v>
      </c>
      <c r="X60" s="437">
        <f>'Inputs by customer type'!X33</f>
        <v>0</v>
      </c>
      <c r="Y60" s="437">
        <f>'Inputs by customer type'!Y33</f>
        <v>55.545909609640468</v>
      </c>
      <c r="Z60" s="437">
        <f>'Inputs by customer type'!Z33</f>
        <v>98.417000000000044</v>
      </c>
      <c r="AA60" s="437">
        <f>'Inputs by customer type'!AA33</f>
        <v>0</v>
      </c>
      <c r="AB60" s="437">
        <f>'Inputs by customer type'!AB33</f>
        <v>23.182509259259259</v>
      </c>
      <c r="AC60" s="437">
        <f>'Inputs by customer type'!AC33</f>
        <v>254.77322828784122</v>
      </c>
      <c r="AD60" s="437">
        <f>'Inputs by customer type'!AD33</f>
        <v>0</v>
      </c>
      <c r="AE60" s="437">
        <f>'Inputs by customer type'!AE33</f>
        <v>0</v>
      </c>
      <c r="AF60" s="437">
        <f>'Inputs by customer type'!AF33</f>
        <v>0</v>
      </c>
      <c r="AG60" s="437">
        <f>'Inputs by customer type'!AG33</f>
        <v>0</v>
      </c>
      <c r="AH60" s="437">
        <f>'Inputs by customer type'!AH33</f>
        <v>0</v>
      </c>
      <c r="AI60" s="437">
        <f>'Inputs by customer type'!AI33</f>
        <v>0</v>
      </c>
      <c r="AJ60" s="437">
        <f>'Inputs by customer type'!AJ33</f>
        <v>0</v>
      </c>
      <c r="AK60" s="437">
        <f>'Inputs by customer type'!AK33</f>
        <v>0</v>
      </c>
      <c r="AL60" s="437">
        <f>'Inputs by customer type'!AL33</f>
        <v>0</v>
      </c>
      <c r="AM60" s="437">
        <f>'Inputs by customer type'!AM33</f>
        <v>0</v>
      </c>
      <c r="AN60" s="437">
        <f>'Inputs by customer type'!AN33</f>
        <v>0</v>
      </c>
      <c r="AO60" s="437">
        <f>'Inputs by customer type'!AO33</f>
        <v>0</v>
      </c>
      <c r="AP60" s="437">
        <f>'Inputs by customer type'!AP33</f>
        <v>0</v>
      </c>
      <c r="BH60" s="8"/>
    </row>
    <row r="61" spans="2:60" s="21" customFormat="1" x14ac:dyDescent="0.25">
      <c r="F61" s="145" t="s">
        <v>164</v>
      </c>
      <c r="G61" s="145" t="s">
        <v>137</v>
      </c>
      <c r="H61" s="167"/>
      <c r="I61" s="167"/>
      <c r="J61" s="437">
        <f>'Inputs by customer type'!J42</f>
        <v>128042.06247445293</v>
      </c>
      <c r="K61" s="437">
        <f>'Inputs by customer type'!K42</f>
        <v>9961.5917488090909</v>
      </c>
      <c r="L61" s="437">
        <f>'Inputs by customer type'!L42</f>
        <v>1642.8229351986647</v>
      </c>
      <c r="M61" s="437">
        <f>'Inputs by customer type'!M42</f>
        <v>25404.549211144709</v>
      </c>
      <c r="N61" s="437">
        <f>'Inputs by customer type'!N42</f>
        <v>587.8029452604552</v>
      </c>
      <c r="O61" s="437">
        <f>'Inputs by customer type'!O42</f>
        <v>0</v>
      </c>
      <c r="P61" s="437">
        <f>'Inputs by customer type'!P42</f>
        <v>1375.6596426496874</v>
      </c>
      <c r="Q61" s="437">
        <f>'Inputs by customer type'!Q42</f>
        <v>0</v>
      </c>
      <c r="R61" s="437">
        <f>'Inputs by customer type'!R42</f>
        <v>0</v>
      </c>
      <c r="S61" s="437">
        <f>'Inputs by customer type'!S42</f>
        <v>0.22114678626725176</v>
      </c>
      <c r="T61" s="437">
        <f>'Inputs by customer type'!T42</f>
        <v>59.804498599573854</v>
      </c>
      <c r="U61" s="437">
        <f>'Inputs by customer type'!U42</f>
        <v>8301.7540976715045</v>
      </c>
      <c r="V61" s="437">
        <f>'Inputs by customer type'!V42</f>
        <v>8741.990979795848</v>
      </c>
      <c r="W61" s="437">
        <f>'Inputs by customer type'!W42</f>
        <v>903.32747033353644</v>
      </c>
      <c r="X61" s="437">
        <f>'Inputs by customer type'!X42</f>
        <v>60.28171039388527</v>
      </c>
      <c r="Y61" s="437">
        <f>'Inputs by customer type'!Y42</f>
        <v>558.33750802365216</v>
      </c>
      <c r="Z61" s="437">
        <f>'Inputs by customer type'!Z42</f>
        <v>1.028</v>
      </c>
      <c r="AA61" s="437">
        <f>'Inputs by customer type'!AA42</f>
        <v>0</v>
      </c>
      <c r="AB61" s="437">
        <f>'Inputs by customer type'!AB42</f>
        <v>0</v>
      </c>
      <c r="AC61" s="437">
        <f>'Inputs by customer type'!AC42</f>
        <v>0</v>
      </c>
      <c r="AD61" s="437">
        <f>'Inputs by customer type'!AD42</f>
        <v>0</v>
      </c>
      <c r="AE61" s="437">
        <f>'Inputs by customer type'!AE42</f>
        <v>10.962686666666666</v>
      </c>
      <c r="AF61" s="437">
        <f>'Inputs by customer type'!AF42</f>
        <v>0</v>
      </c>
      <c r="AG61" s="437">
        <f>'Inputs by customer type'!AG42</f>
        <v>1354.6776029105479</v>
      </c>
      <c r="AH61" s="437">
        <f>'Inputs by customer type'!AH42</f>
        <v>0</v>
      </c>
      <c r="AI61" s="437">
        <f>'Inputs by customer type'!AI42</f>
        <v>0</v>
      </c>
      <c r="AJ61" s="437">
        <f>'Inputs by customer type'!AJ42</f>
        <v>0</v>
      </c>
      <c r="AK61" s="437">
        <f>'Inputs by customer type'!AK42</f>
        <v>0</v>
      </c>
      <c r="AL61" s="437">
        <f>'Inputs by customer type'!AL42</f>
        <v>0</v>
      </c>
      <c r="AM61" s="437">
        <f>'Inputs by customer type'!AM42</f>
        <v>0</v>
      </c>
      <c r="AN61" s="437">
        <f>'Inputs by customer type'!AN42</f>
        <v>0</v>
      </c>
      <c r="AO61" s="437">
        <f>'Inputs by customer type'!AO42</f>
        <v>0</v>
      </c>
      <c r="AP61" s="437">
        <f>'Inputs by customer type'!AP42</f>
        <v>0</v>
      </c>
      <c r="BH61" s="8"/>
    </row>
    <row r="62" spans="2:60" s="21" customFormat="1" x14ac:dyDescent="0.25">
      <c r="F62" s="37" t="s">
        <v>196</v>
      </c>
      <c r="G62" s="37" t="s">
        <v>111</v>
      </c>
      <c r="H62" s="15"/>
      <c r="I62" s="15"/>
      <c r="J62" s="41">
        <f t="shared" ref="J62:AP62" si="4">IF(J$39, J$45, J$34)</f>
        <v>0.34755258472512618</v>
      </c>
      <c r="K62" s="41">
        <f t="shared" si="4"/>
        <v>0.34755258472512618</v>
      </c>
      <c r="L62" s="41">
        <f t="shared" si="4"/>
        <v>0.34755258472512618</v>
      </c>
      <c r="M62" s="41">
        <f t="shared" si="4"/>
        <v>0.34755258472512618</v>
      </c>
      <c r="N62" s="41">
        <f t="shared" si="4"/>
        <v>0.34755258472512618</v>
      </c>
      <c r="O62" s="41">
        <f t="shared" si="4"/>
        <v>0.34755258472512618</v>
      </c>
      <c r="P62" s="41">
        <f t="shared" si="4"/>
        <v>0.34755258472512618</v>
      </c>
      <c r="Q62" s="41">
        <f t="shared" si="4"/>
        <v>0</v>
      </c>
      <c r="R62" s="41">
        <f t="shared" si="4"/>
        <v>0</v>
      </c>
      <c r="S62" s="41">
        <f t="shared" si="4"/>
        <v>0.34755258472512618</v>
      </c>
      <c r="T62" s="41">
        <f t="shared" si="4"/>
        <v>0.34755258472512618</v>
      </c>
      <c r="U62" s="41">
        <f t="shared" si="4"/>
        <v>0.34755258472512618</v>
      </c>
      <c r="V62" s="41">
        <f t="shared" si="4"/>
        <v>0</v>
      </c>
      <c r="W62" s="41">
        <f t="shared" si="4"/>
        <v>0</v>
      </c>
      <c r="X62" s="41">
        <f t="shared" si="4"/>
        <v>0.34755258472512618</v>
      </c>
      <c r="Y62" s="41">
        <f t="shared" si="4"/>
        <v>0.34755258472512618</v>
      </c>
      <c r="Z62" s="41">
        <f t="shared" si="4"/>
        <v>0.34755258472512618</v>
      </c>
      <c r="AA62" s="41">
        <f t="shared" si="4"/>
        <v>0.34755258472512618</v>
      </c>
      <c r="AB62" s="41">
        <f t="shared" si="4"/>
        <v>0.34755258472512618</v>
      </c>
      <c r="AC62" s="41">
        <f t="shared" si="4"/>
        <v>0</v>
      </c>
      <c r="AD62" s="41">
        <f t="shared" si="4"/>
        <v>0</v>
      </c>
      <c r="AE62" s="41">
        <f t="shared" si="4"/>
        <v>0</v>
      </c>
      <c r="AF62" s="41">
        <f t="shared" si="4"/>
        <v>0</v>
      </c>
      <c r="AG62" s="41">
        <f t="shared" si="4"/>
        <v>0</v>
      </c>
      <c r="AH62" s="41">
        <f t="shared" si="4"/>
        <v>0</v>
      </c>
      <c r="AI62" s="41">
        <f t="shared" si="4"/>
        <v>0</v>
      </c>
      <c r="AJ62" s="41">
        <f t="shared" si="4"/>
        <v>0</v>
      </c>
      <c r="AK62" s="41">
        <f t="shared" si="4"/>
        <v>0</v>
      </c>
      <c r="AL62" s="41">
        <f t="shared" si="4"/>
        <v>0</v>
      </c>
      <c r="AM62" s="41">
        <f t="shared" si="4"/>
        <v>0</v>
      </c>
      <c r="AN62" s="41">
        <f t="shared" si="4"/>
        <v>0</v>
      </c>
      <c r="AO62" s="41">
        <f t="shared" si="4"/>
        <v>0</v>
      </c>
      <c r="AP62" s="41">
        <f t="shared" si="4"/>
        <v>0</v>
      </c>
      <c r="BH62" s="8"/>
    </row>
    <row r="63" spans="2:60" s="21" customFormat="1" x14ac:dyDescent="0.25">
      <c r="F63" s="37" t="s">
        <v>197</v>
      </c>
      <c r="G63" s="37" t="s">
        <v>111</v>
      </c>
      <c r="H63" s="15"/>
      <c r="I63" s="15"/>
      <c r="J63" s="41">
        <f t="shared" ref="J63:AP63" si="5">IF(J$39, J$45, J$35)</f>
        <v>0.56592745965042113</v>
      </c>
      <c r="K63" s="41">
        <f t="shared" si="5"/>
        <v>0.56592745965042113</v>
      </c>
      <c r="L63" s="41">
        <f t="shared" si="5"/>
        <v>0.56592745965042113</v>
      </c>
      <c r="M63" s="41">
        <f t="shared" si="5"/>
        <v>0.56592745965042113</v>
      </c>
      <c r="N63" s="41">
        <f t="shared" si="5"/>
        <v>0.56592745965042113</v>
      </c>
      <c r="O63" s="41">
        <f t="shared" si="5"/>
        <v>0.56592745965042113</v>
      </c>
      <c r="P63" s="41">
        <f t="shared" si="5"/>
        <v>0.56592745965042113</v>
      </c>
      <c r="Q63" s="41">
        <f t="shared" si="5"/>
        <v>0</v>
      </c>
      <c r="R63" s="41">
        <f t="shared" si="5"/>
        <v>0</v>
      </c>
      <c r="S63" s="41">
        <f t="shared" si="5"/>
        <v>0.56592745965042113</v>
      </c>
      <c r="T63" s="41">
        <f t="shared" si="5"/>
        <v>0.56592745965042113</v>
      </c>
      <c r="U63" s="41">
        <f t="shared" si="5"/>
        <v>0.56592745965042113</v>
      </c>
      <c r="V63" s="41">
        <f t="shared" si="5"/>
        <v>0.30780783362179165</v>
      </c>
      <c r="W63" s="41">
        <f t="shared" si="5"/>
        <v>0.20760110839034102</v>
      </c>
      <c r="X63" s="41">
        <f t="shared" si="5"/>
        <v>0.56592745965042113</v>
      </c>
      <c r="Y63" s="41">
        <f t="shared" si="5"/>
        <v>0.56592745965042113</v>
      </c>
      <c r="Z63" s="41">
        <f t="shared" si="5"/>
        <v>0.56592745965042113</v>
      </c>
      <c r="AA63" s="41">
        <f t="shared" si="5"/>
        <v>0.56592745965042113</v>
      </c>
      <c r="AB63" s="41">
        <f t="shared" si="5"/>
        <v>0.56592745965042113</v>
      </c>
      <c r="AC63" s="41">
        <f t="shared" si="5"/>
        <v>0</v>
      </c>
      <c r="AD63" s="41">
        <f t="shared" si="5"/>
        <v>0</v>
      </c>
      <c r="AE63" s="41">
        <f t="shared" si="5"/>
        <v>0</v>
      </c>
      <c r="AF63" s="41">
        <f t="shared" si="5"/>
        <v>0</v>
      </c>
      <c r="AG63" s="41">
        <f t="shared" si="5"/>
        <v>0</v>
      </c>
      <c r="AH63" s="41">
        <f t="shared" si="5"/>
        <v>0</v>
      </c>
      <c r="AI63" s="41">
        <f t="shared" si="5"/>
        <v>0</v>
      </c>
      <c r="AJ63" s="41">
        <f t="shared" si="5"/>
        <v>0</v>
      </c>
      <c r="AK63" s="41">
        <f t="shared" si="5"/>
        <v>0</v>
      </c>
      <c r="AL63" s="41">
        <f t="shared" si="5"/>
        <v>0</v>
      </c>
      <c r="AM63" s="41">
        <f t="shared" si="5"/>
        <v>0</v>
      </c>
      <c r="AN63" s="41">
        <f t="shared" si="5"/>
        <v>0</v>
      </c>
      <c r="AO63" s="41">
        <f t="shared" si="5"/>
        <v>0</v>
      </c>
      <c r="AP63" s="41">
        <f t="shared" si="5"/>
        <v>0</v>
      </c>
      <c r="BH63" s="8"/>
    </row>
    <row r="64" spans="2:60" s="21" customFormat="1" x14ac:dyDescent="0.25">
      <c r="F64" s="145" t="s">
        <v>183</v>
      </c>
      <c r="G64" s="145" t="s">
        <v>137</v>
      </c>
      <c r="H64" s="167"/>
      <c r="I64" s="167"/>
      <c r="J64" s="428">
        <f t="shared" ref="J64:AP64" si="6">J60 * (1 - J62)</f>
        <v>32967.723339028373</v>
      </c>
      <c r="K64" s="428">
        <f t="shared" si="6"/>
        <v>1844.1946546864408</v>
      </c>
      <c r="L64" s="428">
        <f t="shared" si="6"/>
        <v>0</v>
      </c>
      <c r="M64" s="428">
        <f t="shared" si="6"/>
        <v>5943.3949944540145</v>
      </c>
      <c r="N64" s="428">
        <f t="shared" si="6"/>
        <v>80.232775268970329</v>
      </c>
      <c r="O64" s="428">
        <f t="shared" si="6"/>
        <v>0</v>
      </c>
      <c r="P64" s="428">
        <f t="shared" si="6"/>
        <v>300.19938379099682</v>
      </c>
      <c r="Q64" s="428">
        <f t="shared" si="6"/>
        <v>0</v>
      </c>
      <c r="R64" s="428">
        <f t="shared" si="6"/>
        <v>0</v>
      </c>
      <c r="S64" s="428">
        <f t="shared" si="6"/>
        <v>0.42216402913244189</v>
      </c>
      <c r="T64" s="428">
        <f t="shared" si="6"/>
        <v>34.736411283530643</v>
      </c>
      <c r="U64" s="428">
        <f t="shared" si="6"/>
        <v>1313.0749245997274</v>
      </c>
      <c r="V64" s="428">
        <f t="shared" si="6"/>
        <v>0</v>
      </c>
      <c r="W64" s="428">
        <f t="shared" si="6"/>
        <v>0</v>
      </c>
      <c r="X64" s="428">
        <f t="shared" si="6"/>
        <v>0</v>
      </c>
      <c r="Y64" s="428">
        <f t="shared" si="6"/>
        <v>36.240785153901697</v>
      </c>
      <c r="Z64" s="428">
        <f t="shared" si="6"/>
        <v>64.211917269107289</v>
      </c>
      <c r="AA64" s="428">
        <f t="shared" si="6"/>
        <v>0</v>
      </c>
      <c r="AB64" s="428">
        <f t="shared" si="6"/>
        <v>15.125368245789533</v>
      </c>
      <c r="AC64" s="428">
        <f t="shared" si="6"/>
        <v>254.77322828784122</v>
      </c>
      <c r="AD64" s="428">
        <f t="shared" si="6"/>
        <v>0</v>
      </c>
      <c r="AE64" s="428">
        <f t="shared" si="6"/>
        <v>0</v>
      </c>
      <c r="AF64" s="428">
        <f t="shared" si="6"/>
        <v>0</v>
      </c>
      <c r="AG64" s="428">
        <f t="shared" si="6"/>
        <v>0</v>
      </c>
      <c r="AH64" s="428">
        <f t="shared" si="6"/>
        <v>0</v>
      </c>
      <c r="AI64" s="428">
        <f t="shared" si="6"/>
        <v>0</v>
      </c>
      <c r="AJ64" s="428">
        <f t="shared" si="6"/>
        <v>0</v>
      </c>
      <c r="AK64" s="428">
        <f t="shared" si="6"/>
        <v>0</v>
      </c>
      <c r="AL64" s="428">
        <f t="shared" si="6"/>
        <v>0</v>
      </c>
      <c r="AM64" s="428">
        <f t="shared" si="6"/>
        <v>0</v>
      </c>
      <c r="AN64" s="428">
        <f t="shared" si="6"/>
        <v>0</v>
      </c>
      <c r="AO64" s="428">
        <f t="shared" si="6"/>
        <v>0</v>
      </c>
      <c r="AP64" s="428">
        <f t="shared" si="6"/>
        <v>0</v>
      </c>
      <c r="BH64" s="8"/>
    </row>
    <row r="65" spans="5:60" s="21" customFormat="1" x14ac:dyDescent="0.25">
      <c r="F65" s="38" t="s">
        <v>195</v>
      </c>
      <c r="G65" s="38" t="s">
        <v>137</v>
      </c>
      <c r="H65" s="168"/>
      <c r="I65" s="168"/>
      <c r="J65" s="432">
        <f t="shared" ref="J65:AP65" si="7">J61 * (1 - J63)</f>
        <v>55579.543329885273</v>
      </c>
      <c r="K65" s="432">
        <f t="shared" si="7"/>
        <v>4324.0534363309662</v>
      </c>
      <c r="L65" s="432">
        <f t="shared" si="7"/>
        <v>713.10432482623594</v>
      </c>
      <c r="M65" s="432">
        <f t="shared" si="7"/>
        <v>11027.417212517474</v>
      </c>
      <c r="N65" s="432">
        <f t="shared" si="7"/>
        <v>255.14911767417024</v>
      </c>
      <c r="O65" s="432">
        <f t="shared" si="7"/>
        <v>0</v>
      </c>
      <c r="P65" s="432">
        <f t="shared" si="7"/>
        <v>597.13607574134369</v>
      </c>
      <c r="Q65" s="432">
        <f t="shared" si="7"/>
        <v>0</v>
      </c>
      <c r="R65" s="432">
        <f t="shared" si="7"/>
        <v>0</v>
      </c>
      <c r="S65" s="432">
        <f t="shared" si="7"/>
        <v>9.5993747305171337E-2</v>
      </c>
      <c r="T65" s="432">
        <f t="shared" si="7"/>
        <v>25.959490631449857</v>
      </c>
      <c r="U65" s="432">
        <f t="shared" si="7"/>
        <v>3603.5634905337961</v>
      </c>
      <c r="V65" s="432">
        <f t="shared" si="7"/>
        <v>6051.1376747636441</v>
      </c>
      <c r="W65" s="432">
        <f t="shared" si="7"/>
        <v>715.79568625285128</v>
      </c>
      <c r="X65" s="432">
        <f t="shared" si="7"/>
        <v>26.166635167291393</v>
      </c>
      <c r="Y65" s="432">
        <f t="shared" si="7"/>
        <v>242.35898048028008</v>
      </c>
      <c r="Z65" s="432">
        <f t="shared" si="7"/>
        <v>0.44622657147936712</v>
      </c>
      <c r="AA65" s="432">
        <f t="shared" si="7"/>
        <v>0</v>
      </c>
      <c r="AB65" s="432">
        <f t="shared" si="7"/>
        <v>0</v>
      </c>
      <c r="AC65" s="432">
        <f t="shared" si="7"/>
        <v>0</v>
      </c>
      <c r="AD65" s="432">
        <f t="shared" si="7"/>
        <v>0</v>
      </c>
      <c r="AE65" s="432">
        <f t="shared" si="7"/>
        <v>10.962686666666666</v>
      </c>
      <c r="AF65" s="432">
        <f t="shared" si="7"/>
        <v>0</v>
      </c>
      <c r="AG65" s="432">
        <f t="shared" si="7"/>
        <v>1354.6776029105479</v>
      </c>
      <c r="AH65" s="432">
        <f t="shared" si="7"/>
        <v>0</v>
      </c>
      <c r="AI65" s="432">
        <f t="shared" si="7"/>
        <v>0</v>
      </c>
      <c r="AJ65" s="432">
        <f t="shared" si="7"/>
        <v>0</v>
      </c>
      <c r="AK65" s="432">
        <f t="shared" si="7"/>
        <v>0</v>
      </c>
      <c r="AL65" s="432">
        <f t="shared" si="7"/>
        <v>0</v>
      </c>
      <c r="AM65" s="432">
        <f t="shared" si="7"/>
        <v>0</v>
      </c>
      <c r="AN65" s="432">
        <f t="shared" si="7"/>
        <v>0</v>
      </c>
      <c r="AO65" s="432">
        <f t="shared" si="7"/>
        <v>0</v>
      </c>
      <c r="AP65" s="432">
        <f t="shared" si="7"/>
        <v>0</v>
      </c>
      <c r="BH65" s="8"/>
    </row>
    <row r="66" spans="5:60" s="21" customFormat="1" x14ac:dyDescent="0.25">
      <c r="F66" s="145" t="s">
        <v>184</v>
      </c>
      <c r="G66" s="145" t="s">
        <v>137</v>
      </c>
      <c r="H66" s="167"/>
      <c r="I66" s="167"/>
      <c r="J66" s="420">
        <f t="shared" ref="J66:AP66" si="8">J59 + J64 + J65</f>
        <v>9619584.3780239914</v>
      </c>
      <c r="K66" s="420">
        <f t="shared" si="8"/>
        <v>835527.80607310811</v>
      </c>
      <c r="L66" s="420">
        <f t="shared" si="8"/>
        <v>199297.91284437623</v>
      </c>
      <c r="M66" s="420">
        <f t="shared" si="8"/>
        <v>2706270.8612037809</v>
      </c>
      <c r="N66" s="420">
        <f t="shared" si="8"/>
        <v>446470.69642024959</v>
      </c>
      <c r="O66" s="420">
        <f t="shared" si="8"/>
        <v>42294.937322173275</v>
      </c>
      <c r="P66" s="420">
        <f t="shared" si="8"/>
        <v>104009.34260682437</v>
      </c>
      <c r="Q66" s="420">
        <f t="shared" si="8"/>
        <v>0</v>
      </c>
      <c r="R66" s="420">
        <f t="shared" si="8"/>
        <v>282.01794456199212</v>
      </c>
      <c r="S66" s="420">
        <f t="shared" si="8"/>
        <v>7860.7404958513216</v>
      </c>
      <c r="T66" s="420">
        <f t="shared" si="8"/>
        <v>31198.833710634557</v>
      </c>
      <c r="U66" s="420">
        <f t="shared" si="8"/>
        <v>625884.22888754157</v>
      </c>
      <c r="V66" s="420">
        <f t="shared" si="8"/>
        <v>38456.239420473794</v>
      </c>
      <c r="W66" s="420">
        <f t="shared" si="8"/>
        <v>452539.55734968698</v>
      </c>
      <c r="X66" s="420">
        <f t="shared" si="8"/>
        <v>24532.632560505219</v>
      </c>
      <c r="Y66" s="420">
        <f t="shared" si="8"/>
        <v>15654.703404062586</v>
      </c>
      <c r="Z66" s="420">
        <f t="shared" si="8"/>
        <v>778.6739855590813</v>
      </c>
      <c r="AA66" s="420">
        <f t="shared" si="8"/>
        <v>149.6510564463434</v>
      </c>
      <c r="AB66" s="420">
        <f t="shared" si="8"/>
        <v>11673.535442439646</v>
      </c>
      <c r="AC66" s="420">
        <f t="shared" si="8"/>
        <v>4480.1442453728014</v>
      </c>
      <c r="AD66" s="420">
        <f t="shared" si="8"/>
        <v>263.02538443584314</v>
      </c>
      <c r="AE66" s="420">
        <f t="shared" si="8"/>
        <v>35972.106690575252</v>
      </c>
      <c r="AF66" s="420">
        <f t="shared" si="8"/>
        <v>0</v>
      </c>
      <c r="AG66" s="420">
        <f t="shared" si="8"/>
        <v>2725.9199353160684</v>
      </c>
      <c r="AH66" s="420">
        <f t="shared" si="8"/>
        <v>0</v>
      </c>
      <c r="AI66" s="420">
        <f t="shared" si="8"/>
        <v>0</v>
      </c>
      <c r="AJ66" s="420">
        <f t="shared" si="8"/>
        <v>0</v>
      </c>
      <c r="AK66" s="420">
        <f t="shared" si="8"/>
        <v>0</v>
      </c>
      <c r="AL66" s="420">
        <f t="shared" si="8"/>
        <v>0</v>
      </c>
      <c r="AM66" s="420">
        <f t="shared" si="8"/>
        <v>468706.30956186936</v>
      </c>
      <c r="AN66" s="420">
        <f t="shared" si="8"/>
        <v>0</v>
      </c>
      <c r="AO66" s="420">
        <f t="shared" si="8"/>
        <v>57940.367337102631</v>
      </c>
      <c r="AP66" s="420">
        <f t="shared" si="8"/>
        <v>0</v>
      </c>
      <c r="BH66" s="8"/>
    </row>
    <row r="67" spans="5:60" s="21" customFormat="1" x14ac:dyDescent="0.25">
      <c r="E67" s="36"/>
      <c r="G67" s="15"/>
      <c r="H67" s="15"/>
      <c r="I67" s="15"/>
      <c r="J67" s="435"/>
      <c r="K67" s="435"/>
      <c r="L67" s="435"/>
      <c r="M67" s="435"/>
      <c r="N67" s="435"/>
      <c r="O67" s="435"/>
      <c r="P67" s="416"/>
      <c r="Q67" s="416"/>
      <c r="R67" s="416"/>
      <c r="S67" s="416"/>
      <c r="T67" s="416"/>
      <c r="U67" s="416"/>
      <c r="V67" s="416"/>
      <c r="W67" s="416"/>
      <c r="X67" s="416"/>
      <c r="Y67" s="416"/>
      <c r="Z67" s="416"/>
      <c r="AA67" s="416"/>
      <c r="AB67" s="416"/>
      <c r="AC67" s="416"/>
      <c r="AD67" s="416"/>
      <c r="AE67" s="416"/>
      <c r="AF67" s="416"/>
      <c r="AG67" s="416"/>
      <c r="AH67" s="416"/>
      <c r="AI67" s="416"/>
      <c r="AJ67" s="416"/>
      <c r="AK67" s="416"/>
      <c r="AL67" s="416"/>
      <c r="AM67" s="416"/>
      <c r="AN67" s="416"/>
      <c r="AO67" s="416"/>
      <c r="AP67" s="416"/>
      <c r="BH67" s="8"/>
    </row>
    <row r="68" spans="5:60" s="21" customFormat="1" x14ac:dyDescent="0.25">
      <c r="E68" s="172" t="s">
        <v>152</v>
      </c>
      <c r="G68" s="15"/>
      <c r="H68" s="15"/>
      <c r="I68" s="167" t="s">
        <v>525</v>
      </c>
      <c r="J68" s="435"/>
      <c r="K68" s="435"/>
      <c r="L68" s="435"/>
      <c r="M68" s="435"/>
      <c r="N68" s="435"/>
      <c r="O68" s="435"/>
      <c r="P68" s="416"/>
      <c r="Q68" s="416"/>
      <c r="R68" s="416"/>
      <c r="S68" s="416"/>
      <c r="T68" s="416"/>
      <c r="U68" s="416"/>
      <c r="V68" s="416"/>
      <c r="W68" s="416"/>
      <c r="X68" s="416"/>
      <c r="Y68" s="416"/>
      <c r="Z68" s="416"/>
      <c r="AA68" s="416"/>
      <c r="AB68" s="416"/>
      <c r="AC68" s="416"/>
      <c r="AD68" s="416"/>
      <c r="AE68" s="416"/>
      <c r="AF68" s="416"/>
      <c r="AG68" s="416"/>
      <c r="AH68" s="416"/>
      <c r="AI68" s="416"/>
      <c r="AJ68" s="416"/>
      <c r="AK68" s="416"/>
      <c r="AL68" s="416"/>
      <c r="AM68" s="416"/>
      <c r="AN68" s="416"/>
      <c r="AO68" s="416"/>
      <c r="AP68" s="416"/>
      <c r="AR68" s="160" t="s">
        <v>941</v>
      </c>
      <c r="BH68" s="8"/>
    </row>
    <row r="69" spans="5:60" s="474" customFormat="1" x14ac:dyDescent="0.25">
      <c r="E69" s="172"/>
      <c r="G69" s="339"/>
      <c r="H69" s="339"/>
      <c r="I69" s="339"/>
      <c r="J69" s="435"/>
      <c r="K69" s="435"/>
      <c r="L69" s="435"/>
      <c r="M69" s="435"/>
      <c r="N69" s="435"/>
      <c r="O69" s="435"/>
      <c r="P69" s="416"/>
      <c r="Q69" s="416"/>
      <c r="R69" s="416"/>
      <c r="S69" s="416"/>
      <c r="T69" s="416"/>
      <c r="U69" s="416"/>
      <c r="V69" s="416"/>
      <c r="W69" s="416"/>
      <c r="X69" s="416"/>
      <c r="Y69" s="416"/>
      <c r="Z69" s="416"/>
      <c r="AA69" s="416"/>
      <c r="AB69" s="416"/>
      <c r="AC69" s="416"/>
      <c r="AD69" s="416"/>
      <c r="AE69" s="416"/>
      <c r="AF69" s="416"/>
      <c r="AG69" s="416"/>
      <c r="AH69" s="416"/>
      <c r="AI69" s="416"/>
      <c r="AJ69" s="416"/>
      <c r="AK69" s="416"/>
      <c r="AL69" s="416"/>
      <c r="AM69" s="416"/>
      <c r="AN69" s="416"/>
      <c r="AO69" s="416"/>
      <c r="AP69" s="416"/>
      <c r="BH69" s="163"/>
    </row>
    <row r="70" spans="5:60" s="21" customFormat="1" x14ac:dyDescent="0.25">
      <c r="F70" s="145" t="s">
        <v>162</v>
      </c>
      <c r="G70" s="145" t="s">
        <v>137</v>
      </c>
      <c r="H70" s="167"/>
      <c r="I70" s="167"/>
      <c r="J70" s="437">
        <f>'Inputs by customer type'!J25</f>
        <v>0</v>
      </c>
      <c r="K70" s="437">
        <f>'Inputs by customer type'!K25</f>
        <v>730893.49412617984</v>
      </c>
      <c r="L70" s="437">
        <f>'Inputs by customer type'!L25</f>
        <v>0</v>
      </c>
      <c r="M70" s="437">
        <f>'Inputs by customer type'!M25</f>
        <v>0</v>
      </c>
      <c r="N70" s="437">
        <f>'Inputs by customer type'!N25</f>
        <v>277893.67674845975</v>
      </c>
      <c r="O70" s="437">
        <f>'Inputs by customer type'!O25</f>
        <v>0</v>
      </c>
      <c r="P70" s="437">
        <f>'Inputs by customer type'!P25</f>
        <v>6823.4996808388805</v>
      </c>
      <c r="Q70" s="437">
        <f>'Inputs by customer type'!Q25</f>
        <v>0</v>
      </c>
      <c r="R70" s="437">
        <f>'Inputs by customer type'!R25</f>
        <v>4.3459831614531019</v>
      </c>
      <c r="S70" s="437">
        <f>'Inputs by customer type'!S25</f>
        <v>24994.390520249668</v>
      </c>
      <c r="T70" s="437">
        <f>'Inputs by customer type'!T25</f>
        <v>177190.04826048089</v>
      </c>
      <c r="U70" s="437">
        <f>'Inputs by customer type'!U25</f>
        <v>3514047.1190492325</v>
      </c>
      <c r="V70" s="437">
        <f>'Inputs by customer type'!V25</f>
        <v>187630.12698838831</v>
      </c>
      <c r="W70" s="437">
        <f>'Inputs by customer type'!W25</f>
        <v>2539336.4296852075</v>
      </c>
      <c r="X70" s="437">
        <f>'Inputs by customer type'!X25</f>
        <v>0</v>
      </c>
      <c r="Y70" s="437">
        <f>'Inputs by customer type'!Y25</f>
        <v>0</v>
      </c>
      <c r="Z70" s="437">
        <f>'Inputs by customer type'!Z25</f>
        <v>0</v>
      </c>
      <c r="AA70" s="437">
        <f>'Inputs by customer type'!AA25</f>
        <v>0</v>
      </c>
      <c r="AB70" s="437">
        <f>'Inputs by customer type'!AB25</f>
        <v>68737.449629691037</v>
      </c>
      <c r="AC70" s="437">
        <f>'Inputs by customer type'!AC25</f>
        <v>0</v>
      </c>
      <c r="AD70" s="437">
        <f>'Inputs by customer type'!AD25</f>
        <v>0</v>
      </c>
      <c r="AE70" s="437">
        <f>'Inputs by customer type'!AE25</f>
        <v>0</v>
      </c>
      <c r="AF70" s="437">
        <f>'Inputs by customer type'!AF25</f>
        <v>0</v>
      </c>
      <c r="AG70" s="437">
        <f>'Inputs by customer type'!AG25</f>
        <v>7613.1539114026109</v>
      </c>
      <c r="AH70" s="437">
        <f>'Inputs by customer type'!AH25</f>
        <v>0</v>
      </c>
      <c r="AI70" s="437">
        <f>'Inputs by customer type'!AI25</f>
        <v>0</v>
      </c>
      <c r="AJ70" s="437">
        <f>'Inputs by customer type'!AJ25</f>
        <v>0</v>
      </c>
      <c r="AK70" s="437">
        <f>'Inputs by customer type'!AK25</f>
        <v>0</v>
      </c>
      <c r="AL70" s="437">
        <f>'Inputs by customer type'!AL25</f>
        <v>0</v>
      </c>
      <c r="AM70" s="437">
        <f>'Inputs by customer type'!AM25</f>
        <v>0</v>
      </c>
      <c r="AN70" s="437">
        <f>'Inputs by customer type'!AN25</f>
        <v>0</v>
      </c>
      <c r="AO70" s="437">
        <f>'Inputs by customer type'!AO25</f>
        <v>308061.97136442841</v>
      </c>
      <c r="AP70" s="437">
        <f>'Inputs by customer type'!AP25</f>
        <v>0</v>
      </c>
      <c r="BH70" s="8"/>
    </row>
    <row r="71" spans="5:60" s="21" customFormat="1" x14ac:dyDescent="0.25">
      <c r="F71" s="145" t="s">
        <v>163</v>
      </c>
      <c r="G71" s="145" t="s">
        <v>137</v>
      </c>
      <c r="H71" s="167"/>
      <c r="I71" s="167"/>
      <c r="J71" s="437">
        <f>'Inputs by customer type'!J34</f>
        <v>0</v>
      </c>
      <c r="K71" s="437">
        <f>'Inputs by customer type'!K34</f>
        <v>2396.1142504338291</v>
      </c>
      <c r="L71" s="437">
        <f>'Inputs by customer type'!L34</f>
        <v>0</v>
      </c>
      <c r="M71" s="437">
        <f>'Inputs by customer type'!M34</f>
        <v>0</v>
      </c>
      <c r="N71" s="437">
        <f>'Inputs by customer type'!N34</f>
        <v>61.757731154595682</v>
      </c>
      <c r="O71" s="437">
        <f>'Inputs by customer type'!O34</f>
        <v>0</v>
      </c>
      <c r="P71" s="437">
        <f>'Inputs by customer type'!P34</f>
        <v>118.18680029802398</v>
      </c>
      <c r="Q71" s="437">
        <f>'Inputs by customer type'!Q34</f>
        <v>0</v>
      </c>
      <c r="R71" s="437">
        <f>'Inputs by customer type'!R34</f>
        <v>0</v>
      </c>
      <c r="S71" s="437">
        <f>'Inputs by customer type'!S34</f>
        <v>2.8336971138765716</v>
      </c>
      <c r="T71" s="437">
        <f>'Inputs by customer type'!T34</f>
        <v>310.45438892643443</v>
      </c>
      <c r="U71" s="437">
        <f>'Inputs by customer type'!U34</f>
        <v>11336.770739504416</v>
      </c>
      <c r="V71" s="437">
        <f>'Inputs by customer type'!V34</f>
        <v>0</v>
      </c>
      <c r="W71" s="437">
        <f>'Inputs by customer type'!W34</f>
        <v>0</v>
      </c>
      <c r="X71" s="437">
        <f>'Inputs by customer type'!X34</f>
        <v>0</v>
      </c>
      <c r="Y71" s="437">
        <f>'Inputs by customer type'!Y34</f>
        <v>0</v>
      </c>
      <c r="Z71" s="437">
        <f>'Inputs by customer type'!Z34</f>
        <v>0</v>
      </c>
      <c r="AA71" s="437">
        <f>'Inputs by customer type'!AA34</f>
        <v>0</v>
      </c>
      <c r="AB71" s="437">
        <f>'Inputs by customer type'!AB34</f>
        <v>172.79039814814809</v>
      </c>
      <c r="AC71" s="437">
        <f>'Inputs by customer type'!AC34</f>
        <v>0</v>
      </c>
      <c r="AD71" s="437">
        <f>'Inputs by customer type'!AD34</f>
        <v>0</v>
      </c>
      <c r="AE71" s="437">
        <f>'Inputs by customer type'!AE34</f>
        <v>0</v>
      </c>
      <c r="AF71" s="437">
        <f>'Inputs by customer type'!AF34</f>
        <v>0</v>
      </c>
      <c r="AG71" s="437">
        <f>'Inputs by customer type'!AG34</f>
        <v>0</v>
      </c>
      <c r="AH71" s="437">
        <f>'Inputs by customer type'!AH34</f>
        <v>0</v>
      </c>
      <c r="AI71" s="437">
        <f>'Inputs by customer type'!AI34</f>
        <v>0</v>
      </c>
      <c r="AJ71" s="437">
        <f>'Inputs by customer type'!AJ34</f>
        <v>0</v>
      </c>
      <c r="AK71" s="437">
        <f>'Inputs by customer type'!AK34</f>
        <v>0</v>
      </c>
      <c r="AL71" s="437">
        <f>'Inputs by customer type'!AL34</f>
        <v>0</v>
      </c>
      <c r="AM71" s="437">
        <f>'Inputs by customer type'!AM34</f>
        <v>0</v>
      </c>
      <c r="AN71" s="437">
        <f>'Inputs by customer type'!AN34</f>
        <v>0</v>
      </c>
      <c r="AO71" s="437">
        <f>'Inputs by customer type'!AO34</f>
        <v>0</v>
      </c>
      <c r="AP71" s="437">
        <f>'Inputs by customer type'!AP34</f>
        <v>0</v>
      </c>
      <c r="BH71" s="8"/>
    </row>
    <row r="72" spans="5:60" s="21" customFormat="1" x14ac:dyDescent="0.25">
      <c r="F72" s="145" t="s">
        <v>164</v>
      </c>
      <c r="G72" s="145" t="s">
        <v>137</v>
      </c>
      <c r="H72" s="167"/>
      <c r="I72" s="167"/>
      <c r="J72" s="437">
        <f>'Inputs by customer type'!J43</f>
        <v>0</v>
      </c>
      <c r="K72" s="437">
        <f>'Inputs by customer type'!K43</f>
        <v>7275.4295652110532</v>
      </c>
      <c r="L72" s="437">
        <f>'Inputs by customer type'!L43</f>
        <v>0</v>
      </c>
      <c r="M72" s="437">
        <f>'Inputs by customer type'!M43</f>
        <v>0</v>
      </c>
      <c r="N72" s="437">
        <f>'Inputs by customer type'!N43</f>
        <v>157.93286889862742</v>
      </c>
      <c r="O72" s="437">
        <f>'Inputs by customer type'!O43</f>
        <v>0</v>
      </c>
      <c r="P72" s="437">
        <f>'Inputs by customer type'!P43</f>
        <v>465.18908808089174</v>
      </c>
      <c r="Q72" s="437">
        <f>'Inputs by customer type'!Q43</f>
        <v>0</v>
      </c>
      <c r="R72" s="437">
        <f>'Inputs by customer type'!R43</f>
        <v>0</v>
      </c>
      <c r="S72" s="437">
        <f>'Inputs by customer type'!S43</f>
        <v>1.0391097254883945</v>
      </c>
      <c r="T72" s="437">
        <f>'Inputs by customer type'!T43</f>
        <v>416.1951696043169</v>
      </c>
      <c r="U72" s="437">
        <f>'Inputs by customer type'!U43</f>
        <v>44810.252998318196</v>
      </c>
      <c r="V72" s="437">
        <f>'Inputs by customer type'!V43</f>
        <v>48732.247052773768</v>
      </c>
      <c r="W72" s="437">
        <f>'Inputs by customer type'!W43</f>
        <v>4887.221980112171</v>
      </c>
      <c r="X72" s="437">
        <f>'Inputs by customer type'!X43</f>
        <v>0</v>
      </c>
      <c r="Y72" s="437">
        <f>'Inputs by customer type'!Y43</f>
        <v>0</v>
      </c>
      <c r="Z72" s="437">
        <f>'Inputs by customer type'!Z43</f>
        <v>0</v>
      </c>
      <c r="AA72" s="437">
        <f>'Inputs by customer type'!AA43</f>
        <v>0</v>
      </c>
      <c r="AB72" s="437">
        <f>'Inputs by customer type'!AB43</f>
        <v>0</v>
      </c>
      <c r="AC72" s="437">
        <f>'Inputs by customer type'!AC43</f>
        <v>0</v>
      </c>
      <c r="AD72" s="437">
        <f>'Inputs by customer type'!AD43</f>
        <v>0</v>
      </c>
      <c r="AE72" s="437">
        <f>'Inputs by customer type'!AE43</f>
        <v>0</v>
      </c>
      <c r="AF72" s="437">
        <f>'Inputs by customer type'!AF43</f>
        <v>0</v>
      </c>
      <c r="AG72" s="437">
        <f>'Inputs by customer type'!AG43</f>
        <v>7448.517500130537</v>
      </c>
      <c r="AH72" s="437">
        <f>'Inputs by customer type'!AH43</f>
        <v>0</v>
      </c>
      <c r="AI72" s="437">
        <f>'Inputs by customer type'!AI43</f>
        <v>0</v>
      </c>
      <c r="AJ72" s="437">
        <f>'Inputs by customer type'!AJ43</f>
        <v>0</v>
      </c>
      <c r="AK72" s="437">
        <f>'Inputs by customer type'!AK43</f>
        <v>0</v>
      </c>
      <c r="AL72" s="437">
        <f>'Inputs by customer type'!AL43</f>
        <v>0</v>
      </c>
      <c r="AM72" s="437">
        <f>'Inputs by customer type'!AM43</f>
        <v>0</v>
      </c>
      <c r="AN72" s="437">
        <f>'Inputs by customer type'!AN43</f>
        <v>0</v>
      </c>
      <c r="AO72" s="437">
        <f>'Inputs by customer type'!AO43</f>
        <v>0</v>
      </c>
      <c r="AP72" s="437">
        <f>'Inputs by customer type'!AP43</f>
        <v>0</v>
      </c>
      <c r="BH72" s="8"/>
    </row>
    <row r="73" spans="5:60" s="21" customFormat="1" x14ac:dyDescent="0.25">
      <c r="F73" s="145" t="s">
        <v>196</v>
      </c>
      <c r="G73" s="145" t="s">
        <v>111</v>
      </c>
      <c r="H73" s="167"/>
      <c r="I73" s="167"/>
      <c r="J73" s="41">
        <f t="shared" ref="J73:AP73" si="9">IF(J$39, J$45, J$34)</f>
        <v>0.34755258472512618</v>
      </c>
      <c r="K73" s="41">
        <f t="shared" si="9"/>
        <v>0.34755258472512618</v>
      </c>
      <c r="L73" s="41">
        <f t="shared" si="9"/>
        <v>0.34755258472512618</v>
      </c>
      <c r="M73" s="41">
        <f t="shared" si="9"/>
        <v>0.34755258472512618</v>
      </c>
      <c r="N73" s="41">
        <f t="shared" si="9"/>
        <v>0.34755258472512618</v>
      </c>
      <c r="O73" s="41">
        <f t="shared" si="9"/>
        <v>0.34755258472512618</v>
      </c>
      <c r="P73" s="41">
        <f t="shared" si="9"/>
        <v>0.34755258472512618</v>
      </c>
      <c r="Q73" s="41">
        <f t="shared" si="9"/>
        <v>0</v>
      </c>
      <c r="R73" s="41">
        <f t="shared" si="9"/>
        <v>0</v>
      </c>
      <c r="S73" s="41">
        <f t="shared" si="9"/>
        <v>0.34755258472512618</v>
      </c>
      <c r="T73" s="41">
        <f t="shared" si="9"/>
        <v>0.34755258472512618</v>
      </c>
      <c r="U73" s="41">
        <f t="shared" si="9"/>
        <v>0.34755258472512618</v>
      </c>
      <c r="V73" s="41">
        <f t="shared" si="9"/>
        <v>0</v>
      </c>
      <c r="W73" s="41">
        <f t="shared" si="9"/>
        <v>0</v>
      </c>
      <c r="X73" s="41">
        <f t="shared" si="9"/>
        <v>0.34755258472512618</v>
      </c>
      <c r="Y73" s="41">
        <f t="shared" si="9"/>
        <v>0.34755258472512618</v>
      </c>
      <c r="Z73" s="41">
        <f t="shared" si="9"/>
        <v>0.34755258472512618</v>
      </c>
      <c r="AA73" s="41">
        <f t="shared" si="9"/>
        <v>0.34755258472512618</v>
      </c>
      <c r="AB73" s="41">
        <f t="shared" si="9"/>
        <v>0.34755258472512618</v>
      </c>
      <c r="AC73" s="41">
        <f t="shared" si="9"/>
        <v>0</v>
      </c>
      <c r="AD73" s="41">
        <f t="shared" si="9"/>
        <v>0</v>
      </c>
      <c r="AE73" s="41">
        <f t="shared" si="9"/>
        <v>0</v>
      </c>
      <c r="AF73" s="41">
        <f t="shared" si="9"/>
        <v>0</v>
      </c>
      <c r="AG73" s="41">
        <f t="shared" si="9"/>
        <v>0</v>
      </c>
      <c r="AH73" s="41">
        <f t="shared" si="9"/>
        <v>0</v>
      </c>
      <c r="AI73" s="41">
        <f t="shared" si="9"/>
        <v>0</v>
      </c>
      <c r="AJ73" s="41">
        <f t="shared" si="9"/>
        <v>0</v>
      </c>
      <c r="AK73" s="41">
        <f t="shared" si="9"/>
        <v>0</v>
      </c>
      <c r="AL73" s="41">
        <f t="shared" si="9"/>
        <v>0</v>
      </c>
      <c r="AM73" s="41">
        <f t="shared" si="9"/>
        <v>0</v>
      </c>
      <c r="AN73" s="41">
        <f t="shared" si="9"/>
        <v>0</v>
      </c>
      <c r="AO73" s="41">
        <f t="shared" si="9"/>
        <v>0</v>
      </c>
      <c r="AP73" s="41">
        <f t="shared" si="9"/>
        <v>0</v>
      </c>
      <c r="BH73" s="8"/>
    </row>
    <row r="74" spans="5:60" s="21" customFormat="1" x14ac:dyDescent="0.25">
      <c r="F74" s="145" t="s">
        <v>197</v>
      </c>
      <c r="G74" s="145" t="s">
        <v>111</v>
      </c>
      <c r="H74" s="167"/>
      <c r="I74" s="167"/>
      <c r="J74" s="41">
        <f t="shared" ref="J74:AP74" si="10">IF(J$39, J$45, J$35)</f>
        <v>0.56592745965042113</v>
      </c>
      <c r="K74" s="41">
        <f t="shared" si="10"/>
        <v>0.56592745965042113</v>
      </c>
      <c r="L74" s="41">
        <f t="shared" si="10"/>
        <v>0.56592745965042113</v>
      </c>
      <c r="M74" s="41">
        <f t="shared" si="10"/>
        <v>0.56592745965042113</v>
      </c>
      <c r="N74" s="41">
        <f t="shared" si="10"/>
        <v>0.56592745965042113</v>
      </c>
      <c r="O74" s="41">
        <f t="shared" si="10"/>
        <v>0.56592745965042113</v>
      </c>
      <c r="P74" s="41">
        <f t="shared" si="10"/>
        <v>0.56592745965042113</v>
      </c>
      <c r="Q74" s="41">
        <f t="shared" si="10"/>
        <v>0</v>
      </c>
      <c r="R74" s="41">
        <f t="shared" si="10"/>
        <v>0</v>
      </c>
      <c r="S74" s="41">
        <f t="shared" si="10"/>
        <v>0.56592745965042113</v>
      </c>
      <c r="T74" s="41">
        <f t="shared" si="10"/>
        <v>0.56592745965042113</v>
      </c>
      <c r="U74" s="41">
        <f t="shared" si="10"/>
        <v>0.56592745965042113</v>
      </c>
      <c r="V74" s="41">
        <f t="shared" si="10"/>
        <v>0.30780783362179165</v>
      </c>
      <c r="W74" s="41">
        <f t="shared" si="10"/>
        <v>0.20760110839034102</v>
      </c>
      <c r="X74" s="41">
        <f t="shared" si="10"/>
        <v>0.56592745965042113</v>
      </c>
      <c r="Y74" s="41">
        <f t="shared" si="10"/>
        <v>0.56592745965042113</v>
      </c>
      <c r="Z74" s="41">
        <f t="shared" si="10"/>
        <v>0.56592745965042113</v>
      </c>
      <c r="AA74" s="41">
        <f t="shared" si="10"/>
        <v>0.56592745965042113</v>
      </c>
      <c r="AB74" s="41">
        <f t="shared" si="10"/>
        <v>0.56592745965042113</v>
      </c>
      <c r="AC74" s="41">
        <f t="shared" si="10"/>
        <v>0</v>
      </c>
      <c r="AD74" s="41">
        <f t="shared" si="10"/>
        <v>0</v>
      </c>
      <c r="AE74" s="41">
        <f t="shared" si="10"/>
        <v>0</v>
      </c>
      <c r="AF74" s="41">
        <f t="shared" si="10"/>
        <v>0</v>
      </c>
      <c r="AG74" s="41">
        <f t="shared" si="10"/>
        <v>0</v>
      </c>
      <c r="AH74" s="41">
        <f t="shared" si="10"/>
        <v>0</v>
      </c>
      <c r="AI74" s="41">
        <f t="shared" si="10"/>
        <v>0</v>
      </c>
      <c r="AJ74" s="41">
        <f t="shared" si="10"/>
        <v>0</v>
      </c>
      <c r="AK74" s="41">
        <f t="shared" si="10"/>
        <v>0</v>
      </c>
      <c r="AL74" s="41">
        <f t="shared" si="10"/>
        <v>0</v>
      </c>
      <c r="AM74" s="41">
        <f t="shared" si="10"/>
        <v>0</v>
      </c>
      <c r="AN74" s="41">
        <f t="shared" si="10"/>
        <v>0</v>
      </c>
      <c r="AO74" s="41">
        <f t="shared" si="10"/>
        <v>0</v>
      </c>
      <c r="AP74" s="41">
        <f t="shared" si="10"/>
        <v>0</v>
      </c>
      <c r="BH74" s="8"/>
    </row>
    <row r="75" spans="5:60" s="21" customFormat="1" x14ac:dyDescent="0.25">
      <c r="F75" s="145" t="s">
        <v>183</v>
      </c>
      <c r="G75" s="145" t="s">
        <v>137</v>
      </c>
      <c r="H75" s="167"/>
      <c r="I75" s="167"/>
      <c r="J75" s="428">
        <f t="shared" ref="J75:AP75" si="11">J71 * (1 - J73)</f>
        <v>0</v>
      </c>
      <c r="K75" s="428">
        <f t="shared" si="11"/>
        <v>1563.3385493988435</v>
      </c>
      <c r="L75" s="428">
        <f t="shared" si="11"/>
        <v>0</v>
      </c>
      <c r="M75" s="428">
        <f t="shared" si="11"/>
        <v>0</v>
      </c>
      <c r="N75" s="428">
        <f t="shared" si="11"/>
        <v>40.293672065056505</v>
      </c>
      <c r="O75" s="428">
        <f t="shared" si="11"/>
        <v>0</v>
      </c>
      <c r="P75" s="428">
        <f t="shared" si="11"/>
        <v>77.110672374053436</v>
      </c>
      <c r="Q75" s="428">
        <f t="shared" si="11"/>
        <v>0</v>
      </c>
      <c r="R75" s="428">
        <f t="shared" si="11"/>
        <v>0</v>
      </c>
      <c r="S75" s="428">
        <f t="shared" si="11"/>
        <v>1.8488383576206389</v>
      </c>
      <c r="T75" s="428">
        <f t="shared" si="11"/>
        <v>202.55516361579257</v>
      </c>
      <c r="U75" s="428">
        <f t="shared" si="11"/>
        <v>7396.6467665534765</v>
      </c>
      <c r="V75" s="428">
        <f t="shared" si="11"/>
        <v>0</v>
      </c>
      <c r="W75" s="428">
        <f t="shared" si="11"/>
        <v>0</v>
      </c>
      <c r="X75" s="428">
        <f t="shared" si="11"/>
        <v>0</v>
      </c>
      <c r="Y75" s="428">
        <f t="shared" si="11"/>
        <v>0</v>
      </c>
      <c r="Z75" s="428">
        <f t="shared" si="11"/>
        <v>0</v>
      </c>
      <c r="AA75" s="428">
        <f t="shared" si="11"/>
        <v>0</v>
      </c>
      <c r="AB75" s="428">
        <f t="shared" si="11"/>
        <v>112.73664865607556</v>
      </c>
      <c r="AC75" s="428">
        <f t="shared" si="11"/>
        <v>0</v>
      </c>
      <c r="AD75" s="428">
        <f t="shared" si="11"/>
        <v>0</v>
      </c>
      <c r="AE75" s="428">
        <f t="shared" si="11"/>
        <v>0</v>
      </c>
      <c r="AF75" s="428">
        <f t="shared" si="11"/>
        <v>0</v>
      </c>
      <c r="AG75" s="428">
        <f t="shared" si="11"/>
        <v>0</v>
      </c>
      <c r="AH75" s="428">
        <f t="shared" si="11"/>
        <v>0</v>
      </c>
      <c r="AI75" s="428">
        <f t="shared" si="11"/>
        <v>0</v>
      </c>
      <c r="AJ75" s="428">
        <f t="shared" si="11"/>
        <v>0</v>
      </c>
      <c r="AK75" s="428">
        <f t="shared" si="11"/>
        <v>0</v>
      </c>
      <c r="AL75" s="428">
        <f t="shared" si="11"/>
        <v>0</v>
      </c>
      <c r="AM75" s="428">
        <f t="shared" si="11"/>
        <v>0</v>
      </c>
      <c r="AN75" s="428">
        <f t="shared" si="11"/>
        <v>0</v>
      </c>
      <c r="AO75" s="428">
        <f t="shared" si="11"/>
        <v>0</v>
      </c>
      <c r="AP75" s="428">
        <f t="shared" si="11"/>
        <v>0</v>
      </c>
      <c r="BH75" s="8"/>
    </row>
    <row r="76" spans="5:60" s="21" customFormat="1" x14ac:dyDescent="0.25">
      <c r="F76" s="38" t="s">
        <v>195</v>
      </c>
      <c r="G76" s="38" t="s">
        <v>137</v>
      </c>
      <c r="H76" s="168"/>
      <c r="I76" s="168"/>
      <c r="J76" s="432">
        <f t="shared" ref="J76:AP76" si="12">J72 * (1 - J74)</f>
        <v>0</v>
      </c>
      <c r="K76" s="432">
        <f t="shared" si="12"/>
        <v>3158.0641935055937</v>
      </c>
      <c r="L76" s="432">
        <f t="shared" si="12"/>
        <v>0</v>
      </c>
      <c r="M76" s="432">
        <f t="shared" si="12"/>
        <v>0</v>
      </c>
      <c r="N76" s="432">
        <f t="shared" si="12"/>
        <v>68.554321607524201</v>
      </c>
      <c r="O76" s="432">
        <f t="shared" si="12"/>
        <v>0</v>
      </c>
      <c r="P76" s="432">
        <f t="shared" si="12"/>
        <v>201.92580920617667</v>
      </c>
      <c r="Q76" s="432">
        <f t="shared" si="12"/>
        <v>0</v>
      </c>
      <c r="R76" s="432">
        <f t="shared" si="12"/>
        <v>0</v>
      </c>
      <c r="S76" s="432">
        <f t="shared" si="12"/>
        <v>0.45104899824470096</v>
      </c>
      <c r="T76" s="432">
        <f t="shared" si="12"/>
        <v>180.65889455136968</v>
      </c>
      <c r="U76" s="432">
        <f t="shared" si="12"/>
        <v>19450.900352687313</v>
      </c>
      <c r="V76" s="432">
        <f t="shared" si="12"/>
        <v>33732.079659937532</v>
      </c>
      <c r="W76" s="432">
        <f t="shared" si="12"/>
        <v>3872.629280091247</v>
      </c>
      <c r="X76" s="432">
        <f t="shared" si="12"/>
        <v>0</v>
      </c>
      <c r="Y76" s="432">
        <f t="shared" si="12"/>
        <v>0</v>
      </c>
      <c r="Z76" s="432">
        <f t="shared" si="12"/>
        <v>0</v>
      </c>
      <c r="AA76" s="432">
        <f t="shared" si="12"/>
        <v>0</v>
      </c>
      <c r="AB76" s="432">
        <f t="shared" si="12"/>
        <v>0</v>
      </c>
      <c r="AC76" s="432">
        <f t="shared" si="12"/>
        <v>0</v>
      </c>
      <c r="AD76" s="432">
        <f t="shared" si="12"/>
        <v>0</v>
      </c>
      <c r="AE76" s="432">
        <f t="shared" si="12"/>
        <v>0</v>
      </c>
      <c r="AF76" s="432">
        <f t="shared" si="12"/>
        <v>0</v>
      </c>
      <c r="AG76" s="432">
        <f t="shared" si="12"/>
        <v>7448.517500130537</v>
      </c>
      <c r="AH76" s="432">
        <f t="shared" si="12"/>
        <v>0</v>
      </c>
      <c r="AI76" s="432">
        <f t="shared" si="12"/>
        <v>0</v>
      </c>
      <c r="AJ76" s="432">
        <f t="shared" si="12"/>
        <v>0</v>
      </c>
      <c r="AK76" s="432">
        <f t="shared" si="12"/>
        <v>0</v>
      </c>
      <c r="AL76" s="432">
        <f t="shared" si="12"/>
        <v>0</v>
      </c>
      <c r="AM76" s="432">
        <f t="shared" si="12"/>
        <v>0</v>
      </c>
      <c r="AN76" s="432">
        <f t="shared" si="12"/>
        <v>0</v>
      </c>
      <c r="AO76" s="432">
        <f t="shared" si="12"/>
        <v>0</v>
      </c>
      <c r="AP76" s="432">
        <f t="shared" si="12"/>
        <v>0</v>
      </c>
      <c r="BH76" s="8"/>
    </row>
    <row r="77" spans="5:60" s="21" customFormat="1" x14ac:dyDescent="0.25">
      <c r="F77" s="145" t="s">
        <v>184</v>
      </c>
      <c r="G77" s="145" t="s">
        <v>137</v>
      </c>
      <c r="H77" s="167"/>
      <c r="I77" s="167"/>
      <c r="J77" s="420">
        <f t="shared" ref="J77:AP77" si="13">J70 + J75 + J76</f>
        <v>0</v>
      </c>
      <c r="K77" s="420">
        <f t="shared" si="13"/>
        <v>735614.89686908422</v>
      </c>
      <c r="L77" s="420">
        <f t="shared" si="13"/>
        <v>0</v>
      </c>
      <c r="M77" s="420">
        <f t="shared" si="13"/>
        <v>0</v>
      </c>
      <c r="N77" s="420">
        <f t="shared" si="13"/>
        <v>278002.52474213234</v>
      </c>
      <c r="O77" s="420">
        <f t="shared" si="13"/>
        <v>0</v>
      </c>
      <c r="P77" s="420">
        <f t="shared" si="13"/>
        <v>7102.53616241911</v>
      </c>
      <c r="Q77" s="420">
        <f t="shared" si="13"/>
        <v>0</v>
      </c>
      <c r="R77" s="420">
        <f t="shared" si="13"/>
        <v>4.3459831614531019</v>
      </c>
      <c r="S77" s="420">
        <f t="shared" si="13"/>
        <v>24996.690407605536</v>
      </c>
      <c r="T77" s="420">
        <f t="shared" si="13"/>
        <v>177573.26231864805</v>
      </c>
      <c r="U77" s="420">
        <f t="shared" si="13"/>
        <v>3540894.6661684732</v>
      </c>
      <c r="V77" s="420">
        <f t="shared" si="13"/>
        <v>221362.20664832584</v>
      </c>
      <c r="W77" s="420">
        <f t="shared" si="13"/>
        <v>2543209.0589652988</v>
      </c>
      <c r="X77" s="420">
        <f t="shared" si="13"/>
        <v>0</v>
      </c>
      <c r="Y77" s="420">
        <f t="shared" si="13"/>
        <v>0</v>
      </c>
      <c r="Z77" s="420">
        <f t="shared" si="13"/>
        <v>0</v>
      </c>
      <c r="AA77" s="420">
        <f t="shared" si="13"/>
        <v>0</v>
      </c>
      <c r="AB77" s="420">
        <f t="shared" si="13"/>
        <v>68850.186278347115</v>
      </c>
      <c r="AC77" s="420">
        <f t="shared" si="13"/>
        <v>0</v>
      </c>
      <c r="AD77" s="420">
        <f t="shared" si="13"/>
        <v>0</v>
      </c>
      <c r="AE77" s="420">
        <f t="shared" si="13"/>
        <v>0</v>
      </c>
      <c r="AF77" s="420">
        <f t="shared" si="13"/>
        <v>0</v>
      </c>
      <c r="AG77" s="420">
        <f t="shared" si="13"/>
        <v>15061.671411533149</v>
      </c>
      <c r="AH77" s="420">
        <f t="shared" si="13"/>
        <v>0</v>
      </c>
      <c r="AI77" s="420">
        <f t="shared" si="13"/>
        <v>0</v>
      </c>
      <c r="AJ77" s="420">
        <f t="shared" si="13"/>
        <v>0</v>
      </c>
      <c r="AK77" s="420">
        <f t="shared" si="13"/>
        <v>0</v>
      </c>
      <c r="AL77" s="420">
        <f t="shared" si="13"/>
        <v>0</v>
      </c>
      <c r="AM77" s="420">
        <f t="shared" si="13"/>
        <v>0</v>
      </c>
      <c r="AN77" s="420">
        <f t="shared" si="13"/>
        <v>0</v>
      </c>
      <c r="AO77" s="420">
        <f t="shared" si="13"/>
        <v>308061.97136442841</v>
      </c>
      <c r="AP77" s="420">
        <f t="shared" si="13"/>
        <v>0</v>
      </c>
      <c r="BH77" s="8"/>
    </row>
    <row r="78" spans="5:60" s="21" customFormat="1" x14ac:dyDescent="0.25">
      <c r="E78" s="36"/>
      <c r="G78" s="15"/>
      <c r="H78" s="15"/>
      <c r="I78" s="167"/>
      <c r="J78" s="435"/>
      <c r="K78" s="435"/>
      <c r="L78" s="435"/>
      <c r="M78" s="435"/>
      <c r="N78" s="435"/>
      <c r="O78" s="435"/>
      <c r="P78" s="416"/>
      <c r="Q78" s="416"/>
      <c r="R78" s="416"/>
      <c r="S78" s="416"/>
      <c r="T78" s="416"/>
      <c r="U78" s="416"/>
      <c r="V78" s="416"/>
      <c r="W78" s="416"/>
      <c r="X78" s="416"/>
      <c r="Y78" s="416"/>
      <c r="Z78" s="416"/>
      <c r="AA78" s="416"/>
      <c r="AB78" s="416"/>
      <c r="AC78" s="416"/>
      <c r="AD78" s="416"/>
      <c r="AE78" s="416"/>
      <c r="AF78" s="416"/>
      <c r="AG78" s="416"/>
      <c r="AH78" s="416"/>
      <c r="AI78" s="416"/>
      <c r="AJ78" s="416"/>
      <c r="AK78" s="416"/>
      <c r="AL78" s="416"/>
      <c r="AM78" s="416"/>
      <c r="AN78" s="416"/>
      <c r="AO78" s="416"/>
      <c r="AP78" s="416"/>
      <c r="BH78" s="8"/>
    </row>
    <row r="79" spans="5:60" s="21" customFormat="1" x14ac:dyDescent="0.25">
      <c r="E79" s="172" t="s">
        <v>153</v>
      </c>
      <c r="G79" s="15"/>
      <c r="H79" s="15"/>
      <c r="I79" s="167" t="s">
        <v>525</v>
      </c>
      <c r="J79" s="435"/>
      <c r="K79" s="435"/>
      <c r="L79" s="435"/>
      <c r="M79" s="435"/>
      <c r="N79" s="435"/>
      <c r="O79" s="435"/>
      <c r="P79" s="416"/>
      <c r="Q79" s="416"/>
      <c r="R79" s="416"/>
      <c r="S79" s="416"/>
      <c r="T79" s="416"/>
      <c r="U79" s="416"/>
      <c r="V79" s="416"/>
      <c r="W79" s="416"/>
      <c r="X79" s="416"/>
      <c r="Y79" s="416"/>
      <c r="Z79" s="416"/>
      <c r="AA79" s="416"/>
      <c r="AB79" s="416"/>
      <c r="AC79" s="416"/>
      <c r="AD79" s="416"/>
      <c r="AE79" s="416"/>
      <c r="AF79" s="416"/>
      <c r="AG79" s="416"/>
      <c r="AH79" s="416"/>
      <c r="AI79" s="416"/>
      <c r="AJ79" s="416"/>
      <c r="AK79" s="416"/>
      <c r="AL79" s="416"/>
      <c r="AM79" s="416"/>
      <c r="AN79" s="416"/>
      <c r="AO79" s="416"/>
      <c r="AP79" s="416"/>
      <c r="AR79" s="160" t="s">
        <v>941</v>
      </c>
      <c r="BH79" s="8"/>
    </row>
    <row r="80" spans="5:60" s="474" customFormat="1" x14ac:dyDescent="0.25">
      <c r="E80" s="172"/>
      <c r="G80" s="339"/>
      <c r="H80" s="339"/>
      <c r="I80" s="339"/>
      <c r="J80" s="435"/>
      <c r="K80" s="435"/>
      <c r="L80" s="435"/>
      <c r="M80" s="435"/>
      <c r="N80" s="435"/>
      <c r="O80" s="435"/>
      <c r="P80" s="416"/>
      <c r="Q80" s="416"/>
      <c r="R80" s="416"/>
      <c r="S80" s="416"/>
      <c r="T80" s="416"/>
      <c r="U80" s="416"/>
      <c r="V80" s="416"/>
      <c r="W80" s="416"/>
      <c r="X80" s="416"/>
      <c r="Y80" s="416"/>
      <c r="Z80" s="416"/>
      <c r="AA80" s="416"/>
      <c r="AB80" s="416"/>
      <c r="AC80" s="416"/>
      <c r="AD80" s="416"/>
      <c r="AE80" s="416"/>
      <c r="AF80" s="416"/>
      <c r="AG80" s="416"/>
      <c r="AH80" s="416"/>
      <c r="AI80" s="416"/>
      <c r="AJ80" s="416"/>
      <c r="AK80" s="416"/>
      <c r="AL80" s="416"/>
      <c r="AM80" s="416"/>
      <c r="AN80" s="416"/>
      <c r="AO80" s="416"/>
      <c r="AP80" s="416"/>
      <c r="BH80" s="163"/>
    </row>
    <row r="81" spans="5:60" s="21" customFormat="1" x14ac:dyDescent="0.25">
      <c r="F81" s="145" t="s">
        <v>162</v>
      </c>
      <c r="G81" s="145" t="s">
        <v>137</v>
      </c>
      <c r="H81" s="167"/>
      <c r="I81" s="167"/>
      <c r="J81" s="437">
        <f>'Inputs by customer type'!J26</f>
        <v>0</v>
      </c>
      <c r="K81" s="437">
        <f>'Inputs by customer type'!K26</f>
        <v>0</v>
      </c>
      <c r="L81" s="437">
        <f>'Inputs by customer type'!L26</f>
        <v>0</v>
      </c>
      <c r="M81" s="437">
        <f>'Inputs by customer type'!M26</f>
        <v>0</v>
      </c>
      <c r="N81" s="437">
        <f>'Inputs by customer type'!N26</f>
        <v>0</v>
      </c>
      <c r="O81" s="437">
        <f>'Inputs by customer type'!O26</f>
        <v>0</v>
      </c>
      <c r="P81" s="437">
        <f>'Inputs by customer type'!P26</f>
        <v>0</v>
      </c>
      <c r="Q81" s="437">
        <f>'Inputs by customer type'!Q26</f>
        <v>0</v>
      </c>
      <c r="R81" s="437">
        <f>'Inputs by customer type'!R26</f>
        <v>0</v>
      </c>
      <c r="S81" s="437">
        <f>'Inputs by customer type'!S26</f>
        <v>14748.66215848906</v>
      </c>
      <c r="T81" s="437">
        <f>'Inputs by customer type'!T26</f>
        <v>84561.767602422755</v>
      </c>
      <c r="U81" s="437">
        <f>'Inputs by customer type'!U26</f>
        <v>1852935.9149048373</v>
      </c>
      <c r="V81" s="437">
        <f>'Inputs by customer type'!V26</f>
        <v>115440.36843887392</v>
      </c>
      <c r="W81" s="437">
        <f>'Inputs by customer type'!W26</f>
        <v>1744020.8732995491</v>
      </c>
      <c r="X81" s="437">
        <f>'Inputs by customer type'!X26</f>
        <v>0</v>
      </c>
      <c r="Y81" s="437">
        <f>'Inputs by customer type'!Y26</f>
        <v>0</v>
      </c>
      <c r="Z81" s="437">
        <f>'Inputs by customer type'!Z26</f>
        <v>0</v>
      </c>
      <c r="AA81" s="437">
        <f>'Inputs by customer type'!AA26</f>
        <v>0</v>
      </c>
      <c r="AB81" s="437">
        <f>'Inputs by customer type'!AB26</f>
        <v>135195.92288743221</v>
      </c>
      <c r="AC81" s="437">
        <f>'Inputs by customer type'!AC26</f>
        <v>0</v>
      </c>
      <c r="AD81" s="437">
        <f>'Inputs by customer type'!AD26</f>
        <v>0</v>
      </c>
      <c r="AE81" s="437">
        <f>'Inputs by customer type'!AE26</f>
        <v>0</v>
      </c>
      <c r="AF81" s="437">
        <f>'Inputs by customer type'!AF26</f>
        <v>0</v>
      </c>
      <c r="AG81" s="437">
        <f>'Inputs by customer type'!AG26</f>
        <v>5014.6004963348978</v>
      </c>
      <c r="AH81" s="437">
        <f>'Inputs by customer type'!AH26</f>
        <v>0</v>
      </c>
      <c r="AI81" s="437">
        <f>'Inputs by customer type'!AI26</f>
        <v>0</v>
      </c>
      <c r="AJ81" s="437">
        <f>'Inputs by customer type'!AJ26</f>
        <v>0</v>
      </c>
      <c r="AK81" s="437">
        <f>'Inputs by customer type'!AK26</f>
        <v>0</v>
      </c>
      <c r="AL81" s="437">
        <f>'Inputs by customer type'!AL26</f>
        <v>0</v>
      </c>
      <c r="AM81" s="437">
        <f>'Inputs by customer type'!AM26</f>
        <v>0</v>
      </c>
      <c r="AN81" s="437">
        <f>'Inputs by customer type'!AN26</f>
        <v>0</v>
      </c>
      <c r="AO81" s="437">
        <f>'Inputs by customer type'!AO26</f>
        <v>227982.97660961846</v>
      </c>
      <c r="AP81" s="437">
        <f>'Inputs by customer type'!AP26</f>
        <v>0</v>
      </c>
      <c r="BH81" s="8"/>
    </row>
    <row r="82" spans="5:60" s="21" customFormat="1" x14ac:dyDescent="0.25">
      <c r="F82" s="145" t="s">
        <v>163</v>
      </c>
      <c r="G82" s="145" t="s">
        <v>137</v>
      </c>
      <c r="H82" s="167"/>
      <c r="I82" s="167"/>
      <c r="J82" s="437">
        <f>'Inputs by customer type'!J35</f>
        <v>0</v>
      </c>
      <c r="K82" s="437">
        <f>'Inputs by customer type'!K35</f>
        <v>0</v>
      </c>
      <c r="L82" s="437">
        <f>'Inputs by customer type'!L35</f>
        <v>0</v>
      </c>
      <c r="M82" s="437">
        <f>'Inputs by customer type'!M35</f>
        <v>0</v>
      </c>
      <c r="N82" s="437">
        <f>'Inputs by customer type'!N35</f>
        <v>0</v>
      </c>
      <c r="O82" s="437">
        <f>'Inputs by customer type'!O35</f>
        <v>0</v>
      </c>
      <c r="P82" s="437">
        <f>'Inputs by customer type'!P35</f>
        <v>0</v>
      </c>
      <c r="Q82" s="437">
        <f>'Inputs by customer type'!Q35</f>
        <v>0</v>
      </c>
      <c r="R82" s="437">
        <f>'Inputs by customer type'!R35</f>
        <v>0</v>
      </c>
      <c r="S82" s="437">
        <f>'Inputs by customer type'!S35</f>
        <v>1.960655519354884</v>
      </c>
      <c r="T82" s="437">
        <f>'Inputs by customer type'!T35</f>
        <v>236.46547066076781</v>
      </c>
      <c r="U82" s="437">
        <f>'Inputs by customer type'!U35</f>
        <v>6229.6832884471451</v>
      </c>
      <c r="V82" s="437">
        <f>'Inputs by customer type'!V35</f>
        <v>0</v>
      </c>
      <c r="W82" s="437">
        <f>'Inputs by customer type'!W35</f>
        <v>0</v>
      </c>
      <c r="X82" s="437">
        <f>'Inputs by customer type'!X35</f>
        <v>0</v>
      </c>
      <c r="Y82" s="437">
        <f>'Inputs by customer type'!Y35</f>
        <v>0</v>
      </c>
      <c r="Z82" s="437">
        <f>'Inputs by customer type'!Z35</f>
        <v>0</v>
      </c>
      <c r="AA82" s="437">
        <f>'Inputs by customer type'!AA35</f>
        <v>0</v>
      </c>
      <c r="AB82" s="437">
        <f>'Inputs by customer type'!AB35</f>
        <v>57.53181172839507</v>
      </c>
      <c r="AC82" s="437">
        <f>'Inputs by customer type'!AC35</f>
        <v>0</v>
      </c>
      <c r="AD82" s="437">
        <f>'Inputs by customer type'!AD35</f>
        <v>0</v>
      </c>
      <c r="AE82" s="437">
        <f>'Inputs by customer type'!AE35</f>
        <v>0</v>
      </c>
      <c r="AF82" s="437">
        <f>'Inputs by customer type'!AF35</f>
        <v>0</v>
      </c>
      <c r="AG82" s="437">
        <f>'Inputs by customer type'!AG35</f>
        <v>0</v>
      </c>
      <c r="AH82" s="437">
        <f>'Inputs by customer type'!AH35</f>
        <v>0</v>
      </c>
      <c r="AI82" s="437">
        <f>'Inputs by customer type'!AI35</f>
        <v>0</v>
      </c>
      <c r="AJ82" s="437">
        <f>'Inputs by customer type'!AJ35</f>
        <v>0</v>
      </c>
      <c r="AK82" s="437">
        <f>'Inputs by customer type'!AK35</f>
        <v>0</v>
      </c>
      <c r="AL82" s="437">
        <f>'Inputs by customer type'!AL35</f>
        <v>0</v>
      </c>
      <c r="AM82" s="437">
        <f>'Inputs by customer type'!AM35</f>
        <v>0</v>
      </c>
      <c r="AN82" s="437">
        <f>'Inputs by customer type'!AN35</f>
        <v>0</v>
      </c>
      <c r="AO82" s="437">
        <f>'Inputs by customer type'!AO35</f>
        <v>0</v>
      </c>
      <c r="AP82" s="437">
        <f>'Inputs by customer type'!AP35</f>
        <v>0</v>
      </c>
      <c r="BH82" s="8"/>
    </row>
    <row r="83" spans="5:60" s="21" customFormat="1" x14ac:dyDescent="0.25">
      <c r="F83" s="145" t="s">
        <v>164</v>
      </c>
      <c r="G83" s="145" t="s">
        <v>137</v>
      </c>
      <c r="H83" s="167"/>
      <c r="I83" s="167"/>
      <c r="J83" s="437">
        <f>'Inputs by customer type'!J44</f>
        <v>0</v>
      </c>
      <c r="K83" s="437">
        <f>'Inputs by customer type'!K44</f>
        <v>0</v>
      </c>
      <c r="L83" s="437">
        <f>'Inputs by customer type'!L44</f>
        <v>0</v>
      </c>
      <c r="M83" s="437">
        <f>'Inputs by customer type'!M44</f>
        <v>0</v>
      </c>
      <c r="N83" s="437">
        <f>'Inputs by customer type'!N44</f>
        <v>0</v>
      </c>
      <c r="O83" s="437">
        <f>'Inputs by customer type'!O44</f>
        <v>0</v>
      </c>
      <c r="P83" s="437">
        <f>'Inputs by customer type'!P44</f>
        <v>0</v>
      </c>
      <c r="Q83" s="437">
        <f>'Inputs by customer type'!Q44</f>
        <v>0</v>
      </c>
      <c r="R83" s="437">
        <f>'Inputs by customer type'!R44</f>
        <v>0</v>
      </c>
      <c r="S83" s="437">
        <f>'Inputs by customer type'!S44</f>
        <v>3.4553003774553748</v>
      </c>
      <c r="T83" s="437">
        <f>'Inputs by customer type'!T44</f>
        <v>142.96120727923861</v>
      </c>
      <c r="U83" s="437">
        <f>'Inputs by customer type'!U44</f>
        <v>22437.37026037119</v>
      </c>
      <c r="V83" s="437">
        <f>'Inputs by customer type'!V44</f>
        <v>26827.416415695428</v>
      </c>
      <c r="W83" s="437">
        <f>'Inputs by customer type'!W44</f>
        <v>4039.9979659290289</v>
      </c>
      <c r="X83" s="437">
        <f>'Inputs by customer type'!X44</f>
        <v>0</v>
      </c>
      <c r="Y83" s="437">
        <f>'Inputs by customer type'!Y44</f>
        <v>0</v>
      </c>
      <c r="Z83" s="437">
        <f>'Inputs by customer type'!Z44</f>
        <v>0</v>
      </c>
      <c r="AA83" s="437">
        <f>'Inputs by customer type'!AA44</f>
        <v>0</v>
      </c>
      <c r="AB83" s="437">
        <f>'Inputs by customer type'!AB44</f>
        <v>0</v>
      </c>
      <c r="AC83" s="437">
        <f>'Inputs by customer type'!AC44</f>
        <v>0</v>
      </c>
      <c r="AD83" s="437">
        <f>'Inputs by customer type'!AD44</f>
        <v>0</v>
      </c>
      <c r="AE83" s="437">
        <f>'Inputs by customer type'!AE44</f>
        <v>0</v>
      </c>
      <c r="AF83" s="437">
        <f>'Inputs by customer type'!AF44</f>
        <v>0</v>
      </c>
      <c r="AG83" s="437">
        <f>'Inputs by customer type'!AG44</f>
        <v>6068.5133861525028</v>
      </c>
      <c r="AH83" s="437">
        <f>'Inputs by customer type'!AH44</f>
        <v>0</v>
      </c>
      <c r="AI83" s="437">
        <f>'Inputs by customer type'!AI44</f>
        <v>0</v>
      </c>
      <c r="AJ83" s="437">
        <f>'Inputs by customer type'!AJ44</f>
        <v>0</v>
      </c>
      <c r="AK83" s="437">
        <f>'Inputs by customer type'!AK44</f>
        <v>0</v>
      </c>
      <c r="AL83" s="437">
        <f>'Inputs by customer type'!AL44</f>
        <v>0</v>
      </c>
      <c r="AM83" s="437">
        <f>'Inputs by customer type'!AM44</f>
        <v>0</v>
      </c>
      <c r="AN83" s="437">
        <f>'Inputs by customer type'!AN44</f>
        <v>0</v>
      </c>
      <c r="AO83" s="437">
        <f>'Inputs by customer type'!AO44</f>
        <v>0</v>
      </c>
      <c r="AP83" s="437">
        <f>'Inputs by customer type'!AP44</f>
        <v>0</v>
      </c>
      <c r="BH83" s="8"/>
    </row>
    <row r="84" spans="5:60" s="21" customFormat="1" x14ac:dyDescent="0.25">
      <c r="F84" s="145" t="s">
        <v>196</v>
      </c>
      <c r="G84" s="145" t="s">
        <v>111</v>
      </c>
      <c r="H84" s="167"/>
      <c r="I84" s="167"/>
      <c r="J84" s="41">
        <f t="shared" ref="J84:AP84" si="14">IF(J$39, J$45, J$34)</f>
        <v>0.34755258472512618</v>
      </c>
      <c r="K84" s="41">
        <f t="shared" si="14"/>
        <v>0.34755258472512618</v>
      </c>
      <c r="L84" s="41">
        <f t="shared" si="14"/>
        <v>0.34755258472512618</v>
      </c>
      <c r="M84" s="41">
        <f t="shared" si="14"/>
        <v>0.34755258472512618</v>
      </c>
      <c r="N84" s="41">
        <f t="shared" si="14"/>
        <v>0.34755258472512618</v>
      </c>
      <c r="O84" s="41">
        <f t="shared" si="14"/>
        <v>0.34755258472512618</v>
      </c>
      <c r="P84" s="41">
        <f t="shared" si="14"/>
        <v>0.34755258472512618</v>
      </c>
      <c r="Q84" s="41">
        <f t="shared" si="14"/>
        <v>0</v>
      </c>
      <c r="R84" s="41">
        <f t="shared" si="14"/>
        <v>0</v>
      </c>
      <c r="S84" s="41">
        <f t="shared" si="14"/>
        <v>0.34755258472512618</v>
      </c>
      <c r="T84" s="41">
        <f t="shared" si="14"/>
        <v>0.34755258472512618</v>
      </c>
      <c r="U84" s="41">
        <f t="shared" si="14"/>
        <v>0.34755258472512618</v>
      </c>
      <c r="V84" s="41">
        <f t="shared" si="14"/>
        <v>0</v>
      </c>
      <c r="W84" s="41">
        <f t="shared" si="14"/>
        <v>0</v>
      </c>
      <c r="X84" s="41">
        <f t="shared" si="14"/>
        <v>0.34755258472512618</v>
      </c>
      <c r="Y84" s="41">
        <f t="shared" si="14"/>
        <v>0.34755258472512618</v>
      </c>
      <c r="Z84" s="41">
        <f t="shared" si="14"/>
        <v>0.34755258472512618</v>
      </c>
      <c r="AA84" s="41">
        <f t="shared" si="14"/>
        <v>0.34755258472512618</v>
      </c>
      <c r="AB84" s="41">
        <f t="shared" si="14"/>
        <v>0.34755258472512618</v>
      </c>
      <c r="AC84" s="41">
        <f t="shared" si="14"/>
        <v>0</v>
      </c>
      <c r="AD84" s="41">
        <f t="shared" si="14"/>
        <v>0</v>
      </c>
      <c r="AE84" s="41">
        <f t="shared" si="14"/>
        <v>0</v>
      </c>
      <c r="AF84" s="41">
        <f t="shared" si="14"/>
        <v>0</v>
      </c>
      <c r="AG84" s="41">
        <f t="shared" si="14"/>
        <v>0</v>
      </c>
      <c r="AH84" s="41">
        <f t="shared" si="14"/>
        <v>0</v>
      </c>
      <c r="AI84" s="41">
        <f t="shared" si="14"/>
        <v>0</v>
      </c>
      <c r="AJ84" s="41">
        <f t="shared" si="14"/>
        <v>0</v>
      </c>
      <c r="AK84" s="41">
        <f t="shared" si="14"/>
        <v>0</v>
      </c>
      <c r="AL84" s="41">
        <f t="shared" si="14"/>
        <v>0</v>
      </c>
      <c r="AM84" s="41">
        <f t="shared" si="14"/>
        <v>0</v>
      </c>
      <c r="AN84" s="41">
        <f t="shared" si="14"/>
        <v>0</v>
      </c>
      <c r="AO84" s="41">
        <f t="shared" si="14"/>
        <v>0</v>
      </c>
      <c r="AP84" s="41">
        <f t="shared" si="14"/>
        <v>0</v>
      </c>
      <c r="BH84" s="8"/>
    </row>
    <row r="85" spans="5:60" s="21" customFormat="1" x14ac:dyDescent="0.25">
      <c r="F85" s="145" t="s">
        <v>197</v>
      </c>
      <c r="G85" s="145" t="s">
        <v>111</v>
      </c>
      <c r="H85" s="167"/>
      <c r="I85" s="167"/>
      <c r="J85" s="41">
        <f t="shared" ref="J85:AP85" si="15">IF(J$39, J$45, J$35)</f>
        <v>0.56592745965042113</v>
      </c>
      <c r="K85" s="41">
        <f t="shared" si="15"/>
        <v>0.56592745965042113</v>
      </c>
      <c r="L85" s="41">
        <f t="shared" si="15"/>
        <v>0.56592745965042113</v>
      </c>
      <c r="M85" s="41">
        <f t="shared" si="15"/>
        <v>0.56592745965042113</v>
      </c>
      <c r="N85" s="41">
        <f t="shared" si="15"/>
        <v>0.56592745965042113</v>
      </c>
      <c r="O85" s="41">
        <f t="shared" si="15"/>
        <v>0.56592745965042113</v>
      </c>
      <c r="P85" s="41">
        <f t="shared" si="15"/>
        <v>0.56592745965042113</v>
      </c>
      <c r="Q85" s="41">
        <f t="shared" si="15"/>
        <v>0</v>
      </c>
      <c r="R85" s="41">
        <f t="shared" si="15"/>
        <v>0</v>
      </c>
      <c r="S85" s="41">
        <f t="shared" si="15"/>
        <v>0.56592745965042113</v>
      </c>
      <c r="T85" s="41">
        <f t="shared" si="15"/>
        <v>0.56592745965042113</v>
      </c>
      <c r="U85" s="41">
        <f t="shared" si="15"/>
        <v>0.56592745965042113</v>
      </c>
      <c r="V85" s="41">
        <f t="shared" si="15"/>
        <v>0.30780783362179165</v>
      </c>
      <c r="W85" s="41">
        <f t="shared" si="15"/>
        <v>0.20760110839034102</v>
      </c>
      <c r="X85" s="41">
        <f t="shared" si="15"/>
        <v>0.56592745965042113</v>
      </c>
      <c r="Y85" s="41">
        <f t="shared" si="15"/>
        <v>0.56592745965042113</v>
      </c>
      <c r="Z85" s="41">
        <f t="shared" si="15"/>
        <v>0.56592745965042113</v>
      </c>
      <c r="AA85" s="41">
        <f t="shared" si="15"/>
        <v>0.56592745965042113</v>
      </c>
      <c r="AB85" s="41">
        <f t="shared" si="15"/>
        <v>0.56592745965042113</v>
      </c>
      <c r="AC85" s="41">
        <f t="shared" si="15"/>
        <v>0</v>
      </c>
      <c r="AD85" s="41">
        <f t="shared" si="15"/>
        <v>0</v>
      </c>
      <c r="AE85" s="41">
        <f t="shared" si="15"/>
        <v>0</v>
      </c>
      <c r="AF85" s="41">
        <f t="shared" si="15"/>
        <v>0</v>
      </c>
      <c r="AG85" s="41">
        <f t="shared" si="15"/>
        <v>0</v>
      </c>
      <c r="AH85" s="41">
        <f t="shared" si="15"/>
        <v>0</v>
      </c>
      <c r="AI85" s="41">
        <f t="shared" si="15"/>
        <v>0</v>
      </c>
      <c r="AJ85" s="41">
        <f t="shared" si="15"/>
        <v>0</v>
      </c>
      <c r="AK85" s="41">
        <f t="shared" si="15"/>
        <v>0</v>
      </c>
      <c r="AL85" s="41">
        <f t="shared" si="15"/>
        <v>0</v>
      </c>
      <c r="AM85" s="41">
        <f t="shared" si="15"/>
        <v>0</v>
      </c>
      <c r="AN85" s="41">
        <f t="shared" si="15"/>
        <v>0</v>
      </c>
      <c r="AO85" s="41">
        <f t="shared" si="15"/>
        <v>0</v>
      </c>
      <c r="AP85" s="41">
        <f t="shared" si="15"/>
        <v>0</v>
      </c>
      <c r="BH85" s="8"/>
    </row>
    <row r="86" spans="5:60" s="21" customFormat="1" x14ac:dyDescent="0.25">
      <c r="F86" s="145" t="s">
        <v>183</v>
      </c>
      <c r="G86" s="145" t="s">
        <v>137</v>
      </c>
      <c r="H86" s="167"/>
      <c r="I86" s="167"/>
      <c r="J86" s="428">
        <f t="shared" ref="J86:AP86" si="16">J82 * (1 - J84)</f>
        <v>0</v>
      </c>
      <c r="K86" s="428">
        <f t="shared" si="16"/>
        <v>0</v>
      </c>
      <c r="L86" s="428">
        <f t="shared" si="16"/>
        <v>0</v>
      </c>
      <c r="M86" s="428">
        <f t="shared" si="16"/>
        <v>0</v>
      </c>
      <c r="N86" s="428">
        <f t="shared" si="16"/>
        <v>0</v>
      </c>
      <c r="O86" s="428">
        <f t="shared" si="16"/>
        <v>0</v>
      </c>
      <c r="P86" s="428">
        <f t="shared" si="16"/>
        <v>0</v>
      </c>
      <c r="Q86" s="428">
        <f t="shared" si="16"/>
        <v>0</v>
      </c>
      <c r="R86" s="428">
        <f t="shared" si="16"/>
        <v>0</v>
      </c>
      <c r="S86" s="428">
        <f t="shared" si="16"/>
        <v>1.2792246258475095</v>
      </c>
      <c r="T86" s="428">
        <f t="shared" si="16"/>
        <v>154.28128513437446</v>
      </c>
      <c r="U86" s="428">
        <f t="shared" si="16"/>
        <v>4064.5407595284159</v>
      </c>
      <c r="V86" s="428">
        <f t="shared" si="16"/>
        <v>0</v>
      </c>
      <c r="W86" s="428">
        <f t="shared" si="16"/>
        <v>0</v>
      </c>
      <c r="X86" s="428">
        <f t="shared" si="16"/>
        <v>0</v>
      </c>
      <c r="Y86" s="428">
        <f t="shared" si="16"/>
        <v>0</v>
      </c>
      <c r="Z86" s="428">
        <f t="shared" si="16"/>
        <v>0</v>
      </c>
      <c r="AA86" s="428">
        <f t="shared" si="16"/>
        <v>0</v>
      </c>
      <c r="AB86" s="428">
        <f t="shared" si="16"/>
        <v>37.536481858272033</v>
      </c>
      <c r="AC86" s="428">
        <f t="shared" si="16"/>
        <v>0</v>
      </c>
      <c r="AD86" s="428">
        <f t="shared" si="16"/>
        <v>0</v>
      </c>
      <c r="AE86" s="428">
        <f t="shared" si="16"/>
        <v>0</v>
      </c>
      <c r="AF86" s="428">
        <f t="shared" si="16"/>
        <v>0</v>
      </c>
      <c r="AG86" s="428">
        <f t="shared" si="16"/>
        <v>0</v>
      </c>
      <c r="AH86" s="428">
        <f t="shared" si="16"/>
        <v>0</v>
      </c>
      <c r="AI86" s="428">
        <f t="shared" si="16"/>
        <v>0</v>
      </c>
      <c r="AJ86" s="428">
        <f t="shared" si="16"/>
        <v>0</v>
      </c>
      <c r="AK86" s="428">
        <f t="shared" si="16"/>
        <v>0</v>
      </c>
      <c r="AL86" s="428">
        <f t="shared" si="16"/>
        <v>0</v>
      </c>
      <c r="AM86" s="428">
        <f t="shared" si="16"/>
        <v>0</v>
      </c>
      <c r="AN86" s="428">
        <f t="shared" si="16"/>
        <v>0</v>
      </c>
      <c r="AO86" s="428">
        <f t="shared" si="16"/>
        <v>0</v>
      </c>
      <c r="AP86" s="428">
        <f t="shared" si="16"/>
        <v>0</v>
      </c>
      <c r="BH86" s="8"/>
    </row>
    <row r="87" spans="5:60" s="21" customFormat="1" x14ac:dyDescent="0.25">
      <c r="F87" s="38" t="s">
        <v>195</v>
      </c>
      <c r="G87" s="38" t="s">
        <v>137</v>
      </c>
      <c r="H87" s="168"/>
      <c r="I87" s="168"/>
      <c r="J87" s="432">
        <f t="shared" ref="J87:AP87" si="17">J83 * (1 - J85)</f>
        <v>0</v>
      </c>
      <c r="K87" s="432">
        <f t="shared" si="17"/>
        <v>0</v>
      </c>
      <c r="L87" s="432">
        <f t="shared" si="17"/>
        <v>0</v>
      </c>
      <c r="M87" s="432">
        <f t="shared" si="17"/>
        <v>0</v>
      </c>
      <c r="N87" s="432">
        <f t="shared" si="17"/>
        <v>0</v>
      </c>
      <c r="O87" s="432">
        <f t="shared" si="17"/>
        <v>0</v>
      </c>
      <c r="P87" s="432">
        <f t="shared" si="17"/>
        <v>0</v>
      </c>
      <c r="Q87" s="432">
        <f t="shared" si="17"/>
        <v>0</v>
      </c>
      <c r="R87" s="432">
        <f t="shared" si="17"/>
        <v>0</v>
      </c>
      <c r="S87" s="432">
        <f t="shared" si="17"/>
        <v>1.4998510125129132</v>
      </c>
      <c r="T87" s="432">
        <f t="shared" si="17"/>
        <v>62.055534415141807</v>
      </c>
      <c r="U87" s="432">
        <f t="shared" si="17"/>
        <v>9739.4463076834145</v>
      </c>
      <c r="V87" s="432">
        <f t="shared" si="17"/>
        <v>18569.727487110529</v>
      </c>
      <c r="W87" s="432">
        <f t="shared" si="17"/>
        <v>3201.2899103074392</v>
      </c>
      <c r="X87" s="432">
        <f t="shared" si="17"/>
        <v>0</v>
      </c>
      <c r="Y87" s="432">
        <f t="shared" si="17"/>
        <v>0</v>
      </c>
      <c r="Z87" s="432">
        <f t="shared" si="17"/>
        <v>0</v>
      </c>
      <c r="AA87" s="432">
        <f t="shared" si="17"/>
        <v>0</v>
      </c>
      <c r="AB87" s="432">
        <f t="shared" si="17"/>
        <v>0</v>
      </c>
      <c r="AC87" s="432">
        <f t="shared" si="17"/>
        <v>0</v>
      </c>
      <c r="AD87" s="432">
        <f t="shared" si="17"/>
        <v>0</v>
      </c>
      <c r="AE87" s="432">
        <f t="shared" si="17"/>
        <v>0</v>
      </c>
      <c r="AF87" s="432">
        <f t="shared" si="17"/>
        <v>0</v>
      </c>
      <c r="AG87" s="432">
        <f t="shared" si="17"/>
        <v>6068.5133861525028</v>
      </c>
      <c r="AH87" s="432">
        <f t="shared" si="17"/>
        <v>0</v>
      </c>
      <c r="AI87" s="432">
        <f t="shared" si="17"/>
        <v>0</v>
      </c>
      <c r="AJ87" s="432">
        <f t="shared" si="17"/>
        <v>0</v>
      </c>
      <c r="AK87" s="432">
        <f t="shared" si="17"/>
        <v>0</v>
      </c>
      <c r="AL87" s="432">
        <f t="shared" si="17"/>
        <v>0</v>
      </c>
      <c r="AM87" s="432">
        <f t="shared" si="17"/>
        <v>0</v>
      </c>
      <c r="AN87" s="432">
        <f t="shared" si="17"/>
        <v>0</v>
      </c>
      <c r="AO87" s="432">
        <f t="shared" si="17"/>
        <v>0</v>
      </c>
      <c r="AP87" s="432">
        <f t="shared" si="17"/>
        <v>0</v>
      </c>
      <c r="BH87" s="8"/>
    </row>
    <row r="88" spans="5:60" s="21" customFormat="1" x14ac:dyDescent="0.25">
      <c r="F88" s="145" t="s">
        <v>184</v>
      </c>
      <c r="G88" s="145" t="s">
        <v>137</v>
      </c>
      <c r="H88" s="167"/>
      <c r="I88" s="167"/>
      <c r="J88" s="420">
        <f t="shared" ref="J88:AP88" si="18">J81 + J86 + J87</f>
        <v>0</v>
      </c>
      <c r="K88" s="420">
        <f t="shared" si="18"/>
        <v>0</v>
      </c>
      <c r="L88" s="420">
        <f t="shared" si="18"/>
        <v>0</v>
      </c>
      <c r="M88" s="420">
        <f t="shared" si="18"/>
        <v>0</v>
      </c>
      <c r="N88" s="420">
        <f t="shared" si="18"/>
        <v>0</v>
      </c>
      <c r="O88" s="420">
        <f t="shared" si="18"/>
        <v>0</v>
      </c>
      <c r="P88" s="420">
        <f t="shared" si="18"/>
        <v>0</v>
      </c>
      <c r="Q88" s="420">
        <f t="shared" si="18"/>
        <v>0</v>
      </c>
      <c r="R88" s="420">
        <f t="shared" si="18"/>
        <v>0</v>
      </c>
      <c r="S88" s="420">
        <f t="shared" si="18"/>
        <v>14751.44123412742</v>
      </c>
      <c r="T88" s="420">
        <f t="shared" si="18"/>
        <v>84778.104421972268</v>
      </c>
      <c r="U88" s="420">
        <f t="shared" si="18"/>
        <v>1866739.9019720491</v>
      </c>
      <c r="V88" s="420">
        <f t="shared" si="18"/>
        <v>134010.09592598444</v>
      </c>
      <c r="W88" s="420">
        <f t="shared" si="18"/>
        <v>1747222.1632098565</v>
      </c>
      <c r="X88" s="420">
        <f t="shared" si="18"/>
        <v>0</v>
      </c>
      <c r="Y88" s="420">
        <f t="shared" si="18"/>
        <v>0</v>
      </c>
      <c r="Z88" s="420">
        <f t="shared" si="18"/>
        <v>0</v>
      </c>
      <c r="AA88" s="420">
        <f t="shared" si="18"/>
        <v>0</v>
      </c>
      <c r="AB88" s="420">
        <f t="shared" si="18"/>
        <v>135233.45936929047</v>
      </c>
      <c r="AC88" s="420">
        <f t="shared" si="18"/>
        <v>0</v>
      </c>
      <c r="AD88" s="420">
        <f t="shared" si="18"/>
        <v>0</v>
      </c>
      <c r="AE88" s="420">
        <f t="shared" si="18"/>
        <v>0</v>
      </c>
      <c r="AF88" s="420">
        <f t="shared" si="18"/>
        <v>0</v>
      </c>
      <c r="AG88" s="420">
        <f t="shared" si="18"/>
        <v>11083.1138824874</v>
      </c>
      <c r="AH88" s="420">
        <f t="shared" si="18"/>
        <v>0</v>
      </c>
      <c r="AI88" s="420">
        <f t="shared" si="18"/>
        <v>0</v>
      </c>
      <c r="AJ88" s="420">
        <f t="shared" si="18"/>
        <v>0</v>
      </c>
      <c r="AK88" s="420">
        <f t="shared" si="18"/>
        <v>0</v>
      </c>
      <c r="AL88" s="420">
        <f t="shared" si="18"/>
        <v>0</v>
      </c>
      <c r="AM88" s="420">
        <f t="shared" si="18"/>
        <v>0</v>
      </c>
      <c r="AN88" s="420">
        <f t="shared" si="18"/>
        <v>0</v>
      </c>
      <c r="AO88" s="420">
        <f t="shared" si="18"/>
        <v>227982.97660961846</v>
      </c>
      <c r="AP88" s="420">
        <f t="shared" si="18"/>
        <v>0</v>
      </c>
      <c r="BH88" s="8"/>
    </row>
    <row r="89" spans="5:60" s="21" customFormat="1" x14ac:dyDescent="0.25">
      <c r="E89" s="36"/>
      <c r="G89" s="15"/>
      <c r="H89" s="15"/>
      <c r="I89" s="15"/>
      <c r="J89" s="435"/>
      <c r="K89" s="435"/>
      <c r="L89" s="435"/>
      <c r="M89" s="435"/>
      <c r="N89" s="435"/>
      <c r="O89" s="435"/>
      <c r="P89" s="416"/>
      <c r="Q89" s="416"/>
      <c r="R89" s="416"/>
      <c r="S89" s="416"/>
      <c r="T89" s="416"/>
      <c r="U89" s="416"/>
      <c r="V89" s="416"/>
      <c r="W89" s="416"/>
      <c r="X89" s="416"/>
      <c r="Y89" s="416"/>
      <c r="Z89" s="416"/>
      <c r="AA89" s="416"/>
      <c r="AB89" s="416"/>
      <c r="AC89" s="416"/>
      <c r="AD89" s="416"/>
      <c r="AE89" s="416"/>
      <c r="AF89" s="416"/>
      <c r="AG89" s="416"/>
      <c r="AH89" s="416"/>
      <c r="AI89" s="416"/>
      <c r="AJ89" s="416"/>
      <c r="AK89" s="416"/>
      <c r="AL89" s="416"/>
      <c r="AM89" s="416"/>
      <c r="AN89" s="416"/>
      <c r="AO89" s="416"/>
      <c r="AP89" s="416"/>
      <c r="BH89" s="8"/>
    </row>
    <row r="90" spans="5:60" s="160" customFormat="1" x14ac:dyDescent="0.25">
      <c r="E90" s="172" t="s">
        <v>159</v>
      </c>
      <c r="G90" s="167"/>
      <c r="H90" s="167"/>
      <c r="I90" s="167" t="s">
        <v>525</v>
      </c>
      <c r="J90" s="435"/>
      <c r="K90" s="435"/>
      <c r="L90" s="435"/>
      <c r="M90" s="435"/>
      <c r="N90" s="435"/>
      <c r="O90" s="435"/>
      <c r="P90" s="416"/>
      <c r="Q90" s="416"/>
      <c r="R90" s="416"/>
      <c r="S90" s="416"/>
      <c r="T90" s="416"/>
      <c r="U90" s="416"/>
      <c r="V90" s="416"/>
      <c r="W90" s="416"/>
      <c r="X90" s="416"/>
      <c r="Y90" s="416"/>
      <c r="Z90" s="416"/>
      <c r="AA90" s="416"/>
      <c r="AB90" s="416"/>
      <c r="AC90" s="416"/>
      <c r="AD90" s="416"/>
      <c r="AE90" s="416"/>
      <c r="AF90" s="416"/>
      <c r="AG90" s="416"/>
      <c r="AH90" s="416"/>
      <c r="AI90" s="416"/>
      <c r="AJ90" s="416"/>
      <c r="AK90" s="416"/>
      <c r="AL90" s="416"/>
      <c r="AM90" s="416"/>
      <c r="AN90" s="416"/>
      <c r="AO90" s="416"/>
      <c r="AP90" s="416"/>
      <c r="BH90" s="163"/>
    </row>
    <row r="91" spans="5:60" s="474" customFormat="1" x14ac:dyDescent="0.25">
      <c r="E91" s="172"/>
      <c r="G91" s="339"/>
      <c r="H91" s="339"/>
      <c r="I91" s="339"/>
      <c r="J91" s="435"/>
      <c r="K91" s="435"/>
      <c r="L91" s="435"/>
      <c r="M91" s="435"/>
      <c r="N91" s="435"/>
      <c r="O91" s="435"/>
      <c r="P91" s="416"/>
      <c r="Q91" s="416"/>
      <c r="R91" s="416"/>
      <c r="S91" s="416"/>
      <c r="T91" s="416"/>
      <c r="U91" s="416"/>
      <c r="V91" s="416"/>
      <c r="W91" s="416"/>
      <c r="X91" s="416"/>
      <c r="Y91" s="416"/>
      <c r="Z91" s="416"/>
      <c r="AA91" s="416"/>
      <c r="AB91" s="416"/>
      <c r="AC91" s="416"/>
      <c r="AD91" s="416"/>
      <c r="AE91" s="416"/>
      <c r="AF91" s="416"/>
      <c r="AG91" s="416"/>
      <c r="AH91" s="416"/>
      <c r="AI91" s="416"/>
      <c r="AJ91" s="416"/>
      <c r="AK91" s="416"/>
      <c r="AL91" s="416"/>
      <c r="AM91" s="416"/>
      <c r="AN91" s="416"/>
      <c r="AO91" s="416"/>
      <c r="AP91" s="416"/>
      <c r="BH91" s="163"/>
    </row>
    <row r="92" spans="5:60" s="160" customFormat="1" x14ac:dyDescent="0.25">
      <c r="F92" s="145" t="s">
        <v>184</v>
      </c>
      <c r="G92" s="145" t="s">
        <v>137</v>
      </c>
      <c r="H92" s="167"/>
      <c r="I92" s="167"/>
      <c r="J92" s="428">
        <f t="shared" ref="J92:AP92" si="19">J88 + J77 + J66</f>
        <v>9619584.3780239914</v>
      </c>
      <c r="K92" s="428">
        <f t="shared" si="19"/>
        <v>1571142.7029421923</v>
      </c>
      <c r="L92" s="428">
        <f t="shared" si="19"/>
        <v>199297.91284437623</v>
      </c>
      <c r="M92" s="428">
        <f t="shared" si="19"/>
        <v>2706270.8612037809</v>
      </c>
      <c r="N92" s="428">
        <f t="shared" si="19"/>
        <v>724473.22116238193</v>
      </c>
      <c r="O92" s="428">
        <f t="shared" si="19"/>
        <v>42294.937322173275</v>
      </c>
      <c r="P92" s="428">
        <f t="shared" si="19"/>
        <v>111111.87876924349</v>
      </c>
      <c r="Q92" s="428">
        <f t="shared" si="19"/>
        <v>0</v>
      </c>
      <c r="R92" s="428">
        <f t="shared" si="19"/>
        <v>286.36392772344522</v>
      </c>
      <c r="S92" s="428">
        <f t="shared" si="19"/>
        <v>47608.87213758428</v>
      </c>
      <c r="T92" s="428">
        <f t="shared" si="19"/>
        <v>293550.2004512549</v>
      </c>
      <c r="U92" s="428">
        <f t="shared" si="19"/>
        <v>6033518.7970280638</v>
      </c>
      <c r="V92" s="428">
        <f t="shared" si="19"/>
        <v>393828.54199478409</v>
      </c>
      <c r="W92" s="428">
        <f t="shared" si="19"/>
        <v>4742970.7795248423</v>
      </c>
      <c r="X92" s="420">
        <f t="shared" si="19"/>
        <v>24532.632560505219</v>
      </c>
      <c r="Y92" s="420">
        <f t="shared" si="19"/>
        <v>15654.703404062586</v>
      </c>
      <c r="Z92" s="420">
        <f t="shared" si="19"/>
        <v>778.6739855590813</v>
      </c>
      <c r="AA92" s="420">
        <f t="shared" si="19"/>
        <v>149.6510564463434</v>
      </c>
      <c r="AB92" s="420">
        <f t="shared" si="19"/>
        <v>215757.18109007724</v>
      </c>
      <c r="AC92" s="428">
        <f t="shared" si="19"/>
        <v>4480.1442453728014</v>
      </c>
      <c r="AD92" s="428">
        <f t="shared" si="19"/>
        <v>263.02538443584314</v>
      </c>
      <c r="AE92" s="428">
        <f t="shared" si="19"/>
        <v>35972.106690575252</v>
      </c>
      <c r="AF92" s="428">
        <f t="shared" si="19"/>
        <v>0</v>
      </c>
      <c r="AG92" s="428">
        <f t="shared" si="19"/>
        <v>28870.705229336618</v>
      </c>
      <c r="AH92" s="428">
        <f t="shared" si="19"/>
        <v>0</v>
      </c>
      <c r="AI92" s="428">
        <f t="shared" si="19"/>
        <v>0</v>
      </c>
      <c r="AJ92" s="428">
        <f t="shared" si="19"/>
        <v>0</v>
      </c>
      <c r="AK92" s="428">
        <f t="shared" si="19"/>
        <v>0</v>
      </c>
      <c r="AL92" s="428">
        <f t="shared" si="19"/>
        <v>0</v>
      </c>
      <c r="AM92" s="428">
        <f t="shared" si="19"/>
        <v>468706.30956186936</v>
      </c>
      <c r="AN92" s="428">
        <f t="shared" si="19"/>
        <v>0</v>
      </c>
      <c r="AO92" s="428">
        <f t="shared" si="19"/>
        <v>593985.31531114958</v>
      </c>
      <c r="AP92" s="428">
        <f t="shared" si="19"/>
        <v>0</v>
      </c>
      <c r="BH92" s="163"/>
    </row>
    <row r="93" spans="5:60" s="160" customFormat="1" x14ac:dyDescent="0.25">
      <c r="E93" s="172"/>
      <c r="G93" s="167"/>
      <c r="H93" s="167"/>
      <c r="I93" s="167"/>
      <c r="J93" s="435"/>
      <c r="K93" s="435"/>
      <c r="L93" s="435"/>
      <c r="M93" s="435"/>
      <c r="N93" s="435"/>
      <c r="O93" s="435"/>
      <c r="P93" s="416"/>
      <c r="Q93" s="416"/>
      <c r="R93" s="416"/>
      <c r="S93" s="416"/>
      <c r="T93" s="416"/>
      <c r="U93" s="416"/>
      <c r="V93" s="416"/>
      <c r="W93" s="416"/>
      <c r="X93" s="416"/>
      <c r="Y93" s="416"/>
      <c r="Z93" s="416"/>
      <c r="AA93" s="416"/>
      <c r="AB93" s="416"/>
      <c r="AC93" s="416"/>
      <c r="AD93" s="416"/>
      <c r="AE93" s="416"/>
      <c r="AF93" s="416"/>
      <c r="AG93" s="416"/>
      <c r="AH93" s="416"/>
      <c r="AI93" s="416"/>
      <c r="AJ93" s="416"/>
      <c r="AK93" s="416"/>
      <c r="AL93" s="416"/>
      <c r="AM93" s="416"/>
      <c r="AN93" s="416"/>
      <c r="AO93" s="416"/>
      <c r="AP93" s="416"/>
      <c r="BH93" s="163"/>
    </row>
    <row r="94" spans="5:60" s="21" customFormat="1" x14ac:dyDescent="0.25">
      <c r="E94" s="172" t="s">
        <v>91</v>
      </c>
      <c r="G94" s="15"/>
      <c r="H94" s="15"/>
      <c r="I94" s="15" t="s">
        <v>525</v>
      </c>
      <c r="J94" s="435"/>
      <c r="K94" s="435"/>
      <c r="L94" s="435"/>
      <c r="M94" s="435"/>
      <c r="N94" s="435"/>
      <c r="O94" s="435"/>
      <c r="P94" s="416"/>
      <c r="Q94" s="416"/>
      <c r="R94" s="416"/>
      <c r="S94" s="416"/>
      <c r="T94" s="416"/>
      <c r="U94" s="416"/>
      <c r="V94" s="416"/>
      <c r="W94" s="416"/>
      <c r="X94" s="416"/>
      <c r="Y94" s="416"/>
      <c r="Z94" s="416"/>
      <c r="AA94" s="416"/>
      <c r="AB94" s="416"/>
      <c r="AC94" s="416"/>
      <c r="AD94" s="416"/>
      <c r="AE94" s="416"/>
      <c r="AF94" s="416"/>
      <c r="AG94" s="416"/>
      <c r="AH94" s="416"/>
      <c r="AI94" s="416"/>
      <c r="AJ94" s="416"/>
      <c r="AK94" s="416"/>
      <c r="AL94" s="416"/>
      <c r="AM94" s="416"/>
      <c r="AN94" s="416"/>
      <c r="AO94" s="416"/>
      <c r="AP94" s="416"/>
      <c r="AR94" s="160" t="s">
        <v>941</v>
      </c>
      <c r="BH94" s="8"/>
    </row>
    <row r="95" spans="5:60" s="474" customFormat="1" x14ac:dyDescent="0.25">
      <c r="E95" s="172"/>
      <c r="G95" s="339"/>
      <c r="H95" s="339"/>
      <c r="I95" s="339"/>
      <c r="J95" s="435"/>
      <c r="K95" s="435"/>
      <c r="L95" s="435"/>
      <c r="M95" s="435"/>
      <c r="N95" s="435"/>
      <c r="O95" s="435"/>
      <c r="P95" s="416"/>
      <c r="Q95" s="416"/>
      <c r="R95" s="416"/>
      <c r="S95" s="416"/>
      <c r="T95" s="416"/>
      <c r="U95" s="416"/>
      <c r="V95" s="416"/>
      <c r="W95" s="416"/>
      <c r="X95" s="416"/>
      <c r="Y95" s="416"/>
      <c r="Z95" s="416"/>
      <c r="AA95" s="416"/>
      <c r="AB95" s="416"/>
      <c r="AC95" s="416"/>
      <c r="AD95" s="416"/>
      <c r="AE95" s="416"/>
      <c r="AF95" s="416"/>
      <c r="AG95" s="416"/>
      <c r="AH95" s="416"/>
      <c r="AI95" s="416"/>
      <c r="AJ95" s="416"/>
      <c r="AK95" s="416"/>
      <c r="AL95" s="416"/>
      <c r="AM95" s="416"/>
      <c r="AN95" s="416"/>
      <c r="AO95" s="416"/>
      <c r="AP95" s="416"/>
      <c r="BH95" s="163"/>
    </row>
    <row r="96" spans="5:60" s="21" customFormat="1" x14ac:dyDescent="0.25">
      <c r="F96" s="145" t="s">
        <v>162</v>
      </c>
      <c r="G96" s="145" t="s">
        <v>91</v>
      </c>
      <c r="H96" s="167"/>
      <c r="I96" s="167"/>
      <c r="J96" s="437">
        <f>'Inputs by customer type'!J27</f>
        <v>2614336.2413237519</v>
      </c>
      <c r="K96" s="437">
        <f>'Inputs by customer type'!K27</f>
        <v>249507.66931899733</v>
      </c>
      <c r="L96" s="437">
        <f>'Inputs by customer type'!L27</f>
        <v>44801.254681196289</v>
      </c>
      <c r="M96" s="437">
        <f>'Inputs by customer type'!M27</f>
        <v>194209.09842697342</v>
      </c>
      <c r="N96" s="437">
        <f>'Inputs by customer type'!N27</f>
        <v>30953.589782380437</v>
      </c>
      <c r="O96" s="437">
        <f>'Inputs by customer type'!O27</f>
        <v>5572.2471252403921</v>
      </c>
      <c r="P96" s="437">
        <f>'Inputs by customer type'!P27</f>
        <v>1417.7198422895481</v>
      </c>
      <c r="Q96" s="437">
        <f>'Inputs by customer type'!Q27</f>
        <v>0</v>
      </c>
      <c r="R96" s="437">
        <f>'Inputs by customer type'!R27</f>
        <v>4</v>
      </c>
      <c r="S96" s="437">
        <f>'Inputs by customer type'!S27</f>
        <v>9733.7777777777792</v>
      </c>
      <c r="T96" s="437">
        <f>'Inputs by customer type'!T27</f>
        <v>3801.3479683887344</v>
      </c>
      <c r="U96" s="437">
        <f>'Inputs by customer type'!U27</f>
        <v>21731.709871195584</v>
      </c>
      <c r="V96" s="437">
        <f>'Inputs by customer type'!V27</f>
        <v>256.88272060595517</v>
      </c>
      <c r="W96" s="437">
        <f>'Inputs by customer type'!W27</f>
        <v>1862</v>
      </c>
      <c r="X96" s="437">
        <f>'Inputs by customer type'!X27</f>
        <v>2107.666666666667</v>
      </c>
      <c r="Y96" s="437">
        <f>'Inputs by customer type'!Y27</f>
        <v>1294.6666666666665</v>
      </c>
      <c r="Z96" s="437">
        <f>'Inputs by customer type'!Z27</f>
        <v>136</v>
      </c>
      <c r="AA96" s="437">
        <f>'Inputs by customer type'!AA27</f>
        <v>9</v>
      </c>
      <c r="AB96" s="437">
        <f>'Inputs by customer type'!AB27</f>
        <v>41</v>
      </c>
      <c r="AC96" s="437">
        <f>'Inputs by customer type'!AC27</f>
        <v>1105.7222222222224</v>
      </c>
      <c r="AD96" s="437">
        <f>'Inputs by customer type'!AD27</f>
        <v>45</v>
      </c>
      <c r="AE96" s="437">
        <f>'Inputs by customer type'!AE27</f>
        <v>808.8746645937498</v>
      </c>
      <c r="AF96" s="437">
        <f>'Inputs by customer type'!AF27</f>
        <v>0</v>
      </c>
      <c r="AG96" s="437">
        <f>'Inputs by customer type'!AG27</f>
        <v>45</v>
      </c>
      <c r="AH96" s="437">
        <f>'Inputs by customer type'!AH27</f>
        <v>0</v>
      </c>
      <c r="AI96" s="437">
        <f>'Inputs by customer type'!AI27</f>
        <v>1</v>
      </c>
      <c r="AJ96" s="437">
        <f>'Inputs by customer type'!AJ27</f>
        <v>0</v>
      </c>
      <c r="AK96" s="437">
        <f>'Inputs by customer type'!AK27</f>
        <v>0</v>
      </c>
      <c r="AL96" s="437">
        <f>'Inputs by customer type'!AL27</f>
        <v>0</v>
      </c>
      <c r="AM96" s="437">
        <f>'Inputs by customer type'!AM27</f>
        <v>165</v>
      </c>
      <c r="AN96" s="437">
        <f>'Inputs by customer type'!AN27</f>
        <v>0</v>
      </c>
      <c r="AO96" s="437">
        <f>'Inputs by customer type'!AO27</f>
        <v>115</v>
      </c>
      <c r="AP96" s="437">
        <f>'Inputs by customer type'!AP27</f>
        <v>0</v>
      </c>
      <c r="BH96" s="8"/>
    </row>
    <row r="97" spans="5:60" s="21" customFormat="1" x14ac:dyDescent="0.25">
      <c r="F97" s="145" t="s">
        <v>163</v>
      </c>
      <c r="G97" s="145" t="s">
        <v>91</v>
      </c>
      <c r="H97" s="167"/>
      <c r="I97" s="167"/>
      <c r="J97" s="437">
        <f>'Inputs by customer type'!J36</f>
        <v>18223.85019065559</v>
      </c>
      <c r="K97" s="437">
        <f>'Inputs by customer type'!K36</f>
        <v>1459.6137124210763</v>
      </c>
      <c r="L97" s="437">
        <f>'Inputs by customer type'!L36</f>
        <v>0</v>
      </c>
      <c r="M97" s="437">
        <f>'Inputs by customer type'!M36</f>
        <v>1161.2699590843611</v>
      </c>
      <c r="N97" s="437">
        <f>'Inputs by customer type'!N36</f>
        <v>7</v>
      </c>
      <c r="O97" s="437">
        <f>'Inputs by customer type'!O36</f>
        <v>0</v>
      </c>
      <c r="P97" s="437">
        <f>'Inputs by customer type'!P36</f>
        <v>7</v>
      </c>
      <c r="Q97" s="437">
        <f>'Inputs by customer type'!Q36</f>
        <v>0</v>
      </c>
      <c r="R97" s="437">
        <f>'Inputs by customer type'!R36</f>
        <v>0</v>
      </c>
      <c r="S97" s="437">
        <f>'Inputs by customer type'!S36</f>
        <v>1</v>
      </c>
      <c r="T97" s="437">
        <f>'Inputs by customer type'!T36</f>
        <v>5</v>
      </c>
      <c r="U97" s="437">
        <f>'Inputs by customer type'!U36</f>
        <v>127.65171416270677</v>
      </c>
      <c r="V97" s="437">
        <f>'Inputs by customer type'!V36</f>
        <v>0</v>
      </c>
      <c r="W97" s="437">
        <f>'Inputs by customer type'!W36</f>
        <v>0</v>
      </c>
      <c r="X97" s="437">
        <f>'Inputs by customer type'!X36</f>
        <v>38</v>
      </c>
      <c r="Y97" s="437">
        <f>'Inputs by customer type'!Y36</f>
        <v>46</v>
      </c>
      <c r="Z97" s="437">
        <f>'Inputs by customer type'!Z36</f>
        <v>2</v>
      </c>
      <c r="AA97" s="437">
        <f>'Inputs by customer type'!AA36</f>
        <v>0</v>
      </c>
      <c r="AB97" s="437">
        <f>'Inputs by customer type'!AB36</f>
        <v>1.2962962962962961</v>
      </c>
      <c r="AC97" s="437">
        <f>'Inputs by customer type'!AC36</f>
        <v>50</v>
      </c>
      <c r="AD97" s="437">
        <f>'Inputs by customer type'!AD36</f>
        <v>0</v>
      </c>
      <c r="AE97" s="437">
        <f>'Inputs by customer type'!AE36</f>
        <v>0</v>
      </c>
      <c r="AF97" s="437">
        <f>'Inputs by customer type'!AF36</f>
        <v>0</v>
      </c>
      <c r="AG97" s="437">
        <f>'Inputs by customer type'!AG36</f>
        <v>0</v>
      </c>
      <c r="AH97" s="437">
        <f>'Inputs by customer type'!AH36</f>
        <v>0</v>
      </c>
      <c r="AI97" s="437">
        <f>'Inputs by customer type'!AI36</f>
        <v>0</v>
      </c>
      <c r="AJ97" s="437">
        <f>'Inputs by customer type'!AJ36</f>
        <v>0</v>
      </c>
      <c r="AK97" s="437">
        <f>'Inputs by customer type'!AK36</f>
        <v>0</v>
      </c>
      <c r="AL97" s="437">
        <f>'Inputs by customer type'!AL36</f>
        <v>0</v>
      </c>
      <c r="AM97" s="437">
        <f>'Inputs by customer type'!AM36</f>
        <v>0</v>
      </c>
      <c r="AN97" s="437">
        <f>'Inputs by customer type'!AN36</f>
        <v>0</v>
      </c>
      <c r="AO97" s="437">
        <f>'Inputs by customer type'!AO36</f>
        <v>0</v>
      </c>
      <c r="AP97" s="437">
        <f>'Inputs by customer type'!AP36</f>
        <v>0</v>
      </c>
      <c r="BH97" s="8"/>
    </row>
    <row r="98" spans="5:60" s="21" customFormat="1" x14ac:dyDescent="0.25">
      <c r="F98" s="145" t="s">
        <v>164</v>
      </c>
      <c r="G98" s="145" t="s">
        <v>91</v>
      </c>
      <c r="H98" s="167"/>
      <c r="I98" s="167"/>
      <c r="J98" s="437">
        <f>'Inputs by customer type'!J45</f>
        <v>49309.356739824492</v>
      </c>
      <c r="K98" s="437">
        <f>'Inputs by customer type'!K45</f>
        <v>3797.6520885792729</v>
      </c>
      <c r="L98" s="437">
        <f>'Inputs by customer type'!L45</f>
        <v>536.27962963224388</v>
      </c>
      <c r="M98" s="437">
        <f>'Inputs by customer type'!M45</f>
        <v>2173.8834441108206</v>
      </c>
      <c r="N98" s="437">
        <f>'Inputs by customer type'!N45</f>
        <v>74.916666636388058</v>
      </c>
      <c r="O98" s="437">
        <f>'Inputs by customer type'!O45</f>
        <v>0</v>
      </c>
      <c r="P98" s="437">
        <f>'Inputs by customer type'!P45</f>
        <v>19.806451612903228</v>
      </c>
      <c r="Q98" s="437">
        <f>'Inputs by customer type'!Q45</f>
        <v>0</v>
      </c>
      <c r="R98" s="437">
        <f>'Inputs by customer type'!R45</f>
        <v>0</v>
      </c>
      <c r="S98" s="437">
        <f>'Inputs by customer type'!S45</f>
        <v>1</v>
      </c>
      <c r="T98" s="437">
        <f>'Inputs by customer type'!T45</f>
        <v>12</v>
      </c>
      <c r="U98" s="437">
        <f>'Inputs by customer type'!U45</f>
        <v>323</v>
      </c>
      <c r="V98" s="437">
        <f>'Inputs by customer type'!V45</f>
        <v>123.02347193221176</v>
      </c>
      <c r="W98" s="437">
        <f>'Inputs by customer type'!W45</f>
        <v>2</v>
      </c>
      <c r="X98" s="437">
        <f>'Inputs by customer type'!X45</f>
        <v>179.26290356628354</v>
      </c>
      <c r="Y98" s="437">
        <f>'Inputs by customer type'!Y45</f>
        <v>249.50734817815297</v>
      </c>
      <c r="Z98" s="437">
        <f>'Inputs by customer type'!Z45</f>
        <v>2</v>
      </c>
      <c r="AA98" s="437">
        <f>'Inputs by customer type'!AA45</f>
        <v>2</v>
      </c>
      <c r="AB98" s="437">
        <f>'Inputs by customer type'!AB45</f>
        <v>0</v>
      </c>
      <c r="AC98" s="437">
        <f>'Inputs by customer type'!AC45</f>
        <v>0</v>
      </c>
      <c r="AD98" s="437">
        <f>'Inputs by customer type'!AD45</f>
        <v>0</v>
      </c>
      <c r="AE98" s="437">
        <f>'Inputs by customer type'!AE45</f>
        <v>2</v>
      </c>
      <c r="AF98" s="437">
        <f>'Inputs by customer type'!AF45</f>
        <v>0</v>
      </c>
      <c r="AG98" s="437">
        <f>'Inputs by customer type'!AG45</f>
        <v>26.305665645125487</v>
      </c>
      <c r="AH98" s="437">
        <f>'Inputs by customer type'!AH45</f>
        <v>0</v>
      </c>
      <c r="AI98" s="437">
        <f>'Inputs by customer type'!AI45</f>
        <v>0</v>
      </c>
      <c r="AJ98" s="437">
        <f>'Inputs by customer type'!AJ45</f>
        <v>0</v>
      </c>
      <c r="AK98" s="437">
        <f>'Inputs by customer type'!AK45</f>
        <v>0</v>
      </c>
      <c r="AL98" s="437">
        <f>'Inputs by customer type'!AL45</f>
        <v>0</v>
      </c>
      <c r="AM98" s="437">
        <f>'Inputs by customer type'!AM45</f>
        <v>0</v>
      </c>
      <c r="AN98" s="437">
        <f>'Inputs by customer type'!AN45</f>
        <v>0</v>
      </c>
      <c r="AO98" s="437">
        <f>'Inputs by customer type'!AO45</f>
        <v>0</v>
      </c>
      <c r="AP98" s="437">
        <f>'Inputs by customer type'!AP45</f>
        <v>0</v>
      </c>
      <c r="BH98" s="8"/>
    </row>
    <row r="99" spans="5:60" s="21" customFormat="1" x14ac:dyDescent="0.25">
      <c r="F99" s="145" t="s">
        <v>196</v>
      </c>
      <c r="G99" s="145" t="s">
        <v>111</v>
      </c>
      <c r="H99" s="167"/>
      <c r="I99" s="167"/>
      <c r="J99" s="41">
        <f t="shared" ref="J99:AP99" si="20">IF(J$40, J$46, J$34)</f>
        <v>0.34755258472512618</v>
      </c>
      <c r="K99" s="41">
        <f t="shared" si="20"/>
        <v>0.34755258472512618</v>
      </c>
      <c r="L99" s="41">
        <f t="shared" si="20"/>
        <v>0.34755258472512618</v>
      </c>
      <c r="M99" s="41">
        <f t="shared" si="20"/>
        <v>0.34755258472512618</v>
      </c>
      <c r="N99" s="41">
        <f t="shared" si="20"/>
        <v>0.34755258472512618</v>
      </c>
      <c r="O99" s="41">
        <f t="shared" si="20"/>
        <v>0.34755258472512618</v>
      </c>
      <c r="P99" s="41">
        <f t="shared" si="20"/>
        <v>0.34755258472512618</v>
      </c>
      <c r="Q99" s="41">
        <f t="shared" si="20"/>
        <v>0</v>
      </c>
      <c r="R99" s="41">
        <f t="shared" si="20"/>
        <v>0</v>
      </c>
      <c r="S99" s="41">
        <f t="shared" si="20"/>
        <v>0.34755258472512618</v>
      </c>
      <c r="T99" s="41">
        <f t="shared" si="20"/>
        <v>0.34755258472512618</v>
      </c>
      <c r="U99" s="41">
        <f t="shared" si="20"/>
        <v>0.34755258472512618</v>
      </c>
      <c r="V99" s="41">
        <f t="shared" si="20"/>
        <v>0</v>
      </c>
      <c r="W99" s="41">
        <f t="shared" si="20"/>
        <v>0</v>
      </c>
      <c r="X99" s="41">
        <f t="shared" si="20"/>
        <v>0.34755258472512618</v>
      </c>
      <c r="Y99" s="41">
        <f t="shared" si="20"/>
        <v>0.34755258472512618</v>
      </c>
      <c r="Z99" s="41">
        <f t="shared" si="20"/>
        <v>0.34755258472512618</v>
      </c>
      <c r="AA99" s="41">
        <f t="shared" si="20"/>
        <v>0.34755258472512618</v>
      </c>
      <c r="AB99" s="41">
        <f t="shared" si="20"/>
        <v>0.34755258472512618</v>
      </c>
      <c r="AC99" s="41">
        <f t="shared" si="20"/>
        <v>1</v>
      </c>
      <c r="AD99" s="41">
        <f t="shared" si="20"/>
        <v>1</v>
      </c>
      <c r="AE99" s="41">
        <f t="shared" si="20"/>
        <v>1</v>
      </c>
      <c r="AF99" s="41">
        <f t="shared" si="20"/>
        <v>1</v>
      </c>
      <c r="AG99" s="41">
        <f t="shared" si="20"/>
        <v>1</v>
      </c>
      <c r="AH99" s="41">
        <f t="shared" si="20"/>
        <v>1</v>
      </c>
      <c r="AI99" s="41">
        <f t="shared" si="20"/>
        <v>1</v>
      </c>
      <c r="AJ99" s="41">
        <f t="shared" si="20"/>
        <v>1</v>
      </c>
      <c r="AK99" s="41">
        <f t="shared" si="20"/>
        <v>1</v>
      </c>
      <c r="AL99" s="41">
        <f t="shared" si="20"/>
        <v>1</v>
      </c>
      <c r="AM99" s="41">
        <f t="shared" si="20"/>
        <v>1</v>
      </c>
      <c r="AN99" s="41">
        <f t="shared" si="20"/>
        <v>1</v>
      </c>
      <c r="AO99" s="41">
        <f t="shared" si="20"/>
        <v>1</v>
      </c>
      <c r="AP99" s="41">
        <f t="shared" si="20"/>
        <v>1</v>
      </c>
      <c r="BH99" s="8"/>
    </row>
    <row r="100" spans="5:60" s="21" customFormat="1" x14ac:dyDescent="0.25">
      <c r="F100" s="145" t="s">
        <v>197</v>
      </c>
      <c r="G100" s="145" t="s">
        <v>111</v>
      </c>
      <c r="H100" s="167"/>
      <c r="I100" s="167"/>
      <c r="J100" s="41">
        <f t="shared" ref="J100:AP100" si="21">IF(J$40, J$46, J$35)</f>
        <v>0.56592745965042113</v>
      </c>
      <c r="K100" s="41">
        <f t="shared" si="21"/>
        <v>0.56592745965042113</v>
      </c>
      <c r="L100" s="41">
        <f t="shared" si="21"/>
        <v>0.56592745965042113</v>
      </c>
      <c r="M100" s="41">
        <f t="shared" si="21"/>
        <v>0.56592745965042113</v>
      </c>
      <c r="N100" s="41">
        <f t="shared" si="21"/>
        <v>0.56592745965042113</v>
      </c>
      <c r="O100" s="41">
        <f t="shared" si="21"/>
        <v>0.56592745965042113</v>
      </c>
      <c r="P100" s="41">
        <f t="shared" si="21"/>
        <v>0.56592745965042113</v>
      </c>
      <c r="Q100" s="41">
        <f t="shared" si="21"/>
        <v>0</v>
      </c>
      <c r="R100" s="41">
        <f t="shared" si="21"/>
        <v>0</v>
      </c>
      <c r="S100" s="41">
        <f t="shared" si="21"/>
        <v>0.56592745965042113</v>
      </c>
      <c r="T100" s="41">
        <f t="shared" si="21"/>
        <v>0.56592745965042113</v>
      </c>
      <c r="U100" s="41">
        <f t="shared" si="21"/>
        <v>0.56592745965042113</v>
      </c>
      <c r="V100" s="41">
        <f t="shared" si="21"/>
        <v>0.30780783362179165</v>
      </c>
      <c r="W100" s="41">
        <f t="shared" si="21"/>
        <v>0.20760110839034102</v>
      </c>
      <c r="X100" s="41">
        <f t="shared" si="21"/>
        <v>0.56592745965042113</v>
      </c>
      <c r="Y100" s="41">
        <f t="shared" si="21"/>
        <v>0.56592745965042113</v>
      </c>
      <c r="Z100" s="41">
        <f t="shared" si="21"/>
        <v>0.56592745965042113</v>
      </c>
      <c r="AA100" s="41">
        <f t="shared" si="21"/>
        <v>0.56592745965042113</v>
      </c>
      <c r="AB100" s="41">
        <f t="shared" si="21"/>
        <v>0.56592745965042113</v>
      </c>
      <c r="AC100" s="41">
        <f t="shared" si="21"/>
        <v>1</v>
      </c>
      <c r="AD100" s="41">
        <f t="shared" si="21"/>
        <v>1</v>
      </c>
      <c r="AE100" s="41">
        <f t="shared" si="21"/>
        <v>1</v>
      </c>
      <c r="AF100" s="41">
        <f t="shared" si="21"/>
        <v>1</v>
      </c>
      <c r="AG100" s="41">
        <f t="shared" si="21"/>
        <v>1</v>
      </c>
      <c r="AH100" s="41">
        <f t="shared" si="21"/>
        <v>1</v>
      </c>
      <c r="AI100" s="41">
        <f t="shared" si="21"/>
        <v>1</v>
      </c>
      <c r="AJ100" s="41">
        <f t="shared" si="21"/>
        <v>1</v>
      </c>
      <c r="AK100" s="41">
        <f t="shared" si="21"/>
        <v>1</v>
      </c>
      <c r="AL100" s="41">
        <f t="shared" si="21"/>
        <v>1</v>
      </c>
      <c r="AM100" s="41">
        <f t="shared" si="21"/>
        <v>1</v>
      </c>
      <c r="AN100" s="41">
        <f t="shared" si="21"/>
        <v>1</v>
      </c>
      <c r="AO100" s="41">
        <f t="shared" si="21"/>
        <v>1</v>
      </c>
      <c r="AP100" s="41">
        <f t="shared" si="21"/>
        <v>1</v>
      </c>
      <c r="BH100" s="8"/>
    </row>
    <row r="101" spans="5:60" s="21" customFormat="1" x14ac:dyDescent="0.25">
      <c r="F101" s="145" t="s">
        <v>183</v>
      </c>
      <c r="G101" s="145" t="s">
        <v>91</v>
      </c>
      <c r="H101" s="167"/>
      <c r="I101" s="167"/>
      <c r="J101" s="428">
        <f t="shared" ref="J101:AP101" si="22">J97 * (1 - J99)</f>
        <v>11890.103953249756</v>
      </c>
      <c r="K101" s="428">
        <f t="shared" si="22"/>
        <v>952.32119396889425</v>
      </c>
      <c r="L101" s="428">
        <f t="shared" si="22"/>
        <v>0</v>
      </c>
      <c r="M101" s="428">
        <f t="shared" si="22"/>
        <v>757.66758324094985</v>
      </c>
      <c r="N101" s="428">
        <f t="shared" si="22"/>
        <v>4.567131906924117</v>
      </c>
      <c r="O101" s="428">
        <f t="shared" si="22"/>
        <v>0</v>
      </c>
      <c r="P101" s="428">
        <f t="shared" si="22"/>
        <v>4.567131906924117</v>
      </c>
      <c r="Q101" s="428">
        <f t="shared" si="22"/>
        <v>0</v>
      </c>
      <c r="R101" s="428">
        <f t="shared" si="22"/>
        <v>0</v>
      </c>
      <c r="S101" s="428">
        <f t="shared" si="22"/>
        <v>0.65244741527487382</v>
      </c>
      <c r="T101" s="428">
        <f t="shared" si="22"/>
        <v>3.2622370763743689</v>
      </c>
      <c r="U101" s="428">
        <f t="shared" si="22"/>
        <v>83.286030960865034</v>
      </c>
      <c r="V101" s="428">
        <f t="shared" si="22"/>
        <v>0</v>
      </c>
      <c r="W101" s="428">
        <f t="shared" si="22"/>
        <v>0</v>
      </c>
      <c r="X101" s="428">
        <f t="shared" si="22"/>
        <v>24.793001780445206</v>
      </c>
      <c r="Y101" s="428">
        <f t="shared" si="22"/>
        <v>30.012581102644194</v>
      </c>
      <c r="Z101" s="428">
        <f t="shared" si="22"/>
        <v>1.3048948305497476</v>
      </c>
      <c r="AA101" s="428">
        <f t="shared" si="22"/>
        <v>0</v>
      </c>
      <c r="AB101" s="428">
        <f t="shared" si="22"/>
        <v>0.84576516794891032</v>
      </c>
      <c r="AC101" s="428">
        <f t="shared" si="22"/>
        <v>0</v>
      </c>
      <c r="AD101" s="428">
        <f t="shared" si="22"/>
        <v>0</v>
      </c>
      <c r="AE101" s="428">
        <f t="shared" si="22"/>
        <v>0</v>
      </c>
      <c r="AF101" s="428">
        <f t="shared" si="22"/>
        <v>0</v>
      </c>
      <c r="AG101" s="428">
        <f t="shared" si="22"/>
        <v>0</v>
      </c>
      <c r="AH101" s="428">
        <f t="shared" si="22"/>
        <v>0</v>
      </c>
      <c r="AI101" s="428">
        <f t="shared" si="22"/>
        <v>0</v>
      </c>
      <c r="AJ101" s="428">
        <f t="shared" si="22"/>
        <v>0</v>
      </c>
      <c r="AK101" s="428">
        <f t="shared" si="22"/>
        <v>0</v>
      </c>
      <c r="AL101" s="428">
        <f t="shared" si="22"/>
        <v>0</v>
      </c>
      <c r="AM101" s="428">
        <f t="shared" si="22"/>
        <v>0</v>
      </c>
      <c r="AN101" s="428">
        <f t="shared" si="22"/>
        <v>0</v>
      </c>
      <c r="AO101" s="428">
        <f t="shared" si="22"/>
        <v>0</v>
      </c>
      <c r="AP101" s="428">
        <f t="shared" si="22"/>
        <v>0</v>
      </c>
      <c r="BH101" s="8"/>
    </row>
    <row r="102" spans="5:60" s="21" customFormat="1" x14ac:dyDescent="0.25">
      <c r="F102" s="38" t="s">
        <v>195</v>
      </c>
      <c r="G102" s="38" t="s">
        <v>91</v>
      </c>
      <c r="H102" s="168"/>
      <c r="I102" s="168"/>
      <c r="J102" s="432">
        <f t="shared" ref="J102:AP102" si="23">J98 * (1 - J100)</f>
        <v>21403.837743059245</v>
      </c>
      <c r="K102" s="432">
        <f t="shared" si="23"/>
        <v>1648.456489453489</v>
      </c>
      <c r="L102" s="432">
        <f t="shared" si="23"/>
        <v>232.78426117219939</v>
      </c>
      <c r="M102" s="432">
        <f t="shared" si="23"/>
        <v>943.62310900907562</v>
      </c>
      <c r="N102" s="432">
        <f t="shared" si="23"/>
        <v>32.519267801379506</v>
      </c>
      <c r="O102" s="432">
        <f t="shared" si="23"/>
        <v>0</v>
      </c>
      <c r="P102" s="432">
        <f t="shared" si="23"/>
        <v>8.5974367669239182</v>
      </c>
      <c r="Q102" s="432">
        <f t="shared" si="23"/>
        <v>0</v>
      </c>
      <c r="R102" s="432">
        <f t="shared" si="23"/>
        <v>0</v>
      </c>
      <c r="S102" s="432">
        <f t="shared" si="23"/>
        <v>0.43407254034957887</v>
      </c>
      <c r="T102" s="432">
        <f t="shared" si="23"/>
        <v>5.2088704841949465</v>
      </c>
      <c r="U102" s="432">
        <f t="shared" si="23"/>
        <v>140.20543053291397</v>
      </c>
      <c r="V102" s="432">
        <f t="shared" si="23"/>
        <v>85.155883552126369</v>
      </c>
      <c r="W102" s="432">
        <f t="shared" si="23"/>
        <v>1.5847977832193179</v>
      </c>
      <c r="X102" s="432">
        <f t="shared" si="23"/>
        <v>77.81310394145828</v>
      </c>
      <c r="Y102" s="432">
        <f t="shared" si="23"/>
        <v>108.30428845957773</v>
      </c>
      <c r="Z102" s="432">
        <f t="shared" si="23"/>
        <v>0.86814508069915775</v>
      </c>
      <c r="AA102" s="432">
        <f t="shared" si="23"/>
        <v>0.86814508069915775</v>
      </c>
      <c r="AB102" s="432">
        <f t="shared" si="23"/>
        <v>0</v>
      </c>
      <c r="AC102" s="432">
        <f t="shared" si="23"/>
        <v>0</v>
      </c>
      <c r="AD102" s="432">
        <f t="shared" si="23"/>
        <v>0</v>
      </c>
      <c r="AE102" s="432">
        <f t="shared" si="23"/>
        <v>0</v>
      </c>
      <c r="AF102" s="432">
        <f t="shared" si="23"/>
        <v>0</v>
      </c>
      <c r="AG102" s="432">
        <f t="shared" si="23"/>
        <v>0</v>
      </c>
      <c r="AH102" s="432">
        <f t="shared" si="23"/>
        <v>0</v>
      </c>
      <c r="AI102" s="432">
        <f t="shared" si="23"/>
        <v>0</v>
      </c>
      <c r="AJ102" s="432">
        <f t="shared" si="23"/>
        <v>0</v>
      </c>
      <c r="AK102" s="432">
        <f t="shared" si="23"/>
        <v>0</v>
      </c>
      <c r="AL102" s="432">
        <f t="shared" si="23"/>
        <v>0</v>
      </c>
      <c r="AM102" s="432">
        <f t="shared" si="23"/>
        <v>0</v>
      </c>
      <c r="AN102" s="432">
        <f t="shared" si="23"/>
        <v>0</v>
      </c>
      <c r="AO102" s="432">
        <f t="shared" si="23"/>
        <v>0</v>
      </c>
      <c r="AP102" s="432">
        <f t="shared" si="23"/>
        <v>0</v>
      </c>
      <c r="BH102" s="8"/>
    </row>
    <row r="103" spans="5:60" s="21" customFormat="1" x14ac:dyDescent="0.25">
      <c r="F103" s="145" t="s">
        <v>184</v>
      </c>
      <c r="G103" s="145" t="s">
        <v>91</v>
      </c>
      <c r="H103" s="167"/>
      <c r="I103" s="167"/>
      <c r="J103" s="420">
        <f t="shared" ref="J103:AP103" si="24">J96 + J101 + J102</f>
        <v>2647630.1830200609</v>
      </c>
      <c r="K103" s="420">
        <f t="shared" si="24"/>
        <v>252108.44700241974</v>
      </c>
      <c r="L103" s="420">
        <f t="shared" si="24"/>
        <v>45034.03894236849</v>
      </c>
      <c r="M103" s="420">
        <f t="shared" si="24"/>
        <v>195910.38911922346</v>
      </c>
      <c r="N103" s="420">
        <f t="shared" si="24"/>
        <v>30990.67618208874</v>
      </c>
      <c r="O103" s="420">
        <f t="shared" si="24"/>
        <v>5572.2471252403921</v>
      </c>
      <c r="P103" s="420">
        <f t="shared" si="24"/>
        <v>1430.884410963396</v>
      </c>
      <c r="Q103" s="420">
        <f t="shared" si="24"/>
        <v>0</v>
      </c>
      <c r="R103" s="420">
        <f t="shared" si="24"/>
        <v>4</v>
      </c>
      <c r="S103" s="420">
        <f t="shared" si="24"/>
        <v>9734.8642977334039</v>
      </c>
      <c r="T103" s="420">
        <f t="shared" si="24"/>
        <v>3809.8190759493036</v>
      </c>
      <c r="U103" s="420">
        <f t="shared" si="24"/>
        <v>21955.201332689365</v>
      </c>
      <c r="V103" s="420">
        <f t="shared" si="24"/>
        <v>342.03860415808151</v>
      </c>
      <c r="W103" s="420">
        <f t="shared" si="24"/>
        <v>1863.5847977832193</v>
      </c>
      <c r="X103" s="420">
        <f t="shared" si="24"/>
        <v>2210.2727723885705</v>
      </c>
      <c r="Y103" s="420">
        <f t="shared" si="24"/>
        <v>1432.9835362288884</v>
      </c>
      <c r="Z103" s="420">
        <f t="shared" si="24"/>
        <v>138.17303991124891</v>
      </c>
      <c r="AA103" s="420">
        <f t="shared" si="24"/>
        <v>9.8681450806991577</v>
      </c>
      <c r="AB103" s="420">
        <f t="shared" si="24"/>
        <v>41.845765167948912</v>
      </c>
      <c r="AC103" s="420">
        <f t="shared" si="24"/>
        <v>1105.7222222222224</v>
      </c>
      <c r="AD103" s="420">
        <f t="shared" si="24"/>
        <v>45</v>
      </c>
      <c r="AE103" s="420">
        <f t="shared" si="24"/>
        <v>808.8746645937498</v>
      </c>
      <c r="AF103" s="420">
        <f t="shared" si="24"/>
        <v>0</v>
      </c>
      <c r="AG103" s="420">
        <f t="shared" si="24"/>
        <v>45</v>
      </c>
      <c r="AH103" s="420">
        <f t="shared" si="24"/>
        <v>0</v>
      </c>
      <c r="AI103" s="420">
        <f t="shared" si="24"/>
        <v>1</v>
      </c>
      <c r="AJ103" s="420">
        <f t="shared" si="24"/>
        <v>0</v>
      </c>
      <c r="AK103" s="420">
        <f t="shared" si="24"/>
        <v>0</v>
      </c>
      <c r="AL103" s="420">
        <f t="shared" si="24"/>
        <v>0</v>
      </c>
      <c r="AM103" s="420">
        <f t="shared" si="24"/>
        <v>165</v>
      </c>
      <c r="AN103" s="420">
        <f t="shared" si="24"/>
        <v>0</v>
      </c>
      <c r="AO103" s="420">
        <f t="shared" si="24"/>
        <v>115</v>
      </c>
      <c r="AP103" s="420">
        <f t="shared" si="24"/>
        <v>0</v>
      </c>
      <c r="BH103" s="8"/>
    </row>
    <row r="104" spans="5:60" s="21" customFormat="1" x14ac:dyDescent="0.25">
      <c r="E104" s="36"/>
      <c r="G104" s="15"/>
      <c r="H104" s="15"/>
      <c r="I104" s="15"/>
      <c r="J104" s="435"/>
      <c r="K104" s="435"/>
      <c r="L104" s="435"/>
      <c r="M104" s="435"/>
      <c r="N104" s="435"/>
      <c r="O104" s="435"/>
      <c r="P104" s="416"/>
      <c r="Q104" s="416"/>
      <c r="R104" s="416"/>
      <c r="S104" s="416"/>
      <c r="T104" s="416"/>
      <c r="U104" s="416"/>
      <c r="V104" s="416"/>
      <c r="W104" s="416"/>
      <c r="X104" s="416"/>
      <c r="Y104" s="416"/>
      <c r="Z104" s="416"/>
      <c r="AA104" s="416"/>
      <c r="AB104" s="416"/>
      <c r="AC104" s="416"/>
      <c r="AD104" s="416"/>
      <c r="AE104" s="416"/>
      <c r="AF104" s="416"/>
      <c r="AG104" s="416"/>
      <c r="AH104" s="416"/>
      <c r="AI104" s="416"/>
      <c r="AJ104" s="416"/>
      <c r="AK104" s="416"/>
      <c r="AL104" s="416"/>
      <c r="AM104" s="416"/>
      <c r="AN104" s="416"/>
      <c r="AO104" s="416"/>
      <c r="AP104" s="416"/>
      <c r="BH104" s="8"/>
    </row>
    <row r="105" spans="5:60" s="21" customFormat="1" x14ac:dyDescent="0.25">
      <c r="E105" s="172" t="s">
        <v>330</v>
      </c>
      <c r="G105" s="15"/>
      <c r="H105" s="15"/>
      <c r="I105" s="15" t="s">
        <v>525</v>
      </c>
      <c r="J105" s="435"/>
      <c r="K105" s="435"/>
      <c r="L105" s="435"/>
      <c r="M105" s="435"/>
      <c r="N105" s="435"/>
      <c r="O105" s="435"/>
      <c r="P105" s="416"/>
      <c r="Q105" s="416"/>
      <c r="R105" s="416"/>
      <c r="S105" s="416"/>
      <c r="T105" s="416"/>
      <c r="U105" s="416"/>
      <c r="V105" s="416"/>
      <c r="W105" s="416"/>
      <c r="X105" s="416"/>
      <c r="Y105" s="416"/>
      <c r="Z105" s="416"/>
      <c r="AA105" s="416"/>
      <c r="AB105" s="416"/>
      <c r="AC105" s="416"/>
      <c r="AD105" s="416"/>
      <c r="AE105" s="416"/>
      <c r="AF105" s="416"/>
      <c r="AG105" s="416"/>
      <c r="AH105" s="416"/>
      <c r="AI105" s="416"/>
      <c r="AJ105" s="416"/>
      <c r="AK105" s="416"/>
      <c r="AL105" s="416"/>
      <c r="AM105" s="416"/>
      <c r="AN105" s="416"/>
      <c r="AO105" s="416"/>
      <c r="AP105" s="416"/>
      <c r="AR105" s="160" t="s">
        <v>941</v>
      </c>
      <c r="BH105" s="8"/>
    </row>
    <row r="106" spans="5:60" s="474" customFormat="1" x14ac:dyDescent="0.25">
      <c r="E106" s="172"/>
      <c r="G106" s="339"/>
      <c r="H106" s="339"/>
      <c r="I106" s="339"/>
      <c r="J106" s="435"/>
      <c r="K106" s="435"/>
      <c r="L106" s="435"/>
      <c r="M106" s="435"/>
      <c r="N106" s="435"/>
      <c r="O106" s="435"/>
      <c r="P106" s="416"/>
      <c r="Q106" s="416"/>
      <c r="R106" s="416"/>
      <c r="S106" s="416"/>
      <c r="T106" s="416"/>
      <c r="U106" s="416"/>
      <c r="V106" s="416"/>
      <c r="W106" s="416"/>
      <c r="X106" s="416"/>
      <c r="Y106" s="416"/>
      <c r="Z106" s="416"/>
      <c r="AA106" s="416"/>
      <c r="AB106" s="416"/>
      <c r="AC106" s="416"/>
      <c r="AD106" s="416"/>
      <c r="AE106" s="416"/>
      <c r="AF106" s="416"/>
      <c r="AG106" s="416"/>
      <c r="AH106" s="416"/>
      <c r="AI106" s="416"/>
      <c r="AJ106" s="416"/>
      <c r="AK106" s="416"/>
      <c r="AL106" s="416"/>
      <c r="AM106" s="416"/>
      <c r="AN106" s="416"/>
      <c r="AO106" s="416"/>
      <c r="AP106" s="416"/>
      <c r="BH106" s="163"/>
    </row>
    <row r="107" spans="5:60" s="21" customFormat="1" x14ac:dyDescent="0.25">
      <c r="F107" s="145" t="s">
        <v>162</v>
      </c>
      <c r="G107" s="145" t="s">
        <v>186</v>
      </c>
      <c r="H107" s="167"/>
      <c r="I107" s="167"/>
      <c r="J107" s="437">
        <f>'Inputs by customer type'!J28</f>
        <v>0</v>
      </c>
      <c r="K107" s="437">
        <f>'Inputs by customer type'!K28</f>
        <v>0</v>
      </c>
      <c r="L107" s="437">
        <f>'Inputs by customer type'!L28</f>
        <v>0</v>
      </c>
      <c r="M107" s="437">
        <f>'Inputs by customer type'!M28</f>
        <v>0</v>
      </c>
      <c r="N107" s="437">
        <f>'Inputs by customer type'!N28</f>
        <v>0</v>
      </c>
      <c r="O107" s="437">
        <f>'Inputs by customer type'!O28</f>
        <v>0</v>
      </c>
      <c r="P107" s="437">
        <f>'Inputs by customer type'!P28</f>
        <v>0</v>
      </c>
      <c r="Q107" s="437">
        <f>'Inputs by customer type'!Q28</f>
        <v>0</v>
      </c>
      <c r="R107" s="437">
        <f>'Inputs by customer type'!R28</f>
        <v>0</v>
      </c>
      <c r="S107" s="437">
        <f>'Inputs by customer type'!S28</f>
        <v>0</v>
      </c>
      <c r="T107" s="437">
        <f>'Inputs by customer type'!T28</f>
        <v>0</v>
      </c>
      <c r="U107" s="437">
        <f>'Inputs by customer type'!U28</f>
        <v>3227335.4267025632</v>
      </c>
      <c r="V107" s="437">
        <f>'Inputs by customer type'!V28</f>
        <v>100042.21699417738</v>
      </c>
      <c r="W107" s="437">
        <f>'Inputs by customer type'!W28</f>
        <v>2034386.008332856</v>
      </c>
      <c r="X107" s="437">
        <f>'Inputs by customer type'!X28</f>
        <v>0</v>
      </c>
      <c r="Y107" s="437">
        <f>'Inputs by customer type'!Y28</f>
        <v>0</v>
      </c>
      <c r="Z107" s="437">
        <f>'Inputs by customer type'!Z28</f>
        <v>0</v>
      </c>
      <c r="AA107" s="437">
        <f>'Inputs by customer type'!AA28</f>
        <v>0</v>
      </c>
      <c r="AB107" s="437">
        <f>'Inputs by customer type'!AB28</f>
        <v>0</v>
      </c>
      <c r="AC107" s="437">
        <f>'Inputs by customer type'!AC28</f>
        <v>0</v>
      </c>
      <c r="AD107" s="437">
        <f>'Inputs by customer type'!AD28</f>
        <v>0</v>
      </c>
      <c r="AE107" s="437">
        <f>'Inputs by customer type'!AE28</f>
        <v>0</v>
      </c>
      <c r="AF107" s="437">
        <f>'Inputs by customer type'!AF28</f>
        <v>0</v>
      </c>
      <c r="AG107" s="437">
        <f>'Inputs by customer type'!AG28</f>
        <v>0</v>
      </c>
      <c r="AH107" s="437">
        <f>'Inputs by customer type'!AH28</f>
        <v>0</v>
      </c>
      <c r="AI107" s="437">
        <f>'Inputs by customer type'!AI28</f>
        <v>0</v>
      </c>
      <c r="AJ107" s="437">
        <f>'Inputs by customer type'!AJ28</f>
        <v>0</v>
      </c>
      <c r="AK107" s="437">
        <f>'Inputs by customer type'!AK28</f>
        <v>0</v>
      </c>
      <c r="AL107" s="437">
        <f>'Inputs by customer type'!AL28</f>
        <v>0</v>
      </c>
      <c r="AM107" s="437">
        <f>'Inputs by customer type'!AM28</f>
        <v>0</v>
      </c>
      <c r="AN107" s="437">
        <f>'Inputs by customer type'!AN28</f>
        <v>0</v>
      </c>
      <c r="AO107" s="437">
        <f>'Inputs by customer type'!AO28</f>
        <v>0</v>
      </c>
      <c r="AP107" s="437">
        <f>'Inputs by customer type'!AP28</f>
        <v>0</v>
      </c>
      <c r="BH107" s="8"/>
    </row>
    <row r="108" spans="5:60" s="21" customFormat="1" x14ac:dyDescent="0.25">
      <c r="F108" s="145" t="s">
        <v>163</v>
      </c>
      <c r="G108" s="145" t="s">
        <v>186</v>
      </c>
      <c r="H108" s="167"/>
      <c r="I108" s="167"/>
      <c r="J108" s="437">
        <f>'Inputs by customer type'!J37</f>
        <v>0</v>
      </c>
      <c r="K108" s="437">
        <f>'Inputs by customer type'!K37</f>
        <v>0</v>
      </c>
      <c r="L108" s="437">
        <f>'Inputs by customer type'!L37</f>
        <v>0</v>
      </c>
      <c r="M108" s="437">
        <f>'Inputs by customer type'!M37</f>
        <v>0</v>
      </c>
      <c r="N108" s="437">
        <f>'Inputs by customer type'!N37</f>
        <v>0</v>
      </c>
      <c r="O108" s="437">
        <f>'Inputs by customer type'!O37</f>
        <v>0</v>
      </c>
      <c r="P108" s="437">
        <f>'Inputs by customer type'!P37</f>
        <v>0</v>
      </c>
      <c r="Q108" s="437">
        <f>'Inputs by customer type'!Q37</f>
        <v>0</v>
      </c>
      <c r="R108" s="437">
        <f>'Inputs by customer type'!R37</f>
        <v>0</v>
      </c>
      <c r="S108" s="437">
        <f>'Inputs by customer type'!S37</f>
        <v>0</v>
      </c>
      <c r="T108" s="437">
        <f>'Inputs by customer type'!T37</f>
        <v>0</v>
      </c>
      <c r="U108" s="437">
        <f>'Inputs by customer type'!U37</f>
        <v>20780.103419261635</v>
      </c>
      <c r="V108" s="437">
        <f>'Inputs by customer type'!V37</f>
        <v>0</v>
      </c>
      <c r="W108" s="437">
        <f>'Inputs by customer type'!W37</f>
        <v>0</v>
      </c>
      <c r="X108" s="437">
        <f>'Inputs by customer type'!X37</f>
        <v>0</v>
      </c>
      <c r="Y108" s="437">
        <f>'Inputs by customer type'!Y37</f>
        <v>0</v>
      </c>
      <c r="Z108" s="437">
        <f>'Inputs by customer type'!Z37</f>
        <v>0</v>
      </c>
      <c r="AA108" s="437">
        <f>'Inputs by customer type'!AA37</f>
        <v>0</v>
      </c>
      <c r="AB108" s="437">
        <f>'Inputs by customer type'!AB37</f>
        <v>0</v>
      </c>
      <c r="AC108" s="437">
        <f>'Inputs by customer type'!AC37</f>
        <v>0</v>
      </c>
      <c r="AD108" s="437">
        <f>'Inputs by customer type'!AD37</f>
        <v>0</v>
      </c>
      <c r="AE108" s="437">
        <f>'Inputs by customer type'!AE37</f>
        <v>0</v>
      </c>
      <c r="AF108" s="437">
        <f>'Inputs by customer type'!AF37</f>
        <v>0</v>
      </c>
      <c r="AG108" s="437">
        <f>'Inputs by customer type'!AG37</f>
        <v>0</v>
      </c>
      <c r="AH108" s="437">
        <f>'Inputs by customer type'!AH37</f>
        <v>0</v>
      </c>
      <c r="AI108" s="437">
        <f>'Inputs by customer type'!AI37</f>
        <v>0</v>
      </c>
      <c r="AJ108" s="437">
        <f>'Inputs by customer type'!AJ37</f>
        <v>0</v>
      </c>
      <c r="AK108" s="437">
        <f>'Inputs by customer type'!AK37</f>
        <v>0</v>
      </c>
      <c r="AL108" s="437">
        <f>'Inputs by customer type'!AL37</f>
        <v>0</v>
      </c>
      <c r="AM108" s="437">
        <f>'Inputs by customer type'!AM37</f>
        <v>0</v>
      </c>
      <c r="AN108" s="437">
        <f>'Inputs by customer type'!AN37</f>
        <v>0</v>
      </c>
      <c r="AO108" s="437">
        <f>'Inputs by customer type'!AO37</f>
        <v>0</v>
      </c>
      <c r="AP108" s="437">
        <f>'Inputs by customer type'!AP37</f>
        <v>0</v>
      </c>
      <c r="BH108" s="8"/>
    </row>
    <row r="109" spans="5:60" s="21" customFormat="1" x14ac:dyDescent="0.25">
      <c r="F109" s="145" t="s">
        <v>164</v>
      </c>
      <c r="G109" s="145" t="s">
        <v>186</v>
      </c>
      <c r="H109" s="167"/>
      <c r="I109" s="167"/>
      <c r="J109" s="437">
        <f>'Inputs by customer type'!J46</f>
        <v>0</v>
      </c>
      <c r="K109" s="437">
        <f>'Inputs by customer type'!K46</f>
        <v>0</v>
      </c>
      <c r="L109" s="437">
        <f>'Inputs by customer type'!L46</f>
        <v>0</v>
      </c>
      <c r="M109" s="437">
        <f>'Inputs by customer type'!M46</f>
        <v>0</v>
      </c>
      <c r="N109" s="437">
        <f>'Inputs by customer type'!N46</f>
        <v>0</v>
      </c>
      <c r="O109" s="437">
        <f>'Inputs by customer type'!O46</f>
        <v>0</v>
      </c>
      <c r="P109" s="437">
        <f>'Inputs by customer type'!P46</f>
        <v>0</v>
      </c>
      <c r="Q109" s="437">
        <f>'Inputs by customer type'!Q46</f>
        <v>0</v>
      </c>
      <c r="R109" s="437">
        <f>'Inputs by customer type'!R46</f>
        <v>0</v>
      </c>
      <c r="S109" s="437">
        <f>'Inputs by customer type'!S46</f>
        <v>0</v>
      </c>
      <c r="T109" s="437">
        <f>'Inputs by customer type'!T46</f>
        <v>0</v>
      </c>
      <c r="U109" s="437">
        <f>'Inputs by customer type'!U46</f>
        <v>84322.897330595457</v>
      </c>
      <c r="V109" s="437">
        <f>'Inputs by customer type'!V46</f>
        <v>79573.818436153335</v>
      </c>
      <c r="W109" s="437">
        <f>'Inputs by customer type'!W46</f>
        <v>4375</v>
      </c>
      <c r="X109" s="437">
        <f>'Inputs by customer type'!X46</f>
        <v>0</v>
      </c>
      <c r="Y109" s="437">
        <f>'Inputs by customer type'!Y46</f>
        <v>0</v>
      </c>
      <c r="Z109" s="437">
        <f>'Inputs by customer type'!Z46</f>
        <v>0</v>
      </c>
      <c r="AA109" s="437">
        <f>'Inputs by customer type'!AA46</f>
        <v>0</v>
      </c>
      <c r="AB109" s="437">
        <f>'Inputs by customer type'!AB46</f>
        <v>0</v>
      </c>
      <c r="AC109" s="437">
        <f>'Inputs by customer type'!AC46</f>
        <v>0</v>
      </c>
      <c r="AD109" s="437">
        <f>'Inputs by customer type'!AD46</f>
        <v>0</v>
      </c>
      <c r="AE109" s="437">
        <f>'Inputs by customer type'!AE46</f>
        <v>0</v>
      </c>
      <c r="AF109" s="437">
        <f>'Inputs by customer type'!AF46</f>
        <v>0</v>
      </c>
      <c r="AG109" s="437">
        <f>'Inputs by customer type'!AG46</f>
        <v>0</v>
      </c>
      <c r="AH109" s="437">
        <f>'Inputs by customer type'!AH46</f>
        <v>0</v>
      </c>
      <c r="AI109" s="437">
        <f>'Inputs by customer type'!AI46</f>
        <v>0</v>
      </c>
      <c r="AJ109" s="437">
        <f>'Inputs by customer type'!AJ46</f>
        <v>0</v>
      </c>
      <c r="AK109" s="437">
        <f>'Inputs by customer type'!AK46</f>
        <v>0</v>
      </c>
      <c r="AL109" s="437">
        <f>'Inputs by customer type'!AL46</f>
        <v>0</v>
      </c>
      <c r="AM109" s="437">
        <f>'Inputs by customer type'!AM46</f>
        <v>0</v>
      </c>
      <c r="AN109" s="437">
        <f>'Inputs by customer type'!AN46</f>
        <v>0</v>
      </c>
      <c r="AO109" s="437">
        <f>'Inputs by customer type'!AO46</f>
        <v>0</v>
      </c>
      <c r="AP109" s="437">
        <f>'Inputs by customer type'!AP46</f>
        <v>0</v>
      </c>
      <c r="BH109" s="8"/>
    </row>
    <row r="110" spans="5:60" s="21" customFormat="1" x14ac:dyDescent="0.25">
      <c r="F110" s="145" t="s">
        <v>196</v>
      </c>
      <c r="G110" s="145" t="s">
        <v>111</v>
      </c>
      <c r="H110" s="167"/>
      <c r="I110" s="167"/>
      <c r="J110" s="41">
        <f t="shared" ref="J110:AP110" si="25">IF(J$41, J$47, J$34)</f>
        <v>0.34755258472512618</v>
      </c>
      <c r="K110" s="41">
        <f t="shared" si="25"/>
        <v>0.34755258472512618</v>
      </c>
      <c r="L110" s="41">
        <f t="shared" si="25"/>
        <v>0.34755258472512618</v>
      </c>
      <c r="M110" s="41">
        <f t="shared" si="25"/>
        <v>0.34755258472512618</v>
      </c>
      <c r="N110" s="41">
        <f t="shared" si="25"/>
        <v>0.34755258472512618</v>
      </c>
      <c r="O110" s="41">
        <f t="shared" si="25"/>
        <v>0.34755258472512618</v>
      </c>
      <c r="P110" s="41">
        <f t="shared" si="25"/>
        <v>0.34755258472512618</v>
      </c>
      <c r="Q110" s="41">
        <f t="shared" si="25"/>
        <v>0</v>
      </c>
      <c r="R110" s="41">
        <f t="shared" si="25"/>
        <v>0</v>
      </c>
      <c r="S110" s="41">
        <f t="shared" si="25"/>
        <v>0.34755258472512618</v>
      </c>
      <c r="T110" s="41">
        <f t="shared" si="25"/>
        <v>0.34755258472512618</v>
      </c>
      <c r="U110" s="41">
        <f t="shared" si="25"/>
        <v>0.34755258472512618</v>
      </c>
      <c r="V110" s="41">
        <f t="shared" si="25"/>
        <v>0</v>
      </c>
      <c r="W110" s="41">
        <f t="shared" si="25"/>
        <v>0</v>
      </c>
      <c r="X110" s="41">
        <f t="shared" si="25"/>
        <v>0.34755258472512618</v>
      </c>
      <c r="Y110" s="41">
        <f t="shared" si="25"/>
        <v>0.34755258472512618</v>
      </c>
      <c r="Z110" s="41">
        <f t="shared" si="25"/>
        <v>0.34755258472512618</v>
      </c>
      <c r="AA110" s="41">
        <f t="shared" si="25"/>
        <v>0.34755258472512618</v>
      </c>
      <c r="AB110" s="41">
        <f t="shared" si="25"/>
        <v>0.34755258472512618</v>
      </c>
      <c r="AC110" s="41">
        <f t="shared" si="25"/>
        <v>0</v>
      </c>
      <c r="AD110" s="41">
        <f t="shared" si="25"/>
        <v>0</v>
      </c>
      <c r="AE110" s="41">
        <f t="shared" si="25"/>
        <v>0</v>
      </c>
      <c r="AF110" s="41">
        <f t="shared" si="25"/>
        <v>0</v>
      </c>
      <c r="AG110" s="41">
        <f t="shared" si="25"/>
        <v>0</v>
      </c>
      <c r="AH110" s="41">
        <f t="shared" si="25"/>
        <v>0</v>
      </c>
      <c r="AI110" s="41">
        <f t="shared" si="25"/>
        <v>0</v>
      </c>
      <c r="AJ110" s="41">
        <f t="shared" si="25"/>
        <v>0</v>
      </c>
      <c r="AK110" s="41">
        <f t="shared" si="25"/>
        <v>0</v>
      </c>
      <c r="AL110" s="41">
        <f t="shared" si="25"/>
        <v>0</v>
      </c>
      <c r="AM110" s="41">
        <f t="shared" si="25"/>
        <v>0</v>
      </c>
      <c r="AN110" s="41">
        <f t="shared" si="25"/>
        <v>0</v>
      </c>
      <c r="AO110" s="41">
        <f t="shared" si="25"/>
        <v>0</v>
      </c>
      <c r="AP110" s="41">
        <f t="shared" si="25"/>
        <v>0</v>
      </c>
      <c r="BH110" s="8"/>
    </row>
    <row r="111" spans="5:60" s="21" customFormat="1" x14ac:dyDescent="0.25">
      <c r="F111" s="145" t="s">
        <v>197</v>
      </c>
      <c r="G111" s="145" t="s">
        <v>111</v>
      </c>
      <c r="H111" s="167"/>
      <c r="I111" s="167"/>
      <c r="J111" s="41">
        <f t="shared" ref="J111:AP111" si="26">IF(J$41, J$47, J$35)</f>
        <v>0.56592745965042113</v>
      </c>
      <c r="K111" s="41">
        <f t="shared" si="26"/>
        <v>0.56592745965042113</v>
      </c>
      <c r="L111" s="41">
        <f t="shared" si="26"/>
        <v>0.56592745965042113</v>
      </c>
      <c r="M111" s="41">
        <f t="shared" si="26"/>
        <v>0.56592745965042113</v>
      </c>
      <c r="N111" s="41">
        <f t="shared" si="26"/>
        <v>0.56592745965042113</v>
      </c>
      <c r="O111" s="41">
        <f t="shared" si="26"/>
        <v>0.56592745965042113</v>
      </c>
      <c r="P111" s="41">
        <f t="shared" si="26"/>
        <v>0.56592745965042113</v>
      </c>
      <c r="Q111" s="41">
        <f t="shared" si="26"/>
        <v>0</v>
      </c>
      <c r="R111" s="41">
        <f t="shared" si="26"/>
        <v>0</v>
      </c>
      <c r="S111" s="41">
        <f t="shared" si="26"/>
        <v>0.56592745965042113</v>
      </c>
      <c r="T111" s="41">
        <f t="shared" si="26"/>
        <v>0.56592745965042113</v>
      </c>
      <c r="U111" s="41">
        <f t="shared" si="26"/>
        <v>0.56592745965042113</v>
      </c>
      <c r="V111" s="41">
        <f t="shared" si="26"/>
        <v>0.30780783362179165</v>
      </c>
      <c r="W111" s="41">
        <f t="shared" si="26"/>
        <v>0.20760110839034102</v>
      </c>
      <c r="X111" s="41">
        <f t="shared" si="26"/>
        <v>0.56592745965042113</v>
      </c>
      <c r="Y111" s="41">
        <f t="shared" si="26"/>
        <v>0.56592745965042113</v>
      </c>
      <c r="Z111" s="41">
        <f t="shared" si="26"/>
        <v>0.56592745965042113</v>
      </c>
      <c r="AA111" s="41">
        <f t="shared" si="26"/>
        <v>0.56592745965042113</v>
      </c>
      <c r="AB111" s="41">
        <f t="shared" si="26"/>
        <v>0.56592745965042113</v>
      </c>
      <c r="AC111" s="41">
        <f t="shared" si="26"/>
        <v>0</v>
      </c>
      <c r="AD111" s="41">
        <f t="shared" si="26"/>
        <v>0</v>
      </c>
      <c r="AE111" s="41">
        <f t="shared" si="26"/>
        <v>0</v>
      </c>
      <c r="AF111" s="41">
        <f t="shared" si="26"/>
        <v>0</v>
      </c>
      <c r="AG111" s="41">
        <f t="shared" si="26"/>
        <v>0</v>
      </c>
      <c r="AH111" s="41">
        <f t="shared" si="26"/>
        <v>0</v>
      </c>
      <c r="AI111" s="41">
        <f t="shared" si="26"/>
        <v>0</v>
      </c>
      <c r="AJ111" s="41">
        <f t="shared" si="26"/>
        <v>0</v>
      </c>
      <c r="AK111" s="41">
        <f t="shared" si="26"/>
        <v>0</v>
      </c>
      <c r="AL111" s="41">
        <f t="shared" si="26"/>
        <v>0</v>
      </c>
      <c r="AM111" s="41">
        <f t="shared" si="26"/>
        <v>0</v>
      </c>
      <c r="AN111" s="41">
        <f t="shared" si="26"/>
        <v>0</v>
      </c>
      <c r="AO111" s="41">
        <f t="shared" si="26"/>
        <v>0</v>
      </c>
      <c r="AP111" s="41">
        <f t="shared" si="26"/>
        <v>0</v>
      </c>
      <c r="BH111" s="8"/>
    </row>
    <row r="112" spans="5:60" s="21" customFormat="1" x14ac:dyDescent="0.25">
      <c r="F112" s="145" t="s">
        <v>183</v>
      </c>
      <c r="G112" s="145" t="s">
        <v>186</v>
      </c>
      <c r="H112" s="167"/>
      <c r="I112" s="167"/>
      <c r="J112" s="428">
        <f t="shared" ref="J112:AP112" si="27">J108 * (1 - J110)</f>
        <v>0</v>
      </c>
      <c r="K112" s="428">
        <f t="shared" si="27"/>
        <v>0</v>
      </c>
      <c r="L112" s="428">
        <f t="shared" si="27"/>
        <v>0</v>
      </c>
      <c r="M112" s="428">
        <f t="shared" si="27"/>
        <v>0</v>
      </c>
      <c r="N112" s="428">
        <f t="shared" si="27"/>
        <v>0</v>
      </c>
      <c r="O112" s="428">
        <f t="shared" si="27"/>
        <v>0</v>
      </c>
      <c r="P112" s="428">
        <f t="shared" si="27"/>
        <v>0</v>
      </c>
      <c r="Q112" s="428">
        <f t="shared" si="27"/>
        <v>0</v>
      </c>
      <c r="R112" s="428">
        <f t="shared" si="27"/>
        <v>0</v>
      </c>
      <c r="S112" s="428">
        <f t="shared" si="27"/>
        <v>0</v>
      </c>
      <c r="T112" s="428">
        <f t="shared" si="27"/>
        <v>0</v>
      </c>
      <c r="U112" s="428">
        <f t="shared" si="27"/>
        <v>13557.924765041822</v>
      </c>
      <c r="V112" s="428">
        <f t="shared" si="27"/>
        <v>0</v>
      </c>
      <c r="W112" s="428">
        <f t="shared" si="27"/>
        <v>0</v>
      </c>
      <c r="X112" s="428">
        <f t="shared" si="27"/>
        <v>0</v>
      </c>
      <c r="Y112" s="428">
        <f t="shared" si="27"/>
        <v>0</v>
      </c>
      <c r="Z112" s="428">
        <f t="shared" si="27"/>
        <v>0</v>
      </c>
      <c r="AA112" s="428">
        <f t="shared" si="27"/>
        <v>0</v>
      </c>
      <c r="AB112" s="428">
        <f t="shared" si="27"/>
        <v>0</v>
      </c>
      <c r="AC112" s="428">
        <f t="shared" si="27"/>
        <v>0</v>
      </c>
      <c r="AD112" s="428">
        <f t="shared" si="27"/>
        <v>0</v>
      </c>
      <c r="AE112" s="428">
        <f t="shared" si="27"/>
        <v>0</v>
      </c>
      <c r="AF112" s="428">
        <f t="shared" si="27"/>
        <v>0</v>
      </c>
      <c r="AG112" s="428">
        <f t="shared" si="27"/>
        <v>0</v>
      </c>
      <c r="AH112" s="428">
        <f t="shared" si="27"/>
        <v>0</v>
      </c>
      <c r="AI112" s="428">
        <f t="shared" si="27"/>
        <v>0</v>
      </c>
      <c r="AJ112" s="428">
        <f t="shared" si="27"/>
        <v>0</v>
      </c>
      <c r="AK112" s="428">
        <f t="shared" si="27"/>
        <v>0</v>
      </c>
      <c r="AL112" s="428">
        <f t="shared" si="27"/>
        <v>0</v>
      </c>
      <c r="AM112" s="428">
        <f t="shared" si="27"/>
        <v>0</v>
      </c>
      <c r="AN112" s="428">
        <f t="shared" si="27"/>
        <v>0</v>
      </c>
      <c r="AO112" s="428">
        <f t="shared" si="27"/>
        <v>0</v>
      </c>
      <c r="AP112" s="428">
        <f t="shared" si="27"/>
        <v>0</v>
      </c>
      <c r="BH112" s="8"/>
    </row>
    <row r="113" spans="5:60" s="21" customFormat="1" x14ac:dyDescent="0.25">
      <c r="F113" s="38" t="s">
        <v>195</v>
      </c>
      <c r="G113" s="38" t="s">
        <v>186</v>
      </c>
      <c r="H113" s="168"/>
      <c r="I113" s="168"/>
      <c r="J113" s="432">
        <f t="shared" ref="J113:AP113" si="28">J109 * (1 - J111)</f>
        <v>0</v>
      </c>
      <c r="K113" s="432">
        <f t="shared" si="28"/>
        <v>0</v>
      </c>
      <c r="L113" s="432">
        <f t="shared" si="28"/>
        <v>0</v>
      </c>
      <c r="M113" s="432">
        <f t="shared" si="28"/>
        <v>0</v>
      </c>
      <c r="N113" s="432">
        <f t="shared" si="28"/>
        <v>0</v>
      </c>
      <c r="O113" s="432">
        <f t="shared" si="28"/>
        <v>0</v>
      </c>
      <c r="P113" s="432">
        <f t="shared" si="28"/>
        <v>0</v>
      </c>
      <c r="Q113" s="432">
        <f t="shared" si="28"/>
        <v>0</v>
      </c>
      <c r="R113" s="432">
        <f t="shared" si="28"/>
        <v>0</v>
      </c>
      <c r="S113" s="432">
        <f t="shared" si="28"/>
        <v>0</v>
      </c>
      <c r="T113" s="432">
        <f t="shared" si="28"/>
        <v>0</v>
      </c>
      <c r="U113" s="432">
        <f t="shared" si="28"/>
        <v>36602.254253928295</v>
      </c>
      <c r="V113" s="432">
        <f t="shared" si="28"/>
        <v>55080.373770307189</v>
      </c>
      <c r="W113" s="432">
        <f t="shared" si="28"/>
        <v>3466.7451507922578</v>
      </c>
      <c r="X113" s="432">
        <f t="shared" si="28"/>
        <v>0</v>
      </c>
      <c r="Y113" s="432">
        <f t="shared" si="28"/>
        <v>0</v>
      </c>
      <c r="Z113" s="432">
        <f t="shared" si="28"/>
        <v>0</v>
      </c>
      <c r="AA113" s="432">
        <f t="shared" si="28"/>
        <v>0</v>
      </c>
      <c r="AB113" s="432">
        <f t="shared" si="28"/>
        <v>0</v>
      </c>
      <c r="AC113" s="432">
        <f t="shared" si="28"/>
        <v>0</v>
      </c>
      <c r="AD113" s="432">
        <f t="shared" si="28"/>
        <v>0</v>
      </c>
      <c r="AE113" s="432">
        <f t="shared" si="28"/>
        <v>0</v>
      </c>
      <c r="AF113" s="432">
        <f t="shared" si="28"/>
        <v>0</v>
      </c>
      <c r="AG113" s="432">
        <f t="shared" si="28"/>
        <v>0</v>
      </c>
      <c r="AH113" s="432">
        <f t="shared" si="28"/>
        <v>0</v>
      </c>
      <c r="AI113" s="432">
        <f t="shared" si="28"/>
        <v>0</v>
      </c>
      <c r="AJ113" s="432">
        <f t="shared" si="28"/>
        <v>0</v>
      </c>
      <c r="AK113" s="432">
        <f t="shared" si="28"/>
        <v>0</v>
      </c>
      <c r="AL113" s="432">
        <f t="shared" si="28"/>
        <v>0</v>
      </c>
      <c r="AM113" s="432">
        <f t="shared" si="28"/>
        <v>0</v>
      </c>
      <c r="AN113" s="432">
        <f t="shared" si="28"/>
        <v>0</v>
      </c>
      <c r="AO113" s="432">
        <f t="shared" si="28"/>
        <v>0</v>
      </c>
      <c r="AP113" s="432">
        <f t="shared" si="28"/>
        <v>0</v>
      </c>
      <c r="BH113" s="8"/>
    </row>
    <row r="114" spans="5:60" s="21" customFormat="1" x14ac:dyDescent="0.25">
      <c r="F114" s="145" t="s">
        <v>184</v>
      </c>
      <c r="G114" s="145" t="s">
        <v>186</v>
      </c>
      <c r="H114" s="167"/>
      <c r="I114" s="167"/>
      <c r="J114" s="420">
        <f t="shared" ref="J114:AP114" si="29">J107 + J112 + J113</f>
        <v>0</v>
      </c>
      <c r="K114" s="420">
        <f t="shared" si="29"/>
        <v>0</v>
      </c>
      <c r="L114" s="420">
        <f t="shared" si="29"/>
        <v>0</v>
      </c>
      <c r="M114" s="420">
        <f t="shared" si="29"/>
        <v>0</v>
      </c>
      <c r="N114" s="420">
        <f t="shared" si="29"/>
        <v>0</v>
      </c>
      <c r="O114" s="420">
        <f t="shared" si="29"/>
        <v>0</v>
      </c>
      <c r="P114" s="420">
        <f t="shared" si="29"/>
        <v>0</v>
      </c>
      <c r="Q114" s="420">
        <f t="shared" si="29"/>
        <v>0</v>
      </c>
      <c r="R114" s="420">
        <f t="shared" si="29"/>
        <v>0</v>
      </c>
      <c r="S114" s="420">
        <f t="shared" si="29"/>
        <v>0</v>
      </c>
      <c r="T114" s="420">
        <f t="shared" si="29"/>
        <v>0</v>
      </c>
      <c r="U114" s="420">
        <f t="shared" si="29"/>
        <v>3277495.6057215333</v>
      </c>
      <c r="V114" s="420">
        <f t="shared" si="29"/>
        <v>155122.59076448457</v>
      </c>
      <c r="W114" s="420">
        <f t="shared" si="29"/>
        <v>2037852.7534836482</v>
      </c>
      <c r="X114" s="420">
        <f t="shared" si="29"/>
        <v>0</v>
      </c>
      <c r="Y114" s="420">
        <f t="shared" si="29"/>
        <v>0</v>
      </c>
      <c r="Z114" s="420">
        <f t="shared" si="29"/>
        <v>0</v>
      </c>
      <c r="AA114" s="420">
        <f t="shared" si="29"/>
        <v>0</v>
      </c>
      <c r="AB114" s="420">
        <f t="shared" si="29"/>
        <v>0</v>
      </c>
      <c r="AC114" s="420">
        <f t="shared" si="29"/>
        <v>0</v>
      </c>
      <c r="AD114" s="420">
        <f t="shared" si="29"/>
        <v>0</v>
      </c>
      <c r="AE114" s="420">
        <f t="shared" si="29"/>
        <v>0</v>
      </c>
      <c r="AF114" s="420">
        <f t="shared" si="29"/>
        <v>0</v>
      </c>
      <c r="AG114" s="420">
        <f t="shared" si="29"/>
        <v>0</v>
      </c>
      <c r="AH114" s="420">
        <f t="shared" si="29"/>
        <v>0</v>
      </c>
      <c r="AI114" s="420">
        <f t="shared" si="29"/>
        <v>0</v>
      </c>
      <c r="AJ114" s="420">
        <f t="shared" si="29"/>
        <v>0</v>
      </c>
      <c r="AK114" s="420">
        <f t="shared" si="29"/>
        <v>0</v>
      </c>
      <c r="AL114" s="420">
        <f t="shared" si="29"/>
        <v>0</v>
      </c>
      <c r="AM114" s="420">
        <f t="shared" si="29"/>
        <v>0</v>
      </c>
      <c r="AN114" s="420">
        <f t="shared" si="29"/>
        <v>0</v>
      </c>
      <c r="AO114" s="420">
        <f t="shared" si="29"/>
        <v>0</v>
      </c>
      <c r="AP114" s="420">
        <f t="shared" si="29"/>
        <v>0</v>
      </c>
      <c r="BH114" s="8"/>
    </row>
    <row r="115" spans="5:60" s="21" customFormat="1" x14ac:dyDescent="0.25">
      <c r="E115" s="36"/>
      <c r="G115" s="15"/>
      <c r="H115" s="15"/>
      <c r="I115" s="15"/>
      <c r="J115" s="435"/>
      <c r="K115" s="435"/>
      <c r="L115" s="435"/>
      <c r="M115" s="435"/>
      <c r="N115" s="435"/>
      <c r="O115" s="435"/>
      <c r="P115" s="416"/>
      <c r="Q115" s="416"/>
      <c r="R115" s="416"/>
      <c r="S115" s="416"/>
      <c r="T115" s="416"/>
      <c r="U115" s="416"/>
      <c r="V115" s="416"/>
      <c r="W115" s="416"/>
      <c r="X115" s="416"/>
      <c r="Y115" s="416"/>
      <c r="Z115" s="416"/>
      <c r="AA115" s="416"/>
      <c r="AB115" s="416"/>
      <c r="AC115" s="416"/>
      <c r="AD115" s="416"/>
      <c r="AE115" s="416"/>
      <c r="AF115" s="416"/>
      <c r="AG115" s="416"/>
      <c r="AH115" s="416"/>
      <c r="AI115" s="416"/>
      <c r="AJ115" s="416"/>
      <c r="AK115" s="416"/>
      <c r="AL115" s="416"/>
      <c r="AM115" s="416"/>
      <c r="AN115" s="416"/>
      <c r="AO115" s="416"/>
      <c r="AP115" s="416"/>
      <c r="BH115" s="8"/>
    </row>
    <row r="116" spans="5:60" s="21" customFormat="1" x14ac:dyDescent="0.25">
      <c r="E116" s="172" t="s">
        <v>331</v>
      </c>
      <c r="G116" s="15"/>
      <c r="H116" s="15"/>
      <c r="I116" s="15" t="s">
        <v>525</v>
      </c>
      <c r="J116" s="435"/>
      <c r="K116" s="435"/>
      <c r="L116" s="435"/>
      <c r="M116" s="435"/>
      <c r="N116" s="435"/>
      <c r="O116" s="435"/>
      <c r="P116" s="416"/>
      <c r="Q116" s="416"/>
      <c r="R116" s="416"/>
      <c r="S116" s="416"/>
      <c r="T116" s="416"/>
      <c r="U116" s="416"/>
      <c r="V116" s="416"/>
      <c r="W116" s="416"/>
      <c r="X116" s="416"/>
      <c r="Y116" s="416"/>
      <c r="Z116" s="416"/>
      <c r="AA116" s="416"/>
      <c r="AB116" s="416"/>
      <c r="AC116" s="416"/>
      <c r="AD116" s="416"/>
      <c r="AE116" s="416"/>
      <c r="AF116" s="416"/>
      <c r="AG116" s="416"/>
      <c r="AH116" s="416"/>
      <c r="AI116" s="416"/>
      <c r="AJ116" s="416"/>
      <c r="AK116" s="416"/>
      <c r="AL116" s="416"/>
      <c r="AM116" s="416"/>
      <c r="AN116" s="416"/>
      <c r="AO116" s="416"/>
      <c r="AP116" s="416"/>
      <c r="AR116" s="160" t="s">
        <v>941</v>
      </c>
      <c r="BH116" s="8"/>
    </row>
    <row r="117" spans="5:60" s="474" customFormat="1" x14ac:dyDescent="0.25">
      <c r="E117" s="172"/>
      <c r="G117" s="339"/>
      <c r="H117" s="339"/>
      <c r="I117" s="339"/>
      <c r="J117" s="435"/>
      <c r="K117" s="435"/>
      <c r="L117" s="435"/>
      <c r="M117" s="435"/>
      <c r="N117" s="435"/>
      <c r="O117" s="435"/>
      <c r="P117" s="416"/>
      <c r="Q117" s="416"/>
      <c r="R117" s="416"/>
      <c r="S117" s="416"/>
      <c r="T117" s="416"/>
      <c r="U117" s="416"/>
      <c r="V117" s="416"/>
      <c r="W117" s="416"/>
      <c r="X117" s="416"/>
      <c r="Y117" s="416"/>
      <c r="Z117" s="416"/>
      <c r="AA117" s="416"/>
      <c r="AB117" s="416"/>
      <c r="AC117" s="416"/>
      <c r="AD117" s="416"/>
      <c r="AE117" s="416"/>
      <c r="AF117" s="416"/>
      <c r="AG117" s="416"/>
      <c r="AH117" s="416"/>
      <c r="AI117" s="416"/>
      <c r="AJ117" s="416"/>
      <c r="AK117" s="416"/>
      <c r="AL117" s="416"/>
      <c r="AM117" s="416"/>
      <c r="AN117" s="416"/>
      <c r="AO117" s="416"/>
      <c r="AP117" s="416"/>
      <c r="BH117" s="163"/>
    </row>
    <row r="118" spans="5:60" s="21" customFormat="1" x14ac:dyDescent="0.25">
      <c r="F118" s="145" t="s">
        <v>162</v>
      </c>
      <c r="G118" s="145" t="s">
        <v>186</v>
      </c>
      <c r="H118" s="167"/>
      <c r="I118" s="167"/>
      <c r="J118" s="437">
        <f>'Inputs by customer type'!J29</f>
        <v>0</v>
      </c>
      <c r="K118" s="437">
        <f>'Inputs by customer type'!K29</f>
        <v>0</v>
      </c>
      <c r="L118" s="437">
        <f>'Inputs by customer type'!L29</f>
        <v>0</v>
      </c>
      <c r="M118" s="437">
        <f>'Inputs by customer type'!M29</f>
        <v>0</v>
      </c>
      <c r="N118" s="437">
        <f>'Inputs by customer type'!N29</f>
        <v>0</v>
      </c>
      <c r="O118" s="437">
        <f>'Inputs by customer type'!O29</f>
        <v>0</v>
      </c>
      <c r="P118" s="437">
        <f>'Inputs by customer type'!P29</f>
        <v>0</v>
      </c>
      <c r="Q118" s="437">
        <f>'Inputs by customer type'!Q29</f>
        <v>0</v>
      </c>
      <c r="R118" s="437">
        <f>'Inputs by customer type'!R29</f>
        <v>0</v>
      </c>
      <c r="S118" s="437">
        <f>'Inputs by customer type'!S29</f>
        <v>0</v>
      </c>
      <c r="T118" s="437">
        <f>'Inputs by customer type'!T29</f>
        <v>0</v>
      </c>
      <c r="U118" s="437">
        <f>'Inputs by customer type'!U29</f>
        <v>60070.389599462484</v>
      </c>
      <c r="V118" s="437">
        <f>'Inputs by customer type'!V29</f>
        <v>1898.8027415114705</v>
      </c>
      <c r="W118" s="437">
        <f>'Inputs by customer type'!W29</f>
        <v>28310.579478142176</v>
      </c>
      <c r="X118" s="437">
        <f>'Inputs by customer type'!X29</f>
        <v>0</v>
      </c>
      <c r="Y118" s="437">
        <f>'Inputs by customer type'!Y29</f>
        <v>0</v>
      </c>
      <c r="Z118" s="437">
        <f>'Inputs by customer type'!Z29</f>
        <v>0</v>
      </c>
      <c r="AA118" s="437">
        <f>'Inputs by customer type'!AA29</f>
        <v>0</v>
      </c>
      <c r="AB118" s="437">
        <f>'Inputs by customer type'!AB29</f>
        <v>0</v>
      </c>
      <c r="AC118" s="437">
        <f>'Inputs by customer type'!AC29</f>
        <v>0</v>
      </c>
      <c r="AD118" s="437">
        <f>'Inputs by customer type'!AD29</f>
        <v>0</v>
      </c>
      <c r="AE118" s="437">
        <f>'Inputs by customer type'!AE29</f>
        <v>0</v>
      </c>
      <c r="AF118" s="437">
        <f>'Inputs by customer type'!AF29</f>
        <v>0</v>
      </c>
      <c r="AG118" s="437">
        <f>'Inputs by customer type'!AG29</f>
        <v>0</v>
      </c>
      <c r="AH118" s="437">
        <f>'Inputs by customer type'!AH29</f>
        <v>0</v>
      </c>
      <c r="AI118" s="437">
        <f>'Inputs by customer type'!AI29</f>
        <v>0</v>
      </c>
      <c r="AJ118" s="437">
        <f>'Inputs by customer type'!AJ29</f>
        <v>0</v>
      </c>
      <c r="AK118" s="437">
        <f>'Inputs by customer type'!AK29</f>
        <v>0</v>
      </c>
      <c r="AL118" s="437">
        <f>'Inputs by customer type'!AL29</f>
        <v>0</v>
      </c>
      <c r="AM118" s="437">
        <f>'Inputs by customer type'!AM29</f>
        <v>0</v>
      </c>
      <c r="AN118" s="437">
        <f>'Inputs by customer type'!AN29</f>
        <v>0</v>
      </c>
      <c r="AO118" s="437">
        <f>'Inputs by customer type'!AO29</f>
        <v>0</v>
      </c>
      <c r="AP118" s="437">
        <f>'Inputs by customer type'!AP29</f>
        <v>0</v>
      </c>
      <c r="BH118" s="8"/>
    </row>
    <row r="119" spans="5:60" s="21" customFormat="1" x14ac:dyDescent="0.25">
      <c r="F119" s="145" t="s">
        <v>163</v>
      </c>
      <c r="G119" s="145" t="s">
        <v>186</v>
      </c>
      <c r="H119" s="167"/>
      <c r="I119" s="167"/>
      <c r="J119" s="437">
        <f>'Inputs by customer type'!J38</f>
        <v>0</v>
      </c>
      <c r="K119" s="437">
        <f>'Inputs by customer type'!K38</f>
        <v>0</v>
      </c>
      <c r="L119" s="437">
        <f>'Inputs by customer type'!L38</f>
        <v>0</v>
      </c>
      <c r="M119" s="437">
        <f>'Inputs by customer type'!M38</f>
        <v>0</v>
      </c>
      <c r="N119" s="437">
        <f>'Inputs by customer type'!N38</f>
        <v>0</v>
      </c>
      <c r="O119" s="437">
        <f>'Inputs by customer type'!O38</f>
        <v>0</v>
      </c>
      <c r="P119" s="437">
        <f>'Inputs by customer type'!P38</f>
        <v>0</v>
      </c>
      <c r="Q119" s="437">
        <f>'Inputs by customer type'!Q38</f>
        <v>0</v>
      </c>
      <c r="R119" s="437">
        <f>'Inputs by customer type'!R38</f>
        <v>0</v>
      </c>
      <c r="S119" s="437">
        <f>'Inputs by customer type'!S38</f>
        <v>0</v>
      </c>
      <c r="T119" s="437">
        <f>'Inputs by customer type'!T38</f>
        <v>0</v>
      </c>
      <c r="U119" s="437">
        <f>'Inputs by customer type'!U38</f>
        <v>123</v>
      </c>
      <c r="V119" s="437">
        <f>'Inputs by customer type'!V38</f>
        <v>0</v>
      </c>
      <c r="W119" s="437">
        <f>'Inputs by customer type'!W38</f>
        <v>0</v>
      </c>
      <c r="X119" s="437">
        <f>'Inputs by customer type'!X38</f>
        <v>0</v>
      </c>
      <c r="Y119" s="437">
        <f>'Inputs by customer type'!Y38</f>
        <v>0</v>
      </c>
      <c r="Z119" s="437">
        <f>'Inputs by customer type'!Z38</f>
        <v>0</v>
      </c>
      <c r="AA119" s="437">
        <f>'Inputs by customer type'!AA38</f>
        <v>0</v>
      </c>
      <c r="AB119" s="437">
        <f>'Inputs by customer type'!AB38</f>
        <v>0</v>
      </c>
      <c r="AC119" s="437">
        <f>'Inputs by customer type'!AC38</f>
        <v>0</v>
      </c>
      <c r="AD119" s="437">
        <f>'Inputs by customer type'!AD38</f>
        <v>0</v>
      </c>
      <c r="AE119" s="437">
        <f>'Inputs by customer type'!AE38</f>
        <v>0</v>
      </c>
      <c r="AF119" s="437">
        <f>'Inputs by customer type'!AF38</f>
        <v>0</v>
      </c>
      <c r="AG119" s="437">
        <f>'Inputs by customer type'!AG38</f>
        <v>0</v>
      </c>
      <c r="AH119" s="437">
        <f>'Inputs by customer type'!AH38</f>
        <v>0</v>
      </c>
      <c r="AI119" s="437">
        <f>'Inputs by customer type'!AI38</f>
        <v>0</v>
      </c>
      <c r="AJ119" s="437">
        <f>'Inputs by customer type'!AJ38</f>
        <v>0</v>
      </c>
      <c r="AK119" s="437">
        <f>'Inputs by customer type'!AK38</f>
        <v>0</v>
      </c>
      <c r="AL119" s="437">
        <f>'Inputs by customer type'!AL38</f>
        <v>0</v>
      </c>
      <c r="AM119" s="437">
        <f>'Inputs by customer type'!AM38</f>
        <v>0</v>
      </c>
      <c r="AN119" s="437">
        <f>'Inputs by customer type'!AN38</f>
        <v>0</v>
      </c>
      <c r="AO119" s="437">
        <f>'Inputs by customer type'!AO38</f>
        <v>0</v>
      </c>
      <c r="AP119" s="437">
        <f>'Inputs by customer type'!AP38</f>
        <v>0</v>
      </c>
      <c r="BH119" s="8"/>
    </row>
    <row r="120" spans="5:60" s="21" customFormat="1" x14ac:dyDescent="0.25">
      <c r="F120" s="145" t="s">
        <v>164</v>
      </c>
      <c r="G120" s="145" t="s">
        <v>186</v>
      </c>
      <c r="H120" s="167"/>
      <c r="I120" s="167"/>
      <c r="J120" s="437">
        <f>'Inputs by customer type'!J47</f>
        <v>0</v>
      </c>
      <c r="K120" s="437">
        <f>'Inputs by customer type'!K47</f>
        <v>0</v>
      </c>
      <c r="L120" s="437">
        <f>'Inputs by customer type'!L47</f>
        <v>0</v>
      </c>
      <c r="M120" s="437">
        <f>'Inputs by customer type'!M47</f>
        <v>0</v>
      </c>
      <c r="N120" s="437">
        <f>'Inputs by customer type'!N47</f>
        <v>0</v>
      </c>
      <c r="O120" s="437">
        <f>'Inputs by customer type'!O47</f>
        <v>0</v>
      </c>
      <c r="P120" s="437">
        <f>'Inputs by customer type'!P47</f>
        <v>0</v>
      </c>
      <c r="Q120" s="437">
        <f>'Inputs by customer type'!Q47</f>
        <v>0</v>
      </c>
      <c r="R120" s="437">
        <f>'Inputs by customer type'!R47</f>
        <v>0</v>
      </c>
      <c r="S120" s="437">
        <f>'Inputs by customer type'!S47</f>
        <v>0</v>
      </c>
      <c r="T120" s="437">
        <f>'Inputs by customer type'!T47</f>
        <v>0</v>
      </c>
      <c r="U120" s="437">
        <f>'Inputs by customer type'!U47</f>
        <v>62.000000000000021</v>
      </c>
      <c r="V120" s="437">
        <f>'Inputs by customer type'!V47</f>
        <v>0</v>
      </c>
      <c r="W120" s="437">
        <f>'Inputs by customer type'!W47</f>
        <v>0</v>
      </c>
      <c r="X120" s="437">
        <f>'Inputs by customer type'!X47</f>
        <v>0</v>
      </c>
      <c r="Y120" s="437">
        <f>'Inputs by customer type'!Y47</f>
        <v>0</v>
      </c>
      <c r="Z120" s="437">
        <f>'Inputs by customer type'!Z47</f>
        <v>0</v>
      </c>
      <c r="AA120" s="437">
        <f>'Inputs by customer type'!AA47</f>
        <v>0</v>
      </c>
      <c r="AB120" s="437">
        <f>'Inputs by customer type'!AB47</f>
        <v>0</v>
      </c>
      <c r="AC120" s="437">
        <f>'Inputs by customer type'!AC47</f>
        <v>0</v>
      </c>
      <c r="AD120" s="437">
        <f>'Inputs by customer type'!AD47</f>
        <v>0</v>
      </c>
      <c r="AE120" s="437">
        <f>'Inputs by customer type'!AE47</f>
        <v>0</v>
      </c>
      <c r="AF120" s="437">
        <f>'Inputs by customer type'!AF47</f>
        <v>0</v>
      </c>
      <c r="AG120" s="437">
        <f>'Inputs by customer type'!AG47</f>
        <v>0</v>
      </c>
      <c r="AH120" s="437">
        <f>'Inputs by customer type'!AH47</f>
        <v>0</v>
      </c>
      <c r="AI120" s="437">
        <f>'Inputs by customer type'!AI47</f>
        <v>0</v>
      </c>
      <c r="AJ120" s="437">
        <f>'Inputs by customer type'!AJ47</f>
        <v>0</v>
      </c>
      <c r="AK120" s="437">
        <f>'Inputs by customer type'!AK47</f>
        <v>0</v>
      </c>
      <c r="AL120" s="437">
        <f>'Inputs by customer type'!AL47</f>
        <v>0</v>
      </c>
      <c r="AM120" s="437">
        <f>'Inputs by customer type'!AM47</f>
        <v>0</v>
      </c>
      <c r="AN120" s="437">
        <f>'Inputs by customer type'!AN47</f>
        <v>0</v>
      </c>
      <c r="AO120" s="437">
        <f>'Inputs by customer type'!AO47</f>
        <v>0</v>
      </c>
      <c r="AP120" s="437">
        <f>'Inputs by customer type'!AP47</f>
        <v>0</v>
      </c>
      <c r="BH120" s="8"/>
    </row>
    <row r="121" spans="5:60" s="21" customFormat="1" x14ac:dyDescent="0.25">
      <c r="F121" s="145" t="s">
        <v>196</v>
      </c>
      <c r="G121" s="145" t="s">
        <v>111</v>
      </c>
      <c r="H121" s="167"/>
      <c r="I121" s="167"/>
      <c r="J121" s="41">
        <f t="shared" ref="J121:AP121" si="30">IF(J$42, J$48, J$34)</f>
        <v>0.34755258472512618</v>
      </c>
      <c r="K121" s="41">
        <f t="shared" si="30"/>
        <v>0.34755258472512618</v>
      </c>
      <c r="L121" s="41">
        <f t="shared" si="30"/>
        <v>0.34755258472512618</v>
      </c>
      <c r="M121" s="41">
        <f t="shared" si="30"/>
        <v>0.34755258472512618</v>
      </c>
      <c r="N121" s="41">
        <f t="shared" si="30"/>
        <v>0.34755258472512618</v>
      </c>
      <c r="O121" s="41">
        <f t="shared" si="30"/>
        <v>0.34755258472512618</v>
      </c>
      <c r="P121" s="41">
        <f t="shared" si="30"/>
        <v>0.34755258472512618</v>
      </c>
      <c r="Q121" s="41">
        <f t="shared" si="30"/>
        <v>0</v>
      </c>
      <c r="R121" s="41">
        <f t="shared" si="30"/>
        <v>0</v>
      </c>
      <c r="S121" s="41">
        <f t="shared" si="30"/>
        <v>0.34755258472512618</v>
      </c>
      <c r="T121" s="41">
        <f t="shared" si="30"/>
        <v>0.34755258472512618</v>
      </c>
      <c r="U121" s="41">
        <f t="shared" si="30"/>
        <v>0.34755258472512618</v>
      </c>
      <c r="V121" s="41">
        <f t="shared" si="30"/>
        <v>0</v>
      </c>
      <c r="W121" s="41">
        <f t="shared" si="30"/>
        <v>0</v>
      </c>
      <c r="X121" s="41">
        <f t="shared" si="30"/>
        <v>0.34755258472512618</v>
      </c>
      <c r="Y121" s="41">
        <f t="shared" si="30"/>
        <v>0.34755258472512618</v>
      </c>
      <c r="Z121" s="41">
        <f t="shared" si="30"/>
        <v>0.34755258472512618</v>
      </c>
      <c r="AA121" s="41">
        <f t="shared" si="30"/>
        <v>0.34755258472512618</v>
      </c>
      <c r="AB121" s="41">
        <f t="shared" si="30"/>
        <v>0.34755258472512618</v>
      </c>
      <c r="AC121" s="41">
        <f t="shared" si="30"/>
        <v>0</v>
      </c>
      <c r="AD121" s="41">
        <f t="shared" si="30"/>
        <v>0</v>
      </c>
      <c r="AE121" s="41">
        <f t="shared" si="30"/>
        <v>0</v>
      </c>
      <c r="AF121" s="41">
        <f t="shared" si="30"/>
        <v>0</v>
      </c>
      <c r="AG121" s="41">
        <f t="shared" si="30"/>
        <v>0</v>
      </c>
      <c r="AH121" s="41">
        <f t="shared" si="30"/>
        <v>0</v>
      </c>
      <c r="AI121" s="41">
        <f t="shared" si="30"/>
        <v>0</v>
      </c>
      <c r="AJ121" s="41">
        <f t="shared" si="30"/>
        <v>0</v>
      </c>
      <c r="AK121" s="41">
        <f t="shared" si="30"/>
        <v>0</v>
      </c>
      <c r="AL121" s="41">
        <f t="shared" si="30"/>
        <v>0</v>
      </c>
      <c r="AM121" s="41">
        <f t="shared" si="30"/>
        <v>0</v>
      </c>
      <c r="AN121" s="41">
        <f t="shared" si="30"/>
        <v>0</v>
      </c>
      <c r="AO121" s="41">
        <f t="shared" si="30"/>
        <v>0</v>
      </c>
      <c r="AP121" s="41">
        <f t="shared" si="30"/>
        <v>0</v>
      </c>
      <c r="BH121" s="8"/>
    </row>
    <row r="122" spans="5:60" s="21" customFormat="1" x14ac:dyDescent="0.25">
      <c r="F122" s="145" t="s">
        <v>197</v>
      </c>
      <c r="G122" s="145" t="s">
        <v>111</v>
      </c>
      <c r="H122" s="167"/>
      <c r="I122" s="167"/>
      <c r="J122" s="41">
        <f t="shared" ref="J122:AP122" si="31">IF(J$42, J$48, J$35)</f>
        <v>0.56592745965042113</v>
      </c>
      <c r="K122" s="41">
        <f t="shared" si="31"/>
        <v>0.56592745965042113</v>
      </c>
      <c r="L122" s="41">
        <f t="shared" si="31"/>
        <v>0.56592745965042113</v>
      </c>
      <c r="M122" s="41">
        <f t="shared" si="31"/>
        <v>0.56592745965042113</v>
      </c>
      <c r="N122" s="41">
        <f t="shared" si="31"/>
        <v>0.56592745965042113</v>
      </c>
      <c r="O122" s="41">
        <f t="shared" si="31"/>
        <v>0.56592745965042113</v>
      </c>
      <c r="P122" s="41">
        <f t="shared" si="31"/>
        <v>0.56592745965042113</v>
      </c>
      <c r="Q122" s="41">
        <f t="shared" si="31"/>
        <v>0</v>
      </c>
      <c r="R122" s="41">
        <f t="shared" si="31"/>
        <v>0</v>
      </c>
      <c r="S122" s="41">
        <f t="shared" si="31"/>
        <v>0.56592745965042113</v>
      </c>
      <c r="T122" s="41">
        <f t="shared" si="31"/>
        <v>0.56592745965042113</v>
      </c>
      <c r="U122" s="41">
        <f t="shared" si="31"/>
        <v>0.56592745965042113</v>
      </c>
      <c r="V122" s="41">
        <f t="shared" si="31"/>
        <v>0.30780783362179165</v>
      </c>
      <c r="W122" s="41">
        <f t="shared" si="31"/>
        <v>0.20760110839034102</v>
      </c>
      <c r="X122" s="41">
        <f t="shared" si="31"/>
        <v>0.56592745965042113</v>
      </c>
      <c r="Y122" s="41">
        <f t="shared" si="31"/>
        <v>0.56592745965042113</v>
      </c>
      <c r="Z122" s="41">
        <f t="shared" si="31"/>
        <v>0.56592745965042113</v>
      </c>
      <c r="AA122" s="41">
        <f t="shared" si="31"/>
        <v>0.56592745965042113</v>
      </c>
      <c r="AB122" s="41">
        <f t="shared" si="31"/>
        <v>0.56592745965042113</v>
      </c>
      <c r="AC122" s="41">
        <f t="shared" si="31"/>
        <v>0</v>
      </c>
      <c r="AD122" s="41">
        <f t="shared" si="31"/>
        <v>0</v>
      </c>
      <c r="AE122" s="41">
        <f t="shared" si="31"/>
        <v>0</v>
      </c>
      <c r="AF122" s="41">
        <f t="shared" si="31"/>
        <v>0</v>
      </c>
      <c r="AG122" s="41">
        <f t="shared" si="31"/>
        <v>0</v>
      </c>
      <c r="AH122" s="41">
        <f t="shared" si="31"/>
        <v>0</v>
      </c>
      <c r="AI122" s="41">
        <f t="shared" si="31"/>
        <v>0</v>
      </c>
      <c r="AJ122" s="41">
        <f t="shared" si="31"/>
        <v>0</v>
      </c>
      <c r="AK122" s="41">
        <f t="shared" si="31"/>
        <v>0</v>
      </c>
      <c r="AL122" s="41">
        <f t="shared" si="31"/>
        <v>0</v>
      </c>
      <c r="AM122" s="41">
        <f t="shared" si="31"/>
        <v>0</v>
      </c>
      <c r="AN122" s="41">
        <f t="shared" si="31"/>
        <v>0</v>
      </c>
      <c r="AO122" s="41">
        <f t="shared" si="31"/>
        <v>0</v>
      </c>
      <c r="AP122" s="41">
        <f t="shared" si="31"/>
        <v>0</v>
      </c>
      <c r="BH122" s="8"/>
    </row>
    <row r="123" spans="5:60" s="21" customFormat="1" x14ac:dyDescent="0.25">
      <c r="F123" s="145" t="s">
        <v>183</v>
      </c>
      <c r="G123" s="145" t="s">
        <v>186</v>
      </c>
      <c r="H123" s="167"/>
      <c r="I123" s="167"/>
      <c r="J123" s="428">
        <f t="shared" ref="J123:AP123" si="32">J119 * (1 - J121)</f>
        <v>0</v>
      </c>
      <c r="K123" s="428">
        <f t="shared" si="32"/>
        <v>0</v>
      </c>
      <c r="L123" s="428">
        <f t="shared" si="32"/>
        <v>0</v>
      </c>
      <c r="M123" s="428">
        <f t="shared" si="32"/>
        <v>0</v>
      </c>
      <c r="N123" s="428">
        <f t="shared" si="32"/>
        <v>0</v>
      </c>
      <c r="O123" s="428">
        <f t="shared" si="32"/>
        <v>0</v>
      </c>
      <c r="P123" s="428">
        <f t="shared" si="32"/>
        <v>0</v>
      </c>
      <c r="Q123" s="428">
        <f t="shared" si="32"/>
        <v>0</v>
      </c>
      <c r="R123" s="428">
        <f t="shared" si="32"/>
        <v>0</v>
      </c>
      <c r="S123" s="428">
        <f t="shared" si="32"/>
        <v>0</v>
      </c>
      <c r="T123" s="428">
        <f t="shared" si="32"/>
        <v>0</v>
      </c>
      <c r="U123" s="428">
        <f t="shared" si="32"/>
        <v>80.251032078809473</v>
      </c>
      <c r="V123" s="428">
        <f t="shared" si="32"/>
        <v>0</v>
      </c>
      <c r="W123" s="428">
        <f t="shared" si="32"/>
        <v>0</v>
      </c>
      <c r="X123" s="428">
        <f t="shared" si="32"/>
        <v>0</v>
      </c>
      <c r="Y123" s="428">
        <f t="shared" si="32"/>
        <v>0</v>
      </c>
      <c r="Z123" s="428">
        <f t="shared" si="32"/>
        <v>0</v>
      </c>
      <c r="AA123" s="428">
        <f t="shared" si="32"/>
        <v>0</v>
      </c>
      <c r="AB123" s="428">
        <f t="shared" si="32"/>
        <v>0</v>
      </c>
      <c r="AC123" s="428">
        <f t="shared" si="32"/>
        <v>0</v>
      </c>
      <c r="AD123" s="428">
        <f t="shared" si="32"/>
        <v>0</v>
      </c>
      <c r="AE123" s="428">
        <f t="shared" si="32"/>
        <v>0</v>
      </c>
      <c r="AF123" s="428">
        <f t="shared" si="32"/>
        <v>0</v>
      </c>
      <c r="AG123" s="428">
        <f t="shared" si="32"/>
        <v>0</v>
      </c>
      <c r="AH123" s="428">
        <f t="shared" si="32"/>
        <v>0</v>
      </c>
      <c r="AI123" s="428">
        <f t="shared" si="32"/>
        <v>0</v>
      </c>
      <c r="AJ123" s="428">
        <f t="shared" si="32"/>
        <v>0</v>
      </c>
      <c r="AK123" s="428">
        <f t="shared" si="32"/>
        <v>0</v>
      </c>
      <c r="AL123" s="428">
        <f t="shared" si="32"/>
        <v>0</v>
      </c>
      <c r="AM123" s="428">
        <f t="shared" si="32"/>
        <v>0</v>
      </c>
      <c r="AN123" s="428">
        <f t="shared" si="32"/>
        <v>0</v>
      </c>
      <c r="AO123" s="428">
        <f t="shared" si="32"/>
        <v>0</v>
      </c>
      <c r="AP123" s="428">
        <f t="shared" si="32"/>
        <v>0</v>
      </c>
      <c r="BH123" s="8"/>
    </row>
    <row r="124" spans="5:60" s="21" customFormat="1" x14ac:dyDescent="0.25">
      <c r="F124" s="38" t="s">
        <v>195</v>
      </c>
      <c r="G124" s="38" t="s">
        <v>186</v>
      </c>
      <c r="H124" s="168"/>
      <c r="I124" s="168"/>
      <c r="J124" s="432">
        <f t="shared" ref="J124:AP124" si="33">J120 * (1 - J122)</f>
        <v>0</v>
      </c>
      <c r="K124" s="432">
        <f t="shared" si="33"/>
        <v>0</v>
      </c>
      <c r="L124" s="432">
        <f t="shared" si="33"/>
        <v>0</v>
      </c>
      <c r="M124" s="432">
        <f t="shared" si="33"/>
        <v>0</v>
      </c>
      <c r="N124" s="432">
        <f t="shared" si="33"/>
        <v>0</v>
      </c>
      <c r="O124" s="432">
        <f t="shared" si="33"/>
        <v>0</v>
      </c>
      <c r="P124" s="432">
        <f t="shared" si="33"/>
        <v>0</v>
      </c>
      <c r="Q124" s="432">
        <f t="shared" si="33"/>
        <v>0</v>
      </c>
      <c r="R124" s="432">
        <f t="shared" si="33"/>
        <v>0</v>
      </c>
      <c r="S124" s="432">
        <f t="shared" si="33"/>
        <v>0</v>
      </c>
      <c r="T124" s="432">
        <f t="shared" si="33"/>
        <v>0</v>
      </c>
      <c r="U124" s="432">
        <f t="shared" si="33"/>
        <v>26.912497501673901</v>
      </c>
      <c r="V124" s="432">
        <f t="shared" si="33"/>
        <v>0</v>
      </c>
      <c r="W124" s="432">
        <f t="shared" si="33"/>
        <v>0</v>
      </c>
      <c r="X124" s="432">
        <f t="shared" si="33"/>
        <v>0</v>
      </c>
      <c r="Y124" s="432">
        <f t="shared" si="33"/>
        <v>0</v>
      </c>
      <c r="Z124" s="432">
        <f t="shared" si="33"/>
        <v>0</v>
      </c>
      <c r="AA124" s="432">
        <f t="shared" si="33"/>
        <v>0</v>
      </c>
      <c r="AB124" s="432">
        <f t="shared" si="33"/>
        <v>0</v>
      </c>
      <c r="AC124" s="432">
        <f t="shared" si="33"/>
        <v>0</v>
      </c>
      <c r="AD124" s="432">
        <f t="shared" si="33"/>
        <v>0</v>
      </c>
      <c r="AE124" s="432">
        <f t="shared" si="33"/>
        <v>0</v>
      </c>
      <c r="AF124" s="432">
        <f t="shared" si="33"/>
        <v>0</v>
      </c>
      <c r="AG124" s="432">
        <f t="shared" si="33"/>
        <v>0</v>
      </c>
      <c r="AH124" s="432">
        <f t="shared" si="33"/>
        <v>0</v>
      </c>
      <c r="AI124" s="432">
        <f t="shared" si="33"/>
        <v>0</v>
      </c>
      <c r="AJ124" s="432">
        <f t="shared" si="33"/>
        <v>0</v>
      </c>
      <c r="AK124" s="432">
        <f t="shared" si="33"/>
        <v>0</v>
      </c>
      <c r="AL124" s="432">
        <f t="shared" si="33"/>
        <v>0</v>
      </c>
      <c r="AM124" s="432">
        <f t="shared" si="33"/>
        <v>0</v>
      </c>
      <c r="AN124" s="432">
        <f t="shared" si="33"/>
        <v>0</v>
      </c>
      <c r="AO124" s="432">
        <f t="shared" si="33"/>
        <v>0</v>
      </c>
      <c r="AP124" s="432">
        <f t="shared" si="33"/>
        <v>0</v>
      </c>
      <c r="BH124" s="8"/>
    </row>
    <row r="125" spans="5:60" s="21" customFormat="1" x14ac:dyDescent="0.25">
      <c r="F125" s="145" t="s">
        <v>184</v>
      </c>
      <c r="G125" s="145" t="s">
        <v>186</v>
      </c>
      <c r="H125" s="167"/>
      <c r="I125" s="167"/>
      <c r="J125" s="420">
        <f t="shared" ref="J125:AP125" si="34">J118 + J123 + J124</f>
        <v>0</v>
      </c>
      <c r="K125" s="420">
        <f t="shared" si="34"/>
        <v>0</v>
      </c>
      <c r="L125" s="420">
        <f t="shared" si="34"/>
        <v>0</v>
      </c>
      <c r="M125" s="420">
        <f t="shared" si="34"/>
        <v>0</v>
      </c>
      <c r="N125" s="420">
        <f t="shared" si="34"/>
        <v>0</v>
      </c>
      <c r="O125" s="420">
        <f t="shared" si="34"/>
        <v>0</v>
      </c>
      <c r="P125" s="420">
        <f t="shared" si="34"/>
        <v>0</v>
      </c>
      <c r="Q125" s="420">
        <f t="shared" si="34"/>
        <v>0</v>
      </c>
      <c r="R125" s="420">
        <f t="shared" si="34"/>
        <v>0</v>
      </c>
      <c r="S125" s="420">
        <f t="shared" si="34"/>
        <v>0</v>
      </c>
      <c r="T125" s="420">
        <f t="shared" si="34"/>
        <v>0</v>
      </c>
      <c r="U125" s="420">
        <f t="shared" si="34"/>
        <v>60177.553129042964</v>
      </c>
      <c r="V125" s="420">
        <f t="shared" si="34"/>
        <v>1898.8027415114705</v>
      </c>
      <c r="W125" s="420">
        <f t="shared" si="34"/>
        <v>28310.579478142176</v>
      </c>
      <c r="X125" s="420">
        <f t="shared" si="34"/>
        <v>0</v>
      </c>
      <c r="Y125" s="420">
        <f t="shared" si="34"/>
        <v>0</v>
      </c>
      <c r="Z125" s="420">
        <f t="shared" si="34"/>
        <v>0</v>
      </c>
      <c r="AA125" s="420">
        <f t="shared" si="34"/>
        <v>0</v>
      </c>
      <c r="AB125" s="420">
        <f t="shared" si="34"/>
        <v>0</v>
      </c>
      <c r="AC125" s="420">
        <f t="shared" si="34"/>
        <v>0</v>
      </c>
      <c r="AD125" s="420">
        <f t="shared" si="34"/>
        <v>0</v>
      </c>
      <c r="AE125" s="420">
        <f t="shared" si="34"/>
        <v>0</v>
      </c>
      <c r="AF125" s="420">
        <f t="shared" si="34"/>
        <v>0</v>
      </c>
      <c r="AG125" s="420">
        <f t="shared" si="34"/>
        <v>0</v>
      </c>
      <c r="AH125" s="420">
        <f t="shared" si="34"/>
        <v>0</v>
      </c>
      <c r="AI125" s="420">
        <f t="shared" si="34"/>
        <v>0</v>
      </c>
      <c r="AJ125" s="420">
        <f t="shared" si="34"/>
        <v>0</v>
      </c>
      <c r="AK125" s="420">
        <f t="shared" si="34"/>
        <v>0</v>
      </c>
      <c r="AL125" s="420">
        <f t="shared" si="34"/>
        <v>0</v>
      </c>
      <c r="AM125" s="420">
        <f t="shared" si="34"/>
        <v>0</v>
      </c>
      <c r="AN125" s="420">
        <f t="shared" si="34"/>
        <v>0</v>
      </c>
      <c r="AO125" s="420">
        <f t="shared" si="34"/>
        <v>0</v>
      </c>
      <c r="AP125" s="420">
        <f t="shared" si="34"/>
        <v>0</v>
      </c>
      <c r="BH125" s="8"/>
    </row>
    <row r="126" spans="5:60" s="21" customFormat="1" x14ac:dyDescent="0.25">
      <c r="E126" s="36"/>
      <c r="G126" s="15"/>
      <c r="H126" s="15"/>
      <c r="I126" s="15"/>
      <c r="J126" s="435"/>
      <c r="K126" s="435"/>
      <c r="L126" s="435"/>
      <c r="M126" s="435"/>
      <c r="N126" s="435"/>
      <c r="O126" s="435"/>
      <c r="P126" s="416"/>
      <c r="Q126" s="416"/>
      <c r="R126" s="416"/>
      <c r="S126" s="416"/>
      <c r="T126" s="416"/>
      <c r="U126" s="416"/>
      <c r="V126" s="416"/>
      <c r="W126" s="416"/>
      <c r="X126" s="416"/>
      <c r="Y126" s="416"/>
      <c r="Z126" s="416"/>
      <c r="AA126" s="416"/>
      <c r="AB126" s="416"/>
      <c r="AC126" s="416"/>
      <c r="AD126" s="416"/>
      <c r="AE126" s="416"/>
      <c r="AF126" s="416"/>
      <c r="AG126" s="416"/>
      <c r="AH126" s="416"/>
      <c r="AI126" s="416"/>
      <c r="AJ126" s="416"/>
      <c r="AK126" s="416"/>
      <c r="AL126" s="416"/>
      <c r="AM126" s="416"/>
      <c r="AN126" s="416"/>
      <c r="AO126" s="416"/>
      <c r="AP126" s="416"/>
      <c r="BH126" s="8"/>
    </row>
    <row r="127" spans="5:60" s="21" customFormat="1" x14ac:dyDescent="0.25">
      <c r="E127" s="172" t="s">
        <v>332</v>
      </c>
      <c r="G127" s="15"/>
      <c r="H127" s="15"/>
      <c r="I127" s="15" t="s">
        <v>525</v>
      </c>
      <c r="J127" s="435"/>
      <c r="K127" s="435"/>
      <c r="L127" s="435"/>
      <c r="M127" s="435"/>
      <c r="N127" s="435"/>
      <c r="O127" s="435"/>
      <c r="P127" s="416"/>
      <c r="Q127" s="416"/>
      <c r="R127" s="416"/>
      <c r="S127" s="416"/>
      <c r="T127" s="416"/>
      <c r="U127" s="416"/>
      <c r="V127" s="416"/>
      <c r="W127" s="416"/>
      <c r="X127" s="416"/>
      <c r="Y127" s="416"/>
      <c r="Z127" s="416"/>
      <c r="AA127" s="416"/>
      <c r="AB127" s="416"/>
      <c r="AC127" s="416"/>
      <c r="AD127" s="416"/>
      <c r="AE127" s="416"/>
      <c r="AF127" s="416"/>
      <c r="AG127" s="416"/>
      <c r="AH127" s="416"/>
      <c r="AI127" s="416"/>
      <c r="AJ127" s="416"/>
      <c r="AK127" s="416"/>
      <c r="AL127" s="416"/>
      <c r="AM127" s="416"/>
      <c r="AN127" s="416"/>
      <c r="AO127" s="416"/>
      <c r="AP127" s="416"/>
      <c r="AR127" s="160" t="s">
        <v>941</v>
      </c>
      <c r="BH127" s="8"/>
    </row>
    <row r="128" spans="5:60" s="474" customFormat="1" x14ac:dyDescent="0.25">
      <c r="E128" s="172"/>
      <c r="G128" s="339"/>
      <c r="H128" s="339"/>
      <c r="I128" s="339"/>
      <c r="J128" s="435"/>
      <c r="K128" s="435"/>
      <c r="L128" s="435"/>
      <c r="M128" s="435"/>
      <c r="N128" s="435"/>
      <c r="O128" s="435"/>
      <c r="P128" s="416"/>
      <c r="Q128" s="416"/>
      <c r="R128" s="416"/>
      <c r="S128" s="416"/>
      <c r="T128" s="416"/>
      <c r="U128" s="416"/>
      <c r="V128" s="416"/>
      <c r="W128" s="416"/>
      <c r="X128" s="416"/>
      <c r="Y128" s="416"/>
      <c r="Z128" s="416"/>
      <c r="AA128" s="416"/>
      <c r="AB128" s="416"/>
      <c r="AC128" s="416"/>
      <c r="AD128" s="416"/>
      <c r="AE128" s="416"/>
      <c r="AF128" s="416"/>
      <c r="AG128" s="416"/>
      <c r="AH128" s="416"/>
      <c r="AI128" s="416"/>
      <c r="AJ128" s="416"/>
      <c r="AK128" s="416"/>
      <c r="AL128" s="416"/>
      <c r="AM128" s="416"/>
      <c r="AN128" s="416"/>
      <c r="AO128" s="416"/>
      <c r="AP128" s="416"/>
      <c r="BH128" s="163"/>
    </row>
    <row r="129" spans="2:60" s="21" customFormat="1" x14ac:dyDescent="0.25">
      <c r="F129" s="145" t="s">
        <v>162</v>
      </c>
      <c r="G129" s="145" t="s">
        <v>187</v>
      </c>
      <c r="H129" s="167"/>
      <c r="I129" s="167"/>
      <c r="J129" s="437">
        <f>'Inputs by customer type'!J30</f>
        <v>0</v>
      </c>
      <c r="K129" s="437">
        <f>'Inputs by customer type'!K30</f>
        <v>0</v>
      </c>
      <c r="L129" s="437">
        <f>'Inputs by customer type'!L30</f>
        <v>0</v>
      </c>
      <c r="M129" s="437">
        <f>'Inputs by customer type'!M30</f>
        <v>0</v>
      </c>
      <c r="N129" s="437">
        <f>'Inputs by customer type'!N30</f>
        <v>0</v>
      </c>
      <c r="O129" s="437">
        <f>'Inputs by customer type'!O30</f>
        <v>0</v>
      </c>
      <c r="P129" s="437">
        <f>'Inputs by customer type'!P30</f>
        <v>0</v>
      </c>
      <c r="Q129" s="437">
        <f>'Inputs by customer type'!Q30</f>
        <v>0</v>
      </c>
      <c r="R129" s="437">
        <f>'Inputs by customer type'!R30</f>
        <v>0</v>
      </c>
      <c r="S129" s="437">
        <f>'Inputs by customer type'!S30</f>
        <v>0</v>
      </c>
      <c r="T129" s="437">
        <f>'Inputs by customer type'!T30</f>
        <v>0</v>
      </c>
      <c r="U129" s="437">
        <f>'Inputs by customer type'!U30</f>
        <v>495537.78754534118</v>
      </c>
      <c r="V129" s="437">
        <f>'Inputs by customer type'!V30</f>
        <v>24991.029942327667</v>
      </c>
      <c r="W129" s="437">
        <f>'Inputs by customer type'!W30</f>
        <v>355995.74561946333</v>
      </c>
      <c r="X129" s="437">
        <f>'Inputs by customer type'!X30</f>
        <v>0</v>
      </c>
      <c r="Y129" s="437">
        <f>'Inputs by customer type'!Y30</f>
        <v>0</v>
      </c>
      <c r="Z129" s="437">
        <f>'Inputs by customer type'!Z30</f>
        <v>0</v>
      </c>
      <c r="AA129" s="437">
        <f>'Inputs by customer type'!AA30</f>
        <v>0</v>
      </c>
      <c r="AB129" s="437">
        <f>'Inputs by customer type'!AB30</f>
        <v>0</v>
      </c>
      <c r="AC129" s="437">
        <f>'Inputs by customer type'!AC30</f>
        <v>0</v>
      </c>
      <c r="AD129" s="437">
        <f>'Inputs by customer type'!AD30</f>
        <v>0</v>
      </c>
      <c r="AE129" s="437">
        <f>'Inputs by customer type'!AE30</f>
        <v>5006.8769289301918</v>
      </c>
      <c r="AF129" s="437">
        <f>'Inputs by customer type'!AF30</f>
        <v>0</v>
      </c>
      <c r="AG129" s="437">
        <f>'Inputs by customer type'!AG30</f>
        <v>364.90995026032709</v>
      </c>
      <c r="AH129" s="437">
        <f>'Inputs by customer type'!AH30</f>
        <v>0</v>
      </c>
      <c r="AI129" s="437">
        <f>'Inputs by customer type'!AI30</f>
        <v>0</v>
      </c>
      <c r="AJ129" s="437">
        <f>'Inputs by customer type'!AJ30</f>
        <v>0</v>
      </c>
      <c r="AK129" s="437">
        <f>'Inputs by customer type'!AK30</f>
        <v>0</v>
      </c>
      <c r="AL129" s="437">
        <f>'Inputs by customer type'!AL30</f>
        <v>0</v>
      </c>
      <c r="AM129" s="437">
        <f>'Inputs by customer type'!AM30</f>
        <v>21616.418527358299</v>
      </c>
      <c r="AN129" s="437">
        <f>'Inputs by customer type'!AN30</f>
        <v>0</v>
      </c>
      <c r="AO129" s="437">
        <f>'Inputs by customer type'!AO30</f>
        <v>22280.782866737216</v>
      </c>
      <c r="AP129" s="437">
        <f>'Inputs by customer type'!AP30</f>
        <v>0</v>
      </c>
      <c r="BH129" s="8"/>
    </row>
    <row r="130" spans="2:60" s="21" customFormat="1" x14ac:dyDescent="0.25">
      <c r="F130" s="145" t="s">
        <v>163</v>
      </c>
      <c r="G130" s="145" t="s">
        <v>187</v>
      </c>
      <c r="H130" s="167"/>
      <c r="I130" s="167"/>
      <c r="J130" s="437">
        <f>'Inputs by customer type'!J39</f>
        <v>0</v>
      </c>
      <c r="K130" s="437">
        <f>'Inputs by customer type'!K39</f>
        <v>0</v>
      </c>
      <c r="L130" s="437">
        <f>'Inputs by customer type'!L39</f>
        <v>0</v>
      </c>
      <c r="M130" s="437">
        <f>'Inputs by customer type'!M39</f>
        <v>0</v>
      </c>
      <c r="N130" s="437">
        <f>'Inputs by customer type'!N39</f>
        <v>0</v>
      </c>
      <c r="O130" s="437">
        <f>'Inputs by customer type'!O39</f>
        <v>0</v>
      </c>
      <c r="P130" s="437">
        <f>'Inputs by customer type'!P39</f>
        <v>0</v>
      </c>
      <c r="Q130" s="437">
        <f>'Inputs by customer type'!Q39</f>
        <v>0</v>
      </c>
      <c r="R130" s="437">
        <f>'Inputs by customer type'!R39</f>
        <v>0</v>
      </c>
      <c r="S130" s="437">
        <f>'Inputs by customer type'!S39</f>
        <v>0</v>
      </c>
      <c r="T130" s="437">
        <f>'Inputs by customer type'!T39</f>
        <v>0</v>
      </c>
      <c r="U130" s="437">
        <f>'Inputs by customer type'!U39</f>
        <v>2049.8358140473201</v>
      </c>
      <c r="V130" s="437">
        <f>'Inputs by customer type'!V39</f>
        <v>0</v>
      </c>
      <c r="W130" s="437">
        <f>'Inputs by customer type'!W39</f>
        <v>0</v>
      </c>
      <c r="X130" s="437">
        <f>'Inputs by customer type'!X39</f>
        <v>0</v>
      </c>
      <c r="Y130" s="437">
        <f>'Inputs by customer type'!Y39</f>
        <v>0</v>
      </c>
      <c r="Z130" s="437">
        <f>'Inputs by customer type'!Z39</f>
        <v>0</v>
      </c>
      <c r="AA130" s="437">
        <f>'Inputs by customer type'!AA39</f>
        <v>0</v>
      </c>
      <c r="AB130" s="437">
        <f>'Inputs by customer type'!AB39</f>
        <v>0</v>
      </c>
      <c r="AC130" s="437">
        <f>'Inputs by customer type'!AC39</f>
        <v>0</v>
      </c>
      <c r="AD130" s="437">
        <f>'Inputs by customer type'!AD39</f>
        <v>0</v>
      </c>
      <c r="AE130" s="437">
        <f>'Inputs by customer type'!AE39</f>
        <v>0</v>
      </c>
      <c r="AF130" s="437">
        <f>'Inputs by customer type'!AF39</f>
        <v>0</v>
      </c>
      <c r="AG130" s="437">
        <f>'Inputs by customer type'!AG39</f>
        <v>0</v>
      </c>
      <c r="AH130" s="437">
        <f>'Inputs by customer type'!AH39</f>
        <v>0</v>
      </c>
      <c r="AI130" s="437">
        <f>'Inputs by customer type'!AI39</f>
        <v>0</v>
      </c>
      <c r="AJ130" s="437">
        <f>'Inputs by customer type'!AJ39</f>
        <v>0</v>
      </c>
      <c r="AK130" s="437">
        <f>'Inputs by customer type'!AK39</f>
        <v>0</v>
      </c>
      <c r="AL130" s="437">
        <f>'Inputs by customer type'!AL39</f>
        <v>0</v>
      </c>
      <c r="AM130" s="437">
        <f>'Inputs by customer type'!AM39</f>
        <v>0</v>
      </c>
      <c r="AN130" s="437">
        <f>'Inputs by customer type'!AN39</f>
        <v>0</v>
      </c>
      <c r="AO130" s="437">
        <f>'Inputs by customer type'!AO39</f>
        <v>0</v>
      </c>
      <c r="AP130" s="437">
        <f>'Inputs by customer type'!AP39</f>
        <v>0</v>
      </c>
      <c r="BH130" s="8"/>
    </row>
    <row r="131" spans="2:60" s="21" customFormat="1" x14ac:dyDescent="0.25">
      <c r="F131" s="145" t="s">
        <v>164</v>
      </c>
      <c r="G131" s="145" t="s">
        <v>187</v>
      </c>
      <c r="H131" s="167"/>
      <c r="I131" s="167"/>
      <c r="J131" s="437">
        <f>'Inputs by customer type'!J48</f>
        <v>0</v>
      </c>
      <c r="K131" s="437">
        <f>'Inputs by customer type'!K48</f>
        <v>0</v>
      </c>
      <c r="L131" s="437">
        <f>'Inputs by customer type'!L48</f>
        <v>0</v>
      </c>
      <c r="M131" s="437">
        <f>'Inputs by customer type'!M48</f>
        <v>0</v>
      </c>
      <c r="N131" s="437">
        <f>'Inputs by customer type'!N48</f>
        <v>0</v>
      </c>
      <c r="O131" s="437">
        <f>'Inputs by customer type'!O48</f>
        <v>0</v>
      </c>
      <c r="P131" s="437">
        <f>'Inputs by customer type'!P48</f>
        <v>0</v>
      </c>
      <c r="Q131" s="437">
        <f>'Inputs by customer type'!Q48</f>
        <v>0</v>
      </c>
      <c r="R131" s="437">
        <f>'Inputs by customer type'!R48</f>
        <v>0</v>
      </c>
      <c r="S131" s="437">
        <f>'Inputs by customer type'!S48</f>
        <v>0</v>
      </c>
      <c r="T131" s="437">
        <f>'Inputs by customer type'!T48</f>
        <v>0</v>
      </c>
      <c r="U131" s="437">
        <f>'Inputs by customer type'!U48</f>
        <v>4751.2714203241194</v>
      </c>
      <c r="V131" s="437">
        <f>'Inputs by customer type'!V48</f>
        <v>6522.9622123524096</v>
      </c>
      <c r="W131" s="437">
        <f>'Inputs by customer type'!W48</f>
        <v>0</v>
      </c>
      <c r="X131" s="437">
        <f>'Inputs by customer type'!X48</f>
        <v>0</v>
      </c>
      <c r="Y131" s="437">
        <f>'Inputs by customer type'!Y48</f>
        <v>0</v>
      </c>
      <c r="Z131" s="437">
        <f>'Inputs by customer type'!Z48</f>
        <v>0</v>
      </c>
      <c r="AA131" s="437">
        <f>'Inputs by customer type'!AA48</f>
        <v>0</v>
      </c>
      <c r="AB131" s="437">
        <f>'Inputs by customer type'!AB48</f>
        <v>0</v>
      </c>
      <c r="AC131" s="437">
        <f>'Inputs by customer type'!AC48</f>
        <v>0</v>
      </c>
      <c r="AD131" s="437">
        <f>'Inputs by customer type'!AD48</f>
        <v>0</v>
      </c>
      <c r="AE131" s="437">
        <f>'Inputs by customer type'!AE48</f>
        <v>0</v>
      </c>
      <c r="AF131" s="437">
        <f>'Inputs by customer type'!AF48</f>
        <v>0</v>
      </c>
      <c r="AG131" s="437">
        <f>'Inputs by customer type'!AG48</f>
        <v>0</v>
      </c>
      <c r="AH131" s="437">
        <f>'Inputs by customer type'!AH48</f>
        <v>0</v>
      </c>
      <c r="AI131" s="437">
        <f>'Inputs by customer type'!AI48</f>
        <v>0</v>
      </c>
      <c r="AJ131" s="437">
        <f>'Inputs by customer type'!AJ48</f>
        <v>0</v>
      </c>
      <c r="AK131" s="437">
        <f>'Inputs by customer type'!AK48</f>
        <v>0</v>
      </c>
      <c r="AL131" s="437">
        <f>'Inputs by customer type'!AL48</f>
        <v>0</v>
      </c>
      <c r="AM131" s="437">
        <f>'Inputs by customer type'!AM48</f>
        <v>0</v>
      </c>
      <c r="AN131" s="437">
        <f>'Inputs by customer type'!AN48</f>
        <v>0</v>
      </c>
      <c r="AO131" s="437">
        <f>'Inputs by customer type'!AO48</f>
        <v>0</v>
      </c>
      <c r="AP131" s="437">
        <f>'Inputs by customer type'!AP48</f>
        <v>0</v>
      </c>
      <c r="BH131" s="8"/>
    </row>
    <row r="132" spans="2:60" s="21" customFormat="1" x14ac:dyDescent="0.25">
      <c r="F132" s="145" t="s">
        <v>196</v>
      </c>
      <c r="G132" s="145" t="s">
        <v>111</v>
      </c>
      <c r="H132" s="167"/>
      <c r="I132" s="167"/>
      <c r="J132" s="41">
        <f t="shared" ref="J132:AP132" si="35">IF(J$43, J$49, J$34)</f>
        <v>0.34755258472512618</v>
      </c>
      <c r="K132" s="41">
        <f t="shared" si="35"/>
        <v>0.34755258472512618</v>
      </c>
      <c r="L132" s="41">
        <f t="shared" si="35"/>
        <v>0.34755258472512618</v>
      </c>
      <c r="M132" s="41">
        <f t="shared" si="35"/>
        <v>0.34755258472512618</v>
      </c>
      <c r="N132" s="41">
        <f t="shared" si="35"/>
        <v>0.34755258472512618</v>
      </c>
      <c r="O132" s="41">
        <f t="shared" si="35"/>
        <v>0.34755258472512618</v>
      </c>
      <c r="P132" s="41">
        <f t="shared" si="35"/>
        <v>0.34755258472512618</v>
      </c>
      <c r="Q132" s="41">
        <f t="shared" si="35"/>
        <v>0</v>
      </c>
      <c r="R132" s="41">
        <f t="shared" si="35"/>
        <v>0</v>
      </c>
      <c r="S132" s="41">
        <f t="shared" si="35"/>
        <v>0.34755258472512618</v>
      </c>
      <c r="T132" s="41">
        <f t="shared" si="35"/>
        <v>0.34755258472512618</v>
      </c>
      <c r="U132" s="41">
        <f t="shared" si="35"/>
        <v>0.34755258472512618</v>
      </c>
      <c r="V132" s="41">
        <f t="shared" si="35"/>
        <v>0</v>
      </c>
      <c r="W132" s="41">
        <f t="shared" si="35"/>
        <v>0</v>
      </c>
      <c r="X132" s="41">
        <f t="shared" si="35"/>
        <v>0.34755258472512618</v>
      </c>
      <c r="Y132" s="41">
        <f t="shared" si="35"/>
        <v>0.34755258472512618</v>
      </c>
      <c r="Z132" s="41">
        <f t="shared" si="35"/>
        <v>0.34755258472512618</v>
      </c>
      <c r="AA132" s="41">
        <f t="shared" si="35"/>
        <v>0.34755258472512618</v>
      </c>
      <c r="AB132" s="41">
        <f t="shared" si="35"/>
        <v>0.34755258472512618</v>
      </c>
      <c r="AC132" s="41">
        <f t="shared" si="35"/>
        <v>0</v>
      </c>
      <c r="AD132" s="41">
        <f t="shared" si="35"/>
        <v>0</v>
      </c>
      <c r="AE132" s="41">
        <f t="shared" si="35"/>
        <v>0</v>
      </c>
      <c r="AF132" s="41">
        <f t="shared" si="35"/>
        <v>0</v>
      </c>
      <c r="AG132" s="41">
        <f t="shared" si="35"/>
        <v>0</v>
      </c>
      <c r="AH132" s="41">
        <f t="shared" si="35"/>
        <v>0</v>
      </c>
      <c r="AI132" s="41">
        <f t="shared" si="35"/>
        <v>0</v>
      </c>
      <c r="AJ132" s="41">
        <f t="shared" si="35"/>
        <v>0</v>
      </c>
      <c r="AK132" s="41">
        <f t="shared" si="35"/>
        <v>0</v>
      </c>
      <c r="AL132" s="41">
        <f t="shared" si="35"/>
        <v>0</v>
      </c>
      <c r="AM132" s="41">
        <f t="shared" si="35"/>
        <v>0</v>
      </c>
      <c r="AN132" s="41">
        <f t="shared" si="35"/>
        <v>0</v>
      </c>
      <c r="AO132" s="41">
        <f t="shared" si="35"/>
        <v>0</v>
      </c>
      <c r="AP132" s="41">
        <f t="shared" si="35"/>
        <v>0</v>
      </c>
      <c r="BH132" s="8"/>
    </row>
    <row r="133" spans="2:60" s="21" customFormat="1" x14ac:dyDescent="0.25">
      <c r="F133" s="145" t="s">
        <v>197</v>
      </c>
      <c r="G133" s="145" t="s">
        <v>111</v>
      </c>
      <c r="H133" s="167"/>
      <c r="I133" s="167"/>
      <c r="J133" s="41">
        <f t="shared" ref="J133:AP133" si="36">IF(J$43, J$49, J$35)</f>
        <v>0.56592745965042113</v>
      </c>
      <c r="K133" s="41">
        <f t="shared" si="36"/>
        <v>0.56592745965042113</v>
      </c>
      <c r="L133" s="41">
        <f t="shared" si="36"/>
        <v>0.56592745965042113</v>
      </c>
      <c r="M133" s="41">
        <f t="shared" si="36"/>
        <v>0.56592745965042113</v>
      </c>
      <c r="N133" s="41">
        <f t="shared" si="36"/>
        <v>0.56592745965042113</v>
      </c>
      <c r="O133" s="41">
        <f t="shared" si="36"/>
        <v>0.56592745965042113</v>
      </c>
      <c r="P133" s="41">
        <f t="shared" si="36"/>
        <v>0.56592745965042113</v>
      </c>
      <c r="Q133" s="41">
        <f t="shared" si="36"/>
        <v>0</v>
      </c>
      <c r="R133" s="41">
        <f t="shared" si="36"/>
        <v>0</v>
      </c>
      <c r="S133" s="41">
        <f t="shared" si="36"/>
        <v>0.56592745965042113</v>
      </c>
      <c r="T133" s="41">
        <f t="shared" si="36"/>
        <v>0.56592745965042113</v>
      </c>
      <c r="U133" s="41">
        <f t="shared" si="36"/>
        <v>0.56592745965042113</v>
      </c>
      <c r="V133" s="41">
        <f t="shared" si="36"/>
        <v>0.30780783362179165</v>
      </c>
      <c r="W133" s="41">
        <f t="shared" si="36"/>
        <v>0.20760110839034102</v>
      </c>
      <c r="X133" s="41">
        <f t="shared" si="36"/>
        <v>0.56592745965042113</v>
      </c>
      <c r="Y133" s="41">
        <f t="shared" si="36"/>
        <v>0.56592745965042113</v>
      </c>
      <c r="Z133" s="41">
        <f t="shared" si="36"/>
        <v>0.56592745965042113</v>
      </c>
      <c r="AA133" s="41">
        <f t="shared" si="36"/>
        <v>0.56592745965042113</v>
      </c>
      <c r="AB133" s="41">
        <f t="shared" si="36"/>
        <v>0.56592745965042113</v>
      </c>
      <c r="AC133" s="41">
        <f t="shared" si="36"/>
        <v>0</v>
      </c>
      <c r="AD133" s="41">
        <f t="shared" si="36"/>
        <v>0</v>
      </c>
      <c r="AE133" s="41">
        <f t="shared" si="36"/>
        <v>0</v>
      </c>
      <c r="AF133" s="41">
        <f t="shared" si="36"/>
        <v>0</v>
      </c>
      <c r="AG133" s="41">
        <f t="shared" si="36"/>
        <v>0</v>
      </c>
      <c r="AH133" s="41">
        <f t="shared" si="36"/>
        <v>0</v>
      </c>
      <c r="AI133" s="41">
        <f t="shared" si="36"/>
        <v>0</v>
      </c>
      <c r="AJ133" s="41">
        <f t="shared" si="36"/>
        <v>0</v>
      </c>
      <c r="AK133" s="41">
        <f t="shared" si="36"/>
        <v>0</v>
      </c>
      <c r="AL133" s="41">
        <f t="shared" si="36"/>
        <v>0</v>
      </c>
      <c r="AM133" s="41">
        <f t="shared" si="36"/>
        <v>0</v>
      </c>
      <c r="AN133" s="41">
        <f t="shared" si="36"/>
        <v>0</v>
      </c>
      <c r="AO133" s="41">
        <f t="shared" si="36"/>
        <v>0</v>
      </c>
      <c r="AP133" s="41">
        <f t="shared" si="36"/>
        <v>0</v>
      </c>
      <c r="BH133" s="8"/>
    </row>
    <row r="134" spans="2:60" s="21" customFormat="1" x14ac:dyDescent="0.25">
      <c r="F134" s="145" t="s">
        <v>183</v>
      </c>
      <c r="G134" s="145" t="s">
        <v>187</v>
      </c>
      <c r="H134" s="167"/>
      <c r="I134" s="167"/>
      <c r="J134" s="428">
        <f t="shared" ref="J134:AP134" si="37">J130 * (1 - J132)</f>
        <v>0</v>
      </c>
      <c r="K134" s="428">
        <f t="shared" si="37"/>
        <v>0</v>
      </c>
      <c r="L134" s="428">
        <f t="shared" si="37"/>
        <v>0</v>
      </c>
      <c r="M134" s="428">
        <f t="shared" si="37"/>
        <v>0</v>
      </c>
      <c r="N134" s="428">
        <f t="shared" si="37"/>
        <v>0</v>
      </c>
      <c r="O134" s="428">
        <f t="shared" si="37"/>
        <v>0</v>
      </c>
      <c r="P134" s="428">
        <f t="shared" si="37"/>
        <v>0</v>
      </c>
      <c r="Q134" s="428">
        <f t="shared" si="37"/>
        <v>0</v>
      </c>
      <c r="R134" s="428">
        <f t="shared" si="37"/>
        <v>0</v>
      </c>
      <c r="S134" s="428">
        <f t="shared" si="37"/>
        <v>0</v>
      </c>
      <c r="T134" s="428">
        <f t="shared" si="37"/>
        <v>0</v>
      </c>
      <c r="U134" s="428">
        <f t="shared" si="37"/>
        <v>1337.4100786130409</v>
      </c>
      <c r="V134" s="428">
        <f t="shared" si="37"/>
        <v>0</v>
      </c>
      <c r="W134" s="428">
        <f t="shared" si="37"/>
        <v>0</v>
      </c>
      <c r="X134" s="428">
        <f t="shared" si="37"/>
        <v>0</v>
      </c>
      <c r="Y134" s="428">
        <f t="shared" si="37"/>
        <v>0</v>
      </c>
      <c r="Z134" s="428">
        <f t="shared" si="37"/>
        <v>0</v>
      </c>
      <c r="AA134" s="428">
        <f t="shared" si="37"/>
        <v>0</v>
      </c>
      <c r="AB134" s="428">
        <f t="shared" si="37"/>
        <v>0</v>
      </c>
      <c r="AC134" s="428">
        <f t="shared" si="37"/>
        <v>0</v>
      </c>
      <c r="AD134" s="428">
        <f t="shared" si="37"/>
        <v>0</v>
      </c>
      <c r="AE134" s="428">
        <f t="shared" si="37"/>
        <v>0</v>
      </c>
      <c r="AF134" s="428">
        <f t="shared" si="37"/>
        <v>0</v>
      </c>
      <c r="AG134" s="428">
        <f t="shared" si="37"/>
        <v>0</v>
      </c>
      <c r="AH134" s="428">
        <f t="shared" si="37"/>
        <v>0</v>
      </c>
      <c r="AI134" s="428">
        <f t="shared" si="37"/>
        <v>0</v>
      </c>
      <c r="AJ134" s="428">
        <f t="shared" si="37"/>
        <v>0</v>
      </c>
      <c r="AK134" s="428">
        <f t="shared" si="37"/>
        <v>0</v>
      </c>
      <c r="AL134" s="428">
        <f t="shared" si="37"/>
        <v>0</v>
      </c>
      <c r="AM134" s="428">
        <f t="shared" si="37"/>
        <v>0</v>
      </c>
      <c r="AN134" s="428">
        <f t="shared" si="37"/>
        <v>0</v>
      </c>
      <c r="AO134" s="428">
        <f t="shared" si="37"/>
        <v>0</v>
      </c>
      <c r="AP134" s="428">
        <f t="shared" si="37"/>
        <v>0</v>
      </c>
      <c r="BH134" s="8"/>
    </row>
    <row r="135" spans="2:60" s="21" customFormat="1" x14ac:dyDescent="0.25">
      <c r="F135" s="38" t="s">
        <v>195</v>
      </c>
      <c r="G135" s="38" t="s">
        <v>187</v>
      </c>
      <c r="H135" s="168"/>
      <c r="I135" s="168"/>
      <c r="J135" s="432">
        <f t="shared" ref="J135:AP135" si="38">J131 * (1 - J133)</f>
        <v>0</v>
      </c>
      <c r="K135" s="432">
        <f t="shared" si="38"/>
        <v>0</v>
      </c>
      <c r="L135" s="432">
        <f t="shared" si="38"/>
        <v>0</v>
      </c>
      <c r="M135" s="432">
        <f t="shared" si="38"/>
        <v>0</v>
      </c>
      <c r="N135" s="432">
        <f t="shared" si="38"/>
        <v>0</v>
      </c>
      <c r="O135" s="432">
        <f t="shared" si="38"/>
        <v>0</v>
      </c>
      <c r="P135" s="432">
        <f t="shared" si="38"/>
        <v>0</v>
      </c>
      <c r="Q135" s="432">
        <f t="shared" si="38"/>
        <v>0</v>
      </c>
      <c r="R135" s="432">
        <f t="shared" si="38"/>
        <v>0</v>
      </c>
      <c r="S135" s="432">
        <f t="shared" si="38"/>
        <v>0</v>
      </c>
      <c r="T135" s="432">
        <f t="shared" si="38"/>
        <v>0</v>
      </c>
      <c r="U135" s="432">
        <f t="shared" si="38"/>
        <v>2062.3964553104424</v>
      </c>
      <c r="V135" s="432">
        <f t="shared" si="38"/>
        <v>4515.143344971405</v>
      </c>
      <c r="W135" s="432">
        <f t="shared" si="38"/>
        <v>0</v>
      </c>
      <c r="X135" s="432">
        <f t="shared" si="38"/>
        <v>0</v>
      </c>
      <c r="Y135" s="432">
        <f t="shared" si="38"/>
        <v>0</v>
      </c>
      <c r="Z135" s="432">
        <f t="shared" si="38"/>
        <v>0</v>
      </c>
      <c r="AA135" s="432">
        <f t="shared" si="38"/>
        <v>0</v>
      </c>
      <c r="AB135" s="432">
        <f t="shared" si="38"/>
        <v>0</v>
      </c>
      <c r="AC135" s="432">
        <f t="shared" si="38"/>
        <v>0</v>
      </c>
      <c r="AD135" s="432">
        <f t="shared" si="38"/>
        <v>0</v>
      </c>
      <c r="AE135" s="432">
        <f t="shared" si="38"/>
        <v>0</v>
      </c>
      <c r="AF135" s="432">
        <f t="shared" si="38"/>
        <v>0</v>
      </c>
      <c r="AG135" s="432">
        <f t="shared" si="38"/>
        <v>0</v>
      </c>
      <c r="AH135" s="432">
        <f t="shared" si="38"/>
        <v>0</v>
      </c>
      <c r="AI135" s="432">
        <f t="shared" si="38"/>
        <v>0</v>
      </c>
      <c r="AJ135" s="432">
        <f t="shared" si="38"/>
        <v>0</v>
      </c>
      <c r="AK135" s="432">
        <f t="shared" si="38"/>
        <v>0</v>
      </c>
      <c r="AL135" s="432">
        <f t="shared" si="38"/>
        <v>0</v>
      </c>
      <c r="AM135" s="432">
        <f t="shared" si="38"/>
        <v>0</v>
      </c>
      <c r="AN135" s="432">
        <f t="shared" si="38"/>
        <v>0</v>
      </c>
      <c r="AO135" s="432">
        <f t="shared" si="38"/>
        <v>0</v>
      </c>
      <c r="AP135" s="432">
        <f t="shared" si="38"/>
        <v>0</v>
      </c>
      <c r="BH135" s="8"/>
    </row>
    <row r="136" spans="2:60" s="21" customFormat="1" x14ac:dyDescent="0.25">
      <c r="F136" s="145" t="s">
        <v>184</v>
      </c>
      <c r="G136" s="145" t="s">
        <v>187</v>
      </c>
      <c r="H136" s="167"/>
      <c r="I136" s="167"/>
      <c r="J136" s="420">
        <f t="shared" ref="J136:AP136" si="39">J129 + J134 + J135</f>
        <v>0</v>
      </c>
      <c r="K136" s="420">
        <f t="shared" si="39"/>
        <v>0</v>
      </c>
      <c r="L136" s="420">
        <f t="shared" si="39"/>
        <v>0</v>
      </c>
      <c r="M136" s="420">
        <f t="shared" si="39"/>
        <v>0</v>
      </c>
      <c r="N136" s="420">
        <f t="shared" si="39"/>
        <v>0</v>
      </c>
      <c r="O136" s="420">
        <f t="shared" si="39"/>
        <v>0</v>
      </c>
      <c r="P136" s="420">
        <f t="shared" si="39"/>
        <v>0</v>
      </c>
      <c r="Q136" s="420">
        <f t="shared" si="39"/>
        <v>0</v>
      </c>
      <c r="R136" s="420">
        <f t="shared" si="39"/>
        <v>0</v>
      </c>
      <c r="S136" s="420">
        <f t="shared" si="39"/>
        <v>0</v>
      </c>
      <c r="T136" s="420">
        <f t="shared" si="39"/>
        <v>0</v>
      </c>
      <c r="U136" s="420">
        <f t="shared" si="39"/>
        <v>498937.59407926467</v>
      </c>
      <c r="V136" s="420">
        <f t="shared" si="39"/>
        <v>29506.173287299072</v>
      </c>
      <c r="W136" s="420">
        <f t="shared" si="39"/>
        <v>355995.74561946333</v>
      </c>
      <c r="X136" s="420">
        <f t="shared" si="39"/>
        <v>0</v>
      </c>
      <c r="Y136" s="420">
        <f t="shared" si="39"/>
        <v>0</v>
      </c>
      <c r="Z136" s="420">
        <f t="shared" si="39"/>
        <v>0</v>
      </c>
      <c r="AA136" s="420">
        <f t="shared" si="39"/>
        <v>0</v>
      </c>
      <c r="AB136" s="420">
        <f t="shared" si="39"/>
        <v>0</v>
      </c>
      <c r="AC136" s="420">
        <f t="shared" si="39"/>
        <v>0</v>
      </c>
      <c r="AD136" s="420">
        <f t="shared" si="39"/>
        <v>0</v>
      </c>
      <c r="AE136" s="420">
        <f t="shared" si="39"/>
        <v>5006.8769289301918</v>
      </c>
      <c r="AF136" s="420">
        <f t="shared" si="39"/>
        <v>0</v>
      </c>
      <c r="AG136" s="420">
        <f t="shared" si="39"/>
        <v>364.90995026032709</v>
      </c>
      <c r="AH136" s="420">
        <f t="shared" si="39"/>
        <v>0</v>
      </c>
      <c r="AI136" s="420">
        <f t="shared" si="39"/>
        <v>0</v>
      </c>
      <c r="AJ136" s="420">
        <f t="shared" si="39"/>
        <v>0</v>
      </c>
      <c r="AK136" s="420">
        <f t="shared" si="39"/>
        <v>0</v>
      </c>
      <c r="AL136" s="420">
        <f t="shared" si="39"/>
        <v>0</v>
      </c>
      <c r="AM136" s="420">
        <f t="shared" si="39"/>
        <v>21616.418527358299</v>
      </c>
      <c r="AN136" s="420">
        <f t="shared" si="39"/>
        <v>0</v>
      </c>
      <c r="AO136" s="420">
        <f t="shared" si="39"/>
        <v>22280.782866737216</v>
      </c>
      <c r="AP136" s="420">
        <f t="shared" si="39"/>
        <v>0</v>
      </c>
      <c r="BH136" s="8"/>
    </row>
    <row r="137" spans="2:60" s="21" customFormat="1" x14ac:dyDescent="0.25">
      <c r="D137" s="36"/>
      <c r="F137" s="15"/>
      <c r="G137" s="15"/>
      <c r="H137" s="15"/>
      <c r="I137" s="15"/>
      <c r="J137" s="15"/>
      <c r="K137" s="15"/>
      <c r="L137" s="27"/>
      <c r="M137" s="27"/>
      <c r="N137" s="15"/>
      <c r="O137" s="15"/>
      <c r="BH137" s="8"/>
    </row>
    <row r="138" spans="2:60" s="160" customFormat="1" x14ac:dyDescent="0.25">
      <c r="B138" s="171" t="s">
        <v>126</v>
      </c>
      <c r="C138" s="171"/>
      <c r="D138" s="171"/>
      <c r="E138" s="171"/>
      <c r="F138" s="171"/>
      <c r="G138" s="171"/>
      <c r="H138" s="171"/>
      <c r="I138" s="171"/>
      <c r="J138" s="171"/>
      <c r="K138" s="171"/>
      <c r="L138" s="171"/>
      <c r="M138" s="171"/>
      <c r="N138" s="171"/>
      <c r="O138" s="171"/>
      <c r="P138" s="171"/>
      <c r="Q138" s="171"/>
      <c r="R138" s="171"/>
      <c r="S138" s="171"/>
      <c r="T138" s="171"/>
      <c r="U138" s="171"/>
      <c r="V138" s="171"/>
      <c r="W138" s="171"/>
      <c r="X138" s="171"/>
      <c r="Y138" s="171"/>
      <c r="Z138" s="171"/>
      <c r="AA138" s="171"/>
      <c r="AB138" s="171"/>
      <c r="AC138" s="171"/>
      <c r="AD138" s="171"/>
      <c r="AE138" s="171"/>
      <c r="AF138" s="171"/>
      <c r="AG138" s="171"/>
      <c r="AH138" s="171"/>
      <c r="AI138" s="171"/>
      <c r="AJ138" s="171"/>
      <c r="AK138" s="171"/>
      <c r="AL138" s="171"/>
      <c r="AM138" s="171"/>
      <c r="AN138" s="171"/>
      <c r="AO138" s="171"/>
      <c r="AP138" s="171"/>
      <c r="AQ138" s="171"/>
      <c r="AR138" s="171"/>
      <c r="AT138" s="171"/>
      <c r="AU138" s="171"/>
      <c r="AV138" s="171"/>
      <c r="AW138" s="171"/>
      <c r="AX138" s="171"/>
      <c r="AY138" s="171"/>
      <c r="AZ138" s="171"/>
      <c r="BA138" s="171"/>
      <c r="BB138" s="171"/>
      <c r="BC138" s="171"/>
      <c r="BD138" s="171"/>
      <c r="BE138" s="171"/>
      <c r="BF138" s="171"/>
      <c r="BH138" s="171"/>
    </row>
    <row r="139" spans="2:60" s="160" customFormat="1" x14ac:dyDescent="0.25"/>
    <row r="140" spans="2:60" s="160" customFormat="1" x14ac:dyDescent="0.25">
      <c r="E140" s="160" t="s">
        <v>622</v>
      </c>
      <c r="G140" s="111" t="s">
        <v>814</v>
      </c>
      <c r="H140" s="362">
        <f t="array" ref="H140">SUM(IF(ISERROR(H22:AP137), 1))</f>
        <v>0</v>
      </c>
    </row>
    <row r="141" spans="2:60" s="160" customFormat="1" x14ac:dyDescent="0.25"/>
    <row r="142" spans="2:60" s="17" customFormat="1" x14ac:dyDescent="0.25">
      <c r="B142" s="34" t="s">
        <v>127</v>
      </c>
      <c r="C142" s="34"/>
      <c r="D142" s="34"/>
      <c r="E142" s="171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34"/>
      <c r="AS142" s="160"/>
      <c r="AT142" s="34"/>
      <c r="AU142" s="34"/>
      <c r="AV142" s="34"/>
      <c r="AW142" s="34"/>
      <c r="AX142" s="34"/>
      <c r="AY142" s="34"/>
      <c r="AZ142" s="34"/>
      <c r="BA142" s="34"/>
      <c r="BB142" s="34"/>
      <c r="BC142" s="34"/>
      <c r="BD142" s="34"/>
      <c r="BE142" s="34"/>
      <c r="BF142" s="34"/>
      <c r="BH142" s="34"/>
    </row>
  </sheetData>
  <sheetProtection sheet="1" objects="1" formatCells="0" formatColumns="0" formatRows="0" sort="0" autoFilter="0"/>
  <conditionalFormatting sqref="H140">
    <cfRule type="cellIs" dxfId="45" priority="2" operator="greaterThan">
      <formula>0</formula>
    </cfRule>
  </conditionalFormatting>
  <conditionalFormatting sqref="A4:XFD4">
    <cfRule type="expression" dxfId="44" priority="1">
      <formula>LEFT($A$4,1) &lt;&gt; "0"</formula>
    </cfRule>
  </conditionalFormatting>
  <hyperlinks>
    <hyperlink ref="B5:F5" location="'Model map'!A1" display="Click here to return to model map"/>
  </hyperlinks>
  <pageMargins left="0.7" right="0.7" top="0.75" bottom="0.75" header="0.3" footer="0.3"/>
  <pageSetup paperSize="9" fitToHeight="0" orientation="portrait" r:id="rId1"/>
  <headerFooter>
    <oddHeader>&amp;L&amp;A&amp;C&amp;R&amp;P of &amp;N</oddHeader>
    <oddFooter>&amp;F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theme="4" tint="0.59999389629810485"/>
    <pageSetUpPr fitToPage="1"/>
  </sheetPr>
  <dimension ref="A1:KA546"/>
  <sheetViews>
    <sheetView showGridLines="0" zoomScale="80" zoomScaleNormal="80" workbookViewId="0">
      <pane xSplit="9" ySplit="5" topLeftCell="J6" activePane="bottomRight" state="frozen"/>
      <selection activeCell="AR5" sqref="AR5"/>
      <selection pane="topRight" activeCell="AR5" sqref="AR5"/>
      <selection pane="bottomLeft" activeCell="AR5" sqref="AR5"/>
      <selection pane="bottomRight" activeCell="J6" sqref="J6"/>
    </sheetView>
  </sheetViews>
  <sheetFormatPr defaultColWidth="0" defaultRowHeight="15" x14ac:dyDescent="0.25"/>
  <cols>
    <col min="1" max="4" width="2.7109375" style="21" customWidth="1"/>
    <col min="5" max="5" width="2.7109375" style="160" customWidth="1"/>
    <col min="6" max="6" width="59.5703125" style="21" customWidth="1"/>
    <col min="7" max="8" width="20.7109375" style="21" customWidth="1"/>
    <col min="9" max="9" width="2.28515625" style="21" customWidth="1"/>
    <col min="10" max="42" width="17" style="21" customWidth="1"/>
    <col min="43" max="43" width="2.28515625" style="21" customWidth="1"/>
    <col min="44" max="44" width="50.7109375" style="21" customWidth="1"/>
    <col min="45" max="45" width="2.28515625" style="21" customWidth="1"/>
    <col min="46" max="46" width="24.7109375" style="21" hidden="1" customWidth="1"/>
    <col min="47" max="47" width="3.5703125" style="21" hidden="1" customWidth="1"/>
    <col min="48" max="48" width="15.42578125" style="21" hidden="1" customWidth="1"/>
    <col min="49" max="287" width="24.7109375" style="21" hidden="1" customWidth="1"/>
    <col min="288" max="16384" width="8.85546875" style="21" hidden="1"/>
  </cols>
  <sheetData>
    <row r="1" spans="1:97" s="25" customFormat="1" x14ac:dyDescent="0.25">
      <c r="A1" s="25" t="str">
        <f ca="1">MID(CELL("filename",A1),FIND("]",CELL("filename",A1))+1,255)</f>
        <v>Pseudo-load coefficients</v>
      </c>
    </row>
    <row r="2" spans="1:97" s="25" customFormat="1" x14ac:dyDescent="0.25">
      <c r="A2" s="25" t="str">
        <f>Cover!D21&amp;" - "&amp;Cover!D23</f>
        <v>SEPD - Final</v>
      </c>
    </row>
    <row r="3" spans="1:97" s="97" customFormat="1" x14ac:dyDescent="0.25">
      <c r="A3" s="97" t="str">
        <f>Cover!D2&amp;" - "&amp;Cover!D8&amp;" v"&amp;Cover!D10&amp;" - "&amp;Cover!D19</f>
        <v>ARP model - Release for charge setting v3 - 2020/21</v>
      </c>
    </row>
    <row r="4" spans="1:97" s="338" customFormat="1" x14ac:dyDescent="0.25">
      <c r="A4" s="392" t="str">
        <f>H543 &amp; IF(H543 = 1, " issue", " issues") &amp;" identified in checks on this sheet"</f>
        <v>0 issues identified in checks on this sheet</v>
      </c>
      <c r="B4" s="393"/>
      <c r="C4" s="393"/>
      <c r="D4" s="393"/>
      <c r="E4" s="393"/>
      <c r="F4" s="393"/>
      <c r="G4" s="393"/>
      <c r="H4" s="394"/>
      <c r="I4" s="394"/>
      <c r="J4" s="393"/>
      <c r="K4" s="383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3"/>
      <c r="AD4" s="383"/>
      <c r="AE4" s="383"/>
      <c r="AF4" s="383"/>
      <c r="AG4" s="383"/>
      <c r="AH4" s="383"/>
      <c r="AI4" s="383"/>
      <c r="AJ4" s="383"/>
      <c r="AK4" s="383"/>
      <c r="AL4" s="383"/>
      <c r="AM4" s="383"/>
      <c r="AN4" s="383"/>
      <c r="AO4" s="383"/>
      <c r="AP4" s="383"/>
      <c r="AQ4" s="383"/>
      <c r="AR4" s="383"/>
      <c r="AS4" s="383"/>
      <c r="AT4" s="383"/>
      <c r="AU4" s="383"/>
      <c r="AV4" s="383"/>
      <c r="AW4" s="383"/>
      <c r="AX4" s="383"/>
      <c r="AY4" s="383"/>
      <c r="AZ4" s="383"/>
      <c r="BA4" s="383"/>
      <c r="BB4" s="383"/>
      <c r="BC4" s="383"/>
      <c r="BD4" s="383"/>
      <c r="BE4" s="383"/>
      <c r="BF4" s="383"/>
      <c r="BG4" s="383"/>
      <c r="BH4" s="383"/>
      <c r="BI4" s="383"/>
      <c r="BJ4" s="383"/>
      <c r="BK4" s="383"/>
      <c r="BL4" s="383"/>
      <c r="BM4" s="383"/>
      <c r="BN4" s="383"/>
      <c r="BO4" s="383"/>
      <c r="BP4" s="383"/>
      <c r="BQ4" s="383"/>
      <c r="BR4" s="383"/>
      <c r="BS4" s="383"/>
      <c r="BT4" s="383"/>
      <c r="BU4" s="383"/>
      <c r="BV4" s="383"/>
      <c r="BW4" s="383"/>
      <c r="BX4" s="383"/>
      <c r="BY4" s="383"/>
      <c r="BZ4" s="383"/>
      <c r="CA4" s="383"/>
      <c r="CB4" s="383"/>
      <c r="CC4" s="383"/>
      <c r="CD4" s="383"/>
      <c r="CE4" s="383"/>
      <c r="CF4" s="383"/>
      <c r="CG4" s="383"/>
      <c r="CH4" s="383"/>
      <c r="CI4" s="383"/>
      <c r="CJ4" s="383"/>
      <c r="CK4" s="383"/>
      <c r="CL4" s="383"/>
      <c r="CM4" s="383"/>
      <c r="CN4" s="383"/>
      <c r="CO4" s="383"/>
      <c r="CP4" s="383"/>
      <c r="CQ4" s="383"/>
      <c r="CR4" s="383"/>
      <c r="CS4" s="383"/>
    </row>
    <row r="5" spans="1:97" ht="60" x14ac:dyDescent="0.25">
      <c r="B5" s="244" t="s">
        <v>667</v>
      </c>
      <c r="C5" s="24"/>
      <c r="D5" s="24"/>
      <c r="E5" s="24"/>
      <c r="F5" s="24"/>
      <c r="G5" s="24" t="s">
        <v>108</v>
      </c>
      <c r="H5" s="26" t="s">
        <v>109</v>
      </c>
      <c r="I5" s="200"/>
      <c r="J5" s="26" t="s">
        <v>52</v>
      </c>
      <c r="K5" s="26" t="s">
        <v>53</v>
      </c>
      <c r="L5" s="26" t="s">
        <v>84</v>
      </c>
      <c r="M5" s="26" t="s">
        <v>54</v>
      </c>
      <c r="N5" s="26" t="s">
        <v>55</v>
      </c>
      <c r="O5" s="26" t="s">
        <v>85</v>
      </c>
      <c r="P5" s="26" t="s">
        <v>56</v>
      </c>
      <c r="Q5" s="26" t="s">
        <v>57</v>
      </c>
      <c r="R5" s="26" t="s">
        <v>72</v>
      </c>
      <c r="S5" s="26" t="s">
        <v>58</v>
      </c>
      <c r="T5" s="26" t="s">
        <v>59</v>
      </c>
      <c r="U5" s="26" t="s">
        <v>60</v>
      </c>
      <c r="V5" s="26" t="s">
        <v>61</v>
      </c>
      <c r="W5" s="26" t="s">
        <v>73</v>
      </c>
      <c r="X5" s="26" t="s">
        <v>86</v>
      </c>
      <c r="Y5" s="26" t="s">
        <v>87</v>
      </c>
      <c r="Z5" s="26" t="s">
        <v>88</v>
      </c>
      <c r="AA5" s="26" t="s">
        <v>89</v>
      </c>
      <c r="AB5" s="26" t="s">
        <v>90</v>
      </c>
      <c r="AC5" s="26" t="s">
        <v>62</v>
      </c>
      <c r="AD5" s="26" t="s">
        <v>63</v>
      </c>
      <c r="AE5" s="26" t="s">
        <v>64</v>
      </c>
      <c r="AF5" s="26" t="s">
        <v>65</v>
      </c>
      <c r="AG5" s="26" t="s">
        <v>66</v>
      </c>
      <c r="AH5" s="26" t="s">
        <v>67</v>
      </c>
      <c r="AI5" s="26" t="s">
        <v>68</v>
      </c>
      <c r="AJ5" s="26" t="s">
        <v>69</v>
      </c>
      <c r="AK5" s="26" t="s">
        <v>70</v>
      </c>
      <c r="AL5" s="26" t="s">
        <v>71</v>
      </c>
      <c r="AM5" s="26" t="s">
        <v>74</v>
      </c>
      <c r="AN5" s="26" t="s">
        <v>75</v>
      </c>
      <c r="AO5" s="26" t="s">
        <v>76</v>
      </c>
      <c r="AP5" s="26" t="s">
        <v>77</v>
      </c>
      <c r="AR5" s="24" t="s">
        <v>110</v>
      </c>
    </row>
    <row r="7" spans="1:97" x14ac:dyDescent="0.25">
      <c r="B7" s="6" t="s">
        <v>107</v>
      </c>
      <c r="C7" s="7"/>
      <c r="D7" s="6"/>
      <c r="E7" s="134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135"/>
      <c r="AR7" s="135"/>
    </row>
    <row r="8" spans="1:97" x14ac:dyDescent="0.25">
      <c r="X8" s="11"/>
      <c r="Y8" s="11"/>
      <c r="Z8" s="11"/>
      <c r="AA8" s="11"/>
      <c r="AB8" s="11"/>
    </row>
    <row r="9" spans="1:97" x14ac:dyDescent="0.25">
      <c r="C9" s="152" t="s">
        <v>803</v>
      </c>
      <c r="X9" s="11"/>
      <c r="Y9" s="11"/>
      <c r="Z9" s="11"/>
      <c r="AA9" s="11"/>
      <c r="AB9" s="11"/>
    </row>
    <row r="10" spans="1:97" s="338" customFormat="1" x14ac:dyDescent="0.25">
      <c r="C10" s="363" t="s">
        <v>1022</v>
      </c>
      <c r="X10" s="73"/>
      <c r="Y10" s="73"/>
      <c r="Z10" s="73"/>
      <c r="AA10" s="73"/>
      <c r="AB10" s="73"/>
    </row>
    <row r="11" spans="1:97" s="160" customFormat="1" x14ac:dyDescent="0.25">
      <c r="C11" s="152" t="s">
        <v>1019</v>
      </c>
      <c r="X11" s="11"/>
      <c r="Y11" s="11"/>
      <c r="Z11" s="11"/>
      <c r="AA11" s="11"/>
      <c r="AB11" s="11"/>
    </row>
    <row r="12" spans="1:97" s="160" customFormat="1" x14ac:dyDescent="0.25">
      <c r="C12" s="152" t="s">
        <v>1020</v>
      </c>
      <c r="X12" s="11"/>
      <c r="Y12" s="11"/>
      <c r="Z12" s="11"/>
      <c r="AA12" s="11"/>
      <c r="AB12" s="11"/>
    </row>
    <row r="13" spans="1:97" s="160" customFormat="1" x14ac:dyDescent="0.25">
      <c r="C13" s="152" t="s">
        <v>1021</v>
      </c>
      <c r="X13" s="11"/>
      <c r="Y13" s="11"/>
      <c r="Z13" s="11"/>
      <c r="AA13" s="11"/>
      <c r="AB13" s="11"/>
    </row>
    <row r="14" spans="1:97" x14ac:dyDescent="0.25">
      <c r="X14" s="11"/>
      <c r="Y14" s="11"/>
      <c r="Z14" s="11"/>
      <c r="AA14" s="11"/>
      <c r="AB14" s="11"/>
    </row>
    <row r="15" spans="1:97" s="88" customFormat="1" x14ac:dyDescent="0.25">
      <c r="B15" s="6" t="s">
        <v>1016</v>
      </c>
      <c r="C15" s="7"/>
      <c r="D15" s="6"/>
      <c r="E15" s="134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135"/>
      <c r="AR15" s="135"/>
    </row>
    <row r="16" spans="1:97" s="160" customFormat="1" x14ac:dyDescent="0.25">
      <c r="I16" s="160" t="s">
        <v>525</v>
      </c>
      <c r="X16" s="11"/>
      <c r="Y16" s="11"/>
      <c r="Z16" s="11"/>
      <c r="AA16" s="11"/>
      <c r="AB16" s="11"/>
      <c r="AR16" s="160" t="s">
        <v>1088</v>
      </c>
    </row>
    <row r="17" spans="3:44" s="88" customFormat="1" x14ac:dyDescent="0.25">
      <c r="C17" s="152" t="s">
        <v>1023</v>
      </c>
      <c r="E17" s="160"/>
      <c r="X17" s="11"/>
      <c r="Y17" s="11"/>
      <c r="Z17" s="11"/>
      <c r="AA17" s="11"/>
      <c r="AB17" s="11"/>
    </row>
    <row r="18" spans="3:44" s="160" customFormat="1" x14ac:dyDescent="0.25">
      <c r="C18" s="152" t="s">
        <v>1024</v>
      </c>
      <c r="X18" s="11"/>
      <c r="Y18" s="11"/>
      <c r="Z18" s="11"/>
      <c r="AA18" s="11"/>
      <c r="AB18" s="11"/>
    </row>
    <row r="19" spans="3:44" s="160" customFormat="1" x14ac:dyDescent="0.25">
      <c r="C19" s="152" t="s">
        <v>1025</v>
      </c>
      <c r="X19" s="11"/>
      <c r="Y19" s="11"/>
      <c r="Z19" s="11"/>
      <c r="AA19" s="11"/>
      <c r="AB19" s="11"/>
    </row>
    <row r="20" spans="3:44" s="160" customFormat="1" x14ac:dyDescent="0.25">
      <c r="X20" s="11"/>
      <c r="Y20" s="11"/>
      <c r="Z20" s="11"/>
      <c r="AA20" s="11"/>
      <c r="AB20" s="11"/>
    </row>
    <row r="21" spans="3:44" s="88" customFormat="1" x14ac:dyDescent="0.25">
      <c r="C21" s="22" t="str">
        <f ca="1">INDEX('Version control'!$H$34:$H$59,MATCH($A$1,'Version control'!$F$34:$F$59,0),1)&amp;"-A: Flags and hours in timebands"</f>
        <v>Section 508-A: Flags and hours in timebands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</row>
    <row r="22" spans="3:44" s="88" customFormat="1" x14ac:dyDescent="0.25">
      <c r="E22" s="160"/>
      <c r="X22" s="11"/>
      <c r="Y22" s="11"/>
      <c r="Z22" s="11"/>
      <c r="AA22" s="11"/>
      <c r="AB22" s="11"/>
    </row>
    <row r="23" spans="3:44" s="338" customFormat="1" x14ac:dyDescent="0.25">
      <c r="E23" s="172" t="s">
        <v>412</v>
      </c>
      <c r="X23" s="73"/>
      <c r="Y23" s="73"/>
      <c r="Z23" s="73"/>
      <c r="AA23" s="73"/>
      <c r="AB23" s="73"/>
    </row>
    <row r="24" spans="3:44" s="88" customFormat="1" x14ac:dyDescent="0.25">
      <c r="F24" s="40" t="s">
        <v>375</v>
      </c>
      <c r="G24" s="40" t="s">
        <v>344</v>
      </c>
      <c r="H24" s="166"/>
      <c r="I24" s="166"/>
      <c r="J24" s="344" t="b">
        <f>'Fixed inputs'!J132</f>
        <v>0</v>
      </c>
      <c r="K24" s="344" t="b">
        <f>'Fixed inputs'!K132</f>
        <v>0</v>
      </c>
      <c r="L24" s="344" t="b">
        <f>'Fixed inputs'!L132</f>
        <v>0</v>
      </c>
      <c r="M24" s="344" t="b">
        <f>'Fixed inputs'!M132</f>
        <v>0</v>
      </c>
      <c r="N24" s="344" t="b">
        <f>'Fixed inputs'!N132</f>
        <v>0</v>
      </c>
      <c r="O24" s="344" t="b">
        <f>'Fixed inputs'!O132</f>
        <v>0</v>
      </c>
      <c r="P24" s="344" t="b">
        <f>'Fixed inputs'!P132</f>
        <v>0</v>
      </c>
      <c r="Q24" s="344" t="b">
        <f>'Fixed inputs'!Q132</f>
        <v>0</v>
      </c>
      <c r="R24" s="344" t="b">
        <f>'Fixed inputs'!R132</f>
        <v>0</v>
      </c>
      <c r="S24" s="344" t="b">
        <f>'Fixed inputs'!S132</f>
        <v>0</v>
      </c>
      <c r="T24" s="344" t="b">
        <f>'Fixed inputs'!T132</f>
        <v>0</v>
      </c>
      <c r="U24" s="344" t="b">
        <f>'Fixed inputs'!U132</f>
        <v>0</v>
      </c>
      <c r="V24" s="344" t="b">
        <f>'Fixed inputs'!V132</f>
        <v>0</v>
      </c>
      <c r="W24" s="344" t="b">
        <f>'Fixed inputs'!W132</f>
        <v>0</v>
      </c>
      <c r="X24" s="344" t="b">
        <f>'Fixed inputs'!X132</f>
        <v>1</v>
      </c>
      <c r="Y24" s="344" t="b">
        <f>'Fixed inputs'!Y132</f>
        <v>1</v>
      </c>
      <c r="Z24" s="344" t="b">
        <f>'Fixed inputs'!Z132</f>
        <v>1</v>
      </c>
      <c r="AA24" s="344" t="b">
        <f>'Fixed inputs'!AA132</f>
        <v>1</v>
      </c>
      <c r="AB24" s="344" t="b">
        <f>'Fixed inputs'!AB132</f>
        <v>1</v>
      </c>
      <c r="AC24" s="344" t="b">
        <f>'Fixed inputs'!AC132</f>
        <v>0</v>
      </c>
      <c r="AD24" s="344" t="b">
        <f>'Fixed inputs'!AD132</f>
        <v>0</v>
      </c>
      <c r="AE24" s="344" t="b">
        <f>'Fixed inputs'!AE132</f>
        <v>0</v>
      </c>
      <c r="AF24" s="344" t="b">
        <f>'Fixed inputs'!AF132</f>
        <v>0</v>
      </c>
      <c r="AG24" s="344" t="b">
        <f>'Fixed inputs'!AG132</f>
        <v>0</v>
      </c>
      <c r="AH24" s="344" t="b">
        <f>'Fixed inputs'!AH132</f>
        <v>0</v>
      </c>
      <c r="AI24" s="344" t="b">
        <f>'Fixed inputs'!AI132</f>
        <v>0</v>
      </c>
      <c r="AJ24" s="344" t="b">
        <f>'Fixed inputs'!AJ132</f>
        <v>0</v>
      </c>
      <c r="AK24" s="344" t="b">
        <f>'Fixed inputs'!AK132</f>
        <v>0</v>
      </c>
      <c r="AL24" s="344" t="b">
        <f>'Fixed inputs'!AL132</f>
        <v>0</v>
      </c>
      <c r="AM24" s="344" t="b">
        <f>'Fixed inputs'!AM132</f>
        <v>0</v>
      </c>
      <c r="AN24" s="344" t="b">
        <f>'Fixed inputs'!AN132</f>
        <v>0</v>
      </c>
      <c r="AO24" s="344" t="b">
        <f>'Fixed inputs'!AO132</f>
        <v>0</v>
      </c>
      <c r="AP24" s="344" t="b">
        <f>'Fixed inputs'!AP132</f>
        <v>0</v>
      </c>
    </row>
    <row r="25" spans="3:44" s="160" customFormat="1" x14ac:dyDescent="0.25">
      <c r="F25" s="168" t="s">
        <v>660</v>
      </c>
      <c r="G25" s="38" t="s">
        <v>344</v>
      </c>
      <c r="H25" s="168"/>
      <c r="I25" s="168"/>
      <c r="J25" s="343" t="b">
        <f>'Fixed inputs'!J127</f>
        <v>0</v>
      </c>
      <c r="K25" s="343" t="b">
        <f>'Fixed inputs'!K127</f>
        <v>0</v>
      </c>
      <c r="L25" s="343" t="b">
        <f>'Fixed inputs'!L127</f>
        <v>0</v>
      </c>
      <c r="M25" s="343" t="b">
        <f>'Fixed inputs'!M127</f>
        <v>0</v>
      </c>
      <c r="N25" s="343" t="b">
        <f>'Fixed inputs'!N127</f>
        <v>0</v>
      </c>
      <c r="O25" s="343" t="b">
        <f>'Fixed inputs'!O127</f>
        <v>0</v>
      </c>
      <c r="P25" s="343" t="b">
        <f>'Fixed inputs'!P127</f>
        <v>0</v>
      </c>
      <c r="Q25" s="343" t="b">
        <f>'Fixed inputs'!Q127</f>
        <v>0</v>
      </c>
      <c r="R25" s="343" t="b">
        <f>'Fixed inputs'!R127</f>
        <v>0</v>
      </c>
      <c r="S25" s="343" t="b">
        <f>'Fixed inputs'!S127</f>
        <v>0</v>
      </c>
      <c r="T25" s="343" t="b">
        <f>'Fixed inputs'!T127</f>
        <v>0</v>
      </c>
      <c r="U25" s="343" t="b">
        <f>'Fixed inputs'!U127</f>
        <v>0</v>
      </c>
      <c r="V25" s="343" t="b">
        <f>'Fixed inputs'!V127</f>
        <v>0</v>
      </c>
      <c r="W25" s="343" t="b">
        <f>'Fixed inputs'!W127</f>
        <v>0</v>
      </c>
      <c r="X25" s="343" t="b">
        <f>'Fixed inputs'!X127</f>
        <v>0</v>
      </c>
      <c r="Y25" s="343" t="b">
        <f>'Fixed inputs'!Y127</f>
        <v>0</v>
      </c>
      <c r="Z25" s="343" t="b">
        <f>'Fixed inputs'!Z127</f>
        <v>0</v>
      </c>
      <c r="AA25" s="343" t="b">
        <f>'Fixed inputs'!AA127</f>
        <v>0</v>
      </c>
      <c r="AB25" s="343" t="b">
        <f>'Fixed inputs'!AB127</f>
        <v>0</v>
      </c>
      <c r="AC25" s="343" t="b">
        <f>'Fixed inputs'!AC127</f>
        <v>1</v>
      </c>
      <c r="AD25" s="343" t="b">
        <f>'Fixed inputs'!AD127</f>
        <v>1</v>
      </c>
      <c r="AE25" s="343" t="b">
        <f>'Fixed inputs'!AE127</f>
        <v>1</v>
      </c>
      <c r="AF25" s="343" t="b">
        <f>'Fixed inputs'!AF127</f>
        <v>1</v>
      </c>
      <c r="AG25" s="343" t="b">
        <f>'Fixed inputs'!AG127</f>
        <v>0</v>
      </c>
      <c r="AH25" s="343" t="b">
        <f>'Fixed inputs'!AH127</f>
        <v>0</v>
      </c>
      <c r="AI25" s="343" t="b">
        <f>'Fixed inputs'!AI127</f>
        <v>1</v>
      </c>
      <c r="AJ25" s="343" t="b">
        <f>'Fixed inputs'!AJ127</f>
        <v>1</v>
      </c>
      <c r="AK25" s="343" t="b">
        <f>'Fixed inputs'!AK127</f>
        <v>0</v>
      </c>
      <c r="AL25" s="343" t="b">
        <f>'Fixed inputs'!AL127</f>
        <v>0</v>
      </c>
      <c r="AM25" s="343" t="b">
        <f>'Fixed inputs'!AM127</f>
        <v>1</v>
      </c>
      <c r="AN25" s="343" t="b">
        <f>'Fixed inputs'!AN127</f>
        <v>1</v>
      </c>
      <c r="AO25" s="343" t="b">
        <f>'Fixed inputs'!AO127</f>
        <v>0</v>
      </c>
      <c r="AP25" s="343" t="b">
        <f>'Fixed inputs'!AP127</f>
        <v>0</v>
      </c>
      <c r="AR25" s="160" t="s">
        <v>963</v>
      </c>
    </row>
    <row r="26" spans="3:44" s="160" customFormat="1" x14ac:dyDescent="0.25">
      <c r="X26" s="11"/>
      <c r="Y26" s="11"/>
      <c r="Z26" s="11"/>
      <c r="AA26" s="11"/>
      <c r="AB26" s="11"/>
    </row>
    <row r="27" spans="3:44" s="88" customFormat="1" x14ac:dyDescent="0.25">
      <c r="E27" s="87" t="s">
        <v>370</v>
      </c>
      <c r="F27" s="160"/>
      <c r="I27" s="88" t="s">
        <v>525</v>
      </c>
      <c r="X27" s="11"/>
      <c r="Y27" s="11"/>
      <c r="Z27" s="11"/>
      <c r="AA27" s="11"/>
      <c r="AB27" s="11"/>
      <c r="AR27" s="88" t="s">
        <v>964</v>
      </c>
    </row>
    <row r="28" spans="3:44" s="160" customFormat="1" x14ac:dyDescent="0.25">
      <c r="E28" s="152" t="s">
        <v>502</v>
      </c>
      <c r="F28" s="152"/>
      <c r="X28" s="11"/>
      <c r="Y28" s="11"/>
      <c r="Z28" s="11"/>
      <c r="AA28" s="11"/>
      <c r="AB28" s="11"/>
    </row>
    <row r="29" spans="3:44" s="88" customFormat="1" x14ac:dyDescent="0.25">
      <c r="F29" s="40" t="s">
        <v>373</v>
      </c>
      <c r="G29" s="40" t="s">
        <v>338</v>
      </c>
      <c r="H29" s="183"/>
      <c r="I29" s="183"/>
      <c r="J29" s="438">
        <f>IF(J$24, 'General inputs'!$H19, 'General inputs'!$H24)</f>
        <v>783</v>
      </c>
      <c r="K29" s="438">
        <f>IF(K$24, 'General inputs'!$H19, 'General inputs'!$H24)</f>
        <v>783</v>
      </c>
      <c r="L29" s="438">
        <f>IF(L$24, 'General inputs'!$H19, 'General inputs'!$H24)</f>
        <v>783</v>
      </c>
      <c r="M29" s="438">
        <f>IF(M$24, 'General inputs'!$H19, 'General inputs'!$H24)</f>
        <v>783</v>
      </c>
      <c r="N29" s="438">
        <f>IF(N$24, 'General inputs'!$H19, 'General inputs'!$H24)</f>
        <v>783</v>
      </c>
      <c r="O29" s="438">
        <f>IF(O$24, 'General inputs'!$H19, 'General inputs'!$H24)</f>
        <v>783</v>
      </c>
      <c r="P29" s="438">
        <f>IF(P$24, 'General inputs'!$H19, 'General inputs'!$H24)</f>
        <v>783</v>
      </c>
      <c r="Q29" s="438">
        <f>IF(Q$24, 'General inputs'!$H19, 'General inputs'!$H24)</f>
        <v>783</v>
      </c>
      <c r="R29" s="438">
        <f>IF(R$24, 'General inputs'!$H19, 'General inputs'!$H24)</f>
        <v>783</v>
      </c>
      <c r="S29" s="438">
        <f>IF(S$24, 'General inputs'!$H19, 'General inputs'!$H24)</f>
        <v>783</v>
      </c>
      <c r="T29" s="438">
        <f>IF(T$24, 'General inputs'!$H19, 'General inputs'!$H24)</f>
        <v>783</v>
      </c>
      <c r="U29" s="438">
        <f>IF(U$24, 'General inputs'!$H19, 'General inputs'!$H24)</f>
        <v>783</v>
      </c>
      <c r="V29" s="438">
        <f>IF(V$24, 'General inputs'!$H19, 'General inputs'!$H24)</f>
        <v>783</v>
      </c>
      <c r="W29" s="438">
        <f>IF(W$24, 'General inputs'!$H19, 'General inputs'!$H24)</f>
        <v>783</v>
      </c>
      <c r="X29" s="438">
        <f>IF(X$24, 'General inputs'!$H19, 'General inputs'!$H24)</f>
        <v>255</v>
      </c>
      <c r="Y29" s="438">
        <f>IF(Y$24, 'General inputs'!$H19, 'General inputs'!$H24)</f>
        <v>255</v>
      </c>
      <c r="Z29" s="438">
        <f>IF(Z$24, 'General inputs'!$H19, 'General inputs'!$H24)</f>
        <v>255</v>
      </c>
      <c r="AA29" s="438">
        <f>IF(AA$24, 'General inputs'!$H19, 'General inputs'!$H24)</f>
        <v>255</v>
      </c>
      <c r="AB29" s="438">
        <f>IF(AB$24, 'General inputs'!$H19, 'General inputs'!$H24)</f>
        <v>255</v>
      </c>
      <c r="AC29" s="438">
        <f>IF(AC$24, 'General inputs'!$H19, 'General inputs'!$H24)</f>
        <v>783</v>
      </c>
      <c r="AD29" s="438">
        <f>IF(AD$24, 'General inputs'!$H19, 'General inputs'!$H24)</f>
        <v>783</v>
      </c>
      <c r="AE29" s="438">
        <f>IF(AE$24, 'General inputs'!$H19, 'General inputs'!$H24)</f>
        <v>783</v>
      </c>
      <c r="AF29" s="438">
        <f>IF(AF$24, 'General inputs'!$H19, 'General inputs'!$H24)</f>
        <v>783</v>
      </c>
      <c r="AG29" s="438">
        <f>IF(AG$24, 'General inputs'!$H19, 'General inputs'!$H24)</f>
        <v>783</v>
      </c>
      <c r="AH29" s="438">
        <f>IF(AH$24, 'General inputs'!$H19, 'General inputs'!$H24)</f>
        <v>783</v>
      </c>
      <c r="AI29" s="438">
        <f>IF(AI$24, 'General inputs'!$H19, 'General inputs'!$H24)</f>
        <v>783</v>
      </c>
      <c r="AJ29" s="438">
        <f>IF(AJ$24, 'General inputs'!$H19, 'General inputs'!$H24)</f>
        <v>783</v>
      </c>
      <c r="AK29" s="438">
        <f>IF(AK$24, 'General inputs'!$H19, 'General inputs'!$H24)</f>
        <v>783</v>
      </c>
      <c r="AL29" s="438">
        <f>IF(AL$24, 'General inputs'!$H19, 'General inputs'!$H24)</f>
        <v>783</v>
      </c>
      <c r="AM29" s="438">
        <f>IF(AM$24, 'General inputs'!$H19, 'General inputs'!$H24)</f>
        <v>783</v>
      </c>
      <c r="AN29" s="438">
        <f>IF(AN$24, 'General inputs'!$H19, 'General inputs'!$H24)</f>
        <v>783</v>
      </c>
      <c r="AO29" s="438">
        <f>IF(AO$24, 'General inputs'!$H19, 'General inputs'!$H24)</f>
        <v>783</v>
      </c>
      <c r="AP29" s="438">
        <f>IF(AP$24, 'General inputs'!$H19, 'General inputs'!$H24)</f>
        <v>783</v>
      </c>
    </row>
    <row r="30" spans="3:44" s="88" customFormat="1" x14ac:dyDescent="0.25">
      <c r="F30" s="145" t="s">
        <v>374</v>
      </c>
      <c r="G30" s="339" t="s">
        <v>338</v>
      </c>
      <c r="H30" s="93"/>
      <c r="I30" s="93"/>
      <c r="J30" s="437">
        <f>IF(J$24, 'General inputs'!$H20, 'General inputs'!$H25)</f>
        <v>4380</v>
      </c>
      <c r="K30" s="437">
        <f>IF(K$24, 'General inputs'!$H20, 'General inputs'!$H25)</f>
        <v>4380</v>
      </c>
      <c r="L30" s="437">
        <f>IF(L$24, 'General inputs'!$H20, 'General inputs'!$H25)</f>
        <v>4380</v>
      </c>
      <c r="M30" s="437">
        <f>IF(M$24, 'General inputs'!$H20, 'General inputs'!$H25)</f>
        <v>4380</v>
      </c>
      <c r="N30" s="437">
        <f>IF(N$24, 'General inputs'!$H20, 'General inputs'!$H25)</f>
        <v>4380</v>
      </c>
      <c r="O30" s="437">
        <f>IF(O$24, 'General inputs'!$H20, 'General inputs'!$H25)</f>
        <v>4380</v>
      </c>
      <c r="P30" s="437">
        <f>IF(P$24, 'General inputs'!$H20, 'General inputs'!$H25)</f>
        <v>4380</v>
      </c>
      <c r="Q30" s="437">
        <f>IF(Q$24, 'General inputs'!$H20, 'General inputs'!$H25)</f>
        <v>4380</v>
      </c>
      <c r="R30" s="437">
        <f>IF(R$24, 'General inputs'!$H20, 'General inputs'!$H25)</f>
        <v>4380</v>
      </c>
      <c r="S30" s="437">
        <f>IF(S$24, 'General inputs'!$H20, 'General inputs'!$H25)</f>
        <v>4380</v>
      </c>
      <c r="T30" s="437">
        <f>IF(T$24, 'General inputs'!$H20, 'General inputs'!$H25)</f>
        <v>4380</v>
      </c>
      <c r="U30" s="437">
        <f>IF(U$24, 'General inputs'!$H20, 'General inputs'!$H25)</f>
        <v>4380</v>
      </c>
      <c r="V30" s="437">
        <f>IF(V$24, 'General inputs'!$H20, 'General inputs'!$H25)</f>
        <v>4380</v>
      </c>
      <c r="W30" s="437">
        <f>IF(W$24, 'General inputs'!$H20, 'General inputs'!$H25)</f>
        <v>4380</v>
      </c>
      <c r="X30" s="437">
        <f>IF(X$24, 'General inputs'!$H20, 'General inputs'!$H25)</f>
        <v>4908</v>
      </c>
      <c r="Y30" s="437">
        <f>IF(Y$24, 'General inputs'!$H20, 'General inputs'!$H25)</f>
        <v>4908</v>
      </c>
      <c r="Z30" s="437">
        <f>IF(Z$24, 'General inputs'!$H20, 'General inputs'!$H25)</f>
        <v>4908</v>
      </c>
      <c r="AA30" s="437">
        <f>IF(AA$24, 'General inputs'!$H20, 'General inputs'!$H25)</f>
        <v>4908</v>
      </c>
      <c r="AB30" s="437">
        <f>IF(AB$24, 'General inputs'!$H20, 'General inputs'!$H25)</f>
        <v>4908</v>
      </c>
      <c r="AC30" s="437">
        <f>IF(AC$24, 'General inputs'!$H20, 'General inputs'!$H25)</f>
        <v>4380</v>
      </c>
      <c r="AD30" s="437">
        <f>IF(AD$24, 'General inputs'!$H20, 'General inputs'!$H25)</f>
        <v>4380</v>
      </c>
      <c r="AE30" s="437">
        <f>IF(AE$24, 'General inputs'!$H20, 'General inputs'!$H25)</f>
        <v>4380</v>
      </c>
      <c r="AF30" s="437">
        <f>IF(AF$24, 'General inputs'!$H20, 'General inputs'!$H25)</f>
        <v>4380</v>
      </c>
      <c r="AG30" s="437">
        <f>IF(AG$24, 'General inputs'!$H20, 'General inputs'!$H25)</f>
        <v>4380</v>
      </c>
      <c r="AH30" s="437">
        <f>IF(AH$24, 'General inputs'!$H20, 'General inputs'!$H25)</f>
        <v>4380</v>
      </c>
      <c r="AI30" s="437">
        <f>IF(AI$24, 'General inputs'!$H20, 'General inputs'!$H25)</f>
        <v>4380</v>
      </c>
      <c r="AJ30" s="437">
        <f>IF(AJ$24, 'General inputs'!$H20, 'General inputs'!$H25)</f>
        <v>4380</v>
      </c>
      <c r="AK30" s="437">
        <f>IF(AK$24, 'General inputs'!$H20, 'General inputs'!$H25)</f>
        <v>4380</v>
      </c>
      <c r="AL30" s="437">
        <f>IF(AL$24, 'General inputs'!$H20, 'General inputs'!$H25)</f>
        <v>4380</v>
      </c>
      <c r="AM30" s="437">
        <f>IF(AM$24, 'General inputs'!$H20, 'General inputs'!$H25)</f>
        <v>4380</v>
      </c>
      <c r="AN30" s="437">
        <f>IF(AN$24, 'General inputs'!$H20, 'General inputs'!$H25)</f>
        <v>4380</v>
      </c>
      <c r="AO30" s="437">
        <f>IF(AO$24, 'General inputs'!$H20, 'General inputs'!$H25)</f>
        <v>4380</v>
      </c>
      <c r="AP30" s="437">
        <f>IF(AP$24, 'General inputs'!$H20, 'General inputs'!$H25)</f>
        <v>4380</v>
      </c>
    </row>
    <row r="31" spans="3:44" s="88" customFormat="1" x14ac:dyDescent="0.25">
      <c r="F31" s="38" t="s">
        <v>103</v>
      </c>
      <c r="G31" s="168" t="s">
        <v>338</v>
      </c>
      <c r="H31" s="184"/>
      <c r="I31" s="184"/>
      <c r="J31" s="440">
        <f>IF(J$24, 'General inputs'!$H21, 'General inputs'!$H26)</f>
        <v>3597</v>
      </c>
      <c r="K31" s="440">
        <f>IF(K$24, 'General inputs'!$H21, 'General inputs'!$H26)</f>
        <v>3597</v>
      </c>
      <c r="L31" s="440">
        <f>IF(L$24, 'General inputs'!$H21, 'General inputs'!$H26)</f>
        <v>3597</v>
      </c>
      <c r="M31" s="440">
        <f>IF(M$24, 'General inputs'!$H21, 'General inputs'!$H26)</f>
        <v>3597</v>
      </c>
      <c r="N31" s="440">
        <f>IF(N$24, 'General inputs'!$H21, 'General inputs'!$H26)</f>
        <v>3597</v>
      </c>
      <c r="O31" s="440">
        <f>IF(O$24, 'General inputs'!$H21, 'General inputs'!$H26)</f>
        <v>3597</v>
      </c>
      <c r="P31" s="440">
        <f>IF(P$24, 'General inputs'!$H21, 'General inputs'!$H26)</f>
        <v>3597</v>
      </c>
      <c r="Q31" s="440">
        <f>IF(Q$24, 'General inputs'!$H21, 'General inputs'!$H26)</f>
        <v>3597</v>
      </c>
      <c r="R31" s="440">
        <f>IF(R$24, 'General inputs'!$H21, 'General inputs'!$H26)</f>
        <v>3597</v>
      </c>
      <c r="S31" s="440">
        <f>IF(S$24, 'General inputs'!$H21, 'General inputs'!$H26)</f>
        <v>3597</v>
      </c>
      <c r="T31" s="440">
        <f>IF(T$24, 'General inputs'!$H21, 'General inputs'!$H26)</f>
        <v>3597</v>
      </c>
      <c r="U31" s="440">
        <f>IF(U$24, 'General inputs'!$H21, 'General inputs'!$H26)</f>
        <v>3597</v>
      </c>
      <c r="V31" s="440">
        <f>IF(V$24, 'General inputs'!$H21, 'General inputs'!$H26)</f>
        <v>3597</v>
      </c>
      <c r="W31" s="440">
        <f>IF(W$24, 'General inputs'!$H21, 'General inputs'!$H26)</f>
        <v>3597</v>
      </c>
      <c r="X31" s="440">
        <f>IF(X$24, 'General inputs'!$H21, 'General inputs'!$H26)</f>
        <v>3597</v>
      </c>
      <c r="Y31" s="440">
        <f>IF(Y$24, 'General inputs'!$H21, 'General inputs'!$H26)</f>
        <v>3597</v>
      </c>
      <c r="Z31" s="440">
        <f>IF(Z$24, 'General inputs'!$H21, 'General inputs'!$H26)</f>
        <v>3597</v>
      </c>
      <c r="AA31" s="440">
        <f>IF(AA$24, 'General inputs'!$H21, 'General inputs'!$H26)</f>
        <v>3597</v>
      </c>
      <c r="AB31" s="440">
        <f>IF(AB$24, 'General inputs'!$H21, 'General inputs'!$H26)</f>
        <v>3597</v>
      </c>
      <c r="AC31" s="440">
        <f>IF(AC$24, 'General inputs'!$H21, 'General inputs'!$H26)</f>
        <v>3597</v>
      </c>
      <c r="AD31" s="440">
        <f>IF(AD$24, 'General inputs'!$H21, 'General inputs'!$H26)</f>
        <v>3597</v>
      </c>
      <c r="AE31" s="440">
        <f>IF(AE$24, 'General inputs'!$H21, 'General inputs'!$H26)</f>
        <v>3597</v>
      </c>
      <c r="AF31" s="440">
        <f>IF(AF$24, 'General inputs'!$H21, 'General inputs'!$H26)</f>
        <v>3597</v>
      </c>
      <c r="AG31" s="440">
        <f>IF(AG$24, 'General inputs'!$H21, 'General inputs'!$H26)</f>
        <v>3597</v>
      </c>
      <c r="AH31" s="440">
        <f>IF(AH$24, 'General inputs'!$H21, 'General inputs'!$H26)</f>
        <v>3597</v>
      </c>
      <c r="AI31" s="440">
        <f>IF(AI$24, 'General inputs'!$H21, 'General inputs'!$H26)</f>
        <v>3597</v>
      </c>
      <c r="AJ31" s="440">
        <f>IF(AJ$24, 'General inputs'!$H21, 'General inputs'!$H26)</f>
        <v>3597</v>
      </c>
      <c r="AK31" s="440">
        <f>IF(AK$24, 'General inputs'!$H21, 'General inputs'!$H26)</f>
        <v>3597</v>
      </c>
      <c r="AL31" s="440">
        <f>IF(AL$24, 'General inputs'!$H21, 'General inputs'!$H26)</f>
        <v>3597</v>
      </c>
      <c r="AM31" s="440">
        <f>IF(AM$24, 'General inputs'!$H21, 'General inputs'!$H26)</f>
        <v>3597</v>
      </c>
      <c r="AN31" s="440">
        <f>IF(AN$24, 'General inputs'!$H21, 'General inputs'!$H26)</f>
        <v>3597</v>
      </c>
      <c r="AO31" s="440">
        <f>IF(AO$24, 'General inputs'!$H21, 'General inputs'!$H26)</f>
        <v>3597</v>
      </c>
      <c r="AP31" s="440">
        <f>IF(AP$24, 'General inputs'!$H21, 'General inputs'!$H26)</f>
        <v>3597</v>
      </c>
    </row>
    <row r="32" spans="3:44" s="160" customFormat="1" x14ac:dyDescent="0.25">
      <c r="J32" s="416"/>
      <c r="K32" s="416"/>
      <c r="L32" s="416"/>
      <c r="M32" s="416"/>
      <c r="N32" s="416"/>
      <c r="O32" s="416"/>
      <c r="P32" s="416"/>
      <c r="Q32" s="416"/>
      <c r="R32" s="416"/>
      <c r="S32" s="416"/>
      <c r="T32" s="416"/>
      <c r="U32" s="416"/>
      <c r="V32" s="416"/>
      <c r="W32" s="416"/>
      <c r="X32" s="444"/>
      <c r="Y32" s="444"/>
      <c r="Z32" s="444"/>
      <c r="AA32" s="444"/>
      <c r="AB32" s="444"/>
      <c r="AC32" s="416"/>
      <c r="AD32" s="416"/>
      <c r="AE32" s="416"/>
      <c r="AF32" s="416"/>
      <c r="AG32" s="416"/>
      <c r="AH32" s="416"/>
      <c r="AI32" s="416"/>
      <c r="AJ32" s="416"/>
      <c r="AK32" s="416"/>
      <c r="AL32" s="416"/>
      <c r="AM32" s="416"/>
      <c r="AN32" s="416"/>
      <c r="AO32" s="416"/>
      <c r="AP32" s="416"/>
    </row>
    <row r="33" spans="3:44" s="160" customFormat="1" x14ac:dyDescent="0.25">
      <c r="C33" s="22" t="str">
        <f ca="1">INDEX('Version control'!$H$34:$H$59,MATCH($A$1,'Version control'!$F$34:$F$59,0),1)&amp;"-B: Average load by timeband"</f>
        <v>Section 508-B: Average load by timeband</v>
      </c>
      <c r="D33" s="22"/>
      <c r="E33" s="22"/>
      <c r="F33" s="22"/>
      <c r="G33" s="22"/>
      <c r="H33" s="22"/>
      <c r="I33" s="22"/>
      <c r="J33" s="406"/>
      <c r="K33" s="406"/>
      <c r="L33" s="406"/>
      <c r="M33" s="406"/>
      <c r="N33" s="406"/>
      <c r="O33" s="406"/>
      <c r="P33" s="406"/>
      <c r="Q33" s="406"/>
      <c r="R33" s="406"/>
      <c r="S33" s="406"/>
      <c r="T33" s="406"/>
      <c r="U33" s="406"/>
      <c r="V33" s="406"/>
      <c r="W33" s="406"/>
      <c r="X33" s="406"/>
      <c r="Y33" s="406"/>
      <c r="Z33" s="406"/>
      <c r="AA33" s="406"/>
      <c r="AB33" s="406"/>
      <c r="AC33" s="406"/>
      <c r="AD33" s="406"/>
      <c r="AE33" s="406"/>
      <c r="AF33" s="406"/>
      <c r="AG33" s="406"/>
      <c r="AH33" s="406"/>
      <c r="AI33" s="406"/>
      <c r="AJ33" s="406"/>
      <c r="AK33" s="406"/>
      <c r="AL33" s="406"/>
      <c r="AM33" s="406"/>
      <c r="AN33" s="406"/>
      <c r="AO33" s="406"/>
      <c r="AP33" s="406"/>
      <c r="AQ33" s="22"/>
      <c r="AR33" s="22"/>
    </row>
    <row r="34" spans="3:44" s="88" customFormat="1" x14ac:dyDescent="0.25">
      <c r="F34" s="160"/>
      <c r="J34" s="416"/>
      <c r="K34" s="416"/>
      <c r="L34" s="416"/>
      <c r="M34" s="416"/>
      <c r="N34" s="416"/>
      <c r="O34" s="416"/>
      <c r="P34" s="416"/>
      <c r="Q34" s="416"/>
      <c r="R34" s="416"/>
      <c r="S34" s="416"/>
      <c r="T34" s="416"/>
      <c r="U34" s="416"/>
      <c r="V34" s="416"/>
      <c r="W34" s="416"/>
      <c r="X34" s="444"/>
      <c r="Y34" s="444"/>
      <c r="Z34" s="444"/>
      <c r="AA34" s="444"/>
      <c r="AB34" s="444"/>
      <c r="AC34" s="416"/>
      <c r="AD34" s="416"/>
      <c r="AE34" s="416"/>
      <c r="AF34" s="416"/>
      <c r="AG34" s="416"/>
      <c r="AH34" s="416"/>
      <c r="AI34" s="416"/>
      <c r="AJ34" s="416"/>
      <c r="AK34" s="416"/>
      <c r="AL34" s="416"/>
      <c r="AM34" s="416"/>
      <c r="AN34" s="416"/>
      <c r="AO34" s="416"/>
      <c r="AP34" s="416"/>
    </row>
    <row r="35" spans="3:44" s="88" customFormat="1" x14ac:dyDescent="0.25">
      <c r="E35" s="87" t="s">
        <v>371</v>
      </c>
      <c r="J35" s="416"/>
      <c r="K35" s="416"/>
      <c r="L35" s="416"/>
      <c r="M35" s="416"/>
      <c r="N35" s="416"/>
      <c r="O35" s="416"/>
      <c r="P35" s="416"/>
      <c r="Q35" s="416"/>
      <c r="R35" s="416"/>
      <c r="S35" s="416"/>
      <c r="T35" s="416"/>
      <c r="U35" s="416"/>
      <c r="V35" s="416"/>
      <c r="W35" s="416"/>
      <c r="X35" s="444"/>
      <c r="Y35" s="444"/>
      <c r="Z35" s="444"/>
      <c r="AA35" s="444"/>
      <c r="AB35" s="444"/>
      <c r="AC35" s="416"/>
      <c r="AD35" s="416"/>
      <c r="AE35" s="416"/>
      <c r="AF35" s="416"/>
      <c r="AG35" s="416"/>
      <c r="AH35" s="416"/>
      <c r="AI35" s="416"/>
      <c r="AJ35" s="416"/>
      <c r="AK35" s="416"/>
      <c r="AL35" s="416"/>
      <c r="AM35" s="416"/>
      <c r="AN35" s="416"/>
      <c r="AO35" s="416"/>
      <c r="AP35" s="416"/>
      <c r="AR35" s="160"/>
    </row>
    <row r="36" spans="3:44" s="88" customFormat="1" x14ac:dyDescent="0.25">
      <c r="F36" s="40" t="s">
        <v>151</v>
      </c>
      <c r="G36" s="40" t="s">
        <v>137</v>
      </c>
      <c r="H36" s="166"/>
      <c r="I36" s="166"/>
      <c r="J36" s="438">
        <f>'Volume adjustments'!J66</f>
        <v>9619584.3780239914</v>
      </c>
      <c r="K36" s="438">
        <f>'Volume adjustments'!K66</f>
        <v>835527.80607310811</v>
      </c>
      <c r="L36" s="438">
        <f>'Volume adjustments'!L66</f>
        <v>199297.91284437623</v>
      </c>
      <c r="M36" s="438">
        <f>'Volume adjustments'!M66</f>
        <v>2706270.8612037809</v>
      </c>
      <c r="N36" s="438">
        <f>'Volume adjustments'!N66</f>
        <v>446470.69642024959</v>
      </c>
      <c r="O36" s="438">
        <f>'Volume adjustments'!O66</f>
        <v>42294.937322173275</v>
      </c>
      <c r="P36" s="438">
        <f>'Volume adjustments'!P66</f>
        <v>104009.34260682437</v>
      </c>
      <c r="Q36" s="438">
        <f>'Volume adjustments'!Q66</f>
        <v>0</v>
      </c>
      <c r="R36" s="438">
        <f>'Volume adjustments'!R66</f>
        <v>282.01794456199212</v>
      </c>
      <c r="S36" s="438">
        <f>'Volume adjustments'!S66</f>
        <v>7860.7404958513216</v>
      </c>
      <c r="T36" s="438">
        <f>'Volume adjustments'!T66</f>
        <v>31198.833710634557</v>
      </c>
      <c r="U36" s="438">
        <f>'Volume adjustments'!U66</f>
        <v>625884.22888754157</v>
      </c>
      <c r="V36" s="438">
        <f>'Volume adjustments'!V66</f>
        <v>38456.239420473794</v>
      </c>
      <c r="W36" s="438">
        <f>'Volume adjustments'!W66</f>
        <v>452539.55734968698</v>
      </c>
      <c r="X36" s="438">
        <f>'Volume adjustments'!X66</f>
        <v>24532.632560505219</v>
      </c>
      <c r="Y36" s="438">
        <f>'Volume adjustments'!Y66</f>
        <v>15654.703404062586</v>
      </c>
      <c r="Z36" s="438">
        <f>'Volume adjustments'!Z66</f>
        <v>778.6739855590813</v>
      </c>
      <c r="AA36" s="438">
        <f>'Volume adjustments'!AA66</f>
        <v>149.6510564463434</v>
      </c>
      <c r="AB36" s="438">
        <f>'Volume adjustments'!AB66</f>
        <v>11673.535442439646</v>
      </c>
      <c r="AC36" s="438">
        <f>'Volume adjustments'!AC66</f>
        <v>4480.1442453728014</v>
      </c>
      <c r="AD36" s="438">
        <f>'Volume adjustments'!AD66</f>
        <v>263.02538443584314</v>
      </c>
      <c r="AE36" s="438">
        <f>'Volume adjustments'!AE66</f>
        <v>35972.106690575252</v>
      </c>
      <c r="AF36" s="438">
        <f>'Volume adjustments'!AF66</f>
        <v>0</v>
      </c>
      <c r="AG36" s="438">
        <f>'Volume adjustments'!AG66</f>
        <v>2725.9199353160684</v>
      </c>
      <c r="AH36" s="438">
        <f>'Volume adjustments'!AH66</f>
        <v>0</v>
      </c>
      <c r="AI36" s="438">
        <f>'Volume adjustments'!AI66</f>
        <v>0</v>
      </c>
      <c r="AJ36" s="438">
        <f>'Volume adjustments'!AJ66</f>
        <v>0</v>
      </c>
      <c r="AK36" s="438">
        <f>'Volume adjustments'!AK66</f>
        <v>0</v>
      </c>
      <c r="AL36" s="438">
        <f>'Volume adjustments'!AL66</f>
        <v>0</v>
      </c>
      <c r="AM36" s="438">
        <f>'Volume adjustments'!AM66</f>
        <v>468706.30956186936</v>
      </c>
      <c r="AN36" s="438">
        <f>'Volume adjustments'!AN66</f>
        <v>0</v>
      </c>
      <c r="AO36" s="438">
        <f>'Volume adjustments'!AO66</f>
        <v>57940.367337102631</v>
      </c>
      <c r="AP36" s="438">
        <f>'Volume adjustments'!AP66</f>
        <v>0</v>
      </c>
      <c r="AR36" s="160"/>
    </row>
    <row r="37" spans="3:44" s="88" customFormat="1" x14ac:dyDescent="0.25">
      <c r="F37" s="145" t="s">
        <v>152</v>
      </c>
      <c r="G37" s="145" t="s">
        <v>137</v>
      </c>
      <c r="H37" s="167"/>
      <c r="I37" s="167"/>
      <c r="J37" s="437">
        <f>'Volume adjustments'!J77</f>
        <v>0</v>
      </c>
      <c r="K37" s="437">
        <f>'Volume adjustments'!K77</f>
        <v>735614.89686908422</v>
      </c>
      <c r="L37" s="437">
        <f>'Volume adjustments'!L77</f>
        <v>0</v>
      </c>
      <c r="M37" s="437">
        <f>'Volume adjustments'!M77</f>
        <v>0</v>
      </c>
      <c r="N37" s="437">
        <f>'Volume adjustments'!N77</f>
        <v>278002.52474213234</v>
      </c>
      <c r="O37" s="437">
        <f>'Volume adjustments'!O77</f>
        <v>0</v>
      </c>
      <c r="P37" s="437">
        <f>'Volume adjustments'!P77</f>
        <v>7102.53616241911</v>
      </c>
      <c r="Q37" s="437">
        <f>'Volume adjustments'!Q77</f>
        <v>0</v>
      </c>
      <c r="R37" s="437">
        <f>'Volume adjustments'!R77</f>
        <v>4.3459831614531019</v>
      </c>
      <c r="S37" s="437">
        <f>'Volume adjustments'!S77</f>
        <v>24996.690407605536</v>
      </c>
      <c r="T37" s="437">
        <f>'Volume adjustments'!T77</f>
        <v>177573.26231864805</v>
      </c>
      <c r="U37" s="437">
        <f>'Volume adjustments'!U77</f>
        <v>3540894.6661684732</v>
      </c>
      <c r="V37" s="437">
        <f>'Volume adjustments'!V77</f>
        <v>221362.20664832584</v>
      </c>
      <c r="W37" s="437">
        <f>'Volume adjustments'!W77</f>
        <v>2543209.0589652988</v>
      </c>
      <c r="X37" s="437">
        <f>'Volume adjustments'!X77</f>
        <v>0</v>
      </c>
      <c r="Y37" s="437">
        <f>'Volume adjustments'!Y77</f>
        <v>0</v>
      </c>
      <c r="Z37" s="437">
        <f>'Volume adjustments'!Z77</f>
        <v>0</v>
      </c>
      <c r="AA37" s="437">
        <f>'Volume adjustments'!AA77</f>
        <v>0</v>
      </c>
      <c r="AB37" s="437">
        <f>'Volume adjustments'!AB77</f>
        <v>68850.186278347115</v>
      </c>
      <c r="AC37" s="437">
        <f>'Volume adjustments'!AC77</f>
        <v>0</v>
      </c>
      <c r="AD37" s="437">
        <f>'Volume adjustments'!AD77</f>
        <v>0</v>
      </c>
      <c r="AE37" s="437">
        <f>'Volume adjustments'!AE77</f>
        <v>0</v>
      </c>
      <c r="AF37" s="437">
        <f>'Volume adjustments'!AF77</f>
        <v>0</v>
      </c>
      <c r="AG37" s="437">
        <f>'Volume adjustments'!AG77</f>
        <v>15061.671411533149</v>
      </c>
      <c r="AH37" s="437">
        <f>'Volume adjustments'!AH77</f>
        <v>0</v>
      </c>
      <c r="AI37" s="437">
        <f>'Volume adjustments'!AI77</f>
        <v>0</v>
      </c>
      <c r="AJ37" s="437">
        <f>'Volume adjustments'!AJ77</f>
        <v>0</v>
      </c>
      <c r="AK37" s="437">
        <f>'Volume adjustments'!AK77</f>
        <v>0</v>
      </c>
      <c r="AL37" s="437">
        <f>'Volume adjustments'!AL77</f>
        <v>0</v>
      </c>
      <c r="AM37" s="437">
        <f>'Volume adjustments'!AM77</f>
        <v>0</v>
      </c>
      <c r="AN37" s="437">
        <f>'Volume adjustments'!AN77</f>
        <v>0</v>
      </c>
      <c r="AO37" s="437">
        <f>'Volume adjustments'!AO77</f>
        <v>308061.97136442841</v>
      </c>
      <c r="AP37" s="437">
        <f>'Volume adjustments'!AP77</f>
        <v>0</v>
      </c>
      <c r="AR37" s="160"/>
    </row>
    <row r="38" spans="3:44" s="88" customFormat="1" x14ac:dyDescent="0.25">
      <c r="F38" s="145" t="s">
        <v>153</v>
      </c>
      <c r="G38" s="145" t="s">
        <v>137</v>
      </c>
      <c r="H38" s="167"/>
      <c r="I38" s="167"/>
      <c r="J38" s="437">
        <f>'Volume adjustments'!J88</f>
        <v>0</v>
      </c>
      <c r="K38" s="437">
        <f>'Volume adjustments'!K88</f>
        <v>0</v>
      </c>
      <c r="L38" s="437">
        <f>'Volume adjustments'!L88</f>
        <v>0</v>
      </c>
      <c r="M38" s="437">
        <f>'Volume adjustments'!M88</f>
        <v>0</v>
      </c>
      <c r="N38" s="437">
        <f>'Volume adjustments'!N88</f>
        <v>0</v>
      </c>
      <c r="O38" s="437">
        <f>'Volume adjustments'!O88</f>
        <v>0</v>
      </c>
      <c r="P38" s="437">
        <f>'Volume adjustments'!P88</f>
        <v>0</v>
      </c>
      <c r="Q38" s="437">
        <f>'Volume adjustments'!Q88</f>
        <v>0</v>
      </c>
      <c r="R38" s="437">
        <f>'Volume adjustments'!R88</f>
        <v>0</v>
      </c>
      <c r="S38" s="437">
        <f>'Volume adjustments'!S88</f>
        <v>14751.44123412742</v>
      </c>
      <c r="T38" s="437">
        <f>'Volume adjustments'!T88</f>
        <v>84778.104421972268</v>
      </c>
      <c r="U38" s="437">
        <f>'Volume adjustments'!U88</f>
        <v>1866739.9019720491</v>
      </c>
      <c r="V38" s="437">
        <f>'Volume adjustments'!V88</f>
        <v>134010.09592598444</v>
      </c>
      <c r="W38" s="437">
        <f>'Volume adjustments'!W88</f>
        <v>1747222.1632098565</v>
      </c>
      <c r="X38" s="437">
        <f>'Volume adjustments'!X88</f>
        <v>0</v>
      </c>
      <c r="Y38" s="437">
        <f>'Volume adjustments'!Y88</f>
        <v>0</v>
      </c>
      <c r="Z38" s="437">
        <f>'Volume adjustments'!Z88</f>
        <v>0</v>
      </c>
      <c r="AA38" s="437">
        <f>'Volume adjustments'!AA88</f>
        <v>0</v>
      </c>
      <c r="AB38" s="437">
        <f>'Volume adjustments'!AB88</f>
        <v>135233.45936929047</v>
      </c>
      <c r="AC38" s="437">
        <f>'Volume adjustments'!AC88</f>
        <v>0</v>
      </c>
      <c r="AD38" s="437">
        <f>'Volume adjustments'!AD88</f>
        <v>0</v>
      </c>
      <c r="AE38" s="437">
        <f>'Volume adjustments'!AE88</f>
        <v>0</v>
      </c>
      <c r="AF38" s="437">
        <f>'Volume adjustments'!AF88</f>
        <v>0</v>
      </c>
      <c r="AG38" s="437">
        <f>'Volume adjustments'!AG88</f>
        <v>11083.1138824874</v>
      </c>
      <c r="AH38" s="437">
        <f>'Volume adjustments'!AH88</f>
        <v>0</v>
      </c>
      <c r="AI38" s="437">
        <f>'Volume adjustments'!AI88</f>
        <v>0</v>
      </c>
      <c r="AJ38" s="437">
        <f>'Volume adjustments'!AJ88</f>
        <v>0</v>
      </c>
      <c r="AK38" s="437">
        <f>'Volume adjustments'!AK88</f>
        <v>0</v>
      </c>
      <c r="AL38" s="437">
        <f>'Volume adjustments'!AL88</f>
        <v>0</v>
      </c>
      <c r="AM38" s="437">
        <f>'Volume adjustments'!AM88</f>
        <v>0</v>
      </c>
      <c r="AN38" s="437">
        <f>'Volume adjustments'!AN88</f>
        <v>0</v>
      </c>
      <c r="AO38" s="437">
        <f>'Volume adjustments'!AO88</f>
        <v>227982.97660961846</v>
      </c>
      <c r="AP38" s="437">
        <f>'Volume adjustments'!AP88</f>
        <v>0</v>
      </c>
      <c r="AR38" s="160"/>
    </row>
    <row r="39" spans="3:44" s="88" customFormat="1" x14ac:dyDescent="0.25">
      <c r="F39" s="209" t="s">
        <v>159</v>
      </c>
      <c r="G39" s="146" t="s">
        <v>137</v>
      </c>
      <c r="H39" s="138"/>
      <c r="I39" s="138"/>
      <c r="J39" s="434">
        <f t="shared" ref="J39:AP39" si="0">SUM(J36:J38)</f>
        <v>9619584.3780239914</v>
      </c>
      <c r="K39" s="434">
        <f t="shared" si="0"/>
        <v>1571142.7029421923</v>
      </c>
      <c r="L39" s="434">
        <f t="shared" si="0"/>
        <v>199297.91284437623</v>
      </c>
      <c r="M39" s="434">
        <f t="shared" si="0"/>
        <v>2706270.8612037809</v>
      </c>
      <c r="N39" s="434">
        <f t="shared" si="0"/>
        <v>724473.22116238193</v>
      </c>
      <c r="O39" s="434">
        <f t="shared" si="0"/>
        <v>42294.937322173275</v>
      </c>
      <c r="P39" s="434">
        <f t="shared" si="0"/>
        <v>111111.87876924349</v>
      </c>
      <c r="Q39" s="434">
        <f t="shared" si="0"/>
        <v>0</v>
      </c>
      <c r="R39" s="434">
        <f t="shared" si="0"/>
        <v>286.36392772344522</v>
      </c>
      <c r="S39" s="434">
        <f t="shared" si="0"/>
        <v>47608.87213758428</v>
      </c>
      <c r="T39" s="434">
        <f t="shared" si="0"/>
        <v>293550.20045125484</v>
      </c>
      <c r="U39" s="434">
        <f t="shared" si="0"/>
        <v>6033518.7970280638</v>
      </c>
      <c r="V39" s="434">
        <f t="shared" si="0"/>
        <v>393828.54199478409</v>
      </c>
      <c r="W39" s="434">
        <f t="shared" si="0"/>
        <v>4742970.7795248423</v>
      </c>
      <c r="X39" s="434">
        <f t="shared" si="0"/>
        <v>24532.632560505219</v>
      </c>
      <c r="Y39" s="434">
        <f t="shared" si="0"/>
        <v>15654.703404062586</v>
      </c>
      <c r="Z39" s="434">
        <f t="shared" si="0"/>
        <v>778.6739855590813</v>
      </c>
      <c r="AA39" s="434">
        <f t="shared" si="0"/>
        <v>149.6510564463434</v>
      </c>
      <c r="AB39" s="434">
        <f t="shared" si="0"/>
        <v>215757.18109007724</v>
      </c>
      <c r="AC39" s="434">
        <f t="shared" si="0"/>
        <v>4480.1442453728014</v>
      </c>
      <c r="AD39" s="434">
        <f t="shared" si="0"/>
        <v>263.02538443584314</v>
      </c>
      <c r="AE39" s="434">
        <f t="shared" si="0"/>
        <v>35972.106690575252</v>
      </c>
      <c r="AF39" s="434">
        <f t="shared" si="0"/>
        <v>0</v>
      </c>
      <c r="AG39" s="434">
        <f t="shared" si="0"/>
        <v>28870.705229336618</v>
      </c>
      <c r="AH39" s="434">
        <f t="shared" si="0"/>
        <v>0</v>
      </c>
      <c r="AI39" s="434">
        <f t="shared" si="0"/>
        <v>0</v>
      </c>
      <c r="AJ39" s="434">
        <f t="shared" si="0"/>
        <v>0</v>
      </c>
      <c r="AK39" s="434">
        <f t="shared" si="0"/>
        <v>0</v>
      </c>
      <c r="AL39" s="434">
        <f t="shared" si="0"/>
        <v>0</v>
      </c>
      <c r="AM39" s="434">
        <f t="shared" si="0"/>
        <v>468706.30956186936</v>
      </c>
      <c r="AN39" s="434">
        <f t="shared" si="0"/>
        <v>0</v>
      </c>
      <c r="AO39" s="434">
        <f t="shared" si="0"/>
        <v>593985.31531114946</v>
      </c>
      <c r="AP39" s="434">
        <f t="shared" si="0"/>
        <v>0</v>
      </c>
      <c r="AR39" s="160"/>
    </row>
    <row r="40" spans="3:44" s="88" customFormat="1" x14ac:dyDescent="0.25">
      <c r="F40" s="37"/>
      <c r="G40" s="37"/>
      <c r="H40" s="90"/>
      <c r="I40" s="90"/>
      <c r="J40" s="181"/>
      <c r="K40" s="181"/>
      <c r="L40" s="181"/>
      <c r="M40" s="181"/>
      <c r="N40" s="181"/>
      <c r="O40" s="181"/>
      <c r="P40" s="181"/>
      <c r="Q40" s="181"/>
      <c r="R40" s="181"/>
      <c r="S40" s="181"/>
      <c r="T40" s="181"/>
      <c r="U40" s="181"/>
      <c r="V40" s="181"/>
      <c r="W40" s="181"/>
      <c r="X40" s="181"/>
      <c r="Y40" s="181"/>
      <c r="Z40" s="181"/>
      <c r="AA40" s="181"/>
      <c r="AB40" s="181"/>
      <c r="AC40" s="181"/>
      <c r="AD40" s="181"/>
      <c r="AE40" s="181"/>
      <c r="AF40" s="181"/>
      <c r="AG40" s="181"/>
      <c r="AH40" s="181"/>
      <c r="AI40" s="181"/>
      <c r="AJ40" s="181"/>
      <c r="AK40" s="181"/>
      <c r="AL40" s="181"/>
      <c r="AM40" s="181"/>
      <c r="AN40" s="181"/>
      <c r="AO40" s="181"/>
      <c r="AP40" s="181"/>
      <c r="AQ40" s="181"/>
      <c r="AR40" s="160"/>
    </row>
    <row r="41" spans="3:44" s="88" customFormat="1" x14ac:dyDescent="0.25">
      <c r="E41" s="87" t="s">
        <v>503</v>
      </c>
      <c r="AR41" s="160"/>
    </row>
    <row r="42" spans="3:44" s="160" customFormat="1" x14ac:dyDescent="0.25">
      <c r="E42" s="152" t="s">
        <v>502</v>
      </c>
      <c r="X42" s="11"/>
      <c r="Y42" s="11"/>
      <c r="Z42" s="11"/>
      <c r="AA42" s="11"/>
      <c r="AB42" s="11"/>
    </row>
    <row r="43" spans="3:44" s="88" customFormat="1" x14ac:dyDescent="0.25">
      <c r="F43" s="40" t="s">
        <v>373</v>
      </c>
      <c r="G43" s="40" t="s">
        <v>111</v>
      </c>
      <c r="H43" s="166"/>
      <c r="I43" s="166"/>
      <c r="J43" s="187">
        <f>IF(J$25, J29 / hours_in_year, 'Inputs by customer type'!J56)</f>
        <v>0.1303605823800672</v>
      </c>
      <c r="K43" s="187">
        <f>IF(K$25, K29 / hours_in_year, 'Inputs by customer type'!K56)</f>
        <v>0.16008647654669095</v>
      </c>
      <c r="L43" s="187">
        <f>IF(L$25, L29 / hours_in_year, 'Inputs by customer type'!L56)</f>
        <v>2.9506091257322565E-3</v>
      </c>
      <c r="M43" s="187">
        <f>IF(M$25, M29 / hours_in_year, 'Inputs by customer type'!M56)</f>
        <v>9.9931866294903748E-2</v>
      </c>
      <c r="N43" s="187">
        <f>IF(N$25, N29 / hours_in_year, 'Inputs by customer type'!N56)</f>
        <v>0.14414104148275755</v>
      </c>
      <c r="O43" s="187">
        <f>IF(O$25, O29 / hours_in_year, 'Inputs by customer type'!O56)</f>
        <v>2.688688288418364E-2</v>
      </c>
      <c r="P43" s="187">
        <f>IF(P$25, P29 / hours_in_year, 'Inputs by customer type'!P56)</f>
        <v>0.11093714578366191</v>
      </c>
      <c r="Q43" s="187">
        <f>IF(Q$25, Q29 / hours_in_year, 'Inputs by customer type'!Q56)</f>
        <v>0.12003021517947027</v>
      </c>
      <c r="R43" s="187">
        <f>IF(R$25, R29 / hours_in_year, 'Inputs by customer type'!R56)</f>
        <v>0.10289839145399236</v>
      </c>
      <c r="S43" s="187">
        <f>IF(S$25, S29 / hours_in_year, 'Inputs by customer type'!S56)</f>
        <v>1</v>
      </c>
      <c r="T43" s="187">
        <f>IF(T$25, T29 / hours_in_year, 'Inputs by customer type'!T56)</f>
        <v>1</v>
      </c>
      <c r="U43" s="187">
        <f>IF(U$25, U29 / hours_in_year, 'Inputs by customer type'!U56)</f>
        <v>1</v>
      </c>
      <c r="V43" s="187">
        <f>IF(V$25, V29 / hours_in_year, 'Inputs by customer type'!V56)</f>
        <v>1</v>
      </c>
      <c r="W43" s="187">
        <f>IF(W$25, W29 / hours_in_year, 'Inputs by customer type'!W56)</f>
        <v>1</v>
      </c>
      <c r="X43" s="187">
        <f>IF(X$25, X29 / hours_in_year, 'Inputs by customer type'!X56)</f>
        <v>2.9428587803320194E-2</v>
      </c>
      <c r="Y43" s="187">
        <f>IF(Y$25, Y29 / hours_in_year, 'Inputs by customer type'!Y56)</f>
        <v>5.5860763375114579E-2</v>
      </c>
      <c r="Z43" s="187">
        <f>IF(Z$25, Z29 / hours_in_year, 'Inputs by customer type'!Z56)</f>
        <v>0.10584620906454333</v>
      </c>
      <c r="AA43" s="187">
        <f>IF(AA$25, AA29 / hours_in_year, 'Inputs by customer type'!AA56)</f>
        <v>9.7435031980501897E-3</v>
      </c>
      <c r="AB43" s="187">
        <f>IF(AB$25, AB29 / hours_in_year, 'Inputs by customer type'!AB56)</f>
        <v>1</v>
      </c>
      <c r="AC43" s="187">
        <f>IF(AC$25, AC29 / hours_in_year, 'Inputs by customer type'!AC56)</f>
        <v>8.938356164383561E-2</v>
      </c>
      <c r="AD43" s="187">
        <f>IF(AD$25, AD29 / hours_in_year, 'Inputs by customer type'!AD56)</f>
        <v>8.938356164383561E-2</v>
      </c>
      <c r="AE43" s="187">
        <f>IF(AE$25, AE29 / hours_in_year, 'Inputs by customer type'!AE56)</f>
        <v>8.938356164383561E-2</v>
      </c>
      <c r="AF43" s="187">
        <f>IF(AF$25, AF29 / hours_in_year, 'Inputs by customer type'!AF56)</f>
        <v>8.938356164383561E-2</v>
      </c>
      <c r="AG43" s="187">
        <f>IF(AG$25, AG29 / hours_in_year, 'Inputs by customer type'!AG56)</f>
        <v>1</v>
      </c>
      <c r="AH43" s="187">
        <f>IF(AH$25, AH29 / hours_in_year, 'Inputs by customer type'!AH56)</f>
        <v>1</v>
      </c>
      <c r="AI43" s="187">
        <f>IF(AI$25, AI29 / hours_in_year, 'Inputs by customer type'!AI56)</f>
        <v>8.938356164383561E-2</v>
      </c>
      <c r="AJ43" s="187">
        <f>IF(AJ$25, AJ29 / hours_in_year, 'Inputs by customer type'!AJ56)</f>
        <v>8.938356164383561E-2</v>
      </c>
      <c r="AK43" s="187">
        <f>IF(AK$25, AK29 / hours_in_year, 'Inputs by customer type'!AK56)</f>
        <v>1</v>
      </c>
      <c r="AL43" s="187">
        <f>IF(AL$25, AL29 / hours_in_year, 'Inputs by customer type'!AL56)</f>
        <v>1</v>
      </c>
      <c r="AM43" s="187">
        <f>IF(AM$25, AM29 / hours_in_year, 'Inputs by customer type'!AM56)</f>
        <v>8.938356164383561E-2</v>
      </c>
      <c r="AN43" s="187">
        <f>IF(AN$25, AN29 / hours_in_year, 'Inputs by customer type'!AN56)</f>
        <v>8.938356164383561E-2</v>
      </c>
      <c r="AO43" s="187">
        <f>IF(AO$25, AO29 / hours_in_year, 'Inputs by customer type'!AO56)</f>
        <v>1</v>
      </c>
      <c r="AP43" s="187">
        <f>IF(AP$25, AP29 / hours_in_year, 'Inputs by customer type'!AP56)</f>
        <v>1</v>
      </c>
      <c r="AR43" s="160"/>
    </row>
    <row r="44" spans="3:44" s="88" customFormat="1" x14ac:dyDescent="0.25">
      <c r="F44" s="145" t="s">
        <v>374</v>
      </c>
      <c r="G44" s="145" t="s">
        <v>111</v>
      </c>
      <c r="H44" s="339"/>
      <c r="I44" s="339"/>
      <c r="J44" s="181">
        <f>IF(J$25, J30 / hours_in_year, 'Inputs by customer type'!J57)</f>
        <v>0.58094170869760264</v>
      </c>
      <c r="K44" s="181">
        <f>IF(K$25, K30 / hours_in_year, 'Inputs by customer type'!K57)</f>
        <v>0.67699311166510778</v>
      </c>
      <c r="L44" s="181">
        <f>IF(L$25, L30 / hours_in_year, 'Inputs by customer type'!L57)</f>
        <v>0.28029730923812485</v>
      </c>
      <c r="M44" s="181">
        <f>IF(M$25, M30 / hours_in_year, 'Inputs by customer type'!M57)</f>
        <v>0.6551851950794213</v>
      </c>
      <c r="N44" s="181">
        <f>IF(N$25, N30 / hours_in_year, 'Inputs by customer type'!N57)</f>
        <v>0.73387072809578857</v>
      </c>
      <c r="O44" s="181">
        <f>IF(O$25, O30 / hours_in_year, 'Inputs by customer type'!O57)</f>
        <v>0.2809791198951575</v>
      </c>
      <c r="P44" s="181">
        <f>IF(P$25, P30 / hours_in_year, 'Inputs by customer type'!P57)</f>
        <v>0.64059184444015715</v>
      </c>
      <c r="Q44" s="181">
        <f>IF(Q$25, Q30 / hours_in_year, 'Inputs by customer type'!Q57)</f>
        <v>0.70532419066470131</v>
      </c>
      <c r="R44" s="181">
        <f>IF(R$25, R30 / hours_in_year, 'Inputs by customer type'!R57)</f>
        <v>0.62301547465112572</v>
      </c>
      <c r="S44" s="181">
        <f>IF(S$25, S30 / hours_in_year, 'Inputs by customer type'!S57)</f>
        <v>0</v>
      </c>
      <c r="T44" s="181">
        <f>IF(T$25, T30 / hours_in_year, 'Inputs by customer type'!T57)</f>
        <v>0</v>
      </c>
      <c r="U44" s="181">
        <f>IF(U$25, U30 / hours_in_year, 'Inputs by customer type'!U57)</f>
        <v>0</v>
      </c>
      <c r="V44" s="181">
        <f>IF(V$25, V30 / hours_in_year, 'Inputs by customer type'!V57)</f>
        <v>0</v>
      </c>
      <c r="W44" s="181">
        <f>IF(W$25, W30 / hours_in_year, 'Inputs by customer type'!W57)</f>
        <v>0</v>
      </c>
      <c r="X44" s="181">
        <f>IF(X$25, X30 / hours_in_year, 'Inputs by customer type'!X57)</f>
        <v>0.5599404744271298</v>
      </c>
      <c r="Y44" s="181">
        <f>IF(Y$25, Y30 / hours_in_year, 'Inputs by customer type'!Y57)</f>
        <v>0.20873973314202976</v>
      </c>
      <c r="Z44" s="181">
        <f>IF(Z$25, Z30 / hours_in_year, 'Inputs by customer type'!Z57)</f>
        <v>0.41289080391564775</v>
      </c>
      <c r="AA44" s="181">
        <f>IF(AA$25, AA30 / hours_in_year, 'Inputs by customer type'!AA57)</f>
        <v>0.89013509641497368</v>
      </c>
      <c r="AB44" s="181">
        <f>IF(AB$25, AB30 / hours_in_year, 'Inputs by customer type'!AB57)</f>
        <v>0</v>
      </c>
      <c r="AC44" s="181">
        <f>IF(AC$25, AC30 / hours_in_year, 'Inputs by customer type'!AC57)</f>
        <v>0.5</v>
      </c>
      <c r="AD44" s="181">
        <f>IF(AD$25, AD30 / hours_in_year, 'Inputs by customer type'!AD57)</f>
        <v>0.5</v>
      </c>
      <c r="AE44" s="181">
        <f>IF(AE$25, AE30 / hours_in_year, 'Inputs by customer type'!AE57)</f>
        <v>0.5</v>
      </c>
      <c r="AF44" s="181">
        <f>IF(AF$25, AF30 / hours_in_year, 'Inputs by customer type'!AF57)</f>
        <v>0.5</v>
      </c>
      <c r="AG44" s="181">
        <f>IF(AG$25, AG30 / hours_in_year, 'Inputs by customer type'!AG57)</f>
        <v>0</v>
      </c>
      <c r="AH44" s="181">
        <f>IF(AH$25, AH30 / hours_in_year, 'Inputs by customer type'!AH57)</f>
        <v>0</v>
      </c>
      <c r="AI44" s="181">
        <f>IF(AI$25, AI30 / hours_in_year, 'Inputs by customer type'!AI57)</f>
        <v>0.5</v>
      </c>
      <c r="AJ44" s="181">
        <f>IF(AJ$25, AJ30 / hours_in_year, 'Inputs by customer type'!AJ57)</f>
        <v>0.5</v>
      </c>
      <c r="AK44" s="181">
        <f>IF(AK$25, AK30 / hours_in_year, 'Inputs by customer type'!AK57)</f>
        <v>0</v>
      </c>
      <c r="AL44" s="181">
        <f>IF(AL$25, AL30 / hours_in_year, 'Inputs by customer type'!AL57)</f>
        <v>0</v>
      </c>
      <c r="AM44" s="181">
        <f>IF(AM$25, AM30 / hours_in_year, 'Inputs by customer type'!AM57)</f>
        <v>0.5</v>
      </c>
      <c r="AN44" s="181">
        <f>IF(AN$25, AN30 / hours_in_year, 'Inputs by customer type'!AN57)</f>
        <v>0.5</v>
      </c>
      <c r="AO44" s="181">
        <f>IF(AO$25, AO30 / hours_in_year, 'Inputs by customer type'!AO57)</f>
        <v>0</v>
      </c>
      <c r="AP44" s="181">
        <f>IF(AP$25, AP30 / hours_in_year, 'Inputs by customer type'!AP57)</f>
        <v>0</v>
      </c>
      <c r="AR44" s="160"/>
    </row>
    <row r="45" spans="3:44" s="88" customFormat="1" x14ac:dyDescent="0.25">
      <c r="F45" s="38" t="s">
        <v>103</v>
      </c>
      <c r="G45" s="38" t="s">
        <v>111</v>
      </c>
      <c r="H45" s="168"/>
      <c r="I45" s="168"/>
      <c r="J45" s="182">
        <f>IF(J$25, J31 / hours_in_year, 'Inputs by customer type'!J58)</f>
        <v>0.28869770892233015</v>
      </c>
      <c r="K45" s="182">
        <f>IF(K$25, K31 / hours_in_year, 'Inputs by customer type'!K58)</f>
        <v>0.16292041178820132</v>
      </c>
      <c r="L45" s="182">
        <f>IF(L$25, L31 / hours_in_year, 'Inputs by customer type'!L58)</f>
        <v>0.71675208163614279</v>
      </c>
      <c r="M45" s="182">
        <f>IF(M$25, M31 / hours_in_year, 'Inputs by customer type'!M58)</f>
        <v>0.24488293862567501</v>
      </c>
      <c r="N45" s="182">
        <f>IF(N$25, N31 / hours_in_year, 'Inputs by customer type'!N58)</f>
        <v>0.12198823042145396</v>
      </c>
      <c r="O45" s="182">
        <f>IF(O$25, O31 / hours_in_year, 'Inputs by customer type'!O58)</f>
        <v>0.69213399722065871</v>
      </c>
      <c r="P45" s="182">
        <f>IF(P$25, P31 / hours_in_year, 'Inputs by customer type'!P58)</f>
        <v>0.24847100977618095</v>
      </c>
      <c r="Q45" s="182">
        <f>IF(Q$25, Q31 / hours_in_year, 'Inputs by customer type'!Q58)</f>
        <v>0.17464559415582845</v>
      </c>
      <c r="R45" s="182">
        <f>IF(R$25, R31 / hours_in_year, 'Inputs by customer type'!R58)</f>
        <v>0.2740861338948819</v>
      </c>
      <c r="S45" s="182">
        <f>IF(S$25, S31 / hours_in_year, 'Inputs by customer type'!S58)</f>
        <v>0</v>
      </c>
      <c r="T45" s="182">
        <f>IF(T$25, T31 / hours_in_year, 'Inputs by customer type'!T58)</f>
        <v>0</v>
      </c>
      <c r="U45" s="182">
        <f>IF(U$25, U31 / hours_in_year, 'Inputs by customer type'!U58)</f>
        <v>0</v>
      </c>
      <c r="V45" s="182">
        <f>IF(V$25, V31 / hours_in_year, 'Inputs by customer type'!V58)</f>
        <v>0</v>
      </c>
      <c r="W45" s="182">
        <f>IF(W$25, W31 / hours_in_year, 'Inputs by customer type'!W58)</f>
        <v>0</v>
      </c>
      <c r="X45" s="182">
        <f>IF(X$25, X31 / hours_in_year, 'Inputs by customer type'!X58)</f>
        <v>0.41063093776955001</v>
      </c>
      <c r="Y45" s="182">
        <f>IF(Y$25, Y31 / hours_in_year, 'Inputs by customer type'!Y58)</f>
        <v>0.73539950348285554</v>
      </c>
      <c r="Z45" s="182">
        <f>IF(Z$25, Z31 / hours_in_year, 'Inputs by customer type'!Z58)</f>
        <v>0.48126298701980891</v>
      </c>
      <c r="AA45" s="182">
        <f>IF(AA$25, AA31 / hours_in_year, 'Inputs by customer type'!AA58)</f>
        <v>0.10012140038697619</v>
      </c>
      <c r="AB45" s="182">
        <f>IF(AB$25, AB31 / hours_in_year, 'Inputs by customer type'!AB58)</f>
        <v>0</v>
      </c>
      <c r="AC45" s="182">
        <f>IF(AC$25, AC31 / hours_in_year, 'Inputs by customer type'!AC58)</f>
        <v>0.4106164383561644</v>
      </c>
      <c r="AD45" s="182">
        <f>IF(AD$25, AD31 / hours_in_year, 'Inputs by customer type'!AD58)</f>
        <v>0.4106164383561644</v>
      </c>
      <c r="AE45" s="182">
        <f>IF(AE$25, AE31 / hours_in_year, 'Inputs by customer type'!AE58)</f>
        <v>0.4106164383561644</v>
      </c>
      <c r="AF45" s="182">
        <f>IF(AF$25, AF31 / hours_in_year, 'Inputs by customer type'!AF58)</f>
        <v>0.4106164383561644</v>
      </c>
      <c r="AG45" s="182">
        <f>IF(AG$25, AG31 / hours_in_year, 'Inputs by customer type'!AG58)</f>
        <v>0</v>
      </c>
      <c r="AH45" s="182">
        <f>IF(AH$25, AH31 / hours_in_year, 'Inputs by customer type'!AH58)</f>
        <v>0</v>
      </c>
      <c r="AI45" s="182">
        <f>IF(AI$25, AI31 / hours_in_year, 'Inputs by customer type'!AI58)</f>
        <v>0.4106164383561644</v>
      </c>
      <c r="AJ45" s="182">
        <f>IF(AJ$25, AJ31 / hours_in_year, 'Inputs by customer type'!AJ58)</f>
        <v>0.4106164383561644</v>
      </c>
      <c r="AK45" s="182">
        <f>IF(AK$25, AK31 / hours_in_year, 'Inputs by customer type'!AK58)</f>
        <v>0</v>
      </c>
      <c r="AL45" s="182">
        <f>IF(AL$25, AL31 / hours_in_year, 'Inputs by customer type'!AL58)</f>
        <v>0</v>
      </c>
      <c r="AM45" s="182">
        <f>IF(AM$25, AM31 / hours_in_year, 'Inputs by customer type'!AM58)</f>
        <v>0.4106164383561644</v>
      </c>
      <c r="AN45" s="182">
        <f>IF(AN$25, AN31 / hours_in_year, 'Inputs by customer type'!AN58)</f>
        <v>0.4106164383561644</v>
      </c>
      <c r="AO45" s="182">
        <f>IF(AO$25, AO31 / hours_in_year, 'Inputs by customer type'!AO58)</f>
        <v>0</v>
      </c>
      <c r="AP45" s="182">
        <f>IF(AP$25, AP31 / hours_in_year, 'Inputs by customer type'!AP58)</f>
        <v>0</v>
      </c>
      <c r="AR45" s="160"/>
    </row>
    <row r="46" spans="3:44" s="88" customFormat="1" x14ac:dyDescent="0.25">
      <c r="F46" s="145" t="s">
        <v>373</v>
      </c>
      <c r="G46" s="145" t="s">
        <v>137</v>
      </c>
      <c r="H46" s="167"/>
      <c r="I46" s="167"/>
      <c r="J46" s="428">
        <f t="shared" ref="J46:AP46" si="1">J$36 * J43</f>
        <v>1254014.6217734041</v>
      </c>
      <c r="K46" s="428">
        <f t="shared" si="1"/>
        <v>133756.70253103075</v>
      </c>
      <c r="L46" s="428">
        <f t="shared" si="1"/>
        <v>588.05024037800843</v>
      </c>
      <c r="M46" s="428">
        <f t="shared" si="1"/>
        <v>270442.69785961026</v>
      </c>
      <c r="N46" s="428">
        <f t="shared" si="1"/>
        <v>64354.751173546851</v>
      </c>
      <c r="O46" s="428">
        <f t="shared" si="1"/>
        <v>1137.1790263751604</v>
      </c>
      <c r="P46" s="428">
        <f t="shared" si="1"/>
        <v>11538.499603636114</v>
      </c>
      <c r="Q46" s="428">
        <f t="shared" si="1"/>
        <v>0</v>
      </c>
      <c r="R46" s="428">
        <f t="shared" si="1"/>
        <v>29.019192856590184</v>
      </c>
      <c r="S46" s="428">
        <f t="shared" si="1"/>
        <v>7860.7404958513216</v>
      </c>
      <c r="T46" s="428">
        <f t="shared" si="1"/>
        <v>31198.833710634557</v>
      </c>
      <c r="U46" s="428">
        <f t="shared" si="1"/>
        <v>625884.22888754157</v>
      </c>
      <c r="V46" s="428">
        <f t="shared" si="1"/>
        <v>38456.239420473794</v>
      </c>
      <c r="W46" s="428">
        <f t="shared" si="1"/>
        <v>452539.55734968698</v>
      </c>
      <c r="X46" s="428">
        <f t="shared" si="1"/>
        <v>721.96073135341976</v>
      </c>
      <c r="Y46" s="428">
        <f t="shared" si="1"/>
        <v>874.48368256194078</v>
      </c>
      <c r="Z46" s="428">
        <f t="shared" si="1"/>
        <v>82.419689468607714</v>
      </c>
      <c r="AA46" s="428">
        <f t="shared" si="1"/>
        <v>1.4581255470765364</v>
      </c>
      <c r="AB46" s="428">
        <f t="shared" si="1"/>
        <v>11673.535442439646</v>
      </c>
      <c r="AC46" s="428">
        <f t="shared" si="1"/>
        <v>400.45124932955514</v>
      </c>
      <c r="AD46" s="428">
        <f t="shared" si="1"/>
        <v>23.510145663614743</v>
      </c>
      <c r="AE46" s="428">
        <f t="shared" si="1"/>
        <v>3215.3150158356643</v>
      </c>
      <c r="AF46" s="428">
        <f t="shared" si="1"/>
        <v>0</v>
      </c>
      <c r="AG46" s="428">
        <f t="shared" si="1"/>
        <v>2725.9199353160684</v>
      </c>
      <c r="AH46" s="428">
        <f t="shared" si="1"/>
        <v>0</v>
      </c>
      <c r="AI46" s="428">
        <f t="shared" si="1"/>
        <v>0</v>
      </c>
      <c r="AJ46" s="428">
        <f t="shared" si="1"/>
        <v>0</v>
      </c>
      <c r="AK46" s="428">
        <f t="shared" si="1"/>
        <v>0</v>
      </c>
      <c r="AL46" s="428">
        <f t="shared" si="1"/>
        <v>0</v>
      </c>
      <c r="AM46" s="428">
        <f t="shared" si="1"/>
        <v>41894.639313578045</v>
      </c>
      <c r="AN46" s="428">
        <f t="shared" si="1"/>
        <v>0</v>
      </c>
      <c r="AO46" s="428">
        <f t="shared" si="1"/>
        <v>57940.367337102631</v>
      </c>
      <c r="AP46" s="428">
        <f t="shared" si="1"/>
        <v>0</v>
      </c>
      <c r="AR46" s="160"/>
    </row>
    <row r="47" spans="3:44" s="88" customFormat="1" x14ac:dyDescent="0.25">
      <c r="F47" s="145" t="s">
        <v>374</v>
      </c>
      <c r="G47" s="145" t="s">
        <v>137</v>
      </c>
      <c r="H47" s="167"/>
      <c r="I47" s="167"/>
      <c r="J47" s="428">
        <f t="shared" ref="J47:AP47" si="2">J$36 * J44</f>
        <v>5588417.7855300223</v>
      </c>
      <c r="K47" s="428">
        <f t="shared" si="2"/>
        <v>565646.56931615423</v>
      </c>
      <c r="L47" s="428">
        <f t="shared" si="2"/>
        <v>55862.668707052981</v>
      </c>
      <c r="M47" s="428">
        <f t="shared" si="2"/>
        <v>1773108.6021355526</v>
      </c>
      <c r="N47" s="428">
        <f t="shared" si="2"/>
        <v>327651.77505536238</v>
      </c>
      <c r="O47" s="428">
        <f t="shared" si="2"/>
        <v>11883.994264805096</v>
      </c>
      <c r="P47" s="428">
        <f t="shared" si="2"/>
        <v>66627.536619513849</v>
      </c>
      <c r="Q47" s="428">
        <f t="shared" si="2"/>
        <v>0</v>
      </c>
      <c r="R47" s="428">
        <f t="shared" si="2"/>
        <v>175.70154359142438</v>
      </c>
      <c r="S47" s="428">
        <f t="shared" si="2"/>
        <v>0</v>
      </c>
      <c r="T47" s="428">
        <f t="shared" si="2"/>
        <v>0</v>
      </c>
      <c r="U47" s="428">
        <f t="shared" si="2"/>
        <v>0</v>
      </c>
      <c r="V47" s="428">
        <f t="shared" si="2"/>
        <v>0</v>
      </c>
      <c r="W47" s="428">
        <f t="shared" si="2"/>
        <v>0</v>
      </c>
      <c r="X47" s="428">
        <f t="shared" si="2"/>
        <v>13736.813914875744</v>
      </c>
      <c r="Y47" s="428">
        <f t="shared" si="2"/>
        <v>3267.7586109816489</v>
      </c>
      <c r="Z47" s="428">
        <f t="shared" si="2"/>
        <v>321.50732788569059</v>
      </c>
      <c r="AA47" s="428">
        <f t="shared" si="2"/>
        <v>133.20965755846856</v>
      </c>
      <c r="AB47" s="428">
        <f t="shared" si="2"/>
        <v>0</v>
      </c>
      <c r="AC47" s="428">
        <f t="shared" si="2"/>
        <v>2240.0721226864007</v>
      </c>
      <c r="AD47" s="428">
        <f t="shared" si="2"/>
        <v>131.51269221792157</v>
      </c>
      <c r="AE47" s="428">
        <f t="shared" si="2"/>
        <v>17986.053345287626</v>
      </c>
      <c r="AF47" s="428">
        <f t="shared" si="2"/>
        <v>0</v>
      </c>
      <c r="AG47" s="428">
        <f t="shared" si="2"/>
        <v>0</v>
      </c>
      <c r="AH47" s="428">
        <f t="shared" si="2"/>
        <v>0</v>
      </c>
      <c r="AI47" s="428">
        <f t="shared" si="2"/>
        <v>0</v>
      </c>
      <c r="AJ47" s="428">
        <f t="shared" si="2"/>
        <v>0</v>
      </c>
      <c r="AK47" s="428">
        <f t="shared" si="2"/>
        <v>0</v>
      </c>
      <c r="AL47" s="428">
        <f t="shared" si="2"/>
        <v>0</v>
      </c>
      <c r="AM47" s="428">
        <f t="shared" si="2"/>
        <v>234353.15478093468</v>
      </c>
      <c r="AN47" s="428">
        <f t="shared" si="2"/>
        <v>0</v>
      </c>
      <c r="AO47" s="428">
        <f t="shared" si="2"/>
        <v>0</v>
      </c>
      <c r="AP47" s="428">
        <f t="shared" si="2"/>
        <v>0</v>
      </c>
      <c r="AR47" s="160"/>
    </row>
    <row r="48" spans="3:44" s="88" customFormat="1" x14ac:dyDescent="0.25">
      <c r="F48" s="38" t="s">
        <v>103</v>
      </c>
      <c r="G48" s="38" t="s">
        <v>137</v>
      </c>
      <c r="H48" s="168"/>
      <c r="I48" s="168"/>
      <c r="J48" s="432">
        <f t="shared" ref="J48:AP48" si="3">J$36 * J45</f>
        <v>2777151.9707205645</v>
      </c>
      <c r="K48" s="432">
        <f t="shared" si="3"/>
        <v>136124.53422592318</v>
      </c>
      <c r="L48" s="432">
        <f t="shared" si="3"/>
        <v>142847.19389694522</v>
      </c>
      <c r="M48" s="432">
        <f t="shared" si="3"/>
        <v>662719.56120861811</v>
      </c>
      <c r="N48" s="432">
        <f t="shared" si="3"/>
        <v>54464.170191340425</v>
      </c>
      <c r="O48" s="432">
        <f t="shared" si="3"/>
        <v>29273.76403099301</v>
      </c>
      <c r="P48" s="432">
        <f t="shared" si="3"/>
        <v>25843.306383674411</v>
      </c>
      <c r="Q48" s="432">
        <f t="shared" si="3"/>
        <v>0</v>
      </c>
      <c r="R48" s="432">
        <f t="shared" si="3"/>
        <v>77.297208113977561</v>
      </c>
      <c r="S48" s="432">
        <f t="shared" si="3"/>
        <v>0</v>
      </c>
      <c r="T48" s="432">
        <f t="shared" si="3"/>
        <v>0</v>
      </c>
      <c r="U48" s="432">
        <f t="shared" si="3"/>
        <v>0</v>
      </c>
      <c r="V48" s="432">
        <f t="shared" si="3"/>
        <v>0</v>
      </c>
      <c r="W48" s="432">
        <f t="shared" si="3"/>
        <v>0</v>
      </c>
      <c r="X48" s="432">
        <f t="shared" si="3"/>
        <v>10073.857914276055</v>
      </c>
      <c r="Y48" s="432">
        <f t="shared" si="3"/>
        <v>11512.461110518994</v>
      </c>
      <c r="Z48" s="432">
        <f t="shared" si="3"/>
        <v>374.746968204783</v>
      </c>
      <c r="AA48" s="432">
        <f t="shared" si="3"/>
        <v>14.983273340798322</v>
      </c>
      <c r="AB48" s="432">
        <f t="shared" si="3"/>
        <v>0</v>
      </c>
      <c r="AC48" s="432">
        <f t="shared" si="3"/>
        <v>1839.6208733568456</v>
      </c>
      <c r="AD48" s="432">
        <f t="shared" si="3"/>
        <v>108.00254655430683</v>
      </c>
      <c r="AE48" s="432">
        <f t="shared" si="3"/>
        <v>14770.738329451962</v>
      </c>
      <c r="AF48" s="432">
        <f t="shared" si="3"/>
        <v>0</v>
      </c>
      <c r="AG48" s="432">
        <f t="shared" si="3"/>
        <v>0</v>
      </c>
      <c r="AH48" s="432">
        <f t="shared" si="3"/>
        <v>0</v>
      </c>
      <c r="AI48" s="432">
        <f t="shared" si="3"/>
        <v>0</v>
      </c>
      <c r="AJ48" s="432">
        <f t="shared" si="3"/>
        <v>0</v>
      </c>
      <c r="AK48" s="432">
        <f t="shared" si="3"/>
        <v>0</v>
      </c>
      <c r="AL48" s="432">
        <f t="shared" si="3"/>
        <v>0</v>
      </c>
      <c r="AM48" s="432">
        <f t="shared" si="3"/>
        <v>192458.51546735663</v>
      </c>
      <c r="AN48" s="432">
        <f t="shared" si="3"/>
        <v>0</v>
      </c>
      <c r="AO48" s="432">
        <f t="shared" si="3"/>
        <v>0</v>
      </c>
      <c r="AP48" s="432">
        <f t="shared" si="3"/>
        <v>0</v>
      </c>
      <c r="AR48" s="160"/>
    </row>
    <row r="49" spans="5:44" s="88" customFormat="1" x14ac:dyDescent="0.25">
      <c r="F49" s="35"/>
      <c r="G49" s="35"/>
      <c r="AR49" s="160"/>
    </row>
    <row r="50" spans="5:44" s="88" customFormat="1" x14ac:dyDescent="0.25">
      <c r="E50" s="87" t="s">
        <v>504</v>
      </c>
      <c r="F50" s="35"/>
      <c r="G50" s="35"/>
      <c r="AR50" s="160"/>
    </row>
    <row r="51" spans="5:44" s="160" customFormat="1" x14ac:dyDescent="0.25">
      <c r="E51" s="152" t="s">
        <v>502</v>
      </c>
      <c r="X51" s="11"/>
      <c r="Y51" s="11"/>
      <c r="Z51" s="11"/>
      <c r="AA51" s="11"/>
      <c r="AB51" s="11"/>
    </row>
    <row r="52" spans="5:44" s="88" customFormat="1" x14ac:dyDescent="0.25">
      <c r="F52" s="40" t="s">
        <v>373</v>
      </c>
      <c r="G52" s="40" t="s">
        <v>111</v>
      </c>
      <c r="H52" s="166"/>
      <c r="I52" s="166"/>
      <c r="J52" s="187">
        <f>'Inputs by customer type'!J61</f>
        <v>0</v>
      </c>
      <c r="K52" s="187">
        <f>'Inputs by customer type'!K61</f>
        <v>1.0730539724235065E-3</v>
      </c>
      <c r="L52" s="187">
        <f>'Inputs by customer type'!L61</f>
        <v>0</v>
      </c>
      <c r="M52" s="187">
        <f>'Inputs by customer type'!M61</f>
        <v>0</v>
      </c>
      <c r="N52" s="187">
        <f>'Inputs by customer type'!N61</f>
        <v>1.6702709398729626E-5</v>
      </c>
      <c r="O52" s="187">
        <f>'Inputs by customer type'!O61</f>
        <v>0</v>
      </c>
      <c r="P52" s="187">
        <f>'Inputs by customer type'!P61</f>
        <v>0</v>
      </c>
      <c r="Q52" s="187">
        <f>'Inputs by customer type'!Q61</f>
        <v>0</v>
      </c>
      <c r="R52" s="187">
        <f>'Inputs by customer type'!R61</f>
        <v>0</v>
      </c>
      <c r="S52" s="187">
        <f>'Inputs by customer type'!S61</f>
        <v>0</v>
      </c>
      <c r="T52" s="187">
        <f>'Inputs by customer type'!T61</f>
        <v>0</v>
      </c>
      <c r="U52" s="187">
        <f>'Inputs by customer type'!U61</f>
        <v>0</v>
      </c>
      <c r="V52" s="187">
        <f>'Inputs by customer type'!V61</f>
        <v>0</v>
      </c>
      <c r="W52" s="187">
        <f>'Inputs by customer type'!W61</f>
        <v>0</v>
      </c>
      <c r="X52" s="187">
        <f>'Inputs by customer type'!X61</f>
        <v>0</v>
      </c>
      <c r="Y52" s="187">
        <f>'Inputs by customer type'!Y61</f>
        <v>0</v>
      </c>
      <c r="Z52" s="187">
        <f>'Inputs by customer type'!Z61</f>
        <v>0</v>
      </c>
      <c r="AA52" s="187">
        <f>'Inputs by customer type'!AA61</f>
        <v>0</v>
      </c>
      <c r="AB52" s="187">
        <f>'Inputs by customer type'!AB61</f>
        <v>0</v>
      </c>
      <c r="AC52" s="187">
        <f>'Inputs by customer type'!AC61</f>
        <v>0</v>
      </c>
      <c r="AD52" s="187">
        <f>'Inputs by customer type'!AD61</f>
        <v>0</v>
      </c>
      <c r="AE52" s="187">
        <f>'Inputs by customer type'!AE61</f>
        <v>0</v>
      </c>
      <c r="AF52" s="187">
        <f>'Inputs by customer type'!AF61</f>
        <v>0</v>
      </c>
      <c r="AG52" s="187">
        <f>'Inputs by customer type'!AG61</f>
        <v>0</v>
      </c>
      <c r="AH52" s="187">
        <f>'Inputs by customer type'!AH61</f>
        <v>0</v>
      </c>
      <c r="AI52" s="187">
        <f>'Inputs by customer type'!AI61</f>
        <v>0</v>
      </c>
      <c r="AJ52" s="187">
        <f>'Inputs by customer type'!AJ61</f>
        <v>0</v>
      </c>
      <c r="AK52" s="187">
        <f>'Inputs by customer type'!AK61</f>
        <v>0</v>
      </c>
      <c r="AL52" s="187">
        <f>'Inputs by customer type'!AL61</f>
        <v>0</v>
      </c>
      <c r="AM52" s="187">
        <f>'Inputs by customer type'!AM61</f>
        <v>0</v>
      </c>
      <c r="AN52" s="187">
        <f>'Inputs by customer type'!AN61</f>
        <v>0</v>
      </c>
      <c r="AO52" s="187">
        <f>'Inputs by customer type'!AO61</f>
        <v>0</v>
      </c>
      <c r="AP52" s="187">
        <f>'Inputs by customer type'!AP61</f>
        <v>0</v>
      </c>
      <c r="AR52" s="160"/>
    </row>
    <row r="53" spans="5:44" s="88" customFormat="1" x14ac:dyDescent="0.25">
      <c r="F53" s="145" t="s">
        <v>374</v>
      </c>
      <c r="G53" s="145" t="s">
        <v>111</v>
      </c>
      <c r="H53" s="339"/>
      <c r="I53" s="339"/>
      <c r="J53" s="181">
        <f>'Inputs by customer type'!J62</f>
        <v>0</v>
      </c>
      <c r="K53" s="181">
        <f>'Inputs by customer type'!K62</f>
        <v>4.91052063984165E-2</v>
      </c>
      <c r="L53" s="181">
        <f>'Inputs by customer type'!L62</f>
        <v>0</v>
      </c>
      <c r="M53" s="181">
        <f>'Inputs by customer type'!M62</f>
        <v>0</v>
      </c>
      <c r="N53" s="181">
        <f>'Inputs by customer type'!N62</f>
        <v>0.19562792568850473</v>
      </c>
      <c r="O53" s="181">
        <f>'Inputs by customer type'!O62</f>
        <v>0</v>
      </c>
      <c r="P53" s="181">
        <f>'Inputs by customer type'!P62</f>
        <v>8.9100856244802462E-2</v>
      </c>
      <c r="Q53" s="181">
        <f>'Inputs by customer type'!Q62</f>
        <v>0.10316143216377743</v>
      </c>
      <c r="R53" s="181">
        <f>'Inputs by customer type'!R62</f>
        <v>0.13496625843539115</v>
      </c>
      <c r="S53" s="181">
        <f>'Inputs by customer type'!S62</f>
        <v>1</v>
      </c>
      <c r="T53" s="181">
        <f>'Inputs by customer type'!T62</f>
        <v>1</v>
      </c>
      <c r="U53" s="181">
        <f>'Inputs by customer type'!U62</f>
        <v>1</v>
      </c>
      <c r="V53" s="181">
        <f>'Inputs by customer type'!V62</f>
        <v>1</v>
      </c>
      <c r="W53" s="181">
        <f>'Inputs by customer type'!W62</f>
        <v>1</v>
      </c>
      <c r="X53" s="181">
        <f>'Inputs by customer type'!X62</f>
        <v>0</v>
      </c>
      <c r="Y53" s="181">
        <f>'Inputs by customer type'!Y62</f>
        <v>0</v>
      </c>
      <c r="Z53" s="181">
        <f>'Inputs by customer type'!Z62</f>
        <v>0</v>
      </c>
      <c r="AA53" s="181">
        <f>'Inputs by customer type'!AA62</f>
        <v>0</v>
      </c>
      <c r="AB53" s="181">
        <f>'Inputs by customer type'!AB62</f>
        <v>1</v>
      </c>
      <c r="AC53" s="181">
        <f>'Inputs by customer type'!AC62</f>
        <v>0</v>
      </c>
      <c r="AD53" s="181">
        <f>'Inputs by customer type'!AD62</f>
        <v>0</v>
      </c>
      <c r="AE53" s="181">
        <f>'Inputs by customer type'!AE62</f>
        <v>0</v>
      </c>
      <c r="AF53" s="181">
        <f>'Inputs by customer type'!AF62</f>
        <v>0</v>
      </c>
      <c r="AG53" s="181">
        <f>'Inputs by customer type'!AG62</f>
        <v>1</v>
      </c>
      <c r="AH53" s="181">
        <f>'Inputs by customer type'!AH62</f>
        <v>1</v>
      </c>
      <c r="AI53" s="181">
        <f>'Inputs by customer type'!AI62</f>
        <v>0</v>
      </c>
      <c r="AJ53" s="181">
        <f>'Inputs by customer type'!AJ62</f>
        <v>0</v>
      </c>
      <c r="AK53" s="181">
        <f>'Inputs by customer type'!AK62</f>
        <v>1</v>
      </c>
      <c r="AL53" s="181">
        <f>'Inputs by customer type'!AL62</f>
        <v>1</v>
      </c>
      <c r="AM53" s="181">
        <f>'Inputs by customer type'!AM62</f>
        <v>0</v>
      </c>
      <c r="AN53" s="181">
        <f>'Inputs by customer type'!AN62</f>
        <v>0</v>
      </c>
      <c r="AO53" s="181">
        <f>'Inputs by customer type'!AO62</f>
        <v>1</v>
      </c>
      <c r="AP53" s="181">
        <f>'Inputs by customer type'!AP62</f>
        <v>1</v>
      </c>
      <c r="AR53" s="160"/>
    </row>
    <row r="54" spans="5:44" s="88" customFormat="1" x14ac:dyDescent="0.25">
      <c r="F54" s="38" t="s">
        <v>103</v>
      </c>
      <c r="G54" s="38" t="s">
        <v>111</v>
      </c>
      <c r="H54" s="168"/>
      <c r="I54" s="168"/>
      <c r="J54" s="182">
        <f>'Inputs by customer type'!J63</f>
        <v>0</v>
      </c>
      <c r="K54" s="182">
        <f>'Inputs by customer type'!K63</f>
        <v>0.94982173962916006</v>
      </c>
      <c r="L54" s="182">
        <f>'Inputs by customer type'!L63</f>
        <v>0</v>
      </c>
      <c r="M54" s="182">
        <f>'Inputs by customer type'!M63</f>
        <v>0</v>
      </c>
      <c r="N54" s="182">
        <f>'Inputs by customer type'!N63</f>
        <v>0.80435537160209647</v>
      </c>
      <c r="O54" s="182">
        <f>'Inputs by customer type'!O63</f>
        <v>0</v>
      </c>
      <c r="P54" s="182">
        <f>'Inputs by customer type'!P63</f>
        <v>0.91089914375519754</v>
      </c>
      <c r="Q54" s="182">
        <f>'Inputs by customer type'!Q63</f>
        <v>0.89683856783622262</v>
      </c>
      <c r="R54" s="182">
        <f>'Inputs by customer type'!R63</f>
        <v>0.86503374156460888</v>
      </c>
      <c r="S54" s="182">
        <f>'Inputs by customer type'!S63</f>
        <v>0</v>
      </c>
      <c r="T54" s="182">
        <f>'Inputs by customer type'!T63</f>
        <v>0</v>
      </c>
      <c r="U54" s="182">
        <f>'Inputs by customer type'!U63</f>
        <v>0</v>
      </c>
      <c r="V54" s="182">
        <f>'Inputs by customer type'!V63</f>
        <v>0</v>
      </c>
      <c r="W54" s="182">
        <f>'Inputs by customer type'!W63</f>
        <v>0</v>
      </c>
      <c r="X54" s="182">
        <f>'Inputs by customer type'!X63</f>
        <v>0</v>
      </c>
      <c r="Y54" s="182">
        <f>'Inputs by customer type'!Y63</f>
        <v>0</v>
      </c>
      <c r="Z54" s="182">
        <f>'Inputs by customer type'!Z63</f>
        <v>0</v>
      </c>
      <c r="AA54" s="182">
        <f>'Inputs by customer type'!AA63</f>
        <v>0</v>
      </c>
      <c r="AB54" s="182">
        <f>'Inputs by customer type'!AB63</f>
        <v>0</v>
      </c>
      <c r="AC54" s="182">
        <f>'Inputs by customer type'!AC63</f>
        <v>0</v>
      </c>
      <c r="AD54" s="182">
        <f>'Inputs by customer type'!AD63</f>
        <v>0</v>
      </c>
      <c r="AE54" s="182">
        <f>'Inputs by customer type'!AE63</f>
        <v>0</v>
      </c>
      <c r="AF54" s="182">
        <f>'Inputs by customer type'!AF63</f>
        <v>0</v>
      </c>
      <c r="AG54" s="182">
        <f>'Inputs by customer type'!AG63</f>
        <v>0</v>
      </c>
      <c r="AH54" s="182">
        <f>'Inputs by customer type'!AH63</f>
        <v>0</v>
      </c>
      <c r="AI54" s="182">
        <f>'Inputs by customer type'!AI63</f>
        <v>0</v>
      </c>
      <c r="AJ54" s="182">
        <f>'Inputs by customer type'!AJ63</f>
        <v>0</v>
      </c>
      <c r="AK54" s="182">
        <f>'Inputs by customer type'!AK63</f>
        <v>0</v>
      </c>
      <c r="AL54" s="182">
        <f>'Inputs by customer type'!AL63</f>
        <v>0</v>
      </c>
      <c r="AM54" s="182">
        <f>'Inputs by customer type'!AM63</f>
        <v>0</v>
      </c>
      <c r="AN54" s="182">
        <f>'Inputs by customer type'!AN63</f>
        <v>0</v>
      </c>
      <c r="AO54" s="182">
        <f>'Inputs by customer type'!AO63</f>
        <v>0</v>
      </c>
      <c r="AP54" s="182">
        <f>'Inputs by customer type'!AP63</f>
        <v>0</v>
      </c>
      <c r="AR54" s="160"/>
    </row>
    <row r="55" spans="5:44" s="88" customFormat="1" x14ac:dyDescent="0.25">
      <c r="F55" s="145" t="s">
        <v>373</v>
      </c>
      <c r="G55" s="145" t="s">
        <v>137</v>
      </c>
      <c r="H55" s="339"/>
      <c r="I55" s="339"/>
      <c r="J55" s="428">
        <f t="shared" ref="J55:AP55" si="4">J$37 * J52</f>
        <v>0</v>
      </c>
      <c r="K55" s="428">
        <f t="shared" si="4"/>
        <v>789.35448725927893</v>
      </c>
      <c r="L55" s="428">
        <f t="shared" si="4"/>
        <v>0</v>
      </c>
      <c r="M55" s="428">
        <f t="shared" si="4"/>
        <v>0</v>
      </c>
      <c r="N55" s="428">
        <f t="shared" si="4"/>
        <v>4.6433953828809793</v>
      </c>
      <c r="O55" s="428">
        <f t="shared" si="4"/>
        <v>0</v>
      </c>
      <c r="P55" s="428">
        <f t="shared" si="4"/>
        <v>0</v>
      </c>
      <c r="Q55" s="428">
        <f t="shared" si="4"/>
        <v>0</v>
      </c>
      <c r="R55" s="428">
        <f t="shared" si="4"/>
        <v>0</v>
      </c>
      <c r="S55" s="428">
        <f t="shared" si="4"/>
        <v>0</v>
      </c>
      <c r="T55" s="428">
        <f t="shared" si="4"/>
        <v>0</v>
      </c>
      <c r="U55" s="428">
        <f t="shared" si="4"/>
        <v>0</v>
      </c>
      <c r="V55" s="428">
        <f t="shared" si="4"/>
        <v>0</v>
      </c>
      <c r="W55" s="428">
        <f t="shared" si="4"/>
        <v>0</v>
      </c>
      <c r="X55" s="428">
        <f t="shared" si="4"/>
        <v>0</v>
      </c>
      <c r="Y55" s="428">
        <f t="shared" si="4"/>
        <v>0</v>
      </c>
      <c r="Z55" s="428">
        <f t="shared" si="4"/>
        <v>0</v>
      </c>
      <c r="AA55" s="428">
        <f t="shared" si="4"/>
        <v>0</v>
      </c>
      <c r="AB55" s="428">
        <f t="shared" si="4"/>
        <v>0</v>
      </c>
      <c r="AC55" s="428">
        <f t="shared" si="4"/>
        <v>0</v>
      </c>
      <c r="AD55" s="428">
        <f t="shared" si="4"/>
        <v>0</v>
      </c>
      <c r="AE55" s="428">
        <f t="shared" si="4"/>
        <v>0</v>
      </c>
      <c r="AF55" s="428">
        <f t="shared" si="4"/>
        <v>0</v>
      </c>
      <c r="AG55" s="428">
        <f t="shared" si="4"/>
        <v>0</v>
      </c>
      <c r="AH55" s="428">
        <f t="shared" si="4"/>
        <v>0</v>
      </c>
      <c r="AI55" s="428">
        <f t="shared" si="4"/>
        <v>0</v>
      </c>
      <c r="AJ55" s="428">
        <f t="shared" si="4"/>
        <v>0</v>
      </c>
      <c r="AK55" s="428">
        <f t="shared" si="4"/>
        <v>0</v>
      </c>
      <c r="AL55" s="428">
        <f t="shared" si="4"/>
        <v>0</v>
      </c>
      <c r="AM55" s="428">
        <f t="shared" si="4"/>
        <v>0</v>
      </c>
      <c r="AN55" s="428">
        <f t="shared" si="4"/>
        <v>0</v>
      </c>
      <c r="AO55" s="428">
        <f t="shared" si="4"/>
        <v>0</v>
      </c>
      <c r="AP55" s="428">
        <f t="shared" si="4"/>
        <v>0</v>
      </c>
      <c r="AR55" s="160"/>
    </row>
    <row r="56" spans="5:44" s="88" customFormat="1" x14ac:dyDescent="0.25">
      <c r="F56" s="145" t="s">
        <v>374</v>
      </c>
      <c r="G56" s="145" t="s">
        <v>137</v>
      </c>
      <c r="H56" s="339"/>
      <c r="I56" s="339"/>
      <c r="J56" s="428">
        <f t="shared" ref="J56:AP56" si="5">J$37 * J53</f>
        <v>0</v>
      </c>
      <c r="K56" s="428">
        <f t="shared" si="5"/>
        <v>36122.521340506246</v>
      </c>
      <c r="L56" s="428">
        <f t="shared" si="5"/>
        <v>0</v>
      </c>
      <c r="M56" s="428">
        <f t="shared" si="5"/>
        <v>0</v>
      </c>
      <c r="N56" s="428">
        <f t="shared" si="5"/>
        <v>54385.057251470564</v>
      </c>
      <c r="O56" s="428">
        <f t="shared" si="5"/>
        <v>0</v>
      </c>
      <c r="P56" s="428">
        <f t="shared" si="5"/>
        <v>632.84205358121608</v>
      </c>
      <c r="Q56" s="428">
        <f t="shared" si="5"/>
        <v>0</v>
      </c>
      <c r="R56" s="428">
        <f t="shared" si="5"/>
        <v>0.58656108652453764</v>
      </c>
      <c r="S56" s="428">
        <f t="shared" si="5"/>
        <v>24996.690407605536</v>
      </c>
      <c r="T56" s="428">
        <f t="shared" si="5"/>
        <v>177573.26231864805</v>
      </c>
      <c r="U56" s="428">
        <f t="shared" si="5"/>
        <v>3540894.6661684732</v>
      </c>
      <c r="V56" s="428">
        <f t="shared" si="5"/>
        <v>221362.20664832584</v>
      </c>
      <c r="W56" s="428">
        <f t="shared" si="5"/>
        <v>2543209.0589652988</v>
      </c>
      <c r="X56" s="428">
        <f t="shared" si="5"/>
        <v>0</v>
      </c>
      <c r="Y56" s="428">
        <f t="shared" si="5"/>
        <v>0</v>
      </c>
      <c r="Z56" s="428">
        <f t="shared" si="5"/>
        <v>0</v>
      </c>
      <c r="AA56" s="428">
        <f t="shared" si="5"/>
        <v>0</v>
      </c>
      <c r="AB56" s="428">
        <f t="shared" si="5"/>
        <v>68850.186278347115</v>
      </c>
      <c r="AC56" s="428">
        <f t="shared" si="5"/>
        <v>0</v>
      </c>
      <c r="AD56" s="428">
        <f t="shared" si="5"/>
        <v>0</v>
      </c>
      <c r="AE56" s="428">
        <f t="shared" si="5"/>
        <v>0</v>
      </c>
      <c r="AF56" s="428">
        <f t="shared" si="5"/>
        <v>0</v>
      </c>
      <c r="AG56" s="428">
        <f t="shared" si="5"/>
        <v>15061.671411533149</v>
      </c>
      <c r="AH56" s="428">
        <f t="shared" si="5"/>
        <v>0</v>
      </c>
      <c r="AI56" s="428">
        <f t="shared" si="5"/>
        <v>0</v>
      </c>
      <c r="AJ56" s="428">
        <f t="shared" si="5"/>
        <v>0</v>
      </c>
      <c r="AK56" s="428">
        <f t="shared" si="5"/>
        <v>0</v>
      </c>
      <c r="AL56" s="428">
        <f t="shared" si="5"/>
        <v>0</v>
      </c>
      <c r="AM56" s="428">
        <f t="shared" si="5"/>
        <v>0</v>
      </c>
      <c r="AN56" s="428">
        <f t="shared" si="5"/>
        <v>0</v>
      </c>
      <c r="AO56" s="428">
        <f t="shared" si="5"/>
        <v>308061.97136442841</v>
      </c>
      <c r="AP56" s="428">
        <f t="shared" si="5"/>
        <v>0</v>
      </c>
      <c r="AR56" s="160"/>
    </row>
    <row r="57" spans="5:44" s="88" customFormat="1" x14ac:dyDescent="0.25">
      <c r="F57" s="38" t="s">
        <v>103</v>
      </c>
      <c r="G57" s="38" t="s">
        <v>137</v>
      </c>
      <c r="H57" s="168"/>
      <c r="I57" s="168"/>
      <c r="J57" s="432">
        <f t="shared" ref="J57:AP57" si="6">J$37 * J54</f>
        <v>0</v>
      </c>
      <c r="K57" s="432">
        <f t="shared" si="6"/>
        <v>698703.02104131877</v>
      </c>
      <c r="L57" s="432">
        <f t="shared" si="6"/>
        <v>0</v>
      </c>
      <c r="M57" s="432">
        <f t="shared" si="6"/>
        <v>0</v>
      </c>
      <c r="N57" s="432">
        <f t="shared" si="6"/>
        <v>223612.82409527889</v>
      </c>
      <c r="O57" s="432">
        <f t="shared" si="6"/>
        <v>0</v>
      </c>
      <c r="P57" s="432">
        <f t="shared" si="6"/>
        <v>6469.6941088378944</v>
      </c>
      <c r="Q57" s="432">
        <f t="shared" si="6"/>
        <v>0</v>
      </c>
      <c r="R57" s="432">
        <f t="shared" si="6"/>
        <v>3.7594220749285645</v>
      </c>
      <c r="S57" s="432">
        <f t="shared" si="6"/>
        <v>0</v>
      </c>
      <c r="T57" s="432">
        <f t="shared" si="6"/>
        <v>0</v>
      </c>
      <c r="U57" s="432">
        <f t="shared" si="6"/>
        <v>0</v>
      </c>
      <c r="V57" s="432">
        <f t="shared" si="6"/>
        <v>0</v>
      </c>
      <c r="W57" s="432">
        <f t="shared" si="6"/>
        <v>0</v>
      </c>
      <c r="X57" s="432">
        <f t="shared" si="6"/>
        <v>0</v>
      </c>
      <c r="Y57" s="432">
        <f t="shared" si="6"/>
        <v>0</v>
      </c>
      <c r="Z57" s="432">
        <f t="shared" si="6"/>
        <v>0</v>
      </c>
      <c r="AA57" s="432">
        <f t="shared" si="6"/>
        <v>0</v>
      </c>
      <c r="AB57" s="432">
        <f t="shared" si="6"/>
        <v>0</v>
      </c>
      <c r="AC57" s="432">
        <f t="shared" si="6"/>
        <v>0</v>
      </c>
      <c r="AD57" s="432">
        <f t="shared" si="6"/>
        <v>0</v>
      </c>
      <c r="AE57" s="432">
        <f t="shared" si="6"/>
        <v>0</v>
      </c>
      <c r="AF57" s="432">
        <f t="shared" si="6"/>
        <v>0</v>
      </c>
      <c r="AG57" s="432">
        <f t="shared" si="6"/>
        <v>0</v>
      </c>
      <c r="AH57" s="432">
        <f t="shared" si="6"/>
        <v>0</v>
      </c>
      <c r="AI57" s="432">
        <f t="shared" si="6"/>
        <v>0</v>
      </c>
      <c r="AJ57" s="432">
        <f t="shared" si="6"/>
        <v>0</v>
      </c>
      <c r="AK57" s="432">
        <f t="shared" si="6"/>
        <v>0</v>
      </c>
      <c r="AL57" s="432">
        <f t="shared" si="6"/>
        <v>0</v>
      </c>
      <c r="AM57" s="432">
        <f t="shared" si="6"/>
        <v>0</v>
      </c>
      <c r="AN57" s="432">
        <f t="shared" si="6"/>
        <v>0</v>
      </c>
      <c r="AO57" s="432">
        <f t="shared" si="6"/>
        <v>0</v>
      </c>
      <c r="AP57" s="432">
        <f t="shared" si="6"/>
        <v>0</v>
      </c>
      <c r="AR57" s="160"/>
    </row>
    <row r="58" spans="5:44" s="88" customFormat="1" x14ac:dyDescent="0.25">
      <c r="AR58" s="160"/>
    </row>
    <row r="59" spans="5:44" s="88" customFormat="1" x14ac:dyDescent="0.25">
      <c r="E59" s="87" t="s">
        <v>505</v>
      </c>
      <c r="F59" s="35"/>
      <c r="G59" s="35"/>
      <c r="AR59" s="160"/>
    </row>
    <row r="60" spans="5:44" s="160" customFormat="1" x14ac:dyDescent="0.25">
      <c r="E60" s="152" t="s">
        <v>502</v>
      </c>
      <c r="X60" s="11"/>
      <c r="Y60" s="11"/>
      <c r="Z60" s="11"/>
      <c r="AA60" s="11"/>
      <c r="AB60" s="11"/>
    </row>
    <row r="61" spans="5:44" s="88" customFormat="1" x14ac:dyDescent="0.25">
      <c r="F61" s="40" t="s">
        <v>373</v>
      </c>
      <c r="G61" s="40" t="s">
        <v>111</v>
      </c>
      <c r="H61" s="166"/>
      <c r="I61" s="166"/>
      <c r="J61" s="187">
        <f>'Inputs by customer type'!J66</f>
        <v>0</v>
      </c>
      <c r="K61" s="187">
        <f>'Inputs by customer type'!K66</f>
        <v>0</v>
      </c>
      <c r="L61" s="187">
        <f>'Inputs by customer type'!L66</f>
        <v>0</v>
      </c>
      <c r="M61" s="187">
        <f>'Inputs by customer type'!M66</f>
        <v>0</v>
      </c>
      <c r="N61" s="187">
        <f>'Inputs by customer type'!N66</f>
        <v>0</v>
      </c>
      <c r="O61" s="187">
        <f>'Inputs by customer type'!O66</f>
        <v>0</v>
      </c>
      <c r="P61" s="187">
        <f>'Inputs by customer type'!P66</f>
        <v>0</v>
      </c>
      <c r="Q61" s="187">
        <f>'Inputs by customer type'!Q66</f>
        <v>0</v>
      </c>
      <c r="R61" s="187">
        <f>'Inputs by customer type'!R66</f>
        <v>0</v>
      </c>
      <c r="S61" s="187">
        <f>'Inputs by customer type'!S66</f>
        <v>0</v>
      </c>
      <c r="T61" s="187">
        <f>'Inputs by customer type'!T66</f>
        <v>0</v>
      </c>
      <c r="U61" s="187">
        <f>'Inputs by customer type'!U66</f>
        <v>0</v>
      </c>
      <c r="V61" s="187">
        <f>'Inputs by customer type'!V66</f>
        <v>0</v>
      </c>
      <c r="W61" s="187">
        <f>'Inputs by customer type'!W66</f>
        <v>0</v>
      </c>
      <c r="X61" s="187">
        <f>'Inputs by customer type'!X66</f>
        <v>0</v>
      </c>
      <c r="Y61" s="187">
        <f>'Inputs by customer type'!Y66</f>
        <v>0</v>
      </c>
      <c r="Z61" s="187">
        <f>'Inputs by customer type'!Z66</f>
        <v>0</v>
      </c>
      <c r="AA61" s="187">
        <f>'Inputs by customer type'!AA66</f>
        <v>0</v>
      </c>
      <c r="AB61" s="187">
        <f>'Inputs by customer type'!AB66</f>
        <v>0</v>
      </c>
      <c r="AC61" s="187">
        <f>'Inputs by customer type'!AC66</f>
        <v>0</v>
      </c>
      <c r="AD61" s="187">
        <f>'Inputs by customer type'!AD66</f>
        <v>0</v>
      </c>
      <c r="AE61" s="187">
        <f>'Inputs by customer type'!AE66</f>
        <v>0</v>
      </c>
      <c r="AF61" s="187">
        <f>'Inputs by customer type'!AF66</f>
        <v>0</v>
      </c>
      <c r="AG61" s="187">
        <f>'Inputs by customer type'!AG66</f>
        <v>0</v>
      </c>
      <c r="AH61" s="187">
        <f>'Inputs by customer type'!AH66</f>
        <v>0</v>
      </c>
      <c r="AI61" s="187">
        <f>'Inputs by customer type'!AI66</f>
        <v>0</v>
      </c>
      <c r="AJ61" s="187">
        <f>'Inputs by customer type'!AJ66</f>
        <v>0</v>
      </c>
      <c r="AK61" s="187">
        <f>'Inputs by customer type'!AK66</f>
        <v>0</v>
      </c>
      <c r="AL61" s="187">
        <f>'Inputs by customer type'!AL66</f>
        <v>0</v>
      </c>
      <c r="AM61" s="187">
        <f>'Inputs by customer type'!AM66</f>
        <v>0</v>
      </c>
      <c r="AN61" s="187">
        <f>'Inputs by customer type'!AN66</f>
        <v>0</v>
      </c>
      <c r="AO61" s="187">
        <f>'Inputs by customer type'!AO66</f>
        <v>0</v>
      </c>
      <c r="AP61" s="187">
        <f>'Inputs by customer type'!AP66</f>
        <v>0</v>
      </c>
      <c r="AR61" s="160"/>
    </row>
    <row r="62" spans="5:44" s="88" customFormat="1" x14ac:dyDescent="0.25">
      <c r="F62" s="145" t="s">
        <v>374</v>
      </c>
      <c r="G62" s="145" t="s">
        <v>111</v>
      </c>
      <c r="H62" s="339"/>
      <c r="I62" s="339"/>
      <c r="J62" s="181">
        <f>'Inputs by customer type'!J67</f>
        <v>0</v>
      </c>
      <c r="K62" s="181">
        <f>'Inputs by customer type'!K67</f>
        <v>0</v>
      </c>
      <c r="L62" s="181">
        <f>'Inputs by customer type'!L67</f>
        <v>0</v>
      </c>
      <c r="M62" s="181">
        <f>'Inputs by customer type'!M67</f>
        <v>0</v>
      </c>
      <c r="N62" s="181">
        <f>'Inputs by customer type'!N67</f>
        <v>0</v>
      </c>
      <c r="O62" s="181">
        <f>'Inputs by customer type'!O67</f>
        <v>0</v>
      </c>
      <c r="P62" s="181">
        <f>'Inputs by customer type'!P67</f>
        <v>0</v>
      </c>
      <c r="Q62" s="181">
        <f>'Inputs by customer type'!Q67</f>
        <v>0</v>
      </c>
      <c r="R62" s="181">
        <f>'Inputs by customer type'!R67</f>
        <v>0</v>
      </c>
      <c r="S62" s="181">
        <f>'Inputs by customer type'!S67</f>
        <v>0</v>
      </c>
      <c r="T62" s="181">
        <f>'Inputs by customer type'!T67</f>
        <v>0</v>
      </c>
      <c r="U62" s="181">
        <f>'Inputs by customer type'!U67</f>
        <v>0</v>
      </c>
      <c r="V62" s="181">
        <f>'Inputs by customer type'!V67</f>
        <v>0</v>
      </c>
      <c r="W62" s="181">
        <f>'Inputs by customer type'!W67</f>
        <v>0</v>
      </c>
      <c r="X62" s="181">
        <f>'Inputs by customer type'!X67</f>
        <v>0</v>
      </c>
      <c r="Y62" s="181">
        <f>'Inputs by customer type'!Y67</f>
        <v>0</v>
      </c>
      <c r="Z62" s="181">
        <f>'Inputs by customer type'!Z67</f>
        <v>0</v>
      </c>
      <c r="AA62" s="181">
        <f>'Inputs by customer type'!AA67</f>
        <v>0</v>
      </c>
      <c r="AB62" s="181">
        <f>'Inputs by customer type'!AB67</f>
        <v>0</v>
      </c>
      <c r="AC62" s="181">
        <f>'Inputs by customer type'!AC67</f>
        <v>0</v>
      </c>
      <c r="AD62" s="181">
        <f>'Inputs by customer type'!AD67</f>
        <v>0</v>
      </c>
      <c r="AE62" s="181">
        <f>'Inputs by customer type'!AE67</f>
        <v>0</v>
      </c>
      <c r="AF62" s="181">
        <f>'Inputs by customer type'!AF67</f>
        <v>0</v>
      </c>
      <c r="AG62" s="181">
        <f>'Inputs by customer type'!AG67</f>
        <v>0</v>
      </c>
      <c r="AH62" s="181">
        <f>'Inputs by customer type'!AH67</f>
        <v>0</v>
      </c>
      <c r="AI62" s="181">
        <f>'Inputs by customer type'!AI67</f>
        <v>0</v>
      </c>
      <c r="AJ62" s="181">
        <f>'Inputs by customer type'!AJ67</f>
        <v>0</v>
      </c>
      <c r="AK62" s="181">
        <f>'Inputs by customer type'!AK67</f>
        <v>0</v>
      </c>
      <c r="AL62" s="181">
        <f>'Inputs by customer type'!AL67</f>
        <v>0</v>
      </c>
      <c r="AM62" s="181">
        <f>'Inputs by customer type'!AM67</f>
        <v>0</v>
      </c>
      <c r="AN62" s="181">
        <f>'Inputs by customer type'!AN67</f>
        <v>0</v>
      </c>
      <c r="AO62" s="181">
        <f>'Inputs by customer type'!AO67</f>
        <v>0</v>
      </c>
      <c r="AP62" s="181">
        <f>'Inputs by customer type'!AP67</f>
        <v>0</v>
      </c>
      <c r="AR62" s="160"/>
    </row>
    <row r="63" spans="5:44" s="88" customFormat="1" x14ac:dyDescent="0.25">
      <c r="F63" s="38" t="s">
        <v>103</v>
      </c>
      <c r="G63" s="38" t="s">
        <v>111</v>
      </c>
      <c r="H63" s="168"/>
      <c r="I63" s="168"/>
      <c r="J63" s="182">
        <f>'Inputs by customer type'!J68</f>
        <v>0</v>
      </c>
      <c r="K63" s="182">
        <f>'Inputs by customer type'!K68</f>
        <v>0</v>
      </c>
      <c r="L63" s="182">
        <f>'Inputs by customer type'!L68</f>
        <v>0</v>
      </c>
      <c r="M63" s="182">
        <f>'Inputs by customer type'!M68</f>
        <v>0</v>
      </c>
      <c r="N63" s="182">
        <f>'Inputs by customer type'!N68</f>
        <v>0</v>
      </c>
      <c r="O63" s="182">
        <f>'Inputs by customer type'!O68</f>
        <v>0</v>
      </c>
      <c r="P63" s="182">
        <f>'Inputs by customer type'!P68</f>
        <v>0</v>
      </c>
      <c r="Q63" s="182">
        <f>'Inputs by customer type'!Q68</f>
        <v>0</v>
      </c>
      <c r="R63" s="182">
        <f>'Inputs by customer type'!R68</f>
        <v>0</v>
      </c>
      <c r="S63" s="182">
        <f>'Inputs by customer type'!S68</f>
        <v>1</v>
      </c>
      <c r="T63" s="182">
        <f>'Inputs by customer type'!T68</f>
        <v>1</v>
      </c>
      <c r="U63" s="182">
        <f>'Inputs by customer type'!U68</f>
        <v>1</v>
      </c>
      <c r="V63" s="182">
        <f>'Inputs by customer type'!V68</f>
        <v>1</v>
      </c>
      <c r="W63" s="182">
        <f>'Inputs by customer type'!W68</f>
        <v>1</v>
      </c>
      <c r="X63" s="182">
        <f>'Inputs by customer type'!X68</f>
        <v>0</v>
      </c>
      <c r="Y63" s="182">
        <f>'Inputs by customer type'!Y68</f>
        <v>0</v>
      </c>
      <c r="Z63" s="182">
        <f>'Inputs by customer type'!Z68</f>
        <v>0</v>
      </c>
      <c r="AA63" s="182">
        <f>'Inputs by customer type'!AA68</f>
        <v>0</v>
      </c>
      <c r="AB63" s="182">
        <f>'Inputs by customer type'!AB68</f>
        <v>1</v>
      </c>
      <c r="AC63" s="182">
        <f>'Inputs by customer type'!AC68</f>
        <v>0</v>
      </c>
      <c r="AD63" s="182">
        <f>'Inputs by customer type'!AD68</f>
        <v>0</v>
      </c>
      <c r="AE63" s="182">
        <f>'Inputs by customer type'!AE68</f>
        <v>0</v>
      </c>
      <c r="AF63" s="182">
        <f>'Inputs by customer type'!AF68</f>
        <v>0</v>
      </c>
      <c r="AG63" s="182">
        <f>'Inputs by customer type'!AG68</f>
        <v>1</v>
      </c>
      <c r="AH63" s="182">
        <f>'Inputs by customer type'!AH68</f>
        <v>1</v>
      </c>
      <c r="AI63" s="182">
        <f>'Inputs by customer type'!AI68</f>
        <v>0</v>
      </c>
      <c r="AJ63" s="182">
        <f>'Inputs by customer type'!AJ68</f>
        <v>0</v>
      </c>
      <c r="AK63" s="182">
        <f>'Inputs by customer type'!AK68</f>
        <v>1</v>
      </c>
      <c r="AL63" s="182">
        <f>'Inputs by customer type'!AL68</f>
        <v>1</v>
      </c>
      <c r="AM63" s="182">
        <f>'Inputs by customer type'!AM68</f>
        <v>0</v>
      </c>
      <c r="AN63" s="182">
        <f>'Inputs by customer type'!AN68</f>
        <v>0</v>
      </c>
      <c r="AO63" s="182">
        <f>'Inputs by customer type'!AO68</f>
        <v>1</v>
      </c>
      <c r="AP63" s="182">
        <f>'Inputs by customer type'!AP68</f>
        <v>1</v>
      </c>
      <c r="AR63" s="160"/>
    </row>
    <row r="64" spans="5:44" s="88" customFormat="1" x14ac:dyDescent="0.25">
      <c r="F64" s="145" t="s">
        <v>373</v>
      </c>
      <c r="G64" s="145" t="s">
        <v>137</v>
      </c>
      <c r="H64" s="339"/>
      <c r="I64" s="339"/>
      <c r="J64" s="428">
        <f t="shared" ref="J64:AP64" si="7">J$38 * J61</f>
        <v>0</v>
      </c>
      <c r="K64" s="428">
        <f t="shared" si="7"/>
        <v>0</v>
      </c>
      <c r="L64" s="428">
        <f t="shared" si="7"/>
        <v>0</v>
      </c>
      <c r="M64" s="428">
        <f t="shared" si="7"/>
        <v>0</v>
      </c>
      <c r="N64" s="428">
        <f t="shared" si="7"/>
        <v>0</v>
      </c>
      <c r="O64" s="428">
        <f t="shared" si="7"/>
        <v>0</v>
      </c>
      <c r="P64" s="428">
        <f t="shared" si="7"/>
        <v>0</v>
      </c>
      <c r="Q64" s="428">
        <f t="shared" si="7"/>
        <v>0</v>
      </c>
      <c r="R64" s="428">
        <f t="shared" si="7"/>
        <v>0</v>
      </c>
      <c r="S64" s="428">
        <f t="shared" si="7"/>
        <v>0</v>
      </c>
      <c r="T64" s="428">
        <f t="shared" si="7"/>
        <v>0</v>
      </c>
      <c r="U64" s="428">
        <f t="shared" si="7"/>
        <v>0</v>
      </c>
      <c r="V64" s="428">
        <f t="shared" si="7"/>
        <v>0</v>
      </c>
      <c r="W64" s="428">
        <f t="shared" si="7"/>
        <v>0</v>
      </c>
      <c r="X64" s="428">
        <f t="shared" si="7"/>
        <v>0</v>
      </c>
      <c r="Y64" s="428">
        <f t="shared" si="7"/>
        <v>0</v>
      </c>
      <c r="Z64" s="428">
        <f t="shared" si="7"/>
        <v>0</v>
      </c>
      <c r="AA64" s="428">
        <f t="shared" si="7"/>
        <v>0</v>
      </c>
      <c r="AB64" s="428">
        <f t="shared" si="7"/>
        <v>0</v>
      </c>
      <c r="AC64" s="428">
        <f t="shared" si="7"/>
        <v>0</v>
      </c>
      <c r="AD64" s="428">
        <f t="shared" si="7"/>
        <v>0</v>
      </c>
      <c r="AE64" s="428">
        <f t="shared" si="7"/>
        <v>0</v>
      </c>
      <c r="AF64" s="428">
        <f t="shared" si="7"/>
        <v>0</v>
      </c>
      <c r="AG64" s="428">
        <f t="shared" si="7"/>
        <v>0</v>
      </c>
      <c r="AH64" s="428">
        <f t="shared" si="7"/>
        <v>0</v>
      </c>
      <c r="AI64" s="428">
        <f t="shared" si="7"/>
        <v>0</v>
      </c>
      <c r="AJ64" s="428">
        <f t="shared" si="7"/>
        <v>0</v>
      </c>
      <c r="AK64" s="428">
        <f t="shared" si="7"/>
        <v>0</v>
      </c>
      <c r="AL64" s="428">
        <f t="shared" si="7"/>
        <v>0</v>
      </c>
      <c r="AM64" s="428">
        <f t="shared" si="7"/>
        <v>0</v>
      </c>
      <c r="AN64" s="428">
        <f t="shared" si="7"/>
        <v>0</v>
      </c>
      <c r="AO64" s="428">
        <f t="shared" si="7"/>
        <v>0</v>
      </c>
      <c r="AP64" s="428">
        <f t="shared" si="7"/>
        <v>0</v>
      </c>
      <c r="AR64" s="160"/>
    </row>
    <row r="65" spans="1:44" s="88" customFormat="1" x14ac:dyDescent="0.25">
      <c r="F65" s="145" t="s">
        <v>374</v>
      </c>
      <c r="G65" s="145" t="s">
        <v>137</v>
      </c>
      <c r="H65" s="339"/>
      <c r="I65" s="339"/>
      <c r="J65" s="428">
        <f t="shared" ref="J65:AP65" si="8">J$38 * J62</f>
        <v>0</v>
      </c>
      <c r="K65" s="428">
        <f t="shared" si="8"/>
        <v>0</v>
      </c>
      <c r="L65" s="428">
        <f t="shared" si="8"/>
        <v>0</v>
      </c>
      <c r="M65" s="428">
        <f t="shared" si="8"/>
        <v>0</v>
      </c>
      <c r="N65" s="428">
        <f t="shared" si="8"/>
        <v>0</v>
      </c>
      <c r="O65" s="428">
        <f t="shared" si="8"/>
        <v>0</v>
      </c>
      <c r="P65" s="428">
        <f t="shared" si="8"/>
        <v>0</v>
      </c>
      <c r="Q65" s="428">
        <f t="shared" si="8"/>
        <v>0</v>
      </c>
      <c r="R65" s="428">
        <f t="shared" si="8"/>
        <v>0</v>
      </c>
      <c r="S65" s="428">
        <f t="shared" si="8"/>
        <v>0</v>
      </c>
      <c r="T65" s="428">
        <f t="shared" si="8"/>
        <v>0</v>
      </c>
      <c r="U65" s="428">
        <f t="shared" si="8"/>
        <v>0</v>
      </c>
      <c r="V65" s="428">
        <f t="shared" si="8"/>
        <v>0</v>
      </c>
      <c r="W65" s="428">
        <f t="shared" si="8"/>
        <v>0</v>
      </c>
      <c r="X65" s="428">
        <f t="shared" si="8"/>
        <v>0</v>
      </c>
      <c r="Y65" s="428">
        <f t="shared" si="8"/>
        <v>0</v>
      </c>
      <c r="Z65" s="428">
        <f t="shared" si="8"/>
        <v>0</v>
      </c>
      <c r="AA65" s="428">
        <f t="shared" si="8"/>
        <v>0</v>
      </c>
      <c r="AB65" s="428">
        <f t="shared" si="8"/>
        <v>0</v>
      </c>
      <c r="AC65" s="428">
        <f t="shared" si="8"/>
        <v>0</v>
      </c>
      <c r="AD65" s="428">
        <f t="shared" si="8"/>
        <v>0</v>
      </c>
      <c r="AE65" s="428">
        <f t="shared" si="8"/>
        <v>0</v>
      </c>
      <c r="AF65" s="428">
        <f t="shared" si="8"/>
        <v>0</v>
      </c>
      <c r="AG65" s="428">
        <f t="shared" si="8"/>
        <v>0</v>
      </c>
      <c r="AH65" s="428">
        <f t="shared" si="8"/>
        <v>0</v>
      </c>
      <c r="AI65" s="428">
        <f t="shared" si="8"/>
        <v>0</v>
      </c>
      <c r="AJ65" s="428">
        <f t="shared" si="8"/>
        <v>0</v>
      </c>
      <c r="AK65" s="428">
        <f t="shared" si="8"/>
        <v>0</v>
      </c>
      <c r="AL65" s="428">
        <f t="shared" si="8"/>
        <v>0</v>
      </c>
      <c r="AM65" s="428">
        <f t="shared" si="8"/>
        <v>0</v>
      </c>
      <c r="AN65" s="428">
        <f t="shared" si="8"/>
        <v>0</v>
      </c>
      <c r="AO65" s="428">
        <f t="shared" si="8"/>
        <v>0</v>
      </c>
      <c r="AP65" s="428">
        <f t="shared" si="8"/>
        <v>0</v>
      </c>
      <c r="AR65" s="160"/>
    </row>
    <row r="66" spans="1:44" s="88" customFormat="1" x14ac:dyDescent="0.25">
      <c r="F66" s="38" t="s">
        <v>103</v>
      </c>
      <c r="G66" s="38" t="s">
        <v>137</v>
      </c>
      <c r="H66" s="168"/>
      <c r="I66" s="168"/>
      <c r="J66" s="432">
        <f t="shared" ref="J66:AP66" si="9">J$38 * J63</f>
        <v>0</v>
      </c>
      <c r="K66" s="432">
        <f t="shared" si="9"/>
        <v>0</v>
      </c>
      <c r="L66" s="432">
        <f t="shared" si="9"/>
        <v>0</v>
      </c>
      <c r="M66" s="432">
        <f t="shared" si="9"/>
        <v>0</v>
      </c>
      <c r="N66" s="432">
        <f t="shared" si="9"/>
        <v>0</v>
      </c>
      <c r="O66" s="432">
        <f t="shared" si="9"/>
        <v>0</v>
      </c>
      <c r="P66" s="432">
        <f t="shared" si="9"/>
        <v>0</v>
      </c>
      <c r="Q66" s="432">
        <f t="shared" si="9"/>
        <v>0</v>
      </c>
      <c r="R66" s="432">
        <f t="shared" si="9"/>
        <v>0</v>
      </c>
      <c r="S66" s="432">
        <f t="shared" si="9"/>
        <v>14751.44123412742</v>
      </c>
      <c r="T66" s="432">
        <f t="shared" si="9"/>
        <v>84778.104421972268</v>
      </c>
      <c r="U66" s="432">
        <f t="shared" si="9"/>
        <v>1866739.9019720491</v>
      </c>
      <c r="V66" s="432">
        <f t="shared" si="9"/>
        <v>134010.09592598444</v>
      </c>
      <c r="W66" s="432">
        <f t="shared" si="9"/>
        <v>1747222.1632098565</v>
      </c>
      <c r="X66" s="432">
        <f t="shared" si="9"/>
        <v>0</v>
      </c>
      <c r="Y66" s="432">
        <f t="shared" si="9"/>
        <v>0</v>
      </c>
      <c r="Z66" s="432">
        <f t="shared" si="9"/>
        <v>0</v>
      </c>
      <c r="AA66" s="432">
        <f t="shared" si="9"/>
        <v>0</v>
      </c>
      <c r="AB66" s="432">
        <f t="shared" si="9"/>
        <v>135233.45936929047</v>
      </c>
      <c r="AC66" s="432">
        <f t="shared" si="9"/>
        <v>0</v>
      </c>
      <c r="AD66" s="432">
        <f t="shared" si="9"/>
        <v>0</v>
      </c>
      <c r="AE66" s="432">
        <f t="shared" si="9"/>
        <v>0</v>
      </c>
      <c r="AF66" s="432">
        <f t="shared" si="9"/>
        <v>0</v>
      </c>
      <c r="AG66" s="432">
        <f t="shared" si="9"/>
        <v>11083.1138824874</v>
      </c>
      <c r="AH66" s="432">
        <f t="shared" si="9"/>
        <v>0</v>
      </c>
      <c r="AI66" s="432">
        <f t="shared" si="9"/>
        <v>0</v>
      </c>
      <c r="AJ66" s="432">
        <f t="shared" si="9"/>
        <v>0</v>
      </c>
      <c r="AK66" s="432">
        <f t="shared" si="9"/>
        <v>0</v>
      </c>
      <c r="AL66" s="432">
        <f t="shared" si="9"/>
        <v>0</v>
      </c>
      <c r="AM66" s="432">
        <f t="shared" si="9"/>
        <v>0</v>
      </c>
      <c r="AN66" s="432">
        <f t="shared" si="9"/>
        <v>0</v>
      </c>
      <c r="AO66" s="432">
        <f t="shared" si="9"/>
        <v>227982.97660961846</v>
      </c>
      <c r="AP66" s="432">
        <f t="shared" si="9"/>
        <v>0</v>
      </c>
      <c r="AR66" s="160"/>
    </row>
    <row r="67" spans="1:44" s="88" customFormat="1" x14ac:dyDescent="0.25">
      <c r="F67" s="167"/>
      <c r="G67" s="167"/>
      <c r="H67" s="167"/>
      <c r="I67" s="167"/>
      <c r="J67" s="167"/>
      <c r="K67" s="167"/>
      <c r="L67" s="167"/>
      <c r="M67" s="167"/>
      <c r="N67" s="167"/>
      <c r="O67" s="167"/>
      <c r="P67" s="167"/>
      <c r="Q67" s="167"/>
      <c r="R67" s="167"/>
      <c r="S67" s="167"/>
      <c r="T67" s="167"/>
      <c r="U67" s="167"/>
      <c r="V67" s="167"/>
      <c r="W67" s="167"/>
      <c r="X67" s="151"/>
      <c r="Y67" s="151"/>
      <c r="Z67" s="151"/>
      <c r="AA67" s="151"/>
      <c r="AB67" s="151"/>
      <c r="AC67" s="151"/>
      <c r="AD67" s="151"/>
      <c r="AE67" s="151"/>
      <c r="AF67" s="151"/>
      <c r="AG67" s="151"/>
      <c r="AH67" s="151"/>
      <c r="AI67" s="151"/>
      <c r="AJ67" s="151"/>
      <c r="AK67" s="151"/>
      <c r="AL67" s="151"/>
      <c r="AM67" s="151"/>
      <c r="AN67" s="151"/>
      <c r="AO67" s="151"/>
      <c r="AP67" s="151"/>
      <c r="AR67" s="160"/>
    </row>
    <row r="68" spans="1:44" s="88" customFormat="1" x14ac:dyDescent="0.25">
      <c r="E68" s="87" t="s">
        <v>506</v>
      </c>
      <c r="F68" s="145"/>
      <c r="G68" s="145"/>
      <c r="H68" s="167"/>
      <c r="I68" s="167"/>
      <c r="J68" s="167"/>
      <c r="K68" s="167"/>
      <c r="L68" s="167"/>
      <c r="M68" s="167"/>
      <c r="N68" s="167"/>
      <c r="O68" s="167"/>
      <c r="P68" s="167"/>
      <c r="Q68" s="167"/>
      <c r="R68" s="167"/>
      <c r="S68" s="167"/>
      <c r="T68" s="167"/>
      <c r="U68" s="167"/>
      <c r="V68" s="167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R68" s="160"/>
    </row>
    <row r="69" spans="1:44" s="160" customFormat="1" x14ac:dyDescent="0.25">
      <c r="A69" s="338"/>
      <c r="E69" s="152" t="s">
        <v>502</v>
      </c>
      <c r="F69" s="167"/>
      <c r="G69" s="167"/>
      <c r="H69" s="167"/>
      <c r="I69" s="167"/>
      <c r="J69" s="167"/>
      <c r="K69" s="167"/>
      <c r="L69" s="167"/>
      <c r="M69" s="167"/>
      <c r="N69" s="167"/>
      <c r="O69" s="167"/>
      <c r="P69" s="167"/>
      <c r="Q69" s="167"/>
      <c r="R69" s="167"/>
      <c r="S69" s="167"/>
      <c r="T69" s="167"/>
      <c r="U69" s="167"/>
      <c r="V69" s="167"/>
      <c r="W69" s="167"/>
      <c r="X69" s="151"/>
      <c r="Y69" s="151"/>
      <c r="Z69" s="151"/>
      <c r="AA69" s="151"/>
      <c r="AB69" s="151"/>
      <c r="AC69" s="167"/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</row>
    <row r="70" spans="1:44" s="88" customFormat="1" x14ac:dyDescent="0.25">
      <c r="F70" s="40" t="s">
        <v>373</v>
      </c>
      <c r="G70" s="40" t="s">
        <v>111</v>
      </c>
      <c r="H70" s="166"/>
      <c r="I70" s="166"/>
      <c r="J70" s="322">
        <f>IF(J$39 = 0, 0, (J64+  J55 + J46) / J$39)</f>
        <v>0.1303605823800672</v>
      </c>
      <c r="K70" s="322">
        <f t="shared" ref="K70:AP70" si="10">IF(K$39 = 0, 0, (K64+  K55 + K46) / K$39)</f>
        <v>8.5635796650637183E-2</v>
      </c>
      <c r="L70" s="322">
        <f t="shared" si="10"/>
        <v>2.9506091257322565E-3</v>
      </c>
      <c r="M70" s="322">
        <f t="shared" si="10"/>
        <v>9.9931866294903748E-2</v>
      </c>
      <c r="N70" s="322">
        <f t="shared" si="10"/>
        <v>8.8836126290034886E-2</v>
      </c>
      <c r="O70" s="322">
        <f t="shared" si="10"/>
        <v>2.688688288418364E-2</v>
      </c>
      <c r="P70" s="322">
        <f t="shared" si="10"/>
        <v>0.10384577897021437</v>
      </c>
      <c r="Q70" s="322">
        <f t="shared" si="10"/>
        <v>0</v>
      </c>
      <c r="R70" s="322">
        <f t="shared" si="10"/>
        <v>0.10133676083886986</v>
      </c>
      <c r="S70" s="322">
        <f>IF(S$39 = 0, 0, (S64+  S55 + S46) / S$39)</f>
        <v>0.1651108321393262</v>
      </c>
      <c r="T70" s="322">
        <f t="shared" si="10"/>
        <v>0.10628108467537989</v>
      </c>
      <c r="U70" s="322">
        <f t="shared" si="10"/>
        <v>0.10373452871247106</v>
      </c>
      <c r="V70" s="322">
        <f t="shared" si="10"/>
        <v>9.7647161949433098E-2</v>
      </c>
      <c r="W70" s="322">
        <f t="shared" si="10"/>
        <v>9.5412680867290323E-2</v>
      </c>
      <c r="X70" s="322">
        <f t="shared" si="10"/>
        <v>2.9428587803320194E-2</v>
      </c>
      <c r="Y70" s="322">
        <f t="shared" si="10"/>
        <v>5.5860763375114579E-2</v>
      </c>
      <c r="Z70" s="322">
        <f t="shared" si="10"/>
        <v>0.10584620906454333</v>
      </c>
      <c r="AA70" s="322">
        <f t="shared" si="10"/>
        <v>9.7435031980501897E-3</v>
      </c>
      <c r="AB70" s="322">
        <f t="shared" si="10"/>
        <v>5.4104968295660201E-2</v>
      </c>
      <c r="AC70" s="322">
        <f t="shared" si="10"/>
        <v>8.938356164383561E-2</v>
      </c>
      <c r="AD70" s="322">
        <f t="shared" si="10"/>
        <v>8.938356164383561E-2</v>
      </c>
      <c r="AE70" s="322">
        <f t="shared" si="10"/>
        <v>8.938356164383561E-2</v>
      </c>
      <c r="AF70" s="322">
        <f t="shared" si="10"/>
        <v>0</v>
      </c>
      <c r="AG70" s="322">
        <f t="shared" si="10"/>
        <v>9.44181970500034E-2</v>
      </c>
      <c r="AH70" s="322">
        <f t="shared" si="10"/>
        <v>0</v>
      </c>
      <c r="AI70" s="322">
        <f t="shared" si="10"/>
        <v>0</v>
      </c>
      <c r="AJ70" s="322">
        <f t="shared" si="10"/>
        <v>0</v>
      </c>
      <c r="AK70" s="322">
        <f t="shared" si="10"/>
        <v>0</v>
      </c>
      <c r="AL70" s="322">
        <f t="shared" si="10"/>
        <v>0</v>
      </c>
      <c r="AM70" s="322">
        <f t="shared" si="10"/>
        <v>8.938356164383561E-2</v>
      </c>
      <c r="AN70" s="322">
        <f t="shared" si="10"/>
        <v>0</v>
      </c>
      <c r="AO70" s="322">
        <f t="shared" si="10"/>
        <v>9.7545117435692025E-2</v>
      </c>
      <c r="AP70" s="322">
        <f t="shared" si="10"/>
        <v>0</v>
      </c>
    </row>
    <row r="71" spans="1:44" s="88" customFormat="1" x14ac:dyDescent="0.25">
      <c r="F71" s="145" t="s">
        <v>374</v>
      </c>
      <c r="G71" s="145" t="s">
        <v>111</v>
      </c>
      <c r="H71" s="339"/>
      <c r="I71" s="339"/>
      <c r="J71" s="321">
        <f t="shared" ref="J71:AP71" si="11">IF(J$39 = 0, 0, (J65+  J56 + J47) / J$39)</f>
        <v>0.58094170869760264</v>
      </c>
      <c r="K71" s="321">
        <f t="shared" si="11"/>
        <v>0.38301364320997749</v>
      </c>
      <c r="L71" s="321">
        <f t="shared" si="11"/>
        <v>0.28029730923812485</v>
      </c>
      <c r="M71" s="321">
        <f t="shared" si="11"/>
        <v>0.6551851950794213</v>
      </c>
      <c r="N71" s="321">
        <f t="shared" si="11"/>
        <v>0.5273305087714264</v>
      </c>
      <c r="O71" s="321">
        <f t="shared" si="11"/>
        <v>0.2809791198951575</v>
      </c>
      <c r="P71" s="321">
        <f t="shared" si="11"/>
        <v>0.6053392258156397</v>
      </c>
      <c r="Q71" s="321">
        <f t="shared" si="11"/>
        <v>0</v>
      </c>
      <c r="R71" s="321">
        <f t="shared" si="11"/>
        <v>0.61560862808181072</v>
      </c>
      <c r="S71" s="321">
        <f>IF(S$39 = 0, 0, (S65+  S56 + S47) / S$39)</f>
        <v>0.52504269236557244</v>
      </c>
      <c r="T71" s="321">
        <f t="shared" si="11"/>
        <v>0.60491616781619195</v>
      </c>
      <c r="U71" s="321">
        <f t="shared" si="11"/>
        <v>0.58687057839491863</v>
      </c>
      <c r="V71" s="321">
        <f t="shared" si="11"/>
        <v>0.56207761257501132</v>
      </c>
      <c r="W71" s="321">
        <f t="shared" si="11"/>
        <v>0.53620593024612329</v>
      </c>
      <c r="X71" s="321">
        <f t="shared" si="11"/>
        <v>0.5599404744271298</v>
      </c>
      <c r="Y71" s="321">
        <f t="shared" si="11"/>
        <v>0.20873973314202976</v>
      </c>
      <c r="Z71" s="321">
        <f t="shared" si="11"/>
        <v>0.41289080391564775</v>
      </c>
      <c r="AA71" s="321">
        <f t="shared" si="11"/>
        <v>0.89013509641497379</v>
      </c>
      <c r="AB71" s="321">
        <f t="shared" si="11"/>
        <v>0.31910959315696014</v>
      </c>
      <c r="AC71" s="321">
        <f t="shared" si="11"/>
        <v>0.5</v>
      </c>
      <c r="AD71" s="321">
        <f t="shared" si="11"/>
        <v>0.5</v>
      </c>
      <c r="AE71" s="321">
        <f t="shared" si="11"/>
        <v>0.5</v>
      </c>
      <c r="AF71" s="321">
        <f t="shared" si="11"/>
        <v>0</v>
      </c>
      <c r="AG71" s="321">
        <f t="shared" si="11"/>
        <v>0.52169392094476497</v>
      </c>
      <c r="AH71" s="321">
        <f t="shared" si="11"/>
        <v>0</v>
      </c>
      <c r="AI71" s="321">
        <f t="shared" si="11"/>
        <v>0</v>
      </c>
      <c r="AJ71" s="321">
        <f t="shared" si="11"/>
        <v>0</v>
      </c>
      <c r="AK71" s="321">
        <f t="shared" si="11"/>
        <v>0</v>
      </c>
      <c r="AL71" s="321">
        <f t="shared" si="11"/>
        <v>0</v>
      </c>
      <c r="AM71" s="321">
        <f t="shared" si="11"/>
        <v>0.5</v>
      </c>
      <c r="AN71" s="321">
        <f t="shared" si="11"/>
        <v>0</v>
      </c>
      <c r="AO71" s="321">
        <f t="shared" si="11"/>
        <v>0.51863566896945124</v>
      </c>
      <c r="AP71" s="321">
        <f t="shared" si="11"/>
        <v>0</v>
      </c>
    </row>
    <row r="72" spans="1:44" s="88" customFormat="1" x14ac:dyDescent="0.25">
      <c r="F72" s="38" t="s">
        <v>103</v>
      </c>
      <c r="G72" s="38" t="s">
        <v>111</v>
      </c>
      <c r="H72" s="168"/>
      <c r="I72" s="168"/>
      <c r="J72" s="323">
        <f t="shared" ref="J72:AP72" si="12">IF(J$39 = 0, 0, (J66+  J57 + J48) / J$39)</f>
        <v>0.28869770892233015</v>
      </c>
      <c r="K72" s="323">
        <f t="shared" si="12"/>
        <v>0.53135056013938553</v>
      </c>
      <c r="L72" s="323">
        <f t="shared" si="12"/>
        <v>0.71675208163614279</v>
      </c>
      <c r="M72" s="323">
        <f t="shared" si="12"/>
        <v>0.24488293862567501</v>
      </c>
      <c r="N72" s="323">
        <f t="shared" si="12"/>
        <v>0.38383336493853881</v>
      </c>
      <c r="O72" s="323">
        <f t="shared" si="12"/>
        <v>0.69213399722065871</v>
      </c>
      <c r="P72" s="323">
        <f t="shared" si="12"/>
        <v>0.29081499521414594</v>
      </c>
      <c r="Q72" s="323">
        <f t="shared" si="12"/>
        <v>0</v>
      </c>
      <c r="R72" s="323">
        <f t="shared" si="12"/>
        <v>0.28305461107931945</v>
      </c>
      <c r="S72" s="323">
        <f>IF(S$39 = 0, 0, (S66+  S57 + S48) / S$39)</f>
        <v>0.30984647549510136</v>
      </c>
      <c r="T72" s="323">
        <f t="shared" si="12"/>
        <v>0.28880274750842833</v>
      </c>
      <c r="U72" s="323">
        <f t="shared" si="12"/>
        <v>0.30939489289261035</v>
      </c>
      <c r="V72" s="323">
        <f t="shared" si="12"/>
        <v>0.3402752254755555</v>
      </c>
      <c r="W72" s="323">
        <f t="shared" si="12"/>
        <v>0.36838138888658634</v>
      </c>
      <c r="X72" s="323">
        <f t="shared" si="12"/>
        <v>0.41063093776955001</v>
      </c>
      <c r="Y72" s="323">
        <f t="shared" si="12"/>
        <v>0.73539950348285554</v>
      </c>
      <c r="Z72" s="323">
        <f t="shared" si="12"/>
        <v>0.48126298701980891</v>
      </c>
      <c r="AA72" s="323">
        <f t="shared" si="12"/>
        <v>0.10012140038697619</v>
      </c>
      <c r="AB72" s="323">
        <f t="shared" si="12"/>
        <v>0.62678543854737967</v>
      </c>
      <c r="AC72" s="323">
        <f t="shared" si="12"/>
        <v>0.4106164383561644</v>
      </c>
      <c r="AD72" s="323">
        <f t="shared" si="12"/>
        <v>0.4106164383561644</v>
      </c>
      <c r="AE72" s="323">
        <f t="shared" si="12"/>
        <v>0.4106164383561644</v>
      </c>
      <c r="AF72" s="323">
        <f t="shared" si="12"/>
        <v>0</v>
      </c>
      <c r="AG72" s="323">
        <f t="shared" si="12"/>
        <v>0.38388788200523166</v>
      </c>
      <c r="AH72" s="323">
        <f t="shared" si="12"/>
        <v>0</v>
      </c>
      <c r="AI72" s="323">
        <f t="shared" si="12"/>
        <v>0</v>
      </c>
      <c r="AJ72" s="323">
        <f t="shared" si="12"/>
        <v>0</v>
      </c>
      <c r="AK72" s="323">
        <f t="shared" si="12"/>
        <v>0</v>
      </c>
      <c r="AL72" s="323">
        <f t="shared" si="12"/>
        <v>0</v>
      </c>
      <c r="AM72" s="323">
        <f t="shared" si="12"/>
        <v>0.4106164383561644</v>
      </c>
      <c r="AN72" s="323">
        <f t="shared" si="12"/>
        <v>0</v>
      </c>
      <c r="AO72" s="323">
        <f t="shared" si="12"/>
        <v>0.38381921359485682</v>
      </c>
      <c r="AP72" s="323">
        <f t="shared" si="12"/>
        <v>0</v>
      </c>
    </row>
    <row r="73" spans="1:44" s="88" customFormat="1" x14ac:dyDescent="0.25">
      <c r="F73" s="145" t="s">
        <v>373</v>
      </c>
      <c r="G73" s="145" t="s">
        <v>137</v>
      </c>
      <c r="H73" s="339"/>
      <c r="I73" s="339"/>
      <c r="J73" s="445">
        <f t="shared" ref="J73:AP73" si="13">J64+  J55 + J46</f>
        <v>1254014.6217734041</v>
      </c>
      <c r="K73" s="445">
        <f t="shared" si="13"/>
        <v>134546.05701829004</v>
      </c>
      <c r="L73" s="445">
        <f t="shared" si="13"/>
        <v>588.05024037800843</v>
      </c>
      <c r="M73" s="445">
        <f t="shared" si="13"/>
        <v>270442.69785961026</v>
      </c>
      <c r="N73" s="445">
        <f t="shared" si="13"/>
        <v>64359.394568929732</v>
      </c>
      <c r="O73" s="445">
        <f t="shared" si="13"/>
        <v>1137.1790263751604</v>
      </c>
      <c r="P73" s="445">
        <f t="shared" si="13"/>
        <v>11538.499603636114</v>
      </c>
      <c r="Q73" s="445">
        <f t="shared" si="13"/>
        <v>0</v>
      </c>
      <c r="R73" s="445">
        <f t="shared" si="13"/>
        <v>29.019192856590184</v>
      </c>
      <c r="S73" s="445">
        <f t="shared" si="13"/>
        <v>7860.7404958513216</v>
      </c>
      <c r="T73" s="445">
        <f t="shared" si="13"/>
        <v>31198.833710634557</v>
      </c>
      <c r="U73" s="445">
        <f t="shared" si="13"/>
        <v>625884.22888754157</v>
      </c>
      <c r="V73" s="445">
        <f t="shared" si="13"/>
        <v>38456.239420473794</v>
      </c>
      <c r="W73" s="445">
        <f t="shared" si="13"/>
        <v>452539.55734968698</v>
      </c>
      <c r="X73" s="445">
        <f t="shared" si="13"/>
        <v>721.96073135341976</v>
      </c>
      <c r="Y73" s="445">
        <f t="shared" si="13"/>
        <v>874.48368256194078</v>
      </c>
      <c r="Z73" s="445">
        <f t="shared" si="13"/>
        <v>82.419689468607714</v>
      </c>
      <c r="AA73" s="445">
        <f t="shared" si="13"/>
        <v>1.4581255470765364</v>
      </c>
      <c r="AB73" s="445">
        <f t="shared" si="13"/>
        <v>11673.535442439646</v>
      </c>
      <c r="AC73" s="445">
        <f t="shared" si="13"/>
        <v>400.45124932955514</v>
      </c>
      <c r="AD73" s="445">
        <f t="shared" si="13"/>
        <v>23.510145663614743</v>
      </c>
      <c r="AE73" s="445">
        <f t="shared" si="13"/>
        <v>3215.3150158356643</v>
      </c>
      <c r="AF73" s="445">
        <f t="shared" si="13"/>
        <v>0</v>
      </c>
      <c r="AG73" s="445">
        <f t="shared" si="13"/>
        <v>2725.9199353160684</v>
      </c>
      <c r="AH73" s="445">
        <f t="shared" si="13"/>
        <v>0</v>
      </c>
      <c r="AI73" s="445">
        <f t="shared" si="13"/>
        <v>0</v>
      </c>
      <c r="AJ73" s="445">
        <f t="shared" si="13"/>
        <v>0</v>
      </c>
      <c r="AK73" s="445">
        <f t="shared" si="13"/>
        <v>0</v>
      </c>
      <c r="AL73" s="445">
        <f t="shared" si="13"/>
        <v>0</v>
      </c>
      <c r="AM73" s="445">
        <f t="shared" si="13"/>
        <v>41894.639313578045</v>
      </c>
      <c r="AN73" s="445">
        <f t="shared" si="13"/>
        <v>0</v>
      </c>
      <c r="AO73" s="445">
        <f t="shared" si="13"/>
        <v>57940.367337102631</v>
      </c>
      <c r="AP73" s="445">
        <f t="shared" si="13"/>
        <v>0</v>
      </c>
    </row>
    <row r="74" spans="1:44" s="88" customFormat="1" x14ac:dyDescent="0.25">
      <c r="F74" s="145" t="s">
        <v>374</v>
      </c>
      <c r="G74" s="145" t="s">
        <v>137</v>
      </c>
      <c r="H74" s="339"/>
      <c r="I74" s="339"/>
      <c r="J74" s="445">
        <f t="shared" ref="J74:AP74" si="14">J65+  J56 + J47</f>
        <v>5588417.7855300223</v>
      </c>
      <c r="K74" s="445">
        <f t="shared" si="14"/>
        <v>601769.0906566605</v>
      </c>
      <c r="L74" s="445">
        <f t="shared" si="14"/>
        <v>55862.668707052981</v>
      </c>
      <c r="M74" s="445">
        <f t="shared" si="14"/>
        <v>1773108.6021355526</v>
      </c>
      <c r="N74" s="445">
        <f t="shared" si="14"/>
        <v>382036.83230683295</v>
      </c>
      <c r="O74" s="445">
        <f t="shared" si="14"/>
        <v>11883.994264805096</v>
      </c>
      <c r="P74" s="445">
        <f t="shared" si="14"/>
        <v>67260.378673095067</v>
      </c>
      <c r="Q74" s="445">
        <f t="shared" si="14"/>
        <v>0</v>
      </c>
      <c r="R74" s="445">
        <f t="shared" si="14"/>
        <v>176.28810467794892</v>
      </c>
      <c r="S74" s="445">
        <f t="shared" si="14"/>
        <v>24996.690407605536</v>
      </c>
      <c r="T74" s="445">
        <f t="shared" si="14"/>
        <v>177573.26231864805</v>
      </c>
      <c r="U74" s="445">
        <f t="shared" si="14"/>
        <v>3540894.6661684732</v>
      </c>
      <c r="V74" s="445">
        <f t="shared" si="14"/>
        <v>221362.20664832584</v>
      </c>
      <c r="W74" s="445">
        <f t="shared" si="14"/>
        <v>2543209.0589652988</v>
      </c>
      <c r="X74" s="445">
        <f t="shared" si="14"/>
        <v>13736.813914875744</v>
      </c>
      <c r="Y74" s="445">
        <f t="shared" si="14"/>
        <v>3267.7586109816489</v>
      </c>
      <c r="Z74" s="445">
        <f t="shared" si="14"/>
        <v>321.50732788569059</v>
      </c>
      <c r="AA74" s="445">
        <f t="shared" si="14"/>
        <v>133.20965755846856</v>
      </c>
      <c r="AB74" s="445">
        <f t="shared" si="14"/>
        <v>68850.186278347115</v>
      </c>
      <c r="AC74" s="445">
        <f t="shared" si="14"/>
        <v>2240.0721226864007</v>
      </c>
      <c r="AD74" s="445">
        <f t="shared" si="14"/>
        <v>131.51269221792157</v>
      </c>
      <c r="AE74" s="445">
        <f t="shared" si="14"/>
        <v>17986.053345287626</v>
      </c>
      <c r="AF74" s="445">
        <f t="shared" si="14"/>
        <v>0</v>
      </c>
      <c r="AG74" s="445">
        <f t="shared" si="14"/>
        <v>15061.671411533149</v>
      </c>
      <c r="AH74" s="445">
        <f t="shared" si="14"/>
        <v>0</v>
      </c>
      <c r="AI74" s="445">
        <f t="shared" si="14"/>
        <v>0</v>
      </c>
      <c r="AJ74" s="445">
        <f t="shared" si="14"/>
        <v>0</v>
      </c>
      <c r="AK74" s="445">
        <f t="shared" si="14"/>
        <v>0</v>
      </c>
      <c r="AL74" s="445">
        <f t="shared" si="14"/>
        <v>0</v>
      </c>
      <c r="AM74" s="445">
        <f t="shared" si="14"/>
        <v>234353.15478093468</v>
      </c>
      <c r="AN74" s="445">
        <f t="shared" si="14"/>
        <v>0</v>
      </c>
      <c r="AO74" s="445">
        <f t="shared" si="14"/>
        <v>308061.97136442841</v>
      </c>
      <c r="AP74" s="445">
        <f t="shared" si="14"/>
        <v>0</v>
      </c>
    </row>
    <row r="75" spans="1:44" s="88" customFormat="1" x14ac:dyDescent="0.25">
      <c r="F75" s="38" t="s">
        <v>103</v>
      </c>
      <c r="G75" s="38" t="s">
        <v>137</v>
      </c>
      <c r="H75" s="168"/>
      <c r="I75" s="168"/>
      <c r="J75" s="446">
        <f t="shared" ref="J75:AP75" si="15">J66+  J57 + J48</f>
        <v>2777151.9707205645</v>
      </c>
      <c r="K75" s="446">
        <f t="shared" si="15"/>
        <v>834827.55526724202</v>
      </c>
      <c r="L75" s="446">
        <f t="shared" si="15"/>
        <v>142847.19389694522</v>
      </c>
      <c r="M75" s="446">
        <f t="shared" si="15"/>
        <v>662719.56120861811</v>
      </c>
      <c r="N75" s="446">
        <f t="shared" si="15"/>
        <v>278076.9942866193</v>
      </c>
      <c r="O75" s="446">
        <f t="shared" si="15"/>
        <v>29273.76403099301</v>
      </c>
      <c r="P75" s="446">
        <f t="shared" si="15"/>
        <v>32313.000492512307</v>
      </c>
      <c r="Q75" s="446">
        <f t="shared" si="15"/>
        <v>0</v>
      </c>
      <c r="R75" s="446">
        <f t="shared" si="15"/>
        <v>81.056630188906126</v>
      </c>
      <c r="S75" s="446">
        <f t="shared" si="15"/>
        <v>14751.44123412742</v>
      </c>
      <c r="T75" s="446">
        <f t="shared" si="15"/>
        <v>84778.104421972268</v>
      </c>
      <c r="U75" s="446">
        <f t="shared" si="15"/>
        <v>1866739.9019720491</v>
      </c>
      <c r="V75" s="446">
        <f t="shared" si="15"/>
        <v>134010.09592598444</v>
      </c>
      <c r="W75" s="446">
        <f t="shared" si="15"/>
        <v>1747222.1632098565</v>
      </c>
      <c r="X75" s="446">
        <f t="shared" si="15"/>
        <v>10073.857914276055</v>
      </c>
      <c r="Y75" s="446">
        <f t="shared" si="15"/>
        <v>11512.461110518994</v>
      </c>
      <c r="Z75" s="446">
        <f t="shared" si="15"/>
        <v>374.746968204783</v>
      </c>
      <c r="AA75" s="446">
        <f t="shared" si="15"/>
        <v>14.983273340798322</v>
      </c>
      <c r="AB75" s="446">
        <f t="shared" si="15"/>
        <v>135233.45936929047</v>
      </c>
      <c r="AC75" s="446">
        <f t="shared" si="15"/>
        <v>1839.6208733568456</v>
      </c>
      <c r="AD75" s="446">
        <f t="shared" si="15"/>
        <v>108.00254655430683</v>
      </c>
      <c r="AE75" s="446">
        <f t="shared" si="15"/>
        <v>14770.738329451962</v>
      </c>
      <c r="AF75" s="446">
        <f t="shared" si="15"/>
        <v>0</v>
      </c>
      <c r="AG75" s="446">
        <f t="shared" si="15"/>
        <v>11083.1138824874</v>
      </c>
      <c r="AH75" s="446">
        <f t="shared" si="15"/>
        <v>0</v>
      </c>
      <c r="AI75" s="446">
        <f t="shared" si="15"/>
        <v>0</v>
      </c>
      <c r="AJ75" s="446">
        <f t="shared" si="15"/>
        <v>0</v>
      </c>
      <c r="AK75" s="446">
        <f t="shared" si="15"/>
        <v>0</v>
      </c>
      <c r="AL75" s="446">
        <f t="shared" si="15"/>
        <v>0</v>
      </c>
      <c r="AM75" s="446">
        <f t="shared" si="15"/>
        <v>192458.51546735663</v>
      </c>
      <c r="AN75" s="446">
        <f t="shared" si="15"/>
        <v>0</v>
      </c>
      <c r="AO75" s="446">
        <f t="shared" si="15"/>
        <v>227982.97660961846</v>
      </c>
      <c r="AP75" s="446">
        <f t="shared" si="15"/>
        <v>0</v>
      </c>
    </row>
    <row r="76" spans="1:44" s="88" customFormat="1" x14ac:dyDescent="0.25">
      <c r="E76" s="160"/>
      <c r="X76" s="11"/>
      <c r="Y76" s="11"/>
      <c r="Z76" s="11"/>
      <c r="AA76" s="11"/>
      <c r="AB76" s="11"/>
    </row>
    <row r="77" spans="1:44" s="160" customFormat="1" x14ac:dyDescent="0.25">
      <c r="C77" s="22" t="str">
        <f ca="1">INDEX('Version control'!$H$34:$H$59,MATCH($A$1,'Version control'!$F$34:$F$59,0),1)&amp;"-C: Aggregated values for UMS customers"</f>
        <v>Section 508-C: Aggregated values for UMS customers</v>
      </c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</row>
    <row r="78" spans="1:44" s="160" customFormat="1" x14ac:dyDescent="0.25">
      <c r="X78" s="11"/>
      <c r="Y78" s="11"/>
      <c r="Z78" s="11"/>
      <c r="AA78" s="11"/>
      <c r="AB78" s="11"/>
    </row>
    <row r="79" spans="1:44" s="160" customFormat="1" x14ac:dyDescent="0.25">
      <c r="E79" s="172" t="s">
        <v>477</v>
      </c>
      <c r="AA79" s="11"/>
      <c r="AB79" s="11"/>
    </row>
    <row r="80" spans="1:44" s="160" customFormat="1" x14ac:dyDescent="0.25">
      <c r="F80" s="40" t="s">
        <v>373</v>
      </c>
      <c r="G80" s="40" t="s">
        <v>111</v>
      </c>
      <c r="H80" s="116">
        <f>SUM(X73:AB73) / SUM($X$73:$AB$75)</f>
        <v>5.198625733407114E-2</v>
      </c>
      <c r="AA80" s="11"/>
      <c r="AB80" s="11"/>
    </row>
    <row r="81" spans="2:44" s="160" customFormat="1" x14ac:dyDescent="0.25">
      <c r="F81" s="145" t="s">
        <v>374</v>
      </c>
      <c r="G81" s="145" t="s">
        <v>111</v>
      </c>
      <c r="H81" s="186">
        <f>SUM(X74:AB74) / SUM($X$73:$AB$75)</f>
        <v>0.33600078188559163</v>
      </c>
      <c r="AA81" s="11"/>
      <c r="AB81" s="11"/>
    </row>
    <row r="82" spans="2:44" s="160" customFormat="1" x14ac:dyDescent="0.25">
      <c r="F82" s="38" t="s">
        <v>103</v>
      </c>
      <c r="G82" s="38" t="s">
        <v>111</v>
      </c>
      <c r="H82" s="342">
        <f>SUM(X75:AB75) / SUM($X$73:$AB$75)</f>
        <v>0.61201296078033729</v>
      </c>
      <c r="AA82" s="11"/>
      <c r="AB82" s="11"/>
    </row>
    <row r="83" spans="2:44" s="160" customFormat="1" x14ac:dyDescent="0.25">
      <c r="AA83" s="11"/>
      <c r="AB83" s="11"/>
    </row>
    <row r="84" spans="2:44" s="160" customFormat="1" x14ac:dyDescent="0.25">
      <c r="E84" s="145" t="s">
        <v>804</v>
      </c>
      <c r="F84" s="145"/>
      <c r="G84" s="145" t="s">
        <v>338</v>
      </c>
      <c r="H84" s="428">
        <f>X29</f>
        <v>255</v>
      </c>
      <c r="AA84" s="11"/>
      <c r="AB84" s="11"/>
    </row>
    <row r="85" spans="2:44" s="160" customFormat="1" x14ac:dyDescent="0.25">
      <c r="AA85" s="11"/>
      <c r="AB85" s="11"/>
    </row>
    <row r="86" spans="2:44" s="88" customFormat="1" x14ac:dyDescent="0.25">
      <c r="C86" s="22" t="str">
        <f ca="1">INDEX('Version control'!$H$34:$H$59,MATCH($A$1,'Version control'!$F$34:$F$59,0),1)&amp;"-D: Ratio of coincidence to load factor assuming units evenly spread within time bands, and peak falls in Red period"</f>
        <v>Section 508-D: Ratio of coincidence to load factor assuming units evenly spread within time bands, and peak falls in Red period</v>
      </c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</row>
    <row r="87" spans="2:44" s="88" customFormat="1" x14ac:dyDescent="0.25">
      <c r="E87" s="160"/>
      <c r="X87" s="33"/>
      <c r="Y87" s="33"/>
      <c r="Z87" s="33"/>
      <c r="AA87" s="33"/>
      <c r="AB87" s="33"/>
      <c r="AC87" s="33"/>
    </row>
    <row r="88" spans="2:44" s="160" customFormat="1" x14ac:dyDescent="0.25">
      <c r="E88" s="167" t="s">
        <v>340</v>
      </c>
      <c r="F88" s="167"/>
      <c r="G88" s="167" t="s">
        <v>636</v>
      </c>
      <c r="H88" s="435"/>
      <c r="I88" s="435"/>
      <c r="J88" s="435">
        <f t="shared" ref="J88:AP88" si="16">J70 * hours_in_year / J29</f>
        <v>1.4584402319915566</v>
      </c>
      <c r="K88" s="435">
        <f t="shared" si="16"/>
        <v>0.95807098168528948</v>
      </c>
      <c r="L88" s="435">
        <f t="shared" si="16"/>
        <v>3.3010646157617583E-2</v>
      </c>
      <c r="M88" s="435">
        <f t="shared" si="16"/>
        <v>1.1180116842188466</v>
      </c>
      <c r="N88" s="435">
        <f t="shared" si="16"/>
        <v>0.9938754358885129</v>
      </c>
      <c r="O88" s="435">
        <f t="shared" si="16"/>
        <v>0.30080344069661391</v>
      </c>
      <c r="P88" s="435">
        <f t="shared" si="16"/>
        <v>1.1617995195135093</v>
      </c>
      <c r="Q88" s="435">
        <f t="shared" si="16"/>
        <v>0</v>
      </c>
      <c r="R88" s="435">
        <f t="shared" si="16"/>
        <v>1.1337292783505746</v>
      </c>
      <c r="S88" s="435">
        <f t="shared" si="16"/>
        <v>1.8472169725932279</v>
      </c>
      <c r="T88" s="435">
        <f t="shared" si="16"/>
        <v>1.1890450852571237</v>
      </c>
      <c r="U88" s="435">
        <f t="shared" si="16"/>
        <v>1.1605548806146189</v>
      </c>
      <c r="V88" s="435">
        <f t="shared" si="16"/>
        <v>1.0924510072503626</v>
      </c>
      <c r="W88" s="435">
        <f t="shared" si="16"/>
        <v>1.0674522150670029</v>
      </c>
      <c r="X88" s="435">
        <f t="shared" si="16"/>
        <v>1.0109585457140584</v>
      </c>
      <c r="Y88" s="435">
        <f t="shared" si="16"/>
        <v>1.9189815182980536</v>
      </c>
      <c r="Z88" s="435">
        <f t="shared" si="16"/>
        <v>3.636128593746665</v>
      </c>
      <c r="AA88" s="435">
        <f t="shared" si="16"/>
        <v>0.33471799221537124</v>
      </c>
      <c r="AB88" s="435">
        <f t="shared" si="16"/>
        <v>1.8586647932156211</v>
      </c>
      <c r="AC88" s="435">
        <f t="shared" si="16"/>
        <v>1</v>
      </c>
      <c r="AD88" s="435">
        <f t="shared" si="16"/>
        <v>1</v>
      </c>
      <c r="AE88" s="435">
        <f t="shared" si="16"/>
        <v>1</v>
      </c>
      <c r="AF88" s="435">
        <f t="shared" si="16"/>
        <v>0</v>
      </c>
      <c r="AG88" s="435">
        <f t="shared" si="16"/>
        <v>1.0563261892184288</v>
      </c>
      <c r="AH88" s="435">
        <f t="shared" si="16"/>
        <v>0</v>
      </c>
      <c r="AI88" s="435">
        <f t="shared" si="16"/>
        <v>0</v>
      </c>
      <c r="AJ88" s="435">
        <f t="shared" si="16"/>
        <v>0</v>
      </c>
      <c r="AK88" s="435">
        <f t="shared" si="16"/>
        <v>0</v>
      </c>
      <c r="AL88" s="435">
        <f t="shared" si="16"/>
        <v>0</v>
      </c>
      <c r="AM88" s="435">
        <f t="shared" si="16"/>
        <v>1</v>
      </c>
      <c r="AN88" s="435">
        <f t="shared" si="16"/>
        <v>0</v>
      </c>
      <c r="AO88" s="435">
        <f t="shared" si="16"/>
        <v>1.0913093598169377</v>
      </c>
      <c r="AP88" s="435">
        <f t="shared" si="16"/>
        <v>0</v>
      </c>
    </row>
    <row r="89" spans="2:44" s="160" customFormat="1" x14ac:dyDescent="0.25">
      <c r="E89" s="339" t="s">
        <v>481</v>
      </c>
      <c r="F89" s="339"/>
      <c r="G89" s="339" t="s">
        <v>636</v>
      </c>
      <c r="H89" s="435">
        <f>H80 * hours_in_year / H84</f>
        <v>1.7858808401822084</v>
      </c>
      <c r="I89" s="435" t="s">
        <v>525</v>
      </c>
      <c r="J89" s="435"/>
      <c r="K89" s="435"/>
      <c r="L89" s="435"/>
      <c r="M89" s="435"/>
      <c r="N89" s="435"/>
      <c r="O89" s="435"/>
      <c r="P89" s="435"/>
      <c r="Q89" s="435"/>
      <c r="R89" s="435"/>
      <c r="S89" s="435"/>
      <c r="T89" s="435"/>
      <c r="U89" s="435"/>
      <c r="V89" s="435"/>
      <c r="W89" s="435"/>
      <c r="X89" s="435"/>
      <c r="Y89" s="435"/>
      <c r="Z89" s="435"/>
      <c r="AA89" s="435"/>
      <c r="AB89" s="435"/>
      <c r="AC89" s="435"/>
      <c r="AD89" s="435"/>
      <c r="AE89" s="435"/>
      <c r="AF89" s="435"/>
      <c r="AG89" s="435"/>
      <c r="AH89" s="435"/>
      <c r="AI89" s="435"/>
      <c r="AJ89" s="435"/>
      <c r="AK89" s="435"/>
      <c r="AL89" s="435"/>
      <c r="AM89" s="435"/>
      <c r="AN89" s="435"/>
      <c r="AO89" s="435"/>
      <c r="AP89" s="435"/>
      <c r="AR89" s="160" t="s">
        <v>1089</v>
      </c>
    </row>
    <row r="90" spans="2:44" s="160" customFormat="1" x14ac:dyDescent="0.25">
      <c r="E90" s="167" t="s">
        <v>482</v>
      </c>
      <c r="F90" s="167"/>
      <c r="G90" s="167" t="s">
        <v>636</v>
      </c>
      <c r="H90" s="435"/>
      <c r="I90" s="435"/>
      <c r="J90" s="435">
        <f t="shared" ref="J90:AP90" si="17">IF(J24, $H89, J88)</f>
        <v>1.4584402319915566</v>
      </c>
      <c r="K90" s="435">
        <f t="shared" si="17"/>
        <v>0.95807098168528948</v>
      </c>
      <c r="L90" s="435">
        <f t="shared" si="17"/>
        <v>3.3010646157617583E-2</v>
      </c>
      <c r="M90" s="435">
        <f t="shared" si="17"/>
        <v>1.1180116842188466</v>
      </c>
      <c r="N90" s="435">
        <f t="shared" si="17"/>
        <v>0.9938754358885129</v>
      </c>
      <c r="O90" s="435">
        <f t="shared" si="17"/>
        <v>0.30080344069661391</v>
      </c>
      <c r="P90" s="435">
        <f t="shared" si="17"/>
        <v>1.1617995195135093</v>
      </c>
      <c r="Q90" s="435">
        <f t="shared" si="17"/>
        <v>0</v>
      </c>
      <c r="R90" s="435">
        <f t="shared" si="17"/>
        <v>1.1337292783505746</v>
      </c>
      <c r="S90" s="435">
        <f t="shared" si="17"/>
        <v>1.8472169725932279</v>
      </c>
      <c r="T90" s="435">
        <f t="shared" si="17"/>
        <v>1.1890450852571237</v>
      </c>
      <c r="U90" s="435">
        <f t="shared" si="17"/>
        <v>1.1605548806146189</v>
      </c>
      <c r="V90" s="435">
        <f t="shared" si="17"/>
        <v>1.0924510072503626</v>
      </c>
      <c r="W90" s="435">
        <f t="shared" si="17"/>
        <v>1.0674522150670029</v>
      </c>
      <c r="X90" s="435">
        <f t="shared" si="17"/>
        <v>1.7858808401822084</v>
      </c>
      <c r="Y90" s="435">
        <f t="shared" si="17"/>
        <v>1.7858808401822084</v>
      </c>
      <c r="Z90" s="435">
        <f t="shared" si="17"/>
        <v>1.7858808401822084</v>
      </c>
      <c r="AA90" s="435">
        <f t="shared" si="17"/>
        <v>1.7858808401822084</v>
      </c>
      <c r="AB90" s="435">
        <f t="shared" si="17"/>
        <v>1.7858808401822084</v>
      </c>
      <c r="AC90" s="435">
        <f t="shared" si="17"/>
        <v>1</v>
      </c>
      <c r="AD90" s="435">
        <f t="shared" si="17"/>
        <v>1</v>
      </c>
      <c r="AE90" s="435">
        <f t="shared" si="17"/>
        <v>1</v>
      </c>
      <c r="AF90" s="435">
        <f t="shared" si="17"/>
        <v>0</v>
      </c>
      <c r="AG90" s="435">
        <f t="shared" si="17"/>
        <v>1.0563261892184288</v>
      </c>
      <c r="AH90" s="435">
        <f t="shared" si="17"/>
        <v>0</v>
      </c>
      <c r="AI90" s="435">
        <f t="shared" si="17"/>
        <v>0</v>
      </c>
      <c r="AJ90" s="435">
        <f t="shared" si="17"/>
        <v>0</v>
      </c>
      <c r="AK90" s="435">
        <f t="shared" si="17"/>
        <v>0</v>
      </c>
      <c r="AL90" s="435">
        <f t="shared" si="17"/>
        <v>0</v>
      </c>
      <c r="AM90" s="435">
        <f t="shared" si="17"/>
        <v>1</v>
      </c>
      <c r="AN90" s="435">
        <f t="shared" si="17"/>
        <v>0</v>
      </c>
      <c r="AO90" s="435">
        <f t="shared" si="17"/>
        <v>1.0913093598169377</v>
      </c>
      <c r="AP90" s="435">
        <f t="shared" si="17"/>
        <v>0</v>
      </c>
    </row>
    <row r="91" spans="2:44" s="160" customFormat="1" x14ac:dyDescent="0.25">
      <c r="J91" s="170"/>
      <c r="K91" s="170"/>
      <c r="L91" s="170"/>
      <c r="M91" s="170"/>
      <c r="N91" s="170"/>
      <c r="O91" s="170"/>
      <c r="P91" s="170"/>
      <c r="Q91" s="170"/>
      <c r="R91" s="170"/>
      <c r="S91" s="170"/>
      <c r="T91" s="170"/>
      <c r="U91" s="170"/>
      <c r="V91" s="170"/>
      <c r="W91" s="170"/>
      <c r="X91" s="170"/>
      <c r="Y91" s="170"/>
      <c r="Z91" s="170"/>
      <c r="AA91" s="170"/>
      <c r="AB91" s="170"/>
      <c r="AC91" s="170"/>
      <c r="AD91" s="170"/>
      <c r="AE91" s="170"/>
      <c r="AF91" s="170"/>
      <c r="AG91" s="170"/>
      <c r="AH91" s="170"/>
      <c r="AI91" s="170"/>
      <c r="AJ91" s="170"/>
      <c r="AK91" s="170"/>
      <c r="AL91" s="170"/>
      <c r="AM91" s="170"/>
      <c r="AN91" s="170"/>
      <c r="AO91" s="170"/>
      <c r="AP91" s="170"/>
    </row>
    <row r="92" spans="2:44" s="88" customFormat="1" x14ac:dyDescent="0.25">
      <c r="B92" s="6" t="s">
        <v>1107</v>
      </c>
      <c r="C92" s="7"/>
      <c r="D92" s="6"/>
      <c r="E92" s="134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135"/>
      <c r="AR92" s="135"/>
    </row>
    <row r="93" spans="2:44" s="160" customFormat="1" x14ac:dyDescent="0.25">
      <c r="F93" s="35"/>
      <c r="G93" s="35"/>
    </row>
    <row r="94" spans="2:44" s="88" customFormat="1" x14ac:dyDescent="0.25">
      <c r="C94" s="152" t="s">
        <v>1090</v>
      </c>
      <c r="E94" s="160"/>
      <c r="F94" s="35"/>
      <c r="G94" s="35"/>
    </row>
    <row r="95" spans="2:44" s="160" customFormat="1" x14ac:dyDescent="0.25">
      <c r="F95" s="35"/>
      <c r="G95" s="35"/>
    </row>
    <row r="96" spans="2:44" s="160" customFormat="1" x14ac:dyDescent="0.25">
      <c r="C96" s="22" t="str">
        <f ca="1">INDEX('Version control'!$H$34:$H$59,MATCH($A$1,'Version control'!$F$34:$F$59,0),1)&amp;"-E: Load characteristics for all customers"</f>
        <v>Section 508-E: Load characteristics for all customers</v>
      </c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</row>
    <row r="97" spans="3:44" s="11" customFormat="1" x14ac:dyDescent="0.25">
      <c r="D97" s="87"/>
      <c r="F97" s="64"/>
      <c r="G97" s="64"/>
      <c r="H97" s="64"/>
      <c r="I97" s="64"/>
      <c r="J97" s="181"/>
      <c r="K97" s="181"/>
      <c r="L97" s="181"/>
      <c r="M97" s="181"/>
      <c r="N97" s="181"/>
      <c r="O97" s="181"/>
      <c r="P97" s="181"/>
      <c r="Q97" s="181"/>
      <c r="R97" s="181"/>
      <c r="S97" s="181"/>
      <c r="T97" s="181"/>
      <c r="U97" s="181"/>
      <c r="V97" s="181"/>
      <c r="W97" s="181"/>
      <c r="X97" s="181"/>
      <c r="Y97" s="181"/>
      <c r="Z97" s="181"/>
      <c r="AA97" s="181"/>
      <c r="AB97" s="181"/>
      <c r="AC97" s="181"/>
      <c r="AD97" s="181"/>
      <c r="AE97" s="181"/>
      <c r="AF97" s="181"/>
      <c r="AG97" s="181"/>
      <c r="AH97" s="181"/>
      <c r="AI97" s="181"/>
      <c r="AJ97" s="181"/>
      <c r="AK97" s="181"/>
      <c r="AL97" s="181"/>
      <c r="AM97" s="181"/>
      <c r="AN97" s="181"/>
      <c r="AO97" s="181"/>
      <c r="AP97" s="181"/>
    </row>
    <row r="98" spans="3:44" s="160" customFormat="1" x14ac:dyDescent="0.25">
      <c r="E98" s="145" t="s">
        <v>83</v>
      </c>
      <c r="F98" s="167"/>
      <c r="G98" s="145" t="s">
        <v>111</v>
      </c>
      <c r="H98" s="167"/>
      <c r="I98" s="167"/>
      <c r="J98" s="181">
        <f>'Inputs by customer type'!J18</f>
        <v>0.40291264713159136</v>
      </c>
      <c r="K98" s="181">
        <f>'Inputs by customer type'!K18</f>
        <v>0.25201324928166224</v>
      </c>
      <c r="L98" s="181">
        <f>'Inputs by customer type'!L18</f>
        <v>0.10517953382833152</v>
      </c>
      <c r="M98" s="181">
        <f>'Inputs by customer type'!M18</f>
        <v>0.36016861163234548</v>
      </c>
      <c r="N98" s="181">
        <f>'Inputs by customer type'!N18</f>
        <v>0.43283209899661901</v>
      </c>
      <c r="O98" s="181">
        <f>'Inputs by customer type'!O18</f>
        <v>0.22382885280794493</v>
      </c>
      <c r="P98" s="181">
        <f>'Inputs by customer type'!P18</f>
        <v>0.50478850499382066</v>
      </c>
      <c r="Q98" s="181">
        <f>'Inputs by customer type'!Q18</f>
        <v>0.34529704834737524</v>
      </c>
      <c r="R98" s="181">
        <f>'Inputs by customer type'!R18</f>
        <v>0.32153049705220221</v>
      </c>
      <c r="S98" s="181">
        <f>'Inputs by customer type'!S18</f>
        <v>0.24061157735295277</v>
      </c>
      <c r="T98" s="181">
        <f>'Inputs by customer type'!T18</f>
        <v>0.38486677189948271</v>
      </c>
      <c r="U98" s="181">
        <f>'Inputs by customer type'!U18</f>
        <v>0.58319695130103477</v>
      </c>
      <c r="V98" s="181">
        <f>'Inputs by customer type'!V18</f>
        <v>0.64316565706091622</v>
      </c>
      <c r="W98" s="181">
        <f>'Inputs by customer type'!W18</f>
        <v>0.69582668577563445</v>
      </c>
      <c r="X98" s="181">
        <f>'Inputs by customer type'!X18</f>
        <v>0.99988594871538961</v>
      </c>
      <c r="Y98" s="181">
        <f>'Inputs by customer type'!Y18</f>
        <v>0.47409656688998675</v>
      </c>
      <c r="Z98" s="181">
        <f>'Inputs by customer type'!Z18</f>
        <v>0.25735293202252324</v>
      </c>
      <c r="AA98" s="181">
        <f>'Inputs by customer type'!AA18</f>
        <v>0.52508693100157189</v>
      </c>
      <c r="AB98" s="181">
        <f>'Inputs by customer type'!AB18</f>
        <v>0.45997700435704125</v>
      </c>
      <c r="AC98" s="181">
        <f>'Inputs by customer type'!AC18</f>
        <v>0</v>
      </c>
      <c r="AD98" s="181">
        <f>'Inputs by customer type'!AD18</f>
        <v>0</v>
      </c>
      <c r="AE98" s="181">
        <f>'Inputs by customer type'!AE18</f>
        <v>0</v>
      </c>
      <c r="AF98" s="181">
        <f>'Inputs by customer type'!AF18</f>
        <v>0</v>
      </c>
      <c r="AG98" s="181">
        <f>'Inputs by customer type'!AG18</f>
        <v>0</v>
      </c>
      <c r="AH98" s="181">
        <f>'Inputs by customer type'!AH18</f>
        <v>0</v>
      </c>
      <c r="AI98" s="181">
        <f>'Inputs by customer type'!AI18</f>
        <v>0</v>
      </c>
      <c r="AJ98" s="181">
        <f>'Inputs by customer type'!AJ18</f>
        <v>0</v>
      </c>
      <c r="AK98" s="181">
        <f>'Inputs by customer type'!AK18</f>
        <v>0</v>
      </c>
      <c r="AL98" s="181">
        <f>'Inputs by customer type'!AL18</f>
        <v>0</v>
      </c>
      <c r="AM98" s="181">
        <f>'Inputs by customer type'!AM18</f>
        <v>0</v>
      </c>
      <c r="AN98" s="181">
        <f>'Inputs by customer type'!AN18</f>
        <v>0</v>
      </c>
      <c r="AO98" s="181">
        <f>'Inputs by customer type'!AO18</f>
        <v>0</v>
      </c>
      <c r="AP98" s="181">
        <f>'Inputs by customer type'!AP18</f>
        <v>0</v>
      </c>
    </row>
    <row r="99" spans="3:44" s="160" customFormat="1" x14ac:dyDescent="0.25">
      <c r="E99" s="145" t="s">
        <v>82</v>
      </c>
      <c r="F99" s="167"/>
      <c r="G99" s="145" t="s">
        <v>111</v>
      </c>
      <c r="H99" s="167"/>
      <c r="I99" s="167"/>
      <c r="J99" s="181">
        <f>'Inputs by customer type'!J19</f>
        <v>0.88200236087453765</v>
      </c>
      <c r="K99" s="181">
        <f>'Inputs by customer type'!K19</f>
        <v>0.38688785287008098</v>
      </c>
      <c r="L99" s="181">
        <f>'Inputs by customer type'!L19</f>
        <v>0</v>
      </c>
      <c r="M99" s="181">
        <f>'Inputs by customer type'!M19</f>
        <v>0.62682520824381915</v>
      </c>
      <c r="N99" s="181">
        <f>'Inputs by customer type'!N19</f>
        <v>0.80226924245409836</v>
      </c>
      <c r="O99" s="181">
        <f>'Inputs by customer type'!O19</f>
        <v>0</v>
      </c>
      <c r="P99" s="181">
        <f>'Inputs by customer type'!P19</f>
        <v>0.68099237873891327</v>
      </c>
      <c r="Q99" s="181">
        <f>'Inputs by customer type'!Q19</f>
        <v>0.40438515076211767</v>
      </c>
      <c r="R99" s="181">
        <f>'Inputs by customer type'!R19</f>
        <v>0.46488071245670731</v>
      </c>
      <c r="S99" s="181">
        <f>'Inputs by customer type'!S19</f>
        <v>0.79784840200954121</v>
      </c>
      <c r="T99" s="181">
        <f>'Inputs by customer type'!T19</f>
        <v>0.6412211220013907</v>
      </c>
      <c r="U99" s="181">
        <f>'Inputs by customer type'!U19</f>
        <v>0.80684054580144293</v>
      </c>
      <c r="V99" s="181">
        <f>'Inputs by customer type'!V19</f>
        <v>0.80993129436336686</v>
      </c>
      <c r="W99" s="181">
        <f>'Inputs by customer type'!W19</f>
        <v>0.77886207792026685</v>
      </c>
      <c r="X99" s="181">
        <f>'Inputs by customer type'!X19</f>
        <v>1</v>
      </c>
      <c r="Y99" s="181">
        <f>'Inputs by customer type'!Y19</f>
        <v>0.83901666666666674</v>
      </c>
      <c r="Z99" s="181">
        <f>'Inputs by customer type'!Z19</f>
        <v>0.85290833333333327</v>
      </c>
      <c r="AA99" s="181">
        <f>'Inputs by customer type'!AA19</f>
        <v>0.27030833333333332</v>
      </c>
      <c r="AB99" s="181">
        <f>'Inputs by customer type'!AB19</f>
        <v>0.79435807717844309</v>
      </c>
      <c r="AC99" s="181">
        <f>'Inputs by customer type'!AC19</f>
        <v>0</v>
      </c>
      <c r="AD99" s="181">
        <f>'Inputs by customer type'!AD19</f>
        <v>0</v>
      </c>
      <c r="AE99" s="181">
        <f>'Inputs by customer type'!AE19</f>
        <v>0</v>
      </c>
      <c r="AF99" s="181">
        <f>'Inputs by customer type'!AF19</f>
        <v>0</v>
      </c>
      <c r="AG99" s="181">
        <f>'Inputs by customer type'!AG19</f>
        <v>0</v>
      </c>
      <c r="AH99" s="181">
        <f>'Inputs by customer type'!AH19</f>
        <v>0</v>
      </c>
      <c r="AI99" s="181">
        <f>'Inputs by customer type'!AI19</f>
        <v>0</v>
      </c>
      <c r="AJ99" s="181">
        <f>'Inputs by customer type'!AJ19</f>
        <v>0</v>
      </c>
      <c r="AK99" s="181">
        <f>'Inputs by customer type'!AK19</f>
        <v>0</v>
      </c>
      <c r="AL99" s="181">
        <f>'Inputs by customer type'!AL19</f>
        <v>0</v>
      </c>
      <c r="AM99" s="181">
        <f>'Inputs by customer type'!AM19</f>
        <v>0</v>
      </c>
      <c r="AN99" s="181">
        <f>'Inputs by customer type'!AN19</f>
        <v>0</v>
      </c>
      <c r="AO99" s="181">
        <f>'Inputs by customer type'!AO19</f>
        <v>0</v>
      </c>
      <c r="AP99" s="181">
        <f>'Inputs by customer type'!AP19</f>
        <v>0</v>
      </c>
    </row>
    <row r="100" spans="3:44" s="160" customFormat="1" x14ac:dyDescent="0.25">
      <c r="F100" s="145"/>
      <c r="G100" s="145"/>
      <c r="H100" s="167"/>
      <c r="I100" s="167"/>
      <c r="J100" s="181"/>
      <c r="K100" s="181"/>
      <c r="L100" s="181"/>
      <c r="M100" s="181"/>
      <c r="N100" s="181"/>
      <c r="O100" s="181"/>
      <c r="P100" s="181"/>
      <c r="Q100" s="181"/>
      <c r="R100" s="181"/>
      <c r="S100" s="181"/>
      <c r="T100" s="181"/>
      <c r="U100" s="181"/>
      <c r="V100" s="181"/>
      <c r="W100" s="181"/>
      <c r="X100" s="181"/>
      <c r="Y100" s="181"/>
      <c r="Z100" s="181"/>
      <c r="AA100" s="181"/>
      <c r="AB100" s="181"/>
      <c r="AC100" s="181"/>
      <c r="AD100" s="181"/>
      <c r="AE100" s="181"/>
      <c r="AF100" s="181"/>
      <c r="AG100" s="181"/>
      <c r="AH100" s="181"/>
      <c r="AI100" s="181"/>
      <c r="AJ100" s="181"/>
      <c r="AK100" s="181"/>
      <c r="AL100" s="181"/>
      <c r="AM100" s="181"/>
      <c r="AN100" s="181"/>
      <c r="AO100" s="181"/>
      <c r="AP100" s="181"/>
    </row>
    <row r="101" spans="3:44" s="160" customFormat="1" x14ac:dyDescent="0.25">
      <c r="C101" s="22" t="str">
        <f ca="1">INDEX('Version control'!$H$34:$H$59,MATCH($A$1,'Version control'!$F$34:$F$59,0),1)&amp;"-F: Aggregated load characteristics for UMS customers"</f>
        <v>Section 508-F: Aggregated load characteristics for UMS customers</v>
      </c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</row>
    <row r="102" spans="3:44" s="160" customFormat="1" x14ac:dyDescent="0.25">
      <c r="F102" s="35"/>
      <c r="G102" s="35"/>
    </row>
    <row r="103" spans="3:44" s="88" customFormat="1" x14ac:dyDescent="0.25">
      <c r="D103" s="87" t="s">
        <v>376</v>
      </c>
      <c r="E103" s="160"/>
      <c r="X103" s="33"/>
      <c r="Y103" s="33"/>
      <c r="Z103" s="33"/>
      <c r="AA103" s="33"/>
      <c r="AB103" s="33"/>
      <c r="AC103" s="33"/>
    </row>
    <row r="104" spans="3:44" s="474" customFormat="1" x14ac:dyDescent="0.25">
      <c r="D104" s="172"/>
      <c r="X104" s="165"/>
      <c r="Y104" s="165"/>
      <c r="Z104" s="165"/>
      <c r="AA104" s="165"/>
      <c r="AB104" s="165"/>
      <c r="AC104" s="165"/>
    </row>
    <row r="105" spans="3:44" s="160" customFormat="1" x14ac:dyDescent="0.25">
      <c r="E105" s="167" t="s">
        <v>479</v>
      </c>
      <c r="G105" s="167" t="s">
        <v>119</v>
      </c>
      <c r="H105" s="167"/>
      <c r="I105" s="167"/>
      <c r="J105" s="403"/>
      <c r="K105" s="403"/>
      <c r="L105" s="403"/>
      <c r="M105" s="403"/>
      <c r="N105" s="403"/>
      <c r="O105" s="403"/>
      <c r="P105" s="403"/>
      <c r="Q105" s="403"/>
      <c r="R105" s="403"/>
      <c r="S105" s="403"/>
      <c r="T105" s="403"/>
      <c r="U105" s="403"/>
      <c r="V105" s="403"/>
      <c r="W105" s="403"/>
      <c r="X105" s="428">
        <f>X39 / hours_in_year</f>
        <v>2.8005288311079015</v>
      </c>
      <c r="Y105" s="428">
        <f>Y39 / hours_in_year</f>
        <v>1.7870665986372816</v>
      </c>
      <c r="Z105" s="428">
        <f>Z39 / hours_in_year</f>
        <v>8.8889724378890561E-2</v>
      </c>
      <c r="AA105" s="428">
        <f>AA39 / hours_in_year</f>
        <v>1.7083453932230982E-2</v>
      </c>
      <c r="AB105" s="428">
        <f>AB39 / hours_in_year</f>
        <v>24.629815192931193</v>
      </c>
      <c r="AC105" s="403"/>
      <c r="AD105" s="403"/>
      <c r="AE105" s="403"/>
      <c r="AF105" s="403"/>
      <c r="AG105" s="403"/>
      <c r="AH105" s="403"/>
      <c r="AI105" s="403"/>
      <c r="AJ105" s="403"/>
      <c r="AK105" s="403"/>
      <c r="AL105" s="403"/>
      <c r="AM105" s="403"/>
      <c r="AN105" s="403"/>
      <c r="AO105" s="403"/>
      <c r="AP105" s="403"/>
    </row>
    <row r="106" spans="3:44" s="88" customFormat="1" x14ac:dyDescent="0.25">
      <c r="E106" s="167" t="s">
        <v>377</v>
      </c>
      <c r="G106" s="167" t="s">
        <v>119</v>
      </c>
      <c r="H106" s="167"/>
      <c r="I106" s="167"/>
      <c r="J106" s="403"/>
      <c r="K106" s="403"/>
      <c r="L106" s="403"/>
      <c r="M106" s="403"/>
      <c r="N106" s="403"/>
      <c r="O106" s="403"/>
      <c r="P106" s="403"/>
      <c r="Q106" s="403"/>
      <c r="R106" s="403"/>
      <c r="S106" s="403"/>
      <c r="T106" s="403"/>
      <c r="U106" s="403"/>
      <c r="V106" s="403"/>
      <c r="W106" s="403"/>
      <c r="X106" s="435">
        <f>IF(X98 = 0, 0, X39 / (X98 * hours_in_year))</f>
        <v>2.8008482714512599</v>
      </c>
      <c r="Y106" s="435">
        <f>IF(Y98 = 0, 0, Y39 / (Y98 * hours_in_year))</f>
        <v>3.7694147636634692</v>
      </c>
      <c r="Z106" s="435">
        <f>IF(Z98 = 0, 0, Z39 / (Z98 * hours_in_year))</f>
        <v>0.3454000841580116</v>
      </c>
      <c r="AA106" s="435">
        <f>IF(AA98 = 0, 0, AA39 / (AA98 * hours_in_year))</f>
        <v>3.2534525092150587E-2</v>
      </c>
      <c r="AB106" s="435">
        <f>IF(AB98 = 0, 0, AB39 / (AB98 * hours_in_year))</f>
        <v>53.54575328686029</v>
      </c>
      <c r="AC106" s="403"/>
      <c r="AD106" s="403"/>
      <c r="AE106" s="403"/>
      <c r="AF106" s="403"/>
      <c r="AG106" s="403"/>
      <c r="AH106" s="403"/>
      <c r="AI106" s="403"/>
      <c r="AJ106" s="403"/>
      <c r="AK106" s="403"/>
      <c r="AL106" s="403"/>
      <c r="AM106" s="403"/>
      <c r="AN106" s="403"/>
      <c r="AO106" s="403"/>
      <c r="AP106" s="403"/>
    </row>
    <row r="107" spans="3:44" s="160" customFormat="1" x14ac:dyDescent="0.25">
      <c r="E107" s="167" t="s">
        <v>478</v>
      </c>
      <c r="G107" s="167" t="s">
        <v>119</v>
      </c>
      <c r="H107" s="167"/>
      <c r="I107" s="167"/>
      <c r="J107" s="403"/>
      <c r="K107" s="403"/>
      <c r="L107" s="403"/>
      <c r="M107" s="403"/>
      <c r="N107" s="403"/>
      <c r="O107" s="403"/>
      <c r="P107" s="403"/>
      <c r="Q107" s="403"/>
      <c r="R107" s="403"/>
      <c r="S107" s="403"/>
      <c r="T107" s="403"/>
      <c r="U107" s="403"/>
      <c r="V107" s="403"/>
      <c r="W107" s="403"/>
      <c r="X107" s="435">
        <f>X106 * X99</f>
        <v>2.8008482714512599</v>
      </c>
      <c r="Y107" s="435">
        <f>Y106 * Y99</f>
        <v>3.1626018102930451</v>
      </c>
      <c r="Z107" s="435">
        <f>Z106 * Z99</f>
        <v>0.29459461011240273</v>
      </c>
      <c r="AA107" s="435">
        <f>AA106 * AA99</f>
        <v>8.7943532534507374E-3</v>
      </c>
      <c r="AB107" s="435">
        <f>AB106 * AB99</f>
        <v>42.534501622021637</v>
      </c>
      <c r="AC107" s="403"/>
      <c r="AD107" s="403"/>
      <c r="AE107" s="403"/>
      <c r="AF107" s="403"/>
      <c r="AG107" s="403"/>
      <c r="AH107" s="403"/>
      <c r="AI107" s="403"/>
      <c r="AJ107" s="403"/>
      <c r="AK107" s="403"/>
      <c r="AL107" s="403"/>
      <c r="AM107" s="403"/>
      <c r="AN107" s="403"/>
      <c r="AO107" s="403"/>
      <c r="AP107" s="403"/>
    </row>
    <row r="108" spans="3:44" s="11" customFormat="1" x14ac:dyDescent="0.25"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</row>
    <row r="109" spans="3:44" s="88" customFormat="1" x14ac:dyDescent="0.25">
      <c r="D109" s="87" t="s">
        <v>480</v>
      </c>
      <c r="E109" s="160"/>
      <c r="M109" s="160"/>
      <c r="N109" s="160"/>
      <c r="O109" s="160"/>
      <c r="P109" s="160"/>
      <c r="Q109" s="160"/>
      <c r="AA109" s="11"/>
      <c r="AB109" s="11"/>
    </row>
    <row r="110" spans="3:44" s="474" customFormat="1" x14ac:dyDescent="0.25">
      <c r="D110" s="172"/>
      <c r="AA110" s="73"/>
      <c r="AB110" s="73"/>
    </row>
    <row r="111" spans="3:44" s="88" customFormat="1" x14ac:dyDescent="0.25">
      <c r="E111" s="167" t="s">
        <v>83</v>
      </c>
      <c r="G111" s="151" t="s">
        <v>111</v>
      </c>
      <c r="H111" s="186">
        <f>SUM(X105:AB105) / SUM(X106:AB106)</f>
        <v>0.48473249555686793</v>
      </c>
      <c r="M111" s="160"/>
      <c r="N111" s="160"/>
      <c r="O111" s="160"/>
      <c r="P111" s="160"/>
      <c r="Q111" s="160"/>
      <c r="AA111" s="11"/>
      <c r="AB111" s="11"/>
    </row>
    <row r="112" spans="3:44" s="160" customFormat="1" x14ac:dyDescent="0.25">
      <c r="E112" s="151" t="s">
        <v>82</v>
      </c>
      <c r="G112" s="151" t="s">
        <v>111</v>
      </c>
      <c r="H112" s="186">
        <f>SUM(X107:AB107) / SUM(X106:AB106)</f>
        <v>0.80671438905707171</v>
      </c>
      <c r="AA112" s="11"/>
      <c r="AB112" s="11"/>
    </row>
    <row r="113" spans="2:44" s="88" customFormat="1" x14ac:dyDescent="0.25">
      <c r="E113" s="160"/>
      <c r="M113" s="160"/>
      <c r="N113" s="160"/>
      <c r="O113" s="160"/>
      <c r="P113" s="160"/>
      <c r="Q113" s="160"/>
      <c r="AA113" s="11"/>
      <c r="AB113" s="11"/>
    </row>
    <row r="114" spans="2:44" s="160" customFormat="1" x14ac:dyDescent="0.25">
      <c r="C114" s="22" t="str">
        <f ca="1">INDEX('Version control'!$H$34:$H$59,MATCH($A$1,'Version control'!$F$34:$F$59,0),1)&amp;"-G: Calculation of correction factor"</f>
        <v>Section 508-G: Calculation of correction factor</v>
      </c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</row>
    <row r="115" spans="2:44" s="160" customFormat="1" x14ac:dyDescent="0.25">
      <c r="AA115" s="11"/>
      <c r="AB115" s="11"/>
    </row>
    <row r="116" spans="2:44" s="160" customFormat="1" x14ac:dyDescent="0.25">
      <c r="E116" s="145" t="s">
        <v>160</v>
      </c>
      <c r="F116" s="167"/>
      <c r="G116" s="145" t="s">
        <v>636</v>
      </c>
      <c r="H116" s="167"/>
      <c r="I116" s="167"/>
      <c r="J116" s="428">
        <f t="shared" ref="J116:AP116" si="18">IF(AND(J98 = 0, J99 = 0), 1, J99 / J98)</f>
        <v>2.1890659604598501</v>
      </c>
      <c r="K116" s="428">
        <f t="shared" si="18"/>
        <v>1.5351885425582381</v>
      </c>
      <c r="L116" s="428">
        <f t="shared" si="18"/>
        <v>0</v>
      </c>
      <c r="M116" s="428">
        <f t="shared" si="18"/>
        <v>1.7403660063627993</v>
      </c>
      <c r="N116" s="428">
        <f t="shared" si="18"/>
        <v>1.8535345329375978</v>
      </c>
      <c r="O116" s="428">
        <f t="shared" si="18"/>
        <v>0</v>
      </c>
      <c r="P116" s="428">
        <f t="shared" si="18"/>
        <v>1.3490647508846296</v>
      </c>
      <c r="Q116" s="428">
        <f t="shared" si="18"/>
        <v>1.171122523918301</v>
      </c>
      <c r="R116" s="428">
        <f t="shared" si="18"/>
        <v>1.4458370721245499</v>
      </c>
      <c r="S116" s="428">
        <f t="shared" si="18"/>
        <v>3.3159185887351486</v>
      </c>
      <c r="T116" s="428">
        <f t="shared" si="18"/>
        <v>1.666085951865081</v>
      </c>
      <c r="U116" s="428">
        <f t="shared" si="18"/>
        <v>1.3834786756026229</v>
      </c>
      <c r="V116" s="428">
        <f t="shared" si="18"/>
        <v>1.2592887780490676</v>
      </c>
      <c r="W116" s="428">
        <f t="shared" si="18"/>
        <v>1.1193334401253572</v>
      </c>
      <c r="X116" s="428">
        <f t="shared" si="18"/>
        <v>1.0001140642937896</v>
      </c>
      <c r="Y116" s="428">
        <f t="shared" si="18"/>
        <v>1.7697168156489922</v>
      </c>
      <c r="Z116" s="428">
        <f t="shared" si="18"/>
        <v>3.3141582131214564</v>
      </c>
      <c r="AA116" s="428">
        <f t="shared" si="18"/>
        <v>0.51478777584072866</v>
      </c>
      <c r="AB116" s="428">
        <f t="shared" si="18"/>
        <v>1.7269517163989574</v>
      </c>
      <c r="AC116" s="428">
        <f t="shared" si="18"/>
        <v>1</v>
      </c>
      <c r="AD116" s="428">
        <f t="shared" si="18"/>
        <v>1</v>
      </c>
      <c r="AE116" s="428">
        <f t="shared" si="18"/>
        <v>1</v>
      </c>
      <c r="AF116" s="428">
        <f t="shared" si="18"/>
        <v>1</v>
      </c>
      <c r="AG116" s="428">
        <f t="shared" si="18"/>
        <v>1</v>
      </c>
      <c r="AH116" s="428">
        <f t="shared" si="18"/>
        <v>1</v>
      </c>
      <c r="AI116" s="428">
        <f t="shared" si="18"/>
        <v>1</v>
      </c>
      <c r="AJ116" s="428">
        <f t="shared" si="18"/>
        <v>1</v>
      </c>
      <c r="AK116" s="428">
        <f t="shared" si="18"/>
        <v>1</v>
      </c>
      <c r="AL116" s="428">
        <f t="shared" si="18"/>
        <v>1</v>
      </c>
      <c r="AM116" s="428">
        <f t="shared" si="18"/>
        <v>1</v>
      </c>
      <c r="AN116" s="428">
        <f t="shared" si="18"/>
        <v>1</v>
      </c>
      <c r="AO116" s="428">
        <f t="shared" si="18"/>
        <v>1</v>
      </c>
      <c r="AP116" s="428">
        <f t="shared" si="18"/>
        <v>1</v>
      </c>
    </row>
    <row r="117" spans="2:44" s="160" customFormat="1" x14ac:dyDescent="0.25">
      <c r="E117" s="145" t="s">
        <v>483</v>
      </c>
      <c r="F117" s="339"/>
      <c r="G117" s="145" t="s">
        <v>636</v>
      </c>
      <c r="H117" s="435">
        <f>H112 / H111</f>
        <v>1.6642465616634721</v>
      </c>
      <c r="I117" s="339" t="s">
        <v>525</v>
      </c>
      <c r="J117" s="444"/>
      <c r="K117" s="444"/>
      <c r="L117" s="444"/>
      <c r="M117" s="444"/>
      <c r="N117" s="444"/>
      <c r="O117" s="444"/>
      <c r="P117" s="444"/>
      <c r="Q117" s="444"/>
      <c r="R117" s="444"/>
      <c r="S117" s="444"/>
      <c r="T117" s="444"/>
      <c r="U117" s="444"/>
      <c r="V117" s="444"/>
      <c r="W117" s="444"/>
      <c r="X117" s="444"/>
      <c r="Y117" s="444"/>
      <c r="Z117" s="444"/>
      <c r="AA117" s="444"/>
      <c r="AB117" s="444"/>
      <c r="AC117" s="444"/>
      <c r="AD117" s="444"/>
      <c r="AE117" s="444"/>
      <c r="AF117" s="444"/>
      <c r="AG117" s="444"/>
      <c r="AH117" s="444"/>
      <c r="AI117" s="444"/>
      <c r="AJ117" s="444"/>
      <c r="AK117" s="444"/>
      <c r="AL117" s="444"/>
      <c r="AM117" s="444"/>
      <c r="AN117" s="444"/>
      <c r="AO117" s="444"/>
      <c r="AP117" s="444"/>
      <c r="AQ117" s="73"/>
      <c r="AR117" s="474" t="s">
        <v>1007</v>
      </c>
    </row>
    <row r="118" spans="2:44" s="160" customFormat="1" x14ac:dyDescent="0.25">
      <c r="E118" s="145" t="s">
        <v>484</v>
      </c>
      <c r="F118" s="167"/>
      <c r="G118" s="145" t="s">
        <v>636</v>
      </c>
      <c r="H118" s="167"/>
      <c r="I118" s="167"/>
      <c r="J118" s="435">
        <f t="shared" ref="J118:AP118" si="19">IF(J$24, $H117, J116)</f>
        <v>2.1890659604598501</v>
      </c>
      <c r="K118" s="435">
        <f t="shared" si="19"/>
        <v>1.5351885425582381</v>
      </c>
      <c r="L118" s="435">
        <f t="shared" si="19"/>
        <v>0</v>
      </c>
      <c r="M118" s="435">
        <f t="shared" si="19"/>
        <v>1.7403660063627993</v>
      </c>
      <c r="N118" s="435">
        <f t="shared" si="19"/>
        <v>1.8535345329375978</v>
      </c>
      <c r="O118" s="435">
        <f t="shared" si="19"/>
        <v>0</v>
      </c>
      <c r="P118" s="435">
        <f t="shared" si="19"/>
        <v>1.3490647508846296</v>
      </c>
      <c r="Q118" s="435">
        <f t="shared" si="19"/>
        <v>1.171122523918301</v>
      </c>
      <c r="R118" s="435">
        <f t="shared" si="19"/>
        <v>1.4458370721245499</v>
      </c>
      <c r="S118" s="435">
        <f t="shared" si="19"/>
        <v>3.3159185887351486</v>
      </c>
      <c r="T118" s="435">
        <f t="shared" si="19"/>
        <v>1.666085951865081</v>
      </c>
      <c r="U118" s="435">
        <f t="shared" si="19"/>
        <v>1.3834786756026229</v>
      </c>
      <c r="V118" s="435">
        <f t="shared" si="19"/>
        <v>1.2592887780490676</v>
      </c>
      <c r="W118" s="435">
        <f t="shared" si="19"/>
        <v>1.1193334401253572</v>
      </c>
      <c r="X118" s="435">
        <f t="shared" si="19"/>
        <v>1.6642465616634721</v>
      </c>
      <c r="Y118" s="435">
        <f t="shared" si="19"/>
        <v>1.6642465616634721</v>
      </c>
      <c r="Z118" s="435">
        <f t="shared" si="19"/>
        <v>1.6642465616634721</v>
      </c>
      <c r="AA118" s="435">
        <f t="shared" si="19"/>
        <v>1.6642465616634721</v>
      </c>
      <c r="AB118" s="435">
        <f t="shared" si="19"/>
        <v>1.6642465616634721</v>
      </c>
      <c r="AC118" s="435">
        <f t="shared" si="19"/>
        <v>1</v>
      </c>
      <c r="AD118" s="435">
        <f t="shared" si="19"/>
        <v>1</v>
      </c>
      <c r="AE118" s="435">
        <f t="shared" si="19"/>
        <v>1</v>
      </c>
      <c r="AF118" s="435">
        <f t="shared" si="19"/>
        <v>1</v>
      </c>
      <c r="AG118" s="435">
        <f t="shared" si="19"/>
        <v>1</v>
      </c>
      <c r="AH118" s="435">
        <f t="shared" si="19"/>
        <v>1</v>
      </c>
      <c r="AI118" s="435">
        <f t="shared" si="19"/>
        <v>1</v>
      </c>
      <c r="AJ118" s="435">
        <f t="shared" si="19"/>
        <v>1</v>
      </c>
      <c r="AK118" s="435">
        <f t="shared" si="19"/>
        <v>1</v>
      </c>
      <c r="AL118" s="435">
        <f t="shared" si="19"/>
        <v>1</v>
      </c>
      <c r="AM118" s="435">
        <f t="shared" si="19"/>
        <v>1</v>
      </c>
      <c r="AN118" s="435">
        <f t="shared" si="19"/>
        <v>1</v>
      </c>
      <c r="AO118" s="435">
        <f t="shared" si="19"/>
        <v>1</v>
      </c>
      <c r="AP118" s="435">
        <f t="shared" si="19"/>
        <v>1</v>
      </c>
    </row>
    <row r="119" spans="2:44" s="11" customFormat="1" x14ac:dyDescent="0.25">
      <c r="D119" s="172"/>
      <c r="F119" s="151"/>
      <c r="G119" s="151"/>
      <c r="H119" s="151"/>
      <c r="J119" s="437"/>
      <c r="K119" s="437"/>
      <c r="L119" s="437"/>
      <c r="M119" s="437"/>
      <c r="N119" s="437"/>
      <c r="O119" s="437"/>
      <c r="P119" s="437"/>
      <c r="Q119" s="437"/>
      <c r="R119" s="437"/>
      <c r="S119" s="437"/>
      <c r="T119" s="437"/>
      <c r="U119" s="437"/>
      <c r="V119" s="437"/>
      <c r="W119" s="437"/>
      <c r="X119" s="437"/>
      <c r="Y119" s="437"/>
      <c r="Z119" s="437"/>
      <c r="AA119" s="437"/>
      <c r="AB119" s="437"/>
      <c r="AC119" s="437"/>
      <c r="AD119" s="437"/>
      <c r="AE119" s="437"/>
      <c r="AF119" s="437"/>
      <c r="AG119" s="437"/>
      <c r="AH119" s="437"/>
      <c r="AI119" s="437"/>
      <c r="AJ119" s="437"/>
      <c r="AK119" s="437"/>
      <c r="AL119" s="437"/>
      <c r="AM119" s="437"/>
      <c r="AN119" s="437"/>
      <c r="AO119" s="437"/>
      <c r="AP119" s="437"/>
    </row>
    <row r="120" spans="2:44" s="338" customFormat="1" x14ac:dyDescent="0.25">
      <c r="E120" s="145" t="s">
        <v>819</v>
      </c>
      <c r="F120" s="339"/>
      <c r="G120" s="145" t="s">
        <v>636</v>
      </c>
      <c r="H120" s="339"/>
      <c r="I120" s="339"/>
      <c r="J120" s="435">
        <f>IF(OR(J90 = 0, J99 = 0), 1, J118 / J90)</f>
        <v>1.5009637779057945</v>
      </c>
      <c r="K120" s="435">
        <f t="shared" ref="K120:AP120" si="20">IF(OR(K90 = 0, K99 = 0), 1, K118 / K90)</f>
        <v>1.6023745337300304</v>
      </c>
      <c r="L120" s="435">
        <f t="shared" si="20"/>
        <v>1</v>
      </c>
      <c r="M120" s="435">
        <f t="shared" si="20"/>
        <v>1.5566617334404613</v>
      </c>
      <c r="N120" s="435">
        <f t="shared" si="20"/>
        <v>1.8649565790712594</v>
      </c>
      <c r="O120" s="435">
        <f t="shared" si="20"/>
        <v>1</v>
      </c>
      <c r="P120" s="435">
        <f t="shared" si="20"/>
        <v>1.1611854956262466</v>
      </c>
      <c r="Q120" s="435">
        <f t="shared" si="20"/>
        <v>1</v>
      </c>
      <c r="R120" s="435">
        <f t="shared" si="20"/>
        <v>1.2752930525248944</v>
      </c>
      <c r="S120" s="435">
        <f t="shared" si="20"/>
        <v>1.7950888487561232</v>
      </c>
      <c r="T120" s="435">
        <f t="shared" si="20"/>
        <v>1.4011966177925037</v>
      </c>
      <c r="U120" s="435">
        <f t="shared" si="20"/>
        <v>1.1920838029391128</v>
      </c>
      <c r="V120" s="435">
        <f t="shared" si="20"/>
        <v>1.1527187669666086</v>
      </c>
      <c r="W120" s="435">
        <f t="shared" si="20"/>
        <v>1.0486028548407647</v>
      </c>
      <c r="X120" s="435">
        <f t="shared" si="20"/>
        <v>0.93189115657552701</v>
      </c>
      <c r="Y120" s="435">
        <f t="shared" si="20"/>
        <v>0.93189115657552701</v>
      </c>
      <c r="Z120" s="435">
        <f t="shared" si="20"/>
        <v>0.93189115657552701</v>
      </c>
      <c r="AA120" s="435">
        <f t="shared" si="20"/>
        <v>0.93189115657552701</v>
      </c>
      <c r="AB120" s="435">
        <f t="shared" si="20"/>
        <v>0.93189115657552701</v>
      </c>
      <c r="AC120" s="435">
        <f t="shared" si="20"/>
        <v>1</v>
      </c>
      <c r="AD120" s="435">
        <f t="shared" si="20"/>
        <v>1</v>
      </c>
      <c r="AE120" s="435">
        <f t="shared" si="20"/>
        <v>1</v>
      </c>
      <c r="AF120" s="435">
        <f t="shared" si="20"/>
        <v>1</v>
      </c>
      <c r="AG120" s="435">
        <f t="shared" si="20"/>
        <v>1</v>
      </c>
      <c r="AH120" s="435">
        <f t="shared" si="20"/>
        <v>1</v>
      </c>
      <c r="AI120" s="435">
        <f t="shared" si="20"/>
        <v>1</v>
      </c>
      <c r="AJ120" s="435">
        <f t="shared" si="20"/>
        <v>1</v>
      </c>
      <c r="AK120" s="435">
        <f t="shared" si="20"/>
        <v>1</v>
      </c>
      <c r="AL120" s="435">
        <f t="shared" si="20"/>
        <v>1</v>
      </c>
      <c r="AM120" s="435">
        <f t="shared" si="20"/>
        <v>1</v>
      </c>
      <c r="AN120" s="435">
        <f t="shared" si="20"/>
        <v>1</v>
      </c>
      <c r="AO120" s="435">
        <f t="shared" si="20"/>
        <v>1</v>
      </c>
      <c r="AP120" s="435">
        <f t="shared" si="20"/>
        <v>1</v>
      </c>
    </row>
    <row r="121" spans="2:44" s="338" customFormat="1" x14ac:dyDescent="0.25">
      <c r="E121" s="145" t="s">
        <v>818</v>
      </c>
      <c r="F121" s="339"/>
      <c r="G121" s="145" t="s">
        <v>636</v>
      </c>
      <c r="H121" s="435">
        <f>H117 / H89</f>
        <v>0.93189115657552701</v>
      </c>
      <c r="I121" s="339"/>
      <c r="J121" s="435"/>
      <c r="K121" s="435"/>
      <c r="L121" s="435"/>
      <c r="M121" s="435"/>
      <c r="N121" s="435"/>
      <c r="O121" s="435"/>
      <c r="P121" s="435"/>
      <c r="Q121" s="435"/>
      <c r="R121" s="435"/>
      <c r="S121" s="435"/>
      <c r="T121" s="435"/>
      <c r="U121" s="435"/>
      <c r="V121" s="435"/>
      <c r="W121" s="435"/>
      <c r="X121" s="435"/>
      <c r="Y121" s="435"/>
      <c r="Z121" s="435"/>
      <c r="AA121" s="435"/>
      <c r="AB121" s="435"/>
      <c r="AC121" s="435"/>
      <c r="AD121" s="435"/>
      <c r="AE121" s="435"/>
      <c r="AF121" s="435"/>
      <c r="AG121" s="435"/>
      <c r="AH121" s="435"/>
      <c r="AI121" s="435"/>
      <c r="AJ121" s="435"/>
      <c r="AK121" s="435"/>
      <c r="AL121" s="435"/>
      <c r="AM121" s="435"/>
      <c r="AN121" s="435"/>
      <c r="AO121" s="435"/>
      <c r="AP121" s="435"/>
    </row>
    <row r="122" spans="2:44" s="160" customFormat="1" x14ac:dyDescent="0.25">
      <c r="E122" s="145" t="s">
        <v>485</v>
      </c>
      <c r="F122" s="167"/>
      <c r="G122" s="145" t="s">
        <v>636</v>
      </c>
      <c r="H122" s="167"/>
      <c r="I122" s="160" t="s">
        <v>525</v>
      </c>
      <c r="J122" s="435">
        <f t="shared" ref="J122:AP122" si="21">IF(J$24, $H121, J120)</f>
        <v>1.5009637779057945</v>
      </c>
      <c r="K122" s="435">
        <f t="shared" si="21"/>
        <v>1.6023745337300304</v>
      </c>
      <c r="L122" s="435">
        <f t="shared" si="21"/>
        <v>1</v>
      </c>
      <c r="M122" s="435">
        <f t="shared" si="21"/>
        <v>1.5566617334404613</v>
      </c>
      <c r="N122" s="435">
        <f t="shared" si="21"/>
        <v>1.8649565790712594</v>
      </c>
      <c r="O122" s="435">
        <f t="shared" si="21"/>
        <v>1</v>
      </c>
      <c r="P122" s="435">
        <f t="shared" si="21"/>
        <v>1.1611854956262466</v>
      </c>
      <c r="Q122" s="435">
        <f t="shared" si="21"/>
        <v>1</v>
      </c>
      <c r="R122" s="435">
        <f t="shared" si="21"/>
        <v>1.2752930525248944</v>
      </c>
      <c r="S122" s="435">
        <f t="shared" si="21"/>
        <v>1.7950888487561232</v>
      </c>
      <c r="T122" s="435">
        <f t="shared" si="21"/>
        <v>1.4011966177925037</v>
      </c>
      <c r="U122" s="435">
        <f t="shared" si="21"/>
        <v>1.1920838029391128</v>
      </c>
      <c r="V122" s="435">
        <f t="shared" si="21"/>
        <v>1.1527187669666086</v>
      </c>
      <c r="W122" s="435">
        <f t="shared" si="21"/>
        <v>1.0486028548407647</v>
      </c>
      <c r="X122" s="435">
        <f t="shared" si="21"/>
        <v>0.93189115657552701</v>
      </c>
      <c r="Y122" s="435">
        <f t="shared" si="21"/>
        <v>0.93189115657552701</v>
      </c>
      <c r="Z122" s="435">
        <f t="shared" si="21"/>
        <v>0.93189115657552701</v>
      </c>
      <c r="AA122" s="435">
        <f t="shared" si="21"/>
        <v>0.93189115657552701</v>
      </c>
      <c r="AB122" s="435">
        <f t="shared" si="21"/>
        <v>0.93189115657552701</v>
      </c>
      <c r="AC122" s="435">
        <f t="shared" si="21"/>
        <v>1</v>
      </c>
      <c r="AD122" s="435">
        <f t="shared" si="21"/>
        <v>1</v>
      </c>
      <c r="AE122" s="435">
        <f t="shared" si="21"/>
        <v>1</v>
      </c>
      <c r="AF122" s="435">
        <f t="shared" si="21"/>
        <v>1</v>
      </c>
      <c r="AG122" s="435">
        <f t="shared" si="21"/>
        <v>1</v>
      </c>
      <c r="AH122" s="435">
        <f t="shared" si="21"/>
        <v>1</v>
      </c>
      <c r="AI122" s="435">
        <f t="shared" si="21"/>
        <v>1</v>
      </c>
      <c r="AJ122" s="435">
        <f t="shared" si="21"/>
        <v>1</v>
      </c>
      <c r="AK122" s="435">
        <f t="shared" si="21"/>
        <v>1</v>
      </c>
      <c r="AL122" s="435">
        <f t="shared" si="21"/>
        <v>1</v>
      </c>
      <c r="AM122" s="435">
        <f t="shared" si="21"/>
        <v>1</v>
      </c>
      <c r="AN122" s="435">
        <f t="shared" si="21"/>
        <v>1</v>
      </c>
      <c r="AO122" s="435">
        <f t="shared" si="21"/>
        <v>1</v>
      </c>
      <c r="AP122" s="435">
        <f t="shared" si="21"/>
        <v>1</v>
      </c>
      <c r="AR122" s="474" t="s">
        <v>1008</v>
      </c>
    </row>
    <row r="123" spans="2:44" s="160" customFormat="1" x14ac:dyDescent="0.25">
      <c r="F123" s="35"/>
      <c r="G123" s="35"/>
    </row>
    <row r="124" spans="2:44" s="88" customFormat="1" x14ac:dyDescent="0.25">
      <c r="B124" s="6" t="s">
        <v>1066</v>
      </c>
      <c r="C124" s="7"/>
      <c r="D124" s="6"/>
      <c r="E124" s="134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135"/>
      <c r="AR124" s="135"/>
    </row>
    <row r="125" spans="2:44" s="160" customFormat="1" x14ac:dyDescent="0.25">
      <c r="I125" s="160" t="s">
        <v>525</v>
      </c>
      <c r="AA125" s="11"/>
      <c r="AB125" s="11"/>
      <c r="AR125" s="474" t="s">
        <v>1009</v>
      </c>
    </row>
    <row r="126" spans="2:44" s="88" customFormat="1" x14ac:dyDescent="0.25">
      <c r="C126" s="152" t="s">
        <v>1067</v>
      </c>
      <c r="E126" s="160"/>
      <c r="AA126" s="11"/>
      <c r="AB126" s="11"/>
    </row>
    <row r="127" spans="2:44" s="160" customFormat="1" x14ac:dyDescent="0.25">
      <c r="C127" s="152" t="s">
        <v>872</v>
      </c>
      <c r="AA127" s="11"/>
      <c r="AB127" s="11"/>
    </row>
    <row r="128" spans="2:44" s="160" customFormat="1" x14ac:dyDescent="0.25">
      <c r="AA128" s="11"/>
      <c r="AB128" s="11"/>
    </row>
    <row r="129" spans="3:44" s="160" customFormat="1" x14ac:dyDescent="0.25">
      <c r="C129" s="22" t="str">
        <f ca="1">INDEX('Version control'!$H$34:$H$59,MATCH($A$1,'Version control'!$F$34:$F$59,0),1)&amp;"-H: Peaking probabilities, by network level"</f>
        <v>Section 508-H: Peaking probabilities, by network level</v>
      </c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</row>
    <row r="130" spans="3:44" s="160" customFormat="1" x14ac:dyDescent="0.25"/>
    <row r="131" spans="3:44" s="160" customFormat="1" x14ac:dyDescent="0.25">
      <c r="E131" s="263" t="s">
        <v>805</v>
      </c>
      <c r="F131" s="167"/>
      <c r="G131" s="145"/>
      <c r="H131" s="167"/>
    </row>
    <row r="132" spans="3:44" s="160" customFormat="1" x14ac:dyDescent="0.25">
      <c r="F132" s="85" t="s">
        <v>101</v>
      </c>
      <c r="G132" s="40" t="s">
        <v>111</v>
      </c>
      <c r="H132" s="187">
        <f>'Inputs by network level'!K43</f>
        <v>0.87714932303008375</v>
      </c>
    </row>
    <row r="133" spans="3:44" s="160" customFormat="1" x14ac:dyDescent="0.25">
      <c r="F133" s="84" t="s">
        <v>102</v>
      </c>
      <c r="G133" s="145" t="s">
        <v>111</v>
      </c>
      <c r="H133" s="181">
        <f>'Inputs by network level'!K44</f>
        <v>0.12285067696991624</v>
      </c>
    </row>
    <row r="134" spans="3:44" s="160" customFormat="1" x14ac:dyDescent="0.25">
      <c r="F134" s="77" t="s">
        <v>103</v>
      </c>
      <c r="G134" s="38" t="s">
        <v>111</v>
      </c>
      <c r="H134" s="182">
        <f>'Inputs by network level'!K45</f>
        <v>0</v>
      </c>
    </row>
    <row r="135" spans="3:44" s="160" customFormat="1" x14ac:dyDescent="0.25">
      <c r="F135" s="85" t="s">
        <v>104</v>
      </c>
      <c r="G135" s="40" t="s">
        <v>111</v>
      </c>
      <c r="H135" s="187">
        <f>'Inputs by network level'!K46</f>
        <v>0.52666037470868921</v>
      </c>
    </row>
    <row r="136" spans="3:44" s="160" customFormat="1" x14ac:dyDescent="0.25">
      <c r="F136" s="84" t="s">
        <v>105</v>
      </c>
      <c r="G136" s="145" t="s">
        <v>111</v>
      </c>
      <c r="H136" s="116">
        <f>SUM(H132:H133) - H135</f>
        <v>0.47333962529131079</v>
      </c>
    </row>
    <row r="137" spans="3:44" s="160" customFormat="1" x14ac:dyDescent="0.25">
      <c r="F137" s="77" t="s">
        <v>103</v>
      </c>
      <c r="G137" s="38" t="s">
        <v>111</v>
      </c>
      <c r="H137" s="325">
        <f>H134</f>
        <v>0</v>
      </c>
    </row>
    <row r="138" spans="3:44" s="160" customFormat="1" x14ac:dyDescent="0.25">
      <c r="F138" s="152"/>
      <c r="G138" s="145"/>
      <c r="H138" s="167"/>
    </row>
    <row r="139" spans="3:44" s="160" customFormat="1" x14ac:dyDescent="0.25">
      <c r="E139" s="263" t="s">
        <v>806</v>
      </c>
      <c r="F139" s="167"/>
      <c r="G139" s="145"/>
      <c r="H139" s="167"/>
    </row>
    <row r="140" spans="3:44" s="160" customFormat="1" x14ac:dyDescent="0.25">
      <c r="F140" s="85" t="s">
        <v>373</v>
      </c>
      <c r="G140" s="40" t="s">
        <v>111</v>
      </c>
      <c r="H140" s="187">
        <f>'Inputs by network level'!L43</f>
        <v>0.81354690092946347</v>
      </c>
    </row>
    <row r="141" spans="3:44" s="160" customFormat="1" x14ac:dyDescent="0.25">
      <c r="F141" s="84" t="s">
        <v>374</v>
      </c>
      <c r="G141" s="145" t="s">
        <v>111</v>
      </c>
      <c r="H141" s="181">
        <f>'Inputs by network level'!L44</f>
        <v>0.18388800282969542</v>
      </c>
    </row>
    <row r="142" spans="3:44" s="160" customFormat="1" x14ac:dyDescent="0.25">
      <c r="F142" s="77" t="s">
        <v>103</v>
      </c>
      <c r="G142" s="38" t="s">
        <v>111</v>
      </c>
      <c r="H142" s="182">
        <f>'Inputs by network level'!L45</f>
        <v>2.5650962408412851E-3</v>
      </c>
    </row>
    <row r="143" spans="3:44" s="160" customFormat="1" x14ac:dyDescent="0.25">
      <c r="F143" s="85" t="s">
        <v>104</v>
      </c>
      <c r="G143" s="40" t="s">
        <v>111</v>
      </c>
      <c r="H143" s="187">
        <f>'Inputs by network level'!L46</f>
        <v>0.5883321234047395</v>
      </c>
    </row>
    <row r="144" spans="3:44" s="160" customFormat="1" x14ac:dyDescent="0.25">
      <c r="F144" s="84" t="s">
        <v>105</v>
      </c>
      <c r="G144" s="145" t="s">
        <v>111</v>
      </c>
      <c r="H144" s="116">
        <f>SUM(H140:H141) - H143</f>
        <v>0.40910278035441938</v>
      </c>
    </row>
    <row r="145" spans="5:8" s="160" customFormat="1" x14ac:dyDescent="0.25">
      <c r="F145" s="77" t="s">
        <v>103</v>
      </c>
      <c r="G145" s="38" t="s">
        <v>111</v>
      </c>
      <c r="H145" s="325">
        <f>H142</f>
        <v>2.5650962408412851E-3</v>
      </c>
    </row>
    <row r="146" spans="5:8" s="160" customFormat="1" x14ac:dyDescent="0.25">
      <c r="F146" s="152"/>
      <c r="G146" s="145"/>
      <c r="H146" s="167"/>
    </row>
    <row r="147" spans="5:8" s="160" customFormat="1" x14ac:dyDescent="0.25">
      <c r="E147" s="263" t="s">
        <v>807</v>
      </c>
      <c r="F147" s="167"/>
      <c r="G147" s="145"/>
      <c r="H147" s="167"/>
    </row>
    <row r="148" spans="5:8" s="160" customFormat="1" x14ac:dyDescent="0.25">
      <c r="F148" s="85" t="s">
        <v>373</v>
      </c>
      <c r="G148" s="40" t="s">
        <v>111</v>
      </c>
      <c r="H148" s="187">
        <f>'Inputs by network level'!M43</f>
        <v>0.81354690092946347</v>
      </c>
    </row>
    <row r="149" spans="5:8" s="160" customFormat="1" x14ac:dyDescent="0.25">
      <c r="F149" s="84" t="s">
        <v>374</v>
      </c>
      <c r="G149" s="145" t="s">
        <v>111</v>
      </c>
      <c r="H149" s="181">
        <f>'Inputs by network level'!M44</f>
        <v>0.18388800282969542</v>
      </c>
    </row>
    <row r="150" spans="5:8" s="160" customFormat="1" x14ac:dyDescent="0.25">
      <c r="F150" s="77" t="s">
        <v>103</v>
      </c>
      <c r="G150" s="38" t="s">
        <v>111</v>
      </c>
      <c r="H150" s="182">
        <f>'Inputs by network level'!M45</f>
        <v>2.5650962408412851E-3</v>
      </c>
    </row>
    <row r="151" spans="5:8" s="160" customFormat="1" x14ac:dyDescent="0.25">
      <c r="F151" s="85" t="s">
        <v>104</v>
      </c>
      <c r="G151" s="40" t="s">
        <v>111</v>
      </c>
      <c r="H151" s="187">
        <f>'Inputs by network level'!M46</f>
        <v>0.5883321234047395</v>
      </c>
    </row>
    <row r="152" spans="5:8" s="160" customFormat="1" x14ac:dyDescent="0.25">
      <c r="F152" s="84" t="s">
        <v>105</v>
      </c>
      <c r="G152" s="145" t="s">
        <v>111</v>
      </c>
      <c r="H152" s="116">
        <f>SUM(H148:H149) - H151</f>
        <v>0.40910278035441938</v>
      </c>
    </row>
    <row r="153" spans="5:8" s="160" customFormat="1" x14ac:dyDescent="0.25">
      <c r="F153" s="77" t="s">
        <v>103</v>
      </c>
      <c r="G153" s="38" t="s">
        <v>111</v>
      </c>
      <c r="H153" s="325">
        <f>H150</f>
        <v>2.5650962408412851E-3</v>
      </c>
    </row>
    <row r="154" spans="5:8" s="160" customFormat="1" x14ac:dyDescent="0.25">
      <c r="F154" s="152"/>
      <c r="G154" s="145"/>
      <c r="H154" s="167"/>
    </row>
    <row r="155" spans="5:8" s="160" customFormat="1" x14ac:dyDescent="0.25">
      <c r="E155" s="263" t="s">
        <v>808</v>
      </c>
      <c r="F155" s="167"/>
      <c r="G155" s="145"/>
      <c r="H155" s="167"/>
    </row>
    <row r="156" spans="5:8" s="160" customFormat="1" x14ac:dyDescent="0.25">
      <c r="F156" s="85" t="s">
        <v>373</v>
      </c>
      <c r="G156" s="40" t="s">
        <v>111</v>
      </c>
      <c r="H156" s="187">
        <f>'Inputs by network level'!N43</f>
        <v>0.64604237702390588</v>
      </c>
    </row>
    <row r="157" spans="5:8" s="160" customFormat="1" x14ac:dyDescent="0.25">
      <c r="F157" s="84" t="s">
        <v>374</v>
      </c>
      <c r="G157" s="145" t="s">
        <v>111</v>
      </c>
      <c r="H157" s="181">
        <f>'Inputs by network level'!N44</f>
        <v>0.33939627158356922</v>
      </c>
    </row>
    <row r="158" spans="5:8" s="160" customFormat="1" x14ac:dyDescent="0.25">
      <c r="F158" s="77" t="s">
        <v>103</v>
      </c>
      <c r="G158" s="38" t="s">
        <v>111</v>
      </c>
      <c r="H158" s="182">
        <f>'Inputs by network level'!N45</f>
        <v>1.4561351392524903E-2</v>
      </c>
    </row>
    <row r="159" spans="5:8" s="160" customFormat="1" x14ac:dyDescent="0.25">
      <c r="F159" s="85" t="s">
        <v>104</v>
      </c>
      <c r="G159" s="40" t="s">
        <v>111</v>
      </c>
      <c r="H159" s="187">
        <f>'Inputs by network level'!N46</f>
        <v>0.48656961006219612</v>
      </c>
    </row>
    <row r="160" spans="5:8" s="160" customFormat="1" x14ac:dyDescent="0.25">
      <c r="F160" s="84" t="s">
        <v>105</v>
      </c>
      <c r="G160" s="145" t="s">
        <v>111</v>
      </c>
      <c r="H160" s="116">
        <f>SUM(H156:H157) - H159</f>
        <v>0.49886903854527898</v>
      </c>
    </row>
    <row r="161" spans="5:8" s="160" customFormat="1" x14ac:dyDescent="0.25">
      <c r="F161" s="77" t="s">
        <v>103</v>
      </c>
      <c r="G161" s="38" t="s">
        <v>111</v>
      </c>
      <c r="H161" s="325">
        <f>H158</f>
        <v>1.4561351392524903E-2</v>
      </c>
    </row>
    <row r="162" spans="5:8" s="160" customFormat="1" x14ac:dyDescent="0.25">
      <c r="F162" s="152"/>
      <c r="G162" s="145"/>
      <c r="H162" s="167"/>
    </row>
    <row r="163" spans="5:8" s="160" customFormat="1" x14ac:dyDescent="0.25">
      <c r="E163" s="263" t="s">
        <v>809</v>
      </c>
      <c r="F163" s="167"/>
      <c r="G163" s="145"/>
      <c r="H163" s="167"/>
    </row>
    <row r="164" spans="5:8" s="160" customFormat="1" x14ac:dyDescent="0.25">
      <c r="F164" s="85" t="s">
        <v>373</v>
      </c>
      <c r="G164" s="40" t="s">
        <v>111</v>
      </c>
      <c r="H164" s="187">
        <f>'Inputs by network level'!O43</f>
        <v>0.64604237702390588</v>
      </c>
    </row>
    <row r="165" spans="5:8" s="160" customFormat="1" x14ac:dyDescent="0.25">
      <c r="F165" s="84" t="s">
        <v>374</v>
      </c>
      <c r="G165" s="145" t="s">
        <v>111</v>
      </c>
      <c r="H165" s="181">
        <f>'Inputs by network level'!O44</f>
        <v>0.33939627158356922</v>
      </c>
    </row>
    <row r="166" spans="5:8" s="160" customFormat="1" x14ac:dyDescent="0.25">
      <c r="F166" s="77" t="s">
        <v>103</v>
      </c>
      <c r="G166" s="38" t="s">
        <v>111</v>
      </c>
      <c r="H166" s="182">
        <f>'Inputs by network level'!O45</f>
        <v>1.4561351392524903E-2</v>
      </c>
    </row>
    <row r="167" spans="5:8" s="160" customFormat="1" x14ac:dyDescent="0.25">
      <c r="F167" s="85" t="s">
        <v>104</v>
      </c>
      <c r="G167" s="40" t="s">
        <v>111</v>
      </c>
      <c r="H167" s="187">
        <f>'Inputs by network level'!O46</f>
        <v>0.48656961006219612</v>
      </c>
    </row>
    <row r="168" spans="5:8" s="160" customFormat="1" x14ac:dyDescent="0.25">
      <c r="F168" s="84" t="s">
        <v>105</v>
      </c>
      <c r="G168" s="145" t="s">
        <v>111</v>
      </c>
      <c r="H168" s="116">
        <f>SUM(H164:H165) - H167</f>
        <v>0.49886903854527898</v>
      </c>
    </row>
    <row r="169" spans="5:8" s="160" customFormat="1" x14ac:dyDescent="0.25">
      <c r="F169" s="77" t="s">
        <v>103</v>
      </c>
      <c r="G169" s="38" t="s">
        <v>111</v>
      </c>
      <c r="H169" s="325">
        <f>H166</f>
        <v>1.4561351392524903E-2</v>
      </c>
    </row>
    <row r="170" spans="5:8" s="160" customFormat="1" x14ac:dyDescent="0.25">
      <c r="F170" s="152"/>
      <c r="G170" s="145"/>
      <c r="H170" s="167"/>
    </row>
    <row r="171" spans="5:8" s="160" customFormat="1" x14ac:dyDescent="0.25">
      <c r="E171" s="263" t="s">
        <v>810</v>
      </c>
      <c r="F171" s="167"/>
      <c r="G171" s="145"/>
      <c r="H171" s="167"/>
    </row>
    <row r="172" spans="5:8" s="160" customFormat="1" x14ac:dyDescent="0.25">
      <c r="F172" s="85" t="s">
        <v>373</v>
      </c>
      <c r="G172" s="40" t="s">
        <v>111</v>
      </c>
      <c r="H172" s="187">
        <f>'Inputs by network level'!P43</f>
        <v>0</v>
      </c>
    </row>
    <row r="173" spans="5:8" s="160" customFormat="1" x14ac:dyDescent="0.25">
      <c r="F173" s="84" t="s">
        <v>374</v>
      </c>
      <c r="G173" s="145" t="s">
        <v>111</v>
      </c>
      <c r="H173" s="181">
        <f>'Inputs by network level'!P44</f>
        <v>0</v>
      </c>
    </row>
    <row r="174" spans="5:8" s="160" customFormat="1" x14ac:dyDescent="0.25">
      <c r="F174" s="77" t="s">
        <v>103</v>
      </c>
      <c r="G174" s="38" t="s">
        <v>111</v>
      </c>
      <c r="H174" s="182">
        <f>'Inputs by network level'!P45</f>
        <v>0</v>
      </c>
    </row>
    <row r="175" spans="5:8" s="160" customFormat="1" x14ac:dyDescent="0.25">
      <c r="F175" s="85" t="s">
        <v>104</v>
      </c>
      <c r="G175" s="40" t="s">
        <v>111</v>
      </c>
      <c r="H175" s="187">
        <f>'Inputs by network level'!P46</f>
        <v>0</v>
      </c>
    </row>
    <row r="176" spans="5:8" s="160" customFormat="1" x14ac:dyDescent="0.25">
      <c r="F176" s="84" t="s">
        <v>105</v>
      </c>
      <c r="G176" s="145" t="s">
        <v>111</v>
      </c>
      <c r="H176" s="116">
        <f>SUM(H172:H173) - H175</f>
        <v>0</v>
      </c>
    </row>
    <row r="177" spans="5:8" s="160" customFormat="1" x14ac:dyDescent="0.25">
      <c r="F177" s="77" t="s">
        <v>103</v>
      </c>
      <c r="G177" s="38" t="s">
        <v>111</v>
      </c>
      <c r="H177" s="325">
        <f>H174</f>
        <v>0</v>
      </c>
    </row>
    <row r="178" spans="5:8" s="160" customFormat="1" x14ac:dyDescent="0.25">
      <c r="F178" s="152"/>
      <c r="G178" s="145"/>
      <c r="H178" s="167"/>
    </row>
    <row r="179" spans="5:8" s="160" customFormat="1" x14ac:dyDescent="0.25">
      <c r="E179" s="263" t="s">
        <v>811</v>
      </c>
      <c r="F179" s="167"/>
      <c r="G179" s="145"/>
      <c r="H179" s="167"/>
    </row>
    <row r="180" spans="5:8" s="160" customFormat="1" x14ac:dyDescent="0.25">
      <c r="F180" s="85" t="s">
        <v>373</v>
      </c>
      <c r="G180" s="40" t="s">
        <v>111</v>
      </c>
      <c r="H180" s="187">
        <f>'Inputs by network level'!Q43</f>
        <v>0.42663341792505066</v>
      </c>
    </row>
    <row r="181" spans="5:8" s="160" customFormat="1" x14ac:dyDescent="0.25">
      <c r="F181" s="84" t="s">
        <v>374</v>
      </c>
      <c r="G181" s="145" t="s">
        <v>111</v>
      </c>
      <c r="H181" s="181">
        <f>'Inputs by network level'!Q44</f>
        <v>0.5416472134423479</v>
      </c>
    </row>
    <row r="182" spans="5:8" s="160" customFormat="1" x14ac:dyDescent="0.25">
      <c r="F182" s="77" t="s">
        <v>103</v>
      </c>
      <c r="G182" s="38" t="s">
        <v>111</v>
      </c>
      <c r="H182" s="182">
        <f>'Inputs by network level'!Q45</f>
        <v>3.1719368632601504E-2</v>
      </c>
    </row>
    <row r="183" spans="5:8" s="160" customFormat="1" x14ac:dyDescent="0.25">
      <c r="F183" s="85" t="s">
        <v>104</v>
      </c>
      <c r="G183" s="40" t="s">
        <v>111</v>
      </c>
      <c r="H183" s="187">
        <f>'Inputs by network level'!Q46</f>
        <v>0.29903860265532539</v>
      </c>
    </row>
    <row r="184" spans="5:8" s="160" customFormat="1" x14ac:dyDescent="0.25">
      <c r="F184" s="84" t="s">
        <v>105</v>
      </c>
      <c r="G184" s="145" t="s">
        <v>111</v>
      </c>
      <c r="H184" s="116">
        <f>SUM(H180:H181) - H183</f>
        <v>0.66924202871207328</v>
      </c>
    </row>
    <row r="185" spans="5:8" s="160" customFormat="1" x14ac:dyDescent="0.25">
      <c r="F185" s="77" t="s">
        <v>103</v>
      </c>
      <c r="G185" s="38" t="s">
        <v>111</v>
      </c>
      <c r="H185" s="325">
        <f>H182</f>
        <v>3.1719368632601504E-2</v>
      </c>
    </row>
    <row r="186" spans="5:8" s="160" customFormat="1" x14ac:dyDescent="0.25">
      <c r="F186" s="152"/>
      <c r="G186" s="145"/>
      <c r="H186" s="167"/>
    </row>
    <row r="187" spans="5:8" s="160" customFormat="1" x14ac:dyDescent="0.25">
      <c r="E187" s="263" t="s">
        <v>812</v>
      </c>
      <c r="F187" s="167"/>
      <c r="G187" s="145"/>
      <c r="H187" s="167"/>
    </row>
    <row r="188" spans="5:8" s="160" customFormat="1" x14ac:dyDescent="0.25">
      <c r="F188" s="85" t="s">
        <v>373</v>
      </c>
      <c r="G188" s="40" t="s">
        <v>111</v>
      </c>
      <c r="H188" s="187">
        <f>'Inputs by network level'!R43</f>
        <v>0.42663341792505066</v>
      </c>
    </row>
    <row r="189" spans="5:8" s="160" customFormat="1" x14ac:dyDescent="0.25">
      <c r="F189" s="84" t="s">
        <v>374</v>
      </c>
      <c r="G189" s="145" t="s">
        <v>111</v>
      </c>
      <c r="H189" s="181">
        <f>'Inputs by network level'!R44</f>
        <v>0.5416472134423479</v>
      </c>
    </row>
    <row r="190" spans="5:8" s="160" customFormat="1" x14ac:dyDescent="0.25">
      <c r="F190" s="77" t="s">
        <v>103</v>
      </c>
      <c r="G190" s="38" t="s">
        <v>111</v>
      </c>
      <c r="H190" s="182">
        <f>'Inputs by network level'!R45</f>
        <v>3.1719368632601504E-2</v>
      </c>
    </row>
    <row r="191" spans="5:8" s="160" customFormat="1" x14ac:dyDescent="0.25">
      <c r="F191" s="85" t="s">
        <v>104</v>
      </c>
      <c r="G191" s="40" t="s">
        <v>111</v>
      </c>
      <c r="H191" s="187">
        <f>'Inputs by network level'!R46</f>
        <v>0.29903860265532539</v>
      </c>
    </row>
    <row r="192" spans="5:8" s="160" customFormat="1" x14ac:dyDescent="0.25">
      <c r="F192" s="84" t="s">
        <v>105</v>
      </c>
      <c r="G192" s="145" t="s">
        <v>111</v>
      </c>
      <c r="H192" s="116">
        <f>SUM(H188:H189) - H191</f>
        <v>0.66924202871207328</v>
      </c>
    </row>
    <row r="193" spans="3:44" s="160" customFormat="1" x14ac:dyDescent="0.25">
      <c r="F193" s="77" t="s">
        <v>103</v>
      </c>
      <c r="G193" s="38" t="s">
        <v>111</v>
      </c>
      <c r="H193" s="325">
        <f>H190</f>
        <v>3.1719368632601504E-2</v>
      </c>
    </row>
    <row r="194" spans="3:44" s="160" customFormat="1" x14ac:dyDescent="0.25">
      <c r="F194" s="152"/>
      <c r="G194" s="145"/>
      <c r="H194" s="167"/>
    </row>
    <row r="195" spans="3:44" s="160" customFormat="1" x14ac:dyDescent="0.25">
      <c r="E195" s="263" t="s">
        <v>813</v>
      </c>
      <c r="F195" s="167"/>
      <c r="G195" s="145"/>
      <c r="H195" s="167"/>
    </row>
    <row r="196" spans="3:44" s="160" customFormat="1" x14ac:dyDescent="0.25">
      <c r="F196" s="85" t="s">
        <v>373</v>
      </c>
      <c r="G196" s="40" t="s">
        <v>111</v>
      </c>
      <c r="H196" s="187">
        <f>'Inputs by network level'!S43</f>
        <v>0.42663341792505066</v>
      </c>
    </row>
    <row r="197" spans="3:44" s="160" customFormat="1" x14ac:dyDescent="0.25">
      <c r="F197" s="84" t="s">
        <v>374</v>
      </c>
      <c r="G197" s="145" t="s">
        <v>111</v>
      </c>
      <c r="H197" s="181">
        <f>'Inputs by network level'!S44</f>
        <v>0.5416472134423479</v>
      </c>
    </row>
    <row r="198" spans="3:44" s="160" customFormat="1" x14ac:dyDescent="0.25">
      <c r="F198" s="77" t="s">
        <v>103</v>
      </c>
      <c r="G198" s="38" t="s">
        <v>111</v>
      </c>
      <c r="H198" s="182">
        <f>'Inputs by network level'!S45</f>
        <v>3.1719368632601504E-2</v>
      </c>
    </row>
    <row r="199" spans="3:44" s="160" customFormat="1" x14ac:dyDescent="0.25">
      <c r="F199" s="85" t="s">
        <v>104</v>
      </c>
      <c r="G199" s="40" t="s">
        <v>111</v>
      </c>
      <c r="H199" s="187">
        <f>'Inputs by network level'!S46</f>
        <v>0.29903860265532539</v>
      </c>
    </row>
    <row r="200" spans="3:44" s="160" customFormat="1" x14ac:dyDescent="0.25">
      <c r="F200" s="84" t="s">
        <v>105</v>
      </c>
      <c r="G200" s="145" t="s">
        <v>111</v>
      </c>
      <c r="H200" s="116">
        <f>SUM(H196:H197) - H199</f>
        <v>0.66924202871207328</v>
      </c>
      <c r="R200" s="165"/>
    </row>
    <row r="201" spans="3:44" s="160" customFormat="1" x14ac:dyDescent="0.25">
      <c r="F201" s="77" t="s">
        <v>103</v>
      </c>
      <c r="G201" s="38" t="s">
        <v>111</v>
      </c>
      <c r="H201" s="325">
        <f>H198</f>
        <v>3.1719368632601504E-2</v>
      </c>
    </row>
    <row r="202" spans="3:44" s="160" customFormat="1" x14ac:dyDescent="0.25">
      <c r="E202" s="152"/>
      <c r="F202" s="145"/>
      <c r="G202" s="145"/>
      <c r="H202" s="167"/>
    </row>
    <row r="203" spans="3:44" s="160" customFormat="1" x14ac:dyDescent="0.25">
      <c r="C203" s="22" t="str">
        <f ca="1">INDEX('Version control'!$H$34:$H$59,MATCH($A$1,'Version control'!$F$34:$F$59,0),1)&amp;"-I: Peaking probabilities, by network level and customer type"</f>
        <v>Section 508-I: Peaking probabilities, by network level and customer type</v>
      </c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</row>
    <row r="204" spans="3:44" s="160" customFormat="1" x14ac:dyDescent="0.25">
      <c r="AA204" s="11"/>
      <c r="AB204" s="11"/>
    </row>
    <row r="205" spans="3:44" s="88" customFormat="1" x14ac:dyDescent="0.25">
      <c r="E205" s="172" t="s">
        <v>805</v>
      </c>
      <c r="F205" s="167"/>
      <c r="G205" s="145"/>
      <c r="H205" s="167"/>
      <c r="I205" s="167"/>
      <c r="J205" s="167"/>
      <c r="K205" s="167"/>
      <c r="L205" s="167"/>
      <c r="M205" s="167"/>
      <c r="N205" s="167"/>
      <c r="O205" s="167"/>
      <c r="P205" s="167"/>
      <c r="Q205" s="167"/>
      <c r="R205" s="167"/>
      <c r="S205" s="167"/>
      <c r="T205" s="167"/>
      <c r="U205" s="167"/>
      <c r="V205" s="167"/>
      <c r="W205" s="167"/>
      <c r="X205" s="167"/>
      <c r="Y205" s="167"/>
      <c r="Z205" s="167"/>
      <c r="AA205" s="167"/>
      <c r="AB205" s="167"/>
      <c r="AC205" s="167"/>
      <c r="AD205" s="167"/>
      <c r="AE205" s="167"/>
      <c r="AF205" s="167"/>
      <c r="AG205" s="167"/>
      <c r="AH205" s="167"/>
      <c r="AI205" s="167"/>
      <c r="AJ205" s="167"/>
      <c r="AK205" s="167"/>
      <c r="AL205" s="167"/>
      <c r="AM205" s="167"/>
      <c r="AN205" s="167"/>
      <c r="AO205" s="167"/>
      <c r="AP205" s="167"/>
    </row>
    <row r="206" spans="3:44" s="88" customFormat="1" x14ac:dyDescent="0.25">
      <c r="E206" s="152"/>
      <c r="F206" s="85" t="s">
        <v>373</v>
      </c>
      <c r="G206" s="40" t="s">
        <v>111</v>
      </c>
      <c r="H206" s="187"/>
      <c r="I206" s="166"/>
      <c r="J206" s="322">
        <f t="shared" ref="J206:AP206" si="22">IF(J$24, $H135, $H132)</f>
        <v>0.87714932303008375</v>
      </c>
      <c r="K206" s="322">
        <f t="shared" si="22"/>
        <v>0.87714932303008375</v>
      </c>
      <c r="L206" s="322">
        <f t="shared" si="22"/>
        <v>0.87714932303008375</v>
      </c>
      <c r="M206" s="322">
        <f t="shared" si="22"/>
        <v>0.87714932303008375</v>
      </c>
      <c r="N206" s="322">
        <f t="shared" si="22"/>
        <v>0.87714932303008375</v>
      </c>
      <c r="O206" s="322">
        <f t="shared" si="22"/>
        <v>0.87714932303008375</v>
      </c>
      <c r="P206" s="322">
        <f t="shared" si="22"/>
        <v>0.87714932303008375</v>
      </c>
      <c r="Q206" s="322">
        <f t="shared" si="22"/>
        <v>0.87714932303008375</v>
      </c>
      <c r="R206" s="322">
        <f t="shared" si="22"/>
        <v>0.87714932303008375</v>
      </c>
      <c r="S206" s="322">
        <f t="shared" si="22"/>
        <v>0.87714932303008375</v>
      </c>
      <c r="T206" s="322">
        <f t="shared" si="22"/>
        <v>0.87714932303008375</v>
      </c>
      <c r="U206" s="322">
        <f t="shared" si="22"/>
        <v>0.87714932303008375</v>
      </c>
      <c r="V206" s="322">
        <f t="shared" si="22"/>
        <v>0.87714932303008375</v>
      </c>
      <c r="W206" s="322">
        <f t="shared" si="22"/>
        <v>0.87714932303008375</v>
      </c>
      <c r="X206" s="322">
        <f t="shared" si="22"/>
        <v>0.52666037470868921</v>
      </c>
      <c r="Y206" s="322">
        <f t="shared" si="22"/>
        <v>0.52666037470868921</v>
      </c>
      <c r="Z206" s="322">
        <f t="shared" si="22"/>
        <v>0.52666037470868921</v>
      </c>
      <c r="AA206" s="322">
        <f t="shared" si="22"/>
        <v>0.52666037470868921</v>
      </c>
      <c r="AB206" s="322">
        <f t="shared" si="22"/>
        <v>0.52666037470868921</v>
      </c>
      <c r="AC206" s="322">
        <f t="shared" si="22"/>
        <v>0.87714932303008375</v>
      </c>
      <c r="AD206" s="322">
        <f t="shared" si="22"/>
        <v>0.87714932303008375</v>
      </c>
      <c r="AE206" s="322">
        <f t="shared" si="22"/>
        <v>0.87714932303008375</v>
      </c>
      <c r="AF206" s="322">
        <f t="shared" si="22"/>
        <v>0.87714932303008375</v>
      </c>
      <c r="AG206" s="322">
        <f t="shared" si="22"/>
        <v>0.87714932303008375</v>
      </c>
      <c r="AH206" s="322">
        <f t="shared" si="22"/>
        <v>0.87714932303008375</v>
      </c>
      <c r="AI206" s="322">
        <f t="shared" si="22"/>
        <v>0.87714932303008375</v>
      </c>
      <c r="AJ206" s="322">
        <f t="shared" si="22"/>
        <v>0.87714932303008375</v>
      </c>
      <c r="AK206" s="322">
        <f t="shared" si="22"/>
        <v>0.87714932303008375</v>
      </c>
      <c r="AL206" s="322">
        <f t="shared" si="22"/>
        <v>0.87714932303008375</v>
      </c>
      <c r="AM206" s="322">
        <f t="shared" si="22"/>
        <v>0.87714932303008375</v>
      </c>
      <c r="AN206" s="322">
        <f t="shared" si="22"/>
        <v>0.87714932303008375</v>
      </c>
      <c r="AO206" s="322">
        <f t="shared" si="22"/>
        <v>0.87714932303008375</v>
      </c>
      <c r="AP206" s="322">
        <f t="shared" si="22"/>
        <v>0.87714932303008375</v>
      </c>
    </row>
    <row r="207" spans="3:44" s="88" customFormat="1" x14ac:dyDescent="0.25">
      <c r="E207" s="152"/>
      <c r="F207" s="84" t="s">
        <v>374</v>
      </c>
      <c r="G207" s="145" t="s">
        <v>111</v>
      </c>
      <c r="H207" s="181"/>
      <c r="I207" s="339"/>
      <c r="J207" s="321">
        <f t="shared" ref="J207:AP207" si="23">IF(J$24, $H136, $H133)</f>
        <v>0.12285067696991624</v>
      </c>
      <c r="K207" s="321">
        <f t="shared" si="23"/>
        <v>0.12285067696991624</v>
      </c>
      <c r="L207" s="321">
        <f t="shared" si="23"/>
        <v>0.12285067696991624</v>
      </c>
      <c r="M207" s="321">
        <f t="shared" si="23"/>
        <v>0.12285067696991624</v>
      </c>
      <c r="N207" s="321">
        <f t="shared" si="23"/>
        <v>0.12285067696991624</v>
      </c>
      <c r="O207" s="321">
        <f t="shared" si="23"/>
        <v>0.12285067696991624</v>
      </c>
      <c r="P207" s="321">
        <f t="shared" si="23"/>
        <v>0.12285067696991624</v>
      </c>
      <c r="Q207" s="321">
        <f t="shared" si="23"/>
        <v>0.12285067696991624</v>
      </c>
      <c r="R207" s="321">
        <f t="shared" si="23"/>
        <v>0.12285067696991624</v>
      </c>
      <c r="S207" s="321">
        <f t="shared" si="23"/>
        <v>0.12285067696991624</v>
      </c>
      <c r="T207" s="321">
        <f t="shared" si="23"/>
        <v>0.12285067696991624</v>
      </c>
      <c r="U207" s="321">
        <f t="shared" si="23"/>
        <v>0.12285067696991624</v>
      </c>
      <c r="V207" s="321">
        <f t="shared" si="23"/>
        <v>0.12285067696991624</v>
      </c>
      <c r="W207" s="321">
        <f t="shared" si="23"/>
        <v>0.12285067696991624</v>
      </c>
      <c r="X207" s="321">
        <f t="shared" si="23"/>
        <v>0.47333962529131079</v>
      </c>
      <c r="Y207" s="321">
        <f t="shared" si="23"/>
        <v>0.47333962529131079</v>
      </c>
      <c r="Z207" s="321">
        <f t="shared" si="23"/>
        <v>0.47333962529131079</v>
      </c>
      <c r="AA207" s="321">
        <f t="shared" si="23"/>
        <v>0.47333962529131079</v>
      </c>
      <c r="AB207" s="321">
        <f t="shared" si="23"/>
        <v>0.47333962529131079</v>
      </c>
      <c r="AC207" s="321">
        <f t="shared" si="23"/>
        <v>0.12285067696991624</v>
      </c>
      <c r="AD207" s="321">
        <f t="shared" si="23"/>
        <v>0.12285067696991624</v>
      </c>
      <c r="AE207" s="321">
        <f t="shared" si="23"/>
        <v>0.12285067696991624</v>
      </c>
      <c r="AF207" s="321">
        <f t="shared" si="23"/>
        <v>0.12285067696991624</v>
      </c>
      <c r="AG207" s="321">
        <f t="shared" si="23"/>
        <v>0.12285067696991624</v>
      </c>
      <c r="AH207" s="321">
        <f t="shared" si="23"/>
        <v>0.12285067696991624</v>
      </c>
      <c r="AI207" s="321">
        <f t="shared" si="23"/>
        <v>0.12285067696991624</v>
      </c>
      <c r="AJ207" s="321">
        <f t="shared" si="23"/>
        <v>0.12285067696991624</v>
      </c>
      <c r="AK207" s="321">
        <f t="shared" si="23"/>
        <v>0.12285067696991624</v>
      </c>
      <c r="AL207" s="321">
        <f t="shared" si="23"/>
        <v>0.12285067696991624</v>
      </c>
      <c r="AM207" s="321">
        <f t="shared" si="23"/>
        <v>0.12285067696991624</v>
      </c>
      <c r="AN207" s="321">
        <f t="shared" si="23"/>
        <v>0.12285067696991624</v>
      </c>
      <c r="AO207" s="321">
        <f t="shared" si="23"/>
        <v>0.12285067696991624</v>
      </c>
      <c r="AP207" s="321">
        <f t="shared" si="23"/>
        <v>0.12285067696991624</v>
      </c>
    </row>
    <row r="208" spans="3:44" s="88" customFormat="1" x14ac:dyDescent="0.25">
      <c r="E208" s="152"/>
      <c r="F208" s="77" t="s">
        <v>103</v>
      </c>
      <c r="G208" s="38" t="s">
        <v>111</v>
      </c>
      <c r="H208" s="182"/>
      <c r="I208" s="168"/>
      <c r="J208" s="323">
        <f t="shared" ref="J208:AP208" si="24">IF(J$24, $H137, $H134)</f>
        <v>0</v>
      </c>
      <c r="K208" s="323">
        <f t="shared" si="24"/>
        <v>0</v>
      </c>
      <c r="L208" s="323">
        <f t="shared" si="24"/>
        <v>0</v>
      </c>
      <c r="M208" s="323">
        <f t="shared" si="24"/>
        <v>0</v>
      </c>
      <c r="N208" s="323">
        <f t="shared" si="24"/>
        <v>0</v>
      </c>
      <c r="O208" s="323">
        <f t="shared" si="24"/>
        <v>0</v>
      </c>
      <c r="P208" s="323">
        <f t="shared" si="24"/>
        <v>0</v>
      </c>
      <c r="Q208" s="323">
        <f t="shared" si="24"/>
        <v>0</v>
      </c>
      <c r="R208" s="323">
        <f t="shared" si="24"/>
        <v>0</v>
      </c>
      <c r="S208" s="323">
        <f t="shared" si="24"/>
        <v>0</v>
      </c>
      <c r="T208" s="323">
        <f t="shared" si="24"/>
        <v>0</v>
      </c>
      <c r="U208" s="323">
        <f t="shared" si="24"/>
        <v>0</v>
      </c>
      <c r="V208" s="323">
        <f t="shared" si="24"/>
        <v>0</v>
      </c>
      <c r="W208" s="323">
        <f t="shared" si="24"/>
        <v>0</v>
      </c>
      <c r="X208" s="323">
        <f t="shared" si="24"/>
        <v>0</v>
      </c>
      <c r="Y208" s="323">
        <f t="shared" si="24"/>
        <v>0</v>
      </c>
      <c r="Z208" s="323">
        <f t="shared" si="24"/>
        <v>0</v>
      </c>
      <c r="AA208" s="323">
        <f t="shared" si="24"/>
        <v>0</v>
      </c>
      <c r="AB208" s="323">
        <f t="shared" si="24"/>
        <v>0</v>
      </c>
      <c r="AC208" s="323">
        <f t="shared" si="24"/>
        <v>0</v>
      </c>
      <c r="AD208" s="323">
        <f t="shared" si="24"/>
        <v>0</v>
      </c>
      <c r="AE208" s="323">
        <f t="shared" si="24"/>
        <v>0</v>
      </c>
      <c r="AF208" s="323">
        <f t="shared" si="24"/>
        <v>0</v>
      </c>
      <c r="AG208" s="323">
        <f t="shared" si="24"/>
        <v>0</v>
      </c>
      <c r="AH208" s="323">
        <f t="shared" si="24"/>
        <v>0</v>
      </c>
      <c r="AI208" s="323">
        <f t="shared" si="24"/>
        <v>0</v>
      </c>
      <c r="AJ208" s="323">
        <f t="shared" si="24"/>
        <v>0</v>
      </c>
      <c r="AK208" s="323">
        <f t="shared" si="24"/>
        <v>0</v>
      </c>
      <c r="AL208" s="323">
        <f t="shared" si="24"/>
        <v>0</v>
      </c>
      <c r="AM208" s="323">
        <f t="shared" si="24"/>
        <v>0</v>
      </c>
      <c r="AN208" s="323">
        <f t="shared" si="24"/>
        <v>0</v>
      </c>
      <c r="AO208" s="323">
        <f t="shared" si="24"/>
        <v>0</v>
      </c>
      <c r="AP208" s="323">
        <f t="shared" si="24"/>
        <v>0</v>
      </c>
    </row>
    <row r="209" spans="5:42" s="160" customFormat="1" x14ac:dyDescent="0.25">
      <c r="E209" s="152"/>
      <c r="F209" s="84"/>
      <c r="G209" s="145"/>
      <c r="H209" s="181"/>
      <c r="I209" s="167"/>
      <c r="J209" s="321"/>
      <c r="K209" s="321"/>
      <c r="L209" s="321"/>
      <c r="M209" s="321"/>
      <c r="N209" s="321"/>
      <c r="O209" s="321"/>
      <c r="P209" s="321"/>
      <c r="Q209" s="321"/>
      <c r="R209" s="321"/>
      <c r="S209" s="321"/>
      <c r="T209" s="321"/>
      <c r="U209" s="321"/>
      <c r="V209" s="321"/>
      <c r="W209" s="321"/>
      <c r="X209" s="321"/>
      <c r="Y209" s="321"/>
      <c r="Z209" s="321"/>
      <c r="AA209" s="321"/>
      <c r="AB209" s="321"/>
      <c r="AC209" s="321"/>
      <c r="AD209" s="321"/>
      <c r="AE209" s="321"/>
      <c r="AF209" s="321"/>
      <c r="AG209" s="321"/>
      <c r="AH209" s="321"/>
      <c r="AI209" s="321"/>
      <c r="AJ209" s="321"/>
      <c r="AK209" s="321"/>
      <c r="AL209" s="321"/>
      <c r="AM209" s="321"/>
      <c r="AN209" s="321"/>
      <c r="AO209" s="321"/>
      <c r="AP209" s="321"/>
    </row>
    <row r="210" spans="5:42" s="88" customFormat="1" x14ac:dyDescent="0.25">
      <c r="E210" s="172" t="s">
        <v>806</v>
      </c>
      <c r="F210" s="167"/>
      <c r="G210" s="145"/>
      <c r="H210" s="167"/>
      <c r="I210" s="167"/>
      <c r="J210" s="167"/>
      <c r="K210" s="167"/>
      <c r="L210" s="167"/>
      <c r="M210" s="167"/>
      <c r="N210" s="167"/>
      <c r="O210" s="167"/>
      <c r="P210" s="167"/>
      <c r="Q210" s="167"/>
      <c r="R210" s="167"/>
      <c r="S210" s="167"/>
      <c r="T210" s="167"/>
      <c r="U210" s="167"/>
      <c r="V210" s="167"/>
      <c r="W210" s="167"/>
      <c r="X210" s="167"/>
      <c r="Y210" s="167"/>
      <c r="Z210" s="167"/>
      <c r="AA210" s="167"/>
      <c r="AB210" s="167"/>
      <c r="AC210" s="167"/>
      <c r="AD210" s="167"/>
      <c r="AE210" s="167"/>
      <c r="AF210" s="167"/>
      <c r="AG210" s="167"/>
      <c r="AH210" s="167"/>
      <c r="AI210" s="167"/>
      <c r="AJ210" s="167"/>
      <c r="AK210" s="167"/>
      <c r="AL210" s="167"/>
      <c r="AM210" s="167"/>
      <c r="AN210" s="167"/>
      <c r="AO210" s="167"/>
      <c r="AP210" s="167"/>
    </row>
    <row r="211" spans="5:42" s="88" customFormat="1" x14ac:dyDescent="0.25">
      <c r="E211" s="152"/>
      <c r="F211" s="85" t="s">
        <v>373</v>
      </c>
      <c r="G211" s="40" t="s">
        <v>111</v>
      </c>
      <c r="H211" s="187"/>
      <c r="I211" s="166"/>
      <c r="J211" s="322">
        <f t="shared" ref="J211:AP211" si="25">IF(J$24, $H143, $H140)</f>
        <v>0.81354690092946347</v>
      </c>
      <c r="K211" s="322">
        <f t="shared" si="25"/>
        <v>0.81354690092946347</v>
      </c>
      <c r="L211" s="322">
        <f t="shared" si="25"/>
        <v>0.81354690092946347</v>
      </c>
      <c r="M211" s="322">
        <f t="shared" si="25"/>
        <v>0.81354690092946347</v>
      </c>
      <c r="N211" s="322">
        <f t="shared" si="25"/>
        <v>0.81354690092946347</v>
      </c>
      <c r="O211" s="322">
        <f t="shared" si="25"/>
        <v>0.81354690092946347</v>
      </c>
      <c r="P211" s="322">
        <f t="shared" si="25"/>
        <v>0.81354690092946347</v>
      </c>
      <c r="Q211" s="322">
        <f t="shared" si="25"/>
        <v>0.81354690092946347</v>
      </c>
      <c r="R211" s="322">
        <f t="shared" si="25"/>
        <v>0.81354690092946347</v>
      </c>
      <c r="S211" s="322">
        <f t="shared" si="25"/>
        <v>0.81354690092946347</v>
      </c>
      <c r="T211" s="322">
        <f t="shared" si="25"/>
        <v>0.81354690092946347</v>
      </c>
      <c r="U211" s="322">
        <f t="shared" si="25"/>
        <v>0.81354690092946347</v>
      </c>
      <c r="V211" s="322">
        <f t="shared" si="25"/>
        <v>0.81354690092946347</v>
      </c>
      <c r="W211" s="322">
        <f t="shared" si="25"/>
        <v>0.81354690092946347</v>
      </c>
      <c r="X211" s="322">
        <f t="shared" si="25"/>
        <v>0.5883321234047395</v>
      </c>
      <c r="Y211" s="322">
        <f t="shared" si="25"/>
        <v>0.5883321234047395</v>
      </c>
      <c r="Z211" s="322">
        <f t="shared" si="25"/>
        <v>0.5883321234047395</v>
      </c>
      <c r="AA211" s="322">
        <f t="shared" si="25"/>
        <v>0.5883321234047395</v>
      </c>
      <c r="AB211" s="322">
        <f t="shared" si="25"/>
        <v>0.5883321234047395</v>
      </c>
      <c r="AC211" s="322">
        <f t="shared" si="25"/>
        <v>0.81354690092946347</v>
      </c>
      <c r="AD211" s="322">
        <f t="shared" si="25"/>
        <v>0.81354690092946347</v>
      </c>
      <c r="AE211" s="322">
        <f t="shared" si="25"/>
        <v>0.81354690092946347</v>
      </c>
      <c r="AF211" s="322">
        <f t="shared" si="25"/>
        <v>0.81354690092946347</v>
      </c>
      <c r="AG211" s="322">
        <f t="shared" si="25"/>
        <v>0.81354690092946347</v>
      </c>
      <c r="AH211" s="322">
        <f t="shared" si="25"/>
        <v>0.81354690092946347</v>
      </c>
      <c r="AI211" s="322">
        <f t="shared" si="25"/>
        <v>0.81354690092946347</v>
      </c>
      <c r="AJ211" s="322">
        <f t="shared" si="25"/>
        <v>0.81354690092946347</v>
      </c>
      <c r="AK211" s="322">
        <f t="shared" si="25"/>
        <v>0.81354690092946347</v>
      </c>
      <c r="AL211" s="322">
        <f t="shared" si="25"/>
        <v>0.81354690092946347</v>
      </c>
      <c r="AM211" s="322">
        <f t="shared" si="25"/>
        <v>0.81354690092946347</v>
      </c>
      <c r="AN211" s="322">
        <f t="shared" si="25"/>
        <v>0.81354690092946347</v>
      </c>
      <c r="AO211" s="322">
        <f t="shared" si="25"/>
        <v>0.81354690092946347</v>
      </c>
      <c r="AP211" s="322">
        <f t="shared" si="25"/>
        <v>0.81354690092946347</v>
      </c>
    </row>
    <row r="212" spans="5:42" s="88" customFormat="1" x14ac:dyDescent="0.25">
      <c r="E212" s="152"/>
      <c r="F212" s="84" t="s">
        <v>374</v>
      </c>
      <c r="G212" s="145" t="s">
        <v>111</v>
      </c>
      <c r="H212" s="181"/>
      <c r="I212" s="339"/>
      <c r="J212" s="321">
        <f t="shared" ref="J212:AP212" si="26">IF(J$24, $H144, $H141)</f>
        <v>0.18388800282969542</v>
      </c>
      <c r="K212" s="321">
        <f t="shared" si="26"/>
        <v>0.18388800282969542</v>
      </c>
      <c r="L212" s="321">
        <f t="shared" si="26"/>
        <v>0.18388800282969542</v>
      </c>
      <c r="M212" s="321">
        <f t="shared" si="26"/>
        <v>0.18388800282969542</v>
      </c>
      <c r="N212" s="321">
        <f t="shared" si="26"/>
        <v>0.18388800282969542</v>
      </c>
      <c r="O212" s="321">
        <f t="shared" si="26"/>
        <v>0.18388800282969542</v>
      </c>
      <c r="P212" s="321">
        <f t="shared" si="26"/>
        <v>0.18388800282969542</v>
      </c>
      <c r="Q212" s="321">
        <f t="shared" si="26"/>
        <v>0.18388800282969542</v>
      </c>
      <c r="R212" s="321">
        <f t="shared" si="26"/>
        <v>0.18388800282969542</v>
      </c>
      <c r="S212" s="321">
        <f t="shared" si="26"/>
        <v>0.18388800282969542</v>
      </c>
      <c r="T212" s="321">
        <f t="shared" si="26"/>
        <v>0.18388800282969542</v>
      </c>
      <c r="U212" s="321">
        <f t="shared" si="26"/>
        <v>0.18388800282969542</v>
      </c>
      <c r="V212" s="321">
        <f t="shared" si="26"/>
        <v>0.18388800282969542</v>
      </c>
      <c r="W212" s="321">
        <f t="shared" si="26"/>
        <v>0.18388800282969542</v>
      </c>
      <c r="X212" s="321">
        <f t="shared" si="26"/>
        <v>0.40910278035441938</v>
      </c>
      <c r="Y212" s="321">
        <f t="shared" si="26"/>
        <v>0.40910278035441938</v>
      </c>
      <c r="Z212" s="321">
        <f t="shared" si="26"/>
        <v>0.40910278035441938</v>
      </c>
      <c r="AA212" s="321">
        <f t="shared" si="26"/>
        <v>0.40910278035441938</v>
      </c>
      <c r="AB212" s="321">
        <f t="shared" si="26"/>
        <v>0.40910278035441938</v>
      </c>
      <c r="AC212" s="321">
        <f t="shared" si="26"/>
        <v>0.18388800282969542</v>
      </c>
      <c r="AD212" s="321">
        <f t="shared" si="26"/>
        <v>0.18388800282969542</v>
      </c>
      <c r="AE212" s="321">
        <f t="shared" si="26"/>
        <v>0.18388800282969542</v>
      </c>
      <c r="AF212" s="321">
        <f t="shared" si="26"/>
        <v>0.18388800282969542</v>
      </c>
      <c r="AG212" s="321">
        <f t="shared" si="26"/>
        <v>0.18388800282969542</v>
      </c>
      <c r="AH212" s="321">
        <f t="shared" si="26"/>
        <v>0.18388800282969542</v>
      </c>
      <c r="AI212" s="321">
        <f t="shared" si="26"/>
        <v>0.18388800282969542</v>
      </c>
      <c r="AJ212" s="321">
        <f t="shared" si="26"/>
        <v>0.18388800282969542</v>
      </c>
      <c r="AK212" s="321">
        <f t="shared" si="26"/>
        <v>0.18388800282969542</v>
      </c>
      <c r="AL212" s="321">
        <f t="shared" si="26"/>
        <v>0.18388800282969542</v>
      </c>
      <c r="AM212" s="321">
        <f t="shared" si="26"/>
        <v>0.18388800282969542</v>
      </c>
      <c r="AN212" s="321">
        <f t="shared" si="26"/>
        <v>0.18388800282969542</v>
      </c>
      <c r="AO212" s="321">
        <f t="shared" si="26"/>
        <v>0.18388800282969542</v>
      </c>
      <c r="AP212" s="321">
        <f t="shared" si="26"/>
        <v>0.18388800282969542</v>
      </c>
    </row>
    <row r="213" spans="5:42" s="88" customFormat="1" x14ac:dyDescent="0.25">
      <c r="E213" s="152"/>
      <c r="F213" s="77" t="s">
        <v>103</v>
      </c>
      <c r="G213" s="38" t="s">
        <v>111</v>
      </c>
      <c r="H213" s="182"/>
      <c r="I213" s="168"/>
      <c r="J213" s="323">
        <f t="shared" ref="J213:AP213" si="27">IF(J$24, $H145, $H142)</f>
        <v>2.5650962408412851E-3</v>
      </c>
      <c r="K213" s="323">
        <f t="shared" si="27"/>
        <v>2.5650962408412851E-3</v>
      </c>
      <c r="L213" s="323">
        <f t="shared" si="27"/>
        <v>2.5650962408412851E-3</v>
      </c>
      <c r="M213" s="323">
        <f t="shared" si="27"/>
        <v>2.5650962408412851E-3</v>
      </c>
      <c r="N213" s="323">
        <f t="shared" si="27"/>
        <v>2.5650962408412851E-3</v>
      </c>
      <c r="O213" s="323">
        <f t="shared" si="27"/>
        <v>2.5650962408412851E-3</v>
      </c>
      <c r="P213" s="323">
        <f t="shared" si="27"/>
        <v>2.5650962408412851E-3</v>
      </c>
      <c r="Q213" s="323">
        <f t="shared" si="27"/>
        <v>2.5650962408412851E-3</v>
      </c>
      <c r="R213" s="323">
        <f t="shared" si="27"/>
        <v>2.5650962408412851E-3</v>
      </c>
      <c r="S213" s="323">
        <f t="shared" si="27"/>
        <v>2.5650962408412851E-3</v>
      </c>
      <c r="T213" s="323">
        <f t="shared" si="27"/>
        <v>2.5650962408412851E-3</v>
      </c>
      <c r="U213" s="323">
        <f t="shared" si="27"/>
        <v>2.5650962408412851E-3</v>
      </c>
      <c r="V213" s="323">
        <f t="shared" si="27"/>
        <v>2.5650962408412851E-3</v>
      </c>
      <c r="W213" s="323">
        <f t="shared" si="27"/>
        <v>2.5650962408412851E-3</v>
      </c>
      <c r="X213" s="323">
        <f t="shared" si="27"/>
        <v>2.5650962408412851E-3</v>
      </c>
      <c r="Y213" s="323">
        <f t="shared" si="27"/>
        <v>2.5650962408412851E-3</v>
      </c>
      <c r="Z213" s="323">
        <f t="shared" si="27"/>
        <v>2.5650962408412851E-3</v>
      </c>
      <c r="AA213" s="323">
        <f t="shared" si="27"/>
        <v>2.5650962408412851E-3</v>
      </c>
      <c r="AB213" s="323">
        <f t="shared" si="27"/>
        <v>2.5650962408412851E-3</v>
      </c>
      <c r="AC213" s="323">
        <f t="shared" si="27"/>
        <v>2.5650962408412851E-3</v>
      </c>
      <c r="AD213" s="323">
        <f t="shared" si="27"/>
        <v>2.5650962408412851E-3</v>
      </c>
      <c r="AE213" s="323">
        <f t="shared" si="27"/>
        <v>2.5650962408412851E-3</v>
      </c>
      <c r="AF213" s="323">
        <f t="shared" si="27"/>
        <v>2.5650962408412851E-3</v>
      </c>
      <c r="AG213" s="323">
        <f t="shared" si="27"/>
        <v>2.5650962408412851E-3</v>
      </c>
      <c r="AH213" s="323">
        <f t="shared" si="27"/>
        <v>2.5650962408412851E-3</v>
      </c>
      <c r="AI213" s="323">
        <f t="shared" si="27"/>
        <v>2.5650962408412851E-3</v>
      </c>
      <c r="AJ213" s="323">
        <f t="shared" si="27"/>
        <v>2.5650962408412851E-3</v>
      </c>
      <c r="AK213" s="323">
        <f t="shared" si="27"/>
        <v>2.5650962408412851E-3</v>
      </c>
      <c r="AL213" s="323">
        <f t="shared" si="27"/>
        <v>2.5650962408412851E-3</v>
      </c>
      <c r="AM213" s="323">
        <f t="shared" si="27"/>
        <v>2.5650962408412851E-3</v>
      </c>
      <c r="AN213" s="323">
        <f t="shared" si="27"/>
        <v>2.5650962408412851E-3</v>
      </c>
      <c r="AO213" s="323">
        <f t="shared" si="27"/>
        <v>2.5650962408412851E-3</v>
      </c>
      <c r="AP213" s="323">
        <f t="shared" si="27"/>
        <v>2.5650962408412851E-3</v>
      </c>
    </row>
    <row r="214" spans="5:42" s="160" customFormat="1" x14ac:dyDescent="0.25">
      <c r="E214" s="152"/>
      <c r="F214" s="84"/>
      <c r="G214" s="145"/>
      <c r="H214" s="181"/>
      <c r="I214" s="167"/>
      <c r="J214" s="321"/>
      <c r="K214" s="321"/>
      <c r="L214" s="321"/>
      <c r="M214" s="321"/>
      <c r="N214" s="321"/>
      <c r="O214" s="321"/>
      <c r="P214" s="321"/>
      <c r="Q214" s="321"/>
      <c r="R214" s="321"/>
      <c r="S214" s="321"/>
      <c r="T214" s="321"/>
      <c r="U214" s="321"/>
      <c r="V214" s="321"/>
      <c r="W214" s="321"/>
      <c r="X214" s="321"/>
      <c r="Y214" s="321"/>
      <c r="Z214" s="321"/>
      <c r="AA214" s="321"/>
      <c r="AB214" s="321"/>
      <c r="AC214" s="321"/>
      <c r="AD214" s="321"/>
      <c r="AE214" s="321"/>
      <c r="AF214" s="321"/>
      <c r="AG214" s="321"/>
      <c r="AH214" s="321"/>
      <c r="AI214" s="321"/>
      <c r="AJ214" s="321"/>
      <c r="AK214" s="321"/>
      <c r="AL214" s="321"/>
      <c r="AM214" s="321"/>
      <c r="AN214" s="321"/>
      <c r="AO214" s="321"/>
      <c r="AP214" s="321"/>
    </row>
    <row r="215" spans="5:42" s="88" customFormat="1" x14ac:dyDescent="0.25">
      <c r="E215" s="172" t="s">
        <v>807</v>
      </c>
      <c r="F215" s="167"/>
      <c r="G215" s="145"/>
      <c r="H215" s="167"/>
      <c r="I215" s="167"/>
      <c r="J215" s="167"/>
      <c r="K215" s="167"/>
      <c r="L215" s="167"/>
      <c r="M215" s="167"/>
      <c r="N215" s="167"/>
      <c r="O215" s="167"/>
      <c r="P215" s="167"/>
      <c r="Q215" s="167"/>
      <c r="R215" s="167"/>
      <c r="S215" s="167"/>
      <c r="T215" s="167"/>
      <c r="U215" s="167"/>
      <c r="V215" s="167"/>
      <c r="W215" s="167"/>
      <c r="X215" s="167"/>
      <c r="Y215" s="167"/>
      <c r="Z215" s="167"/>
      <c r="AA215" s="167"/>
      <c r="AB215" s="167"/>
      <c r="AC215" s="167"/>
      <c r="AD215" s="167"/>
      <c r="AE215" s="167"/>
      <c r="AF215" s="167"/>
      <c r="AG215" s="167"/>
      <c r="AH215" s="167"/>
      <c r="AI215" s="167"/>
      <c r="AJ215" s="167"/>
      <c r="AK215" s="167"/>
      <c r="AL215" s="167"/>
      <c r="AM215" s="167"/>
      <c r="AN215" s="167"/>
      <c r="AO215" s="167"/>
      <c r="AP215" s="167"/>
    </row>
    <row r="216" spans="5:42" s="88" customFormat="1" x14ac:dyDescent="0.25">
      <c r="E216" s="152"/>
      <c r="F216" s="85" t="s">
        <v>373</v>
      </c>
      <c r="G216" s="40" t="s">
        <v>111</v>
      </c>
      <c r="H216" s="187"/>
      <c r="I216" s="166"/>
      <c r="J216" s="322">
        <f t="shared" ref="J216:AP216" si="28">IF(J$24, $H151, $H148)</f>
        <v>0.81354690092946347</v>
      </c>
      <c r="K216" s="322">
        <f t="shared" si="28"/>
        <v>0.81354690092946347</v>
      </c>
      <c r="L216" s="322">
        <f t="shared" si="28"/>
        <v>0.81354690092946347</v>
      </c>
      <c r="M216" s="322">
        <f t="shared" si="28"/>
        <v>0.81354690092946347</v>
      </c>
      <c r="N216" s="322">
        <f t="shared" si="28"/>
        <v>0.81354690092946347</v>
      </c>
      <c r="O216" s="322">
        <f t="shared" si="28"/>
        <v>0.81354690092946347</v>
      </c>
      <c r="P216" s="322">
        <f t="shared" si="28"/>
        <v>0.81354690092946347</v>
      </c>
      <c r="Q216" s="322">
        <f t="shared" si="28"/>
        <v>0.81354690092946347</v>
      </c>
      <c r="R216" s="322">
        <f t="shared" si="28"/>
        <v>0.81354690092946347</v>
      </c>
      <c r="S216" s="322">
        <f t="shared" si="28"/>
        <v>0.81354690092946347</v>
      </c>
      <c r="T216" s="322">
        <f t="shared" si="28"/>
        <v>0.81354690092946347</v>
      </c>
      <c r="U216" s="322">
        <f t="shared" si="28"/>
        <v>0.81354690092946347</v>
      </c>
      <c r="V216" s="322">
        <f t="shared" si="28"/>
        <v>0.81354690092946347</v>
      </c>
      <c r="W216" s="322">
        <f t="shared" si="28"/>
        <v>0.81354690092946347</v>
      </c>
      <c r="X216" s="322">
        <f t="shared" si="28"/>
        <v>0.5883321234047395</v>
      </c>
      <c r="Y216" s="322">
        <f t="shared" si="28"/>
        <v>0.5883321234047395</v>
      </c>
      <c r="Z216" s="322">
        <f t="shared" si="28"/>
        <v>0.5883321234047395</v>
      </c>
      <c r="AA216" s="322">
        <f t="shared" si="28"/>
        <v>0.5883321234047395</v>
      </c>
      <c r="AB216" s="322">
        <f t="shared" si="28"/>
        <v>0.5883321234047395</v>
      </c>
      <c r="AC216" s="322">
        <f t="shared" si="28"/>
        <v>0.81354690092946347</v>
      </c>
      <c r="AD216" s="322">
        <f t="shared" si="28"/>
        <v>0.81354690092946347</v>
      </c>
      <c r="AE216" s="322">
        <f t="shared" si="28"/>
        <v>0.81354690092946347</v>
      </c>
      <c r="AF216" s="322">
        <f t="shared" si="28"/>
        <v>0.81354690092946347</v>
      </c>
      <c r="AG216" s="322">
        <f t="shared" si="28"/>
        <v>0.81354690092946347</v>
      </c>
      <c r="AH216" s="322">
        <f t="shared" si="28"/>
        <v>0.81354690092946347</v>
      </c>
      <c r="AI216" s="322">
        <f t="shared" si="28"/>
        <v>0.81354690092946347</v>
      </c>
      <c r="AJ216" s="322">
        <f t="shared" si="28"/>
        <v>0.81354690092946347</v>
      </c>
      <c r="AK216" s="322">
        <f t="shared" si="28"/>
        <v>0.81354690092946347</v>
      </c>
      <c r="AL216" s="322">
        <f t="shared" si="28"/>
        <v>0.81354690092946347</v>
      </c>
      <c r="AM216" s="322">
        <f t="shared" si="28"/>
        <v>0.81354690092946347</v>
      </c>
      <c r="AN216" s="322">
        <f t="shared" si="28"/>
        <v>0.81354690092946347</v>
      </c>
      <c r="AO216" s="322">
        <f t="shared" si="28"/>
        <v>0.81354690092946347</v>
      </c>
      <c r="AP216" s="322">
        <f t="shared" si="28"/>
        <v>0.81354690092946347</v>
      </c>
    </row>
    <row r="217" spans="5:42" s="88" customFormat="1" x14ac:dyDescent="0.25">
      <c r="E217" s="152"/>
      <c r="F217" s="84" t="s">
        <v>374</v>
      </c>
      <c r="G217" s="145" t="s">
        <v>111</v>
      </c>
      <c r="H217" s="181"/>
      <c r="I217" s="339"/>
      <c r="J217" s="321">
        <f t="shared" ref="J217:AP217" si="29">IF(J$24, $H152, $H149)</f>
        <v>0.18388800282969542</v>
      </c>
      <c r="K217" s="321">
        <f t="shared" si="29"/>
        <v>0.18388800282969542</v>
      </c>
      <c r="L217" s="321">
        <f t="shared" si="29"/>
        <v>0.18388800282969542</v>
      </c>
      <c r="M217" s="321">
        <f t="shared" si="29"/>
        <v>0.18388800282969542</v>
      </c>
      <c r="N217" s="321">
        <f t="shared" si="29"/>
        <v>0.18388800282969542</v>
      </c>
      <c r="O217" s="321">
        <f t="shared" si="29"/>
        <v>0.18388800282969542</v>
      </c>
      <c r="P217" s="321">
        <f t="shared" si="29"/>
        <v>0.18388800282969542</v>
      </c>
      <c r="Q217" s="321">
        <f t="shared" si="29"/>
        <v>0.18388800282969542</v>
      </c>
      <c r="R217" s="321">
        <f t="shared" si="29"/>
        <v>0.18388800282969542</v>
      </c>
      <c r="S217" s="321">
        <f t="shared" si="29"/>
        <v>0.18388800282969542</v>
      </c>
      <c r="T217" s="321">
        <f t="shared" si="29"/>
        <v>0.18388800282969542</v>
      </c>
      <c r="U217" s="321">
        <f t="shared" si="29"/>
        <v>0.18388800282969542</v>
      </c>
      <c r="V217" s="321">
        <f t="shared" si="29"/>
        <v>0.18388800282969542</v>
      </c>
      <c r="W217" s="321">
        <f t="shared" si="29"/>
        <v>0.18388800282969542</v>
      </c>
      <c r="X217" s="321">
        <f t="shared" si="29"/>
        <v>0.40910278035441938</v>
      </c>
      <c r="Y217" s="321">
        <f t="shared" si="29"/>
        <v>0.40910278035441938</v>
      </c>
      <c r="Z217" s="321">
        <f t="shared" si="29"/>
        <v>0.40910278035441938</v>
      </c>
      <c r="AA217" s="321">
        <f t="shared" si="29"/>
        <v>0.40910278035441938</v>
      </c>
      <c r="AB217" s="321">
        <f t="shared" si="29"/>
        <v>0.40910278035441938</v>
      </c>
      <c r="AC217" s="321">
        <f t="shared" si="29"/>
        <v>0.18388800282969542</v>
      </c>
      <c r="AD217" s="321">
        <f t="shared" si="29"/>
        <v>0.18388800282969542</v>
      </c>
      <c r="AE217" s="321">
        <f t="shared" si="29"/>
        <v>0.18388800282969542</v>
      </c>
      <c r="AF217" s="321">
        <f t="shared" si="29"/>
        <v>0.18388800282969542</v>
      </c>
      <c r="AG217" s="321">
        <f t="shared" si="29"/>
        <v>0.18388800282969542</v>
      </c>
      <c r="AH217" s="321">
        <f t="shared" si="29"/>
        <v>0.18388800282969542</v>
      </c>
      <c r="AI217" s="321">
        <f t="shared" si="29"/>
        <v>0.18388800282969542</v>
      </c>
      <c r="AJ217" s="321">
        <f t="shared" si="29"/>
        <v>0.18388800282969542</v>
      </c>
      <c r="AK217" s="321">
        <f t="shared" si="29"/>
        <v>0.18388800282969542</v>
      </c>
      <c r="AL217" s="321">
        <f t="shared" si="29"/>
        <v>0.18388800282969542</v>
      </c>
      <c r="AM217" s="321">
        <f t="shared" si="29"/>
        <v>0.18388800282969542</v>
      </c>
      <c r="AN217" s="321">
        <f t="shared" si="29"/>
        <v>0.18388800282969542</v>
      </c>
      <c r="AO217" s="321">
        <f t="shared" si="29"/>
        <v>0.18388800282969542</v>
      </c>
      <c r="AP217" s="321">
        <f t="shared" si="29"/>
        <v>0.18388800282969542</v>
      </c>
    </row>
    <row r="218" spans="5:42" s="88" customFormat="1" x14ac:dyDescent="0.25">
      <c r="E218" s="152"/>
      <c r="F218" s="77" t="s">
        <v>103</v>
      </c>
      <c r="G218" s="38" t="s">
        <v>111</v>
      </c>
      <c r="H218" s="182"/>
      <c r="I218" s="168"/>
      <c r="J218" s="323">
        <f t="shared" ref="J218:AP218" si="30">IF(J$24, $H153, $H150)</f>
        <v>2.5650962408412851E-3</v>
      </c>
      <c r="K218" s="323">
        <f t="shared" si="30"/>
        <v>2.5650962408412851E-3</v>
      </c>
      <c r="L218" s="323">
        <f t="shared" si="30"/>
        <v>2.5650962408412851E-3</v>
      </c>
      <c r="M218" s="323">
        <f t="shared" si="30"/>
        <v>2.5650962408412851E-3</v>
      </c>
      <c r="N218" s="323">
        <f t="shared" si="30"/>
        <v>2.5650962408412851E-3</v>
      </c>
      <c r="O218" s="323">
        <f t="shared" si="30"/>
        <v>2.5650962408412851E-3</v>
      </c>
      <c r="P218" s="323">
        <f t="shared" si="30"/>
        <v>2.5650962408412851E-3</v>
      </c>
      <c r="Q218" s="323">
        <f t="shared" si="30"/>
        <v>2.5650962408412851E-3</v>
      </c>
      <c r="R218" s="323">
        <f t="shared" si="30"/>
        <v>2.5650962408412851E-3</v>
      </c>
      <c r="S218" s="323">
        <f t="shared" si="30"/>
        <v>2.5650962408412851E-3</v>
      </c>
      <c r="T218" s="323">
        <f t="shared" si="30"/>
        <v>2.5650962408412851E-3</v>
      </c>
      <c r="U218" s="323">
        <f t="shared" si="30"/>
        <v>2.5650962408412851E-3</v>
      </c>
      <c r="V218" s="323">
        <f t="shared" si="30"/>
        <v>2.5650962408412851E-3</v>
      </c>
      <c r="W218" s="323">
        <f t="shared" si="30"/>
        <v>2.5650962408412851E-3</v>
      </c>
      <c r="X218" s="323">
        <f t="shared" si="30"/>
        <v>2.5650962408412851E-3</v>
      </c>
      <c r="Y218" s="323">
        <f t="shared" si="30"/>
        <v>2.5650962408412851E-3</v>
      </c>
      <c r="Z218" s="323">
        <f t="shared" si="30"/>
        <v>2.5650962408412851E-3</v>
      </c>
      <c r="AA218" s="323">
        <f t="shared" si="30"/>
        <v>2.5650962408412851E-3</v>
      </c>
      <c r="AB218" s="323">
        <f t="shared" si="30"/>
        <v>2.5650962408412851E-3</v>
      </c>
      <c r="AC218" s="323">
        <f t="shared" si="30"/>
        <v>2.5650962408412851E-3</v>
      </c>
      <c r="AD218" s="323">
        <f t="shared" si="30"/>
        <v>2.5650962408412851E-3</v>
      </c>
      <c r="AE218" s="323">
        <f t="shared" si="30"/>
        <v>2.5650962408412851E-3</v>
      </c>
      <c r="AF218" s="323">
        <f t="shared" si="30"/>
        <v>2.5650962408412851E-3</v>
      </c>
      <c r="AG218" s="323">
        <f t="shared" si="30"/>
        <v>2.5650962408412851E-3</v>
      </c>
      <c r="AH218" s="323">
        <f t="shared" si="30"/>
        <v>2.5650962408412851E-3</v>
      </c>
      <c r="AI218" s="323">
        <f t="shared" si="30"/>
        <v>2.5650962408412851E-3</v>
      </c>
      <c r="AJ218" s="323">
        <f t="shared" si="30"/>
        <v>2.5650962408412851E-3</v>
      </c>
      <c r="AK218" s="323">
        <f t="shared" si="30"/>
        <v>2.5650962408412851E-3</v>
      </c>
      <c r="AL218" s="323">
        <f t="shared" si="30"/>
        <v>2.5650962408412851E-3</v>
      </c>
      <c r="AM218" s="323">
        <f t="shared" si="30"/>
        <v>2.5650962408412851E-3</v>
      </c>
      <c r="AN218" s="323">
        <f t="shared" si="30"/>
        <v>2.5650962408412851E-3</v>
      </c>
      <c r="AO218" s="323">
        <f t="shared" si="30"/>
        <v>2.5650962408412851E-3</v>
      </c>
      <c r="AP218" s="323">
        <f t="shared" si="30"/>
        <v>2.5650962408412851E-3</v>
      </c>
    </row>
    <row r="219" spans="5:42" s="160" customFormat="1" x14ac:dyDescent="0.25">
      <c r="E219" s="152"/>
      <c r="F219" s="84"/>
      <c r="G219" s="145"/>
      <c r="H219" s="181"/>
      <c r="I219" s="167"/>
      <c r="J219" s="321"/>
      <c r="K219" s="321"/>
      <c r="L219" s="321"/>
      <c r="M219" s="321"/>
      <c r="N219" s="321"/>
      <c r="O219" s="321"/>
      <c r="P219" s="321"/>
      <c r="Q219" s="321"/>
      <c r="R219" s="321"/>
      <c r="S219" s="321"/>
      <c r="T219" s="321"/>
      <c r="U219" s="321"/>
      <c r="V219" s="321"/>
      <c r="W219" s="321"/>
      <c r="X219" s="321"/>
      <c r="Y219" s="321"/>
      <c r="Z219" s="321"/>
      <c r="AA219" s="321"/>
      <c r="AB219" s="321"/>
      <c r="AC219" s="321"/>
      <c r="AD219" s="321"/>
      <c r="AE219" s="321"/>
      <c r="AF219" s="321"/>
      <c r="AG219" s="321"/>
      <c r="AH219" s="321"/>
      <c r="AI219" s="321"/>
      <c r="AJ219" s="321"/>
      <c r="AK219" s="321"/>
      <c r="AL219" s="321"/>
      <c r="AM219" s="321"/>
      <c r="AN219" s="321"/>
      <c r="AO219" s="321"/>
      <c r="AP219" s="321"/>
    </row>
    <row r="220" spans="5:42" s="88" customFormat="1" x14ac:dyDescent="0.25">
      <c r="E220" s="172" t="s">
        <v>808</v>
      </c>
      <c r="F220" s="167"/>
      <c r="G220" s="145"/>
      <c r="H220" s="167"/>
      <c r="I220" s="167"/>
      <c r="J220" s="167"/>
      <c r="K220" s="167"/>
      <c r="L220" s="167"/>
      <c r="M220" s="167"/>
      <c r="N220" s="167"/>
      <c r="O220" s="167"/>
      <c r="P220" s="167"/>
      <c r="Q220" s="167"/>
      <c r="R220" s="167"/>
      <c r="S220" s="167"/>
      <c r="T220" s="167"/>
      <c r="U220" s="167"/>
      <c r="V220" s="167"/>
      <c r="W220" s="167"/>
      <c r="X220" s="167"/>
      <c r="Y220" s="167"/>
      <c r="Z220" s="167"/>
      <c r="AA220" s="167"/>
      <c r="AB220" s="167"/>
      <c r="AC220" s="167"/>
      <c r="AD220" s="167"/>
      <c r="AE220" s="167"/>
      <c r="AF220" s="167"/>
      <c r="AG220" s="167"/>
      <c r="AH220" s="167"/>
      <c r="AI220" s="167"/>
      <c r="AJ220" s="167"/>
      <c r="AK220" s="167"/>
      <c r="AL220" s="167"/>
      <c r="AM220" s="167"/>
      <c r="AN220" s="167"/>
      <c r="AO220" s="167"/>
      <c r="AP220" s="167"/>
    </row>
    <row r="221" spans="5:42" s="88" customFormat="1" x14ac:dyDescent="0.25">
      <c r="E221" s="152"/>
      <c r="F221" s="85" t="s">
        <v>373</v>
      </c>
      <c r="G221" s="40" t="s">
        <v>111</v>
      </c>
      <c r="H221" s="187"/>
      <c r="I221" s="166"/>
      <c r="J221" s="322">
        <f t="shared" ref="J221:AP221" si="31">IF(J$24, $H159, $H156)</f>
        <v>0.64604237702390588</v>
      </c>
      <c r="K221" s="322">
        <f t="shared" si="31"/>
        <v>0.64604237702390588</v>
      </c>
      <c r="L221" s="322">
        <f t="shared" si="31"/>
        <v>0.64604237702390588</v>
      </c>
      <c r="M221" s="322">
        <f t="shared" si="31"/>
        <v>0.64604237702390588</v>
      </c>
      <c r="N221" s="322">
        <f t="shared" si="31"/>
        <v>0.64604237702390588</v>
      </c>
      <c r="O221" s="322">
        <f t="shared" si="31"/>
        <v>0.64604237702390588</v>
      </c>
      <c r="P221" s="322">
        <f t="shared" si="31"/>
        <v>0.64604237702390588</v>
      </c>
      <c r="Q221" s="322">
        <f t="shared" si="31"/>
        <v>0.64604237702390588</v>
      </c>
      <c r="R221" s="322">
        <f t="shared" si="31"/>
        <v>0.64604237702390588</v>
      </c>
      <c r="S221" s="322">
        <f t="shared" si="31"/>
        <v>0.64604237702390588</v>
      </c>
      <c r="T221" s="322">
        <f t="shared" si="31"/>
        <v>0.64604237702390588</v>
      </c>
      <c r="U221" s="322">
        <f t="shared" si="31"/>
        <v>0.64604237702390588</v>
      </c>
      <c r="V221" s="322">
        <f t="shared" si="31"/>
        <v>0.64604237702390588</v>
      </c>
      <c r="W221" s="322">
        <f t="shared" si="31"/>
        <v>0.64604237702390588</v>
      </c>
      <c r="X221" s="322">
        <f t="shared" si="31"/>
        <v>0.48656961006219612</v>
      </c>
      <c r="Y221" s="322">
        <f t="shared" si="31"/>
        <v>0.48656961006219612</v>
      </c>
      <c r="Z221" s="322">
        <f t="shared" si="31"/>
        <v>0.48656961006219612</v>
      </c>
      <c r="AA221" s="322">
        <f t="shared" si="31"/>
        <v>0.48656961006219612</v>
      </c>
      <c r="AB221" s="322">
        <f t="shared" si="31"/>
        <v>0.48656961006219612</v>
      </c>
      <c r="AC221" s="322">
        <f t="shared" si="31"/>
        <v>0.64604237702390588</v>
      </c>
      <c r="AD221" s="322">
        <f t="shared" si="31"/>
        <v>0.64604237702390588</v>
      </c>
      <c r="AE221" s="322">
        <f t="shared" si="31"/>
        <v>0.64604237702390588</v>
      </c>
      <c r="AF221" s="322">
        <f t="shared" si="31"/>
        <v>0.64604237702390588</v>
      </c>
      <c r="AG221" s="322">
        <f t="shared" si="31"/>
        <v>0.64604237702390588</v>
      </c>
      <c r="AH221" s="322">
        <f t="shared" si="31"/>
        <v>0.64604237702390588</v>
      </c>
      <c r="AI221" s="322">
        <f t="shared" si="31"/>
        <v>0.64604237702390588</v>
      </c>
      <c r="AJ221" s="322">
        <f t="shared" si="31"/>
        <v>0.64604237702390588</v>
      </c>
      <c r="AK221" s="322">
        <f t="shared" si="31"/>
        <v>0.64604237702390588</v>
      </c>
      <c r="AL221" s="322">
        <f t="shared" si="31"/>
        <v>0.64604237702390588</v>
      </c>
      <c r="AM221" s="322">
        <f t="shared" si="31"/>
        <v>0.64604237702390588</v>
      </c>
      <c r="AN221" s="322">
        <f t="shared" si="31"/>
        <v>0.64604237702390588</v>
      </c>
      <c r="AO221" s="322">
        <f t="shared" si="31"/>
        <v>0.64604237702390588</v>
      </c>
      <c r="AP221" s="322">
        <f t="shared" si="31"/>
        <v>0.64604237702390588</v>
      </c>
    </row>
    <row r="222" spans="5:42" s="88" customFormat="1" x14ac:dyDescent="0.25">
      <c r="E222" s="152"/>
      <c r="F222" s="84" t="s">
        <v>374</v>
      </c>
      <c r="G222" s="145" t="s">
        <v>111</v>
      </c>
      <c r="H222" s="181"/>
      <c r="I222" s="339"/>
      <c r="J222" s="321">
        <f t="shared" ref="J222:AP222" si="32">IF(J$24, $H160, $H157)</f>
        <v>0.33939627158356922</v>
      </c>
      <c r="K222" s="321">
        <f t="shared" si="32"/>
        <v>0.33939627158356922</v>
      </c>
      <c r="L222" s="321">
        <f t="shared" si="32"/>
        <v>0.33939627158356922</v>
      </c>
      <c r="M222" s="321">
        <f t="shared" si="32"/>
        <v>0.33939627158356922</v>
      </c>
      <c r="N222" s="321">
        <f t="shared" si="32"/>
        <v>0.33939627158356922</v>
      </c>
      <c r="O222" s="321">
        <f t="shared" si="32"/>
        <v>0.33939627158356922</v>
      </c>
      <c r="P222" s="321">
        <f t="shared" si="32"/>
        <v>0.33939627158356922</v>
      </c>
      <c r="Q222" s="321">
        <f t="shared" si="32"/>
        <v>0.33939627158356922</v>
      </c>
      <c r="R222" s="321">
        <f t="shared" si="32"/>
        <v>0.33939627158356922</v>
      </c>
      <c r="S222" s="321">
        <f t="shared" si="32"/>
        <v>0.33939627158356922</v>
      </c>
      <c r="T222" s="321">
        <f t="shared" si="32"/>
        <v>0.33939627158356922</v>
      </c>
      <c r="U222" s="321">
        <f t="shared" si="32"/>
        <v>0.33939627158356922</v>
      </c>
      <c r="V222" s="321">
        <f t="shared" si="32"/>
        <v>0.33939627158356922</v>
      </c>
      <c r="W222" s="321">
        <f t="shared" si="32"/>
        <v>0.33939627158356922</v>
      </c>
      <c r="X222" s="321">
        <f t="shared" si="32"/>
        <v>0.49886903854527898</v>
      </c>
      <c r="Y222" s="321">
        <f t="shared" si="32"/>
        <v>0.49886903854527898</v>
      </c>
      <c r="Z222" s="321">
        <f t="shared" si="32"/>
        <v>0.49886903854527898</v>
      </c>
      <c r="AA222" s="321">
        <f t="shared" si="32"/>
        <v>0.49886903854527898</v>
      </c>
      <c r="AB222" s="321">
        <f t="shared" si="32"/>
        <v>0.49886903854527898</v>
      </c>
      <c r="AC222" s="321">
        <f t="shared" si="32"/>
        <v>0.33939627158356922</v>
      </c>
      <c r="AD222" s="321">
        <f t="shared" si="32"/>
        <v>0.33939627158356922</v>
      </c>
      <c r="AE222" s="321">
        <f t="shared" si="32"/>
        <v>0.33939627158356922</v>
      </c>
      <c r="AF222" s="321">
        <f t="shared" si="32"/>
        <v>0.33939627158356922</v>
      </c>
      <c r="AG222" s="321">
        <f t="shared" si="32"/>
        <v>0.33939627158356922</v>
      </c>
      <c r="AH222" s="321">
        <f t="shared" si="32"/>
        <v>0.33939627158356922</v>
      </c>
      <c r="AI222" s="321">
        <f t="shared" si="32"/>
        <v>0.33939627158356922</v>
      </c>
      <c r="AJ222" s="321">
        <f t="shared" si="32"/>
        <v>0.33939627158356922</v>
      </c>
      <c r="AK222" s="321">
        <f t="shared" si="32"/>
        <v>0.33939627158356922</v>
      </c>
      <c r="AL222" s="321">
        <f t="shared" si="32"/>
        <v>0.33939627158356922</v>
      </c>
      <c r="AM222" s="321">
        <f t="shared" si="32"/>
        <v>0.33939627158356922</v>
      </c>
      <c r="AN222" s="321">
        <f t="shared" si="32"/>
        <v>0.33939627158356922</v>
      </c>
      <c r="AO222" s="321">
        <f t="shared" si="32"/>
        <v>0.33939627158356922</v>
      </c>
      <c r="AP222" s="321">
        <f t="shared" si="32"/>
        <v>0.33939627158356922</v>
      </c>
    </row>
    <row r="223" spans="5:42" s="88" customFormat="1" x14ac:dyDescent="0.25">
      <c r="E223" s="152"/>
      <c r="F223" s="77" t="s">
        <v>103</v>
      </c>
      <c r="G223" s="38" t="s">
        <v>111</v>
      </c>
      <c r="H223" s="182"/>
      <c r="I223" s="168"/>
      <c r="J223" s="323">
        <f t="shared" ref="J223:AP223" si="33">IF(J$24, $H161, $H158)</f>
        <v>1.4561351392524903E-2</v>
      </c>
      <c r="K223" s="323">
        <f t="shared" si="33"/>
        <v>1.4561351392524903E-2</v>
      </c>
      <c r="L223" s="323">
        <f t="shared" si="33"/>
        <v>1.4561351392524903E-2</v>
      </c>
      <c r="M223" s="323">
        <f t="shared" si="33"/>
        <v>1.4561351392524903E-2</v>
      </c>
      <c r="N223" s="323">
        <f t="shared" si="33"/>
        <v>1.4561351392524903E-2</v>
      </c>
      <c r="O223" s="323">
        <f t="shared" si="33"/>
        <v>1.4561351392524903E-2</v>
      </c>
      <c r="P223" s="323">
        <f t="shared" si="33"/>
        <v>1.4561351392524903E-2</v>
      </c>
      <c r="Q223" s="323">
        <f t="shared" si="33"/>
        <v>1.4561351392524903E-2</v>
      </c>
      <c r="R223" s="323">
        <f t="shared" si="33"/>
        <v>1.4561351392524903E-2</v>
      </c>
      <c r="S223" s="323">
        <f t="shared" si="33"/>
        <v>1.4561351392524903E-2</v>
      </c>
      <c r="T223" s="323">
        <f t="shared" si="33"/>
        <v>1.4561351392524903E-2</v>
      </c>
      <c r="U223" s="323">
        <f t="shared" si="33"/>
        <v>1.4561351392524903E-2</v>
      </c>
      <c r="V223" s="323">
        <f t="shared" si="33"/>
        <v>1.4561351392524903E-2</v>
      </c>
      <c r="W223" s="323">
        <f t="shared" si="33"/>
        <v>1.4561351392524903E-2</v>
      </c>
      <c r="X223" s="323">
        <f t="shared" si="33"/>
        <v>1.4561351392524903E-2</v>
      </c>
      <c r="Y223" s="323">
        <f t="shared" si="33"/>
        <v>1.4561351392524903E-2</v>
      </c>
      <c r="Z223" s="323">
        <f t="shared" si="33"/>
        <v>1.4561351392524903E-2</v>
      </c>
      <c r="AA223" s="323">
        <f t="shared" si="33"/>
        <v>1.4561351392524903E-2</v>
      </c>
      <c r="AB223" s="323">
        <f t="shared" si="33"/>
        <v>1.4561351392524903E-2</v>
      </c>
      <c r="AC223" s="323">
        <f t="shared" si="33"/>
        <v>1.4561351392524903E-2</v>
      </c>
      <c r="AD223" s="323">
        <f t="shared" si="33"/>
        <v>1.4561351392524903E-2</v>
      </c>
      <c r="AE223" s="323">
        <f t="shared" si="33"/>
        <v>1.4561351392524903E-2</v>
      </c>
      <c r="AF223" s="323">
        <f t="shared" si="33"/>
        <v>1.4561351392524903E-2</v>
      </c>
      <c r="AG223" s="323">
        <f t="shared" si="33"/>
        <v>1.4561351392524903E-2</v>
      </c>
      <c r="AH223" s="323">
        <f t="shared" si="33"/>
        <v>1.4561351392524903E-2</v>
      </c>
      <c r="AI223" s="323">
        <f t="shared" si="33"/>
        <v>1.4561351392524903E-2</v>
      </c>
      <c r="AJ223" s="323">
        <f t="shared" si="33"/>
        <v>1.4561351392524903E-2</v>
      </c>
      <c r="AK223" s="323">
        <f t="shared" si="33"/>
        <v>1.4561351392524903E-2</v>
      </c>
      <c r="AL223" s="323">
        <f t="shared" si="33"/>
        <v>1.4561351392524903E-2</v>
      </c>
      <c r="AM223" s="323">
        <f t="shared" si="33"/>
        <v>1.4561351392524903E-2</v>
      </c>
      <c r="AN223" s="323">
        <f t="shared" si="33"/>
        <v>1.4561351392524903E-2</v>
      </c>
      <c r="AO223" s="323">
        <f t="shared" si="33"/>
        <v>1.4561351392524903E-2</v>
      </c>
      <c r="AP223" s="323">
        <f t="shared" si="33"/>
        <v>1.4561351392524903E-2</v>
      </c>
    </row>
    <row r="224" spans="5:42" s="160" customFormat="1" x14ac:dyDescent="0.25">
      <c r="E224" s="152"/>
      <c r="F224" s="84"/>
      <c r="G224" s="145"/>
      <c r="H224" s="181"/>
      <c r="I224" s="167"/>
      <c r="J224" s="321"/>
      <c r="K224" s="321"/>
      <c r="L224" s="321"/>
      <c r="M224" s="321"/>
      <c r="N224" s="321"/>
      <c r="O224" s="321"/>
      <c r="P224" s="321"/>
      <c r="Q224" s="321"/>
      <c r="R224" s="321"/>
      <c r="S224" s="321"/>
      <c r="T224" s="321"/>
      <c r="U224" s="321"/>
      <c r="V224" s="321"/>
      <c r="W224" s="321"/>
      <c r="X224" s="321"/>
      <c r="Y224" s="321"/>
      <c r="Z224" s="321"/>
      <c r="AA224" s="321"/>
      <c r="AB224" s="321"/>
      <c r="AC224" s="321"/>
      <c r="AD224" s="321"/>
      <c r="AE224" s="321"/>
      <c r="AF224" s="321"/>
      <c r="AG224" s="321"/>
      <c r="AH224" s="321"/>
      <c r="AI224" s="321"/>
      <c r="AJ224" s="321"/>
      <c r="AK224" s="321"/>
      <c r="AL224" s="321"/>
      <c r="AM224" s="321"/>
      <c r="AN224" s="321"/>
      <c r="AO224" s="321"/>
      <c r="AP224" s="321"/>
    </row>
    <row r="225" spans="5:42" s="88" customFormat="1" x14ac:dyDescent="0.25">
      <c r="E225" s="172" t="s">
        <v>809</v>
      </c>
      <c r="F225" s="167"/>
      <c r="G225" s="145"/>
      <c r="H225" s="167"/>
      <c r="I225" s="167"/>
      <c r="J225" s="167"/>
      <c r="K225" s="167"/>
      <c r="L225" s="167"/>
      <c r="M225" s="167"/>
      <c r="N225" s="167"/>
      <c r="O225" s="167"/>
      <c r="P225" s="167"/>
      <c r="Q225" s="167"/>
      <c r="R225" s="167"/>
      <c r="S225" s="167"/>
      <c r="T225" s="167"/>
      <c r="U225" s="167"/>
      <c r="V225" s="167"/>
      <c r="W225" s="167"/>
      <c r="X225" s="167"/>
      <c r="Y225" s="167"/>
      <c r="Z225" s="167"/>
      <c r="AA225" s="167"/>
      <c r="AB225" s="167"/>
      <c r="AC225" s="167"/>
      <c r="AD225" s="167"/>
      <c r="AE225" s="167"/>
      <c r="AF225" s="167"/>
      <c r="AG225" s="167"/>
      <c r="AH225" s="167"/>
      <c r="AI225" s="167"/>
      <c r="AJ225" s="167"/>
      <c r="AK225" s="167"/>
      <c r="AL225" s="167"/>
      <c r="AM225" s="167"/>
      <c r="AN225" s="167"/>
      <c r="AO225" s="167"/>
      <c r="AP225" s="167"/>
    </row>
    <row r="226" spans="5:42" s="88" customFormat="1" x14ac:dyDescent="0.25">
      <c r="E226" s="152"/>
      <c r="F226" s="85" t="s">
        <v>373</v>
      </c>
      <c r="G226" s="40" t="s">
        <v>111</v>
      </c>
      <c r="H226" s="187"/>
      <c r="I226" s="166"/>
      <c r="J226" s="322">
        <f t="shared" ref="J226:AP226" si="34">IF(J$24, $H167, $H164)</f>
        <v>0.64604237702390588</v>
      </c>
      <c r="K226" s="322">
        <f t="shared" si="34"/>
        <v>0.64604237702390588</v>
      </c>
      <c r="L226" s="322">
        <f t="shared" si="34"/>
        <v>0.64604237702390588</v>
      </c>
      <c r="M226" s="322">
        <f t="shared" si="34"/>
        <v>0.64604237702390588</v>
      </c>
      <c r="N226" s="322">
        <f t="shared" si="34"/>
        <v>0.64604237702390588</v>
      </c>
      <c r="O226" s="322">
        <f t="shared" si="34"/>
        <v>0.64604237702390588</v>
      </c>
      <c r="P226" s="322">
        <f t="shared" si="34"/>
        <v>0.64604237702390588</v>
      </c>
      <c r="Q226" s="322">
        <f t="shared" si="34"/>
        <v>0.64604237702390588</v>
      </c>
      <c r="R226" s="322">
        <f t="shared" si="34"/>
        <v>0.64604237702390588</v>
      </c>
      <c r="S226" s="322">
        <f t="shared" si="34"/>
        <v>0.64604237702390588</v>
      </c>
      <c r="T226" s="322">
        <f t="shared" si="34"/>
        <v>0.64604237702390588</v>
      </c>
      <c r="U226" s="322">
        <f t="shared" si="34"/>
        <v>0.64604237702390588</v>
      </c>
      <c r="V226" s="322">
        <f t="shared" si="34"/>
        <v>0.64604237702390588</v>
      </c>
      <c r="W226" s="322">
        <f t="shared" si="34"/>
        <v>0.64604237702390588</v>
      </c>
      <c r="X226" s="322">
        <f t="shared" si="34"/>
        <v>0.48656961006219612</v>
      </c>
      <c r="Y226" s="322">
        <f t="shared" si="34"/>
        <v>0.48656961006219612</v>
      </c>
      <c r="Z226" s="322">
        <f t="shared" si="34"/>
        <v>0.48656961006219612</v>
      </c>
      <c r="AA226" s="322">
        <f t="shared" si="34"/>
        <v>0.48656961006219612</v>
      </c>
      <c r="AB226" s="322">
        <f t="shared" si="34"/>
        <v>0.48656961006219612</v>
      </c>
      <c r="AC226" s="322">
        <f t="shared" si="34"/>
        <v>0.64604237702390588</v>
      </c>
      <c r="AD226" s="322">
        <f t="shared" si="34"/>
        <v>0.64604237702390588</v>
      </c>
      <c r="AE226" s="322">
        <f t="shared" si="34"/>
        <v>0.64604237702390588</v>
      </c>
      <c r="AF226" s="322">
        <f t="shared" si="34"/>
        <v>0.64604237702390588</v>
      </c>
      <c r="AG226" s="322">
        <f t="shared" si="34"/>
        <v>0.64604237702390588</v>
      </c>
      <c r="AH226" s="322">
        <f t="shared" si="34"/>
        <v>0.64604237702390588</v>
      </c>
      <c r="AI226" s="322">
        <f t="shared" si="34"/>
        <v>0.64604237702390588</v>
      </c>
      <c r="AJ226" s="322">
        <f t="shared" si="34"/>
        <v>0.64604237702390588</v>
      </c>
      <c r="AK226" s="322">
        <f t="shared" si="34"/>
        <v>0.64604237702390588</v>
      </c>
      <c r="AL226" s="322">
        <f t="shared" si="34"/>
        <v>0.64604237702390588</v>
      </c>
      <c r="AM226" s="322">
        <f t="shared" si="34"/>
        <v>0.64604237702390588</v>
      </c>
      <c r="AN226" s="322">
        <f t="shared" si="34"/>
        <v>0.64604237702390588</v>
      </c>
      <c r="AO226" s="322">
        <f t="shared" si="34"/>
        <v>0.64604237702390588</v>
      </c>
      <c r="AP226" s="322">
        <f t="shared" si="34"/>
        <v>0.64604237702390588</v>
      </c>
    </row>
    <row r="227" spans="5:42" s="88" customFormat="1" x14ac:dyDescent="0.25">
      <c r="E227" s="152"/>
      <c r="F227" s="84" t="s">
        <v>374</v>
      </c>
      <c r="G227" s="145" t="s">
        <v>111</v>
      </c>
      <c r="H227" s="181"/>
      <c r="I227" s="339"/>
      <c r="J227" s="321">
        <f t="shared" ref="J227:AP227" si="35">IF(J$24, $H168, $H165)</f>
        <v>0.33939627158356922</v>
      </c>
      <c r="K227" s="321">
        <f t="shared" si="35"/>
        <v>0.33939627158356922</v>
      </c>
      <c r="L227" s="321">
        <f t="shared" si="35"/>
        <v>0.33939627158356922</v>
      </c>
      <c r="M227" s="321">
        <f t="shared" si="35"/>
        <v>0.33939627158356922</v>
      </c>
      <c r="N227" s="321">
        <f t="shared" si="35"/>
        <v>0.33939627158356922</v>
      </c>
      <c r="O227" s="321">
        <f t="shared" si="35"/>
        <v>0.33939627158356922</v>
      </c>
      <c r="P227" s="321">
        <f t="shared" si="35"/>
        <v>0.33939627158356922</v>
      </c>
      <c r="Q227" s="321">
        <f t="shared" si="35"/>
        <v>0.33939627158356922</v>
      </c>
      <c r="R227" s="321">
        <f t="shared" si="35"/>
        <v>0.33939627158356922</v>
      </c>
      <c r="S227" s="321">
        <f t="shared" si="35"/>
        <v>0.33939627158356922</v>
      </c>
      <c r="T227" s="321">
        <f t="shared" si="35"/>
        <v>0.33939627158356922</v>
      </c>
      <c r="U227" s="321">
        <f t="shared" si="35"/>
        <v>0.33939627158356922</v>
      </c>
      <c r="V227" s="321">
        <f t="shared" si="35"/>
        <v>0.33939627158356922</v>
      </c>
      <c r="W227" s="321">
        <f t="shared" si="35"/>
        <v>0.33939627158356922</v>
      </c>
      <c r="X227" s="321">
        <f t="shared" si="35"/>
        <v>0.49886903854527898</v>
      </c>
      <c r="Y227" s="321">
        <f t="shared" si="35"/>
        <v>0.49886903854527898</v>
      </c>
      <c r="Z227" s="321">
        <f t="shared" si="35"/>
        <v>0.49886903854527898</v>
      </c>
      <c r="AA227" s="321">
        <f t="shared" si="35"/>
        <v>0.49886903854527898</v>
      </c>
      <c r="AB227" s="321">
        <f t="shared" si="35"/>
        <v>0.49886903854527898</v>
      </c>
      <c r="AC227" s="321">
        <f t="shared" si="35"/>
        <v>0.33939627158356922</v>
      </c>
      <c r="AD227" s="321">
        <f t="shared" si="35"/>
        <v>0.33939627158356922</v>
      </c>
      <c r="AE227" s="321">
        <f t="shared" si="35"/>
        <v>0.33939627158356922</v>
      </c>
      <c r="AF227" s="321">
        <f t="shared" si="35"/>
        <v>0.33939627158356922</v>
      </c>
      <c r="AG227" s="321">
        <f t="shared" si="35"/>
        <v>0.33939627158356922</v>
      </c>
      <c r="AH227" s="321">
        <f t="shared" si="35"/>
        <v>0.33939627158356922</v>
      </c>
      <c r="AI227" s="321">
        <f t="shared" si="35"/>
        <v>0.33939627158356922</v>
      </c>
      <c r="AJ227" s="321">
        <f t="shared" si="35"/>
        <v>0.33939627158356922</v>
      </c>
      <c r="AK227" s="321">
        <f t="shared" si="35"/>
        <v>0.33939627158356922</v>
      </c>
      <c r="AL227" s="321">
        <f t="shared" si="35"/>
        <v>0.33939627158356922</v>
      </c>
      <c r="AM227" s="321">
        <f t="shared" si="35"/>
        <v>0.33939627158356922</v>
      </c>
      <c r="AN227" s="321">
        <f t="shared" si="35"/>
        <v>0.33939627158356922</v>
      </c>
      <c r="AO227" s="321">
        <f t="shared" si="35"/>
        <v>0.33939627158356922</v>
      </c>
      <c r="AP227" s="321">
        <f t="shared" si="35"/>
        <v>0.33939627158356922</v>
      </c>
    </row>
    <row r="228" spans="5:42" s="88" customFormat="1" x14ac:dyDescent="0.25">
      <c r="E228" s="152"/>
      <c r="F228" s="77" t="s">
        <v>103</v>
      </c>
      <c r="G228" s="38" t="s">
        <v>111</v>
      </c>
      <c r="H228" s="182"/>
      <c r="I228" s="168"/>
      <c r="J228" s="323">
        <f t="shared" ref="J228:AP228" si="36">IF(J$24, $H169, $H166)</f>
        <v>1.4561351392524903E-2</v>
      </c>
      <c r="K228" s="323">
        <f t="shared" si="36"/>
        <v>1.4561351392524903E-2</v>
      </c>
      <c r="L228" s="323">
        <f t="shared" si="36"/>
        <v>1.4561351392524903E-2</v>
      </c>
      <c r="M228" s="323">
        <f t="shared" si="36"/>
        <v>1.4561351392524903E-2</v>
      </c>
      <c r="N228" s="323">
        <f t="shared" si="36"/>
        <v>1.4561351392524903E-2</v>
      </c>
      <c r="O228" s="323">
        <f t="shared" si="36"/>
        <v>1.4561351392524903E-2</v>
      </c>
      <c r="P228" s="323">
        <f t="shared" si="36"/>
        <v>1.4561351392524903E-2</v>
      </c>
      <c r="Q228" s="323">
        <f t="shared" si="36"/>
        <v>1.4561351392524903E-2</v>
      </c>
      <c r="R228" s="323">
        <f t="shared" si="36"/>
        <v>1.4561351392524903E-2</v>
      </c>
      <c r="S228" s="323">
        <f t="shared" si="36"/>
        <v>1.4561351392524903E-2</v>
      </c>
      <c r="T228" s="323">
        <f t="shared" si="36"/>
        <v>1.4561351392524903E-2</v>
      </c>
      <c r="U228" s="323">
        <f t="shared" si="36"/>
        <v>1.4561351392524903E-2</v>
      </c>
      <c r="V228" s="323">
        <f t="shared" si="36"/>
        <v>1.4561351392524903E-2</v>
      </c>
      <c r="W228" s="323">
        <f t="shared" si="36"/>
        <v>1.4561351392524903E-2</v>
      </c>
      <c r="X228" s="323">
        <f t="shared" si="36"/>
        <v>1.4561351392524903E-2</v>
      </c>
      <c r="Y228" s="323">
        <f t="shared" si="36"/>
        <v>1.4561351392524903E-2</v>
      </c>
      <c r="Z228" s="323">
        <f t="shared" si="36"/>
        <v>1.4561351392524903E-2</v>
      </c>
      <c r="AA228" s="323">
        <f t="shared" si="36"/>
        <v>1.4561351392524903E-2</v>
      </c>
      <c r="AB228" s="323">
        <f t="shared" si="36"/>
        <v>1.4561351392524903E-2</v>
      </c>
      <c r="AC228" s="323">
        <f t="shared" si="36"/>
        <v>1.4561351392524903E-2</v>
      </c>
      <c r="AD228" s="323">
        <f t="shared" si="36"/>
        <v>1.4561351392524903E-2</v>
      </c>
      <c r="AE228" s="323">
        <f t="shared" si="36"/>
        <v>1.4561351392524903E-2</v>
      </c>
      <c r="AF228" s="323">
        <f t="shared" si="36"/>
        <v>1.4561351392524903E-2</v>
      </c>
      <c r="AG228" s="323">
        <f t="shared" si="36"/>
        <v>1.4561351392524903E-2</v>
      </c>
      <c r="AH228" s="323">
        <f t="shared" si="36"/>
        <v>1.4561351392524903E-2</v>
      </c>
      <c r="AI228" s="323">
        <f t="shared" si="36"/>
        <v>1.4561351392524903E-2</v>
      </c>
      <c r="AJ228" s="323">
        <f t="shared" si="36"/>
        <v>1.4561351392524903E-2</v>
      </c>
      <c r="AK228" s="323">
        <f t="shared" si="36"/>
        <v>1.4561351392524903E-2</v>
      </c>
      <c r="AL228" s="323">
        <f t="shared" si="36"/>
        <v>1.4561351392524903E-2</v>
      </c>
      <c r="AM228" s="323">
        <f t="shared" si="36"/>
        <v>1.4561351392524903E-2</v>
      </c>
      <c r="AN228" s="323">
        <f t="shared" si="36"/>
        <v>1.4561351392524903E-2</v>
      </c>
      <c r="AO228" s="323">
        <f t="shared" si="36"/>
        <v>1.4561351392524903E-2</v>
      </c>
      <c r="AP228" s="323">
        <f t="shared" si="36"/>
        <v>1.4561351392524903E-2</v>
      </c>
    </row>
    <row r="229" spans="5:42" s="160" customFormat="1" x14ac:dyDescent="0.25">
      <c r="E229" s="152"/>
      <c r="F229" s="84"/>
      <c r="G229" s="145"/>
      <c r="H229" s="181"/>
      <c r="I229" s="167"/>
      <c r="J229" s="321"/>
      <c r="K229" s="321"/>
      <c r="L229" s="321"/>
      <c r="M229" s="321"/>
      <c r="N229" s="321"/>
      <c r="O229" s="321"/>
      <c r="P229" s="321"/>
      <c r="Q229" s="321"/>
      <c r="R229" s="321"/>
      <c r="S229" s="321"/>
      <c r="T229" s="321"/>
      <c r="U229" s="321"/>
      <c r="V229" s="321"/>
      <c r="W229" s="321"/>
      <c r="X229" s="321"/>
      <c r="Y229" s="321"/>
      <c r="Z229" s="321"/>
      <c r="AA229" s="321"/>
      <c r="AB229" s="321"/>
      <c r="AC229" s="321"/>
      <c r="AD229" s="321"/>
      <c r="AE229" s="321"/>
      <c r="AF229" s="321"/>
      <c r="AG229" s="321"/>
      <c r="AH229" s="321"/>
      <c r="AI229" s="321"/>
      <c r="AJ229" s="321"/>
      <c r="AK229" s="321"/>
      <c r="AL229" s="321"/>
      <c r="AM229" s="321"/>
      <c r="AN229" s="321"/>
      <c r="AO229" s="321"/>
      <c r="AP229" s="321"/>
    </row>
    <row r="230" spans="5:42" s="88" customFormat="1" x14ac:dyDescent="0.25">
      <c r="E230" s="172" t="s">
        <v>810</v>
      </c>
      <c r="F230" s="167"/>
      <c r="G230" s="145"/>
      <c r="H230" s="167"/>
      <c r="I230" s="167"/>
      <c r="J230" s="167"/>
      <c r="K230" s="167"/>
      <c r="L230" s="167"/>
      <c r="M230" s="167"/>
      <c r="N230" s="167"/>
      <c r="O230" s="167"/>
      <c r="P230" s="167"/>
      <c r="Q230" s="167"/>
      <c r="R230" s="167"/>
      <c r="S230" s="167"/>
      <c r="T230" s="167"/>
      <c r="U230" s="167"/>
      <c r="V230" s="167"/>
      <c r="W230" s="167"/>
      <c r="X230" s="167"/>
      <c r="Y230" s="167"/>
      <c r="Z230" s="167"/>
      <c r="AA230" s="167"/>
      <c r="AB230" s="167"/>
      <c r="AC230" s="167"/>
      <c r="AD230" s="167"/>
      <c r="AE230" s="167"/>
      <c r="AF230" s="167"/>
      <c r="AG230" s="167"/>
      <c r="AH230" s="167"/>
      <c r="AI230" s="167"/>
      <c r="AJ230" s="167"/>
      <c r="AK230" s="167"/>
      <c r="AL230" s="167"/>
      <c r="AM230" s="167"/>
      <c r="AN230" s="167"/>
      <c r="AO230" s="167"/>
      <c r="AP230" s="167"/>
    </row>
    <row r="231" spans="5:42" s="88" customFormat="1" x14ac:dyDescent="0.25">
      <c r="E231" s="152"/>
      <c r="F231" s="85" t="s">
        <v>373</v>
      </c>
      <c r="G231" s="40" t="s">
        <v>111</v>
      </c>
      <c r="H231" s="187"/>
      <c r="I231" s="166"/>
      <c r="J231" s="322">
        <f t="shared" ref="J231:AP231" si="37">IF(J$24, $H175, $H172)</f>
        <v>0</v>
      </c>
      <c r="K231" s="322">
        <f t="shared" si="37"/>
        <v>0</v>
      </c>
      <c r="L231" s="322">
        <f t="shared" si="37"/>
        <v>0</v>
      </c>
      <c r="M231" s="322">
        <f t="shared" si="37"/>
        <v>0</v>
      </c>
      <c r="N231" s="322">
        <f t="shared" si="37"/>
        <v>0</v>
      </c>
      <c r="O231" s="322">
        <f t="shared" si="37"/>
        <v>0</v>
      </c>
      <c r="P231" s="322">
        <f t="shared" si="37"/>
        <v>0</v>
      </c>
      <c r="Q231" s="322">
        <f t="shared" si="37"/>
        <v>0</v>
      </c>
      <c r="R231" s="322">
        <f t="shared" si="37"/>
        <v>0</v>
      </c>
      <c r="S231" s="322">
        <f t="shared" si="37"/>
        <v>0</v>
      </c>
      <c r="T231" s="322">
        <f t="shared" si="37"/>
        <v>0</v>
      </c>
      <c r="U231" s="322">
        <f t="shared" si="37"/>
        <v>0</v>
      </c>
      <c r="V231" s="322">
        <f t="shared" si="37"/>
        <v>0</v>
      </c>
      <c r="W231" s="322">
        <f t="shared" si="37"/>
        <v>0</v>
      </c>
      <c r="X231" s="322">
        <f t="shared" si="37"/>
        <v>0</v>
      </c>
      <c r="Y231" s="322">
        <f t="shared" si="37"/>
        <v>0</v>
      </c>
      <c r="Z231" s="322">
        <f t="shared" si="37"/>
        <v>0</v>
      </c>
      <c r="AA231" s="322">
        <f t="shared" si="37"/>
        <v>0</v>
      </c>
      <c r="AB231" s="322">
        <f t="shared" si="37"/>
        <v>0</v>
      </c>
      <c r="AC231" s="322">
        <f t="shared" si="37"/>
        <v>0</v>
      </c>
      <c r="AD231" s="322">
        <f t="shared" si="37"/>
        <v>0</v>
      </c>
      <c r="AE231" s="322">
        <f t="shared" si="37"/>
        <v>0</v>
      </c>
      <c r="AF231" s="322">
        <f t="shared" si="37"/>
        <v>0</v>
      </c>
      <c r="AG231" s="322">
        <f t="shared" si="37"/>
        <v>0</v>
      </c>
      <c r="AH231" s="322">
        <f t="shared" si="37"/>
        <v>0</v>
      </c>
      <c r="AI231" s="322">
        <f t="shared" si="37"/>
        <v>0</v>
      </c>
      <c r="AJ231" s="322">
        <f t="shared" si="37"/>
        <v>0</v>
      </c>
      <c r="AK231" s="322">
        <f t="shared" si="37"/>
        <v>0</v>
      </c>
      <c r="AL231" s="322">
        <f t="shared" si="37"/>
        <v>0</v>
      </c>
      <c r="AM231" s="322">
        <f t="shared" si="37"/>
        <v>0</v>
      </c>
      <c r="AN231" s="322">
        <f t="shared" si="37"/>
        <v>0</v>
      </c>
      <c r="AO231" s="322">
        <f t="shared" si="37"/>
        <v>0</v>
      </c>
      <c r="AP231" s="322">
        <f t="shared" si="37"/>
        <v>0</v>
      </c>
    </row>
    <row r="232" spans="5:42" s="88" customFormat="1" x14ac:dyDescent="0.25">
      <c r="E232" s="152"/>
      <c r="F232" s="84" t="s">
        <v>374</v>
      </c>
      <c r="G232" s="145" t="s">
        <v>111</v>
      </c>
      <c r="H232" s="181"/>
      <c r="I232" s="339"/>
      <c r="J232" s="321">
        <f t="shared" ref="J232:AP232" si="38">IF(J$24, $H176, $H173)</f>
        <v>0</v>
      </c>
      <c r="K232" s="321">
        <f t="shared" si="38"/>
        <v>0</v>
      </c>
      <c r="L232" s="321">
        <f t="shared" si="38"/>
        <v>0</v>
      </c>
      <c r="M232" s="321">
        <f t="shared" si="38"/>
        <v>0</v>
      </c>
      <c r="N232" s="321">
        <f t="shared" si="38"/>
        <v>0</v>
      </c>
      <c r="O232" s="321">
        <f t="shared" si="38"/>
        <v>0</v>
      </c>
      <c r="P232" s="321">
        <f t="shared" si="38"/>
        <v>0</v>
      </c>
      <c r="Q232" s="321">
        <f t="shared" si="38"/>
        <v>0</v>
      </c>
      <c r="R232" s="321">
        <f t="shared" si="38"/>
        <v>0</v>
      </c>
      <c r="S232" s="321">
        <f t="shared" si="38"/>
        <v>0</v>
      </c>
      <c r="T232" s="321">
        <f t="shared" si="38"/>
        <v>0</v>
      </c>
      <c r="U232" s="321">
        <f t="shared" si="38"/>
        <v>0</v>
      </c>
      <c r="V232" s="321">
        <f t="shared" si="38"/>
        <v>0</v>
      </c>
      <c r="W232" s="321">
        <f t="shared" si="38"/>
        <v>0</v>
      </c>
      <c r="X232" s="321">
        <f t="shared" si="38"/>
        <v>0</v>
      </c>
      <c r="Y232" s="321">
        <f t="shared" si="38"/>
        <v>0</v>
      </c>
      <c r="Z232" s="321">
        <f t="shared" si="38"/>
        <v>0</v>
      </c>
      <c r="AA232" s="321">
        <f t="shared" si="38"/>
        <v>0</v>
      </c>
      <c r="AB232" s="321">
        <f t="shared" si="38"/>
        <v>0</v>
      </c>
      <c r="AC232" s="321">
        <f t="shared" si="38"/>
        <v>0</v>
      </c>
      <c r="AD232" s="321">
        <f t="shared" si="38"/>
        <v>0</v>
      </c>
      <c r="AE232" s="321">
        <f t="shared" si="38"/>
        <v>0</v>
      </c>
      <c r="AF232" s="321">
        <f t="shared" si="38"/>
        <v>0</v>
      </c>
      <c r="AG232" s="321">
        <f t="shared" si="38"/>
        <v>0</v>
      </c>
      <c r="AH232" s="321">
        <f t="shared" si="38"/>
        <v>0</v>
      </c>
      <c r="AI232" s="321">
        <f t="shared" si="38"/>
        <v>0</v>
      </c>
      <c r="AJ232" s="321">
        <f t="shared" si="38"/>
        <v>0</v>
      </c>
      <c r="AK232" s="321">
        <f t="shared" si="38"/>
        <v>0</v>
      </c>
      <c r="AL232" s="321">
        <f t="shared" si="38"/>
        <v>0</v>
      </c>
      <c r="AM232" s="321">
        <f t="shared" si="38"/>
        <v>0</v>
      </c>
      <c r="AN232" s="321">
        <f t="shared" si="38"/>
        <v>0</v>
      </c>
      <c r="AO232" s="321">
        <f t="shared" si="38"/>
        <v>0</v>
      </c>
      <c r="AP232" s="321">
        <f t="shared" si="38"/>
        <v>0</v>
      </c>
    </row>
    <row r="233" spans="5:42" s="88" customFormat="1" x14ac:dyDescent="0.25">
      <c r="E233" s="152"/>
      <c r="F233" s="77" t="s">
        <v>103</v>
      </c>
      <c r="G233" s="38" t="s">
        <v>111</v>
      </c>
      <c r="H233" s="182"/>
      <c r="I233" s="168"/>
      <c r="J233" s="323">
        <f t="shared" ref="J233:AP233" si="39">IF(J$24, $H177, $H174)</f>
        <v>0</v>
      </c>
      <c r="K233" s="323">
        <f t="shared" si="39"/>
        <v>0</v>
      </c>
      <c r="L233" s="323">
        <f t="shared" si="39"/>
        <v>0</v>
      </c>
      <c r="M233" s="323">
        <f t="shared" si="39"/>
        <v>0</v>
      </c>
      <c r="N233" s="323">
        <f t="shared" si="39"/>
        <v>0</v>
      </c>
      <c r="O233" s="323">
        <f t="shared" si="39"/>
        <v>0</v>
      </c>
      <c r="P233" s="323">
        <f t="shared" si="39"/>
        <v>0</v>
      </c>
      <c r="Q233" s="323">
        <f t="shared" si="39"/>
        <v>0</v>
      </c>
      <c r="R233" s="323">
        <f t="shared" si="39"/>
        <v>0</v>
      </c>
      <c r="S233" s="323">
        <f t="shared" si="39"/>
        <v>0</v>
      </c>
      <c r="T233" s="323">
        <f t="shared" si="39"/>
        <v>0</v>
      </c>
      <c r="U233" s="323">
        <f t="shared" si="39"/>
        <v>0</v>
      </c>
      <c r="V233" s="323">
        <f t="shared" si="39"/>
        <v>0</v>
      </c>
      <c r="W233" s="323">
        <f t="shared" si="39"/>
        <v>0</v>
      </c>
      <c r="X233" s="323">
        <f t="shared" si="39"/>
        <v>0</v>
      </c>
      <c r="Y233" s="323">
        <f t="shared" si="39"/>
        <v>0</v>
      </c>
      <c r="Z233" s="323">
        <f t="shared" si="39"/>
        <v>0</v>
      </c>
      <c r="AA233" s="323">
        <f t="shared" si="39"/>
        <v>0</v>
      </c>
      <c r="AB233" s="323">
        <f t="shared" si="39"/>
        <v>0</v>
      </c>
      <c r="AC233" s="323">
        <f t="shared" si="39"/>
        <v>0</v>
      </c>
      <c r="AD233" s="323">
        <f t="shared" si="39"/>
        <v>0</v>
      </c>
      <c r="AE233" s="323">
        <f t="shared" si="39"/>
        <v>0</v>
      </c>
      <c r="AF233" s="323">
        <f t="shared" si="39"/>
        <v>0</v>
      </c>
      <c r="AG233" s="323">
        <f t="shared" si="39"/>
        <v>0</v>
      </c>
      <c r="AH233" s="323">
        <f t="shared" si="39"/>
        <v>0</v>
      </c>
      <c r="AI233" s="323">
        <f t="shared" si="39"/>
        <v>0</v>
      </c>
      <c r="AJ233" s="323">
        <f t="shared" si="39"/>
        <v>0</v>
      </c>
      <c r="AK233" s="323">
        <f t="shared" si="39"/>
        <v>0</v>
      </c>
      <c r="AL233" s="323">
        <f t="shared" si="39"/>
        <v>0</v>
      </c>
      <c r="AM233" s="323">
        <f t="shared" si="39"/>
        <v>0</v>
      </c>
      <c r="AN233" s="323">
        <f t="shared" si="39"/>
        <v>0</v>
      </c>
      <c r="AO233" s="323">
        <f t="shared" si="39"/>
        <v>0</v>
      </c>
      <c r="AP233" s="323">
        <f t="shared" si="39"/>
        <v>0</v>
      </c>
    </row>
    <row r="234" spans="5:42" s="160" customFormat="1" x14ac:dyDescent="0.25">
      <c r="E234" s="152"/>
      <c r="F234" s="84"/>
      <c r="G234" s="145"/>
      <c r="H234" s="181"/>
      <c r="I234" s="167"/>
      <c r="J234" s="321"/>
      <c r="K234" s="321"/>
      <c r="L234" s="321"/>
      <c r="M234" s="321"/>
      <c r="N234" s="321"/>
      <c r="O234" s="321"/>
      <c r="P234" s="321"/>
      <c r="Q234" s="321"/>
      <c r="R234" s="321"/>
      <c r="S234" s="321"/>
      <c r="T234" s="321"/>
      <c r="U234" s="321"/>
      <c r="V234" s="321"/>
      <c r="W234" s="321"/>
      <c r="X234" s="321"/>
      <c r="Y234" s="321"/>
      <c r="Z234" s="321"/>
      <c r="AA234" s="321"/>
      <c r="AB234" s="321"/>
      <c r="AC234" s="321"/>
      <c r="AD234" s="321"/>
      <c r="AE234" s="321"/>
      <c r="AF234" s="321"/>
      <c r="AG234" s="321"/>
      <c r="AH234" s="321"/>
      <c r="AI234" s="321"/>
      <c r="AJ234" s="321"/>
      <c r="AK234" s="321"/>
      <c r="AL234" s="321"/>
      <c r="AM234" s="321"/>
      <c r="AN234" s="321"/>
      <c r="AO234" s="321"/>
      <c r="AP234" s="321"/>
    </row>
    <row r="235" spans="5:42" s="88" customFormat="1" x14ac:dyDescent="0.25">
      <c r="E235" s="172" t="s">
        <v>811</v>
      </c>
      <c r="F235" s="167"/>
      <c r="G235" s="145"/>
      <c r="H235" s="167"/>
      <c r="I235" s="167"/>
      <c r="J235" s="167"/>
      <c r="K235" s="167"/>
      <c r="L235" s="167"/>
      <c r="M235" s="167"/>
      <c r="N235" s="167"/>
      <c r="O235" s="167"/>
      <c r="P235" s="167"/>
      <c r="Q235" s="167"/>
      <c r="R235" s="167"/>
      <c r="S235" s="167"/>
      <c r="T235" s="167"/>
      <c r="U235" s="167"/>
      <c r="V235" s="167"/>
      <c r="W235" s="167"/>
      <c r="X235" s="167"/>
      <c r="Y235" s="167"/>
      <c r="Z235" s="167"/>
      <c r="AA235" s="167"/>
      <c r="AB235" s="167"/>
      <c r="AC235" s="167"/>
      <c r="AD235" s="167"/>
      <c r="AE235" s="167"/>
      <c r="AF235" s="167"/>
      <c r="AG235" s="167"/>
      <c r="AH235" s="167"/>
      <c r="AI235" s="167"/>
      <c r="AJ235" s="167"/>
      <c r="AK235" s="167"/>
      <c r="AL235" s="167"/>
      <c r="AM235" s="167"/>
      <c r="AN235" s="167"/>
      <c r="AO235" s="167"/>
      <c r="AP235" s="167"/>
    </row>
    <row r="236" spans="5:42" s="88" customFormat="1" x14ac:dyDescent="0.25">
      <c r="E236" s="152"/>
      <c r="F236" s="85" t="s">
        <v>373</v>
      </c>
      <c r="G236" s="40" t="s">
        <v>111</v>
      </c>
      <c r="H236" s="187"/>
      <c r="I236" s="166"/>
      <c r="J236" s="322">
        <f t="shared" ref="J236:AP236" si="40">IF(J$24, $H183, $H180)</f>
        <v>0.42663341792505066</v>
      </c>
      <c r="K236" s="322">
        <f t="shared" si="40"/>
        <v>0.42663341792505066</v>
      </c>
      <c r="L236" s="322">
        <f t="shared" si="40"/>
        <v>0.42663341792505066</v>
      </c>
      <c r="M236" s="322">
        <f t="shared" si="40"/>
        <v>0.42663341792505066</v>
      </c>
      <c r="N236" s="322">
        <f t="shared" si="40"/>
        <v>0.42663341792505066</v>
      </c>
      <c r="O236" s="322">
        <f t="shared" si="40"/>
        <v>0.42663341792505066</v>
      </c>
      <c r="P236" s="322">
        <f t="shared" si="40"/>
        <v>0.42663341792505066</v>
      </c>
      <c r="Q236" s="322">
        <f t="shared" si="40"/>
        <v>0.42663341792505066</v>
      </c>
      <c r="R236" s="322">
        <f t="shared" si="40"/>
        <v>0.42663341792505066</v>
      </c>
      <c r="S236" s="322">
        <f t="shared" si="40"/>
        <v>0.42663341792505066</v>
      </c>
      <c r="T236" s="322">
        <f t="shared" si="40"/>
        <v>0.42663341792505066</v>
      </c>
      <c r="U236" s="322">
        <f t="shared" si="40"/>
        <v>0.42663341792505066</v>
      </c>
      <c r="V236" s="322">
        <f t="shared" si="40"/>
        <v>0.42663341792505066</v>
      </c>
      <c r="W236" s="322">
        <f t="shared" si="40"/>
        <v>0.42663341792505066</v>
      </c>
      <c r="X236" s="322">
        <f t="shared" si="40"/>
        <v>0.29903860265532539</v>
      </c>
      <c r="Y236" s="322">
        <f t="shared" si="40"/>
        <v>0.29903860265532539</v>
      </c>
      <c r="Z236" s="322">
        <f t="shared" si="40"/>
        <v>0.29903860265532539</v>
      </c>
      <c r="AA236" s="322">
        <f t="shared" si="40"/>
        <v>0.29903860265532539</v>
      </c>
      <c r="AB236" s="322">
        <f t="shared" si="40"/>
        <v>0.29903860265532539</v>
      </c>
      <c r="AC236" s="322">
        <f t="shared" si="40"/>
        <v>0.42663341792505066</v>
      </c>
      <c r="AD236" s="322">
        <f t="shared" si="40"/>
        <v>0.42663341792505066</v>
      </c>
      <c r="AE236" s="322">
        <f t="shared" si="40"/>
        <v>0.42663341792505066</v>
      </c>
      <c r="AF236" s="322">
        <f t="shared" si="40"/>
        <v>0.42663341792505066</v>
      </c>
      <c r="AG236" s="322">
        <f t="shared" si="40"/>
        <v>0.42663341792505066</v>
      </c>
      <c r="AH236" s="322">
        <f t="shared" si="40"/>
        <v>0.42663341792505066</v>
      </c>
      <c r="AI236" s="322">
        <f t="shared" si="40"/>
        <v>0.42663341792505066</v>
      </c>
      <c r="AJ236" s="322">
        <f t="shared" si="40"/>
        <v>0.42663341792505066</v>
      </c>
      <c r="AK236" s="322">
        <f t="shared" si="40"/>
        <v>0.42663341792505066</v>
      </c>
      <c r="AL236" s="322">
        <f t="shared" si="40"/>
        <v>0.42663341792505066</v>
      </c>
      <c r="AM236" s="322">
        <f t="shared" si="40"/>
        <v>0.42663341792505066</v>
      </c>
      <c r="AN236" s="322">
        <f t="shared" si="40"/>
        <v>0.42663341792505066</v>
      </c>
      <c r="AO236" s="322">
        <f t="shared" si="40"/>
        <v>0.42663341792505066</v>
      </c>
      <c r="AP236" s="322">
        <f t="shared" si="40"/>
        <v>0.42663341792505066</v>
      </c>
    </row>
    <row r="237" spans="5:42" s="88" customFormat="1" x14ac:dyDescent="0.25">
      <c r="E237" s="152"/>
      <c r="F237" s="84" t="s">
        <v>374</v>
      </c>
      <c r="G237" s="145" t="s">
        <v>111</v>
      </c>
      <c r="H237" s="181"/>
      <c r="I237" s="339"/>
      <c r="J237" s="321">
        <f t="shared" ref="J237:AP237" si="41">IF(J$24, $H184, $H181)</f>
        <v>0.5416472134423479</v>
      </c>
      <c r="K237" s="321">
        <f t="shared" si="41"/>
        <v>0.5416472134423479</v>
      </c>
      <c r="L237" s="321">
        <f t="shared" si="41"/>
        <v>0.5416472134423479</v>
      </c>
      <c r="M237" s="321">
        <f t="shared" si="41"/>
        <v>0.5416472134423479</v>
      </c>
      <c r="N237" s="321">
        <f t="shared" si="41"/>
        <v>0.5416472134423479</v>
      </c>
      <c r="O237" s="321">
        <f t="shared" si="41"/>
        <v>0.5416472134423479</v>
      </c>
      <c r="P237" s="321">
        <f t="shared" si="41"/>
        <v>0.5416472134423479</v>
      </c>
      <c r="Q237" s="321">
        <f t="shared" si="41"/>
        <v>0.5416472134423479</v>
      </c>
      <c r="R237" s="321">
        <f t="shared" si="41"/>
        <v>0.5416472134423479</v>
      </c>
      <c r="S237" s="321">
        <f t="shared" si="41"/>
        <v>0.5416472134423479</v>
      </c>
      <c r="T237" s="321">
        <f t="shared" si="41"/>
        <v>0.5416472134423479</v>
      </c>
      <c r="U237" s="321">
        <f t="shared" si="41"/>
        <v>0.5416472134423479</v>
      </c>
      <c r="V237" s="321">
        <f t="shared" si="41"/>
        <v>0.5416472134423479</v>
      </c>
      <c r="W237" s="321">
        <f t="shared" si="41"/>
        <v>0.5416472134423479</v>
      </c>
      <c r="X237" s="321">
        <f t="shared" si="41"/>
        <v>0.66924202871207328</v>
      </c>
      <c r="Y237" s="321">
        <f t="shared" si="41"/>
        <v>0.66924202871207328</v>
      </c>
      <c r="Z237" s="321">
        <f t="shared" si="41"/>
        <v>0.66924202871207328</v>
      </c>
      <c r="AA237" s="321">
        <f t="shared" si="41"/>
        <v>0.66924202871207328</v>
      </c>
      <c r="AB237" s="321">
        <f t="shared" si="41"/>
        <v>0.66924202871207328</v>
      </c>
      <c r="AC237" s="321">
        <f t="shared" si="41"/>
        <v>0.5416472134423479</v>
      </c>
      <c r="AD237" s="321">
        <f t="shared" si="41"/>
        <v>0.5416472134423479</v>
      </c>
      <c r="AE237" s="321">
        <f t="shared" si="41"/>
        <v>0.5416472134423479</v>
      </c>
      <c r="AF237" s="321">
        <f t="shared" si="41"/>
        <v>0.5416472134423479</v>
      </c>
      <c r="AG237" s="321">
        <f t="shared" si="41"/>
        <v>0.5416472134423479</v>
      </c>
      <c r="AH237" s="321">
        <f t="shared" si="41"/>
        <v>0.5416472134423479</v>
      </c>
      <c r="AI237" s="321">
        <f t="shared" si="41"/>
        <v>0.5416472134423479</v>
      </c>
      <c r="AJ237" s="321">
        <f t="shared" si="41"/>
        <v>0.5416472134423479</v>
      </c>
      <c r="AK237" s="321">
        <f t="shared" si="41"/>
        <v>0.5416472134423479</v>
      </c>
      <c r="AL237" s="321">
        <f t="shared" si="41"/>
        <v>0.5416472134423479</v>
      </c>
      <c r="AM237" s="321">
        <f t="shared" si="41"/>
        <v>0.5416472134423479</v>
      </c>
      <c r="AN237" s="321">
        <f t="shared" si="41"/>
        <v>0.5416472134423479</v>
      </c>
      <c r="AO237" s="321">
        <f t="shared" si="41"/>
        <v>0.5416472134423479</v>
      </c>
      <c r="AP237" s="321">
        <f t="shared" si="41"/>
        <v>0.5416472134423479</v>
      </c>
    </row>
    <row r="238" spans="5:42" s="88" customFormat="1" x14ac:dyDescent="0.25">
      <c r="E238" s="152"/>
      <c r="F238" s="77" t="s">
        <v>103</v>
      </c>
      <c r="G238" s="38" t="s">
        <v>111</v>
      </c>
      <c r="H238" s="182"/>
      <c r="I238" s="168"/>
      <c r="J238" s="323">
        <f t="shared" ref="J238:AP238" si="42">IF(J$24, $H185, $H182)</f>
        <v>3.1719368632601504E-2</v>
      </c>
      <c r="K238" s="323">
        <f t="shared" si="42"/>
        <v>3.1719368632601504E-2</v>
      </c>
      <c r="L238" s="323">
        <f t="shared" si="42"/>
        <v>3.1719368632601504E-2</v>
      </c>
      <c r="M238" s="323">
        <f t="shared" si="42"/>
        <v>3.1719368632601504E-2</v>
      </c>
      <c r="N238" s="323">
        <f t="shared" si="42"/>
        <v>3.1719368632601504E-2</v>
      </c>
      <c r="O238" s="323">
        <f t="shared" si="42"/>
        <v>3.1719368632601504E-2</v>
      </c>
      <c r="P238" s="323">
        <f t="shared" si="42"/>
        <v>3.1719368632601504E-2</v>
      </c>
      <c r="Q238" s="323">
        <f t="shared" si="42"/>
        <v>3.1719368632601504E-2</v>
      </c>
      <c r="R238" s="323">
        <f t="shared" si="42"/>
        <v>3.1719368632601504E-2</v>
      </c>
      <c r="S238" s="323">
        <f t="shared" si="42"/>
        <v>3.1719368632601504E-2</v>
      </c>
      <c r="T238" s="323">
        <f t="shared" si="42"/>
        <v>3.1719368632601504E-2</v>
      </c>
      <c r="U238" s="323">
        <f t="shared" si="42"/>
        <v>3.1719368632601504E-2</v>
      </c>
      <c r="V238" s="323">
        <f t="shared" si="42"/>
        <v>3.1719368632601504E-2</v>
      </c>
      <c r="W238" s="323">
        <f t="shared" si="42"/>
        <v>3.1719368632601504E-2</v>
      </c>
      <c r="X238" s="323">
        <f t="shared" si="42"/>
        <v>3.1719368632601504E-2</v>
      </c>
      <c r="Y238" s="323">
        <f t="shared" si="42"/>
        <v>3.1719368632601504E-2</v>
      </c>
      <c r="Z238" s="323">
        <f t="shared" si="42"/>
        <v>3.1719368632601504E-2</v>
      </c>
      <c r="AA238" s="323">
        <f t="shared" si="42"/>
        <v>3.1719368632601504E-2</v>
      </c>
      <c r="AB238" s="323">
        <f t="shared" si="42"/>
        <v>3.1719368632601504E-2</v>
      </c>
      <c r="AC238" s="323">
        <f t="shared" si="42"/>
        <v>3.1719368632601504E-2</v>
      </c>
      <c r="AD238" s="323">
        <f t="shared" si="42"/>
        <v>3.1719368632601504E-2</v>
      </c>
      <c r="AE238" s="323">
        <f t="shared" si="42"/>
        <v>3.1719368632601504E-2</v>
      </c>
      <c r="AF238" s="323">
        <f t="shared" si="42"/>
        <v>3.1719368632601504E-2</v>
      </c>
      <c r="AG238" s="323">
        <f t="shared" si="42"/>
        <v>3.1719368632601504E-2</v>
      </c>
      <c r="AH238" s="323">
        <f t="shared" si="42"/>
        <v>3.1719368632601504E-2</v>
      </c>
      <c r="AI238" s="323">
        <f t="shared" si="42"/>
        <v>3.1719368632601504E-2</v>
      </c>
      <c r="AJ238" s="323">
        <f t="shared" si="42"/>
        <v>3.1719368632601504E-2</v>
      </c>
      <c r="AK238" s="323">
        <f t="shared" si="42"/>
        <v>3.1719368632601504E-2</v>
      </c>
      <c r="AL238" s="323">
        <f t="shared" si="42"/>
        <v>3.1719368632601504E-2</v>
      </c>
      <c r="AM238" s="323">
        <f t="shared" si="42"/>
        <v>3.1719368632601504E-2</v>
      </c>
      <c r="AN238" s="323">
        <f t="shared" si="42"/>
        <v>3.1719368632601504E-2</v>
      </c>
      <c r="AO238" s="323">
        <f t="shared" si="42"/>
        <v>3.1719368632601504E-2</v>
      </c>
      <c r="AP238" s="323">
        <f t="shared" si="42"/>
        <v>3.1719368632601504E-2</v>
      </c>
    </row>
    <row r="239" spans="5:42" s="160" customFormat="1" x14ac:dyDescent="0.25">
      <c r="E239" s="152"/>
      <c r="F239" s="84"/>
      <c r="G239" s="145"/>
      <c r="H239" s="181"/>
      <c r="I239" s="167"/>
      <c r="J239" s="321"/>
      <c r="K239" s="321"/>
      <c r="L239" s="321"/>
      <c r="M239" s="321"/>
      <c r="N239" s="321"/>
      <c r="O239" s="321"/>
      <c r="P239" s="321"/>
      <c r="Q239" s="321"/>
      <c r="R239" s="321"/>
      <c r="S239" s="321"/>
      <c r="T239" s="321"/>
      <c r="U239" s="321"/>
      <c r="V239" s="321"/>
      <c r="W239" s="321"/>
      <c r="X239" s="321"/>
      <c r="Y239" s="321"/>
      <c r="Z239" s="321"/>
      <c r="AA239" s="321"/>
      <c r="AB239" s="321"/>
      <c r="AC239" s="321"/>
      <c r="AD239" s="321"/>
      <c r="AE239" s="321"/>
      <c r="AF239" s="321"/>
      <c r="AG239" s="321"/>
      <c r="AH239" s="321"/>
      <c r="AI239" s="321"/>
      <c r="AJ239" s="321"/>
      <c r="AK239" s="321"/>
      <c r="AL239" s="321"/>
      <c r="AM239" s="321"/>
      <c r="AN239" s="321"/>
      <c r="AO239" s="321"/>
      <c r="AP239" s="321"/>
    </row>
    <row r="240" spans="5:42" s="88" customFormat="1" x14ac:dyDescent="0.25">
      <c r="E240" s="172" t="s">
        <v>812</v>
      </c>
      <c r="F240" s="167"/>
      <c r="G240" s="145"/>
      <c r="H240" s="167"/>
      <c r="I240" s="167"/>
      <c r="J240" s="167"/>
      <c r="K240" s="167"/>
      <c r="L240" s="167"/>
      <c r="M240" s="167"/>
      <c r="N240" s="167"/>
      <c r="O240" s="167"/>
      <c r="P240" s="167"/>
      <c r="Q240" s="167"/>
      <c r="R240" s="167"/>
      <c r="S240" s="167"/>
      <c r="T240" s="167"/>
      <c r="U240" s="167"/>
      <c r="V240" s="167"/>
      <c r="W240" s="167"/>
      <c r="X240" s="167"/>
      <c r="Y240" s="167"/>
      <c r="Z240" s="167"/>
      <c r="AA240" s="167"/>
      <c r="AB240" s="167"/>
      <c r="AC240" s="167"/>
      <c r="AD240" s="167"/>
      <c r="AE240" s="167"/>
      <c r="AF240" s="167"/>
      <c r="AG240" s="167"/>
      <c r="AH240" s="167"/>
      <c r="AI240" s="167"/>
      <c r="AJ240" s="167"/>
      <c r="AK240" s="167"/>
      <c r="AL240" s="167"/>
      <c r="AM240" s="167"/>
      <c r="AN240" s="167"/>
      <c r="AO240" s="167"/>
      <c r="AP240" s="167"/>
    </row>
    <row r="241" spans="3:44" s="88" customFormat="1" x14ac:dyDescent="0.25">
      <c r="E241" s="152"/>
      <c r="F241" s="85" t="s">
        <v>373</v>
      </c>
      <c r="G241" s="40" t="s">
        <v>111</v>
      </c>
      <c r="H241" s="187"/>
      <c r="I241" s="166"/>
      <c r="J241" s="322">
        <f t="shared" ref="J241:AP241" si="43">IF(J$24, $H191, $H188)</f>
        <v>0.42663341792505066</v>
      </c>
      <c r="K241" s="322">
        <f t="shared" si="43"/>
        <v>0.42663341792505066</v>
      </c>
      <c r="L241" s="322">
        <f t="shared" si="43"/>
        <v>0.42663341792505066</v>
      </c>
      <c r="M241" s="322">
        <f t="shared" si="43"/>
        <v>0.42663341792505066</v>
      </c>
      <c r="N241" s="322">
        <f t="shared" si="43"/>
        <v>0.42663341792505066</v>
      </c>
      <c r="O241" s="322">
        <f t="shared" si="43"/>
        <v>0.42663341792505066</v>
      </c>
      <c r="P241" s="322">
        <f t="shared" si="43"/>
        <v>0.42663341792505066</v>
      </c>
      <c r="Q241" s="322">
        <f t="shared" si="43"/>
        <v>0.42663341792505066</v>
      </c>
      <c r="R241" s="322">
        <f t="shared" si="43"/>
        <v>0.42663341792505066</v>
      </c>
      <c r="S241" s="322">
        <f t="shared" si="43"/>
        <v>0.42663341792505066</v>
      </c>
      <c r="T241" s="322">
        <f t="shared" si="43"/>
        <v>0.42663341792505066</v>
      </c>
      <c r="U241" s="322">
        <f t="shared" si="43"/>
        <v>0.42663341792505066</v>
      </c>
      <c r="V241" s="322">
        <f t="shared" si="43"/>
        <v>0.42663341792505066</v>
      </c>
      <c r="W241" s="322">
        <f t="shared" si="43"/>
        <v>0.42663341792505066</v>
      </c>
      <c r="X241" s="322">
        <f t="shared" si="43"/>
        <v>0.29903860265532539</v>
      </c>
      <c r="Y241" s="322">
        <f t="shared" si="43"/>
        <v>0.29903860265532539</v>
      </c>
      <c r="Z241" s="322">
        <f t="shared" si="43"/>
        <v>0.29903860265532539</v>
      </c>
      <c r="AA241" s="322">
        <f t="shared" si="43"/>
        <v>0.29903860265532539</v>
      </c>
      <c r="AB241" s="322">
        <f t="shared" si="43"/>
        <v>0.29903860265532539</v>
      </c>
      <c r="AC241" s="322">
        <f t="shared" si="43"/>
        <v>0.42663341792505066</v>
      </c>
      <c r="AD241" s="322">
        <f t="shared" si="43"/>
        <v>0.42663341792505066</v>
      </c>
      <c r="AE241" s="322">
        <f t="shared" si="43"/>
        <v>0.42663341792505066</v>
      </c>
      <c r="AF241" s="322">
        <f t="shared" si="43"/>
        <v>0.42663341792505066</v>
      </c>
      <c r="AG241" s="322">
        <f t="shared" si="43"/>
        <v>0.42663341792505066</v>
      </c>
      <c r="AH241" s="322">
        <f t="shared" si="43"/>
        <v>0.42663341792505066</v>
      </c>
      <c r="AI241" s="322">
        <f t="shared" si="43"/>
        <v>0.42663341792505066</v>
      </c>
      <c r="AJ241" s="322">
        <f t="shared" si="43"/>
        <v>0.42663341792505066</v>
      </c>
      <c r="AK241" s="322">
        <f t="shared" si="43"/>
        <v>0.42663341792505066</v>
      </c>
      <c r="AL241" s="322">
        <f t="shared" si="43"/>
        <v>0.42663341792505066</v>
      </c>
      <c r="AM241" s="322">
        <f t="shared" si="43"/>
        <v>0.42663341792505066</v>
      </c>
      <c r="AN241" s="322">
        <f t="shared" si="43"/>
        <v>0.42663341792505066</v>
      </c>
      <c r="AO241" s="322">
        <f t="shared" si="43"/>
        <v>0.42663341792505066</v>
      </c>
      <c r="AP241" s="322">
        <f t="shared" si="43"/>
        <v>0.42663341792505066</v>
      </c>
    </row>
    <row r="242" spans="3:44" s="88" customFormat="1" x14ac:dyDescent="0.25">
      <c r="E242" s="152"/>
      <c r="F242" s="84" t="s">
        <v>374</v>
      </c>
      <c r="G242" s="145" t="s">
        <v>111</v>
      </c>
      <c r="H242" s="181"/>
      <c r="I242" s="339"/>
      <c r="J242" s="321">
        <f t="shared" ref="J242:AP242" si="44">IF(J$24, $H192, $H189)</f>
        <v>0.5416472134423479</v>
      </c>
      <c r="K242" s="321">
        <f t="shared" si="44"/>
        <v>0.5416472134423479</v>
      </c>
      <c r="L242" s="321">
        <f t="shared" si="44"/>
        <v>0.5416472134423479</v>
      </c>
      <c r="M242" s="321">
        <f t="shared" si="44"/>
        <v>0.5416472134423479</v>
      </c>
      <c r="N242" s="321">
        <f t="shared" si="44"/>
        <v>0.5416472134423479</v>
      </c>
      <c r="O242" s="321">
        <f t="shared" si="44"/>
        <v>0.5416472134423479</v>
      </c>
      <c r="P242" s="321">
        <f t="shared" si="44"/>
        <v>0.5416472134423479</v>
      </c>
      <c r="Q242" s="321">
        <f t="shared" si="44"/>
        <v>0.5416472134423479</v>
      </c>
      <c r="R242" s="321">
        <f t="shared" si="44"/>
        <v>0.5416472134423479</v>
      </c>
      <c r="S242" s="321">
        <f t="shared" si="44"/>
        <v>0.5416472134423479</v>
      </c>
      <c r="T242" s="321">
        <f t="shared" si="44"/>
        <v>0.5416472134423479</v>
      </c>
      <c r="U242" s="321">
        <f t="shared" si="44"/>
        <v>0.5416472134423479</v>
      </c>
      <c r="V242" s="321">
        <f t="shared" si="44"/>
        <v>0.5416472134423479</v>
      </c>
      <c r="W242" s="321">
        <f t="shared" si="44"/>
        <v>0.5416472134423479</v>
      </c>
      <c r="X242" s="321">
        <f t="shared" si="44"/>
        <v>0.66924202871207328</v>
      </c>
      <c r="Y242" s="321">
        <f t="shared" si="44"/>
        <v>0.66924202871207328</v>
      </c>
      <c r="Z242" s="321">
        <f t="shared" si="44"/>
        <v>0.66924202871207328</v>
      </c>
      <c r="AA242" s="321">
        <f t="shared" si="44"/>
        <v>0.66924202871207328</v>
      </c>
      <c r="AB242" s="321">
        <f t="shared" si="44"/>
        <v>0.66924202871207328</v>
      </c>
      <c r="AC242" s="321">
        <f t="shared" si="44"/>
        <v>0.5416472134423479</v>
      </c>
      <c r="AD242" s="321">
        <f t="shared" si="44"/>
        <v>0.5416472134423479</v>
      </c>
      <c r="AE242" s="321">
        <f t="shared" si="44"/>
        <v>0.5416472134423479</v>
      </c>
      <c r="AF242" s="321">
        <f t="shared" si="44"/>
        <v>0.5416472134423479</v>
      </c>
      <c r="AG242" s="321">
        <f t="shared" si="44"/>
        <v>0.5416472134423479</v>
      </c>
      <c r="AH242" s="321">
        <f t="shared" si="44"/>
        <v>0.5416472134423479</v>
      </c>
      <c r="AI242" s="321">
        <f t="shared" si="44"/>
        <v>0.5416472134423479</v>
      </c>
      <c r="AJ242" s="321">
        <f t="shared" si="44"/>
        <v>0.5416472134423479</v>
      </c>
      <c r="AK242" s="321">
        <f t="shared" si="44"/>
        <v>0.5416472134423479</v>
      </c>
      <c r="AL242" s="321">
        <f t="shared" si="44"/>
        <v>0.5416472134423479</v>
      </c>
      <c r="AM242" s="321">
        <f t="shared" si="44"/>
        <v>0.5416472134423479</v>
      </c>
      <c r="AN242" s="321">
        <f t="shared" si="44"/>
        <v>0.5416472134423479</v>
      </c>
      <c r="AO242" s="321">
        <f t="shared" si="44"/>
        <v>0.5416472134423479</v>
      </c>
      <c r="AP242" s="321">
        <f t="shared" si="44"/>
        <v>0.5416472134423479</v>
      </c>
    </row>
    <row r="243" spans="3:44" s="88" customFormat="1" x14ac:dyDescent="0.25">
      <c r="E243" s="152"/>
      <c r="F243" s="77" t="s">
        <v>103</v>
      </c>
      <c r="G243" s="38" t="s">
        <v>111</v>
      </c>
      <c r="H243" s="182"/>
      <c r="I243" s="168"/>
      <c r="J243" s="323">
        <f t="shared" ref="J243:AP243" si="45">IF(J$24, $H193, $H190)</f>
        <v>3.1719368632601504E-2</v>
      </c>
      <c r="K243" s="323">
        <f t="shared" si="45"/>
        <v>3.1719368632601504E-2</v>
      </c>
      <c r="L243" s="323">
        <f t="shared" si="45"/>
        <v>3.1719368632601504E-2</v>
      </c>
      <c r="M243" s="323">
        <f t="shared" si="45"/>
        <v>3.1719368632601504E-2</v>
      </c>
      <c r="N243" s="323">
        <f t="shared" si="45"/>
        <v>3.1719368632601504E-2</v>
      </c>
      <c r="O243" s="323">
        <f t="shared" si="45"/>
        <v>3.1719368632601504E-2</v>
      </c>
      <c r="P243" s="323">
        <f t="shared" si="45"/>
        <v>3.1719368632601504E-2</v>
      </c>
      <c r="Q243" s="323">
        <f t="shared" si="45"/>
        <v>3.1719368632601504E-2</v>
      </c>
      <c r="R243" s="323">
        <f t="shared" si="45"/>
        <v>3.1719368632601504E-2</v>
      </c>
      <c r="S243" s="323">
        <f t="shared" si="45"/>
        <v>3.1719368632601504E-2</v>
      </c>
      <c r="T243" s="323">
        <f t="shared" si="45"/>
        <v>3.1719368632601504E-2</v>
      </c>
      <c r="U243" s="323">
        <f t="shared" si="45"/>
        <v>3.1719368632601504E-2</v>
      </c>
      <c r="V243" s="323">
        <f t="shared" si="45"/>
        <v>3.1719368632601504E-2</v>
      </c>
      <c r="W243" s="323">
        <f t="shared" si="45"/>
        <v>3.1719368632601504E-2</v>
      </c>
      <c r="X243" s="323">
        <f t="shared" si="45"/>
        <v>3.1719368632601504E-2</v>
      </c>
      <c r="Y243" s="323">
        <f t="shared" si="45"/>
        <v>3.1719368632601504E-2</v>
      </c>
      <c r="Z243" s="323">
        <f t="shared" si="45"/>
        <v>3.1719368632601504E-2</v>
      </c>
      <c r="AA243" s="323">
        <f t="shared" si="45"/>
        <v>3.1719368632601504E-2</v>
      </c>
      <c r="AB243" s="323">
        <f t="shared" si="45"/>
        <v>3.1719368632601504E-2</v>
      </c>
      <c r="AC243" s="323">
        <f t="shared" si="45"/>
        <v>3.1719368632601504E-2</v>
      </c>
      <c r="AD243" s="323">
        <f t="shared" si="45"/>
        <v>3.1719368632601504E-2</v>
      </c>
      <c r="AE243" s="323">
        <f t="shared" si="45"/>
        <v>3.1719368632601504E-2</v>
      </c>
      <c r="AF243" s="323">
        <f t="shared" si="45"/>
        <v>3.1719368632601504E-2</v>
      </c>
      <c r="AG243" s="323">
        <f t="shared" si="45"/>
        <v>3.1719368632601504E-2</v>
      </c>
      <c r="AH243" s="323">
        <f t="shared" si="45"/>
        <v>3.1719368632601504E-2</v>
      </c>
      <c r="AI243" s="323">
        <f t="shared" si="45"/>
        <v>3.1719368632601504E-2</v>
      </c>
      <c r="AJ243" s="323">
        <f t="shared" si="45"/>
        <v>3.1719368632601504E-2</v>
      </c>
      <c r="AK243" s="323">
        <f t="shared" si="45"/>
        <v>3.1719368632601504E-2</v>
      </c>
      <c r="AL243" s="323">
        <f t="shared" si="45"/>
        <v>3.1719368632601504E-2</v>
      </c>
      <c r="AM243" s="323">
        <f t="shared" si="45"/>
        <v>3.1719368632601504E-2</v>
      </c>
      <c r="AN243" s="323">
        <f t="shared" si="45"/>
        <v>3.1719368632601504E-2</v>
      </c>
      <c r="AO243" s="323">
        <f t="shared" si="45"/>
        <v>3.1719368632601504E-2</v>
      </c>
      <c r="AP243" s="323">
        <f t="shared" si="45"/>
        <v>3.1719368632601504E-2</v>
      </c>
    </row>
    <row r="244" spans="3:44" s="160" customFormat="1" x14ac:dyDescent="0.25">
      <c r="E244" s="152"/>
      <c r="F244" s="84"/>
      <c r="G244" s="145"/>
      <c r="H244" s="181"/>
      <c r="I244" s="167"/>
      <c r="J244" s="321"/>
      <c r="K244" s="321"/>
      <c r="L244" s="321"/>
      <c r="M244" s="321"/>
      <c r="N244" s="321"/>
      <c r="O244" s="321"/>
      <c r="P244" s="321"/>
      <c r="Q244" s="321"/>
      <c r="R244" s="321"/>
      <c r="S244" s="321"/>
      <c r="T244" s="321"/>
      <c r="U244" s="321"/>
      <c r="V244" s="321"/>
      <c r="W244" s="321"/>
      <c r="X244" s="321"/>
      <c r="Y244" s="321"/>
      <c r="Z244" s="321"/>
      <c r="AA244" s="321"/>
      <c r="AB244" s="321"/>
      <c r="AC244" s="321"/>
      <c r="AD244" s="321"/>
      <c r="AE244" s="321"/>
      <c r="AF244" s="321"/>
      <c r="AG244" s="321"/>
      <c r="AH244" s="321"/>
      <c r="AI244" s="321"/>
      <c r="AJ244" s="321"/>
      <c r="AK244" s="321"/>
      <c r="AL244" s="321"/>
      <c r="AM244" s="321"/>
      <c r="AN244" s="321"/>
      <c r="AO244" s="321"/>
      <c r="AP244" s="321"/>
    </row>
    <row r="245" spans="3:44" s="88" customFormat="1" x14ac:dyDescent="0.25">
      <c r="E245" s="172" t="s">
        <v>813</v>
      </c>
      <c r="F245" s="167"/>
      <c r="G245" s="145"/>
      <c r="H245" s="167"/>
      <c r="I245" s="167"/>
      <c r="J245" s="167"/>
      <c r="K245" s="167"/>
      <c r="L245" s="167"/>
      <c r="M245" s="167"/>
      <c r="N245" s="167"/>
      <c r="O245" s="167"/>
      <c r="P245" s="167"/>
      <c r="Q245" s="167"/>
      <c r="R245" s="167"/>
      <c r="S245" s="167"/>
      <c r="T245" s="167"/>
      <c r="U245" s="167"/>
      <c r="V245" s="167"/>
      <c r="W245" s="167"/>
      <c r="X245" s="167"/>
      <c r="Y245" s="167"/>
      <c r="Z245" s="167"/>
      <c r="AA245" s="167"/>
      <c r="AB245" s="167"/>
      <c r="AC245" s="167"/>
      <c r="AD245" s="167"/>
      <c r="AE245" s="167"/>
      <c r="AF245" s="167"/>
      <c r="AG245" s="167"/>
      <c r="AH245" s="167"/>
      <c r="AI245" s="167"/>
      <c r="AJ245" s="167"/>
      <c r="AK245" s="167"/>
      <c r="AL245" s="167"/>
      <c r="AM245" s="167"/>
      <c r="AN245" s="167"/>
      <c r="AO245" s="167"/>
      <c r="AP245" s="167"/>
    </row>
    <row r="246" spans="3:44" s="88" customFormat="1" x14ac:dyDescent="0.25">
      <c r="E246" s="152"/>
      <c r="F246" s="85" t="s">
        <v>373</v>
      </c>
      <c r="G246" s="40" t="s">
        <v>111</v>
      </c>
      <c r="H246" s="187"/>
      <c r="I246" s="166"/>
      <c r="J246" s="322">
        <f t="shared" ref="J246:AP246" si="46">IF(J$24, $H199, $H196)</f>
        <v>0.42663341792505066</v>
      </c>
      <c r="K246" s="322">
        <f t="shared" si="46"/>
        <v>0.42663341792505066</v>
      </c>
      <c r="L246" s="322">
        <f t="shared" si="46"/>
        <v>0.42663341792505066</v>
      </c>
      <c r="M246" s="322">
        <f t="shared" si="46"/>
        <v>0.42663341792505066</v>
      </c>
      <c r="N246" s="322">
        <f t="shared" si="46"/>
        <v>0.42663341792505066</v>
      </c>
      <c r="O246" s="322">
        <f t="shared" si="46"/>
        <v>0.42663341792505066</v>
      </c>
      <c r="P246" s="322">
        <f t="shared" si="46"/>
        <v>0.42663341792505066</v>
      </c>
      <c r="Q246" s="322">
        <f t="shared" si="46"/>
        <v>0.42663341792505066</v>
      </c>
      <c r="R246" s="322">
        <f t="shared" si="46"/>
        <v>0.42663341792505066</v>
      </c>
      <c r="S246" s="322">
        <f t="shared" si="46"/>
        <v>0.42663341792505066</v>
      </c>
      <c r="T246" s="322">
        <f t="shared" si="46"/>
        <v>0.42663341792505066</v>
      </c>
      <c r="U246" s="322">
        <f t="shared" si="46"/>
        <v>0.42663341792505066</v>
      </c>
      <c r="V246" s="322">
        <f t="shared" si="46"/>
        <v>0.42663341792505066</v>
      </c>
      <c r="W246" s="322">
        <f t="shared" si="46"/>
        <v>0.42663341792505066</v>
      </c>
      <c r="X246" s="322">
        <f t="shared" si="46"/>
        <v>0.29903860265532539</v>
      </c>
      <c r="Y246" s="322">
        <f t="shared" si="46"/>
        <v>0.29903860265532539</v>
      </c>
      <c r="Z246" s="322">
        <f t="shared" si="46"/>
        <v>0.29903860265532539</v>
      </c>
      <c r="AA246" s="322">
        <f t="shared" si="46"/>
        <v>0.29903860265532539</v>
      </c>
      <c r="AB246" s="322">
        <f t="shared" si="46"/>
        <v>0.29903860265532539</v>
      </c>
      <c r="AC246" s="322">
        <f t="shared" si="46"/>
        <v>0.42663341792505066</v>
      </c>
      <c r="AD246" s="322">
        <f t="shared" si="46"/>
        <v>0.42663341792505066</v>
      </c>
      <c r="AE246" s="322">
        <f t="shared" si="46"/>
        <v>0.42663341792505066</v>
      </c>
      <c r="AF246" s="322">
        <f t="shared" si="46"/>
        <v>0.42663341792505066</v>
      </c>
      <c r="AG246" s="322">
        <f t="shared" si="46"/>
        <v>0.42663341792505066</v>
      </c>
      <c r="AH246" s="322">
        <f t="shared" si="46"/>
        <v>0.42663341792505066</v>
      </c>
      <c r="AI246" s="322">
        <f t="shared" si="46"/>
        <v>0.42663341792505066</v>
      </c>
      <c r="AJ246" s="322">
        <f t="shared" si="46"/>
        <v>0.42663341792505066</v>
      </c>
      <c r="AK246" s="322">
        <f t="shared" si="46"/>
        <v>0.42663341792505066</v>
      </c>
      <c r="AL246" s="322">
        <f t="shared" si="46"/>
        <v>0.42663341792505066</v>
      </c>
      <c r="AM246" s="322">
        <f t="shared" si="46"/>
        <v>0.42663341792505066</v>
      </c>
      <c r="AN246" s="322">
        <f t="shared" si="46"/>
        <v>0.42663341792505066</v>
      </c>
      <c r="AO246" s="322">
        <f t="shared" si="46"/>
        <v>0.42663341792505066</v>
      </c>
      <c r="AP246" s="322">
        <f t="shared" si="46"/>
        <v>0.42663341792505066</v>
      </c>
    </row>
    <row r="247" spans="3:44" s="88" customFormat="1" x14ac:dyDescent="0.25">
      <c r="E247" s="152"/>
      <c r="F247" s="84" t="s">
        <v>374</v>
      </c>
      <c r="G247" s="145" t="s">
        <v>111</v>
      </c>
      <c r="H247" s="181"/>
      <c r="I247" s="339"/>
      <c r="J247" s="321">
        <f t="shared" ref="J247:AP247" si="47">IF(J$24, $H200, $H197)</f>
        <v>0.5416472134423479</v>
      </c>
      <c r="K247" s="321">
        <f t="shared" si="47"/>
        <v>0.5416472134423479</v>
      </c>
      <c r="L247" s="321">
        <f t="shared" si="47"/>
        <v>0.5416472134423479</v>
      </c>
      <c r="M247" s="321">
        <f t="shared" si="47"/>
        <v>0.5416472134423479</v>
      </c>
      <c r="N247" s="321">
        <f t="shared" si="47"/>
        <v>0.5416472134423479</v>
      </c>
      <c r="O247" s="321">
        <f t="shared" si="47"/>
        <v>0.5416472134423479</v>
      </c>
      <c r="P247" s="321">
        <f t="shared" si="47"/>
        <v>0.5416472134423479</v>
      </c>
      <c r="Q247" s="321">
        <f t="shared" si="47"/>
        <v>0.5416472134423479</v>
      </c>
      <c r="R247" s="321">
        <f t="shared" si="47"/>
        <v>0.5416472134423479</v>
      </c>
      <c r="S247" s="321">
        <f t="shared" si="47"/>
        <v>0.5416472134423479</v>
      </c>
      <c r="T247" s="321">
        <f t="shared" si="47"/>
        <v>0.5416472134423479</v>
      </c>
      <c r="U247" s="321">
        <f t="shared" si="47"/>
        <v>0.5416472134423479</v>
      </c>
      <c r="V247" s="321">
        <f t="shared" si="47"/>
        <v>0.5416472134423479</v>
      </c>
      <c r="W247" s="321">
        <f t="shared" si="47"/>
        <v>0.5416472134423479</v>
      </c>
      <c r="X247" s="321">
        <f t="shared" si="47"/>
        <v>0.66924202871207328</v>
      </c>
      <c r="Y247" s="321">
        <f t="shared" si="47"/>
        <v>0.66924202871207328</v>
      </c>
      <c r="Z247" s="321">
        <f t="shared" si="47"/>
        <v>0.66924202871207328</v>
      </c>
      <c r="AA247" s="321">
        <f t="shared" si="47"/>
        <v>0.66924202871207328</v>
      </c>
      <c r="AB247" s="321">
        <f t="shared" si="47"/>
        <v>0.66924202871207328</v>
      </c>
      <c r="AC247" s="321">
        <f t="shared" si="47"/>
        <v>0.5416472134423479</v>
      </c>
      <c r="AD247" s="321">
        <f t="shared" si="47"/>
        <v>0.5416472134423479</v>
      </c>
      <c r="AE247" s="321">
        <f t="shared" si="47"/>
        <v>0.5416472134423479</v>
      </c>
      <c r="AF247" s="321">
        <f t="shared" si="47"/>
        <v>0.5416472134423479</v>
      </c>
      <c r="AG247" s="321">
        <f t="shared" si="47"/>
        <v>0.5416472134423479</v>
      </c>
      <c r="AH247" s="321">
        <f t="shared" si="47"/>
        <v>0.5416472134423479</v>
      </c>
      <c r="AI247" s="321">
        <f t="shared" si="47"/>
        <v>0.5416472134423479</v>
      </c>
      <c r="AJ247" s="321">
        <f t="shared" si="47"/>
        <v>0.5416472134423479</v>
      </c>
      <c r="AK247" s="321">
        <f t="shared" si="47"/>
        <v>0.5416472134423479</v>
      </c>
      <c r="AL247" s="321">
        <f t="shared" si="47"/>
        <v>0.5416472134423479</v>
      </c>
      <c r="AM247" s="321">
        <f t="shared" si="47"/>
        <v>0.5416472134423479</v>
      </c>
      <c r="AN247" s="321">
        <f t="shared" si="47"/>
        <v>0.5416472134423479</v>
      </c>
      <c r="AO247" s="321">
        <f t="shared" si="47"/>
        <v>0.5416472134423479</v>
      </c>
      <c r="AP247" s="321">
        <f t="shared" si="47"/>
        <v>0.5416472134423479</v>
      </c>
    </row>
    <row r="248" spans="3:44" s="88" customFormat="1" x14ac:dyDescent="0.25">
      <c r="E248" s="152"/>
      <c r="F248" s="77" t="s">
        <v>103</v>
      </c>
      <c r="G248" s="38" t="s">
        <v>111</v>
      </c>
      <c r="H248" s="182"/>
      <c r="I248" s="168"/>
      <c r="J248" s="323">
        <f t="shared" ref="J248:AP248" si="48">IF(J$24, $H201, $H198)</f>
        <v>3.1719368632601504E-2</v>
      </c>
      <c r="K248" s="323">
        <f t="shared" si="48"/>
        <v>3.1719368632601504E-2</v>
      </c>
      <c r="L248" s="323">
        <f t="shared" si="48"/>
        <v>3.1719368632601504E-2</v>
      </c>
      <c r="M248" s="323">
        <f t="shared" si="48"/>
        <v>3.1719368632601504E-2</v>
      </c>
      <c r="N248" s="323">
        <f t="shared" si="48"/>
        <v>3.1719368632601504E-2</v>
      </c>
      <c r="O248" s="323">
        <f t="shared" si="48"/>
        <v>3.1719368632601504E-2</v>
      </c>
      <c r="P248" s="323">
        <f t="shared" si="48"/>
        <v>3.1719368632601504E-2</v>
      </c>
      <c r="Q248" s="323">
        <f t="shared" si="48"/>
        <v>3.1719368632601504E-2</v>
      </c>
      <c r="R248" s="323">
        <f t="shared" si="48"/>
        <v>3.1719368632601504E-2</v>
      </c>
      <c r="S248" s="323">
        <f t="shared" si="48"/>
        <v>3.1719368632601504E-2</v>
      </c>
      <c r="T248" s="323">
        <f t="shared" si="48"/>
        <v>3.1719368632601504E-2</v>
      </c>
      <c r="U248" s="323">
        <f t="shared" si="48"/>
        <v>3.1719368632601504E-2</v>
      </c>
      <c r="V248" s="323">
        <f t="shared" si="48"/>
        <v>3.1719368632601504E-2</v>
      </c>
      <c r="W248" s="323">
        <f t="shared" si="48"/>
        <v>3.1719368632601504E-2</v>
      </c>
      <c r="X248" s="323">
        <f t="shared" si="48"/>
        <v>3.1719368632601504E-2</v>
      </c>
      <c r="Y248" s="323">
        <f t="shared" si="48"/>
        <v>3.1719368632601504E-2</v>
      </c>
      <c r="Z248" s="323">
        <f t="shared" si="48"/>
        <v>3.1719368632601504E-2</v>
      </c>
      <c r="AA248" s="323">
        <f t="shared" si="48"/>
        <v>3.1719368632601504E-2</v>
      </c>
      <c r="AB248" s="323">
        <f t="shared" si="48"/>
        <v>3.1719368632601504E-2</v>
      </c>
      <c r="AC248" s="323">
        <f t="shared" si="48"/>
        <v>3.1719368632601504E-2</v>
      </c>
      <c r="AD248" s="323">
        <f t="shared" si="48"/>
        <v>3.1719368632601504E-2</v>
      </c>
      <c r="AE248" s="323">
        <f t="shared" si="48"/>
        <v>3.1719368632601504E-2</v>
      </c>
      <c r="AF248" s="323">
        <f t="shared" si="48"/>
        <v>3.1719368632601504E-2</v>
      </c>
      <c r="AG248" s="323">
        <f t="shared" si="48"/>
        <v>3.1719368632601504E-2</v>
      </c>
      <c r="AH248" s="323">
        <f t="shared" si="48"/>
        <v>3.1719368632601504E-2</v>
      </c>
      <c r="AI248" s="323">
        <f t="shared" si="48"/>
        <v>3.1719368632601504E-2</v>
      </c>
      <c r="AJ248" s="323">
        <f t="shared" si="48"/>
        <v>3.1719368632601504E-2</v>
      </c>
      <c r="AK248" s="323">
        <f t="shared" si="48"/>
        <v>3.1719368632601504E-2</v>
      </c>
      <c r="AL248" s="323">
        <f t="shared" si="48"/>
        <v>3.1719368632601504E-2</v>
      </c>
      <c r="AM248" s="323">
        <f t="shared" si="48"/>
        <v>3.1719368632601504E-2</v>
      </c>
      <c r="AN248" s="323">
        <f t="shared" si="48"/>
        <v>3.1719368632601504E-2</v>
      </c>
      <c r="AO248" s="323">
        <f t="shared" si="48"/>
        <v>3.1719368632601504E-2</v>
      </c>
      <c r="AP248" s="323">
        <f t="shared" si="48"/>
        <v>3.1719368632601504E-2</v>
      </c>
    </row>
    <row r="249" spans="3:44" s="88" customFormat="1" x14ac:dyDescent="0.25">
      <c r="D249" s="152"/>
      <c r="E249" s="84"/>
      <c r="F249" s="167"/>
      <c r="G249" s="145"/>
      <c r="H249" s="181"/>
      <c r="I249" s="167"/>
      <c r="J249" s="321"/>
      <c r="K249" s="321"/>
      <c r="L249" s="321"/>
      <c r="M249" s="321"/>
      <c r="N249" s="321"/>
      <c r="O249" s="321"/>
      <c r="P249" s="321"/>
      <c r="Q249" s="321"/>
      <c r="R249" s="321"/>
      <c r="S249" s="321"/>
      <c r="T249" s="321"/>
      <c r="U249" s="321"/>
      <c r="V249" s="321"/>
      <c r="W249" s="321"/>
      <c r="X249" s="321"/>
      <c r="Y249" s="321"/>
      <c r="Z249" s="321"/>
      <c r="AA249" s="321"/>
      <c r="AB249" s="321"/>
      <c r="AC249" s="321"/>
      <c r="AD249" s="321"/>
      <c r="AE249" s="321"/>
      <c r="AF249" s="321"/>
      <c r="AG249" s="321"/>
      <c r="AH249" s="321"/>
      <c r="AI249" s="321"/>
      <c r="AJ249" s="321"/>
      <c r="AK249" s="321"/>
      <c r="AL249" s="321"/>
      <c r="AM249" s="321"/>
      <c r="AN249" s="321"/>
      <c r="AO249" s="321"/>
      <c r="AP249" s="321"/>
    </row>
    <row r="250" spans="3:44" s="160" customFormat="1" x14ac:dyDescent="0.25">
      <c r="C250" s="22" t="str">
        <f ca="1">INDEX('Version control'!$H$34:$H$59,MATCH($A$1,'Version control'!$F$34:$F$59,0),1)&amp;"-J: Ratio of coincidence factor to load factor, based on uniform distribution in timebands and peaking probabilities"</f>
        <v>Section 508-J: Ratio of coincidence factor to load factor, based on uniform distribution in timebands and peaking probabilities</v>
      </c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  <c r="AP250" s="22"/>
      <c r="AQ250" s="22"/>
      <c r="AR250" s="22"/>
    </row>
    <row r="251" spans="3:44" s="160" customFormat="1" x14ac:dyDescent="0.25">
      <c r="D251" s="152"/>
      <c r="E251" s="84"/>
      <c r="F251" s="167"/>
      <c r="G251" s="145"/>
      <c r="H251" s="181"/>
      <c r="I251" s="167"/>
      <c r="J251" s="321"/>
      <c r="K251" s="321"/>
      <c r="L251" s="321"/>
      <c r="M251" s="321"/>
      <c r="N251" s="321"/>
      <c r="O251" s="321"/>
      <c r="P251" s="321"/>
      <c r="Q251" s="321"/>
      <c r="R251" s="321"/>
      <c r="S251" s="321"/>
      <c r="T251" s="321"/>
      <c r="U251" s="321"/>
      <c r="V251" s="321"/>
      <c r="W251" s="321"/>
      <c r="X251" s="321"/>
      <c r="Y251" s="321"/>
      <c r="Z251" s="321"/>
      <c r="AA251" s="321"/>
      <c r="AB251" s="321"/>
      <c r="AC251" s="321"/>
      <c r="AD251" s="321"/>
      <c r="AE251" s="321"/>
      <c r="AF251" s="321"/>
      <c r="AG251" s="321"/>
      <c r="AH251" s="321"/>
      <c r="AI251" s="321"/>
      <c r="AJ251" s="321"/>
      <c r="AK251" s="321"/>
      <c r="AL251" s="321"/>
      <c r="AM251" s="321"/>
      <c r="AN251" s="321"/>
      <c r="AO251" s="321"/>
      <c r="AP251" s="321"/>
    </row>
    <row r="252" spans="3:44" s="160" customFormat="1" x14ac:dyDescent="0.25">
      <c r="E252" s="172" t="s">
        <v>476</v>
      </c>
      <c r="F252" s="167"/>
      <c r="G252" s="145"/>
      <c r="H252" s="167"/>
      <c r="I252" s="167"/>
      <c r="J252" s="170"/>
      <c r="K252" s="167"/>
      <c r="L252" s="167"/>
      <c r="M252" s="167"/>
      <c r="N252" s="167"/>
      <c r="O252" s="167"/>
      <c r="P252" s="167"/>
      <c r="Q252" s="167"/>
      <c r="R252" s="167"/>
      <c r="S252" s="167"/>
      <c r="T252" s="167"/>
      <c r="U252" s="167"/>
      <c r="V252" s="167"/>
      <c r="W252" s="167"/>
      <c r="X252" s="167"/>
      <c r="Y252" s="167"/>
      <c r="Z252" s="167"/>
      <c r="AA252" s="167"/>
      <c r="AB252" s="167"/>
      <c r="AC252" s="167"/>
      <c r="AD252" s="167"/>
      <c r="AE252" s="167"/>
      <c r="AF252" s="167"/>
      <c r="AG252" s="167"/>
      <c r="AH252" s="167"/>
      <c r="AI252" s="167"/>
      <c r="AJ252" s="167"/>
      <c r="AK252" s="167"/>
      <c r="AL252" s="167"/>
      <c r="AM252" s="167"/>
      <c r="AN252" s="167"/>
      <c r="AO252" s="167"/>
      <c r="AP252" s="167"/>
    </row>
    <row r="253" spans="3:44" s="160" customFormat="1" x14ac:dyDescent="0.25">
      <c r="F253" s="40" t="s">
        <v>373</v>
      </c>
      <c r="G253" s="40" t="s">
        <v>738</v>
      </c>
      <c r="H253" s="166"/>
      <c r="I253" s="166"/>
      <c r="J253" s="443">
        <f t="shared" ref="J253:AP253" si="49">1 / J29</f>
        <v>1.277139208173691E-3</v>
      </c>
      <c r="K253" s="443">
        <f t="shared" si="49"/>
        <v>1.277139208173691E-3</v>
      </c>
      <c r="L253" s="443">
        <f t="shared" si="49"/>
        <v>1.277139208173691E-3</v>
      </c>
      <c r="M253" s="443">
        <f t="shared" si="49"/>
        <v>1.277139208173691E-3</v>
      </c>
      <c r="N253" s="443">
        <f t="shared" si="49"/>
        <v>1.277139208173691E-3</v>
      </c>
      <c r="O253" s="443">
        <f t="shared" si="49"/>
        <v>1.277139208173691E-3</v>
      </c>
      <c r="P253" s="443">
        <f t="shared" si="49"/>
        <v>1.277139208173691E-3</v>
      </c>
      <c r="Q253" s="443">
        <f t="shared" si="49"/>
        <v>1.277139208173691E-3</v>
      </c>
      <c r="R253" s="443">
        <f t="shared" si="49"/>
        <v>1.277139208173691E-3</v>
      </c>
      <c r="S253" s="443">
        <f t="shared" si="49"/>
        <v>1.277139208173691E-3</v>
      </c>
      <c r="T253" s="443">
        <f t="shared" si="49"/>
        <v>1.277139208173691E-3</v>
      </c>
      <c r="U253" s="443">
        <f t="shared" si="49"/>
        <v>1.277139208173691E-3</v>
      </c>
      <c r="V253" s="443">
        <f t="shared" si="49"/>
        <v>1.277139208173691E-3</v>
      </c>
      <c r="W253" s="443">
        <f t="shared" si="49"/>
        <v>1.277139208173691E-3</v>
      </c>
      <c r="X253" s="443">
        <f t="shared" si="49"/>
        <v>3.9215686274509803E-3</v>
      </c>
      <c r="Y253" s="443">
        <f t="shared" si="49"/>
        <v>3.9215686274509803E-3</v>
      </c>
      <c r="Z253" s="443">
        <f t="shared" si="49"/>
        <v>3.9215686274509803E-3</v>
      </c>
      <c r="AA253" s="443">
        <f t="shared" si="49"/>
        <v>3.9215686274509803E-3</v>
      </c>
      <c r="AB253" s="443">
        <f t="shared" si="49"/>
        <v>3.9215686274509803E-3</v>
      </c>
      <c r="AC253" s="443">
        <f t="shared" si="49"/>
        <v>1.277139208173691E-3</v>
      </c>
      <c r="AD253" s="443">
        <f t="shared" si="49"/>
        <v>1.277139208173691E-3</v>
      </c>
      <c r="AE253" s="443">
        <f t="shared" si="49"/>
        <v>1.277139208173691E-3</v>
      </c>
      <c r="AF253" s="443">
        <f t="shared" si="49"/>
        <v>1.277139208173691E-3</v>
      </c>
      <c r="AG253" s="443">
        <f t="shared" si="49"/>
        <v>1.277139208173691E-3</v>
      </c>
      <c r="AH253" s="443">
        <f t="shared" si="49"/>
        <v>1.277139208173691E-3</v>
      </c>
      <c r="AI253" s="443">
        <f t="shared" si="49"/>
        <v>1.277139208173691E-3</v>
      </c>
      <c r="AJ253" s="443">
        <f t="shared" si="49"/>
        <v>1.277139208173691E-3</v>
      </c>
      <c r="AK253" s="443">
        <f t="shared" si="49"/>
        <v>1.277139208173691E-3</v>
      </c>
      <c r="AL253" s="443">
        <f t="shared" si="49"/>
        <v>1.277139208173691E-3</v>
      </c>
      <c r="AM253" s="443">
        <f t="shared" si="49"/>
        <v>1.277139208173691E-3</v>
      </c>
      <c r="AN253" s="443">
        <f t="shared" si="49"/>
        <v>1.277139208173691E-3</v>
      </c>
      <c r="AO253" s="443">
        <f t="shared" si="49"/>
        <v>1.277139208173691E-3</v>
      </c>
      <c r="AP253" s="443">
        <f t="shared" si="49"/>
        <v>1.277139208173691E-3</v>
      </c>
    </row>
    <row r="254" spans="3:44" s="160" customFormat="1" x14ac:dyDescent="0.25">
      <c r="F254" s="145" t="s">
        <v>374</v>
      </c>
      <c r="G254" s="145" t="s">
        <v>738</v>
      </c>
      <c r="H254" s="339"/>
      <c r="I254" s="339"/>
      <c r="J254" s="435">
        <f t="shared" ref="J254:AP254" si="50">1 / J30</f>
        <v>2.2831050228310502E-4</v>
      </c>
      <c r="K254" s="435">
        <f t="shared" si="50"/>
        <v>2.2831050228310502E-4</v>
      </c>
      <c r="L254" s="435">
        <f t="shared" si="50"/>
        <v>2.2831050228310502E-4</v>
      </c>
      <c r="M254" s="435">
        <f t="shared" si="50"/>
        <v>2.2831050228310502E-4</v>
      </c>
      <c r="N254" s="435">
        <f t="shared" si="50"/>
        <v>2.2831050228310502E-4</v>
      </c>
      <c r="O254" s="435">
        <f t="shared" si="50"/>
        <v>2.2831050228310502E-4</v>
      </c>
      <c r="P254" s="435">
        <f t="shared" si="50"/>
        <v>2.2831050228310502E-4</v>
      </c>
      <c r="Q254" s="435">
        <f t="shared" si="50"/>
        <v>2.2831050228310502E-4</v>
      </c>
      <c r="R254" s="435">
        <f t="shared" si="50"/>
        <v>2.2831050228310502E-4</v>
      </c>
      <c r="S254" s="435">
        <f t="shared" si="50"/>
        <v>2.2831050228310502E-4</v>
      </c>
      <c r="T254" s="435">
        <f t="shared" si="50"/>
        <v>2.2831050228310502E-4</v>
      </c>
      <c r="U254" s="435">
        <f t="shared" si="50"/>
        <v>2.2831050228310502E-4</v>
      </c>
      <c r="V254" s="435">
        <f t="shared" si="50"/>
        <v>2.2831050228310502E-4</v>
      </c>
      <c r="W254" s="435">
        <f t="shared" si="50"/>
        <v>2.2831050228310502E-4</v>
      </c>
      <c r="X254" s="435">
        <f t="shared" si="50"/>
        <v>2.0374898125509371E-4</v>
      </c>
      <c r="Y254" s="435">
        <f t="shared" si="50"/>
        <v>2.0374898125509371E-4</v>
      </c>
      <c r="Z254" s="435">
        <f t="shared" si="50"/>
        <v>2.0374898125509371E-4</v>
      </c>
      <c r="AA254" s="435">
        <f t="shared" si="50"/>
        <v>2.0374898125509371E-4</v>
      </c>
      <c r="AB254" s="435">
        <f t="shared" si="50"/>
        <v>2.0374898125509371E-4</v>
      </c>
      <c r="AC254" s="435">
        <f t="shared" si="50"/>
        <v>2.2831050228310502E-4</v>
      </c>
      <c r="AD254" s="435">
        <f t="shared" si="50"/>
        <v>2.2831050228310502E-4</v>
      </c>
      <c r="AE254" s="435">
        <f t="shared" si="50"/>
        <v>2.2831050228310502E-4</v>
      </c>
      <c r="AF254" s="435">
        <f t="shared" si="50"/>
        <v>2.2831050228310502E-4</v>
      </c>
      <c r="AG254" s="435">
        <f t="shared" si="50"/>
        <v>2.2831050228310502E-4</v>
      </c>
      <c r="AH254" s="435">
        <f t="shared" si="50"/>
        <v>2.2831050228310502E-4</v>
      </c>
      <c r="AI254" s="435">
        <f t="shared" si="50"/>
        <v>2.2831050228310502E-4</v>
      </c>
      <c r="AJ254" s="435">
        <f t="shared" si="50"/>
        <v>2.2831050228310502E-4</v>
      </c>
      <c r="AK254" s="435">
        <f t="shared" si="50"/>
        <v>2.2831050228310502E-4</v>
      </c>
      <c r="AL254" s="435">
        <f t="shared" si="50"/>
        <v>2.2831050228310502E-4</v>
      </c>
      <c r="AM254" s="435">
        <f t="shared" si="50"/>
        <v>2.2831050228310502E-4</v>
      </c>
      <c r="AN254" s="435">
        <f t="shared" si="50"/>
        <v>2.2831050228310502E-4</v>
      </c>
      <c r="AO254" s="435">
        <f t="shared" si="50"/>
        <v>2.2831050228310502E-4</v>
      </c>
      <c r="AP254" s="435">
        <f t="shared" si="50"/>
        <v>2.2831050228310502E-4</v>
      </c>
    </row>
    <row r="255" spans="3:44" s="160" customFormat="1" x14ac:dyDescent="0.25">
      <c r="F255" s="38" t="s">
        <v>103</v>
      </c>
      <c r="G255" s="38" t="s">
        <v>738</v>
      </c>
      <c r="H255" s="168"/>
      <c r="I255" s="168"/>
      <c r="J255" s="436">
        <f t="shared" ref="J255:AP255" si="51">1 / J31</f>
        <v>2.7800945232137893E-4</v>
      </c>
      <c r="K255" s="436">
        <f t="shared" si="51"/>
        <v>2.7800945232137893E-4</v>
      </c>
      <c r="L255" s="436">
        <f t="shared" si="51"/>
        <v>2.7800945232137893E-4</v>
      </c>
      <c r="M255" s="436">
        <f t="shared" si="51"/>
        <v>2.7800945232137893E-4</v>
      </c>
      <c r="N255" s="436">
        <f t="shared" si="51"/>
        <v>2.7800945232137893E-4</v>
      </c>
      <c r="O255" s="436">
        <f t="shared" si="51"/>
        <v>2.7800945232137893E-4</v>
      </c>
      <c r="P255" s="436">
        <f t="shared" si="51"/>
        <v>2.7800945232137893E-4</v>
      </c>
      <c r="Q255" s="436">
        <f t="shared" si="51"/>
        <v>2.7800945232137893E-4</v>
      </c>
      <c r="R255" s="436">
        <f t="shared" si="51"/>
        <v>2.7800945232137893E-4</v>
      </c>
      <c r="S255" s="436">
        <f t="shared" si="51"/>
        <v>2.7800945232137893E-4</v>
      </c>
      <c r="T255" s="436">
        <f t="shared" si="51"/>
        <v>2.7800945232137893E-4</v>
      </c>
      <c r="U255" s="436">
        <f t="shared" si="51"/>
        <v>2.7800945232137893E-4</v>
      </c>
      <c r="V255" s="436">
        <f t="shared" si="51"/>
        <v>2.7800945232137893E-4</v>
      </c>
      <c r="W255" s="436">
        <f t="shared" si="51"/>
        <v>2.7800945232137893E-4</v>
      </c>
      <c r="X255" s="436">
        <f t="shared" si="51"/>
        <v>2.7800945232137893E-4</v>
      </c>
      <c r="Y255" s="436">
        <f t="shared" si="51"/>
        <v>2.7800945232137893E-4</v>
      </c>
      <c r="Z255" s="436">
        <f t="shared" si="51"/>
        <v>2.7800945232137893E-4</v>
      </c>
      <c r="AA255" s="436">
        <f t="shared" si="51"/>
        <v>2.7800945232137893E-4</v>
      </c>
      <c r="AB255" s="436">
        <f t="shared" si="51"/>
        <v>2.7800945232137893E-4</v>
      </c>
      <c r="AC255" s="436">
        <f t="shared" si="51"/>
        <v>2.7800945232137893E-4</v>
      </c>
      <c r="AD255" s="436">
        <f t="shared" si="51"/>
        <v>2.7800945232137893E-4</v>
      </c>
      <c r="AE255" s="436">
        <f t="shared" si="51"/>
        <v>2.7800945232137893E-4</v>
      </c>
      <c r="AF255" s="436">
        <f t="shared" si="51"/>
        <v>2.7800945232137893E-4</v>
      </c>
      <c r="AG255" s="436">
        <f t="shared" si="51"/>
        <v>2.7800945232137893E-4</v>
      </c>
      <c r="AH255" s="436">
        <f t="shared" si="51"/>
        <v>2.7800945232137893E-4</v>
      </c>
      <c r="AI255" s="436">
        <f t="shared" si="51"/>
        <v>2.7800945232137893E-4</v>
      </c>
      <c r="AJ255" s="436">
        <f t="shared" si="51"/>
        <v>2.7800945232137893E-4</v>
      </c>
      <c r="AK255" s="436">
        <f t="shared" si="51"/>
        <v>2.7800945232137893E-4</v>
      </c>
      <c r="AL255" s="436">
        <f t="shared" si="51"/>
        <v>2.7800945232137893E-4</v>
      </c>
      <c r="AM255" s="436">
        <f t="shared" si="51"/>
        <v>2.7800945232137893E-4</v>
      </c>
      <c r="AN255" s="436">
        <f t="shared" si="51"/>
        <v>2.7800945232137893E-4</v>
      </c>
      <c r="AO255" s="436">
        <f t="shared" si="51"/>
        <v>2.7800945232137893E-4</v>
      </c>
      <c r="AP255" s="436">
        <f t="shared" si="51"/>
        <v>2.7800945232137893E-4</v>
      </c>
    </row>
    <row r="256" spans="3:44" s="160" customFormat="1" x14ac:dyDescent="0.25">
      <c r="G256" s="35"/>
      <c r="J256" s="416"/>
      <c r="K256" s="416"/>
      <c r="L256" s="416"/>
      <c r="M256" s="416"/>
      <c r="N256" s="416"/>
      <c r="O256" s="416"/>
      <c r="P256" s="416"/>
      <c r="Q256" s="416"/>
      <c r="R256" s="416"/>
      <c r="S256" s="416"/>
      <c r="T256" s="416"/>
      <c r="U256" s="416"/>
      <c r="V256" s="416"/>
      <c r="W256" s="416"/>
      <c r="X256" s="416"/>
      <c r="Y256" s="416"/>
      <c r="Z256" s="416"/>
      <c r="AA256" s="416"/>
      <c r="AB256" s="416"/>
      <c r="AC256" s="416"/>
      <c r="AD256" s="416"/>
      <c r="AE256" s="416"/>
      <c r="AF256" s="416"/>
      <c r="AG256" s="416"/>
      <c r="AH256" s="416"/>
      <c r="AI256" s="416"/>
      <c r="AJ256" s="416"/>
      <c r="AK256" s="416"/>
      <c r="AL256" s="416"/>
      <c r="AM256" s="416"/>
      <c r="AN256" s="416"/>
      <c r="AO256" s="416"/>
      <c r="AP256" s="416"/>
    </row>
    <row r="257" spans="5:42" s="160" customFormat="1" x14ac:dyDescent="0.25">
      <c r="E257" s="172" t="s">
        <v>151</v>
      </c>
      <c r="G257" s="35"/>
      <c r="J257" s="416"/>
      <c r="K257" s="416"/>
      <c r="L257" s="416"/>
      <c r="M257" s="416"/>
      <c r="N257" s="416"/>
      <c r="O257" s="416"/>
      <c r="P257" s="416"/>
      <c r="Q257" s="416"/>
      <c r="R257" s="416"/>
      <c r="S257" s="416"/>
      <c r="T257" s="416"/>
      <c r="U257" s="416"/>
      <c r="V257" s="416"/>
      <c r="W257" s="416"/>
      <c r="X257" s="416"/>
      <c r="Y257" s="416"/>
      <c r="Z257" s="416"/>
      <c r="AA257" s="416"/>
      <c r="AB257" s="416"/>
      <c r="AC257" s="416"/>
      <c r="AD257" s="416"/>
      <c r="AE257" s="416"/>
      <c r="AF257" s="416"/>
      <c r="AG257" s="416"/>
      <c r="AH257" s="416"/>
      <c r="AI257" s="416"/>
      <c r="AJ257" s="416"/>
      <c r="AK257" s="416"/>
      <c r="AL257" s="416"/>
      <c r="AM257" s="416"/>
      <c r="AN257" s="416"/>
      <c r="AO257" s="416"/>
      <c r="AP257" s="416"/>
    </row>
    <row r="258" spans="5:42" s="160" customFormat="1" x14ac:dyDescent="0.25">
      <c r="F258" s="192" t="s">
        <v>43</v>
      </c>
      <c r="G258" s="40" t="s">
        <v>636</v>
      </c>
      <c r="H258" s="166"/>
      <c r="I258" s="166"/>
      <c r="J258" s="431">
        <f t="shared" ref="J258:AP258" si="52">SUMPRODUCT(J206:J208,J$43:J$45,J$253:J$255) * hours_in_year</f>
        <v>1.422008026558353</v>
      </c>
      <c r="K258" s="431">
        <f t="shared" si="52"/>
        <v>1.7373176414822484</v>
      </c>
      <c r="L258" s="431">
        <f t="shared" si="52"/>
        <v>9.7824694315439095E-2</v>
      </c>
      <c r="M258" s="431">
        <f t="shared" si="52"/>
        <v>1.1416430814646323</v>
      </c>
      <c r="N258" s="431">
        <f t="shared" si="52"/>
        <v>1.5948149223749262</v>
      </c>
      <c r="O258" s="431">
        <f t="shared" si="52"/>
        <v>0.33288648455921754</v>
      </c>
      <c r="P258" s="431">
        <f t="shared" si="52"/>
        <v>1.2460557838207036</v>
      </c>
      <c r="Q258" s="431">
        <f t="shared" si="52"/>
        <v>1.3511937913885297</v>
      </c>
      <c r="R258" s="431">
        <f t="shared" si="52"/>
        <v>1.1628503926276381</v>
      </c>
      <c r="S258" s="431">
        <f t="shared" si="52"/>
        <v>9.8133180967350384</v>
      </c>
      <c r="T258" s="431">
        <f t="shared" si="52"/>
        <v>9.8133180967350384</v>
      </c>
      <c r="U258" s="431">
        <f t="shared" si="52"/>
        <v>9.8133180967350384</v>
      </c>
      <c r="V258" s="431">
        <f t="shared" si="52"/>
        <v>9.8133180967350384</v>
      </c>
      <c r="W258" s="431">
        <f t="shared" si="52"/>
        <v>9.8133180967350384</v>
      </c>
      <c r="X258" s="431">
        <f t="shared" si="52"/>
        <v>1.0054896805253306</v>
      </c>
      <c r="Y258" s="431">
        <f t="shared" si="52"/>
        <v>1.1870023679315387</v>
      </c>
      <c r="Z258" s="431">
        <f t="shared" si="52"/>
        <v>2.2638298653745621</v>
      </c>
      <c r="AA258" s="431">
        <f t="shared" si="52"/>
        <v>0.92830088287637935</v>
      </c>
      <c r="AB258" s="431">
        <f t="shared" si="52"/>
        <v>18.092332872345558</v>
      </c>
      <c r="AC258" s="431">
        <f t="shared" si="52"/>
        <v>0.99999999999999989</v>
      </c>
      <c r="AD258" s="431">
        <f t="shared" si="52"/>
        <v>0.99999999999999989</v>
      </c>
      <c r="AE258" s="431">
        <f t="shared" si="52"/>
        <v>0.99999999999999989</v>
      </c>
      <c r="AF258" s="431">
        <f t="shared" si="52"/>
        <v>0.99999999999999989</v>
      </c>
      <c r="AG258" s="431">
        <f t="shared" si="52"/>
        <v>9.8133180967350384</v>
      </c>
      <c r="AH258" s="431">
        <f t="shared" si="52"/>
        <v>9.8133180967350384</v>
      </c>
      <c r="AI258" s="431">
        <f t="shared" si="52"/>
        <v>0.99999999999999989</v>
      </c>
      <c r="AJ258" s="431">
        <f t="shared" si="52"/>
        <v>0.99999999999999989</v>
      </c>
      <c r="AK258" s="431">
        <f t="shared" si="52"/>
        <v>9.8133180967350384</v>
      </c>
      <c r="AL258" s="431">
        <f t="shared" si="52"/>
        <v>9.8133180967350384</v>
      </c>
      <c r="AM258" s="431">
        <f t="shared" si="52"/>
        <v>0.99999999999999989</v>
      </c>
      <c r="AN258" s="431">
        <f t="shared" si="52"/>
        <v>0.99999999999999989</v>
      </c>
      <c r="AO258" s="431">
        <f t="shared" si="52"/>
        <v>9.8133180967350384</v>
      </c>
      <c r="AP258" s="431">
        <f t="shared" si="52"/>
        <v>9.8133180967350384</v>
      </c>
    </row>
    <row r="259" spans="5:42" s="160" customFormat="1" x14ac:dyDescent="0.25">
      <c r="F259" s="193" t="s">
        <v>44</v>
      </c>
      <c r="G259" s="145" t="s">
        <v>636</v>
      </c>
      <c r="H259" s="167"/>
      <c r="I259" s="167"/>
      <c r="J259" s="428">
        <f t="shared" ref="J259:AP259" si="53">SUMPRODUCT(J211:J213,J$43:J$45,J$253:J$255) * hours_in_year</f>
        <v>1.4019694293302523</v>
      </c>
      <c r="K259" s="428">
        <f t="shared" si="53"/>
        <v>1.707066787517771</v>
      </c>
      <c r="L259" s="428">
        <f t="shared" si="53"/>
        <v>0.13441984089477269</v>
      </c>
      <c r="M259" s="428">
        <f t="shared" si="53"/>
        <v>1.1520461039297647</v>
      </c>
      <c r="N259" s="428">
        <f t="shared" si="53"/>
        <v>1.582597933364758</v>
      </c>
      <c r="O259" s="428">
        <f t="shared" si="53"/>
        <v>0.35237880488776918</v>
      </c>
      <c r="P259" s="428">
        <f t="shared" si="53"/>
        <v>1.246868745237629</v>
      </c>
      <c r="Q259" s="428">
        <f t="shared" si="53"/>
        <v>1.352977417395504</v>
      </c>
      <c r="R259" s="428">
        <f t="shared" si="53"/>
        <v>1.1673978559032769</v>
      </c>
      <c r="S259" s="428">
        <f t="shared" si="53"/>
        <v>9.1017507690192847</v>
      </c>
      <c r="T259" s="428">
        <f t="shared" si="53"/>
        <v>9.1017507690192847</v>
      </c>
      <c r="U259" s="428">
        <f t="shared" si="53"/>
        <v>9.1017507690192847</v>
      </c>
      <c r="V259" s="428">
        <f t="shared" si="53"/>
        <v>9.1017507690192847</v>
      </c>
      <c r="W259" s="428">
        <f t="shared" si="53"/>
        <v>9.1017507690192847</v>
      </c>
      <c r="X259" s="428">
        <f t="shared" si="53"/>
        <v>1.0062038401990441</v>
      </c>
      <c r="Y259" s="428">
        <f t="shared" si="53"/>
        <v>1.2860107657741633</v>
      </c>
      <c r="Z259" s="428">
        <f t="shared" si="53"/>
        <v>2.443743707792942</v>
      </c>
      <c r="AA259" s="428">
        <f t="shared" si="53"/>
        <v>0.84751271211814783</v>
      </c>
      <c r="AB259" s="428">
        <f t="shared" si="53"/>
        <v>20.21093882755105</v>
      </c>
      <c r="AC259" s="428">
        <f t="shared" si="53"/>
        <v>1.0000000000000002</v>
      </c>
      <c r="AD259" s="428">
        <f t="shared" si="53"/>
        <v>1.0000000000000002</v>
      </c>
      <c r="AE259" s="428">
        <f t="shared" si="53"/>
        <v>1.0000000000000002</v>
      </c>
      <c r="AF259" s="428">
        <f t="shared" si="53"/>
        <v>1.0000000000000002</v>
      </c>
      <c r="AG259" s="428">
        <f t="shared" si="53"/>
        <v>9.1017507690192847</v>
      </c>
      <c r="AH259" s="428">
        <f t="shared" si="53"/>
        <v>9.1017507690192847</v>
      </c>
      <c r="AI259" s="428">
        <f t="shared" si="53"/>
        <v>1.0000000000000002</v>
      </c>
      <c r="AJ259" s="428">
        <f t="shared" si="53"/>
        <v>1.0000000000000002</v>
      </c>
      <c r="AK259" s="428">
        <f t="shared" si="53"/>
        <v>9.1017507690192847</v>
      </c>
      <c r="AL259" s="428">
        <f t="shared" si="53"/>
        <v>9.1017507690192847</v>
      </c>
      <c r="AM259" s="428">
        <f t="shared" si="53"/>
        <v>1.0000000000000002</v>
      </c>
      <c r="AN259" s="428">
        <f t="shared" si="53"/>
        <v>1.0000000000000002</v>
      </c>
      <c r="AO259" s="428">
        <f t="shared" si="53"/>
        <v>9.1017507690192847</v>
      </c>
      <c r="AP259" s="428">
        <f t="shared" si="53"/>
        <v>9.1017507690192847</v>
      </c>
    </row>
    <row r="260" spans="5:42" s="160" customFormat="1" x14ac:dyDescent="0.25">
      <c r="F260" s="193" t="s">
        <v>45</v>
      </c>
      <c r="G260" s="145" t="s">
        <v>636</v>
      </c>
      <c r="H260" s="167"/>
      <c r="I260" s="167"/>
      <c r="J260" s="428">
        <f t="shared" ref="J260:AP260" si="54">SUMPRODUCT(J216:J218,J$43:J$45,J$253:J$255) * hours_in_year</f>
        <v>1.4019694293302523</v>
      </c>
      <c r="K260" s="428">
        <f t="shared" si="54"/>
        <v>1.707066787517771</v>
      </c>
      <c r="L260" s="428">
        <f t="shared" si="54"/>
        <v>0.13441984089477269</v>
      </c>
      <c r="M260" s="428">
        <f t="shared" si="54"/>
        <v>1.1520461039297647</v>
      </c>
      <c r="N260" s="428">
        <f t="shared" si="54"/>
        <v>1.582597933364758</v>
      </c>
      <c r="O260" s="428">
        <f t="shared" si="54"/>
        <v>0.35237880488776918</v>
      </c>
      <c r="P260" s="428">
        <f t="shared" si="54"/>
        <v>1.246868745237629</v>
      </c>
      <c r="Q260" s="428">
        <f t="shared" si="54"/>
        <v>1.352977417395504</v>
      </c>
      <c r="R260" s="428">
        <f t="shared" si="54"/>
        <v>1.1673978559032769</v>
      </c>
      <c r="S260" s="428">
        <f t="shared" si="54"/>
        <v>9.1017507690192847</v>
      </c>
      <c r="T260" s="428">
        <f t="shared" si="54"/>
        <v>9.1017507690192847</v>
      </c>
      <c r="U260" s="428">
        <f t="shared" si="54"/>
        <v>9.1017507690192847</v>
      </c>
      <c r="V260" s="428">
        <f t="shared" si="54"/>
        <v>9.1017507690192847</v>
      </c>
      <c r="W260" s="428">
        <f t="shared" si="54"/>
        <v>9.1017507690192847</v>
      </c>
      <c r="X260" s="428">
        <f t="shared" si="54"/>
        <v>1.0062038401990441</v>
      </c>
      <c r="Y260" s="428">
        <f t="shared" si="54"/>
        <v>1.2860107657741633</v>
      </c>
      <c r="Z260" s="428">
        <f t="shared" si="54"/>
        <v>2.443743707792942</v>
      </c>
      <c r="AA260" s="428">
        <f t="shared" si="54"/>
        <v>0.84751271211814783</v>
      </c>
      <c r="AB260" s="428">
        <f t="shared" si="54"/>
        <v>20.21093882755105</v>
      </c>
      <c r="AC260" s="428">
        <f t="shared" si="54"/>
        <v>1.0000000000000002</v>
      </c>
      <c r="AD260" s="428">
        <f t="shared" si="54"/>
        <v>1.0000000000000002</v>
      </c>
      <c r="AE260" s="428">
        <f t="shared" si="54"/>
        <v>1.0000000000000002</v>
      </c>
      <c r="AF260" s="428">
        <f t="shared" si="54"/>
        <v>1.0000000000000002</v>
      </c>
      <c r="AG260" s="428">
        <f t="shared" si="54"/>
        <v>9.1017507690192847</v>
      </c>
      <c r="AH260" s="428">
        <f t="shared" si="54"/>
        <v>9.1017507690192847</v>
      </c>
      <c r="AI260" s="428">
        <f t="shared" si="54"/>
        <v>1.0000000000000002</v>
      </c>
      <c r="AJ260" s="428">
        <f t="shared" si="54"/>
        <v>1.0000000000000002</v>
      </c>
      <c r="AK260" s="428">
        <f t="shared" si="54"/>
        <v>9.1017507690192847</v>
      </c>
      <c r="AL260" s="428">
        <f t="shared" si="54"/>
        <v>9.1017507690192847</v>
      </c>
      <c r="AM260" s="428">
        <f t="shared" si="54"/>
        <v>1.0000000000000002</v>
      </c>
      <c r="AN260" s="428">
        <f t="shared" si="54"/>
        <v>1.0000000000000002</v>
      </c>
      <c r="AO260" s="428">
        <f t="shared" si="54"/>
        <v>9.1017507690192847</v>
      </c>
      <c r="AP260" s="428">
        <f t="shared" si="54"/>
        <v>9.1017507690192847</v>
      </c>
    </row>
    <row r="261" spans="5:42" s="160" customFormat="1" x14ac:dyDescent="0.25">
      <c r="F261" s="193" t="s">
        <v>46</v>
      </c>
      <c r="G261" s="145" t="s">
        <v>636</v>
      </c>
      <c r="H261" s="167"/>
      <c r="I261" s="167"/>
      <c r="J261" s="428">
        <f t="shared" ref="J261:AP261" si="55">SUMPRODUCT(J221:J223,J$43:J$45,J$253:J$255) * hours_in_year</f>
        <v>1.3467909423542392</v>
      </c>
      <c r="K261" s="428">
        <f t="shared" si="55"/>
        <v>1.6223810265316567</v>
      </c>
      <c r="L261" s="428">
        <f t="shared" si="55"/>
        <v>0.23700758639059802</v>
      </c>
      <c r="M261" s="428">
        <f t="shared" si="55"/>
        <v>1.1757018320914987</v>
      </c>
      <c r="N261" s="428">
        <f t="shared" si="55"/>
        <v>1.5442879054975955</v>
      </c>
      <c r="O261" s="428">
        <f t="shared" si="55"/>
        <v>0.40960287713269727</v>
      </c>
      <c r="P261" s="428">
        <f t="shared" si="55"/>
        <v>1.2454666659069289</v>
      </c>
      <c r="Q261" s="428">
        <f t="shared" si="55"/>
        <v>1.3525109569741856</v>
      </c>
      <c r="R261" s="428">
        <f t="shared" si="55"/>
        <v>1.1763421880086375</v>
      </c>
      <c r="S261" s="428">
        <f t="shared" si="55"/>
        <v>7.2277537965892922</v>
      </c>
      <c r="T261" s="428">
        <f t="shared" si="55"/>
        <v>7.2277537965892922</v>
      </c>
      <c r="U261" s="428">
        <f t="shared" si="55"/>
        <v>7.2277537965892922</v>
      </c>
      <c r="V261" s="428">
        <f t="shared" si="55"/>
        <v>7.2277537965892922</v>
      </c>
      <c r="W261" s="428">
        <f t="shared" si="55"/>
        <v>7.2277537965892922</v>
      </c>
      <c r="X261" s="428">
        <f t="shared" si="55"/>
        <v>1.0050356620692877</v>
      </c>
      <c r="Y261" s="428">
        <f t="shared" si="55"/>
        <v>1.1456592196157664</v>
      </c>
      <c r="Z261" s="428">
        <f t="shared" si="55"/>
        <v>2.1539350810932731</v>
      </c>
      <c r="AA261" s="428">
        <f t="shared" si="55"/>
        <v>0.95899215231908563</v>
      </c>
      <c r="AB261" s="428">
        <f t="shared" si="55"/>
        <v>16.715097192724855</v>
      </c>
      <c r="AC261" s="428">
        <f t="shared" si="55"/>
        <v>1</v>
      </c>
      <c r="AD261" s="428">
        <f t="shared" si="55"/>
        <v>1</v>
      </c>
      <c r="AE261" s="428">
        <f t="shared" si="55"/>
        <v>1</v>
      </c>
      <c r="AF261" s="428">
        <f t="shared" si="55"/>
        <v>1</v>
      </c>
      <c r="AG261" s="428">
        <f t="shared" si="55"/>
        <v>7.2277537965892922</v>
      </c>
      <c r="AH261" s="428">
        <f t="shared" si="55"/>
        <v>7.2277537965892922</v>
      </c>
      <c r="AI261" s="428">
        <f t="shared" si="55"/>
        <v>1</v>
      </c>
      <c r="AJ261" s="428">
        <f t="shared" si="55"/>
        <v>1</v>
      </c>
      <c r="AK261" s="428">
        <f t="shared" si="55"/>
        <v>7.2277537965892922</v>
      </c>
      <c r="AL261" s="428">
        <f t="shared" si="55"/>
        <v>7.2277537965892922</v>
      </c>
      <c r="AM261" s="428">
        <f t="shared" si="55"/>
        <v>1</v>
      </c>
      <c r="AN261" s="428">
        <f t="shared" si="55"/>
        <v>1</v>
      </c>
      <c r="AO261" s="428">
        <f t="shared" si="55"/>
        <v>7.2277537965892922</v>
      </c>
      <c r="AP261" s="428">
        <f t="shared" si="55"/>
        <v>7.2277537965892922</v>
      </c>
    </row>
    <row r="262" spans="5:42" s="160" customFormat="1" x14ac:dyDescent="0.25">
      <c r="F262" s="193" t="s">
        <v>47</v>
      </c>
      <c r="G262" s="145" t="s">
        <v>636</v>
      </c>
      <c r="H262" s="167"/>
      <c r="I262" s="167"/>
      <c r="J262" s="428">
        <f t="shared" ref="J262:AP262" si="56">SUMPRODUCT(J226:J228,J$43:J$45,J$253:J$255) * hours_in_year</f>
        <v>1.3467909423542392</v>
      </c>
      <c r="K262" s="428">
        <f t="shared" si="56"/>
        <v>1.6223810265316567</v>
      </c>
      <c r="L262" s="428">
        <f t="shared" si="56"/>
        <v>0.23700758639059802</v>
      </c>
      <c r="M262" s="428">
        <f t="shared" si="56"/>
        <v>1.1757018320914987</v>
      </c>
      <c r="N262" s="428">
        <f t="shared" si="56"/>
        <v>1.5442879054975955</v>
      </c>
      <c r="O262" s="428">
        <f t="shared" si="56"/>
        <v>0.40960287713269727</v>
      </c>
      <c r="P262" s="428">
        <f t="shared" si="56"/>
        <v>1.2454666659069289</v>
      </c>
      <c r="Q262" s="428">
        <f t="shared" si="56"/>
        <v>1.3525109569741856</v>
      </c>
      <c r="R262" s="428">
        <f t="shared" si="56"/>
        <v>1.1763421880086375</v>
      </c>
      <c r="S262" s="428">
        <f t="shared" si="56"/>
        <v>7.2277537965892922</v>
      </c>
      <c r="T262" s="428">
        <f t="shared" si="56"/>
        <v>7.2277537965892922</v>
      </c>
      <c r="U262" s="428">
        <f t="shared" si="56"/>
        <v>7.2277537965892922</v>
      </c>
      <c r="V262" s="428">
        <f t="shared" si="56"/>
        <v>7.2277537965892922</v>
      </c>
      <c r="W262" s="428">
        <f t="shared" si="56"/>
        <v>7.2277537965892922</v>
      </c>
      <c r="X262" s="428">
        <f t="shared" si="56"/>
        <v>1.0050356620692877</v>
      </c>
      <c r="Y262" s="428">
        <f t="shared" si="56"/>
        <v>1.1456592196157664</v>
      </c>
      <c r="Z262" s="428">
        <f t="shared" si="56"/>
        <v>2.1539350810932731</v>
      </c>
      <c r="AA262" s="428">
        <f t="shared" si="56"/>
        <v>0.95899215231908563</v>
      </c>
      <c r="AB262" s="428">
        <f t="shared" si="56"/>
        <v>16.715097192724855</v>
      </c>
      <c r="AC262" s="428">
        <f t="shared" si="56"/>
        <v>1</v>
      </c>
      <c r="AD262" s="428">
        <f t="shared" si="56"/>
        <v>1</v>
      </c>
      <c r="AE262" s="428">
        <f t="shared" si="56"/>
        <v>1</v>
      </c>
      <c r="AF262" s="428">
        <f t="shared" si="56"/>
        <v>1</v>
      </c>
      <c r="AG262" s="428">
        <f t="shared" si="56"/>
        <v>7.2277537965892922</v>
      </c>
      <c r="AH262" s="428">
        <f t="shared" si="56"/>
        <v>7.2277537965892922</v>
      </c>
      <c r="AI262" s="428">
        <f t="shared" si="56"/>
        <v>1</v>
      </c>
      <c r="AJ262" s="428">
        <f t="shared" si="56"/>
        <v>1</v>
      </c>
      <c r="AK262" s="428">
        <f t="shared" si="56"/>
        <v>7.2277537965892922</v>
      </c>
      <c r="AL262" s="428">
        <f t="shared" si="56"/>
        <v>7.2277537965892922</v>
      </c>
      <c r="AM262" s="428">
        <f t="shared" si="56"/>
        <v>1</v>
      </c>
      <c r="AN262" s="428">
        <f t="shared" si="56"/>
        <v>1</v>
      </c>
      <c r="AO262" s="428">
        <f t="shared" si="56"/>
        <v>7.2277537965892922</v>
      </c>
      <c r="AP262" s="428">
        <f t="shared" si="56"/>
        <v>7.2277537965892922</v>
      </c>
    </row>
    <row r="263" spans="5:42" s="160" customFormat="1" x14ac:dyDescent="0.25">
      <c r="F263" s="193" t="s">
        <v>51</v>
      </c>
      <c r="G263" s="145" t="s">
        <v>636</v>
      </c>
      <c r="H263" s="167"/>
      <c r="I263" s="167"/>
      <c r="J263" s="428">
        <f t="shared" ref="J263:AP263" si="57">SUMPRODUCT(J231:J233,J$43:J$45,J$253:J$255) * hours_in_year</f>
        <v>0</v>
      </c>
      <c r="K263" s="428">
        <f t="shared" si="57"/>
        <v>0</v>
      </c>
      <c r="L263" s="428">
        <f t="shared" si="57"/>
        <v>0</v>
      </c>
      <c r="M263" s="428">
        <f t="shared" si="57"/>
        <v>0</v>
      </c>
      <c r="N263" s="428">
        <f t="shared" si="57"/>
        <v>0</v>
      </c>
      <c r="O263" s="428">
        <f t="shared" si="57"/>
        <v>0</v>
      </c>
      <c r="P263" s="428">
        <f t="shared" si="57"/>
        <v>0</v>
      </c>
      <c r="Q263" s="428">
        <f t="shared" si="57"/>
        <v>0</v>
      </c>
      <c r="R263" s="428">
        <f t="shared" si="57"/>
        <v>0</v>
      </c>
      <c r="S263" s="428">
        <f t="shared" si="57"/>
        <v>0</v>
      </c>
      <c r="T263" s="428">
        <f t="shared" si="57"/>
        <v>0</v>
      </c>
      <c r="U263" s="428">
        <f t="shared" si="57"/>
        <v>0</v>
      </c>
      <c r="V263" s="428">
        <f t="shared" si="57"/>
        <v>0</v>
      </c>
      <c r="W263" s="428">
        <f t="shared" si="57"/>
        <v>0</v>
      </c>
      <c r="X263" s="428">
        <f t="shared" si="57"/>
        <v>0</v>
      </c>
      <c r="Y263" s="428">
        <f t="shared" si="57"/>
        <v>0</v>
      </c>
      <c r="Z263" s="428">
        <f t="shared" si="57"/>
        <v>0</v>
      </c>
      <c r="AA263" s="428">
        <f t="shared" si="57"/>
        <v>0</v>
      </c>
      <c r="AB263" s="428">
        <f t="shared" si="57"/>
        <v>0</v>
      </c>
      <c r="AC263" s="428">
        <f t="shared" si="57"/>
        <v>0</v>
      </c>
      <c r="AD263" s="428">
        <f t="shared" si="57"/>
        <v>0</v>
      </c>
      <c r="AE263" s="428">
        <f t="shared" si="57"/>
        <v>0</v>
      </c>
      <c r="AF263" s="428">
        <f t="shared" si="57"/>
        <v>0</v>
      </c>
      <c r="AG263" s="428">
        <f t="shared" si="57"/>
        <v>0</v>
      </c>
      <c r="AH263" s="428">
        <f t="shared" si="57"/>
        <v>0</v>
      </c>
      <c r="AI263" s="428">
        <f t="shared" si="57"/>
        <v>0</v>
      </c>
      <c r="AJ263" s="428">
        <f t="shared" si="57"/>
        <v>0</v>
      </c>
      <c r="AK263" s="428">
        <f t="shared" si="57"/>
        <v>0</v>
      </c>
      <c r="AL263" s="428">
        <f t="shared" si="57"/>
        <v>0</v>
      </c>
      <c r="AM263" s="428">
        <f t="shared" si="57"/>
        <v>0</v>
      </c>
      <c r="AN263" s="428">
        <f t="shared" si="57"/>
        <v>0</v>
      </c>
      <c r="AO263" s="428">
        <f t="shared" si="57"/>
        <v>0</v>
      </c>
      <c r="AP263" s="428">
        <f t="shared" si="57"/>
        <v>0</v>
      </c>
    </row>
    <row r="264" spans="5:42" s="160" customFormat="1" x14ac:dyDescent="0.25">
      <c r="F264" s="193" t="s">
        <v>48</v>
      </c>
      <c r="G264" s="145" t="s">
        <v>636</v>
      </c>
      <c r="H264" s="167"/>
      <c r="I264" s="167"/>
      <c r="J264" s="428">
        <f t="shared" ref="J264:AP264" si="58">SUMPRODUCT(J236:J238,J$43:J$45,J$253:J$255) * hours_in_year</f>
        <v>1.273851626227368</v>
      </c>
      <c r="K264" s="428">
        <f t="shared" si="58"/>
        <v>1.5100710908955446</v>
      </c>
      <c r="L264" s="428">
        <f t="shared" si="58"/>
        <v>0.37309574476170138</v>
      </c>
      <c r="M264" s="428">
        <f t="shared" si="58"/>
        <v>1.2056563755162701</v>
      </c>
      <c r="N264" s="428">
        <f t="shared" si="58"/>
        <v>1.4924157851517614</v>
      </c>
      <c r="O264" s="428">
        <f t="shared" si="58"/>
        <v>0.48618199969467552</v>
      </c>
      <c r="P264" s="428">
        <f t="shared" si="58"/>
        <v>1.2426535501546676</v>
      </c>
      <c r="Q264" s="428">
        <f t="shared" si="58"/>
        <v>1.3504766596416269</v>
      </c>
      <c r="R264" s="428">
        <f t="shared" si="58"/>
        <v>1.18722240310505</v>
      </c>
      <c r="S264" s="428">
        <f t="shared" si="58"/>
        <v>4.7730635262112946</v>
      </c>
      <c r="T264" s="428">
        <f t="shared" si="58"/>
        <v>4.7730635262112946</v>
      </c>
      <c r="U264" s="428">
        <f t="shared" si="58"/>
        <v>4.7730635262112946</v>
      </c>
      <c r="V264" s="428">
        <f t="shared" si="58"/>
        <v>4.7730635262112946</v>
      </c>
      <c r="W264" s="428">
        <f t="shared" si="58"/>
        <v>4.7730635262112946</v>
      </c>
      <c r="X264" s="428">
        <f t="shared" si="58"/>
        <v>1.0028797877938993</v>
      </c>
      <c r="Y264" s="428">
        <f t="shared" si="58"/>
        <v>0.87999548009974904</v>
      </c>
      <c r="Z264" s="428">
        <f t="shared" si="58"/>
        <v>1.6177137089234164</v>
      </c>
      <c r="AA264" s="428">
        <f t="shared" si="58"/>
        <v>1.1710858567069866</v>
      </c>
      <c r="AB264" s="428">
        <f t="shared" si="58"/>
        <v>10.272855526512354</v>
      </c>
      <c r="AC264" s="428">
        <f t="shared" si="58"/>
        <v>1</v>
      </c>
      <c r="AD264" s="428">
        <f t="shared" si="58"/>
        <v>1</v>
      </c>
      <c r="AE264" s="428">
        <f t="shared" si="58"/>
        <v>1</v>
      </c>
      <c r="AF264" s="428">
        <f t="shared" si="58"/>
        <v>1</v>
      </c>
      <c r="AG264" s="428">
        <f t="shared" si="58"/>
        <v>4.7730635262112946</v>
      </c>
      <c r="AH264" s="428">
        <f t="shared" si="58"/>
        <v>4.7730635262112946</v>
      </c>
      <c r="AI264" s="428">
        <f t="shared" si="58"/>
        <v>1</v>
      </c>
      <c r="AJ264" s="428">
        <f t="shared" si="58"/>
        <v>1</v>
      </c>
      <c r="AK264" s="428">
        <f t="shared" si="58"/>
        <v>4.7730635262112946</v>
      </c>
      <c r="AL264" s="428">
        <f t="shared" si="58"/>
        <v>4.7730635262112946</v>
      </c>
      <c r="AM264" s="428">
        <f t="shared" si="58"/>
        <v>1</v>
      </c>
      <c r="AN264" s="428">
        <f t="shared" si="58"/>
        <v>1</v>
      </c>
      <c r="AO264" s="428">
        <f t="shared" si="58"/>
        <v>4.7730635262112946</v>
      </c>
      <c r="AP264" s="428">
        <f t="shared" si="58"/>
        <v>4.7730635262112946</v>
      </c>
    </row>
    <row r="265" spans="5:42" s="160" customFormat="1" x14ac:dyDescent="0.25">
      <c r="F265" s="193" t="s">
        <v>49</v>
      </c>
      <c r="G265" s="145" t="s">
        <v>636</v>
      </c>
      <c r="H265" s="167"/>
      <c r="I265" s="167"/>
      <c r="J265" s="428">
        <f t="shared" ref="J265:AP265" si="59">SUMPRODUCT(J241:J243,J$43:J$45,J$253:J$255) * hours_in_year</f>
        <v>1.273851626227368</v>
      </c>
      <c r="K265" s="428">
        <f t="shared" si="59"/>
        <v>1.5100710908955446</v>
      </c>
      <c r="L265" s="428">
        <f t="shared" si="59"/>
        <v>0.37309574476170138</v>
      </c>
      <c r="M265" s="428">
        <f t="shared" si="59"/>
        <v>1.2056563755162701</v>
      </c>
      <c r="N265" s="428">
        <f t="shared" si="59"/>
        <v>1.4924157851517614</v>
      </c>
      <c r="O265" s="428">
        <f t="shared" si="59"/>
        <v>0.48618199969467552</v>
      </c>
      <c r="P265" s="428">
        <f t="shared" si="59"/>
        <v>1.2426535501546676</v>
      </c>
      <c r="Q265" s="428">
        <f t="shared" si="59"/>
        <v>1.3504766596416269</v>
      </c>
      <c r="R265" s="428">
        <f t="shared" si="59"/>
        <v>1.18722240310505</v>
      </c>
      <c r="S265" s="428">
        <f t="shared" si="59"/>
        <v>4.7730635262112946</v>
      </c>
      <c r="T265" s="428">
        <f t="shared" si="59"/>
        <v>4.7730635262112946</v>
      </c>
      <c r="U265" s="428">
        <f t="shared" si="59"/>
        <v>4.7730635262112946</v>
      </c>
      <c r="V265" s="428">
        <f t="shared" si="59"/>
        <v>4.7730635262112946</v>
      </c>
      <c r="W265" s="428">
        <f t="shared" si="59"/>
        <v>4.7730635262112946</v>
      </c>
      <c r="X265" s="428">
        <f t="shared" si="59"/>
        <v>1.0028797877938993</v>
      </c>
      <c r="Y265" s="428">
        <f t="shared" si="59"/>
        <v>0.87999548009974904</v>
      </c>
      <c r="Z265" s="428">
        <f t="shared" si="59"/>
        <v>1.6177137089234164</v>
      </c>
      <c r="AA265" s="428">
        <f t="shared" si="59"/>
        <v>1.1710858567069866</v>
      </c>
      <c r="AB265" s="428">
        <f t="shared" si="59"/>
        <v>10.272855526512354</v>
      </c>
      <c r="AC265" s="428">
        <f t="shared" si="59"/>
        <v>1</v>
      </c>
      <c r="AD265" s="428">
        <f t="shared" si="59"/>
        <v>1</v>
      </c>
      <c r="AE265" s="428">
        <f t="shared" si="59"/>
        <v>1</v>
      </c>
      <c r="AF265" s="428">
        <f t="shared" si="59"/>
        <v>1</v>
      </c>
      <c r="AG265" s="428">
        <f t="shared" si="59"/>
        <v>4.7730635262112946</v>
      </c>
      <c r="AH265" s="428">
        <f t="shared" si="59"/>
        <v>4.7730635262112946</v>
      </c>
      <c r="AI265" s="428">
        <f t="shared" si="59"/>
        <v>1</v>
      </c>
      <c r="AJ265" s="428">
        <f t="shared" si="59"/>
        <v>1</v>
      </c>
      <c r="AK265" s="428">
        <f t="shared" si="59"/>
        <v>4.7730635262112946</v>
      </c>
      <c r="AL265" s="428">
        <f t="shared" si="59"/>
        <v>4.7730635262112946</v>
      </c>
      <c r="AM265" s="428">
        <f t="shared" si="59"/>
        <v>1</v>
      </c>
      <c r="AN265" s="428">
        <f t="shared" si="59"/>
        <v>1</v>
      </c>
      <c r="AO265" s="428">
        <f t="shared" si="59"/>
        <v>4.7730635262112946</v>
      </c>
      <c r="AP265" s="428">
        <f t="shared" si="59"/>
        <v>4.7730635262112946</v>
      </c>
    </row>
    <row r="266" spans="5:42" s="160" customFormat="1" x14ac:dyDescent="0.25">
      <c r="F266" s="210" t="s">
        <v>50</v>
      </c>
      <c r="G266" s="38" t="s">
        <v>636</v>
      </c>
      <c r="H266" s="168"/>
      <c r="I266" s="168"/>
      <c r="J266" s="432">
        <f t="shared" ref="J266:AP266" si="60">SUMPRODUCT(J246:J248,J$43:J$45,J$253:J$255) * hours_in_year</f>
        <v>1.273851626227368</v>
      </c>
      <c r="K266" s="432">
        <f t="shared" si="60"/>
        <v>1.5100710908955446</v>
      </c>
      <c r="L266" s="432">
        <f t="shared" si="60"/>
        <v>0.37309574476170138</v>
      </c>
      <c r="M266" s="432">
        <f t="shared" si="60"/>
        <v>1.2056563755162701</v>
      </c>
      <c r="N266" s="432">
        <f t="shared" si="60"/>
        <v>1.4924157851517614</v>
      </c>
      <c r="O266" s="432">
        <f t="shared" si="60"/>
        <v>0.48618199969467552</v>
      </c>
      <c r="P266" s="432">
        <f t="shared" si="60"/>
        <v>1.2426535501546676</v>
      </c>
      <c r="Q266" s="432">
        <f t="shared" si="60"/>
        <v>1.3504766596416269</v>
      </c>
      <c r="R266" s="432">
        <f t="shared" si="60"/>
        <v>1.18722240310505</v>
      </c>
      <c r="S266" s="432">
        <f t="shared" si="60"/>
        <v>4.7730635262112946</v>
      </c>
      <c r="T266" s="432">
        <f t="shared" si="60"/>
        <v>4.7730635262112946</v>
      </c>
      <c r="U266" s="432">
        <f t="shared" si="60"/>
        <v>4.7730635262112946</v>
      </c>
      <c r="V266" s="432">
        <f t="shared" si="60"/>
        <v>4.7730635262112946</v>
      </c>
      <c r="W266" s="432">
        <f t="shared" si="60"/>
        <v>4.7730635262112946</v>
      </c>
      <c r="X266" s="432">
        <f t="shared" si="60"/>
        <v>1.0028797877938993</v>
      </c>
      <c r="Y266" s="432">
        <f t="shared" si="60"/>
        <v>0.87999548009974904</v>
      </c>
      <c r="Z266" s="432">
        <f t="shared" si="60"/>
        <v>1.6177137089234164</v>
      </c>
      <c r="AA266" s="432">
        <f t="shared" si="60"/>
        <v>1.1710858567069866</v>
      </c>
      <c r="AB266" s="432">
        <f t="shared" si="60"/>
        <v>10.272855526512354</v>
      </c>
      <c r="AC266" s="432">
        <f t="shared" si="60"/>
        <v>1</v>
      </c>
      <c r="AD266" s="432">
        <f t="shared" si="60"/>
        <v>1</v>
      </c>
      <c r="AE266" s="432">
        <f t="shared" si="60"/>
        <v>1</v>
      </c>
      <c r="AF266" s="432">
        <f t="shared" si="60"/>
        <v>1</v>
      </c>
      <c r="AG266" s="432">
        <f t="shared" si="60"/>
        <v>4.7730635262112946</v>
      </c>
      <c r="AH266" s="432">
        <f t="shared" si="60"/>
        <v>4.7730635262112946</v>
      </c>
      <c r="AI266" s="432">
        <f t="shared" si="60"/>
        <v>1</v>
      </c>
      <c r="AJ266" s="432">
        <f t="shared" si="60"/>
        <v>1</v>
      </c>
      <c r="AK266" s="432">
        <f t="shared" si="60"/>
        <v>4.7730635262112946</v>
      </c>
      <c r="AL266" s="432">
        <f t="shared" si="60"/>
        <v>4.7730635262112946</v>
      </c>
      <c r="AM266" s="432">
        <f t="shared" si="60"/>
        <v>1</v>
      </c>
      <c r="AN266" s="432">
        <f t="shared" si="60"/>
        <v>1</v>
      </c>
      <c r="AO266" s="432">
        <f t="shared" si="60"/>
        <v>4.7730635262112946</v>
      </c>
      <c r="AP266" s="432">
        <f t="shared" si="60"/>
        <v>4.7730635262112946</v>
      </c>
    </row>
    <row r="267" spans="5:42" s="160" customFormat="1" x14ac:dyDescent="0.25">
      <c r="G267" s="145"/>
      <c r="H267" s="167"/>
      <c r="I267" s="167"/>
      <c r="J267" s="428"/>
      <c r="K267" s="428"/>
      <c r="L267" s="428"/>
      <c r="M267" s="428"/>
      <c r="N267" s="428"/>
      <c r="O267" s="428"/>
      <c r="P267" s="428"/>
      <c r="Q267" s="428"/>
      <c r="R267" s="428"/>
      <c r="S267" s="428"/>
      <c r="T267" s="428"/>
      <c r="U267" s="428"/>
      <c r="V267" s="428"/>
      <c r="W267" s="428"/>
      <c r="X267" s="428"/>
      <c r="Y267" s="428"/>
      <c r="Z267" s="428"/>
      <c r="AA267" s="428"/>
      <c r="AB267" s="428"/>
      <c r="AC267" s="428"/>
      <c r="AD267" s="428"/>
      <c r="AE267" s="428"/>
      <c r="AF267" s="428"/>
      <c r="AG267" s="428"/>
      <c r="AH267" s="428"/>
      <c r="AI267" s="428"/>
      <c r="AJ267" s="428"/>
      <c r="AK267" s="428"/>
      <c r="AL267" s="428"/>
      <c r="AM267" s="428"/>
      <c r="AN267" s="428"/>
      <c r="AO267" s="428"/>
      <c r="AP267" s="428"/>
    </row>
    <row r="268" spans="5:42" s="160" customFormat="1" x14ac:dyDescent="0.25">
      <c r="E268" s="172" t="s">
        <v>152</v>
      </c>
      <c r="G268" s="35"/>
      <c r="J268" s="416"/>
      <c r="K268" s="416"/>
      <c r="L268" s="416"/>
      <c r="M268" s="416"/>
      <c r="N268" s="416"/>
      <c r="O268" s="416"/>
      <c r="P268" s="416"/>
      <c r="Q268" s="416"/>
      <c r="R268" s="416"/>
      <c r="S268" s="416"/>
      <c r="T268" s="416"/>
      <c r="U268" s="416"/>
      <c r="V268" s="416"/>
      <c r="W268" s="416"/>
      <c r="X268" s="416"/>
      <c r="Y268" s="416"/>
      <c r="Z268" s="416"/>
      <c r="AA268" s="416"/>
      <c r="AB268" s="416"/>
      <c r="AC268" s="416"/>
      <c r="AD268" s="416"/>
      <c r="AE268" s="416"/>
      <c r="AF268" s="416"/>
      <c r="AG268" s="416"/>
      <c r="AH268" s="416"/>
      <c r="AI268" s="416"/>
      <c r="AJ268" s="416"/>
      <c r="AK268" s="416"/>
      <c r="AL268" s="416"/>
      <c r="AM268" s="416"/>
      <c r="AN268" s="416"/>
      <c r="AO268" s="416"/>
      <c r="AP268" s="416"/>
    </row>
    <row r="269" spans="5:42" s="160" customFormat="1" x14ac:dyDescent="0.25">
      <c r="F269" s="40" t="s">
        <v>43</v>
      </c>
      <c r="G269" s="40" t="s">
        <v>636</v>
      </c>
      <c r="H269" s="166"/>
      <c r="I269" s="166"/>
      <c r="J269" s="431">
        <f t="shared" ref="J269:AP269" si="61">SUMPRODUCT(J206:J208,J$52:J$54,J$253:J$255) * hours_in_year</f>
        <v>0</v>
      </c>
      <c r="K269" s="431">
        <f t="shared" si="61"/>
        <v>2.2595435663942873E-2</v>
      </c>
      <c r="L269" s="431">
        <f t="shared" si="61"/>
        <v>0</v>
      </c>
      <c r="M269" s="431">
        <f t="shared" si="61"/>
        <v>0</v>
      </c>
      <c r="N269" s="431">
        <f t="shared" si="61"/>
        <v>4.8229955210513605E-2</v>
      </c>
      <c r="O269" s="431">
        <f t="shared" si="61"/>
        <v>0</v>
      </c>
      <c r="P269" s="431">
        <f t="shared" si="61"/>
        <v>2.1892201016546341E-2</v>
      </c>
      <c r="Q269" s="431">
        <f t="shared" si="61"/>
        <v>2.5346903557012294E-2</v>
      </c>
      <c r="R269" s="431">
        <f t="shared" si="61"/>
        <v>3.3161392433768942E-2</v>
      </c>
      <c r="S269" s="431">
        <f t="shared" si="61"/>
        <v>0.24570135393983247</v>
      </c>
      <c r="T269" s="431">
        <f t="shared" si="61"/>
        <v>0.24570135393983247</v>
      </c>
      <c r="U269" s="431">
        <f t="shared" si="61"/>
        <v>0.24570135393983247</v>
      </c>
      <c r="V269" s="431">
        <f t="shared" si="61"/>
        <v>0.24570135393983247</v>
      </c>
      <c r="W269" s="431">
        <f t="shared" si="61"/>
        <v>0.24570135393983247</v>
      </c>
      <c r="X269" s="431">
        <f t="shared" si="61"/>
        <v>0</v>
      </c>
      <c r="Y269" s="431">
        <f t="shared" si="61"/>
        <v>0</v>
      </c>
      <c r="Z269" s="431">
        <f t="shared" si="61"/>
        <v>0</v>
      </c>
      <c r="AA269" s="431">
        <f t="shared" si="61"/>
        <v>0</v>
      </c>
      <c r="AB269" s="431">
        <f t="shared" si="61"/>
        <v>0.84483600602116593</v>
      </c>
      <c r="AC269" s="431">
        <f t="shared" si="61"/>
        <v>0</v>
      </c>
      <c r="AD269" s="431">
        <f t="shared" si="61"/>
        <v>0</v>
      </c>
      <c r="AE269" s="431">
        <f t="shared" si="61"/>
        <v>0</v>
      </c>
      <c r="AF269" s="431">
        <f t="shared" si="61"/>
        <v>0</v>
      </c>
      <c r="AG269" s="431">
        <f t="shared" si="61"/>
        <v>0.24570135393983247</v>
      </c>
      <c r="AH269" s="431">
        <f t="shared" si="61"/>
        <v>0.24570135393983247</v>
      </c>
      <c r="AI269" s="431">
        <f t="shared" si="61"/>
        <v>0</v>
      </c>
      <c r="AJ269" s="431">
        <f t="shared" si="61"/>
        <v>0</v>
      </c>
      <c r="AK269" s="431">
        <f t="shared" si="61"/>
        <v>0.24570135393983247</v>
      </c>
      <c r="AL269" s="431">
        <f t="shared" si="61"/>
        <v>0.24570135393983247</v>
      </c>
      <c r="AM269" s="431">
        <f t="shared" si="61"/>
        <v>0</v>
      </c>
      <c r="AN269" s="431">
        <f t="shared" si="61"/>
        <v>0</v>
      </c>
      <c r="AO269" s="431">
        <f t="shared" si="61"/>
        <v>0.24570135393983247</v>
      </c>
      <c r="AP269" s="431">
        <f t="shared" si="61"/>
        <v>0.24570135393983247</v>
      </c>
    </row>
    <row r="270" spans="5:42" s="160" customFormat="1" x14ac:dyDescent="0.25">
      <c r="F270" s="145" t="s">
        <v>44</v>
      </c>
      <c r="G270" s="145" t="s">
        <v>636</v>
      </c>
      <c r="H270" s="167"/>
      <c r="I270" s="167"/>
      <c r="J270" s="428">
        <f t="shared" ref="J270:AP270" si="62">SUMPRODUCT(J211:J213,J$52:J$54,J$253:J$255) * hours_in_year</f>
        <v>0</v>
      </c>
      <c r="K270" s="428">
        <f t="shared" si="62"/>
        <v>3.3759865874046051E-2</v>
      </c>
      <c r="L270" s="428">
        <f t="shared" si="62"/>
        <v>0</v>
      </c>
      <c r="M270" s="428">
        <f t="shared" si="62"/>
        <v>0</v>
      </c>
      <c r="N270" s="428">
        <f t="shared" si="62"/>
        <v>7.7124040723691459E-2</v>
      </c>
      <c r="O270" s="428">
        <f t="shared" si="62"/>
        <v>0</v>
      </c>
      <c r="P270" s="428">
        <f t="shared" si="62"/>
        <v>3.8459489279720552E-2</v>
      </c>
      <c r="Q270" s="428">
        <f t="shared" si="62"/>
        <v>4.3542796154771399E-2</v>
      </c>
      <c r="R270" s="428">
        <f t="shared" si="62"/>
        <v>5.5041165281181803E-2</v>
      </c>
      <c r="S270" s="428">
        <f t="shared" si="62"/>
        <v>0.36777600565939084</v>
      </c>
      <c r="T270" s="428">
        <f t="shared" si="62"/>
        <v>0.36777600565939084</v>
      </c>
      <c r="U270" s="428">
        <f t="shared" si="62"/>
        <v>0.36777600565939084</v>
      </c>
      <c r="V270" s="428">
        <f t="shared" si="62"/>
        <v>0.36777600565939084</v>
      </c>
      <c r="W270" s="428">
        <f t="shared" si="62"/>
        <v>0.36777600565939084</v>
      </c>
      <c r="X270" s="428">
        <f t="shared" si="62"/>
        <v>0</v>
      </c>
      <c r="Y270" s="428">
        <f t="shared" si="62"/>
        <v>0</v>
      </c>
      <c r="Z270" s="428">
        <f t="shared" si="62"/>
        <v>0</v>
      </c>
      <c r="AA270" s="428">
        <f t="shared" si="62"/>
        <v>0</v>
      </c>
      <c r="AB270" s="428">
        <f t="shared" si="62"/>
        <v>0.73018344659835244</v>
      </c>
      <c r="AC270" s="428">
        <f t="shared" si="62"/>
        <v>0</v>
      </c>
      <c r="AD270" s="428">
        <f t="shared" si="62"/>
        <v>0</v>
      </c>
      <c r="AE270" s="428">
        <f t="shared" si="62"/>
        <v>0</v>
      </c>
      <c r="AF270" s="428">
        <f t="shared" si="62"/>
        <v>0</v>
      </c>
      <c r="AG270" s="428">
        <f t="shared" si="62"/>
        <v>0.36777600565939084</v>
      </c>
      <c r="AH270" s="428">
        <f t="shared" si="62"/>
        <v>0.36777600565939084</v>
      </c>
      <c r="AI270" s="428">
        <f t="shared" si="62"/>
        <v>0</v>
      </c>
      <c r="AJ270" s="428">
        <f t="shared" si="62"/>
        <v>0</v>
      </c>
      <c r="AK270" s="428">
        <f t="shared" si="62"/>
        <v>0.36777600565939084</v>
      </c>
      <c r="AL270" s="428">
        <f t="shared" si="62"/>
        <v>0.36777600565939084</v>
      </c>
      <c r="AM270" s="428">
        <f t="shared" si="62"/>
        <v>0</v>
      </c>
      <c r="AN270" s="428">
        <f t="shared" si="62"/>
        <v>0</v>
      </c>
      <c r="AO270" s="428">
        <f t="shared" si="62"/>
        <v>0.36777600565939084</v>
      </c>
      <c r="AP270" s="428">
        <f t="shared" si="62"/>
        <v>0.36777600565939084</v>
      </c>
    </row>
    <row r="271" spans="5:42" s="160" customFormat="1" x14ac:dyDescent="0.25">
      <c r="F271" s="145" t="s">
        <v>45</v>
      </c>
      <c r="G271" s="145" t="s">
        <v>636</v>
      </c>
      <c r="H271" s="167"/>
      <c r="I271" s="167"/>
      <c r="J271" s="428">
        <f t="shared" ref="J271:AP271" si="63">SUMPRODUCT(J216:J218,J$52:J$54,J$253:J$255) * hours_in_year</f>
        <v>0</v>
      </c>
      <c r="K271" s="428">
        <f t="shared" si="63"/>
        <v>3.3759865874046051E-2</v>
      </c>
      <c r="L271" s="428">
        <f t="shared" si="63"/>
        <v>0</v>
      </c>
      <c r="M271" s="428">
        <f t="shared" si="63"/>
        <v>0</v>
      </c>
      <c r="N271" s="428">
        <f t="shared" si="63"/>
        <v>7.7124040723691459E-2</v>
      </c>
      <c r="O271" s="428">
        <f t="shared" si="63"/>
        <v>0</v>
      </c>
      <c r="P271" s="428">
        <f t="shared" si="63"/>
        <v>3.8459489279720552E-2</v>
      </c>
      <c r="Q271" s="428">
        <f t="shared" si="63"/>
        <v>4.3542796154771399E-2</v>
      </c>
      <c r="R271" s="428">
        <f t="shared" si="63"/>
        <v>5.5041165281181803E-2</v>
      </c>
      <c r="S271" s="428">
        <f t="shared" si="63"/>
        <v>0.36777600565939084</v>
      </c>
      <c r="T271" s="428">
        <f t="shared" si="63"/>
        <v>0.36777600565939084</v>
      </c>
      <c r="U271" s="428">
        <f t="shared" si="63"/>
        <v>0.36777600565939084</v>
      </c>
      <c r="V271" s="428">
        <f t="shared" si="63"/>
        <v>0.36777600565939084</v>
      </c>
      <c r="W271" s="428">
        <f t="shared" si="63"/>
        <v>0.36777600565939084</v>
      </c>
      <c r="X271" s="428">
        <f t="shared" si="63"/>
        <v>0</v>
      </c>
      <c r="Y271" s="428">
        <f t="shared" si="63"/>
        <v>0</v>
      </c>
      <c r="Z271" s="428">
        <f t="shared" si="63"/>
        <v>0</v>
      </c>
      <c r="AA271" s="428">
        <f t="shared" si="63"/>
        <v>0</v>
      </c>
      <c r="AB271" s="428">
        <f t="shared" si="63"/>
        <v>0.73018344659835244</v>
      </c>
      <c r="AC271" s="428">
        <f t="shared" si="63"/>
        <v>0</v>
      </c>
      <c r="AD271" s="428">
        <f t="shared" si="63"/>
        <v>0</v>
      </c>
      <c r="AE271" s="428">
        <f t="shared" si="63"/>
        <v>0</v>
      </c>
      <c r="AF271" s="428">
        <f t="shared" si="63"/>
        <v>0</v>
      </c>
      <c r="AG271" s="428">
        <f t="shared" si="63"/>
        <v>0.36777600565939084</v>
      </c>
      <c r="AH271" s="428">
        <f t="shared" si="63"/>
        <v>0.36777600565939084</v>
      </c>
      <c r="AI271" s="428">
        <f t="shared" si="63"/>
        <v>0</v>
      </c>
      <c r="AJ271" s="428">
        <f t="shared" si="63"/>
        <v>0</v>
      </c>
      <c r="AK271" s="428">
        <f t="shared" si="63"/>
        <v>0.36777600565939084</v>
      </c>
      <c r="AL271" s="428">
        <f t="shared" si="63"/>
        <v>0.36777600565939084</v>
      </c>
      <c r="AM271" s="428">
        <f t="shared" si="63"/>
        <v>0</v>
      </c>
      <c r="AN271" s="428">
        <f t="shared" si="63"/>
        <v>0</v>
      </c>
      <c r="AO271" s="428">
        <f t="shared" si="63"/>
        <v>0.36777600565939084</v>
      </c>
      <c r="AP271" s="428">
        <f t="shared" si="63"/>
        <v>0.36777600565939084</v>
      </c>
    </row>
    <row r="272" spans="5:42" s="160" customFormat="1" x14ac:dyDescent="0.25">
      <c r="F272" s="145" t="s">
        <v>46</v>
      </c>
      <c r="G272" s="145" t="s">
        <v>636</v>
      </c>
      <c r="H272" s="167"/>
      <c r="I272" s="167"/>
      <c r="J272" s="428">
        <f t="shared" ref="J272:AP272" si="64">SUMPRODUCT(J221:J223,J$52:J$54,J$253:J$255) * hours_in_year</f>
        <v>0</v>
      </c>
      <c r="K272" s="428">
        <f t="shared" si="64"/>
        <v>7.477076121328656E-2</v>
      </c>
      <c r="L272" s="428">
        <f t="shared" si="64"/>
        <v>0</v>
      </c>
      <c r="M272" s="428">
        <f t="shared" si="64"/>
        <v>0</v>
      </c>
      <c r="N272" s="428">
        <f t="shared" si="64"/>
        <v>0.16143569003390723</v>
      </c>
      <c r="O272" s="428">
        <f t="shared" si="64"/>
        <v>0</v>
      </c>
      <c r="P272" s="428">
        <f t="shared" si="64"/>
        <v>9.2783460315767327E-2</v>
      </c>
      <c r="Q272" s="428">
        <f t="shared" si="64"/>
        <v>0.1018290558189891</v>
      </c>
      <c r="R272" s="428">
        <f t="shared" si="64"/>
        <v>0.12229006646045311</v>
      </c>
      <c r="S272" s="428">
        <f t="shared" si="64"/>
        <v>0.67879254316713844</v>
      </c>
      <c r="T272" s="428">
        <f t="shared" si="64"/>
        <v>0.67879254316713844</v>
      </c>
      <c r="U272" s="428">
        <f t="shared" si="64"/>
        <v>0.67879254316713844</v>
      </c>
      <c r="V272" s="428">
        <f t="shared" si="64"/>
        <v>0.67879254316713844</v>
      </c>
      <c r="W272" s="428">
        <f t="shared" si="64"/>
        <v>0.67879254316713844</v>
      </c>
      <c r="X272" s="428">
        <f t="shared" si="64"/>
        <v>0</v>
      </c>
      <c r="Y272" s="428">
        <f t="shared" si="64"/>
        <v>0</v>
      </c>
      <c r="Z272" s="428">
        <f t="shared" si="64"/>
        <v>0</v>
      </c>
      <c r="AA272" s="428">
        <f t="shared" si="64"/>
        <v>0</v>
      </c>
      <c r="AB272" s="428">
        <f t="shared" si="64"/>
        <v>0.89040195143778389</v>
      </c>
      <c r="AC272" s="428">
        <f t="shared" si="64"/>
        <v>0</v>
      </c>
      <c r="AD272" s="428">
        <f t="shared" si="64"/>
        <v>0</v>
      </c>
      <c r="AE272" s="428">
        <f t="shared" si="64"/>
        <v>0</v>
      </c>
      <c r="AF272" s="428">
        <f t="shared" si="64"/>
        <v>0</v>
      </c>
      <c r="AG272" s="428">
        <f t="shared" si="64"/>
        <v>0.67879254316713844</v>
      </c>
      <c r="AH272" s="428">
        <f t="shared" si="64"/>
        <v>0.67879254316713844</v>
      </c>
      <c r="AI272" s="428">
        <f t="shared" si="64"/>
        <v>0</v>
      </c>
      <c r="AJ272" s="428">
        <f t="shared" si="64"/>
        <v>0</v>
      </c>
      <c r="AK272" s="428">
        <f t="shared" si="64"/>
        <v>0.67879254316713844</v>
      </c>
      <c r="AL272" s="428">
        <f t="shared" si="64"/>
        <v>0.67879254316713844</v>
      </c>
      <c r="AM272" s="428">
        <f t="shared" si="64"/>
        <v>0</v>
      </c>
      <c r="AN272" s="428">
        <f t="shared" si="64"/>
        <v>0</v>
      </c>
      <c r="AO272" s="428">
        <f t="shared" si="64"/>
        <v>0.67879254316713844</v>
      </c>
      <c r="AP272" s="428">
        <f t="shared" si="64"/>
        <v>0.67879254316713844</v>
      </c>
    </row>
    <row r="273" spans="5:42" s="160" customFormat="1" x14ac:dyDescent="0.25">
      <c r="F273" s="145" t="s">
        <v>47</v>
      </c>
      <c r="G273" s="145" t="s">
        <v>636</v>
      </c>
      <c r="H273" s="167"/>
      <c r="I273" s="167"/>
      <c r="J273" s="428">
        <f t="shared" ref="J273:AP273" si="65">SUMPRODUCT(J226:J228,J$52:J$54,J$253:J$255) * hours_in_year</f>
        <v>0</v>
      </c>
      <c r="K273" s="428">
        <f t="shared" si="65"/>
        <v>7.477076121328656E-2</v>
      </c>
      <c r="L273" s="428">
        <f t="shared" si="65"/>
        <v>0</v>
      </c>
      <c r="M273" s="428">
        <f t="shared" si="65"/>
        <v>0</v>
      </c>
      <c r="N273" s="428">
        <f t="shared" si="65"/>
        <v>0.16143569003390723</v>
      </c>
      <c r="O273" s="428">
        <f t="shared" si="65"/>
        <v>0</v>
      </c>
      <c r="P273" s="428">
        <f t="shared" si="65"/>
        <v>9.2783460315767327E-2</v>
      </c>
      <c r="Q273" s="428">
        <f t="shared" si="65"/>
        <v>0.1018290558189891</v>
      </c>
      <c r="R273" s="428">
        <f t="shared" si="65"/>
        <v>0.12229006646045311</v>
      </c>
      <c r="S273" s="428">
        <f t="shared" si="65"/>
        <v>0.67879254316713844</v>
      </c>
      <c r="T273" s="428">
        <f t="shared" si="65"/>
        <v>0.67879254316713844</v>
      </c>
      <c r="U273" s="428">
        <f t="shared" si="65"/>
        <v>0.67879254316713844</v>
      </c>
      <c r="V273" s="428">
        <f t="shared" si="65"/>
        <v>0.67879254316713844</v>
      </c>
      <c r="W273" s="428">
        <f t="shared" si="65"/>
        <v>0.67879254316713844</v>
      </c>
      <c r="X273" s="428">
        <f t="shared" si="65"/>
        <v>0</v>
      </c>
      <c r="Y273" s="428">
        <f t="shared" si="65"/>
        <v>0</v>
      </c>
      <c r="Z273" s="428">
        <f t="shared" si="65"/>
        <v>0</v>
      </c>
      <c r="AA273" s="428">
        <f t="shared" si="65"/>
        <v>0</v>
      </c>
      <c r="AB273" s="428">
        <f t="shared" si="65"/>
        <v>0.89040195143778389</v>
      </c>
      <c r="AC273" s="428">
        <f t="shared" si="65"/>
        <v>0</v>
      </c>
      <c r="AD273" s="428">
        <f t="shared" si="65"/>
        <v>0</v>
      </c>
      <c r="AE273" s="428">
        <f t="shared" si="65"/>
        <v>0</v>
      </c>
      <c r="AF273" s="428">
        <f t="shared" si="65"/>
        <v>0</v>
      </c>
      <c r="AG273" s="428">
        <f t="shared" si="65"/>
        <v>0.67879254316713844</v>
      </c>
      <c r="AH273" s="428">
        <f t="shared" si="65"/>
        <v>0.67879254316713844</v>
      </c>
      <c r="AI273" s="428">
        <f t="shared" si="65"/>
        <v>0</v>
      </c>
      <c r="AJ273" s="428">
        <f t="shared" si="65"/>
        <v>0</v>
      </c>
      <c r="AK273" s="428">
        <f t="shared" si="65"/>
        <v>0.67879254316713844</v>
      </c>
      <c r="AL273" s="428">
        <f t="shared" si="65"/>
        <v>0.67879254316713844</v>
      </c>
      <c r="AM273" s="428">
        <f t="shared" si="65"/>
        <v>0</v>
      </c>
      <c r="AN273" s="428">
        <f t="shared" si="65"/>
        <v>0</v>
      </c>
      <c r="AO273" s="428">
        <f t="shared" si="65"/>
        <v>0.67879254316713844</v>
      </c>
      <c r="AP273" s="428">
        <f t="shared" si="65"/>
        <v>0.67879254316713844</v>
      </c>
    </row>
    <row r="274" spans="5:42" s="160" customFormat="1" x14ac:dyDescent="0.25">
      <c r="F274" s="145" t="s">
        <v>51</v>
      </c>
      <c r="G274" s="145" t="s">
        <v>636</v>
      </c>
      <c r="H274" s="167"/>
      <c r="I274" s="167"/>
      <c r="J274" s="428">
        <f t="shared" ref="J274:AP274" si="66">SUMPRODUCT(J231:J233,J$52:J$54,J$253:J$255) * hours_in_year</f>
        <v>0</v>
      </c>
      <c r="K274" s="428">
        <f t="shared" si="66"/>
        <v>0</v>
      </c>
      <c r="L274" s="428">
        <f t="shared" si="66"/>
        <v>0</v>
      </c>
      <c r="M274" s="428">
        <f t="shared" si="66"/>
        <v>0</v>
      </c>
      <c r="N274" s="428">
        <f t="shared" si="66"/>
        <v>0</v>
      </c>
      <c r="O274" s="428">
        <f t="shared" si="66"/>
        <v>0</v>
      </c>
      <c r="P274" s="428">
        <f t="shared" si="66"/>
        <v>0</v>
      </c>
      <c r="Q274" s="428">
        <f t="shared" si="66"/>
        <v>0</v>
      </c>
      <c r="R274" s="428">
        <f t="shared" si="66"/>
        <v>0</v>
      </c>
      <c r="S274" s="428">
        <f t="shared" si="66"/>
        <v>0</v>
      </c>
      <c r="T274" s="428">
        <f t="shared" si="66"/>
        <v>0</v>
      </c>
      <c r="U274" s="428">
        <f t="shared" si="66"/>
        <v>0</v>
      </c>
      <c r="V274" s="428">
        <f t="shared" si="66"/>
        <v>0</v>
      </c>
      <c r="W274" s="428">
        <f t="shared" si="66"/>
        <v>0</v>
      </c>
      <c r="X274" s="428">
        <f t="shared" si="66"/>
        <v>0</v>
      </c>
      <c r="Y274" s="428">
        <f t="shared" si="66"/>
        <v>0</v>
      </c>
      <c r="Z274" s="428">
        <f t="shared" si="66"/>
        <v>0</v>
      </c>
      <c r="AA274" s="428">
        <f t="shared" si="66"/>
        <v>0</v>
      </c>
      <c r="AB274" s="428">
        <f t="shared" si="66"/>
        <v>0</v>
      </c>
      <c r="AC274" s="428">
        <f t="shared" si="66"/>
        <v>0</v>
      </c>
      <c r="AD274" s="428">
        <f t="shared" si="66"/>
        <v>0</v>
      </c>
      <c r="AE274" s="428">
        <f t="shared" si="66"/>
        <v>0</v>
      </c>
      <c r="AF274" s="428">
        <f t="shared" si="66"/>
        <v>0</v>
      </c>
      <c r="AG274" s="428">
        <f t="shared" si="66"/>
        <v>0</v>
      </c>
      <c r="AH274" s="428">
        <f t="shared" si="66"/>
        <v>0</v>
      </c>
      <c r="AI274" s="428">
        <f t="shared" si="66"/>
        <v>0</v>
      </c>
      <c r="AJ274" s="428">
        <f t="shared" si="66"/>
        <v>0</v>
      </c>
      <c r="AK274" s="428">
        <f t="shared" si="66"/>
        <v>0</v>
      </c>
      <c r="AL274" s="428">
        <f t="shared" si="66"/>
        <v>0</v>
      </c>
      <c r="AM274" s="428">
        <f t="shared" si="66"/>
        <v>0</v>
      </c>
      <c r="AN274" s="428">
        <f t="shared" si="66"/>
        <v>0</v>
      </c>
      <c r="AO274" s="428">
        <f t="shared" si="66"/>
        <v>0</v>
      </c>
      <c r="AP274" s="428">
        <f t="shared" si="66"/>
        <v>0</v>
      </c>
    </row>
    <row r="275" spans="5:42" s="160" customFormat="1" x14ac:dyDescent="0.25">
      <c r="F275" s="145" t="s">
        <v>48</v>
      </c>
      <c r="G275" s="145" t="s">
        <v>636</v>
      </c>
      <c r="H275" s="167"/>
      <c r="I275" s="167"/>
      <c r="J275" s="428">
        <f t="shared" ref="J275:AP275" si="67">SUMPRODUCT(J236:J238,J$52:J$54,J$253:J$255) * hours_in_year</f>
        <v>0</v>
      </c>
      <c r="K275" s="428">
        <f t="shared" si="67"/>
        <v>0.1316891428696696</v>
      </c>
      <c r="L275" s="428">
        <f t="shared" si="67"/>
        <v>0</v>
      </c>
      <c r="M275" s="428">
        <f t="shared" si="67"/>
        <v>0</v>
      </c>
      <c r="N275" s="428">
        <f t="shared" si="67"/>
        <v>0.27413734560753772</v>
      </c>
      <c r="O275" s="428">
        <f t="shared" si="67"/>
        <v>0</v>
      </c>
      <c r="P275" s="428">
        <f t="shared" si="67"/>
        <v>0.16688775334881004</v>
      </c>
      <c r="Q275" s="428">
        <f t="shared" si="67"/>
        <v>0.18103334311496919</v>
      </c>
      <c r="R275" s="428">
        <f t="shared" si="67"/>
        <v>0.21303046952108343</v>
      </c>
      <c r="S275" s="428">
        <f t="shared" si="67"/>
        <v>1.0832944268846958</v>
      </c>
      <c r="T275" s="428">
        <f t="shared" si="67"/>
        <v>1.0832944268846958</v>
      </c>
      <c r="U275" s="428">
        <f t="shared" si="67"/>
        <v>1.0832944268846958</v>
      </c>
      <c r="V275" s="428">
        <f t="shared" si="67"/>
        <v>1.0832944268846958</v>
      </c>
      <c r="W275" s="428">
        <f t="shared" si="67"/>
        <v>1.0832944268846958</v>
      </c>
      <c r="X275" s="428">
        <f t="shared" si="67"/>
        <v>0</v>
      </c>
      <c r="Y275" s="428">
        <f t="shared" si="67"/>
        <v>0</v>
      </c>
      <c r="Z275" s="428">
        <f t="shared" si="67"/>
        <v>0</v>
      </c>
      <c r="AA275" s="428">
        <f t="shared" si="67"/>
        <v>0</v>
      </c>
      <c r="AB275" s="428">
        <f t="shared" si="67"/>
        <v>1.1944906624934315</v>
      </c>
      <c r="AC275" s="428">
        <f t="shared" si="67"/>
        <v>0</v>
      </c>
      <c r="AD275" s="428">
        <f t="shared" si="67"/>
        <v>0</v>
      </c>
      <c r="AE275" s="428">
        <f t="shared" si="67"/>
        <v>0</v>
      </c>
      <c r="AF275" s="428">
        <f t="shared" si="67"/>
        <v>0</v>
      </c>
      <c r="AG275" s="428">
        <f t="shared" si="67"/>
        <v>1.0832944268846958</v>
      </c>
      <c r="AH275" s="428">
        <f t="shared" si="67"/>
        <v>1.0832944268846958</v>
      </c>
      <c r="AI275" s="428">
        <f t="shared" si="67"/>
        <v>0</v>
      </c>
      <c r="AJ275" s="428">
        <f t="shared" si="67"/>
        <v>0</v>
      </c>
      <c r="AK275" s="428">
        <f t="shared" si="67"/>
        <v>1.0832944268846958</v>
      </c>
      <c r="AL275" s="428">
        <f t="shared" si="67"/>
        <v>1.0832944268846958</v>
      </c>
      <c r="AM275" s="428">
        <f t="shared" si="67"/>
        <v>0</v>
      </c>
      <c r="AN275" s="428">
        <f t="shared" si="67"/>
        <v>0</v>
      </c>
      <c r="AO275" s="428">
        <f t="shared" si="67"/>
        <v>1.0832944268846958</v>
      </c>
      <c r="AP275" s="428">
        <f t="shared" si="67"/>
        <v>1.0832944268846958</v>
      </c>
    </row>
    <row r="276" spans="5:42" s="160" customFormat="1" x14ac:dyDescent="0.25">
      <c r="F276" s="145" t="s">
        <v>49</v>
      </c>
      <c r="G276" s="145" t="s">
        <v>636</v>
      </c>
      <c r="H276" s="167"/>
      <c r="I276" s="167"/>
      <c r="J276" s="428">
        <f t="shared" ref="J276:AP276" si="68">SUMPRODUCT(J241:J243,J$52:J$54,J$253:J$255) * hours_in_year</f>
        <v>0</v>
      </c>
      <c r="K276" s="428">
        <f t="shared" si="68"/>
        <v>0.1316891428696696</v>
      </c>
      <c r="L276" s="428">
        <f t="shared" si="68"/>
        <v>0</v>
      </c>
      <c r="M276" s="428">
        <f t="shared" si="68"/>
        <v>0</v>
      </c>
      <c r="N276" s="428">
        <f t="shared" si="68"/>
        <v>0.27413734560753772</v>
      </c>
      <c r="O276" s="428">
        <f t="shared" si="68"/>
        <v>0</v>
      </c>
      <c r="P276" s="428">
        <f t="shared" si="68"/>
        <v>0.16688775334881004</v>
      </c>
      <c r="Q276" s="428">
        <f t="shared" si="68"/>
        <v>0.18103334311496919</v>
      </c>
      <c r="R276" s="428">
        <f t="shared" si="68"/>
        <v>0.21303046952108343</v>
      </c>
      <c r="S276" s="428">
        <f t="shared" si="68"/>
        <v>1.0832944268846958</v>
      </c>
      <c r="T276" s="428">
        <f t="shared" si="68"/>
        <v>1.0832944268846958</v>
      </c>
      <c r="U276" s="428">
        <f t="shared" si="68"/>
        <v>1.0832944268846958</v>
      </c>
      <c r="V276" s="428">
        <f t="shared" si="68"/>
        <v>1.0832944268846958</v>
      </c>
      <c r="W276" s="428">
        <f t="shared" si="68"/>
        <v>1.0832944268846958</v>
      </c>
      <c r="X276" s="428">
        <f t="shared" si="68"/>
        <v>0</v>
      </c>
      <c r="Y276" s="428">
        <f t="shared" si="68"/>
        <v>0</v>
      </c>
      <c r="Z276" s="428">
        <f t="shared" si="68"/>
        <v>0</v>
      </c>
      <c r="AA276" s="428">
        <f t="shared" si="68"/>
        <v>0</v>
      </c>
      <c r="AB276" s="428">
        <f t="shared" si="68"/>
        <v>1.1944906624934315</v>
      </c>
      <c r="AC276" s="428">
        <f t="shared" si="68"/>
        <v>0</v>
      </c>
      <c r="AD276" s="428">
        <f t="shared" si="68"/>
        <v>0</v>
      </c>
      <c r="AE276" s="428">
        <f t="shared" si="68"/>
        <v>0</v>
      </c>
      <c r="AF276" s="428">
        <f t="shared" si="68"/>
        <v>0</v>
      </c>
      <c r="AG276" s="428">
        <f t="shared" si="68"/>
        <v>1.0832944268846958</v>
      </c>
      <c r="AH276" s="428">
        <f t="shared" si="68"/>
        <v>1.0832944268846958</v>
      </c>
      <c r="AI276" s="428">
        <f t="shared" si="68"/>
        <v>0</v>
      </c>
      <c r="AJ276" s="428">
        <f t="shared" si="68"/>
        <v>0</v>
      </c>
      <c r="AK276" s="428">
        <f t="shared" si="68"/>
        <v>1.0832944268846958</v>
      </c>
      <c r="AL276" s="428">
        <f t="shared" si="68"/>
        <v>1.0832944268846958</v>
      </c>
      <c r="AM276" s="428">
        <f t="shared" si="68"/>
        <v>0</v>
      </c>
      <c r="AN276" s="428">
        <f t="shared" si="68"/>
        <v>0</v>
      </c>
      <c r="AO276" s="428">
        <f t="shared" si="68"/>
        <v>1.0832944268846958</v>
      </c>
      <c r="AP276" s="428">
        <f t="shared" si="68"/>
        <v>1.0832944268846958</v>
      </c>
    </row>
    <row r="277" spans="5:42" s="160" customFormat="1" x14ac:dyDescent="0.25">
      <c r="F277" s="38" t="s">
        <v>50</v>
      </c>
      <c r="G277" s="38" t="s">
        <v>636</v>
      </c>
      <c r="H277" s="168"/>
      <c r="I277" s="168"/>
      <c r="J277" s="432">
        <f t="shared" ref="J277:AP277" si="69">SUMPRODUCT(J246:J248,J$52:J$54,J$253:J$255) * hours_in_year</f>
        <v>0</v>
      </c>
      <c r="K277" s="432">
        <f t="shared" si="69"/>
        <v>0.1316891428696696</v>
      </c>
      <c r="L277" s="432">
        <f t="shared" si="69"/>
        <v>0</v>
      </c>
      <c r="M277" s="432">
        <f t="shared" si="69"/>
        <v>0</v>
      </c>
      <c r="N277" s="432">
        <f t="shared" si="69"/>
        <v>0.27413734560753772</v>
      </c>
      <c r="O277" s="432">
        <f t="shared" si="69"/>
        <v>0</v>
      </c>
      <c r="P277" s="432">
        <f t="shared" si="69"/>
        <v>0.16688775334881004</v>
      </c>
      <c r="Q277" s="432">
        <f t="shared" si="69"/>
        <v>0.18103334311496919</v>
      </c>
      <c r="R277" s="432">
        <f t="shared" si="69"/>
        <v>0.21303046952108343</v>
      </c>
      <c r="S277" s="432">
        <f t="shared" si="69"/>
        <v>1.0832944268846958</v>
      </c>
      <c r="T277" s="432">
        <f t="shared" si="69"/>
        <v>1.0832944268846958</v>
      </c>
      <c r="U277" s="432">
        <f t="shared" si="69"/>
        <v>1.0832944268846958</v>
      </c>
      <c r="V277" s="432">
        <f t="shared" si="69"/>
        <v>1.0832944268846958</v>
      </c>
      <c r="W277" s="432">
        <f t="shared" si="69"/>
        <v>1.0832944268846958</v>
      </c>
      <c r="X277" s="432">
        <f t="shared" si="69"/>
        <v>0</v>
      </c>
      <c r="Y277" s="432">
        <f t="shared" si="69"/>
        <v>0</v>
      </c>
      <c r="Z277" s="432">
        <f t="shared" si="69"/>
        <v>0</v>
      </c>
      <c r="AA277" s="432">
        <f t="shared" si="69"/>
        <v>0</v>
      </c>
      <c r="AB277" s="432">
        <f t="shared" si="69"/>
        <v>1.1944906624934315</v>
      </c>
      <c r="AC277" s="432">
        <f t="shared" si="69"/>
        <v>0</v>
      </c>
      <c r="AD277" s="432">
        <f t="shared" si="69"/>
        <v>0</v>
      </c>
      <c r="AE277" s="432">
        <f t="shared" si="69"/>
        <v>0</v>
      </c>
      <c r="AF277" s="432">
        <f t="shared" si="69"/>
        <v>0</v>
      </c>
      <c r="AG277" s="432">
        <f t="shared" si="69"/>
        <v>1.0832944268846958</v>
      </c>
      <c r="AH277" s="432">
        <f t="shared" si="69"/>
        <v>1.0832944268846958</v>
      </c>
      <c r="AI277" s="432">
        <f t="shared" si="69"/>
        <v>0</v>
      </c>
      <c r="AJ277" s="432">
        <f t="shared" si="69"/>
        <v>0</v>
      </c>
      <c r="AK277" s="432">
        <f t="shared" si="69"/>
        <v>1.0832944268846958</v>
      </c>
      <c r="AL277" s="432">
        <f t="shared" si="69"/>
        <v>1.0832944268846958</v>
      </c>
      <c r="AM277" s="432">
        <f t="shared" si="69"/>
        <v>0</v>
      </c>
      <c r="AN277" s="432">
        <f t="shared" si="69"/>
        <v>0</v>
      </c>
      <c r="AO277" s="432">
        <f t="shared" si="69"/>
        <v>1.0832944268846958</v>
      </c>
      <c r="AP277" s="432">
        <f t="shared" si="69"/>
        <v>1.0832944268846958</v>
      </c>
    </row>
    <row r="278" spans="5:42" s="160" customFormat="1" x14ac:dyDescent="0.25">
      <c r="J278" s="416"/>
      <c r="K278" s="416"/>
      <c r="L278" s="416"/>
      <c r="M278" s="416"/>
      <c r="N278" s="416"/>
      <c r="O278" s="416"/>
      <c r="P278" s="416"/>
      <c r="Q278" s="416"/>
      <c r="R278" s="416"/>
      <c r="S278" s="416"/>
      <c r="T278" s="416"/>
      <c r="U278" s="416"/>
      <c r="V278" s="416"/>
      <c r="W278" s="416"/>
      <c r="X278" s="416"/>
      <c r="Y278" s="416"/>
      <c r="Z278" s="416"/>
      <c r="AA278" s="416"/>
      <c r="AB278" s="416"/>
      <c r="AC278" s="416"/>
      <c r="AD278" s="416"/>
      <c r="AE278" s="416"/>
      <c r="AF278" s="416"/>
      <c r="AG278" s="416"/>
      <c r="AH278" s="416"/>
      <c r="AI278" s="416"/>
      <c r="AJ278" s="416"/>
      <c r="AK278" s="416"/>
      <c r="AL278" s="416"/>
      <c r="AM278" s="416"/>
      <c r="AN278" s="416"/>
      <c r="AO278" s="416"/>
      <c r="AP278" s="416"/>
    </row>
    <row r="279" spans="5:42" s="160" customFormat="1" x14ac:dyDescent="0.25">
      <c r="E279" s="172" t="s">
        <v>153</v>
      </c>
      <c r="G279" s="35"/>
      <c r="J279" s="416"/>
      <c r="K279" s="416"/>
      <c r="L279" s="416"/>
      <c r="M279" s="416"/>
      <c r="N279" s="416"/>
      <c r="O279" s="416"/>
      <c r="P279" s="416"/>
      <c r="Q279" s="416"/>
      <c r="R279" s="416"/>
      <c r="S279" s="416"/>
      <c r="T279" s="416"/>
      <c r="U279" s="416"/>
      <c r="V279" s="416"/>
      <c r="W279" s="416"/>
      <c r="X279" s="416"/>
      <c r="Y279" s="416"/>
      <c r="Z279" s="416"/>
      <c r="AA279" s="416"/>
      <c r="AB279" s="416"/>
      <c r="AC279" s="416"/>
      <c r="AD279" s="416"/>
      <c r="AE279" s="416"/>
      <c r="AF279" s="416"/>
      <c r="AG279" s="416"/>
      <c r="AH279" s="416"/>
      <c r="AI279" s="416"/>
      <c r="AJ279" s="416"/>
      <c r="AK279" s="416"/>
      <c r="AL279" s="416"/>
      <c r="AM279" s="416"/>
      <c r="AN279" s="416"/>
      <c r="AO279" s="416"/>
      <c r="AP279" s="416"/>
    </row>
    <row r="280" spans="5:42" s="160" customFormat="1" x14ac:dyDescent="0.25">
      <c r="F280" s="40" t="s">
        <v>43</v>
      </c>
      <c r="G280" s="40" t="s">
        <v>636</v>
      </c>
      <c r="H280" s="166"/>
      <c r="I280" s="166"/>
      <c r="J280" s="431">
        <f t="shared" ref="J280:AP280" si="70">SUMPRODUCT(J206:J208,J$61:J$63,J$253:J$255) * hours_in_year</f>
        <v>0</v>
      </c>
      <c r="K280" s="431">
        <f t="shared" si="70"/>
        <v>0</v>
      </c>
      <c r="L280" s="431">
        <f t="shared" si="70"/>
        <v>0</v>
      </c>
      <c r="M280" s="431">
        <f t="shared" si="70"/>
        <v>0</v>
      </c>
      <c r="N280" s="431">
        <f t="shared" si="70"/>
        <v>0</v>
      </c>
      <c r="O280" s="431">
        <f t="shared" si="70"/>
        <v>0</v>
      </c>
      <c r="P280" s="431">
        <f t="shared" si="70"/>
        <v>0</v>
      </c>
      <c r="Q280" s="431">
        <f t="shared" si="70"/>
        <v>0</v>
      </c>
      <c r="R280" s="431">
        <f t="shared" si="70"/>
        <v>0</v>
      </c>
      <c r="S280" s="431">
        <f t="shared" si="70"/>
        <v>0</v>
      </c>
      <c r="T280" s="431">
        <f t="shared" si="70"/>
        <v>0</v>
      </c>
      <c r="U280" s="431">
        <f t="shared" si="70"/>
        <v>0</v>
      </c>
      <c r="V280" s="431">
        <f t="shared" si="70"/>
        <v>0</v>
      </c>
      <c r="W280" s="431">
        <f t="shared" si="70"/>
        <v>0</v>
      </c>
      <c r="X280" s="431">
        <f t="shared" si="70"/>
        <v>0</v>
      </c>
      <c r="Y280" s="431">
        <f t="shared" si="70"/>
        <v>0</v>
      </c>
      <c r="Z280" s="431">
        <f t="shared" si="70"/>
        <v>0</v>
      </c>
      <c r="AA280" s="431">
        <f t="shared" si="70"/>
        <v>0</v>
      </c>
      <c r="AB280" s="431">
        <f t="shared" si="70"/>
        <v>0</v>
      </c>
      <c r="AC280" s="431">
        <f t="shared" si="70"/>
        <v>0</v>
      </c>
      <c r="AD280" s="431">
        <f t="shared" si="70"/>
        <v>0</v>
      </c>
      <c r="AE280" s="431">
        <f t="shared" si="70"/>
        <v>0</v>
      </c>
      <c r="AF280" s="431">
        <f t="shared" si="70"/>
        <v>0</v>
      </c>
      <c r="AG280" s="431">
        <f t="shared" si="70"/>
        <v>0</v>
      </c>
      <c r="AH280" s="431">
        <f t="shared" si="70"/>
        <v>0</v>
      </c>
      <c r="AI280" s="431">
        <f t="shared" si="70"/>
        <v>0</v>
      </c>
      <c r="AJ280" s="431">
        <f t="shared" si="70"/>
        <v>0</v>
      </c>
      <c r="AK280" s="431">
        <f t="shared" si="70"/>
        <v>0</v>
      </c>
      <c r="AL280" s="431">
        <f t="shared" si="70"/>
        <v>0</v>
      </c>
      <c r="AM280" s="431">
        <f t="shared" si="70"/>
        <v>0</v>
      </c>
      <c r="AN280" s="431">
        <f t="shared" si="70"/>
        <v>0</v>
      </c>
      <c r="AO280" s="431">
        <f t="shared" si="70"/>
        <v>0</v>
      </c>
      <c r="AP280" s="431">
        <f t="shared" si="70"/>
        <v>0</v>
      </c>
    </row>
    <row r="281" spans="5:42" s="160" customFormat="1" x14ac:dyDescent="0.25">
      <c r="F281" s="145" t="s">
        <v>44</v>
      </c>
      <c r="G281" s="145" t="s">
        <v>636</v>
      </c>
      <c r="H281" s="167"/>
      <c r="I281" s="167"/>
      <c r="J281" s="428">
        <f t="shared" ref="J281:AP281" si="71">SUMPRODUCT(J211:J213,J$61:J$63,J$253:J$255) * hours_in_year</f>
        <v>0</v>
      </c>
      <c r="K281" s="428">
        <f t="shared" si="71"/>
        <v>0</v>
      </c>
      <c r="L281" s="428">
        <f t="shared" si="71"/>
        <v>0</v>
      </c>
      <c r="M281" s="428">
        <f t="shared" si="71"/>
        <v>0</v>
      </c>
      <c r="N281" s="428">
        <f t="shared" si="71"/>
        <v>0</v>
      </c>
      <c r="O281" s="428">
        <f t="shared" si="71"/>
        <v>0</v>
      </c>
      <c r="P281" s="428">
        <f t="shared" si="71"/>
        <v>0</v>
      </c>
      <c r="Q281" s="428">
        <f t="shared" si="71"/>
        <v>0</v>
      </c>
      <c r="R281" s="428">
        <f t="shared" si="71"/>
        <v>0</v>
      </c>
      <c r="S281" s="428">
        <f t="shared" si="71"/>
        <v>6.2469399693549227E-3</v>
      </c>
      <c r="T281" s="428">
        <f t="shared" si="71"/>
        <v>6.2469399693549227E-3</v>
      </c>
      <c r="U281" s="428">
        <f t="shared" si="71"/>
        <v>6.2469399693549227E-3</v>
      </c>
      <c r="V281" s="428">
        <f t="shared" si="71"/>
        <v>6.2469399693549227E-3</v>
      </c>
      <c r="W281" s="428">
        <f t="shared" si="71"/>
        <v>6.2469399693549227E-3</v>
      </c>
      <c r="X281" s="428">
        <f t="shared" si="71"/>
        <v>0</v>
      </c>
      <c r="Y281" s="428">
        <f t="shared" si="71"/>
        <v>0</v>
      </c>
      <c r="Z281" s="428">
        <f t="shared" si="71"/>
        <v>0</v>
      </c>
      <c r="AA281" s="428">
        <f t="shared" si="71"/>
        <v>0</v>
      </c>
      <c r="AB281" s="428">
        <f t="shared" si="71"/>
        <v>6.2469399693549227E-3</v>
      </c>
      <c r="AC281" s="428">
        <f t="shared" si="71"/>
        <v>0</v>
      </c>
      <c r="AD281" s="428">
        <f t="shared" si="71"/>
        <v>0</v>
      </c>
      <c r="AE281" s="428">
        <f t="shared" si="71"/>
        <v>0</v>
      </c>
      <c r="AF281" s="428">
        <f t="shared" si="71"/>
        <v>0</v>
      </c>
      <c r="AG281" s="428">
        <f t="shared" si="71"/>
        <v>6.2469399693549227E-3</v>
      </c>
      <c r="AH281" s="428">
        <f t="shared" si="71"/>
        <v>6.2469399693549227E-3</v>
      </c>
      <c r="AI281" s="428">
        <f t="shared" si="71"/>
        <v>0</v>
      </c>
      <c r="AJ281" s="428">
        <f t="shared" si="71"/>
        <v>0</v>
      </c>
      <c r="AK281" s="428">
        <f t="shared" si="71"/>
        <v>6.2469399693549227E-3</v>
      </c>
      <c r="AL281" s="428">
        <f t="shared" si="71"/>
        <v>6.2469399693549227E-3</v>
      </c>
      <c r="AM281" s="428">
        <f t="shared" si="71"/>
        <v>0</v>
      </c>
      <c r="AN281" s="428">
        <f t="shared" si="71"/>
        <v>0</v>
      </c>
      <c r="AO281" s="428">
        <f t="shared" si="71"/>
        <v>6.2469399693549227E-3</v>
      </c>
      <c r="AP281" s="428">
        <f t="shared" si="71"/>
        <v>6.2469399693549227E-3</v>
      </c>
    </row>
    <row r="282" spans="5:42" s="160" customFormat="1" x14ac:dyDescent="0.25">
      <c r="F282" s="145" t="s">
        <v>45</v>
      </c>
      <c r="G282" s="145" t="s">
        <v>636</v>
      </c>
      <c r="H282" s="167"/>
      <c r="I282" s="167"/>
      <c r="J282" s="428">
        <f t="shared" ref="J282:AP282" si="72">SUMPRODUCT(J216:J218,J$61:J$63,J$253:J$255) * hours_in_year</f>
        <v>0</v>
      </c>
      <c r="K282" s="428">
        <f t="shared" si="72"/>
        <v>0</v>
      </c>
      <c r="L282" s="428">
        <f t="shared" si="72"/>
        <v>0</v>
      </c>
      <c r="M282" s="428">
        <f t="shared" si="72"/>
        <v>0</v>
      </c>
      <c r="N282" s="428">
        <f t="shared" si="72"/>
        <v>0</v>
      </c>
      <c r="O282" s="428">
        <f t="shared" si="72"/>
        <v>0</v>
      </c>
      <c r="P282" s="428">
        <f t="shared" si="72"/>
        <v>0</v>
      </c>
      <c r="Q282" s="428">
        <f t="shared" si="72"/>
        <v>0</v>
      </c>
      <c r="R282" s="428">
        <f t="shared" si="72"/>
        <v>0</v>
      </c>
      <c r="S282" s="428">
        <f t="shared" si="72"/>
        <v>6.2469399693549227E-3</v>
      </c>
      <c r="T282" s="428">
        <f t="shared" si="72"/>
        <v>6.2469399693549227E-3</v>
      </c>
      <c r="U282" s="428">
        <f t="shared" si="72"/>
        <v>6.2469399693549227E-3</v>
      </c>
      <c r="V282" s="428">
        <f t="shared" si="72"/>
        <v>6.2469399693549227E-3</v>
      </c>
      <c r="W282" s="428">
        <f t="shared" si="72"/>
        <v>6.2469399693549227E-3</v>
      </c>
      <c r="X282" s="428">
        <f t="shared" si="72"/>
        <v>0</v>
      </c>
      <c r="Y282" s="428">
        <f t="shared" si="72"/>
        <v>0</v>
      </c>
      <c r="Z282" s="428">
        <f t="shared" si="72"/>
        <v>0</v>
      </c>
      <c r="AA282" s="428">
        <f t="shared" si="72"/>
        <v>0</v>
      </c>
      <c r="AB282" s="428">
        <f t="shared" si="72"/>
        <v>6.2469399693549227E-3</v>
      </c>
      <c r="AC282" s="428">
        <f t="shared" si="72"/>
        <v>0</v>
      </c>
      <c r="AD282" s="428">
        <f t="shared" si="72"/>
        <v>0</v>
      </c>
      <c r="AE282" s="428">
        <f t="shared" si="72"/>
        <v>0</v>
      </c>
      <c r="AF282" s="428">
        <f t="shared" si="72"/>
        <v>0</v>
      </c>
      <c r="AG282" s="428">
        <f t="shared" si="72"/>
        <v>6.2469399693549227E-3</v>
      </c>
      <c r="AH282" s="428">
        <f t="shared" si="72"/>
        <v>6.2469399693549227E-3</v>
      </c>
      <c r="AI282" s="428">
        <f t="shared" si="72"/>
        <v>0</v>
      </c>
      <c r="AJ282" s="428">
        <f t="shared" si="72"/>
        <v>0</v>
      </c>
      <c r="AK282" s="428">
        <f t="shared" si="72"/>
        <v>6.2469399693549227E-3</v>
      </c>
      <c r="AL282" s="428">
        <f t="shared" si="72"/>
        <v>6.2469399693549227E-3</v>
      </c>
      <c r="AM282" s="428">
        <f t="shared" si="72"/>
        <v>0</v>
      </c>
      <c r="AN282" s="428">
        <f t="shared" si="72"/>
        <v>0</v>
      </c>
      <c r="AO282" s="428">
        <f t="shared" si="72"/>
        <v>6.2469399693549227E-3</v>
      </c>
      <c r="AP282" s="428">
        <f t="shared" si="72"/>
        <v>6.2469399693549227E-3</v>
      </c>
    </row>
    <row r="283" spans="5:42" s="160" customFormat="1" x14ac:dyDescent="0.25">
      <c r="F283" s="145" t="s">
        <v>46</v>
      </c>
      <c r="G283" s="145" t="s">
        <v>636</v>
      </c>
      <c r="H283" s="167"/>
      <c r="I283" s="167"/>
      <c r="J283" s="428">
        <f t="shared" ref="J283:AP283" si="73">SUMPRODUCT(J221:J223,J$61:J$63,J$253:J$255) * hours_in_year</f>
        <v>0</v>
      </c>
      <c r="K283" s="428">
        <f t="shared" si="73"/>
        <v>0</v>
      </c>
      <c r="L283" s="428">
        <f t="shared" si="73"/>
        <v>0</v>
      </c>
      <c r="M283" s="428">
        <f t="shared" si="73"/>
        <v>0</v>
      </c>
      <c r="N283" s="428">
        <f t="shared" si="73"/>
        <v>0</v>
      </c>
      <c r="O283" s="428">
        <f t="shared" si="73"/>
        <v>0</v>
      </c>
      <c r="P283" s="428">
        <f t="shared" si="73"/>
        <v>0</v>
      </c>
      <c r="Q283" s="428">
        <f t="shared" si="73"/>
        <v>0</v>
      </c>
      <c r="R283" s="428">
        <f t="shared" si="73"/>
        <v>0</v>
      </c>
      <c r="S283" s="428">
        <f t="shared" si="73"/>
        <v>3.5462173533088177E-2</v>
      </c>
      <c r="T283" s="428">
        <f t="shared" si="73"/>
        <v>3.5462173533088177E-2</v>
      </c>
      <c r="U283" s="428">
        <f t="shared" si="73"/>
        <v>3.5462173533088177E-2</v>
      </c>
      <c r="V283" s="428">
        <f t="shared" si="73"/>
        <v>3.5462173533088177E-2</v>
      </c>
      <c r="W283" s="428">
        <f t="shared" si="73"/>
        <v>3.5462173533088177E-2</v>
      </c>
      <c r="X283" s="428">
        <f t="shared" si="73"/>
        <v>0</v>
      </c>
      <c r="Y283" s="428">
        <f t="shared" si="73"/>
        <v>0</v>
      </c>
      <c r="Z283" s="428">
        <f t="shared" si="73"/>
        <v>0</v>
      </c>
      <c r="AA283" s="428">
        <f t="shared" si="73"/>
        <v>0</v>
      </c>
      <c r="AB283" s="428">
        <f t="shared" si="73"/>
        <v>3.5462173533088177E-2</v>
      </c>
      <c r="AC283" s="428">
        <f t="shared" si="73"/>
        <v>0</v>
      </c>
      <c r="AD283" s="428">
        <f t="shared" si="73"/>
        <v>0</v>
      </c>
      <c r="AE283" s="428">
        <f t="shared" si="73"/>
        <v>0</v>
      </c>
      <c r="AF283" s="428">
        <f t="shared" si="73"/>
        <v>0</v>
      </c>
      <c r="AG283" s="428">
        <f t="shared" si="73"/>
        <v>3.5462173533088177E-2</v>
      </c>
      <c r="AH283" s="428">
        <f t="shared" si="73"/>
        <v>3.5462173533088177E-2</v>
      </c>
      <c r="AI283" s="428">
        <f t="shared" si="73"/>
        <v>0</v>
      </c>
      <c r="AJ283" s="428">
        <f t="shared" si="73"/>
        <v>0</v>
      </c>
      <c r="AK283" s="428">
        <f t="shared" si="73"/>
        <v>3.5462173533088177E-2</v>
      </c>
      <c r="AL283" s="428">
        <f t="shared" si="73"/>
        <v>3.5462173533088177E-2</v>
      </c>
      <c r="AM283" s="428">
        <f t="shared" si="73"/>
        <v>0</v>
      </c>
      <c r="AN283" s="428">
        <f t="shared" si="73"/>
        <v>0</v>
      </c>
      <c r="AO283" s="428">
        <f t="shared" si="73"/>
        <v>3.5462173533088177E-2</v>
      </c>
      <c r="AP283" s="428">
        <f t="shared" si="73"/>
        <v>3.5462173533088177E-2</v>
      </c>
    </row>
    <row r="284" spans="5:42" s="160" customFormat="1" x14ac:dyDescent="0.25">
      <c r="F284" s="145" t="s">
        <v>47</v>
      </c>
      <c r="G284" s="145" t="s">
        <v>636</v>
      </c>
      <c r="H284" s="167"/>
      <c r="I284" s="167"/>
      <c r="J284" s="428">
        <f t="shared" ref="J284:AP284" si="74">SUMPRODUCT(J226:J228,J$61:J$63,J$253:J$255) * hours_in_year</f>
        <v>0</v>
      </c>
      <c r="K284" s="428">
        <f t="shared" si="74"/>
        <v>0</v>
      </c>
      <c r="L284" s="428">
        <f t="shared" si="74"/>
        <v>0</v>
      </c>
      <c r="M284" s="428">
        <f t="shared" si="74"/>
        <v>0</v>
      </c>
      <c r="N284" s="428">
        <f t="shared" si="74"/>
        <v>0</v>
      </c>
      <c r="O284" s="428">
        <f t="shared" si="74"/>
        <v>0</v>
      </c>
      <c r="P284" s="428">
        <f t="shared" si="74"/>
        <v>0</v>
      </c>
      <c r="Q284" s="428">
        <f t="shared" si="74"/>
        <v>0</v>
      </c>
      <c r="R284" s="428">
        <f t="shared" si="74"/>
        <v>0</v>
      </c>
      <c r="S284" s="428">
        <f t="shared" si="74"/>
        <v>3.5462173533088177E-2</v>
      </c>
      <c r="T284" s="428">
        <f t="shared" si="74"/>
        <v>3.5462173533088177E-2</v>
      </c>
      <c r="U284" s="428">
        <f t="shared" si="74"/>
        <v>3.5462173533088177E-2</v>
      </c>
      <c r="V284" s="428">
        <f t="shared" si="74"/>
        <v>3.5462173533088177E-2</v>
      </c>
      <c r="W284" s="428">
        <f t="shared" si="74"/>
        <v>3.5462173533088177E-2</v>
      </c>
      <c r="X284" s="428">
        <f t="shared" si="74"/>
        <v>0</v>
      </c>
      <c r="Y284" s="428">
        <f t="shared" si="74"/>
        <v>0</v>
      </c>
      <c r="Z284" s="428">
        <f t="shared" si="74"/>
        <v>0</v>
      </c>
      <c r="AA284" s="428">
        <f t="shared" si="74"/>
        <v>0</v>
      </c>
      <c r="AB284" s="428">
        <f t="shared" si="74"/>
        <v>3.5462173533088177E-2</v>
      </c>
      <c r="AC284" s="428">
        <f t="shared" si="74"/>
        <v>0</v>
      </c>
      <c r="AD284" s="428">
        <f t="shared" si="74"/>
        <v>0</v>
      </c>
      <c r="AE284" s="428">
        <f t="shared" si="74"/>
        <v>0</v>
      </c>
      <c r="AF284" s="428">
        <f t="shared" si="74"/>
        <v>0</v>
      </c>
      <c r="AG284" s="428">
        <f t="shared" si="74"/>
        <v>3.5462173533088177E-2</v>
      </c>
      <c r="AH284" s="428">
        <f t="shared" si="74"/>
        <v>3.5462173533088177E-2</v>
      </c>
      <c r="AI284" s="428">
        <f t="shared" si="74"/>
        <v>0</v>
      </c>
      <c r="AJ284" s="428">
        <f t="shared" si="74"/>
        <v>0</v>
      </c>
      <c r="AK284" s="428">
        <f t="shared" si="74"/>
        <v>3.5462173533088177E-2</v>
      </c>
      <c r="AL284" s="428">
        <f t="shared" si="74"/>
        <v>3.5462173533088177E-2</v>
      </c>
      <c r="AM284" s="428">
        <f t="shared" si="74"/>
        <v>0</v>
      </c>
      <c r="AN284" s="428">
        <f t="shared" si="74"/>
        <v>0</v>
      </c>
      <c r="AO284" s="428">
        <f t="shared" si="74"/>
        <v>3.5462173533088177E-2</v>
      </c>
      <c r="AP284" s="428">
        <f t="shared" si="74"/>
        <v>3.5462173533088177E-2</v>
      </c>
    </row>
    <row r="285" spans="5:42" s="160" customFormat="1" x14ac:dyDescent="0.25">
      <c r="F285" s="145" t="s">
        <v>51</v>
      </c>
      <c r="G285" s="145" t="s">
        <v>636</v>
      </c>
      <c r="H285" s="167"/>
      <c r="I285" s="167"/>
      <c r="J285" s="428">
        <f t="shared" ref="J285:AP285" si="75">SUMPRODUCT(J231:J233,J$61:J$63,J$253:J$255) * hours_in_year</f>
        <v>0</v>
      </c>
      <c r="K285" s="428">
        <f t="shared" si="75"/>
        <v>0</v>
      </c>
      <c r="L285" s="428">
        <f t="shared" si="75"/>
        <v>0</v>
      </c>
      <c r="M285" s="428">
        <f t="shared" si="75"/>
        <v>0</v>
      </c>
      <c r="N285" s="428">
        <f t="shared" si="75"/>
        <v>0</v>
      </c>
      <c r="O285" s="428">
        <f t="shared" si="75"/>
        <v>0</v>
      </c>
      <c r="P285" s="428">
        <f t="shared" si="75"/>
        <v>0</v>
      </c>
      <c r="Q285" s="428">
        <f t="shared" si="75"/>
        <v>0</v>
      </c>
      <c r="R285" s="428">
        <f t="shared" si="75"/>
        <v>0</v>
      </c>
      <c r="S285" s="428">
        <f t="shared" si="75"/>
        <v>0</v>
      </c>
      <c r="T285" s="428">
        <f t="shared" si="75"/>
        <v>0</v>
      </c>
      <c r="U285" s="428">
        <f t="shared" si="75"/>
        <v>0</v>
      </c>
      <c r="V285" s="428">
        <f t="shared" si="75"/>
        <v>0</v>
      </c>
      <c r="W285" s="428">
        <f t="shared" si="75"/>
        <v>0</v>
      </c>
      <c r="X285" s="428">
        <f t="shared" si="75"/>
        <v>0</v>
      </c>
      <c r="Y285" s="428">
        <f t="shared" si="75"/>
        <v>0</v>
      </c>
      <c r="Z285" s="428">
        <f t="shared" si="75"/>
        <v>0</v>
      </c>
      <c r="AA285" s="428">
        <f t="shared" si="75"/>
        <v>0</v>
      </c>
      <c r="AB285" s="428">
        <f t="shared" si="75"/>
        <v>0</v>
      </c>
      <c r="AC285" s="428">
        <f t="shared" si="75"/>
        <v>0</v>
      </c>
      <c r="AD285" s="428">
        <f t="shared" si="75"/>
        <v>0</v>
      </c>
      <c r="AE285" s="428">
        <f t="shared" si="75"/>
        <v>0</v>
      </c>
      <c r="AF285" s="428">
        <f t="shared" si="75"/>
        <v>0</v>
      </c>
      <c r="AG285" s="428">
        <f t="shared" si="75"/>
        <v>0</v>
      </c>
      <c r="AH285" s="428">
        <f t="shared" si="75"/>
        <v>0</v>
      </c>
      <c r="AI285" s="428">
        <f t="shared" si="75"/>
        <v>0</v>
      </c>
      <c r="AJ285" s="428">
        <f t="shared" si="75"/>
        <v>0</v>
      </c>
      <c r="AK285" s="428">
        <f t="shared" si="75"/>
        <v>0</v>
      </c>
      <c r="AL285" s="428">
        <f t="shared" si="75"/>
        <v>0</v>
      </c>
      <c r="AM285" s="428">
        <f t="shared" si="75"/>
        <v>0</v>
      </c>
      <c r="AN285" s="428">
        <f t="shared" si="75"/>
        <v>0</v>
      </c>
      <c r="AO285" s="428">
        <f t="shared" si="75"/>
        <v>0</v>
      </c>
      <c r="AP285" s="428">
        <f t="shared" si="75"/>
        <v>0</v>
      </c>
    </row>
    <row r="286" spans="5:42" s="160" customFormat="1" x14ac:dyDescent="0.25">
      <c r="F286" s="145" t="s">
        <v>48</v>
      </c>
      <c r="G286" s="145" t="s">
        <v>636</v>
      </c>
      <c r="H286" s="167"/>
      <c r="I286" s="167"/>
      <c r="J286" s="428">
        <f t="shared" ref="J286:AP286" si="76">SUMPRODUCT(J236:J238,J$61:J$63,J$253:J$255) * hours_in_year</f>
        <v>0</v>
      </c>
      <c r="K286" s="428">
        <f t="shared" si="76"/>
        <v>0</v>
      </c>
      <c r="L286" s="428">
        <f t="shared" si="76"/>
        <v>0</v>
      </c>
      <c r="M286" s="428">
        <f t="shared" si="76"/>
        <v>0</v>
      </c>
      <c r="N286" s="428">
        <f t="shared" si="76"/>
        <v>0</v>
      </c>
      <c r="O286" s="428">
        <f t="shared" si="76"/>
        <v>0</v>
      </c>
      <c r="P286" s="428">
        <f t="shared" si="76"/>
        <v>0</v>
      </c>
      <c r="Q286" s="428">
        <f t="shared" si="76"/>
        <v>0</v>
      </c>
      <c r="R286" s="428">
        <f t="shared" si="76"/>
        <v>0</v>
      </c>
      <c r="S286" s="428">
        <f t="shared" si="76"/>
        <v>7.7248170481398148E-2</v>
      </c>
      <c r="T286" s="428">
        <f t="shared" si="76"/>
        <v>7.7248170481398148E-2</v>
      </c>
      <c r="U286" s="428">
        <f t="shared" si="76"/>
        <v>7.7248170481398148E-2</v>
      </c>
      <c r="V286" s="428">
        <f t="shared" si="76"/>
        <v>7.7248170481398148E-2</v>
      </c>
      <c r="W286" s="428">
        <f t="shared" si="76"/>
        <v>7.7248170481398148E-2</v>
      </c>
      <c r="X286" s="428">
        <f t="shared" si="76"/>
        <v>0</v>
      </c>
      <c r="Y286" s="428">
        <f t="shared" si="76"/>
        <v>0</v>
      </c>
      <c r="Z286" s="428">
        <f t="shared" si="76"/>
        <v>0</v>
      </c>
      <c r="AA286" s="428">
        <f t="shared" si="76"/>
        <v>0</v>
      </c>
      <c r="AB286" s="428">
        <f t="shared" si="76"/>
        <v>7.7248170481398148E-2</v>
      </c>
      <c r="AC286" s="428">
        <f t="shared" si="76"/>
        <v>0</v>
      </c>
      <c r="AD286" s="428">
        <f t="shared" si="76"/>
        <v>0</v>
      </c>
      <c r="AE286" s="428">
        <f t="shared" si="76"/>
        <v>0</v>
      </c>
      <c r="AF286" s="428">
        <f t="shared" si="76"/>
        <v>0</v>
      </c>
      <c r="AG286" s="428">
        <f t="shared" si="76"/>
        <v>7.7248170481398148E-2</v>
      </c>
      <c r="AH286" s="428">
        <f t="shared" si="76"/>
        <v>7.7248170481398148E-2</v>
      </c>
      <c r="AI286" s="428">
        <f t="shared" si="76"/>
        <v>0</v>
      </c>
      <c r="AJ286" s="428">
        <f t="shared" si="76"/>
        <v>0</v>
      </c>
      <c r="AK286" s="428">
        <f t="shared" si="76"/>
        <v>7.7248170481398148E-2</v>
      </c>
      <c r="AL286" s="428">
        <f t="shared" si="76"/>
        <v>7.7248170481398148E-2</v>
      </c>
      <c r="AM286" s="428">
        <f t="shared" si="76"/>
        <v>0</v>
      </c>
      <c r="AN286" s="428">
        <f t="shared" si="76"/>
        <v>0</v>
      </c>
      <c r="AO286" s="428">
        <f t="shared" si="76"/>
        <v>7.7248170481398148E-2</v>
      </c>
      <c r="AP286" s="428">
        <f t="shared" si="76"/>
        <v>7.7248170481398148E-2</v>
      </c>
    </row>
    <row r="287" spans="5:42" s="160" customFormat="1" x14ac:dyDescent="0.25">
      <c r="F287" s="145" t="s">
        <v>49</v>
      </c>
      <c r="G287" s="145" t="s">
        <v>636</v>
      </c>
      <c r="H287" s="167"/>
      <c r="I287" s="167"/>
      <c r="J287" s="428">
        <f t="shared" ref="J287:AP287" si="77">SUMPRODUCT(J241:J243,J$61:J$63,J$253:J$255) * hours_in_year</f>
        <v>0</v>
      </c>
      <c r="K287" s="428">
        <f t="shared" si="77"/>
        <v>0</v>
      </c>
      <c r="L287" s="428">
        <f t="shared" si="77"/>
        <v>0</v>
      </c>
      <c r="M287" s="428">
        <f t="shared" si="77"/>
        <v>0</v>
      </c>
      <c r="N287" s="428">
        <f t="shared" si="77"/>
        <v>0</v>
      </c>
      <c r="O287" s="428">
        <f t="shared" si="77"/>
        <v>0</v>
      </c>
      <c r="P287" s="428">
        <f t="shared" si="77"/>
        <v>0</v>
      </c>
      <c r="Q287" s="428">
        <f t="shared" si="77"/>
        <v>0</v>
      </c>
      <c r="R287" s="428">
        <f t="shared" si="77"/>
        <v>0</v>
      </c>
      <c r="S287" s="428">
        <f t="shared" si="77"/>
        <v>7.7248170481398148E-2</v>
      </c>
      <c r="T287" s="428">
        <f t="shared" si="77"/>
        <v>7.7248170481398148E-2</v>
      </c>
      <c r="U287" s="428">
        <f t="shared" si="77"/>
        <v>7.7248170481398148E-2</v>
      </c>
      <c r="V287" s="428">
        <f t="shared" si="77"/>
        <v>7.7248170481398148E-2</v>
      </c>
      <c r="W287" s="428">
        <f t="shared" si="77"/>
        <v>7.7248170481398148E-2</v>
      </c>
      <c r="X287" s="428">
        <f t="shared" si="77"/>
        <v>0</v>
      </c>
      <c r="Y287" s="428">
        <f t="shared" si="77"/>
        <v>0</v>
      </c>
      <c r="Z287" s="428">
        <f t="shared" si="77"/>
        <v>0</v>
      </c>
      <c r="AA287" s="428">
        <f t="shared" si="77"/>
        <v>0</v>
      </c>
      <c r="AB287" s="428">
        <f t="shared" si="77"/>
        <v>7.7248170481398148E-2</v>
      </c>
      <c r="AC287" s="428">
        <f t="shared" si="77"/>
        <v>0</v>
      </c>
      <c r="AD287" s="428">
        <f t="shared" si="77"/>
        <v>0</v>
      </c>
      <c r="AE287" s="428">
        <f t="shared" si="77"/>
        <v>0</v>
      </c>
      <c r="AF287" s="428">
        <f t="shared" si="77"/>
        <v>0</v>
      </c>
      <c r="AG287" s="428">
        <f t="shared" si="77"/>
        <v>7.7248170481398148E-2</v>
      </c>
      <c r="AH287" s="428">
        <f t="shared" si="77"/>
        <v>7.7248170481398148E-2</v>
      </c>
      <c r="AI287" s="428">
        <f t="shared" si="77"/>
        <v>0</v>
      </c>
      <c r="AJ287" s="428">
        <f t="shared" si="77"/>
        <v>0</v>
      </c>
      <c r="AK287" s="428">
        <f t="shared" si="77"/>
        <v>7.7248170481398148E-2</v>
      </c>
      <c r="AL287" s="428">
        <f t="shared" si="77"/>
        <v>7.7248170481398148E-2</v>
      </c>
      <c r="AM287" s="428">
        <f t="shared" si="77"/>
        <v>0</v>
      </c>
      <c r="AN287" s="428">
        <f t="shared" si="77"/>
        <v>0</v>
      </c>
      <c r="AO287" s="428">
        <f t="shared" si="77"/>
        <v>7.7248170481398148E-2</v>
      </c>
      <c r="AP287" s="428">
        <f t="shared" si="77"/>
        <v>7.7248170481398148E-2</v>
      </c>
    </row>
    <row r="288" spans="5:42" s="160" customFormat="1" x14ac:dyDescent="0.25">
      <c r="F288" s="38" t="s">
        <v>50</v>
      </c>
      <c r="G288" s="38" t="s">
        <v>636</v>
      </c>
      <c r="H288" s="168"/>
      <c r="I288" s="168"/>
      <c r="J288" s="432">
        <f t="shared" ref="J288:AP288" si="78">SUMPRODUCT(J246:J248,J$61:J$63,J$253:J$255) * hours_in_year</f>
        <v>0</v>
      </c>
      <c r="K288" s="432">
        <f t="shared" si="78"/>
        <v>0</v>
      </c>
      <c r="L288" s="432">
        <f t="shared" si="78"/>
        <v>0</v>
      </c>
      <c r="M288" s="432">
        <f t="shared" si="78"/>
        <v>0</v>
      </c>
      <c r="N288" s="432">
        <f t="shared" si="78"/>
        <v>0</v>
      </c>
      <c r="O288" s="432">
        <f t="shared" si="78"/>
        <v>0</v>
      </c>
      <c r="P288" s="432">
        <f t="shared" si="78"/>
        <v>0</v>
      </c>
      <c r="Q288" s="432">
        <f t="shared" si="78"/>
        <v>0</v>
      </c>
      <c r="R288" s="432">
        <f t="shared" si="78"/>
        <v>0</v>
      </c>
      <c r="S288" s="432">
        <f t="shared" si="78"/>
        <v>7.7248170481398148E-2</v>
      </c>
      <c r="T288" s="432">
        <f t="shared" si="78"/>
        <v>7.7248170481398148E-2</v>
      </c>
      <c r="U288" s="432">
        <f t="shared" si="78"/>
        <v>7.7248170481398148E-2</v>
      </c>
      <c r="V288" s="432">
        <f t="shared" si="78"/>
        <v>7.7248170481398148E-2</v>
      </c>
      <c r="W288" s="432">
        <f t="shared" si="78"/>
        <v>7.7248170481398148E-2</v>
      </c>
      <c r="X288" s="432">
        <f t="shared" si="78"/>
        <v>0</v>
      </c>
      <c r="Y288" s="432">
        <f t="shared" si="78"/>
        <v>0</v>
      </c>
      <c r="Z288" s="432">
        <f t="shared" si="78"/>
        <v>0</v>
      </c>
      <c r="AA288" s="432">
        <f t="shared" si="78"/>
        <v>0</v>
      </c>
      <c r="AB288" s="432">
        <f t="shared" si="78"/>
        <v>7.7248170481398148E-2</v>
      </c>
      <c r="AC288" s="432">
        <f t="shared" si="78"/>
        <v>0</v>
      </c>
      <c r="AD288" s="432">
        <f t="shared" si="78"/>
        <v>0</v>
      </c>
      <c r="AE288" s="432">
        <f t="shared" si="78"/>
        <v>0</v>
      </c>
      <c r="AF288" s="432">
        <f t="shared" si="78"/>
        <v>0</v>
      </c>
      <c r="AG288" s="432">
        <f t="shared" si="78"/>
        <v>7.7248170481398148E-2</v>
      </c>
      <c r="AH288" s="432">
        <f t="shared" si="78"/>
        <v>7.7248170481398148E-2</v>
      </c>
      <c r="AI288" s="432">
        <f t="shared" si="78"/>
        <v>0</v>
      </c>
      <c r="AJ288" s="432">
        <f t="shared" si="78"/>
        <v>0</v>
      </c>
      <c r="AK288" s="432">
        <f t="shared" si="78"/>
        <v>7.7248170481398148E-2</v>
      </c>
      <c r="AL288" s="432">
        <f t="shared" si="78"/>
        <v>7.7248170481398148E-2</v>
      </c>
      <c r="AM288" s="432">
        <f t="shared" si="78"/>
        <v>0</v>
      </c>
      <c r="AN288" s="432">
        <f t="shared" si="78"/>
        <v>0</v>
      </c>
      <c r="AO288" s="432">
        <f t="shared" si="78"/>
        <v>7.7248170481398148E-2</v>
      </c>
      <c r="AP288" s="432">
        <f t="shared" si="78"/>
        <v>7.7248170481398148E-2</v>
      </c>
    </row>
    <row r="289" spans="3:44" s="160" customFormat="1" x14ac:dyDescent="0.25">
      <c r="E289" s="11"/>
      <c r="F289" s="11"/>
      <c r="J289" s="416"/>
      <c r="K289" s="416"/>
      <c r="L289" s="416"/>
      <c r="M289" s="416"/>
      <c r="N289" s="416"/>
      <c r="O289" s="416"/>
      <c r="P289" s="416"/>
      <c r="Q289" s="416"/>
      <c r="R289" s="416"/>
      <c r="S289" s="416"/>
      <c r="T289" s="416"/>
      <c r="U289" s="416"/>
      <c r="V289" s="416"/>
      <c r="W289" s="416"/>
      <c r="X289" s="444"/>
      <c r="Y289" s="444"/>
      <c r="Z289" s="444"/>
      <c r="AA289" s="444"/>
      <c r="AB289" s="444"/>
      <c r="AC289" s="444"/>
      <c r="AD289" s="444"/>
      <c r="AE289" s="444"/>
      <c r="AF289" s="444"/>
      <c r="AG289" s="444"/>
      <c r="AH289" s="444"/>
      <c r="AI289" s="444"/>
      <c r="AJ289" s="444"/>
      <c r="AK289" s="444"/>
      <c r="AL289" s="444"/>
      <c r="AM289" s="444"/>
      <c r="AN289" s="444"/>
      <c r="AO289" s="444"/>
      <c r="AP289" s="444"/>
    </row>
    <row r="290" spans="3:44" s="160" customFormat="1" x14ac:dyDescent="0.25">
      <c r="C290" s="22" t="str">
        <f ca="1">INDEX('Version control'!$H$34:$H$59,MATCH($A$1,'Version control'!$F$34:$F$59,0),1)&amp;"-K: Pseudo load coefficients, by unit rate"</f>
        <v>Section 508-K: Pseudo load coefficients, by unit rate</v>
      </c>
      <c r="D290" s="22"/>
      <c r="E290" s="22"/>
      <c r="F290" s="22"/>
      <c r="G290" s="22"/>
      <c r="H290" s="22"/>
      <c r="I290" s="22"/>
      <c r="J290" s="406"/>
      <c r="K290" s="406"/>
      <c r="L290" s="406"/>
      <c r="M290" s="406"/>
      <c r="N290" s="406"/>
      <c r="O290" s="406"/>
      <c r="P290" s="406"/>
      <c r="Q290" s="406"/>
      <c r="R290" s="406"/>
      <c r="S290" s="406"/>
      <c r="T290" s="406"/>
      <c r="U290" s="406"/>
      <c r="V290" s="406"/>
      <c r="W290" s="406"/>
      <c r="X290" s="406"/>
      <c r="Y290" s="406"/>
      <c r="Z290" s="406"/>
      <c r="AA290" s="406"/>
      <c r="AB290" s="406"/>
      <c r="AC290" s="406"/>
      <c r="AD290" s="406"/>
      <c r="AE290" s="406"/>
      <c r="AF290" s="406"/>
      <c r="AG290" s="406"/>
      <c r="AH290" s="406"/>
      <c r="AI290" s="406"/>
      <c r="AJ290" s="406"/>
      <c r="AK290" s="406"/>
      <c r="AL290" s="406"/>
      <c r="AM290" s="406"/>
      <c r="AN290" s="406"/>
      <c r="AO290" s="406"/>
      <c r="AP290" s="406"/>
      <c r="AQ290" s="22"/>
      <c r="AR290" s="22"/>
    </row>
    <row r="291" spans="3:44" s="160" customFormat="1" x14ac:dyDescent="0.25">
      <c r="E291" s="11"/>
      <c r="F291" s="11"/>
      <c r="J291" s="416"/>
      <c r="K291" s="416"/>
      <c r="L291" s="416"/>
      <c r="M291" s="416"/>
      <c r="N291" s="416"/>
      <c r="O291" s="416"/>
      <c r="P291" s="416"/>
      <c r="Q291" s="416"/>
      <c r="R291" s="416"/>
      <c r="S291" s="416"/>
      <c r="T291" s="416"/>
      <c r="U291" s="416"/>
      <c r="V291" s="416"/>
      <c r="W291" s="416"/>
      <c r="X291" s="444"/>
      <c r="Y291" s="444"/>
      <c r="Z291" s="444"/>
      <c r="AA291" s="444"/>
      <c r="AB291" s="444"/>
      <c r="AC291" s="444"/>
      <c r="AD291" s="444"/>
      <c r="AE291" s="444"/>
      <c r="AF291" s="444"/>
      <c r="AG291" s="444"/>
      <c r="AH291" s="444"/>
      <c r="AI291" s="444"/>
      <c r="AJ291" s="444"/>
      <c r="AK291" s="444"/>
      <c r="AL291" s="444"/>
      <c r="AM291" s="444"/>
      <c r="AN291" s="444"/>
      <c r="AO291" s="444"/>
      <c r="AP291" s="444"/>
    </row>
    <row r="292" spans="3:44" s="160" customFormat="1" x14ac:dyDescent="0.25">
      <c r="E292" s="172" t="s">
        <v>151</v>
      </c>
      <c r="F292" s="190"/>
      <c r="G292" s="35"/>
      <c r="J292" s="416"/>
      <c r="K292" s="416"/>
      <c r="L292" s="416"/>
      <c r="M292" s="416"/>
      <c r="N292" s="416"/>
      <c r="O292" s="416"/>
      <c r="P292" s="416"/>
      <c r="Q292" s="416"/>
      <c r="R292" s="416"/>
      <c r="S292" s="416"/>
      <c r="T292" s="416"/>
      <c r="U292" s="416"/>
      <c r="V292" s="416"/>
      <c r="W292" s="416"/>
      <c r="X292" s="416"/>
      <c r="Y292" s="416"/>
      <c r="Z292" s="416"/>
      <c r="AA292" s="416"/>
      <c r="AB292" s="416"/>
      <c r="AC292" s="416"/>
      <c r="AD292" s="416"/>
      <c r="AE292" s="416"/>
      <c r="AF292" s="416"/>
      <c r="AG292" s="416"/>
      <c r="AH292" s="416"/>
      <c r="AI292" s="416"/>
      <c r="AJ292" s="416"/>
      <c r="AK292" s="416"/>
      <c r="AL292" s="416"/>
      <c r="AM292" s="416"/>
      <c r="AN292" s="416"/>
      <c r="AO292" s="416"/>
      <c r="AP292" s="416"/>
    </row>
    <row r="293" spans="3:44" s="160" customFormat="1" x14ac:dyDescent="0.25">
      <c r="F293" s="40" t="s">
        <v>43</v>
      </c>
      <c r="G293" s="40" t="s">
        <v>636</v>
      </c>
      <c r="H293" s="166"/>
      <c r="I293" s="166"/>
      <c r="J293" s="431">
        <f t="shared" ref="J293:AP293" si="79">J258 * J$122</f>
        <v>2.1343825397553888</v>
      </c>
      <c r="K293" s="431">
        <f t="shared" si="79"/>
        <v>2.7838335457110737</v>
      </c>
      <c r="L293" s="431">
        <f t="shared" si="79"/>
        <v>9.7824694315439095E-2</v>
      </c>
      <c r="M293" s="431">
        <f t="shared" si="79"/>
        <v>1.7771520981630444</v>
      </c>
      <c r="N293" s="431">
        <f t="shared" si="79"/>
        <v>2.9742605818841383</v>
      </c>
      <c r="O293" s="431">
        <f t="shared" si="79"/>
        <v>0.33288648455921754</v>
      </c>
      <c r="P293" s="431">
        <f t="shared" si="79"/>
        <v>1.4469019029137948</v>
      </c>
      <c r="Q293" s="431">
        <f t="shared" si="79"/>
        <v>1.3511937913885297</v>
      </c>
      <c r="R293" s="431">
        <f t="shared" si="79"/>
        <v>1.4829750268438726</v>
      </c>
      <c r="S293" s="431">
        <f t="shared" si="79"/>
        <v>17.615777884745729</v>
      </c>
      <c r="T293" s="431">
        <f t="shared" si="79"/>
        <v>13.750388126467106</v>
      </c>
      <c r="U293" s="431">
        <f t="shared" si="79"/>
        <v>11.698297556207121</v>
      </c>
      <c r="V293" s="431">
        <f t="shared" si="79"/>
        <v>11.311995936319519</v>
      </c>
      <c r="W293" s="431">
        <f t="shared" si="79"/>
        <v>10.2902733716969</v>
      </c>
      <c r="X293" s="431">
        <f t="shared" si="79"/>
        <v>0.93700694130950746</v>
      </c>
      <c r="Y293" s="431">
        <f t="shared" si="79"/>
        <v>1.1061570095096109</v>
      </c>
      <c r="Z293" s="431">
        <f t="shared" si="79"/>
        <v>2.1096430315341204</v>
      </c>
      <c r="AA293" s="431">
        <f t="shared" si="79"/>
        <v>0.86507538339375201</v>
      </c>
      <c r="AB293" s="431">
        <f t="shared" si="79"/>
        <v>16.860085005559529</v>
      </c>
      <c r="AC293" s="431">
        <f t="shared" si="79"/>
        <v>0.99999999999999989</v>
      </c>
      <c r="AD293" s="431">
        <f t="shared" si="79"/>
        <v>0.99999999999999989</v>
      </c>
      <c r="AE293" s="431">
        <f t="shared" si="79"/>
        <v>0.99999999999999989</v>
      </c>
      <c r="AF293" s="431">
        <f t="shared" si="79"/>
        <v>0.99999999999999989</v>
      </c>
      <c r="AG293" s="431">
        <f t="shared" si="79"/>
        <v>9.8133180967350384</v>
      </c>
      <c r="AH293" s="431">
        <f t="shared" si="79"/>
        <v>9.8133180967350384</v>
      </c>
      <c r="AI293" s="431">
        <f t="shared" si="79"/>
        <v>0.99999999999999989</v>
      </c>
      <c r="AJ293" s="431">
        <f t="shared" si="79"/>
        <v>0.99999999999999989</v>
      </c>
      <c r="AK293" s="431">
        <f t="shared" si="79"/>
        <v>9.8133180967350384</v>
      </c>
      <c r="AL293" s="431">
        <f t="shared" si="79"/>
        <v>9.8133180967350384</v>
      </c>
      <c r="AM293" s="431">
        <f t="shared" si="79"/>
        <v>0.99999999999999989</v>
      </c>
      <c r="AN293" s="431">
        <f t="shared" si="79"/>
        <v>0.99999999999999989</v>
      </c>
      <c r="AO293" s="431">
        <f t="shared" si="79"/>
        <v>9.8133180967350384</v>
      </c>
      <c r="AP293" s="431">
        <f t="shared" si="79"/>
        <v>9.8133180967350384</v>
      </c>
    </row>
    <row r="294" spans="3:44" s="160" customFormat="1" x14ac:dyDescent="0.25">
      <c r="F294" s="145" t="s">
        <v>44</v>
      </c>
      <c r="G294" s="145" t="s">
        <v>636</v>
      </c>
      <c r="H294" s="167"/>
      <c r="I294" s="167"/>
      <c r="J294" s="428">
        <f t="shared" ref="J294:AP294" si="80">J259 * J$122</f>
        <v>2.1043053311559663</v>
      </c>
      <c r="K294" s="428">
        <f t="shared" si="80"/>
        <v>2.735360347694809</v>
      </c>
      <c r="L294" s="428">
        <f t="shared" si="80"/>
        <v>0.13441984089477269</v>
      </c>
      <c r="M294" s="428">
        <f t="shared" si="80"/>
        <v>1.7933460851466374</v>
      </c>
      <c r="N294" s="428">
        <f t="shared" si="80"/>
        <v>2.951476427853184</v>
      </c>
      <c r="O294" s="428">
        <f t="shared" si="80"/>
        <v>0.35237880488776918</v>
      </c>
      <c r="P294" s="428">
        <f t="shared" si="80"/>
        <v>1.4478459019196326</v>
      </c>
      <c r="Q294" s="428">
        <f t="shared" si="80"/>
        <v>1.352977417395504</v>
      </c>
      <c r="R294" s="428">
        <f t="shared" si="80"/>
        <v>1.4887743751659068</v>
      </c>
      <c r="S294" s="428">
        <f t="shared" si="80"/>
        <v>16.338451309623988</v>
      </c>
      <c r="T294" s="428">
        <f t="shared" si="80"/>
        <v>12.753342393540141</v>
      </c>
      <c r="U294" s="428">
        <f t="shared" si="80"/>
        <v>10.850049670136503</v>
      </c>
      <c r="V294" s="428">
        <f t="shared" si="80"/>
        <v>10.49175892370129</v>
      </c>
      <c r="W294" s="428">
        <f t="shared" si="80"/>
        <v>9.544121840442747</v>
      </c>
      <c r="X294" s="428">
        <f t="shared" si="80"/>
        <v>0.9376724603938239</v>
      </c>
      <c r="Y294" s="428">
        <f t="shared" si="80"/>
        <v>1.1984220598858641</v>
      </c>
      <c r="Z294" s="428">
        <f t="shared" si="80"/>
        <v>2.2773031502293315</v>
      </c>
      <c r="AA294" s="428">
        <f t="shared" si="80"/>
        <v>0.7897896015082424</v>
      </c>
      <c r="AB294" s="428">
        <f t="shared" si="80"/>
        <v>18.834395159483773</v>
      </c>
      <c r="AC294" s="428">
        <f t="shared" si="80"/>
        <v>1.0000000000000002</v>
      </c>
      <c r="AD294" s="428">
        <f t="shared" si="80"/>
        <v>1.0000000000000002</v>
      </c>
      <c r="AE294" s="428">
        <f t="shared" si="80"/>
        <v>1.0000000000000002</v>
      </c>
      <c r="AF294" s="428">
        <f t="shared" si="80"/>
        <v>1.0000000000000002</v>
      </c>
      <c r="AG294" s="428">
        <f t="shared" si="80"/>
        <v>9.1017507690192847</v>
      </c>
      <c r="AH294" s="428">
        <f t="shared" si="80"/>
        <v>9.1017507690192847</v>
      </c>
      <c r="AI294" s="428">
        <f t="shared" si="80"/>
        <v>1.0000000000000002</v>
      </c>
      <c r="AJ294" s="428">
        <f t="shared" si="80"/>
        <v>1.0000000000000002</v>
      </c>
      <c r="AK294" s="428">
        <f t="shared" si="80"/>
        <v>9.1017507690192847</v>
      </c>
      <c r="AL294" s="428">
        <f t="shared" si="80"/>
        <v>9.1017507690192847</v>
      </c>
      <c r="AM294" s="428">
        <f t="shared" si="80"/>
        <v>1.0000000000000002</v>
      </c>
      <c r="AN294" s="428">
        <f t="shared" si="80"/>
        <v>1.0000000000000002</v>
      </c>
      <c r="AO294" s="428">
        <f t="shared" si="80"/>
        <v>9.1017507690192847</v>
      </c>
      <c r="AP294" s="428">
        <f t="shared" si="80"/>
        <v>9.1017507690192847</v>
      </c>
    </row>
    <row r="295" spans="3:44" s="160" customFormat="1" x14ac:dyDescent="0.25">
      <c r="F295" s="145" t="s">
        <v>45</v>
      </c>
      <c r="G295" s="145" t="s">
        <v>636</v>
      </c>
      <c r="H295" s="167"/>
      <c r="I295" s="167"/>
      <c r="J295" s="428">
        <f t="shared" ref="J295:AP295" si="81">J260 * J$122</f>
        <v>2.1043053311559663</v>
      </c>
      <c r="K295" s="428">
        <f t="shared" si="81"/>
        <v>2.735360347694809</v>
      </c>
      <c r="L295" s="428">
        <f t="shared" si="81"/>
        <v>0.13441984089477269</v>
      </c>
      <c r="M295" s="428">
        <f t="shared" si="81"/>
        <v>1.7933460851466374</v>
      </c>
      <c r="N295" s="428">
        <f t="shared" si="81"/>
        <v>2.951476427853184</v>
      </c>
      <c r="O295" s="428">
        <f t="shared" si="81"/>
        <v>0.35237880488776918</v>
      </c>
      <c r="P295" s="428">
        <f t="shared" si="81"/>
        <v>1.4478459019196326</v>
      </c>
      <c r="Q295" s="428">
        <f t="shared" si="81"/>
        <v>1.352977417395504</v>
      </c>
      <c r="R295" s="428">
        <f t="shared" si="81"/>
        <v>1.4887743751659068</v>
      </c>
      <c r="S295" s="428">
        <f t="shared" si="81"/>
        <v>16.338451309623988</v>
      </c>
      <c r="T295" s="428">
        <f t="shared" si="81"/>
        <v>12.753342393540141</v>
      </c>
      <c r="U295" s="428">
        <f t="shared" si="81"/>
        <v>10.850049670136503</v>
      </c>
      <c r="V295" s="428">
        <f t="shared" si="81"/>
        <v>10.49175892370129</v>
      </c>
      <c r="W295" s="428">
        <f t="shared" si="81"/>
        <v>9.544121840442747</v>
      </c>
      <c r="X295" s="428">
        <f t="shared" si="81"/>
        <v>0.9376724603938239</v>
      </c>
      <c r="Y295" s="428">
        <f t="shared" si="81"/>
        <v>1.1984220598858641</v>
      </c>
      <c r="Z295" s="428">
        <f t="shared" si="81"/>
        <v>2.2773031502293315</v>
      </c>
      <c r="AA295" s="428">
        <f t="shared" si="81"/>
        <v>0.7897896015082424</v>
      </c>
      <c r="AB295" s="428">
        <f t="shared" si="81"/>
        <v>18.834395159483773</v>
      </c>
      <c r="AC295" s="428">
        <f t="shared" si="81"/>
        <v>1.0000000000000002</v>
      </c>
      <c r="AD295" s="428">
        <f t="shared" si="81"/>
        <v>1.0000000000000002</v>
      </c>
      <c r="AE295" s="428">
        <f t="shared" si="81"/>
        <v>1.0000000000000002</v>
      </c>
      <c r="AF295" s="428">
        <f t="shared" si="81"/>
        <v>1.0000000000000002</v>
      </c>
      <c r="AG295" s="428">
        <f t="shared" si="81"/>
        <v>9.1017507690192847</v>
      </c>
      <c r="AH295" s="428">
        <f t="shared" si="81"/>
        <v>9.1017507690192847</v>
      </c>
      <c r="AI295" s="428">
        <f t="shared" si="81"/>
        <v>1.0000000000000002</v>
      </c>
      <c r="AJ295" s="428">
        <f t="shared" si="81"/>
        <v>1.0000000000000002</v>
      </c>
      <c r="AK295" s="428">
        <f t="shared" si="81"/>
        <v>9.1017507690192847</v>
      </c>
      <c r="AL295" s="428">
        <f t="shared" si="81"/>
        <v>9.1017507690192847</v>
      </c>
      <c r="AM295" s="428">
        <f t="shared" si="81"/>
        <v>1.0000000000000002</v>
      </c>
      <c r="AN295" s="428">
        <f t="shared" si="81"/>
        <v>1.0000000000000002</v>
      </c>
      <c r="AO295" s="428">
        <f t="shared" si="81"/>
        <v>9.1017507690192847</v>
      </c>
      <c r="AP295" s="428">
        <f t="shared" si="81"/>
        <v>9.1017507690192847</v>
      </c>
    </row>
    <row r="296" spans="3:44" s="160" customFormat="1" x14ac:dyDescent="0.25">
      <c r="F296" s="145" t="s">
        <v>46</v>
      </c>
      <c r="G296" s="145" t="s">
        <v>636</v>
      </c>
      <c r="H296" s="167"/>
      <c r="I296" s="167"/>
      <c r="J296" s="428">
        <f t="shared" ref="J296:AP296" si="82">J261 * J$122</f>
        <v>2.021484420885324</v>
      </c>
      <c r="K296" s="428">
        <f t="shared" si="82"/>
        <v>2.5996620409211113</v>
      </c>
      <c r="L296" s="428">
        <f t="shared" si="82"/>
        <v>0.23700758639059802</v>
      </c>
      <c r="M296" s="428">
        <f t="shared" si="82"/>
        <v>1.8301700519526787</v>
      </c>
      <c r="N296" s="428">
        <f t="shared" si="82"/>
        <v>2.8800298893379161</v>
      </c>
      <c r="O296" s="428">
        <f t="shared" si="82"/>
        <v>0.40960287713269727</v>
      </c>
      <c r="P296" s="428">
        <f t="shared" si="82"/>
        <v>1.4462178277371061</v>
      </c>
      <c r="Q296" s="428">
        <f t="shared" si="82"/>
        <v>1.3525109569741856</v>
      </c>
      <c r="R296" s="428">
        <f t="shared" si="82"/>
        <v>1.5001810197593486</v>
      </c>
      <c r="S296" s="428">
        <f t="shared" si="82"/>
        <v>12.974460241812171</v>
      </c>
      <c r="T296" s="428">
        <f t="shared" si="82"/>
        <v>10.127504174017844</v>
      </c>
      <c r="U296" s="428">
        <f t="shared" si="82"/>
        <v>8.6160882325457742</v>
      </c>
      <c r="V296" s="428">
        <f t="shared" si="82"/>
        <v>8.3315674443426335</v>
      </c>
      <c r="W296" s="428">
        <f t="shared" si="82"/>
        <v>7.5790432651897071</v>
      </c>
      <c r="X296" s="428">
        <f t="shared" si="82"/>
        <v>0.93658384552539908</v>
      </c>
      <c r="Y296" s="428">
        <f t="shared" si="82"/>
        <v>1.0676296952091524</v>
      </c>
      <c r="Z296" s="428">
        <f t="shared" si="82"/>
        <v>2.0072330539086121</v>
      </c>
      <c r="AA296" s="428">
        <f t="shared" si="82"/>
        <v>0.89367630597148673</v>
      </c>
      <c r="AB296" s="428">
        <f t="shared" si="82"/>
        <v>15.57665125520071</v>
      </c>
      <c r="AC296" s="428">
        <f t="shared" si="82"/>
        <v>1</v>
      </c>
      <c r="AD296" s="428">
        <f t="shared" si="82"/>
        <v>1</v>
      </c>
      <c r="AE296" s="428">
        <f t="shared" si="82"/>
        <v>1</v>
      </c>
      <c r="AF296" s="428">
        <f t="shared" si="82"/>
        <v>1</v>
      </c>
      <c r="AG296" s="428">
        <f t="shared" si="82"/>
        <v>7.2277537965892922</v>
      </c>
      <c r="AH296" s="428">
        <f t="shared" si="82"/>
        <v>7.2277537965892922</v>
      </c>
      <c r="AI296" s="428">
        <f t="shared" si="82"/>
        <v>1</v>
      </c>
      <c r="AJ296" s="428">
        <f t="shared" si="82"/>
        <v>1</v>
      </c>
      <c r="AK296" s="428">
        <f t="shared" si="82"/>
        <v>7.2277537965892922</v>
      </c>
      <c r="AL296" s="428">
        <f t="shared" si="82"/>
        <v>7.2277537965892922</v>
      </c>
      <c r="AM296" s="428">
        <f t="shared" si="82"/>
        <v>1</v>
      </c>
      <c r="AN296" s="428">
        <f t="shared" si="82"/>
        <v>1</v>
      </c>
      <c r="AO296" s="428">
        <f t="shared" si="82"/>
        <v>7.2277537965892922</v>
      </c>
      <c r="AP296" s="428">
        <f t="shared" si="82"/>
        <v>7.2277537965892922</v>
      </c>
    </row>
    <row r="297" spans="3:44" s="160" customFormat="1" x14ac:dyDescent="0.25">
      <c r="F297" s="145" t="s">
        <v>47</v>
      </c>
      <c r="G297" s="145" t="s">
        <v>636</v>
      </c>
      <c r="H297" s="167"/>
      <c r="I297" s="167"/>
      <c r="J297" s="428">
        <f t="shared" ref="J297:AP297" si="83">J262 * J$122</f>
        <v>2.021484420885324</v>
      </c>
      <c r="K297" s="428">
        <f t="shared" si="83"/>
        <v>2.5996620409211113</v>
      </c>
      <c r="L297" s="428">
        <f t="shared" si="83"/>
        <v>0.23700758639059802</v>
      </c>
      <c r="M297" s="428">
        <f t="shared" si="83"/>
        <v>1.8301700519526787</v>
      </c>
      <c r="N297" s="428">
        <f t="shared" si="83"/>
        <v>2.8800298893379161</v>
      </c>
      <c r="O297" s="428">
        <f t="shared" si="83"/>
        <v>0.40960287713269727</v>
      </c>
      <c r="P297" s="428">
        <f t="shared" si="83"/>
        <v>1.4462178277371061</v>
      </c>
      <c r="Q297" s="428">
        <f t="shared" si="83"/>
        <v>1.3525109569741856</v>
      </c>
      <c r="R297" s="428">
        <f t="shared" si="83"/>
        <v>1.5001810197593486</v>
      </c>
      <c r="S297" s="428">
        <f t="shared" si="83"/>
        <v>12.974460241812171</v>
      </c>
      <c r="T297" s="428">
        <f t="shared" si="83"/>
        <v>10.127504174017844</v>
      </c>
      <c r="U297" s="428">
        <f t="shared" si="83"/>
        <v>8.6160882325457742</v>
      </c>
      <c r="V297" s="428">
        <f t="shared" si="83"/>
        <v>8.3315674443426335</v>
      </c>
      <c r="W297" s="428">
        <f t="shared" si="83"/>
        <v>7.5790432651897071</v>
      </c>
      <c r="X297" s="428">
        <f t="shared" si="83"/>
        <v>0.93658384552539908</v>
      </c>
      <c r="Y297" s="428">
        <f t="shared" si="83"/>
        <v>1.0676296952091524</v>
      </c>
      <c r="Z297" s="428">
        <f t="shared" si="83"/>
        <v>2.0072330539086121</v>
      </c>
      <c r="AA297" s="428">
        <f t="shared" si="83"/>
        <v>0.89367630597148673</v>
      </c>
      <c r="AB297" s="428">
        <f t="shared" si="83"/>
        <v>15.57665125520071</v>
      </c>
      <c r="AC297" s="428">
        <f t="shared" si="83"/>
        <v>1</v>
      </c>
      <c r="AD297" s="428">
        <f t="shared" si="83"/>
        <v>1</v>
      </c>
      <c r="AE297" s="428">
        <f t="shared" si="83"/>
        <v>1</v>
      </c>
      <c r="AF297" s="428">
        <f t="shared" si="83"/>
        <v>1</v>
      </c>
      <c r="AG297" s="428">
        <f t="shared" si="83"/>
        <v>7.2277537965892922</v>
      </c>
      <c r="AH297" s="428">
        <f t="shared" si="83"/>
        <v>7.2277537965892922</v>
      </c>
      <c r="AI297" s="428">
        <f t="shared" si="83"/>
        <v>1</v>
      </c>
      <c r="AJ297" s="428">
        <f t="shared" si="83"/>
        <v>1</v>
      </c>
      <c r="AK297" s="428">
        <f t="shared" si="83"/>
        <v>7.2277537965892922</v>
      </c>
      <c r="AL297" s="428">
        <f t="shared" si="83"/>
        <v>7.2277537965892922</v>
      </c>
      <c r="AM297" s="428">
        <f t="shared" si="83"/>
        <v>1</v>
      </c>
      <c r="AN297" s="428">
        <f t="shared" si="83"/>
        <v>1</v>
      </c>
      <c r="AO297" s="428">
        <f t="shared" si="83"/>
        <v>7.2277537965892922</v>
      </c>
      <c r="AP297" s="428">
        <f t="shared" si="83"/>
        <v>7.2277537965892922</v>
      </c>
    </row>
    <row r="298" spans="3:44" s="160" customFormat="1" x14ac:dyDescent="0.25">
      <c r="F298" s="145" t="s">
        <v>51</v>
      </c>
      <c r="G298" s="145" t="s">
        <v>636</v>
      </c>
      <c r="H298" s="167"/>
      <c r="I298" s="167"/>
      <c r="J298" s="428">
        <f t="shared" ref="J298:AP298" si="84">J263 * J$122</f>
        <v>0</v>
      </c>
      <c r="K298" s="428">
        <f t="shared" si="84"/>
        <v>0</v>
      </c>
      <c r="L298" s="428">
        <f t="shared" si="84"/>
        <v>0</v>
      </c>
      <c r="M298" s="428">
        <f t="shared" si="84"/>
        <v>0</v>
      </c>
      <c r="N298" s="428">
        <f t="shared" si="84"/>
        <v>0</v>
      </c>
      <c r="O298" s="428">
        <f t="shared" si="84"/>
        <v>0</v>
      </c>
      <c r="P298" s="428">
        <f t="shared" si="84"/>
        <v>0</v>
      </c>
      <c r="Q298" s="428">
        <f t="shared" si="84"/>
        <v>0</v>
      </c>
      <c r="R298" s="428">
        <f t="shared" si="84"/>
        <v>0</v>
      </c>
      <c r="S298" s="428">
        <f t="shared" si="84"/>
        <v>0</v>
      </c>
      <c r="T298" s="428">
        <f t="shared" si="84"/>
        <v>0</v>
      </c>
      <c r="U298" s="428">
        <f t="shared" si="84"/>
        <v>0</v>
      </c>
      <c r="V298" s="428">
        <f t="shared" si="84"/>
        <v>0</v>
      </c>
      <c r="W298" s="428">
        <f t="shared" si="84"/>
        <v>0</v>
      </c>
      <c r="X298" s="428">
        <f t="shared" si="84"/>
        <v>0</v>
      </c>
      <c r="Y298" s="428">
        <f t="shared" si="84"/>
        <v>0</v>
      </c>
      <c r="Z298" s="428">
        <f t="shared" si="84"/>
        <v>0</v>
      </c>
      <c r="AA298" s="428">
        <f t="shared" si="84"/>
        <v>0</v>
      </c>
      <c r="AB298" s="428">
        <f t="shared" si="84"/>
        <v>0</v>
      </c>
      <c r="AC298" s="428">
        <f t="shared" si="84"/>
        <v>0</v>
      </c>
      <c r="AD298" s="428">
        <f t="shared" si="84"/>
        <v>0</v>
      </c>
      <c r="AE298" s="428">
        <f t="shared" si="84"/>
        <v>0</v>
      </c>
      <c r="AF298" s="428">
        <f t="shared" si="84"/>
        <v>0</v>
      </c>
      <c r="AG298" s="428">
        <f t="shared" si="84"/>
        <v>0</v>
      </c>
      <c r="AH298" s="428">
        <f t="shared" si="84"/>
        <v>0</v>
      </c>
      <c r="AI298" s="428">
        <f t="shared" si="84"/>
        <v>0</v>
      </c>
      <c r="AJ298" s="428">
        <f t="shared" si="84"/>
        <v>0</v>
      </c>
      <c r="AK298" s="428">
        <f t="shared" si="84"/>
        <v>0</v>
      </c>
      <c r="AL298" s="428">
        <f t="shared" si="84"/>
        <v>0</v>
      </c>
      <c r="AM298" s="428">
        <f t="shared" si="84"/>
        <v>0</v>
      </c>
      <c r="AN298" s="428">
        <f t="shared" si="84"/>
        <v>0</v>
      </c>
      <c r="AO298" s="428">
        <f t="shared" si="84"/>
        <v>0</v>
      </c>
      <c r="AP298" s="428">
        <f t="shared" si="84"/>
        <v>0</v>
      </c>
    </row>
    <row r="299" spans="3:44" s="160" customFormat="1" x14ac:dyDescent="0.25">
      <c r="F299" s="145" t="s">
        <v>48</v>
      </c>
      <c r="G299" s="145" t="s">
        <v>636</v>
      </c>
      <c r="H299" s="167"/>
      <c r="I299" s="167"/>
      <c r="J299" s="428">
        <f t="shared" ref="J299:AP299" si="85">J264 * J$122</f>
        <v>1.9120051493936703</v>
      </c>
      <c r="K299" s="428">
        <f t="shared" si="85"/>
        <v>2.4196994601729465</v>
      </c>
      <c r="L299" s="428">
        <f t="shared" si="85"/>
        <v>0.37309574476170138</v>
      </c>
      <c r="M299" s="428">
        <f t="shared" si="85"/>
        <v>1.8767991434447009</v>
      </c>
      <c r="N299" s="428">
        <f t="shared" si="85"/>
        <v>2.7832906372285766</v>
      </c>
      <c r="O299" s="428">
        <f t="shared" si="85"/>
        <v>0.48618199969467552</v>
      </c>
      <c r="P299" s="428">
        <f t="shared" si="85"/>
        <v>1.4429512785280627</v>
      </c>
      <c r="Q299" s="428">
        <f t="shared" si="85"/>
        <v>1.3504766596416269</v>
      </c>
      <c r="R299" s="428">
        <f t="shared" si="85"/>
        <v>1.5140564824817799</v>
      </c>
      <c r="S299" s="428">
        <f t="shared" si="85"/>
        <v>8.5680731103064751</v>
      </c>
      <c r="T299" s="428">
        <f t="shared" si="85"/>
        <v>6.6880004694360276</v>
      </c>
      <c r="U299" s="428">
        <f t="shared" si="85"/>
        <v>5.6898917199959316</v>
      </c>
      <c r="V299" s="428">
        <f t="shared" si="85"/>
        <v>5.5019999025875759</v>
      </c>
      <c r="W299" s="428">
        <f t="shared" si="85"/>
        <v>5.0050480399214905</v>
      </c>
      <c r="X299" s="428">
        <f t="shared" si="85"/>
        <v>0.93457480535347592</v>
      </c>
      <c r="Y299" s="428">
        <f t="shared" si="85"/>
        <v>0.82006000573139126</v>
      </c>
      <c r="Z299" s="428">
        <f t="shared" si="85"/>
        <v>1.507533099216728</v>
      </c>
      <c r="AA299" s="428">
        <f t="shared" si="85"/>
        <v>1.0913245534559157</v>
      </c>
      <c r="AB299" s="428">
        <f t="shared" si="85"/>
        <v>9.5731832179348917</v>
      </c>
      <c r="AC299" s="428">
        <f t="shared" si="85"/>
        <v>1</v>
      </c>
      <c r="AD299" s="428">
        <f t="shared" si="85"/>
        <v>1</v>
      </c>
      <c r="AE299" s="428">
        <f t="shared" si="85"/>
        <v>1</v>
      </c>
      <c r="AF299" s="428">
        <f t="shared" si="85"/>
        <v>1</v>
      </c>
      <c r="AG299" s="428">
        <f t="shared" si="85"/>
        <v>4.7730635262112946</v>
      </c>
      <c r="AH299" s="428">
        <f t="shared" si="85"/>
        <v>4.7730635262112946</v>
      </c>
      <c r="AI299" s="428">
        <f t="shared" si="85"/>
        <v>1</v>
      </c>
      <c r="AJ299" s="428">
        <f t="shared" si="85"/>
        <v>1</v>
      </c>
      <c r="AK299" s="428">
        <f t="shared" si="85"/>
        <v>4.7730635262112946</v>
      </c>
      <c r="AL299" s="428">
        <f t="shared" si="85"/>
        <v>4.7730635262112946</v>
      </c>
      <c r="AM299" s="428">
        <f t="shared" si="85"/>
        <v>1</v>
      </c>
      <c r="AN299" s="428">
        <f t="shared" si="85"/>
        <v>1</v>
      </c>
      <c r="AO299" s="428">
        <f t="shared" si="85"/>
        <v>4.7730635262112946</v>
      </c>
      <c r="AP299" s="428">
        <f t="shared" si="85"/>
        <v>4.7730635262112946</v>
      </c>
    </row>
    <row r="300" spans="3:44" s="160" customFormat="1" x14ac:dyDescent="0.25">
      <c r="F300" s="145" t="s">
        <v>49</v>
      </c>
      <c r="G300" s="145" t="s">
        <v>636</v>
      </c>
      <c r="H300" s="167"/>
      <c r="I300" s="167"/>
      <c r="J300" s="428">
        <f t="shared" ref="J300:AP300" si="86">J265 * J$122</f>
        <v>1.9120051493936703</v>
      </c>
      <c r="K300" s="428">
        <f t="shared" si="86"/>
        <v>2.4196994601729465</v>
      </c>
      <c r="L300" s="428">
        <f t="shared" si="86"/>
        <v>0.37309574476170138</v>
      </c>
      <c r="M300" s="428">
        <f t="shared" si="86"/>
        <v>1.8767991434447009</v>
      </c>
      <c r="N300" s="428">
        <f t="shared" si="86"/>
        <v>2.7832906372285766</v>
      </c>
      <c r="O300" s="428">
        <f t="shared" si="86"/>
        <v>0.48618199969467552</v>
      </c>
      <c r="P300" s="428">
        <f t="shared" si="86"/>
        <v>1.4429512785280627</v>
      </c>
      <c r="Q300" s="428">
        <f t="shared" si="86"/>
        <v>1.3504766596416269</v>
      </c>
      <c r="R300" s="428">
        <f t="shared" si="86"/>
        <v>1.5140564824817799</v>
      </c>
      <c r="S300" s="428">
        <f t="shared" si="86"/>
        <v>8.5680731103064751</v>
      </c>
      <c r="T300" s="428">
        <f t="shared" si="86"/>
        <v>6.6880004694360276</v>
      </c>
      <c r="U300" s="428">
        <f t="shared" si="86"/>
        <v>5.6898917199959316</v>
      </c>
      <c r="V300" s="428">
        <f t="shared" si="86"/>
        <v>5.5019999025875759</v>
      </c>
      <c r="W300" s="428">
        <f t="shared" si="86"/>
        <v>5.0050480399214905</v>
      </c>
      <c r="X300" s="428">
        <f t="shared" si="86"/>
        <v>0.93457480535347592</v>
      </c>
      <c r="Y300" s="428">
        <f t="shared" si="86"/>
        <v>0.82006000573139126</v>
      </c>
      <c r="Z300" s="428">
        <f t="shared" si="86"/>
        <v>1.507533099216728</v>
      </c>
      <c r="AA300" s="428">
        <f t="shared" si="86"/>
        <v>1.0913245534559157</v>
      </c>
      <c r="AB300" s="428">
        <f t="shared" si="86"/>
        <v>9.5731832179348917</v>
      </c>
      <c r="AC300" s="428">
        <f t="shared" si="86"/>
        <v>1</v>
      </c>
      <c r="AD300" s="428">
        <f t="shared" si="86"/>
        <v>1</v>
      </c>
      <c r="AE300" s="428">
        <f t="shared" si="86"/>
        <v>1</v>
      </c>
      <c r="AF300" s="428">
        <f t="shared" si="86"/>
        <v>1</v>
      </c>
      <c r="AG300" s="428">
        <f t="shared" si="86"/>
        <v>4.7730635262112946</v>
      </c>
      <c r="AH300" s="428">
        <f t="shared" si="86"/>
        <v>4.7730635262112946</v>
      </c>
      <c r="AI300" s="428">
        <f t="shared" si="86"/>
        <v>1</v>
      </c>
      <c r="AJ300" s="428">
        <f t="shared" si="86"/>
        <v>1</v>
      </c>
      <c r="AK300" s="428">
        <f t="shared" si="86"/>
        <v>4.7730635262112946</v>
      </c>
      <c r="AL300" s="428">
        <f t="shared" si="86"/>
        <v>4.7730635262112946</v>
      </c>
      <c r="AM300" s="428">
        <f t="shared" si="86"/>
        <v>1</v>
      </c>
      <c r="AN300" s="428">
        <f t="shared" si="86"/>
        <v>1</v>
      </c>
      <c r="AO300" s="428">
        <f t="shared" si="86"/>
        <v>4.7730635262112946</v>
      </c>
      <c r="AP300" s="428">
        <f t="shared" si="86"/>
        <v>4.7730635262112946</v>
      </c>
    </row>
    <row r="301" spans="3:44" s="160" customFormat="1" x14ac:dyDescent="0.25">
      <c r="F301" s="38" t="s">
        <v>50</v>
      </c>
      <c r="G301" s="38" t="s">
        <v>636</v>
      </c>
      <c r="H301" s="168"/>
      <c r="I301" s="168"/>
      <c r="J301" s="432">
        <f t="shared" ref="J301:AP301" si="87">J266 * J$122</f>
        <v>1.9120051493936703</v>
      </c>
      <c r="K301" s="432">
        <f t="shared" si="87"/>
        <v>2.4196994601729465</v>
      </c>
      <c r="L301" s="432">
        <f t="shared" si="87"/>
        <v>0.37309574476170138</v>
      </c>
      <c r="M301" s="432">
        <f t="shared" si="87"/>
        <v>1.8767991434447009</v>
      </c>
      <c r="N301" s="432">
        <f t="shared" si="87"/>
        <v>2.7832906372285766</v>
      </c>
      <c r="O301" s="432">
        <f t="shared" si="87"/>
        <v>0.48618199969467552</v>
      </c>
      <c r="P301" s="432">
        <f t="shared" si="87"/>
        <v>1.4429512785280627</v>
      </c>
      <c r="Q301" s="432">
        <f t="shared" si="87"/>
        <v>1.3504766596416269</v>
      </c>
      <c r="R301" s="432">
        <f t="shared" si="87"/>
        <v>1.5140564824817799</v>
      </c>
      <c r="S301" s="432">
        <f t="shared" si="87"/>
        <v>8.5680731103064751</v>
      </c>
      <c r="T301" s="432">
        <f t="shared" si="87"/>
        <v>6.6880004694360276</v>
      </c>
      <c r="U301" s="432">
        <f t="shared" si="87"/>
        <v>5.6898917199959316</v>
      </c>
      <c r="V301" s="432">
        <f t="shared" si="87"/>
        <v>5.5019999025875759</v>
      </c>
      <c r="W301" s="432">
        <f t="shared" si="87"/>
        <v>5.0050480399214905</v>
      </c>
      <c r="X301" s="432">
        <f t="shared" si="87"/>
        <v>0.93457480535347592</v>
      </c>
      <c r="Y301" s="432">
        <f t="shared" si="87"/>
        <v>0.82006000573139126</v>
      </c>
      <c r="Z301" s="432">
        <f t="shared" si="87"/>
        <v>1.507533099216728</v>
      </c>
      <c r="AA301" s="432">
        <f t="shared" si="87"/>
        <v>1.0913245534559157</v>
      </c>
      <c r="AB301" s="432">
        <f t="shared" si="87"/>
        <v>9.5731832179348917</v>
      </c>
      <c r="AC301" s="432">
        <f t="shared" si="87"/>
        <v>1</v>
      </c>
      <c r="AD301" s="432">
        <f t="shared" si="87"/>
        <v>1</v>
      </c>
      <c r="AE301" s="432">
        <f t="shared" si="87"/>
        <v>1</v>
      </c>
      <c r="AF301" s="432">
        <f t="shared" si="87"/>
        <v>1</v>
      </c>
      <c r="AG301" s="432">
        <f t="shared" si="87"/>
        <v>4.7730635262112946</v>
      </c>
      <c r="AH301" s="432">
        <f t="shared" si="87"/>
        <v>4.7730635262112946</v>
      </c>
      <c r="AI301" s="432">
        <f t="shared" si="87"/>
        <v>1</v>
      </c>
      <c r="AJ301" s="432">
        <f t="shared" si="87"/>
        <v>1</v>
      </c>
      <c r="AK301" s="432">
        <f t="shared" si="87"/>
        <v>4.7730635262112946</v>
      </c>
      <c r="AL301" s="432">
        <f t="shared" si="87"/>
        <v>4.7730635262112946</v>
      </c>
      <c r="AM301" s="432">
        <f t="shared" si="87"/>
        <v>1</v>
      </c>
      <c r="AN301" s="432">
        <f t="shared" si="87"/>
        <v>1</v>
      </c>
      <c r="AO301" s="432">
        <f t="shared" si="87"/>
        <v>4.7730635262112946</v>
      </c>
      <c r="AP301" s="432">
        <f t="shared" si="87"/>
        <v>4.7730635262112946</v>
      </c>
    </row>
    <row r="302" spans="3:44" s="160" customFormat="1" x14ac:dyDescent="0.25">
      <c r="F302" s="189"/>
      <c r="G302" s="145"/>
      <c r="H302" s="167"/>
      <c r="I302" s="167"/>
      <c r="J302" s="428"/>
      <c r="K302" s="428"/>
      <c r="L302" s="428"/>
      <c r="M302" s="428"/>
      <c r="N302" s="428"/>
      <c r="O302" s="428"/>
      <c r="P302" s="428"/>
      <c r="Q302" s="428"/>
      <c r="R302" s="428"/>
      <c r="S302" s="428"/>
      <c r="T302" s="428"/>
      <c r="U302" s="428"/>
      <c r="V302" s="428"/>
      <c r="W302" s="428"/>
      <c r="X302" s="428"/>
      <c r="Y302" s="428"/>
      <c r="Z302" s="428"/>
      <c r="AA302" s="428"/>
      <c r="AB302" s="428"/>
      <c r="AC302" s="428"/>
      <c r="AD302" s="428"/>
      <c r="AE302" s="428"/>
      <c r="AF302" s="428"/>
      <c r="AG302" s="428"/>
      <c r="AH302" s="428"/>
      <c r="AI302" s="428"/>
      <c r="AJ302" s="428"/>
      <c r="AK302" s="428"/>
      <c r="AL302" s="428"/>
      <c r="AM302" s="428"/>
      <c r="AN302" s="428"/>
      <c r="AO302" s="428"/>
      <c r="AP302" s="428"/>
    </row>
    <row r="303" spans="3:44" s="160" customFormat="1" x14ac:dyDescent="0.25">
      <c r="E303" s="172" t="s">
        <v>152</v>
      </c>
      <c r="F303" s="190"/>
      <c r="G303" s="35"/>
      <c r="J303" s="416"/>
      <c r="K303" s="416"/>
      <c r="L303" s="416"/>
      <c r="M303" s="416"/>
      <c r="N303" s="416"/>
      <c r="O303" s="416"/>
      <c r="P303" s="416"/>
      <c r="Q303" s="416"/>
      <c r="R303" s="416"/>
      <c r="S303" s="416"/>
      <c r="T303" s="416"/>
      <c r="U303" s="416"/>
      <c r="V303" s="416"/>
      <c r="W303" s="416"/>
      <c r="X303" s="416"/>
      <c r="Y303" s="416"/>
      <c r="Z303" s="416"/>
      <c r="AA303" s="416"/>
      <c r="AB303" s="416"/>
      <c r="AC303" s="416"/>
      <c r="AD303" s="416"/>
      <c r="AE303" s="416"/>
      <c r="AF303" s="416"/>
      <c r="AG303" s="416"/>
      <c r="AH303" s="416"/>
      <c r="AI303" s="416"/>
      <c r="AJ303" s="416"/>
      <c r="AK303" s="416"/>
      <c r="AL303" s="416"/>
      <c r="AM303" s="416"/>
      <c r="AN303" s="416"/>
      <c r="AO303" s="416"/>
      <c r="AP303" s="416"/>
    </row>
    <row r="304" spans="3:44" s="160" customFormat="1" x14ac:dyDescent="0.25">
      <c r="F304" s="40" t="s">
        <v>43</v>
      </c>
      <c r="G304" s="40" t="s">
        <v>636</v>
      </c>
      <c r="H304" s="166"/>
      <c r="I304" s="166"/>
      <c r="J304" s="431">
        <f t="shared" ref="J304:AP304" si="88">J269 * J$122</f>
        <v>0</v>
      </c>
      <c r="K304" s="431">
        <f t="shared" si="88"/>
        <v>3.6206350686437364E-2</v>
      </c>
      <c r="L304" s="431">
        <f t="shared" si="88"/>
        <v>0</v>
      </c>
      <c r="M304" s="431">
        <f t="shared" si="88"/>
        <v>0</v>
      </c>
      <c r="N304" s="431">
        <f t="shared" si="88"/>
        <v>8.9946772278159517E-2</v>
      </c>
      <c r="O304" s="431">
        <f t="shared" si="88"/>
        <v>0</v>
      </c>
      <c r="P304" s="431">
        <f t="shared" si="88"/>
        <v>2.5420906287747784E-2</v>
      </c>
      <c r="Q304" s="431">
        <f t="shared" si="88"/>
        <v>2.5346903557012294E-2</v>
      </c>
      <c r="R304" s="431">
        <f t="shared" si="88"/>
        <v>4.2290493382837135E-2</v>
      </c>
      <c r="S304" s="431">
        <f t="shared" si="88"/>
        <v>0.44105576058167462</v>
      </c>
      <c r="T304" s="431">
        <f t="shared" si="88"/>
        <v>0.34427590612753212</v>
      </c>
      <c r="U304" s="431">
        <f t="shared" si="88"/>
        <v>0.29289660439188447</v>
      </c>
      <c r="V304" s="431">
        <f t="shared" si="88"/>
        <v>0.28322456175554994</v>
      </c>
      <c r="W304" s="431">
        <f t="shared" si="88"/>
        <v>0.25764314117954951</v>
      </c>
      <c r="X304" s="431">
        <f t="shared" si="88"/>
        <v>0</v>
      </c>
      <c r="Y304" s="431">
        <f t="shared" si="88"/>
        <v>0</v>
      </c>
      <c r="Z304" s="431">
        <f t="shared" si="88"/>
        <v>0</v>
      </c>
      <c r="AA304" s="431">
        <f t="shared" si="88"/>
        <v>0</v>
      </c>
      <c r="AB304" s="431">
        <f t="shared" si="88"/>
        <v>0.78729520276771325</v>
      </c>
      <c r="AC304" s="431">
        <f t="shared" si="88"/>
        <v>0</v>
      </c>
      <c r="AD304" s="431">
        <f t="shared" si="88"/>
        <v>0</v>
      </c>
      <c r="AE304" s="431">
        <f t="shared" si="88"/>
        <v>0</v>
      </c>
      <c r="AF304" s="431">
        <f t="shared" si="88"/>
        <v>0</v>
      </c>
      <c r="AG304" s="431">
        <f t="shared" si="88"/>
        <v>0.24570135393983247</v>
      </c>
      <c r="AH304" s="431">
        <f t="shared" si="88"/>
        <v>0.24570135393983247</v>
      </c>
      <c r="AI304" s="431">
        <f t="shared" si="88"/>
        <v>0</v>
      </c>
      <c r="AJ304" s="431">
        <f t="shared" si="88"/>
        <v>0</v>
      </c>
      <c r="AK304" s="431">
        <f t="shared" si="88"/>
        <v>0.24570135393983247</v>
      </c>
      <c r="AL304" s="431">
        <f t="shared" si="88"/>
        <v>0.24570135393983247</v>
      </c>
      <c r="AM304" s="431">
        <f t="shared" si="88"/>
        <v>0</v>
      </c>
      <c r="AN304" s="431">
        <f t="shared" si="88"/>
        <v>0</v>
      </c>
      <c r="AO304" s="431">
        <f t="shared" si="88"/>
        <v>0.24570135393983247</v>
      </c>
      <c r="AP304" s="431">
        <f t="shared" si="88"/>
        <v>0.24570135393983247</v>
      </c>
    </row>
    <row r="305" spans="5:42" s="160" customFormat="1" x14ac:dyDescent="0.25">
      <c r="F305" s="145" t="s">
        <v>44</v>
      </c>
      <c r="G305" s="145" t="s">
        <v>636</v>
      </c>
      <c r="H305" s="167"/>
      <c r="I305" s="167"/>
      <c r="J305" s="428">
        <f t="shared" ref="J305:AP305" si="89">J270 * J$122</f>
        <v>0</v>
      </c>
      <c r="K305" s="428">
        <f t="shared" si="89"/>
        <v>5.4095949338712902E-2</v>
      </c>
      <c r="L305" s="428">
        <f t="shared" si="89"/>
        <v>0</v>
      </c>
      <c r="M305" s="428">
        <f t="shared" si="89"/>
        <v>0</v>
      </c>
      <c r="N305" s="428">
        <f t="shared" si="89"/>
        <v>0.14383298715220813</v>
      </c>
      <c r="O305" s="428">
        <f t="shared" si="89"/>
        <v>0</v>
      </c>
      <c r="P305" s="428">
        <f t="shared" si="89"/>
        <v>4.4658601120804629E-2</v>
      </c>
      <c r="Q305" s="428">
        <f t="shared" si="89"/>
        <v>4.3542796154771399E-2</v>
      </c>
      <c r="R305" s="428">
        <f t="shared" si="89"/>
        <v>7.0193615685965577E-2</v>
      </c>
      <c r="S305" s="428">
        <f t="shared" si="89"/>
        <v>0.66019060659924134</v>
      </c>
      <c r="T305" s="428">
        <f t="shared" si="89"/>
        <v>0.51532649523517515</v>
      </c>
      <c r="U305" s="428">
        <f t="shared" si="89"/>
        <v>0.43841981945620329</v>
      </c>
      <c r="V305" s="428">
        <f t="shared" si="89"/>
        <v>0.42394230376359748</v>
      </c>
      <c r="W305" s="428">
        <f t="shared" si="89"/>
        <v>0.38565096947637045</v>
      </c>
      <c r="X305" s="428">
        <f t="shared" si="89"/>
        <v>0</v>
      </c>
      <c r="Y305" s="428">
        <f t="shared" si="89"/>
        <v>0</v>
      </c>
      <c r="Z305" s="428">
        <f t="shared" si="89"/>
        <v>0</v>
      </c>
      <c r="AA305" s="428">
        <f t="shared" si="89"/>
        <v>0</v>
      </c>
      <c r="AB305" s="428">
        <f t="shared" si="89"/>
        <v>0.68045149656284321</v>
      </c>
      <c r="AC305" s="428">
        <f t="shared" si="89"/>
        <v>0</v>
      </c>
      <c r="AD305" s="428">
        <f t="shared" si="89"/>
        <v>0</v>
      </c>
      <c r="AE305" s="428">
        <f t="shared" si="89"/>
        <v>0</v>
      </c>
      <c r="AF305" s="428">
        <f t="shared" si="89"/>
        <v>0</v>
      </c>
      <c r="AG305" s="428">
        <f t="shared" si="89"/>
        <v>0.36777600565939084</v>
      </c>
      <c r="AH305" s="428">
        <f t="shared" si="89"/>
        <v>0.36777600565939084</v>
      </c>
      <c r="AI305" s="428">
        <f t="shared" si="89"/>
        <v>0</v>
      </c>
      <c r="AJ305" s="428">
        <f t="shared" si="89"/>
        <v>0</v>
      </c>
      <c r="AK305" s="428">
        <f t="shared" si="89"/>
        <v>0.36777600565939084</v>
      </c>
      <c r="AL305" s="428">
        <f t="shared" si="89"/>
        <v>0.36777600565939084</v>
      </c>
      <c r="AM305" s="428">
        <f t="shared" si="89"/>
        <v>0</v>
      </c>
      <c r="AN305" s="428">
        <f t="shared" si="89"/>
        <v>0</v>
      </c>
      <c r="AO305" s="428">
        <f t="shared" si="89"/>
        <v>0.36777600565939084</v>
      </c>
      <c r="AP305" s="428">
        <f t="shared" si="89"/>
        <v>0.36777600565939084</v>
      </c>
    </row>
    <row r="306" spans="5:42" s="160" customFormat="1" x14ac:dyDescent="0.25">
      <c r="F306" s="145" t="s">
        <v>45</v>
      </c>
      <c r="G306" s="145" t="s">
        <v>636</v>
      </c>
      <c r="H306" s="167"/>
      <c r="I306" s="167"/>
      <c r="J306" s="428">
        <f t="shared" ref="J306:AP306" si="90">J271 * J$122</f>
        <v>0</v>
      </c>
      <c r="K306" s="428">
        <f t="shared" si="90"/>
        <v>5.4095949338712902E-2</v>
      </c>
      <c r="L306" s="428">
        <f t="shared" si="90"/>
        <v>0</v>
      </c>
      <c r="M306" s="428">
        <f t="shared" si="90"/>
        <v>0</v>
      </c>
      <c r="N306" s="428">
        <f t="shared" si="90"/>
        <v>0.14383298715220813</v>
      </c>
      <c r="O306" s="428">
        <f t="shared" si="90"/>
        <v>0</v>
      </c>
      <c r="P306" s="428">
        <f t="shared" si="90"/>
        <v>4.4658601120804629E-2</v>
      </c>
      <c r="Q306" s="428">
        <f t="shared" si="90"/>
        <v>4.3542796154771399E-2</v>
      </c>
      <c r="R306" s="428">
        <f t="shared" si="90"/>
        <v>7.0193615685965577E-2</v>
      </c>
      <c r="S306" s="428">
        <f t="shared" si="90"/>
        <v>0.66019060659924134</v>
      </c>
      <c r="T306" s="428">
        <f t="shared" si="90"/>
        <v>0.51532649523517515</v>
      </c>
      <c r="U306" s="428">
        <f t="shared" si="90"/>
        <v>0.43841981945620329</v>
      </c>
      <c r="V306" s="428">
        <f t="shared" si="90"/>
        <v>0.42394230376359748</v>
      </c>
      <c r="W306" s="428">
        <f t="shared" si="90"/>
        <v>0.38565096947637045</v>
      </c>
      <c r="X306" s="428">
        <f t="shared" si="90"/>
        <v>0</v>
      </c>
      <c r="Y306" s="428">
        <f t="shared" si="90"/>
        <v>0</v>
      </c>
      <c r="Z306" s="428">
        <f t="shared" si="90"/>
        <v>0</v>
      </c>
      <c r="AA306" s="428">
        <f t="shared" si="90"/>
        <v>0</v>
      </c>
      <c r="AB306" s="428">
        <f t="shared" si="90"/>
        <v>0.68045149656284321</v>
      </c>
      <c r="AC306" s="428">
        <f t="shared" si="90"/>
        <v>0</v>
      </c>
      <c r="AD306" s="428">
        <f t="shared" si="90"/>
        <v>0</v>
      </c>
      <c r="AE306" s="428">
        <f t="shared" si="90"/>
        <v>0</v>
      </c>
      <c r="AF306" s="428">
        <f t="shared" si="90"/>
        <v>0</v>
      </c>
      <c r="AG306" s="428">
        <f t="shared" si="90"/>
        <v>0.36777600565939084</v>
      </c>
      <c r="AH306" s="428">
        <f t="shared" si="90"/>
        <v>0.36777600565939084</v>
      </c>
      <c r="AI306" s="428">
        <f t="shared" si="90"/>
        <v>0</v>
      </c>
      <c r="AJ306" s="428">
        <f t="shared" si="90"/>
        <v>0</v>
      </c>
      <c r="AK306" s="428">
        <f t="shared" si="90"/>
        <v>0.36777600565939084</v>
      </c>
      <c r="AL306" s="428">
        <f t="shared" si="90"/>
        <v>0.36777600565939084</v>
      </c>
      <c r="AM306" s="428">
        <f t="shared" si="90"/>
        <v>0</v>
      </c>
      <c r="AN306" s="428">
        <f t="shared" si="90"/>
        <v>0</v>
      </c>
      <c r="AO306" s="428">
        <f t="shared" si="90"/>
        <v>0.36777600565939084</v>
      </c>
      <c r="AP306" s="428">
        <f t="shared" si="90"/>
        <v>0.36777600565939084</v>
      </c>
    </row>
    <row r="307" spans="5:42" s="160" customFormat="1" x14ac:dyDescent="0.25">
      <c r="F307" s="145" t="s">
        <v>46</v>
      </c>
      <c r="G307" s="145" t="s">
        <v>636</v>
      </c>
      <c r="H307" s="167"/>
      <c r="I307" s="167"/>
      <c r="J307" s="428">
        <f t="shared" ref="J307:AP307" si="91">J272 * J$122</f>
        <v>0</v>
      </c>
      <c r="K307" s="428">
        <f t="shared" si="91"/>
        <v>0.11981076363577949</v>
      </c>
      <c r="L307" s="428">
        <f t="shared" si="91"/>
        <v>0</v>
      </c>
      <c r="M307" s="428">
        <f t="shared" si="91"/>
        <v>0</v>
      </c>
      <c r="N307" s="428">
        <f t="shared" si="91"/>
        <v>0.30107055222564383</v>
      </c>
      <c r="O307" s="428">
        <f t="shared" si="91"/>
        <v>0</v>
      </c>
      <c r="P307" s="428">
        <f t="shared" si="91"/>
        <v>0.10773880835268247</v>
      </c>
      <c r="Q307" s="428">
        <f t="shared" si="91"/>
        <v>0.1018290558189891</v>
      </c>
      <c r="R307" s="428">
        <f t="shared" si="91"/>
        <v>0.15595567214982345</v>
      </c>
      <c r="S307" s="428">
        <f t="shared" si="91"/>
        <v>1.2184929248581395</v>
      </c>
      <c r="T307" s="428">
        <f t="shared" si="91"/>
        <v>0.95112181566856646</v>
      </c>
      <c r="U307" s="428">
        <f t="shared" si="91"/>
        <v>0.80917759626539421</v>
      </c>
      <c r="V307" s="428">
        <f t="shared" si="91"/>
        <v>0.78245690338575224</v>
      </c>
      <c r="W307" s="428">
        <f t="shared" si="91"/>
        <v>0.71178379860968433</v>
      </c>
      <c r="X307" s="428">
        <f t="shared" si="91"/>
        <v>0</v>
      </c>
      <c r="Y307" s="428">
        <f t="shared" si="91"/>
        <v>0</v>
      </c>
      <c r="Z307" s="428">
        <f t="shared" si="91"/>
        <v>0</v>
      </c>
      <c r="AA307" s="428">
        <f t="shared" si="91"/>
        <v>0</v>
      </c>
      <c r="AB307" s="428">
        <f t="shared" si="91"/>
        <v>0.82975770434246265</v>
      </c>
      <c r="AC307" s="428">
        <f t="shared" si="91"/>
        <v>0</v>
      </c>
      <c r="AD307" s="428">
        <f t="shared" si="91"/>
        <v>0</v>
      </c>
      <c r="AE307" s="428">
        <f t="shared" si="91"/>
        <v>0</v>
      </c>
      <c r="AF307" s="428">
        <f t="shared" si="91"/>
        <v>0</v>
      </c>
      <c r="AG307" s="428">
        <f t="shared" si="91"/>
        <v>0.67879254316713844</v>
      </c>
      <c r="AH307" s="428">
        <f t="shared" si="91"/>
        <v>0.67879254316713844</v>
      </c>
      <c r="AI307" s="428">
        <f t="shared" si="91"/>
        <v>0</v>
      </c>
      <c r="AJ307" s="428">
        <f t="shared" si="91"/>
        <v>0</v>
      </c>
      <c r="AK307" s="428">
        <f t="shared" si="91"/>
        <v>0.67879254316713844</v>
      </c>
      <c r="AL307" s="428">
        <f t="shared" si="91"/>
        <v>0.67879254316713844</v>
      </c>
      <c r="AM307" s="428">
        <f t="shared" si="91"/>
        <v>0</v>
      </c>
      <c r="AN307" s="428">
        <f t="shared" si="91"/>
        <v>0</v>
      </c>
      <c r="AO307" s="428">
        <f t="shared" si="91"/>
        <v>0.67879254316713844</v>
      </c>
      <c r="AP307" s="428">
        <f t="shared" si="91"/>
        <v>0.67879254316713844</v>
      </c>
    </row>
    <row r="308" spans="5:42" s="160" customFormat="1" x14ac:dyDescent="0.25">
      <c r="F308" s="145" t="s">
        <v>47</v>
      </c>
      <c r="G308" s="145" t="s">
        <v>636</v>
      </c>
      <c r="H308" s="167"/>
      <c r="I308" s="167"/>
      <c r="J308" s="428">
        <f t="shared" ref="J308:AP308" si="92">J273 * J$122</f>
        <v>0</v>
      </c>
      <c r="K308" s="428">
        <f t="shared" si="92"/>
        <v>0.11981076363577949</v>
      </c>
      <c r="L308" s="428">
        <f t="shared" si="92"/>
        <v>0</v>
      </c>
      <c r="M308" s="428">
        <f t="shared" si="92"/>
        <v>0</v>
      </c>
      <c r="N308" s="428">
        <f t="shared" si="92"/>
        <v>0.30107055222564383</v>
      </c>
      <c r="O308" s="428">
        <f t="shared" si="92"/>
        <v>0</v>
      </c>
      <c r="P308" s="428">
        <f t="shared" si="92"/>
        <v>0.10773880835268247</v>
      </c>
      <c r="Q308" s="428">
        <f t="shared" si="92"/>
        <v>0.1018290558189891</v>
      </c>
      <c r="R308" s="428">
        <f t="shared" si="92"/>
        <v>0.15595567214982345</v>
      </c>
      <c r="S308" s="428">
        <f t="shared" si="92"/>
        <v>1.2184929248581395</v>
      </c>
      <c r="T308" s="428">
        <f t="shared" si="92"/>
        <v>0.95112181566856646</v>
      </c>
      <c r="U308" s="428">
        <f t="shared" si="92"/>
        <v>0.80917759626539421</v>
      </c>
      <c r="V308" s="428">
        <f t="shared" si="92"/>
        <v>0.78245690338575224</v>
      </c>
      <c r="W308" s="428">
        <f t="shared" si="92"/>
        <v>0.71178379860968433</v>
      </c>
      <c r="X308" s="428">
        <f t="shared" si="92"/>
        <v>0</v>
      </c>
      <c r="Y308" s="428">
        <f t="shared" si="92"/>
        <v>0</v>
      </c>
      <c r="Z308" s="428">
        <f t="shared" si="92"/>
        <v>0</v>
      </c>
      <c r="AA308" s="428">
        <f t="shared" si="92"/>
        <v>0</v>
      </c>
      <c r="AB308" s="428">
        <f t="shared" si="92"/>
        <v>0.82975770434246265</v>
      </c>
      <c r="AC308" s="428">
        <f t="shared" si="92"/>
        <v>0</v>
      </c>
      <c r="AD308" s="428">
        <f t="shared" si="92"/>
        <v>0</v>
      </c>
      <c r="AE308" s="428">
        <f t="shared" si="92"/>
        <v>0</v>
      </c>
      <c r="AF308" s="428">
        <f t="shared" si="92"/>
        <v>0</v>
      </c>
      <c r="AG308" s="428">
        <f t="shared" si="92"/>
        <v>0.67879254316713844</v>
      </c>
      <c r="AH308" s="428">
        <f t="shared" si="92"/>
        <v>0.67879254316713844</v>
      </c>
      <c r="AI308" s="428">
        <f t="shared" si="92"/>
        <v>0</v>
      </c>
      <c r="AJ308" s="428">
        <f t="shared" si="92"/>
        <v>0</v>
      </c>
      <c r="AK308" s="428">
        <f t="shared" si="92"/>
        <v>0.67879254316713844</v>
      </c>
      <c r="AL308" s="428">
        <f t="shared" si="92"/>
        <v>0.67879254316713844</v>
      </c>
      <c r="AM308" s="428">
        <f t="shared" si="92"/>
        <v>0</v>
      </c>
      <c r="AN308" s="428">
        <f t="shared" si="92"/>
        <v>0</v>
      </c>
      <c r="AO308" s="428">
        <f t="shared" si="92"/>
        <v>0.67879254316713844</v>
      </c>
      <c r="AP308" s="428">
        <f t="shared" si="92"/>
        <v>0.67879254316713844</v>
      </c>
    </row>
    <row r="309" spans="5:42" s="160" customFormat="1" x14ac:dyDescent="0.25">
      <c r="F309" s="145" t="s">
        <v>51</v>
      </c>
      <c r="G309" s="145" t="s">
        <v>636</v>
      </c>
      <c r="H309" s="167"/>
      <c r="I309" s="167"/>
      <c r="J309" s="428">
        <f t="shared" ref="J309:AP309" si="93">J274 * J$122</f>
        <v>0</v>
      </c>
      <c r="K309" s="428">
        <f t="shared" si="93"/>
        <v>0</v>
      </c>
      <c r="L309" s="428">
        <f t="shared" si="93"/>
        <v>0</v>
      </c>
      <c r="M309" s="428">
        <f t="shared" si="93"/>
        <v>0</v>
      </c>
      <c r="N309" s="428">
        <f t="shared" si="93"/>
        <v>0</v>
      </c>
      <c r="O309" s="428">
        <f t="shared" si="93"/>
        <v>0</v>
      </c>
      <c r="P309" s="428">
        <f t="shared" si="93"/>
        <v>0</v>
      </c>
      <c r="Q309" s="428">
        <f t="shared" si="93"/>
        <v>0</v>
      </c>
      <c r="R309" s="428">
        <f t="shared" si="93"/>
        <v>0</v>
      </c>
      <c r="S309" s="428">
        <f t="shared" si="93"/>
        <v>0</v>
      </c>
      <c r="T309" s="428">
        <f t="shared" si="93"/>
        <v>0</v>
      </c>
      <c r="U309" s="428">
        <f t="shared" si="93"/>
        <v>0</v>
      </c>
      <c r="V309" s="428">
        <f t="shared" si="93"/>
        <v>0</v>
      </c>
      <c r="W309" s="428">
        <f t="shared" si="93"/>
        <v>0</v>
      </c>
      <c r="X309" s="428">
        <f t="shared" si="93"/>
        <v>0</v>
      </c>
      <c r="Y309" s="428">
        <f t="shared" si="93"/>
        <v>0</v>
      </c>
      <c r="Z309" s="428">
        <f t="shared" si="93"/>
        <v>0</v>
      </c>
      <c r="AA309" s="428">
        <f t="shared" si="93"/>
        <v>0</v>
      </c>
      <c r="AB309" s="428">
        <f t="shared" si="93"/>
        <v>0</v>
      </c>
      <c r="AC309" s="428">
        <f t="shared" si="93"/>
        <v>0</v>
      </c>
      <c r="AD309" s="428">
        <f t="shared" si="93"/>
        <v>0</v>
      </c>
      <c r="AE309" s="428">
        <f t="shared" si="93"/>
        <v>0</v>
      </c>
      <c r="AF309" s="428">
        <f t="shared" si="93"/>
        <v>0</v>
      </c>
      <c r="AG309" s="428">
        <f t="shared" si="93"/>
        <v>0</v>
      </c>
      <c r="AH309" s="428">
        <f t="shared" si="93"/>
        <v>0</v>
      </c>
      <c r="AI309" s="428">
        <f t="shared" si="93"/>
        <v>0</v>
      </c>
      <c r="AJ309" s="428">
        <f t="shared" si="93"/>
        <v>0</v>
      </c>
      <c r="AK309" s="428">
        <f t="shared" si="93"/>
        <v>0</v>
      </c>
      <c r="AL309" s="428">
        <f t="shared" si="93"/>
        <v>0</v>
      </c>
      <c r="AM309" s="428">
        <f t="shared" si="93"/>
        <v>0</v>
      </c>
      <c r="AN309" s="428">
        <f t="shared" si="93"/>
        <v>0</v>
      </c>
      <c r="AO309" s="428">
        <f t="shared" si="93"/>
        <v>0</v>
      </c>
      <c r="AP309" s="428">
        <f t="shared" si="93"/>
        <v>0</v>
      </c>
    </row>
    <row r="310" spans="5:42" s="160" customFormat="1" x14ac:dyDescent="0.25">
      <c r="F310" s="145" t="s">
        <v>48</v>
      </c>
      <c r="G310" s="145" t="s">
        <v>636</v>
      </c>
      <c r="H310" s="167"/>
      <c r="I310" s="167"/>
      <c r="J310" s="428">
        <f t="shared" ref="J310:AP310" si="94">J275 * J$122</f>
        <v>0</v>
      </c>
      <c r="K310" s="428">
        <f t="shared" si="94"/>
        <v>0.21101532890309416</v>
      </c>
      <c r="L310" s="428">
        <f t="shared" si="94"/>
        <v>0</v>
      </c>
      <c r="M310" s="428">
        <f t="shared" si="94"/>
        <v>0</v>
      </c>
      <c r="N310" s="428">
        <f t="shared" si="94"/>
        <v>0.51125424625990912</v>
      </c>
      <c r="O310" s="428">
        <f t="shared" si="94"/>
        <v>0</v>
      </c>
      <c r="P310" s="428">
        <f t="shared" si="94"/>
        <v>0.19378763858628878</v>
      </c>
      <c r="Q310" s="428">
        <f t="shared" si="94"/>
        <v>0.18103334311496919</v>
      </c>
      <c r="R310" s="428">
        <f t="shared" si="94"/>
        <v>0.27167627775635395</v>
      </c>
      <c r="S310" s="428">
        <f t="shared" si="94"/>
        <v>1.9446097456203728</v>
      </c>
      <c r="T310" s="428">
        <f t="shared" si="94"/>
        <v>1.5179084870243045</v>
      </c>
      <c r="U310" s="428">
        <f t="shared" si="94"/>
        <v>1.2913777401034547</v>
      </c>
      <c r="V310" s="428">
        <f t="shared" si="94"/>
        <v>1.2487338160203254</v>
      </c>
      <c r="W310" s="428">
        <f t="shared" si="94"/>
        <v>1.1359456286643821</v>
      </c>
      <c r="X310" s="428">
        <f t="shared" si="94"/>
        <v>0</v>
      </c>
      <c r="Y310" s="428">
        <f t="shared" si="94"/>
        <v>0</v>
      </c>
      <c r="Z310" s="428">
        <f t="shared" si="94"/>
        <v>0</v>
      </c>
      <c r="AA310" s="428">
        <f t="shared" si="94"/>
        <v>0</v>
      </c>
      <c r="AB310" s="428">
        <f t="shared" si="94"/>
        <v>1.1131352849896714</v>
      </c>
      <c r="AC310" s="428">
        <f t="shared" si="94"/>
        <v>0</v>
      </c>
      <c r="AD310" s="428">
        <f t="shared" si="94"/>
        <v>0</v>
      </c>
      <c r="AE310" s="428">
        <f t="shared" si="94"/>
        <v>0</v>
      </c>
      <c r="AF310" s="428">
        <f t="shared" si="94"/>
        <v>0</v>
      </c>
      <c r="AG310" s="428">
        <f t="shared" si="94"/>
        <v>1.0832944268846958</v>
      </c>
      <c r="AH310" s="428">
        <f t="shared" si="94"/>
        <v>1.0832944268846958</v>
      </c>
      <c r="AI310" s="428">
        <f t="shared" si="94"/>
        <v>0</v>
      </c>
      <c r="AJ310" s="428">
        <f t="shared" si="94"/>
        <v>0</v>
      </c>
      <c r="AK310" s="428">
        <f t="shared" si="94"/>
        <v>1.0832944268846958</v>
      </c>
      <c r="AL310" s="428">
        <f t="shared" si="94"/>
        <v>1.0832944268846958</v>
      </c>
      <c r="AM310" s="428">
        <f t="shared" si="94"/>
        <v>0</v>
      </c>
      <c r="AN310" s="428">
        <f t="shared" si="94"/>
        <v>0</v>
      </c>
      <c r="AO310" s="428">
        <f t="shared" si="94"/>
        <v>1.0832944268846958</v>
      </c>
      <c r="AP310" s="428">
        <f t="shared" si="94"/>
        <v>1.0832944268846958</v>
      </c>
    </row>
    <row r="311" spans="5:42" s="160" customFormat="1" x14ac:dyDescent="0.25">
      <c r="F311" s="145" t="s">
        <v>49</v>
      </c>
      <c r="G311" s="145" t="s">
        <v>636</v>
      </c>
      <c r="H311" s="167"/>
      <c r="I311" s="167"/>
      <c r="J311" s="428">
        <f t="shared" ref="J311:AP311" si="95">J276 * J$122</f>
        <v>0</v>
      </c>
      <c r="K311" s="428">
        <f t="shared" si="95"/>
        <v>0.21101532890309416</v>
      </c>
      <c r="L311" s="428">
        <f t="shared" si="95"/>
        <v>0</v>
      </c>
      <c r="M311" s="428">
        <f t="shared" si="95"/>
        <v>0</v>
      </c>
      <c r="N311" s="428">
        <f t="shared" si="95"/>
        <v>0.51125424625990912</v>
      </c>
      <c r="O311" s="428">
        <f t="shared" si="95"/>
        <v>0</v>
      </c>
      <c r="P311" s="428">
        <f t="shared" si="95"/>
        <v>0.19378763858628878</v>
      </c>
      <c r="Q311" s="428">
        <f t="shared" si="95"/>
        <v>0.18103334311496919</v>
      </c>
      <c r="R311" s="428">
        <f t="shared" si="95"/>
        <v>0.27167627775635395</v>
      </c>
      <c r="S311" s="428">
        <f t="shared" si="95"/>
        <v>1.9446097456203728</v>
      </c>
      <c r="T311" s="428">
        <f t="shared" si="95"/>
        <v>1.5179084870243045</v>
      </c>
      <c r="U311" s="428">
        <f t="shared" si="95"/>
        <v>1.2913777401034547</v>
      </c>
      <c r="V311" s="428">
        <f t="shared" si="95"/>
        <v>1.2487338160203254</v>
      </c>
      <c r="W311" s="428">
        <f t="shared" si="95"/>
        <v>1.1359456286643821</v>
      </c>
      <c r="X311" s="428">
        <f t="shared" si="95"/>
        <v>0</v>
      </c>
      <c r="Y311" s="428">
        <f t="shared" si="95"/>
        <v>0</v>
      </c>
      <c r="Z311" s="428">
        <f t="shared" si="95"/>
        <v>0</v>
      </c>
      <c r="AA311" s="428">
        <f t="shared" si="95"/>
        <v>0</v>
      </c>
      <c r="AB311" s="428">
        <f t="shared" si="95"/>
        <v>1.1131352849896714</v>
      </c>
      <c r="AC311" s="428">
        <f t="shared" si="95"/>
        <v>0</v>
      </c>
      <c r="AD311" s="428">
        <f t="shared" si="95"/>
        <v>0</v>
      </c>
      <c r="AE311" s="428">
        <f t="shared" si="95"/>
        <v>0</v>
      </c>
      <c r="AF311" s="428">
        <f t="shared" si="95"/>
        <v>0</v>
      </c>
      <c r="AG311" s="428">
        <f t="shared" si="95"/>
        <v>1.0832944268846958</v>
      </c>
      <c r="AH311" s="428">
        <f t="shared" si="95"/>
        <v>1.0832944268846958</v>
      </c>
      <c r="AI311" s="428">
        <f t="shared" si="95"/>
        <v>0</v>
      </c>
      <c r="AJ311" s="428">
        <f t="shared" si="95"/>
        <v>0</v>
      </c>
      <c r="AK311" s="428">
        <f t="shared" si="95"/>
        <v>1.0832944268846958</v>
      </c>
      <c r="AL311" s="428">
        <f t="shared" si="95"/>
        <v>1.0832944268846958</v>
      </c>
      <c r="AM311" s="428">
        <f t="shared" si="95"/>
        <v>0</v>
      </c>
      <c r="AN311" s="428">
        <f t="shared" si="95"/>
        <v>0</v>
      </c>
      <c r="AO311" s="428">
        <f t="shared" si="95"/>
        <v>1.0832944268846958</v>
      </c>
      <c r="AP311" s="428">
        <f t="shared" si="95"/>
        <v>1.0832944268846958</v>
      </c>
    </row>
    <row r="312" spans="5:42" s="160" customFormat="1" x14ac:dyDescent="0.25">
      <c r="F312" s="38" t="s">
        <v>50</v>
      </c>
      <c r="G312" s="38" t="s">
        <v>636</v>
      </c>
      <c r="H312" s="168"/>
      <c r="I312" s="168"/>
      <c r="J312" s="432">
        <f t="shared" ref="J312:AP312" si="96">J277 * J$122</f>
        <v>0</v>
      </c>
      <c r="K312" s="432">
        <f t="shared" si="96"/>
        <v>0.21101532890309416</v>
      </c>
      <c r="L312" s="432">
        <f t="shared" si="96"/>
        <v>0</v>
      </c>
      <c r="M312" s="432">
        <f t="shared" si="96"/>
        <v>0</v>
      </c>
      <c r="N312" s="432">
        <f t="shared" si="96"/>
        <v>0.51125424625990912</v>
      </c>
      <c r="O312" s="432">
        <f t="shared" si="96"/>
        <v>0</v>
      </c>
      <c r="P312" s="432">
        <f t="shared" si="96"/>
        <v>0.19378763858628878</v>
      </c>
      <c r="Q312" s="432">
        <f t="shared" si="96"/>
        <v>0.18103334311496919</v>
      </c>
      <c r="R312" s="432">
        <f t="shared" si="96"/>
        <v>0.27167627775635395</v>
      </c>
      <c r="S312" s="432">
        <f t="shared" si="96"/>
        <v>1.9446097456203728</v>
      </c>
      <c r="T312" s="432">
        <f t="shared" si="96"/>
        <v>1.5179084870243045</v>
      </c>
      <c r="U312" s="432">
        <f t="shared" si="96"/>
        <v>1.2913777401034547</v>
      </c>
      <c r="V312" s="432">
        <f t="shared" si="96"/>
        <v>1.2487338160203254</v>
      </c>
      <c r="W312" s="432">
        <f t="shared" si="96"/>
        <v>1.1359456286643821</v>
      </c>
      <c r="X312" s="432">
        <f t="shared" si="96"/>
        <v>0</v>
      </c>
      <c r="Y312" s="432">
        <f t="shared" si="96"/>
        <v>0</v>
      </c>
      <c r="Z312" s="432">
        <f t="shared" si="96"/>
        <v>0</v>
      </c>
      <c r="AA312" s="432">
        <f t="shared" si="96"/>
        <v>0</v>
      </c>
      <c r="AB312" s="432">
        <f t="shared" si="96"/>
        <v>1.1131352849896714</v>
      </c>
      <c r="AC312" s="432">
        <f t="shared" si="96"/>
        <v>0</v>
      </c>
      <c r="AD312" s="432">
        <f t="shared" si="96"/>
        <v>0</v>
      </c>
      <c r="AE312" s="432">
        <f t="shared" si="96"/>
        <v>0</v>
      </c>
      <c r="AF312" s="432">
        <f t="shared" si="96"/>
        <v>0</v>
      </c>
      <c r="AG312" s="432">
        <f t="shared" si="96"/>
        <v>1.0832944268846958</v>
      </c>
      <c r="AH312" s="432">
        <f t="shared" si="96"/>
        <v>1.0832944268846958</v>
      </c>
      <c r="AI312" s="432">
        <f t="shared" si="96"/>
        <v>0</v>
      </c>
      <c r="AJ312" s="432">
        <f t="shared" si="96"/>
        <v>0</v>
      </c>
      <c r="AK312" s="432">
        <f t="shared" si="96"/>
        <v>1.0832944268846958</v>
      </c>
      <c r="AL312" s="432">
        <f t="shared" si="96"/>
        <v>1.0832944268846958</v>
      </c>
      <c r="AM312" s="432">
        <f t="shared" si="96"/>
        <v>0</v>
      </c>
      <c r="AN312" s="432">
        <f t="shared" si="96"/>
        <v>0</v>
      </c>
      <c r="AO312" s="432">
        <f t="shared" si="96"/>
        <v>1.0832944268846958</v>
      </c>
      <c r="AP312" s="432">
        <f t="shared" si="96"/>
        <v>1.0832944268846958</v>
      </c>
    </row>
    <row r="313" spans="5:42" s="160" customFormat="1" x14ac:dyDescent="0.25">
      <c r="F313" s="35"/>
      <c r="J313" s="416"/>
      <c r="K313" s="416"/>
      <c r="L313" s="416"/>
      <c r="M313" s="416"/>
      <c r="N313" s="416"/>
      <c r="O313" s="416"/>
      <c r="P313" s="416"/>
      <c r="Q313" s="416"/>
      <c r="R313" s="416"/>
      <c r="S313" s="416"/>
      <c r="T313" s="416"/>
      <c r="U313" s="416"/>
      <c r="V313" s="416"/>
      <c r="W313" s="416"/>
      <c r="X313" s="416"/>
      <c r="Y313" s="416"/>
      <c r="Z313" s="416"/>
      <c r="AA313" s="416"/>
      <c r="AB313" s="416"/>
      <c r="AC313" s="416"/>
      <c r="AD313" s="416"/>
      <c r="AE313" s="416"/>
      <c r="AF313" s="416"/>
      <c r="AG313" s="416"/>
      <c r="AH313" s="416"/>
      <c r="AI313" s="416"/>
      <c r="AJ313" s="416"/>
      <c r="AK313" s="416"/>
      <c r="AL313" s="416"/>
      <c r="AM313" s="416"/>
      <c r="AN313" s="416"/>
      <c r="AO313" s="416"/>
      <c r="AP313" s="416"/>
    </row>
    <row r="314" spans="5:42" s="160" customFormat="1" x14ac:dyDescent="0.25">
      <c r="E314" s="172" t="s">
        <v>153</v>
      </c>
      <c r="F314" s="35"/>
      <c r="G314" s="35"/>
      <c r="J314" s="416"/>
      <c r="K314" s="416"/>
      <c r="L314" s="416"/>
      <c r="M314" s="416"/>
      <c r="N314" s="416"/>
      <c r="O314" s="416"/>
      <c r="P314" s="416"/>
      <c r="Q314" s="416"/>
      <c r="R314" s="416"/>
      <c r="S314" s="416"/>
      <c r="T314" s="416"/>
      <c r="U314" s="416"/>
      <c r="V314" s="416"/>
      <c r="W314" s="416"/>
      <c r="X314" s="416"/>
      <c r="Y314" s="416"/>
      <c r="Z314" s="416"/>
      <c r="AA314" s="416"/>
      <c r="AB314" s="416"/>
      <c r="AC314" s="416"/>
      <c r="AD314" s="416"/>
      <c r="AE314" s="416"/>
      <c r="AF314" s="416"/>
      <c r="AG314" s="416"/>
      <c r="AH314" s="416"/>
      <c r="AI314" s="416"/>
      <c r="AJ314" s="416"/>
      <c r="AK314" s="416"/>
      <c r="AL314" s="416"/>
      <c r="AM314" s="416"/>
      <c r="AN314" s="416"/>
      <c r="AO314" s="416"/>
      <c r="AP314" s="416"/>
    </row>
    <row r="315" spans="5:42" s="160" customFormat="1" x14ac:dyDescent="0.25">
      <c r="F315" s="40" t="s">
        <v>43</v>
      </c>
      <c r="G315" s="40" t="s">
        <v>636</v>
      </c>
      <c r="H315" s="166"/>
      <c r="I315" s="166"/>
      <c r="J315" s="431">
        <f>J280 * J$122</f>
        <v>0</v>
      </c>
      <c r="K315" s="431">
        <f t="shared" ref="K315:AP315" si="97">K280 * K$122</f>
        <v>0</v>
      </c>
      <c r="L315" s="431">
        <f t="shared" si="97"/>
        <v>0</v>
      </c>
      <c r="M315" s="431">
        <f t="shared" si="97"/>
        <v>0</v>
      </c>
      <c r="N315" s="431">
        <f t="shared" si="97"/>
        <v>0</v>
      </c>
      <c r="O315" s="431">
        <f t="shared" si="97"/>
        <v>0</v>
      </c>
      <c r="P315" s="431">
        <f t="shared" si="97"/>
        <v>0</v>
      </c>
      <c r="Q315" s="431">
        <f t="shared" si="97"/>
        <v>0</v>
      </c>
      <c r="R315" s="431">
        <f t="shared" si="97"/>
        <v>0</v>
      </c>
      <c r="S315" s="431">
        <f t="shared" si="97"/>
        <v>0</v>
      </c>
      <c r="T315" s="431">
        <f t="shared" si="97"/>
        <v>0</v>
      </c>
      <c r="U315" s="431">
        <f t="shared" si="97"/>
        <v>0</v>
      </c>
      <c r="V315" s="431">
        <f t="shared" si="97"/>
        <v>0</v>
      </c>
      <c r="W315" s="431">
        <f t="shared" si="97"/>
        <v>0</v>
      </c>
      <c r="X315" s="431">
        <f t="shared" si="97"/>
        <v>0</v>
      </c>
      <c r="Y315" s="431">
        <f t="shared" si="97"/>
        <v>0</v>
      </c>
      <c r="Z315" s="431">
        <f t="shared" si="97"/>
        <v>0</v>
      </c>
      <c r="AA315" s="431">
        <f t="shared" si="97"/>
        <v>0</v>
      </c>
      <c r="AB315" s="431">
        <f t="shared" si="97"/>
        <v>0</v>
      </c>
      <c r="AC315" s="431">
        <f t="shared" si="97"/>
        <v>0</v>
      </c>
      <c r="AD315" s="431">
        <f t="shared" si="97"/>
        <v>0</v>
      </c>
      <c r="AE315" s="431">
        <f t="shared" si="97"/>
        <v>0</v>
      </c>
      <c r="AF315" s="431">
        <f t="shared" si="97"/>
        <v>0</v>
      </c>
      <c r="AG315" s="431">
        <f t="shared" si="97"/>
        <v>0</v>
      </c>
      <c r="AH315" s="431">
        <f t="shared" si="97"/>
        <v>0</v>
      </c>
      <c r="AI315" s="431">
        <f t="shared" si="97"/>
        <v>0</v>
      </c>
      <c r="AJ315" s="431">
        <f t="shared" si="97"/>
        <v>0</v>
      </c>
      <c r="AK315" s="431">
        <f t="shared" si="97"/>
        <v>0</v>
      </c>
      <c r="AL315" s="431">
        <f t="shared" si="97"/>
        <v>0</v>
      </c>
      <c r="AM315" s="431">
        <f t="shared" si="97"/>
        <v>0</v>
      </c>
      <c r="AN315" s="431">
        <f t="shared" si="97"/>
        <v>0</v>
      </c>
      <c r="AO315" s="431">
        <f t="shared" si="97"/>
        <v>0</v>
      </c>
      <c r="AP315" s="431">
        <f t="shared" si="97"/>
        <v>0</v>
      </c>
    </row>
    <row r="316" spans="5:42" s="160" customFormat="1" x14ac:dyDescent="0.25">
      <c r="F316" s="145" t="s">
        <v>44</v>
      </c>
      <c r="G316" s="145" t="s">
        <v>636</v>
      </c>
      <c r="H316" s="167"/>
      <c r="I316" s="167"/>
      <c r="J316" s="428">
        <f t="shared" ref="J316:AP316" si="98">J281 * J$122</f>
        <v>0</v>
      </c>
      <c r="K316" s="428">
        <f t="shared" si="98"/>
        <v>0</v>
      </c>
      <c r="L316" s="428">
        <f t="shared" si="98"/>
        <v>0</v>
      </c>
      <c r="M316" s="428">
        <f t="shared" si="98"/>
        <v>0</v>
      </c>
      <c r="N316" s="428">
        <f t="shared" si="98"/>
        <v>0</v>
      </c>
      <c r="O316" s="428">
        <f t="shared" si="98"/>
        <v>0</v>
      </c>
      <c r="P316" s="428">
        <f t="shared" si="98"/>
        <v>0</v>
      </c>
      <c r="Q316" s="428">
        <f t="shared" si="98"/>
        <v>0</v>
      </c>
      <c r="R316" s="428">
        <f t="shared" si="98"/>
        <v>0</v>
      </c>
      <c r="S316" s="428">
        <f t="shared" si="98"/>
        <v>1.121381227783794E-2</v>
      </c>
      <c r="T316" s="428">
        <f t="shared" si="98"/>
        <v>8.7531911566129245E-3</v>
      </c>
      <c r="U316" s="428">
        <f t="shared" si="98"/>
        <v>7.446875955400961E-3</v>
      </c>
      <c r="V316" s="428">
        <f t="shared" si="98"/>
        <v>7.2009649387892302E-3</v>
      </c>
      <c r="W316" s="428">
        <f t="shared" si="98"/>
        <v>6.5505590858844507E-3</v>
      </c>
      <c r="X316" s="428">
        <f t="shared" si="98"/>
        <v>0</v>
      </c>
      <c r="Y316" s="428">
        <f t="shared" si="98"/>
        <v>0</v>
      </c>
      <c r="Z316" s="428">
        <f t="shared" si="98"/>
        <v>0</v>
      </c>
      <c r="AA316" s="428">
        <f t="shared" si="98"/>
        <v>0</v>
      </c>
      <c r="AB316" s="428">
        <f t="shared" si="98"/>
        <v>5.8214681131000465E-3</v>
      </c>
      <c r="AC316" s="428">
        <f t="shared" si="98"/>
        <v>0</v>
      </c>
      <c r="AD316" s="428">
        <f t="shared" si="98"/>
        <v>0</v>
      </c>
      <c r="AE316" s="428">
        <f t="shared" si="98"/>
        <v>0</v>
      </c>
      <c r="AF316" s="428">
        <f t="shared" si="98"/>
        <v>0</v>
      </c>
      <c r="AG316" s="428">
        <f t="shared" si="98"/>
        <v>6.2469399693549227E-3</v>
      </c>
      <c r="AH316" s="428">
        <f t="shared" si="98"/>
        <v>6.2469399693549227E-3</v>
      </c>
      <c r="AI316" s="428">
        <f t="shared" si="98"/>
        <v>0</v>
      </c>
      <c r="AJ316" s="428">
        <f t="shared" si="98"/>
        <v>0</v>
      </c>
      <c r="AK316" s="428">
        <f t="shared" si="98"/>
        <v>6.2469399693549227E-3</v>
      </c>
      <c r="AL316" s="428">
        <f t="shared" si="98"/>
        <v>6.2469399693549227E-3</v>
      </c>
      <c r="AM316" s="428">
        <f t="shared" si="98"/>
        <v>0</v>
      </c>
      <c r="AN316" s="428">
        <f t="shared" si="98"/>
        <v>0</v>
      </c>
      <c r="AO316" s="428">
        <f t="shared" si="98"/>
        <v>6.2469399693549227E-3</v>
      </c>
      <c r="AP316" s="428">
        <f t="shared" si="98"/>
        <v>6.2469399693549227E-3</v>
      </c>
    </row>
    <row r="317" spans="5:42" s="160" customFormat="1" x14ac:dyDescent="0.25">
      <c r="F317" s="145" t="s">
        <v>45</v>
      </c>
      <c r="G317" s="145" t="s">
        <v>636</v>
      </c>
      <c r="H317" s="167"/>
      <c r="I317" s="167"/>
      <c r="J317" s="428">
        <f t="shared" ref="J317:AP317" si="99">J282 * J$122</f>
        <v>0</v>
      </c>
      <c r="K317" s="428">
        <f t="shared" si="99"/>
        <v>0</v>
      </c>
      <c r="L317" s="428">
        <f t="shared" si="99"/>
        <v>0</v>
      </c>
      <c r="M317" s="428">
        <f t="shared" si="99"/>
        <v>0</v>
      </c>
      <c r="N317" s="428">
        <f t="shared" si="99"/>
        <v>0</v>
      </c>
      <c r="O317" s="428">
        <f t="shared" si="99"/>
        <v>0</v>
      </c>
      <c r="P317" s="428">
        <f t="shared" si="99"/>
        <v>0</v>
      </c>
      <c r="Q317" s="428">
        <f t="shared" si="99"/>
        <v>0</v>
      </c>
      <c r="R317" s="428">
        <f t="shared" si="99"/>
        <v>0</v>
      </c>
      <c r="S317" s="428">
        <f t="shared" si="99"/>
        <v>1.121381227783794E-2</v>
      </c>
      <c r="T317" s="428">
        <f t="shared" si="99"/>
        <v>8.7531911566129245E-3</v>
      </c>
      <c r="U317" s="428">
        <f t="shared" si="99"/>
        <v>7.446875955400961E-3</v>
      </c>
      <c r="V317" s="428">
        <f t="shared" si="99"/>
        <v>7.2009649387892302E-3</v>
      </c>
      <c r="W317" s="428">
        <f t="shared" si="99"/>
        <v>6.5505590858844507E-3</v>
      </c>
      <c r="X317" s="428">
        <f t="shared" si="99"/>
        <v>0</v>
      </c>
      <c r="Y317" s="428">
        <f t="shared" si="99"/>
        <v>0</v>
      </c>
      <c r="Z317" s="428">
        <f t="shared" si="99"/>
        <v>0</v>
      </c>
      <c r="AA317" s="428">
        <f t="shared" si="99"/>
        <v>0</v>
      </c>
      <c r="AB317" s="428">
        <f t="shared" si="99"/>
        <v>5.8214681131000465E-3</v>
      </c>
      <c r="AC317" s="428">
        <f t="shared" si="99"/>
        <v>0</v>
      </c>
      <c r="AD317" s="428">
        <f t="shared" si="99"/>
        <v>0</v>
      </c>
      <c r="AE317" s="428">
        <f t="shared" si="99"/>
        <v>0</v>
      </c>
      <c r="AF317" s="428">
        <f t="shared" si="99"/>
        <v>0</v>
      </c>
      <c r="AG317" s="428">
        <f t="shared" si="99"/>
        <v>6.2469399693549227E-3</v>
      </c>
      <c r="AH317" s="428">
        <f t="shared" si="99"/>
        <v>6.2469399693549227E-3</v>
      </c>
      <c r="AI317" s="428">
        <f t="shared" si="99"/>
        <v>0</v>
      </c>
      <c r="AJ317" s="428">
        <f t="shared" si="99"/>
        <v>0</v>
      </c>
      <c r="AK317" s="428">
        <f t="shared" si="99"/>
        <v>6.2469399693549227E-3</v>
      </c>
      <c r="AL317" s="428">
        <f t="shared" si="99"/>
        <v>6.2469399693549227E-3</v>
      </c>
      <c r="AM317" s="428">
        <f t="shared" si="99"/>
        <v>0</v>
      </c>
      <c r="AN317" s="428">
        <f t="shared" si="99"/>
        <v>0</v>
      </c>
      <c r="AO317" s="428">
        <f t="shared" si="99"/>
        <v>6.2469399693549227E-3</v>
      </c>
      <c r="AP317" s="428">
        <f t="shared" si="99"/>
        <v>6.2469399693549227E-3</v>
      </c>
    </row>
    <row r="318" spans="5:42" s="160" customFormat="1" x14ac:dyDescent="0.25">
      <c r="F318" s="145" t="s">
        <v>46</v>
      </c>
      <c r="G318" s="145" t="s">
        <v>636</v>
      </c>
      <c r="H318" s="167"/>
      <c r="I318" s="167"/>
      <c r="J318" s="428">
        <f t="shared" ref="J318:AP318" si="100">J283 * J$122</f>
        <v>0</v>
      </c>
      <c r="K318" s="428">
        <f t="shared" si="100"/>
        <v>0</v>
      </c>
      <c r="L318" s="428">
        <f t="shared" si="100"/>
        <v>0</v>
      </c>
      <c r="M318" s="428">
        <f t="shared" si="100"/>
        <v>0</v>
      </c>
      <c r="N318" s="428">
        <f t="shared" si="100"/>
        <v>0</v>
      </c>
      <c r="O318" s="428">
        <f t="shared" si="100"/>
        <v>0</v>
      </c>
      <c r="P318" s="428">
        <f t="shared" si="100"/>
        <v>0</v>
      </c>
      <c r="Q318" s="428">
        <f t="shared" si="100"/>
        <v>0</v>
      </c>
      <c r="R318" s="428">
        <f t="shared" si="100"/>
        <v>0</v>
      </c>
      <c r="S318" s="428">
        <f t="shared" si="100"/>
        <v>6.3657752261901124E-2</v>
      </c>
      <c r="T318" s="428">
        <f t="shared" si="100"/>
        <v>4.9689477614133996E-2</v>
      </c>
      <c r="U318" s="428">
        <f t="shared" si="100"/>
        <v>4.2273882685810504E-2</v>
      </c>
      <c r="V318" s="428">
        <f t="shared" si="100"/>
        <v>4.0877912949017305E-2</v>
      </c>
      <c r="W318" s="428">
        <f t="shared" si="100"/>
        <v>3.7185736405654868E-2</v>
      </c>
      <c r="X318" s="428">
        <f t="shared" si="100"/>
        <v>0</v>
      </c>
      <c r="Y318" s="428">
        <f t="shared" si="100"/>
        <v>0</v>
      </c>
      <c r="Z318" s="428">
        <f t="shared" si="100"/>
        <v>0</v>
      </c>
      <c r="AA318" s="428">
        <f t="shared" si="100"/>
        <v>0</v>
      </c>
      <c r="AB318" s="428">
        <f t="shared" si="100"/>
        <v>3.3046885908431585E-2</v>
      </c>
      <c r="AC318" s="428">
        <f t="shared" si="100"/>
        <v>0</v>
      </c>
      <c r="AD318" s="428">
        <f t="shared" si="100"/>
        <v>0</v>
      </c>
      <c r="AE318" s="428">
        <f t="shared" si="100"/>
        <v>0</v>
      </c>
      <c r="AF318" s="428">
        <f t="shared" si="100"/>
        <v>0</v>
      </c>
      <c r="AG318" s="428">
        <f t="shared" si="100"/>
        <v>3.5462173533088177E-2</v>
      </c>
      <c r="AH318" s="428">
        <f t="shared" si="100"/>
        <v>3.5462173533088177E-2</v>
      </c>
      <c r="AI318" s="428">
        <f t="shared" si="100"/>
        <v>0</v>
      </c>
      <c r="AJ318" s="428">
        <f t="shared" si="100"/>
        <v>0</v>
      </c>
      <c r="AK318" s="428">
        <f t="shared" si="100"/>
        <v>3.5462173533088177E-2</v>
      </c>
      <c r="AL318" s="428">
        <f t="shared" si="100"/>
        <v>3.5462173533088177E-2</v>
      </c>
      <c r="AM318" s="428">
        <f t="shared" si="100"/>
        <v>0</v>
      </c>
      <c r="AN318" s="428">
        <f t="shared" si="100"/>
        <v>0</v>
      </c>
      <c r="AO318" s="428">
        <f t="shared" si="100"/>
        <v>3.5462173533088177E-2</v>
      </c>
      <c r="AP318" s="428">
        <f t="shared" si="100"/>
        <v>3.5462173533088177E-2</v>
      </c>
    </row>
    <row r="319" spans="5:42" s="160" customFormat="1" x14ac:dyDescent="0.25">
      <c r="F319" s="145" t="s">
        <v>47</v>
      </c>
      <c r="G319" s="145" t="s">
        <v>636</v>
      </c>
      <c r="H319" s="167"/>
      <c r="I319" s="167"/>
      <c r="J319" s="428">
        <f t="shared" ref="J319:AP319" si="101">J284 * J$122</f>
        <v>0</v>
      </c>
      <c r="K319" s="428">
        <f t="shared" si="101"/>
        <v>0</v>
      </c>
      <c r="L319" s="428">
        <f t="shared" si="101"/>
        <v>0</v>
      </c>
      <c r="M319" s="428">
        <f t="shared" si="101"/>
        <v>0</v>
      </c>
      <c r="N319" s="428">
        <f t="shared" si="101"/>
        <v>0</v>
      </c>
      <c r="O319" s="428">
        <f t="shared" si="101"/>
        <v>0</v>
      </c>
      <c r="P319" s="428">
        <f t="shared" si="101"/>
        <v>0</v>
      </c>
      <c r="Q319" s="428">
        <f t="shared" si="101"/>
        <v>0</v>
      </c>
      <c r="R319" s="428">
        <f t="shared" si="101"/>
        <v>0</v>
      </c>
      <c r="S319" s="428">
        <f t="shared" si="101"/>
        <v>6.3657752261901124E-2</v>
      </c>
      <c r="T319" s="428">
        <f t="shared" si="101"/>
        <v>4.9689477614133996E-2</v>
      </c>
      <c r="U319" s="428">
        <f t="shared" si="101"/>
        <v>4.2273882685810504E-2</v>
      </c>
      <c r="V319" s="428">
        <f t="shared" si="101"/>
        <v>4.0877912949017305E-2</v>
      </c>
      <c r="W319" s="428">
        <f t="shared" si="101"/>
        <v>3.7185736405654868E-2</v>
      </c>
      <c r="X319" s="428">
        <f t="shared" si="101"/>
        <v>0</v>
      </c>
      <c r="Y319" s="428">
        <f t="shared" si="101"/>
        <v>0</v>
      </c>
      <c r="Z319" s="428">
        <f t="shared" si="101"/>
        <v>0</v>
      </c>
      <c r="AA319" s="428">
        <f t="shared" si="101"/>
        <v>0</v>
      </c>
      <c r="AB319" s="428">
        <f t="shared" si="101"/>
        <v>3.3046885908431585E-2</v>
      </c>
      <c r="AC319" s="428">
        <f t="shared" si="101"/>
        <v>0</v>
      </c>
      <c r="AD319" s="428">
        <f t="shared" si="101"/>
        <v>0</v>
      </c>
      <c r="AE319" s="428">
        <f t="shared" si="101"/>
        <v>0</v>
      </c>
      <c r="AF319" s="428">
        <f t="shared" si="101"/>
        <v>0</v>
      </c>
      <c r="AG319" s="428">
        <f t="shared" si="101"/>
        <v>3.5462173533088177E-2</v>
      </c>
      <c r="AH319" s="428">
        <f t="shared" si="101"/>
        <v>3.5462173533088177E-2</v>
      </c>
      <c r="AI319" s="428">
        <f t="shared" si="101"/>
        <v>0</v>
      </c>
      <c r="AJ319" s="428">
        <f t="shared" si="101"/>
        <v>0</v>
      </c>
      <c r="AK319" s="428">
        <f t="shared" si="101"/>
        <v>3.5462173533088177E-2</v>
      </c>
      <c r="AL319" s="428">
        <f t="shared" si="101"/>
        <v>3.5462173533088177E-2</v>
      </c>
      <c r="AM319" s="428">
        <f t="shared" si="101"/>
        <v>0</v>
      </c>
      <c r="AN319" s="428">
        <f t="shared" si="101"/>
        <v>0</v>
      </c>
      <c r="AO319" s="428">
        <f t="shared" si="101"/>
        <v>3.5462173533088177E-2</v>
      </c>
      <c r="AP319" s="428">
        <f t="shared" si="101"/>
        <v>3.5462173533088177E-2</v>
      </c>
    </row>
    <row r="320" spans="5:42" s="160" customFormat="1" x14ac:dyDescent="0.25">
      <c r="F320" s="145" t="s">
        <v>51</v>
      </c>
      <c r="G320" s="145" t="s">
        <v>636</v>
      </c>
      <c r="H320" s="167"/>
      <c r="I320" s="167"/>
      <c r="J320" s="428">
        <f t="shared" ref="J320:AP320" si="102">J285 * J$122</f>
        <v>0</v>
      </c>
      <c r="K320" s="428">
        <f t="shared" si="102"/>
        <v>0</v>
      </c>
      <c r="L320" s="428">
        <f t="shared" si="102"/>
        <v>0</v>
      </c>
      <c r="M320" s="428">
        <f t="shared" si="102"/>
        <v>0</v>
      </c>
      <c r="N320" s="428">
        <f t="shared" si="102"/>
        <v>0</v>
      </c>
      <c r="O320" s="428">
        <f t="shared" si="102"/>
        <v>0</v>
      </c>
      <c r="P320" s="428">
        <f t="shared" si="102"/>
        <v>0</v>
      </c>
      <c r="Q320" s="428">
        <f t="shared" si="102"/>
        <v>0</v>
      </c>
      <c r="R320" s="428">
        <f t="shared" si="102"/>
        <v>0</v>
      </c>
      <c r="S320" s="428">
        <f t="shared" si="102"/>
        <v>0</v>
      </c>
      <c r="T320" s="428">
        <f t="shared" si="102"/>
        <v>0</v>
      </c>
      <c r="U320" s="428">
        <f t="shared" si="102"/>
        <v>0</v>
      </c>
      <c r="V320" s="428">
        <f t="shared" si="102"/>
        <v>0</v>
      </c>
      <c r="W320" s="428">
        <f t="shared" si="102"/>
        <v>0</v>
      </c>
      <c r="X320" s="428">
        <f t="shared" si="102"/>
        <v>0</v>
      </c>
      <c r="Y320" s="428">
        <f t="shared" si="102"/>
        <v>0</v>
      </c>
      <c r="Z320" s="428">
        <f t="shared" si="102"/>
        <v>0</v>
      </c>
      <c r="AA320" s="428">
        <f t="shared" si="102"/>
        <v>0</v>
      </c>
      <c r="AB320" s="428">
        <f t="shared" si="102"/>
        <v>0</v>
      </c>
      <c r="AC320" s="428">
        <f t="shared" si="102"/>
        <v>0</v>
      </c>
      <c r="AD320" s="428">
        <f t="shared" si="102"/>
        <v>0</v>
      </c>
      <c r="AE320" s="428">
        <f t="shared" si="102"/>
        <v>0</v>
      </c>
      <c r="AF320" s="428">
        <f t="shared" si="102"/>
        <v>0</v>
      </c>
      <c r="AG320" s="428">
        <f t="shared" si="102"/>
        <v>0</v>
      </c>
      <c r="AH320" s="428">
        <f t="shared" si="102"/>
        <v>0</v>
      </c>
      <c r="AI320" s="428">
        <f t="shared" si="102"/>
        <v>0</v>
      </c>
      <c r="AJ320" s="428">
        <f t="shared" si="102"/>
        <v>0</v>
      </c>
      <c r="AK320" s="428">
        <f t="shared" si="102"/>
        <v>0</v>
      </c>
      <c r="AL320" s="428">
        <f t="shared" si="102"/>
        <v>0</v>
      </c>
      <c r="AM320" s="428">
        <f t="shared" si="102"/>
        <v>0</v>
      </c>
      <c r="AN320" s="428">
        <f t="shared" si="102"/>
        <v>0</v>
      </c>
      <c r="AO320" s="428">
        <f t="shared" si="102"/>
        <v>0</v>
      </c>
      <c r="AP320" s="428">
        <f t="shared" si="102"/>
        <v>0</v>
      </c>
    </row>
    <row r="321" spans="2:44" s="160" customFormat="1" x14ac:dyDescent="0.25">
      <c r="F321" s="145" t="s">
        <v>48</v>
      </c>
      <c r="G321" s="145" t="s">
        <v>636</v>
      </c>
      <c r="H321" s="167"/>
      <c r="I321" s="167"/>
      <c r="J321" s="428">
        <f t="shared" ref="J321:AP321" si="103">J286 * J$122</f>
        <v>0</v>
      </c>
      <c r="K321" s="428">
        <f t="shared" si="103"/>
        <v>0</v>
      </c>
      <c r="L321" s="428">
        <f t="shared" si="103"/>
        <v>0</v>
      </c>
      <c r="M321" s="428">
        <f t="shared" si="103"/>
        <v>0</v>
      </c>
      <c r="N321" s="428">
        <f t="shared" si="103"/>
        <v>0</v>
      </c>
      <c r="O321" s="428">
        <f t="shared" si="103"/>
        <v>0</v>
      </c>
      <c r="P321" s="428">
        <f t="shared" si="103"/>
        <v>0</v>
      </c>
      <c r="Q321" s="428">
        <f t="shared" si="103"/>
        <v>0</v>
      </c>
      <c r="R321" s="428">
        <f t="shared" si="103"/>
        <v>0</v>
      </c>
      <c r="S321" s="428">
        <f t="shared" si="103"/>
        <v>0.13866732941796975</v>
      </c>
      <c r="T321" s="428">
        <f t="shared" si="103"/>
        <v>0.10823987520919381</v>
      </c>
      <c r="U321" s="428">
        <f t="shared" si="103"/>
        <v>9.2086292837554012E-2</v>
      </c>
      <c r="V321" s="428">
        <f t="shared" si="103"/>
        <v>8.904541582774364E-2</v>
      </c>
      <c r="W321" s="428">
        <f t="shared" si="103"/>
        <v>8.1002652098020184E-2</v>
      </c>
      <c r="X321" s="428">
        <f t="shared" si="103"/>
        <v>0</v>
      </c>
      <c r="Y321" s="428">
        <f t="shared" si="103"/>
        <v>0</v>
      </c>
      <c r="Z321" s="428">
        <f t="shared" si="103"/>
        <v>0</v>
      </c>
      <c r="AA321" s="428">
        <f t="shared" si="103"/>
        <v>0</v>
      </c>
      <c r="AB321" s="428">
        <f t="shared" si="103"/>
        <v>7.1986886933253599E-2</v>
      </c>
      <c r="AC321" s="428">
        <f t="shared" si="103"/>
        <v>0</v>
      </c>
      <c r="AD321" s="428">
        <f t="shared" si="103"/>
        <v>0</v>
      </c>
      <c r="AE321" s="428">
        <f t="shared" si="103"/>
        <v>0</v>
      </c>
      <c r="AF321" s="428">
        <f t="shared" si="103"/>
        <v>0</v>
      </c>
      <c r="AG321" s="428">
        <f t="shared" si="103"/>
        <v>7.7248170481398148E-2</v>
      </c>
      <c r="AH321" s="428">
        <f t="shared" si="103"/>
        <v>7.7248170481398148E-2</v>
      </c>
      <c r="AI321" s="428">
        <f t="shared" si="103"/>
        <v>0</v>
      </c>
      <c r="AJ321" s="428">
        <f t="shared" si="103"/>
        <v>0</v>
      </c>
      <c r="AK321" s="428">
        <f t="shared" si="103"/>
        <v>7.7248170481398148E-2</v>
      </c>
      <c r="AL321" s="428">
        <f t="shared" si="103"/>
        <v>7.7248170481398148E-2</v>
      </c>
      <c r="AM321" s="428">
        <f t="shared" si="103"/>
        <v>0</v>
      </c>
      <c r="AN321" s="428">
        <f t="shared" si="103"/>
        <v>0</v>
      </c>
      <c r="AO321" s="428">
        <f t="shared" si="103"/>
        <v>7.7248170481398148E-2</v>
      </c>
      <c r="AP321" s="428">
        <f t="shared" si="103"/>
        <v>7.7248170481398148E-2</v>
      </c>
    </row>
    <row r="322" spans="2:44" s="160" customFormat="1" x14ac:dyDescent="0.25">
      <c r="F322" s="145" t="s">
        <v>49</v>
      </c>
      <c r="G322" s="145" t="s">
        <v>636</v>
      </c>
      <c r="H322" s="167"/>
      <c r="I322" s="167"/>
      <c r="J322" s="428">
        <f t="shared" ref="J322:AP322" si="104">J287 * J$122</f>
        <v>0</v>
      </c>
      <c r="K322" s="428">
        <f t="shared" si="104"/>
        <v>0</v>
      </c>
      <c r="L322" s="428">
        <f t="shared" si="104"/>
        <v>0</v>
      </c>
      <c r="M322" s="428">
        <f t="shared" si="104"/>
        <v>0</v>
      </c>
      <c r="N322" s="428">
        <f t="shared" si="104"/>
        <v>0</v>
      </c>
      <c r="O322" s="428">
        <f t="shared" si="104"/>
        <v>0</v>
      </c>
      <c r="P322" s="428">
        <f t="shared" si="104"/>
        <v>0</v>
      </c>
      <c r="Q322" s="428">
        <f t="shared" si="104"/>
        <v>0</v>
      </c>
      <c r="R322" s="428">
        <f t="shared" si="104"/>
        <v>0</v>
      </c>
      <c r="S322" s="428">
        <f t="shared" si="104"/>
        <v>0.13866732941796975</v>
      </c>
      <c r="T322" s="428">
        <f t="shared" si="104"/>
        <v>0.10823987520919381</v>
      </c>
      <c r="U322" s="428">
        <f t="shared" si="104"/>
        <v>9.2086292837554012E-2</v>
      </c>
      <c r="V322" s="428">
        <f t="shared" si="104"/>
        <v>8.904541582774364E-2</v>
      </c>
      <c r="W322" s="428">
        <f t="shared" si="104"/>
        <v>8.1002652098020184E-2</v>
      </c>
      <c r="X322" s="428">
        <f t="shared" si="104"/>
        <v>0</v>
      </c>
      <c r="Y322" s="428">
        <f t="shared" si="104"/>
        <v>0</v>
      </c>
      <c r="Z322" s="428">
        <f t="shared" si="104"/>
        <v>0</v>
      </c>
      <c r="AA322" s="428">
        <f t="shared" si="104"/>
        <v>0</v>
      </c>
      <c r="AB322" s="428">
        <f t="shared" si="104"/>
        <v>7.1986886933253599E-2</v>
      </c>
      <c r="AC322" s="428">
        <f t="shared" si="104"/>
        <v>0</v>
      </c>
      <c r="AD322" s="428">
        <f t="shared" si="104"/>
        <v>0</v>
      </c>
      <c r="AE322" s="428">
        <f t="shared" si="104"/>
        <v>0</v>
      </c>
      <c r="AF322" s="428">
        <f t="shared" si="104"/>
        <v>0</v>
      </c>
      <c r="AG322" s="428">
        <f t="shared" si="104"/>
        <v>7.7248170481398148E-2</v>
      </c>
      <c r="AH322" s="428">
        <f t="shared" si="104"/>
        <v>7.7248170481398148E-2</v>
      </c>
      <c r="AI322" s="428">
        <f t="shared" si="104"/>
        <v>0</v>
      </c>
      <c r="AJ322" s="428">
        <f t="shared" si="104"/>
        <v>0</v>
      </c>
      <c r="AK322" s="428">
        <f t="shared" si="104"/>
        <v>7.7248170481398148E-2</v>
      </c>
      <c r="AL322" s="428">
        <f t="shared" si="104"/>
        <v>7.7248170481398148E-2</v>
      </c>
      <c r="AM322" s="428">
        <f t="shared" si="104"/>
        <v>0</v>
      </c>
      <c r="AN322" s="428">
        <f t="shared" si="104"/>
        <v>0</v>
      </c>
      <c r="AO322" s="428">
        <f t="shared" si="104"/>
        <v>7.7248170481398148E-2</v>
      </c>
      <c r="AP322" s="428">
        <f t="shared" si="104"/>
        <v>7.7248170481398148E-2</v>
      </c>
    </row>
    <row r="323" spans="2:44" s="160" customFormat="1" x14ac:dyDescent="0.25">
      <c r="F323" s="38" t="s">
        <v>50</v>
      </c>
      <c r="G323" s="38" t="s">
        <v>636</v>
      </c>
      <c r="H323" s="168"/>
      <c r="I323" s="168"/>
      <c r="J323" s="432">
        <f t="shared" ref="J323:AP323" si="105">J288 * J$122</f>
        <v>0</v>
      </c>
      <c r="K323" s="432">
        <f t="shared" si="105"/>
        <v>0</v>
      </c>
      <c r="L323" s="432">
        <f t="shared" si="105"/>
        <v>0</v>
      </c>
      <c r="M323" s="432">
        <f t="shared" si="105"/>
        <v>0</v>
      </c>
      <c r="N323" s="432">
        <f t="shared" si="105"/>
        <v>0</v>
      </c>
      <c r="O323" s="432">
        <f t="shared" si="105"/>
        <v>0</v>
      </c>
      <c r="P323" s="432">
        <f t="shared" si="105"/>
        <v>0</v>
      </c>
      <c r="Q323" s="432">
        <f t="shared" si="105"/>
        <v>0</v>
      </c>
      <c r="R323" s="432">
        <f t="shared" si="105"/>
        <v>0</v>
      </c>
      <c r="S323" s="432">
        <f t="shared" si="105"/>
        <v>0.13866732941796975</v>
      </c>
      <c r="T323" s="432">
        <f t="shared" si="105"/>
        <v>0.10823987520919381</v>
      </c>
      <c r="U323" s="432">
        <f t="shared" si="105"/>
        <v>9.2086292837554012E-2</v>
      </c>
      <c r="V323" s="432">
        <f t="shared" si="105"/>
        <v>8.904541582774364E-2</v>
      </c>
      <c r="W323" s="432">
        <f t="shared" si="105"/>
        <v>8.1002652098020184E-2</v>
      </c>
      <c r="X323" s="432">
        <f t="shared" si="105"/>
        <v>0</v>
      </c>
      <c r="Y323" s="432">
        <f t="shared" si="105"/>
        <v>0</v>
      </c>
      <c r="Z323" s="432">
        <f t="shared" si="105"/>
        <v>0</v>
      </c>
      <c r="AA323" s="432">
        <f t="shared" si="105"/>
        <v>0</v>
      </c>
      <c r="AB323" s="432">
        <f t="shared" si="105"/>
        <v>7.1986886933253599E-2</v>
      </c>
      <c r="AC323" s="432">
        <f t="shared" si="105"/>
        <v>0</v>
      </c>
      <c r="AD323" s="432">
        <f t="shared" si="105"/>
        <v>0</v>
      </c>
      <c r="AE323" s="432">
        <f t="shared" si="105"/>
        <v>0</v>
      </c>
      <c r="AF323" s="432">
        <f t="shared" si="105"/>
        <v>0</v>
      </c>
      <c r="AG323" s="432">
        <f t="shared" si="105"/>
        <v>7.7248170481398148E-2</v>
      </c>
      <c r="AH323" s="432">
        <f t="shared" si="105"/>
        <v>7.7248170481398148E-2</v>
      </c>
      <c r="AI323" s="432">
        <f t="shared" si="105"/>
        <v>0</v>
      </c>
      <c r="AJ323" s="432">
        <f t="shared" si="105"/>
        <v>0</v>
      </c>
      <c r="AK323" s="432">
        <f t="shared" si="105"/>
        <v>7.7248170481398148E-2</v>
      </c>
      <c r="AL323" s="432">
        <f t="shared" si="105"/>
        <v>7.7248170481398148E-2</v>
      </c>
      <c r="AM323" s="432">
        <f t="shared" si="105"/>
        <v>0</v>
      </c>
      <c r="AN323" s="432">
        <f t="shared" si="105"/>
        <v>0</v>
      </c>
      <c r="AO323" s="432">
        <f t="shared" si="105"/>
        <v>7.7248170481398148E-2</v>
      </c>
      <c r="AP323" s="432">
        <f t="shared" si="105"/>
        <v>7.7248170481398148E-2</v>
      </c>
    </row>
    <row r="324" spans="2:44" s="160" customFormat="1" x14ac:dyDescent="0.25">
      <c r="J324" s="416"/>
      <c r="K324" s="416"/>
      <c r="L324" s="416"/>
      <c r="M324" s="416"/>
      <c r="N324" s="416"/>
      <c r="O324" s="416"/>
      <c r="P324" s="416"/>
      <c r="Q324" s="416"/>
      <c r="R324" s="416"/>
      <c r="S324" s="416"/>
      <c r="T324" s="416"/>
      <c r="U324" s="416"/>
      <c r="V324" s="416"/>
      <c r="W324" s="416"/>
      <c r="X324" s="444"/>
      <c r="Y324" s="444"/>
      <c r="Z324" s="444"/>
      <c r="AA324" s="444"/>
      <c r="AB324" s="444"/>
      <c r="AC324" s="444"/>
      <c r="AD324" s="444"/>
      <c r="AE324" s="444"/>
      <c r="AF324" s="444"/>
      <c r="AG324" s="444"/>
      <c r="AH324" s="444"/>
      <c r="AI324" s="444"/>
      <c r="AJ324" s="444"/>
      <c r="AK324" s="444"/>
      <c r="AL324" s="444"/>
      <c r="AM324" s="444"/>
      <c r="AN324" s="444"/>
      <c r="AO324" s="444"/>
      <c r="AP324" s="444"/>
    </row>
    <row r="325" spans="2:44" s="338" customFormat="1" x14ac:dyDescent="0.25">
      <c r="B325" s="171" t="s">
        <v>914</v>
      </c>
      <c r="C325" s="171"/>
      <c r="D325" s="171"/>
      <c r="E325" s="171"/>
      <c r="F325" s="171"/>
      <c r="G325" s="171"/>
      <c r="H325" s="171"/>
      <c r="I325" s="135"/>
      <c r="J325" s="447"/>
      <c r="K325" s="447"/>
      <c r="L325" s="447"/>
      <c r="M325" s="447"/>
      <c r="N325" s="447"/>
      <c r="O325" s="447"/>
      <c r="P325" s="447"/>
      <c r="Q325" s="447"/>
      <c r="R325" s="447"/>
      <c r="S325" s="447"/>
      <c r="T325" s="447"/>
      <c r="U325" s="447"/>
      <c r="V325" s="447"/>
      <c r="W325" s="447"/>
      <c r="X325" s="447"/>
      <c r="Y325" s="447"/>
      <c r="Z325" s="447"/>
      <c r="AA325" s="447"/>
      <c r="AB325" s="447"/>
      <c r="AC325" s="447"/>
      <c r="AD325" s="447"/>
      <c r="AE325" s="447"/>
      <c r="AF325" s="447"/>
      <c r="AG325" s="447"/>
      <c r="AH325" s="447"/>
      <c r="AI325" s="447"/>
      <c r="AJ325" s="447"/>
      <c r="AK325" s="447"/>
      <c r="AL325" s="447"/>
      <c r="AM325" s="447"/>
      <c r="AN325" s="447"/>
      <c r="AO325" s="447"/>
      <c r="AP325" s="447"/>
      <c r="AQ325" s="135"/>
      <c r="AR325" s="135"/>
    </row>
    <row r="326" spans="2:44" s="338" customFormat="1" x14ac:dyDescent="0.25">
      <c r="F326" s="35"/>
      <c r="G326" s="35"/>
      <c r="J326" s="416"/>
      <c r="K326" s="416"/>
      <c r="L326" s="416"/>
      <c r="M326" s="416"/>
      <c r="N326" s="416"/>
      <c r="O326" s="416"/>
      <c r="P326" s="416"/>
      <c r="Q326" s="416"/>
      <c r="R326" s="416"/>
      <c r="S326" s="416"/>
      <c r="T326" s="416"/>
      <c r="U326" s="416"/>
      <c r="V326" s="416"/>
      <c r="W326" s="416"/>
      <c r="X326" s="416"/>
      <c r="Y326" s="416"/>
      <c r="Z326" s="416"/>
      <c r="AA326" s="416"/>
      <c r="AB326" s="416"/>
      <c r="AC326" s="416"/>
      <c r="AD326" s="416"/>
      <c r="AE326" s="416"/>
      <c r="AF326" s="416"/>
      <c r="AG326" s="416"/>
      <c r="AH326" s="416"/>
      <c r="AI326" s="416"/>
      <c r="AJ326" s="416"/>
      <c r="AK326" s="416"/>
      <c r="AL326" s="416"/>
      <c r="AM326" s="416"/>
      <c r="AN326" s="416"/>
      <c r="AO326" s="416"/>
      <c r="AP326" s="416"/>
    </row>
    <row r="327" spans="2:44" s="338" customFormat="1" x14ac:dyDescent="0.25">
      <c r="C327" s="152" t="s">
        <v>965</v>
      </c>
      <c r="D327" s="152"/>
      <c r="E327" s="172"/>
      <c r="I327" s="163" t="s">
        <v>525</v>
      </c>
      <c r="J327" s="401"/>
      <c r="K327" s="401"/>
      <c r="L327" s="401"/>
      <c r="M327" s="401"/>
      <c r="N327" s="401"/>
      <c r="O327" s="401"/>
      <c r="P327" s="401"/>
      <c r="Q327" s="401"/>
      <c r="R327" s="401"/>
      <c r="S327" s="401"/>
      <c r="T327" s="401"/>
      <c r="U327" s="401"/>
      <c r="V327" s="401"/>
      <c r="W327" s="401"/>
      <c r="X327" s="401"/>
      <c r="Y327" s="401"/>
      <c r="Z327" s="401"/>
      <c r="AA327" s="401"/>
      <c r="AB327" s="401"/>
      <c r="AC327" s="401"/>
      <c r="AD327" s="401"/>
      <c r="AE327" s="401"/>
      <c r="AF327" s="401"/>
      <c r="AG327" s="401"/>
      <c r="AH327" s="401"/>
      <c r="AI327" s="401"/>
      <c r="AJ327" s="401"/>
      <c r="AK327" s="401"/>
      <c r="AL327" s="401"/>
      <c r="AM327" s="401"/>
      <c r="AN327" s="401"/>
      <c r="AO327" s="401"/>
      <c r="AP327" s="401"/>
      <c r="AR327" s="338" t="s">
        <v>966</v>
      </c>
    </row>
    <row r="328" spans="2:44" s="338" customFormat="1" x14ac:dyDescent="0.25">
      <c r="C328" s="152" t="s">
        <v>551</v>
      </c>
      <c r="D328" s="152"/>
      <c r="E328" s="172"/>
      <c r="J328" s="401"/>
      <c r="K328" s="401"/>
      <c r="L328" s="401"/>
      <c r="M328" s="401"/>
      <c r="N328" s="401"/>
      <c r="O328" s="401"/>
      <c r="P328" s="401"/>
      <c r="Q328" s="401"/>
      <c r="R328" s="401"/>
      <c r="S328" s="401"/>
      <c r="T328" s="401"/>
      <c r="U328" s="401"/>
      <c r="V328" s="401"/>
      <c r="W328" s="401"/>
      <c r="X328" s="401"/>
      <c r="Y328" s="401"/>
      <c r="Z328" s="401"/>
      <c r="AA328" s="401"/>
      <c r="AB328" s="401"/>
      <c r="AC328" s="401"/>
      <c r="AD328" s="401"/>
      <c r="AE328" s="401"/>
      <c r="AF328" s="401"/>
      <c r="AG328" s="401"/>
      <c r="AH328" s="401"/>
      <c r="AI328" s="401"/>
      <c r="AJ328" s="401"/>
      <c r="AK328" s="401"/>
      <c r="AL328" s="401"/>
      <c r="AM328" s="401"/>
      <c r="AN328" s="401"/>
      <c r="AO328" s="401"/>
      <c r="AP328" s="401"/>
    </row>
    <row r="329" spans="2:44" s="338" customFormat="1" x14ac:dyDescent="0.25">
      <c r="C329" s="152"/>
      <c r="D329" s="202" t="s">
        <v>554</v>
      </c>
      <c r="E329" s="202"/>
      <c r="J329" s="401"/>
      <c r="K329" s="401"/>
      <c r="L329" s="401"/>
      <c r="M329" s="401"/>
      <c r="N329" s="401"/>
      <c r="O329" s="401"/>
      <c r="P329" s="401"/>
      <c r="Q329" s="401"/>
      <c r="R329" s="401"/>
      <c r="S329" s="401"/>
      <c r="T329" s="401"/>
      <c r="U329" s="401"/>
      <c r="V329" s="401"/>
      <c r="W329" s="401"/>
      <c r="X329" s="401"/>
      <c r="Y329" s="401"/>
      <c r="Z329" s="401"/>
      <c r="AA329" s="401"/>
      <c r="AB329" s="401"/>
      <c r="AC329" s="401"/>
      <c r="AD329" s="401"/>
      <c r="AE329" s="401"/>
      <c r="AF329" s="401"/>
      <c r="AG329" s="401"/>
      <c r="AH329" s="401"/>
      <c r="AI329" s="401"/>
      <c r="AJ329" s="401"/>
      <c r="AK329" s="401"/>
      <c r="AL329" s="401"/>
      <c r="AM329" s="401"/>
      <c r="AN329" s="401"/>
      <c r="AO329" s="401"/>
      <c r="AP329" s="401"/>
    </row>
    <row r="330" spans="2:44" s="338" customFormat="1" x14ac:dyDescent="0.25">
      <c r="C330" s="152"/>
      <c r="D330" s="202" t="s">
        <v>555</v>
      </c>
      <c r="E330" s="202"/>
      <c r="J330" s="401"/>
      <c r="K330" s="401"/>
      <c r="L330" s="401"/>
      <c r="M330" s="401"/>
      <c r="N330" s="401"/>
      <c r="O330" s="401"/>
      <c r="P330" s="401"/>
      <c r="Q330" s="401"/>
      <c r="R330" s="401"/>
      <c r="S330" s="401"/>
      <c r="T330" s="401"/>
      <c r="U330" s="401"/>
      <c r="V330" s="401"/>
      <c r="W330" s="401"/>
      <c r="X330" s="401"/>
      <c r="Y330" s="401"/>
      <c r="Z330" s="401"/>
      <c r="AA330" s="401"/>
      <c r="AB330" s="401"/>
      <c r="AC330" s="401"/>
      <c r="AD330" s="401"/>
      <c r="AE330" s="401"/>
      <c r="AF330" s="401"/>
      <c r="AG330" s="401"/>
      <c r="AH330" s="401"/>
      <c r="AI330" s="401"/>
      <c r="AJ330" s="401"/>
      <c r="AK330" s="401"/>
      <c r="AL330" s="401"/>
      <c r="AM330" s="401"/>
      <c r="AN330" s="401"/>
      <c r="AO330" s="401"/>
      <c r="AP330" s="401"/>
    </row>
    <row r="331" spans="2:44" s="338" customFormat="1" x14ac:dyDescent="0.25">
      <c r="C331" s="152"/>
      <c r="D331" s="202" t="s">
        <v>553</v>
      </c>
      <c r="E331" s="202"/>
      <c r="J331" s="401"/>
      <c r="K331" s="401"/>
      <c r="L331" s="401"/>
      <c r="M331" s="401"/>
      <c r="N331" s="401"/>
      <c r="O331" s="401"/>
      <c r="P331" s="401"/>
      <c r="Q331" s="401"/>
      <c r="R331" s="401"/>
      <c r="S331" s="401"/>
      <c r="T331" s="401"/>
      <c r="U331" s="401"/>
      <c r="V331" s="401"/>
      <c r="W331" s="401"/>
      <c r="X331" s="401"/>
      <c r="Y331" s="401"/>
      <c r="Z331" s="401"/>
      <c r="AA331" s="401"/>
      <c r="AB331" s="401"/>
      <c r="AC331" s="401"/>
      <c r="AD331" s="401"/>
      <c r="AE331" s="401"/>
      <c r="AF331" s="401"/>
      <c r="AG331" s="401"/>
      <c r="AH331" s="401"/>
      <c r="AI331" s="401"/>
      <c r="AJ331" s="401"/>
      <c r="AK331" s="401"/>
      <c r="AL331" s="401"/>
      <c r="AM331" s="401"/>
      <c r="AN331" s="401"/>
      <c r="AO331" s="401"/>
      <c r="AP331" s="401"/>
    </row>
    <row r="332" spans="2:44" s="338" customFormat="1" x14ac:dyDescent="0.25">
      <c r="C332" s="152"/>
      <c r="D332" s="202" t="s">
        <v>552</v>
      </c>
      <c r="E332" s="202"/>
      <c r="J332" s="401"/>
      <c r="K332" s="401"/>
      <c r="L332" s="401"/>
      <c r="M332" s="401"/>
      <c r="N332" s="401"/>
      <c r="O332" s="401"/>
      <c r="P332" s="401"/>
      <c r="Q332" s="401"/>
      <c r="R332" s="401"/>
      <c r="S332" s="401"/>
      <c r="T332" s="401"/>
      <c r="U332" s="401"/>
      <c r="V332" s="401"/>
      <c r="W332" s="401"/>
      <c r="X332" s="401"/>
      <c r="Y332" s="401"/>
      <c r="Z332" s="401"/>
      <c r="AA332" s="401"/>
      <c r="AB332" s="401"/>
      <c r="AC332" s="401"/>
      <c r="AD332" s="401"/>
      <c r="AE332" s="401"/>
      <c r="AF332" s="401"/>
      <c r="AG332" s="401"/>
      <c r="AH332" s="401"/>
      <c r="AI332" s="401"/>
      <c r="AJ332" s="401"/>
      <c r="AK332" s="401"/>
      <c r="AL332" s="401"/>
      <c r="AM332" s="401"/>
      <c r="AN332" s="401"/>
      <c r="AO332" s="401"/>
      <c r="AP332" s="401"/>
    </row>
    <row r="333" spans="2:44" s="338" customFormat="1" x14ac:dyDescent="0.25">
      <c r="C333" s="152" t="s">
        <v>550</v>
      </c>
      <c r="D333" s="152"/>
      <c r="E333" s="172"/>
      <c r="J333" s="401"/>
      <c r="K333" s="401"/>
      <c r="L333" s="401"/>
      <c r="M333" s="401"/>
      <c r="N333" s="401"/>
      <c r="O333" s="401"/>
      <c r="P333" s="401"/>
      <c r="Q333" s="401"/>
      <c r="R333" s="401"/>
      <c r="S333" s="401"/>
      <c r="T333" s="401"/>
      <c r="U333" s="401"/>
      <c r="V333" s="401"/>
      <c r="W333" s="401"/>
      <c r="X333" s="401"/>
      <c r="Y333" s="401"/>
      <c r="Z333" s="401"/>
      <c r="AA333" s="401"/>
      <c r="AB333" s="401"/>
      <c r="AC333" s="401"/>
      <c r="AD333" s="401"/>
      <c r="AE333" s="401"/>
      <c r="AF333" s="401"/>
      <c r="AG333" s="401"/>
      <c r="AH333" s="401"/>
      <c r="AI333" s="401"/>
      <c r="AJ333" s="401"/>
      <c r="AK333" s="401"/>
      <c r="AL333" s="401"/>
      <c r="AM333" s="401"/>
      <c r="AN333" s="401"/>
      <c r="AO333" s="401"/>
      <c r="AP333" s="401"/>
    </row>
    <row r="334" spans="2:44" s="338" customFormat="1" x14ac:dyDescent="0.25">
      <c r="F334" s="35"/>
      <c r="G334" s="35"/>
      <c r="J334" s="401"/>
      <c r="K334" s="401"/>
      <c r="L334" s="401"/>
      <c r="M334" s="401"/>
      <c r="N334" s="401"/>
      <c r="O334" s="401"/>
      <c r="P334" s="401"/>
      <c r="Q334" s="401"/>
      <c r="R334" s="401"/>
      <c r="S334" s="401"/>
      <c r="T334" s="401"/>
      <c r="U334" s="416"/>
      <c r="V334" s="416"/>
      <c r="W334" s="416"/>
      <c r="X334" s="416"/>
      <c r="Y334" s="416"/>
      <c r="Z334" s="416"/>
      <c r="AA334" s="416"/>
      <c r="AB334" s="416"/>
      <c r="AC334" s="416"/>
      <c r="AD334" s="416"/>
      <c r="AE334" s="416"/>
      <c r="AF334" s="416"/>
      <c r="AG334" s="416"/>
      <c r="AH334" s="416"/>
      <c r="AI334" s="416"/>
      <c r="AJ334" s="416"/>
      <c r="AK334" s="416"/>
      <c r="AL334" s="416"/>
      <c r="AM334" s="416"/>
      <c r="AN334" s="416"/>
      <c r="AO334" s="416"/>
      <c r="AP334" s="416"/>
    </row>
    <row r="335" spans="2:44" s="338" customFormat="1" x14ac:dyDescent="0.25">
      <c r="C335" s="22" t="str">
        <f ca="1">INDEX('Version control'!$H$34:$H$59,MATCH($A$1,'Version control'!$F$34:$F$59,0),1)&amp;"-L: Peak load based on average pseudo load coefficient"</f>
        <v>Section 508-L: Peak load based on average pseudo load coefficient</v>
      </c>
      <c r="D335" s="22"/>
      <c r="E335" s="22"/>
      <c r="F335" s="22"/>
      <c r="G335" s="22"/>
      <c r="H335" s="22"/>
      <c r="I335" s="22"/>
      <c r="J335" s="406"/>
      <c r="K335" s="406"/>
      <c r="L335" s="406"/>
      <c r="M335" s="406"/>
      <c r="N335" s="406"/>
      <c r="O335" s="406"/>
      <c r="P335" s="406"/>
      <c r="Q335" s="406"/>
      <c r="R335" s="406"/>
      <c r="S335" s="406"/>
      <c r="T335" s="406"/>
      <c r="U335" s="406"/>
      <c r="V335" s="406"/>
      <c r="W335" s="406"/>
      <c r="X335" s="406"/>
      <c r="Y335" s="406"/>
      <c r="Z335" s="406"/>
      <c r="AA335" s="406"/>
      <c r="AB335" s="406"/>
      <c r="AC335" s="406"/>
      <c r="AD335" s="406"/>
      <c r="AE335" s="406"/>
      <c r="AF335" s="406"/>
      <c r="AG335" s="406"/>
      <c r="AH335" s="406"/>
      <c r="AI335" s="406"/>
      <c r="AJ335" s="406"/>
      <c r="AK335" s="406"/>
      <c r="AL335" s="406"/>
      <c r="AM335" s="406"/>
      <c r="AN335" s="406"/>
      <c r="AO335" s="406"/>
      <c r="AP335" s="406"/>
      <c r="AQ335" s="22"/>
      <c r="AR335" s="22"/>
    </row>
    <row r="336" spans="2:44" s="338" customFormat="1" x14ac:dyDescent="0.25">
      <c r="F336" s="35"/>
      <c r="G336" s="35"/>
      <c r="J336" s="416"/>
      <c r="K336" s="416"/>
      <c r="L336" s="416"/>
      <c r="M336" s="416"/>
      <c r="N336" s="416"/>
      <c r="O336" s="416"/>
      <c r="P336" s="416"/>
      <c r="Q336" s="416"/>
      <c r="R336" s="416"/>
      <c r="S336" s="416"/>
      <c r="T336" s="416"/>
      <c r="U336" s="416"/>
      <c r="V336" s="416"/>
      <c r="W336" s="416"/>
      <c r="X336" s="416"/>
      <c r="Y336" s="416"/>
      <c r="Z336" s="416"/>
      <c r="AA336" s="416"/>
      <c r="AB336" s="416"/>
      <c r="AC336" s="416"/>
      <c r="AD336" s="416"/>
      <c r="AE336" s="416"/>
      <c r="AF336" s="416"/>
      <c r="AG336" s="416"/>
      <c r="AH336" s="416"/>
      <c r="AI336" s="416"/>
      <c r="AJ336" s="416"/>
      <c r="AK336" s="416"/>
      <c r="AL336" s="416"/>
      <c r="AM336" s="416"/>
      <c r="AN336" s="416"/>
      <c r="AO336" s="416"/>
      <c r="AP336" s="416"/>
    </row>
    <row r="337" spans="5:44" s="338" customFormat="1" x14ac:dyDescent="0.25">
      <c r="E337" s="172" t="s">
        <v>873</v>
      </c>
      <c r="F337" s="35"/>
      <c r="G337" s="35"/>
      <c r="H337" s="35"/>
      <c r="I337" s="35"/>
      <c r="J337" s="448"/>
      <c r="K337" s="448"/>
      <c r="L337" s="448"/>
      <c r="M337" s="448"/>
      <c r="N337" s="448"/>
      <c r="O337" s="448"/>
      <c r="P337" s="448"/>
      <c r="Q337" s="448"/>
      <c r="R337" s="448"/>
      <c r="S337" s="448"/>
      <c r="T337" s="448"/>
      <c r="U337" s="448"/>
      <c r="V337" s="448"/>
      <c r="W337" s="448"/>
      <c r="X337" s="448"/>
      <c r="Y337" s="448"/>
      <c r="Z337" s="448"/>
      <c r="AA337" s="448"/>
      <c r="AB337" s="448"/>
      <c r="AC337" s="448"/>
      <c r="AD337" s="448"/>
      <c r="AE337" s="448"/>
      <c r="AF337" s="448"/>
      <c r="AG337" s="448"/>
      <c r="AH337" s="448"/>
      <c r="AI337" s="448"/>
      <c r="AJ337" s="448"/>
      <c r="AK337" s="448"/>
      <c r="AL337" s="448"/>
      <c r="AM337" s="448"/>
      <c r="AN337" s="448"/>
      <c r="AO337" s="448"/>
      <c r="AP337" s="448"/>
      <c r="AQ337" s="35"/>
      <c r="AR337" s="35"/>
    </row>
    <row r="338" spans="5:44" s="338" customFormat="1" x14ac:dyDescent="0.25">
      <c r="F338" s="40" t="s">
        <v>43</v>
      </c>
      <c r="G338" s="40" t="s">
        <v>636</v>
      </c>
      <c r="H338" s="166"/>
      <c r="I338" s="166"/>
      <c r="J338" s="431">
        <f t="shared" ref="J338:O338" si="106">SUMPRODUCT(J206:J208,J$70:J$72,J$253:J$255) * hours_in_year * J$122</f>
        <v>2.1343825397553888</v>
      </c>
      <c r="K338" s="431">
        <f t="shared" si="106"/>
        <v>1.4973842041472827</v>
      </c>
      <c r="L338" s="431">
        <f t="shared" si="106"/>
        <v>9.7824694315439095E-2</v>
      </c>
      <c r="M338" s="431">
        <f t="shared" si="106"/>
        <v>1.7771520981630444</v>
      </c>
      <c r="N338" s="431">
        <f t="shared" si="106"/>
        <v>1.867461189171546</v>
      </c>
      <c r="O338" s="431">
        <f t="shared" si="106"/>
        <v>0.33288648455921754</v>
      </c>
      <c r="P338" s="402"/>
      <c r="Q338" s="402"/>
      <c r="R338" s="402"/>
      <c r="S338" s="431">
        <f>SUMPRODUCT(S206:S208,S$70:S$72,S$253:S$255) * hours_in_year * S$122</f>
        <v>3.1401288493510546</v>
      </c>
      <c r="T338" s="431">
        <f>SUMPRODUCT(T206:T208,T$70:T$72,T$253:T$255) * hours_in_year * T$122</f>
        <v>1.6696642265945021</v>
      </c>
      <c r="U338" s="402"/>
      <c r="V338" s="402"/>
      <c r="W338" s="402"/>
      <c r="X338" s="402"/>
      <c r="Y338" s="402"/>
      <c r="Z338" s="402"/>
      <c r="AA338" s="402"/>
      <c r="AB338" s="402"/>
      <c r="AC338" s="402"/>
      <c r="AD338" s="402"/>
      <c r="AE338" s="402"/>
      <c r="AF338" s="402"/>
      <c r="AG338" s="402"/>
      <c r="AH338" s="402"/>
      <c r="AI338" s="402"/>
      <c r="AJ338" s="402"/>
      <c r="AK338" s="402"/>
      <c r="AL338" s="402"/>
      <c r="AM338" s="402"/>
      <c r="AN338" s="402"/>
      <c r="AO338" s="402"/>
      <c r="AP338" s="402"/>
    </row>
    <row r="339" spans="5:44" s="338" customFormat="1" x14ac:dyDescent="0.25">
      <c r="F339" s="145" t="s">
        <v>44</v>
      </c>
      <c r="G339" s="145" t="s">
        <v>636</v>
      </c>
      <c r="H339" s="339"/>
      <c r="I339" s="339"/>
      <c r="J339" s="428">
        <f t="shared" ref="J339:O339" si="107">SUMPRODUCT(J211:J213,J$70:J$72,J$253:J$255) * hours_in_year * J$122</f>
        <v>2.1043053311559663</v>
      </c>
      <c r="K339" s="428">
        <f t="shared" si="107"/>
        <v>1.4799823160354932</v>
      </c>
      <c r="L339" s="428">
        <f t="shared" si="107"/>
        <v>0.13441984089477269</v>
      </c>
      <c r="M339" s="428">
        <f t="shared" si="107"/>
        <v>1.7933460851466374</v>
      </c>
      <c r="N339" s="428">
        <f t="shared" si="107"/>
        <v>1.8740977997815584</v>
      </c>
      <c r="O339" s="428">
        <f t="shared" si="107"/>
        <v>0.35237880488776918</v>
      </c>
      <c r="P339" s="403"/>
      <c r="Q339" s="403"/>
      <c r="R339" s="403"/>
      <c r="S339" s="428">
        <f>SUMPRODUCT(S211:S213,S$70:S$72,S$253:S$255) * hours_in_year * S$122</f>
        <v>3.0477581053743585</v>
      </c>
      <c r="T339" s="428">
        <f>SUMPRODUCT(T211:T213,T$70:T$72,T$253:T$255) * hours_in_year * T$122</f>
        <v>1.6696963371492595</v>
      </c>
      <c r="U339" s="403"/>
      <c r="V339" s="403"/>
      <c r="W339" s="403"/>
      <c r="X339" s="403"/>
      <c r="Y339" s="403"/>
      <c r="Z339" s="403"/>
      <c r="AA339" s="403"/>
      <c r="AB339" s="403"/>
      <c r="AC339" s="403"/>
      <c r="AD339" s="403"/>
      <c r="AE339" s="403"/>
      <c r="AF339" s="403"/>
      <c r="AG339" s="403"/>
      <c r="AH339" s="403"/>
      <c r="AI339" s="403"/>
      <c r="AJ339" s="403"/>
      <c r="AK339" s="403"/>
      <c r="AL339" s="403"/>
      <c r="AM339" s="403"/>
      <c r="AN339" s="403"/>
      <c r="AO339" s="403"/>
      <c r="AP339" s="403"/>
    </row>
    <row r="340" spans="5:44" s="338" customFormat="1" x14ac:dyDescent="0.25">
      <c r="F340" s="145" t="s">
        <v>45</v>
      </c>
      <c r="G340" s="145" t="s">
        <v>636</v>
      </c>
      <c r="H340" s="339"/>
      <c r="I340" s="339"/>
      <c r="J340" s="428">
        <f t="shared" ref="J340:O340" si="108">SUMPRODUCT(J216:J218,J$70:J$72,J$253:J$255) * hours_in_year * J$122</f>
        <v>2.1043053311559663</v>
      </c>
      <c r="K340" s="428">
        <f t="shared" si="108"/>
        <v>1.4799823160354932</v>
      </c>
      <c r="L340" s="428">
        <f t="shared" si="108"/>
        <v>0.13441984089477269</v>
      </c>
      <c r="M340" s="428">
        <f t="shared" si="108"/>
        <v>1.7933460851466374</v>
      </c>
      <c r="N340" s="428">
        <f t="shared" si="108"/>
        <v>1.8740977997815584</v>
      </c>
      <c r="O340" s="428">
        <f t="shared" si="108"/>
        <v>0.35237880488776918</v>
      </c>
      <c r="P340" s="403"/>
      <c r="Q340" s="403"/>
      <c r="R340" s="403"/>
      <c r="S340" s="428">
        <f>SUMPRODUCT(S216:S218,S$70:S$72,S$253:S$255) * hours_in_year * S$122</f>
        <v>3.0477581053743585</v>
      </c>
      <c r="T340" s="428">
        <f>SUMPRODUCT(T216:T218,T$70:T$72,T$253:T$255) * hours_in_year * T$122</f>
        <v>1.6696963371492595</v>
      </c>
      <c r="U340" s="403"/>
      <c r="V340" s="403"/>
      <c r="W340" s="403"/>
      <c r="X340" s="403"/>
      <c r="Y340" s="403"/>
      <c r="Z340" s="403"/>
      <c r="AA340" s="403"/>
      <c r="AB340" s="403"/>
      <c r="AC340" s="403"/>
      <c r="AD340" s="403"/>
      <c r="AE340" s="403"/>
      <c r="AF340" s="403"/>
      <c r="AG340" s="403"/>
      <c r="AH340" s="403"/>
      <c r="AI340" s="403"/>
      <c r="AJ340" s="403"/>
      <c r="AK340" s="403"/>
      <c r="AL340" s="403"/>
      <c r="AM340" s="403"/>
      <c r="AN340" s="403"/>
      <c r="AO340" s="403"/>
      <c r="AP340" s="403"/>
    </row>
    <row r="341" spans="5:44" s="338" customFormat="1" x14ac:dyDescent="0.25">
      <c r="F341" s="145" t="s">
        <v>46</v>
      </c>
      <c r="G341" s="145" t="s">
        <v>636</v>
      </c>
      <c r="H341" s="339"/>
      <c r="I341" s="339"/>
      <c r="J341" s="428">
        <f t="shared" ref="J341:O341" si="109">SUMPRODUCT(J221:J223,J$70:J$72,J$253:J$255) * hours_in_year * J$122</f>
        <v>2.021484420885324</v>
      </c>
      <c r="K341" s="428">
        <f t="shared" si="109"/>
        <v>1.4385863867651851</v>
      </c>
      <c r="L341" s="428">
        <f t="shared" si="109"/>
        <v>0.23700758639059802</v>
      </c>
      <c r="M341" s="428">
        <f t="shared" si="109"/>
        <v>1.8301700519526787</v>
      </c>
      <c r="N341" s="428">
        <f t="shared" si="109"/>
        <v>1.8904043435183138</v>
      </c>
      <c r="O341" s="428">
        <f t="shared" si="109"/>
        <v>0.40960287713269727</v>
      </c>
      <c r="P341" s="403"/>
      <c r="Q341" s="403"/>
      <c r="R341" s="403"/>
      <c r="S341" s="428">
        <f>SUMPRODUCT(S221:S223,S$70:S$72,S$253:S$255) * hours_in_year * S$122</f>
        <v>2.8017088631564202</v>
      </c>
      <c r="T341" s="428">
        <f>SUMPRODUCT(T221:T223,T$70:T$72,T$253:T$255) * hours_in_year * T$122</f>
        <v>1.6660615501868818</v>
      </c>
      <c r="U341" s="403"/>
      <c r="V341" s="403"/>
      <c r="W341" s="403"/>
      <c r="X341" s="403"/>
      <c r="Y341" s="403"/>
      <c r="Z341" s="403"/>
      <c r="AA341" s="403"/>
      <c r="AB341" s="403"/>
      <c r="AC341" s="403"/>
      <c r="AD341" s="403"/>
      <c r="AE341" s="403"/>
      <c r="AF341" s="403"/>
      <c r="AG341" s="403"/>
      <c r="AH341" s="403"/>
      <c r="AI341" s="403"/>
      <c r="AJ341" s="403"/>
      <c r="AK341" s="403"/>
      <c r="AL341" s="403"/>
      <c r="AM341" s="403"/>
      <c r="AN341" s="403"/>
      <c r="AO341" s="403"/>
      <c r="AP341" s="403"/>
    </row>
    <row r="342" spans="5:44" s="338" customFormat="1" x14ac:dyDescent="0.25">
      <c r="F342" s="145" t="s">
        <v>47</v>
      </c>
      <c r="G342" s="145" t="s">
        <v>636</v>
      </c>
      <c r="H342" s="339"/>
      <c r="I342" s="339"/>
      <c r="J342" s="428">
        <f t="shared" ref="J342:O342" si="110">SUMPRODUCT(J226:J228,J$70:J$72,J$253:J$255) * hours_in_year * J$122</f>
        <v>2.021484420885324</v>
      </c>
      <c r="K342" s="428">
        <f t="shared" si="110"/>
        <v>1.4385863867651851</v>
      </c>
      <c r="L342" s="428">
        <f t="shared" si="110"/>
        <v>0.23700758639059802</v>
      </c>
      <c r="M342" s="428">
        <f t="shared" si="110"/>
        <v>1.8301700519526787</v>
      </c>
      <c r="N342" s="428">
        <f t="shared" si="110"/>
        <v>1.8904043435183138</v>
      </c>
      <c r="O342" s="428">
        <f t="shared" si="110"/>
        <v>0.40960287713269727</v>
      </c>
      <c r="P342" s="403"/>
      <c r="Q342" s="403"/>
      <c r="R342" s="403"/>
      <c r="S342" s="428">
        <f>SUMPRODUCT(S226:S228,S$70:S$72,S$253:S$255) * hours_in_year * S$122</f>
        <v>2.8017088631564202</v>
      </c>
      <c r="T342" s="428">
        <f>SUMPRODUCT(T226:T228,T$70:T$72,T$253:T$255) * hours_in_year * T$122</f>
        <v>1.6660615501868818</v>
      </c>
      <c r="U342" s="403"/>
      <c r="V342" s="403"/>
      <c r="W342" s="403"/>
      <c r="X342" s="403"/>
      <c r="Y342" s="403"/>
      <c r="Z342" s="403"/>
      <c r="AA342" s="403"/>
      <c r="AB342" s="403"/>
      <c r="AC342" s="403"/>
      <c r="AD342" s="403"/>
      <c r="AE342" s="403"/>
      <c r="AF342" s="403"/>
      <c r="AG342" s="403"/>
      <c r="AH342" s="403"/>
      <c r="AI342" s="403"/>
      <c r="AJ342" s="403"/>
      <c r="AK342" s="403"/>
      <c r="AL342" s="403"/>
      <c r="AM342" s="403"/>
      <c r="AN342" s="403"/>
      <c r="AO342" s="403"/>
      <c r="AP342" s="403"/>
    </row>
    <row r="343" spans="5:44" s="338" customFormat="1" x14ac:dyDescent="0.25">
      <c r="F343" s="145" t="s">
        <v>51</v>
      </c>
      <c r="G343" s="145" t="s">
        <v>636</v>
      </c>
      <c r="H343" s="339"/>
      <c r="I343" s="339"/>
      <c r="J343" s="428">
        <f t="shared" ref="J343:O343" si="111">SUMPRODUCT(J231:J233,J$70:J$72,J$253:J$255) * hours_in_year * J$122</f>
        <v>0</v>
      </c>
      <c r="K343" s="428">
        <f t="shared" si="111"/>
        <v>0</v>
      </c>
      <c r="L343" s="428">
        <f t="shared" si="111"/>
        <v>0</v>
      </c>
      <c r="M343" s="428">
        <f t="shared" si="111"/>
        <v>0</v>
      </c>
      <c r="N343" s="428">
        <f t="shared" si="111"/>
        <v>0</v>
      </c>
      <c r="O343" s="428">
        <f t="shared" si="111"/>
        <v>0</v>
      </c>
      <c r="P343" s="403"/>
      <c r="Q343" s="403"/>
      <c r="R343" s="403"/>
      <c r="S343" s="428">
        <f>SUMPRODUCT(S231:S233,S$70:S$72,S$253:S$255) * hours_in_year * S$122</f>
        <v>0</v>
      </c>
      <c r="T343" s="428">
        <f>SUMPRODUCT(T231:T233,T$70:T$72,T$253:T$255) * hours_in_year * T$122</f>
        <v>0</v>
      </c>
      <c r="U343" s="403"/>
      <c r="V343" s="403"/>
      <c r="W343" s="403"/>
      <c r="X343" s="403"/>
      <c r="Y343" s="403"/>
      <c r="Z343" s="403"/>
      <c r="AA343" s="403"/>
      <c r="AB343" s="403"/>
      <c r="AC343" s="403"/>
      <c r="AD343" s="403"/>
      <c r="AE343" s="403"/>
      <c r="AF343" s="403"/>
      <c r="AG343" s="403"/>
      <c r="AH343" s="403"/>
      <c r="AI343" s="403"/>
      <c r="AJ343" s="403"/>
      <c r="AK343" s="403"/>
      <c r="AL343" s="403"/>
      <c r="AM343" s="403"/>
      <c r="AN343" s="403"/>
      <c r="AO343" s="403"/>
      <c r="AP343" s="403"/>
    </row>
    <row r="344" spans="5:44" s="338" customFormat="1" x14ac:dyDescent="0.25">
      <c r="F344" s="145" t="s">
        <v>48</v>
      </c>
      <c r="G344" s="145" t="s">
        <v>636</v>
      </c>
      <c r="H344" s="339"/>
      <c r="I344" s="339"/>
      <c r="J344" s="428">
        <f t="shared" ref="J344:O344" si="112">SUMPRODUCT(J236:J238,J$70:J$72,J$253:J$255) * hours_in_year * J$122</f>
        <v>1.9120051493936703</v>
      </c>
      <c r="K344" s="428">
        <f t="shared" si="112"/>
        <v>1.3855852792026935</v>
      </c>
      <c r="L344" s="428">
        <f t="shared" si="112"/>
        <v>0.37309574476170138</v>
      </c>
      <c r="M344" s="428">
        <f t="shared" si="112"/>
        <v>1.8767991434447009</v>
      </c>
      <c r="N344" s="428">
        <f t="shared" si="112"/>
        <v>1.9114408095953768</v>
      </c>
      <c r="O344" s="428">
        <f t="shared" si="112"/>
        <v>0.48618199969467552</v>
      </c>
      <c r="P344" s="449"/>
      <c r="Q344" s="449"/>
      <c r="R344" s="449"/>
      <c r="S344" s="428">
        <f>SUMPRODUCT(S236:S238,S$70:S$72,S$253:S$255) * hours_in_year * S$122</f>
        <v>2.4786504008006145</v>
      </c>
      <c r="T344" s="428">
        <f>SUMPRODUCT(T236:T238,T$70:T$72,T$253:T$255) * hours_in_year * T$122</f>
        <v>1.660275302617912</v>
      </c>
      <c r="U344" s="403"/>
      <c r="V344" s="403"/>
      <c r="W344" s="403"/>
      <c r="X344" s="403"/>
      <c r="Y344" s="403"/>
      <c r="Z344" s="403"/>
      <c r="AA344" s="403"/>
      <c r="AB344" s="403"/>
      <c r="AC344" s="403"/>
      <c r="AD344" s="403"/>
      <c r="AE344" s="403"/>
      <c r="AF344" s="403"/>
      <c r="AG344" s="403"/>
      <c r="AH344" s="403"/>
      <c r="AI344" s="403"/>
      <c r="AJ344" s="403"/>
      <c r="AK344" s="403"/>
      <c r="AL344" s="403"/>
      <c r="AM344" s="403"/>
      <c r="AN344" s="403"/>
      <c r="AO344" s="403"/>
      <c r="AP344" s="403"/>
    </row>
    <row r="345" spans="5:44" s="338" customFormat="1" x14ac:dyDescent="0.25">
      <c r="F345" s="145" t="s">
        <v>49</v>
      </c>
      <c r="G345" s="145" t="s">
        <v>636</v>
      </c>
      <c r="H345" s="339"/>
      <c r="I345" s="339"/>
      <c r="J345" s="428">
        <f t="shared" ref="J345:O345" si="113">SUMPRODUCT(J241:J243,J$70:J$72,J$253:J$255) * hours_in_year * J$122</f>
        <v>1.9120051493936703</v>
      </c>
      <c r="K345" s="428">
        <f t="shared" si="113"/>
        <v>1.3855852792026935</v>
      </c>
      <c r="L345" s="428">
        <f t="shared" si="113"/>
        <v>0.37309574476170138</v>
      </c>
      <c r="M345" s="428">
        <f t="shared" si="113"/>
        <v>1.8767991434447009</v>
      </c>
      <c r="N345" s="428">
        <f t="shared" si="113"/>
        <v>1.9114408095953768</v>
      </c>
      <c r="O345" s="428">
        <f t="shared" si="113"/>
        <v>0.48618199969467552</v>
      </c>
      <c r="P345" s="449"/>
      <c r="Q345" s="449"/>
      <c r="R345" s="449"/>
      <c r="S345" s="428">
        <f>SUMPRODUCT(S241:S243,S$70:S$72,S$253:S$255) * hours_in_year * S$122</f>
        <v>2.4786504008006145</v>
      </c>
      <c r="T345" s="428">
        <f>SUMPRODUCT(T241:T243,T$70:T$72,T$253:T$255) * hours_in_year * T$122</f>
        <v>1.660275302617912</v>
      </c>
      <c r="U345" s="403"/>
      <c r="V345" s="403"/>
      <c r="W345" s="403"/>
      <c r="X345" s="403"/>
      <c r="Y345" s="403"/>
      <c r="Z345" s="403"/>
      <c r="AA345" s="403"/>
      <c r="AB345" s="403"/>
      <c r="AC345" s="403"/>
      <c r="AD345" s="403"/>
      <c r="AE345" s="403"/>
      <c r="AF345" s="403"/>
      <c r="AG345" s="403"/>
      <c r="AH345" s="403"/>
      <c r="AI345" s="403"/>
      <c r="AJ345" s="403"/>
      <c r="AK345" s="403"/>
      <c r="AL345" s="403"/>
      <c r="AM345" s="403"/>
      <c r="AN345" s="403"/>
      <c r="AO345" s="403"/>
      <c r="AP345" s="403"/>
    </row>
    <row r="346" spans="5:44" s="338" customFormat="1" x14ac:dyDescent="0.25">
      <c r="F346" s="77" t="s">
        <v>50</v>
      </c>
      <c r="G346" s="38" t="s">
        <v>636</v>
      </c>
      <c r="H346" s="182"/>
      <c r="I346" s="168"/>
      <c r="J346" s="432">
        <f t="shared" ref="J346:O346" si="114">SUMPRODUCT(J246:J248,J$70:J$72,J$253:J$255) * hours_in_year * J$122</f>
        <v>1.9120051493936703</v>
      </c>
      <c r="K346" s="432">
        <f t="shared" si="114"/>
        <v>1.3855852792026935</v>
      </c>
      <c r="L346" s="432">
        <f t="shared" si="114"/>
        <v>0.37309574476170138</v>
      </c>
      <c r="M346" s="432">
        <f t="shared" si="114"/>
        <v>1.8767991434447009</v>
      </c>
      <c r="N346" s="432">
        <f t="shared" si="114"/>
        <v>1.9114408095953768</v>
      </c>
      <c r="O346" s="432">
        <f t="shared" si="114"/>
        <v>0.48618199969467552</v>
      </c>
      <c r="P346" s="404"/>
      <c r="Q346" s="404"/>
      <c r="R346" s="404"/>
      <c r="S346" s="432">
        <f>SUMPRODUCT(S246:S248,S$70:S$72,S$253:S$255) * hours_in_year * S$122</f>
        <v>2.4786504008006145</v>
      </c>
      <c r="T346" s="432">
        <f>SUMPRODUCT(T246:T248,T$70:T$72,T$253:T$255) * hours_in_year * T$122</f>
        <v>1.660275302617912</v>
      </c>
      <c r="U346" s="404"/>
      <c r="V346" s="404"/>
      <c r="W346" s="404"/>
      <c r="X346" s="404"/>
      <c r="Y346" s="404"/>
      <c r="Z346" s="404"/>
      <c r="AA346" s="404"/>
      <c r="AB346" s="404"/>
      <c r="AC346" s="404"/>
      <c r="AD346" s="404"/>
      <c r="AE346" s="404"/>
      <c r="AF346" s="404"/>
      <c r="AG346" s="404"/>
      <c r="AH346" s="404"/>
      <c r="AI346" s="404"/>
      <c r="AJ346" s="404"/>
      <c r="AK346" s="404"/>
      <c r="AL346" s="404"/>
      <c r="AM346" s="404"/>
      <c r="AN346" s="404"/>
      <c r="AO346" s="404"/>
      <c r="AP346" s="404"/>
    </row>
    <row r="347" spans="5:44" s="338" customFormat="1" x14ac:dyDescent="0.25">
      <c r="G347" s="145"/>
      <c r="H347" s="181"/>
      <c r="I347" s="339"/>
      <c r="J347" s="428"/>
      <c r="K347" s="428"/>
      <c r="L347" s="428"/>
      <c r="M347" s="428"/>
      <c r="N347" s="428"/>
      <c r="O347" s="428"/>
      <c r="P347" s="428"/>
      <c r="Q347" s="428"/>
      <c r="R347" s="428"/>
      <c r="S347" s="428"/>
      <c r="T347" s="428"/>
      <c r="U347" s="428"/>
      <c r="V347" s="428"/>
      <c r="W347" s="428"/>
      <c r="X347" s="428"/>
      <c r="Y347" s="428"/>
      <c r="Z347" s="428"/>
      <c r="AA347" s="428"/>
      <c r="AB347" s="428"/>
      <c r="AC347" s="428"/>
      <c r="AD347" s="428"/>
      <c r="AE347" s="428"/>
      <c r="AF347" s="428"/>
      <c r="AG347" s="428"/>
      <c r="AH347" s="428"/>
      <c r="AI347" s="428"/>
      <c r="AJ347" s="428"/>
      <c r="AK347" s="428"/>
      <c r="AL347" s="428"/>
      <c r="AM347" s="428"/>
      <c r="AN347" s="428"/>
      <c r="AO347" s="428"/>
      <c r="AP347" s="428"/>
    </row>
    <row r="348" spans="5:44" s="338" customFormat="1" x14ac:dyDescent="0.25">
      <c r="E348" s="172" t="s">
        <v>881</v>
      </c>
      <c r="I348" s="73"/>
      <c r="J348" s="444"/>
      <c r="K348" s="444"/>
      <c r="L348" s="444"/>
      <c r="M348" s="444"/>
      <c r="N348" s="444"/>
      <c r="O348" s="444"/>
      <c r="P348" s="444"/>
      <c r="Q348" s="444"/>
      <c r="R348" s="444"/>
      <c r="S348" s="444"/>
      <c r="T348" s="444"/>
      <c r="U348" s="444"/>
      <c r="V348" s="444"/>
      <c r="W348" s="444"/>
      <c r="X348" s="444"/>
      <c r="Y348" s="444"/>
      <c r="Z348" s="444"/>
      <c r="AA348" s="444"/>
      <c r="AB348" s="444"/>
      <c r="AC348" s="444"/>
      <c r="AD348" s="444"/>
      <c r="AE348" s="444"/>
      <c r="AF348" s="444"/>
      <c r="AG348" s="444"/>
      <c r="AH348" s="444"/>
      <c r="AI348" s="444"/>
      <c r="AJ348" s="444"/>
      <c r="AK348" s="444"/>
      <c r="AL348" s="444"/>
      <c r="AM348" s="444"/>
      <c r="AN348" s="444"/>
      <c r="AO348" s="444"/>
      <c r="AP348" s="444"/>
    </row>
    <row r="349" spans="5:44" s="338" customFormat="1" x14ac:dyDescent="0.25">
      <c r="F349" s="40" t="s">
        <v>43</v>
      </c>
      <c r="G349" s="166" t="s">
        <v>119</v>
      </c>
      <c r="H349" s="166"/>
      <c r="I349" s="166"/>
      <c r="J349" s="443">
        <f t="shared" ref="J349:O357" si="115">J338 * J$39</f>
        <v>20531872.936158109</v>
      </c>
      <c r="K349" s="443">
        <f t="shared" si="115"/>
        <v>2352604.2658469053</v>
      </c>
      <c r="L349" s="443">
        <f t="shared" si="115"/>
        <v>19496.257401706127</v>
      </c>
      <c r="M349" s="443">
        <f t="shared" si="115"/>
        <v>4809454.9391858084</v>
      </c>
      <c r="N349" s="443">
        <f t="shared" si="115"/>
        <v>1352925.6231148422</v>
      </c>
      <c r="O349" s="443">
        <f t="shared" si="115"/>
        <v>14079.412999830707</v>
      </c>
      <c r="P349" s="402"/>
      <c r="Q349" s="402"/>
      <c r="R349" s="402"/>
      <c r="S349" s="443">
        <f t="shared" ref="S349:T357" si="116">S338 * S$39</f>
        <v>149497.99288429401</v>
      </c>
      <c r="T349" s="443">
        <f t="shared" si="116"/>
        <v>490130.2684031055</v>
      </c>
      <c r="U349" s="402"/>
      <c r="V349" s="402"/>
      <c r="W349" s="402"/>
      <c r="X349" s="402"/>
      <c r="Y349" s="402"/>
      <c r="Z349" s="402"/>
      <c r="AA349" s="402"/>
      <c r="AB349" s="402"/>
      <c r="AC349" s="402"/>
      <c r="AD349" s="402"/>
      <c r="AE349" s="402"/>
      <c r="AF349" s="402"/>
      <c r="AG349" s="402"/>
      <c r="AH349" s="402"/>
      <c r="AI349" s="402"/>
      <c r="AJ349" s="402"/>
      <c r="AK349" s="402"/>
      <c r="AL349" s="402"/>
      <c r="AM349" s="402"/>
      <c r="AN349" s="402"/>
      <c r="AO349" s="402"/>
      <c r="AP349" s="402"/>
    </row>
    <row r="350" spans="5:44" s="338" customFormat="1" x14ac:dyDescent="0.25">
      <c r="F350" s="145" t="s">
        <v>44</v>
      </c>
      <c r="G350" s="339" t="s">
        <v>119</v>
      </c>
      <c r="H350" s="339"/>
      <c r="I350" s="339"/>
      <c r="J350" s="435">
        <f t="shared" si="115"/>
        <v>20242542.690180536</v>
      </c>
      <c r="K350" s="435">
        <f t="shared" si="115"/>
        <v>2325263.4163226509</v>
      </c>
      <c r="L350" s="435">
        <f t="shared" si="115"/>
        <v>26789.593735201328</v>
      </c>
      <c r="M350" s="435">
        <f t="shared" si="115"/>
        <v>4853280.2542862194</v>
      </c>
      <c r="N350" s="435">
        <f t="shared" si="115"/>
        <v>1357733.6697810784</v>
      </c>
      <c r="O350" s="435">
        <f t="shared" si="115"/>
        <v>14903.839466390524</v>
      </c>
      <c r="P350" s="403"/>
      <c r="Q350" s="403"/>
      <c r="R350" s="403"/>
      <c r="S350" s="435">
        <f t="shared" si="116"/>
        <v>145100.32594505395</v>
      </c>
      <c r="T350" s="435">
        <f t="shared" si="116"/>
        <v>490139.69446289109</v>
      </c>
      <c r="U350" s="403"/>
      <c r="V350" s="403"/>
      <c r="W350" s="403"/>
      <c r="X350" s="403"/>
      <c r="Y350" s="403"/>
      <c r="Z350" s="403"/>
      <c r="AA350" s="403"/>
      <c r="AB350" s="403"/>
      <c r="AC350" s="403"/>
      <c r="AD350" s="403"/>
      <c r="AE350" s="403"/>
      <c r="AF350" s="403"/>
      <c r="AG350" s="403"/>
      <c r="AH350" s="403"/>
      <c r="AI350" s="403"/>
      <c r="AJ350" s="403"/>
      <c r="AK350" s="403"/>
      <c r="AL350" s="403"/>
      <c r="AM350" s="403"/>
      <c r="AN350" s="403"/>
      <c r="AO350" s="403"/>
      <c r="AP350" s="403"/>
    </row>
    <row r="351" spans="5:44" s="338" customFormat="1" x14ac:dyDescent="0.25">
      <c r="F351" s="145" t="s">
        <v>45</v>
      </c>
      <c r="G351" s="339" t="s">
        <v>119</v>
      </c>
      <c r="H351" s="339"/>
      <c r="I351" s="339"/>
      <c r="J351" s="435">
        <f t="shared" si="115"/>
        <v>20242542.690180536</v>
      </c>
      <c r="K351" s="435">
        <f t="shared" si="115"/>
        <v>2325263.4163226509</v>
      </c>
      <c r="L351" s="435">
        <f t="shared" si="115"/>
        <v>26789.593735201328</v>
      </c>
      <c r="M351" s="435">
        <f t="shared" si="115"/>
        <v>4853280.2542862194</v>
      </c>
      <c r="N351" s="435">
        <f t="shared" si="115"/>
        <v>1357733.6697810784</v>
      </c>
      <c r="O351" s="435">
        <f t="shared" si="115"/>
        <v>14903.839466390524</v>
      </c>
      <c r="P351" s="403"/>
      <c r="Q351" s="403"/>
      <c r="R351" s="403"/>
      <c r="S351" s="435">
        <f t="shared" si="116"/>
        <v>145100.32594505395</v>
      </c>
      <c r="T351" s="435">
        <f t="shared" si="116"/>
        <v>490139.69446289109</v>
      </c>
      <c r="U351" s="403"/>
      <c r="V351" s="403"/>
      <c r="W351" s="403"/>
      <c r="X351" s="403"/>
      <c r="Y351" s="403"/>
      <c r="Z351" s="403"/>
      <c r="AA351" s="403"/>
      <c r="AB351" s="403"/>
      <c r="AC351" s="403"/>
      <c r="AD351" s="403"/>
      <c r="AE351" s="403"/>
      <c r="AF351" s="403"/>
      <c r="AG351" s="403"/>
      <c r="AH351" s="403"/>
      <c r="AI351" s="403"/>
      <c r="AJ351" s="403"/>
      <c r="AK351" s="403"/>
      <c r="AL351" s="403"/>
      <c r="AM351" s="403"/>
      <c r="AN351" s="403"/>
      <c r="AO351" s="403"/>
      <c r="AP351" s="403"/>
    </row>
    <row r="352" spans="5:44" s="338" customFormat="1" x14ac:dyDescent="0.25">
      <c r="F352" s="145" t="s">
        <v>46</v>
      </c>
      <c r="G352" s="339" t="s">
        <v>119</v>
      </c>
      <c r="H352" s="339"/>
      <c r="I352" s="339"/>
      <c r="J352" s="428">
        <f t="shared" si="115"/>
        <v>19445839.955567338</v>
      </c>
      <c r="K352" s="428">
        <f t="shared" si="115"/>
        <v>2260224.5041180952</v>
      </c>
      <c r="L352" s="428">
        <f t="shared" si="115"/>
        <v>47235.117295929376</v>
      </c>
      <c r="M352" s="428">
        <f t="shared" si="115"/>
        <v>4952935.8826473439</v>
      </c>
      <c r="N352" s="428">
        <f t="shared" si="115"/>
        <v>1369547.3240480707</v>
      </c>
      <c r="O352" s="428">
        <f t="shared" si="115"/>
        <v>17324.128015309274</v>
      </c>
      <c r="P352" s="403"/>
      <c r="Q352" s="403"/>
      <c r="R352" s="403"/>
      <c r="S352" s="428">
        <f t="shared" si="116"/>
        <v>133386.19903275062</v>
      </c>
      <c r="T352" s="428">
        <f t="shared" si="116"/>
        <v>489072.70202148752</v>
      </c>
      <c r="U352" s="403"/>
      <c r="V352" s="403"/>
      <c r="W352" s="403"/>
      <c r="X352" s="403"/>
      <c r="Y352" s="403"/>
      <c r="Z352" s="403"/>
      <c r="AA352" s="403"/>
      <c r="AB352" s="403"/>
      <c r="AC352" s="403"/>
      <c r="AD352" s="403"/>
      <c r="AE352" s="403"/>
      <c r="AF352" s="403"/>
      <c r="AG352" s="403"/>
      <c r="AH352" s="403"/>
      <c r="AI352" s="403"/>
      <c r="AJ352" s="403"/>
      <c r="AK352" s="403"/>
      <c r="AL352" s="403"/>
      <c r="AM352" s="403"/>
      <c r="AN352" s="403"/>
      <c r="AO352" s="403"/>
      <c r="AP352" s="403"/>
    </row>
    <row r="353" spans="3:44" s="338" customFormat="1" x14ac:dyDescent="0.25">
      <c r="F353" s="145" t="s">
        <v>47</v>
      </c>
      <c r="G353" s="339" t="s">
        <v>119</v>
      </c>
      <c r="H353" s="339"/>
      <c r="I353" s="339"/>
      <c r="J353" s="428">
        <f t="shared" si="115"/>
        <v>19445839.955567338</v>
      </c>
      <c r="K353" s="428">
        <f t="shared" si="115"/>
        <v>2260224.5041180952</v>
      </c>
      <c r="L353" s="428">
        <f t="shared" si="115"/>
        <v>47235.117295929376</v>
      </c>
      <c r="M353" s="428">
        <f t="shared" si="115"/>
        <v>4952935.8826473439</v>
      </c>
      <c r="N353" s="428">
        <f t="shared" si="115"/>
        <v>1369547.3240480707</v>
      </c>
      <c r="O353" s="428">
        <f t="shared" si="115"/>
        <v>17324.128015309274</v>
      </c>
      <c r="P353" s="403"/>
      <c r="Q353" s="403"/>
      <c r="R353" s="403"/>
      <c r="S353" s="428">
        <f t="shared" si="116"/>
        <v>133386.19903275062</v>
      </c>
      <c r="T353" s="428">
        <f t="shared" si="116"/>
        <v>489072.70202148752</v>
      </c>
      <c r="U353" s="403"/>
      <c r="V353" s="403"/>
      <c r="W353" s="403"/>
      <c r="X353" s="403"/>
      <c r="Y353" s="403"/>
      <c r="Z353" s="403"/>
      <c r="AA353" s="403"/>
      <c r="AB353" s="403"/>
      <c r="AC353" s="403"/>
      <c r="AD353" s="403"/>
      <c r="AE353" s="403"/>
      <c r="AF353" s="403"/>
      <c r="AG353" s="403"/>
      <c r="AH353" s="403"/>
      <c r="AI353" s="403"/>
      <c r="AJ353" s="403"/>
      <c r="AK353" s="403"/>
      <c r="AL353" s="403"/>
      <c r="AM353" s="403"/>
      <c r="AN353" s="403"/>
      <c r="AO353" s="403"/>
      <c r="AP353" s="403"/>
    </row>
    <row r="354" spans="3:44" s="338" customFormat="1" x14ac:dyDescent="0.25">
      <c r="F354" s="145" t="s">
        <v>51</v>
      </c>
      <c r="G354" s="339" t="s">
        <v>119</v>
      </c>
      <c r="H354" s="339"/>
      <c r="I354" s="339"/>
      <c r="J354" s="428">
        <f t="shared" si="115"/>
        <v>0</v>
      </c>
      <c r="K354" s="428">
        <f t="shared" si="115"/>
        <v>0</v>
      </c>
      <c r="L354" s="428">
        <f t="shared" si="115"/>
        <v>0</v>
      </c>
      <c r="M354" s="428">
        <f t="shared" si="115"/>
        <v>0</v>
      </c>
      <c r="N354" s="428">
        <f t="shared" si="115"/>
        <v>0</v>
      </c>
      <c r="O354" s="428">
        <f t="shared" si="115"/>
        <v>0</v>
      </c>
      <c r="P354" s="403"/>
      <c r="Q354" s="403"/>
      <c r="R354" s="403"/>
      <c r="S354" s="428">
        <f t="shared" si="116"/>
        <v>0</v>
      </c>
      <c r="T354" s="428">
        <f t="shared" si="116"/>
        <v>0</v>
      </c>
      <c r="U354" s="403"/>
      <c r="V354" s="403"/>
      <c r="W354" s="403"/>
      <c r="X354" s="403"/>
      <c r="Y354" s="403"/>
      <c r="Z354" s="403"/>
      <c r="AA354" s="403"/>
      <c r="AB354" s="403"/>
      <c r="AC354" s="403"/>
      <c r="AD354" s="403"/>
      <c r="AE354" s="403"/>
      <c r="AF354" s="403"/>
      <c r="AG354" s="403"/>
      <c r="AH354" s="403"/>
      <c r="AI354" s="403"/>
      <c r="AJ354" s="403"/>
      <c r="AK354" s="403"/>
      <c r="AL354" s="403"/>
      <c r="AM354" s="403"/>
      <c r="AN354" s="403"/>
      <c r="AO354" s="403"/>
      <c r="AP354" s="403"/>
    </row>
    <row r="355" spans="3:44" s="338" customFormat="1" x14ac:dyDescent="0.25">
      <c r="F355" s="145" t="s">
        <v>48</v>
      </c>
      <c r="G355" s="339" t="s">
        <v>119</v>
      </c>
      <c r="H355" s="339"/>
      <c r="I355" s="339"/>
      <c r="J355" s="416">
        <f t="shared" si="115"/>
        <v>18392694.865808778</v>
      </c>
      <c r="K355" s="416">
        <f t="shared" si="115"/>
        <v>2176952.200723432</v>
      </c>
      <c r="L355" s="416">
        <f t="shared" si="115"/>
        <v>74357.203222125201</v>
      </c>
      <c r="M355" s="416">
        <f t="shared" si="115"/>
        <v>5079126.8342366088</v>
      </c>
      <c r="N355" s="416">
        <f t="shared" si="115"/>
        <v>1384787.6803887938</v>
      </c>
      <c r="O355" s="416">
        <f t="shared" si="115"/>
        <v>20563.037204255168</v>
      </c>
      <c r="P355" s="449"/>
      <c r="Q355" s="449"/>
      <c r="R355" s="449"/>
      <c r="S355" s="416">
        <f t="shared" si="116"/>
        <v>118005.75000548849</v>
      </c>
      <c r="T355" s="416">
        <f t="shared" si="116"/>
        <v>487374.14788775588</v>
      </c>
      <c r="U355" s="403"/>
      <c r="V355" s="403"/>
      <c r="W355" s="403"/>
      <c r="X355" s="403"/>
      <c r="Y355" s="403"/>
      <c r="Z355" s="403"/>
      <c r="AA355" s="403"/>
      <c r="AB355" s="403"/>
      <c r="AC355" s="403"/>
      <c r="AD355" s="403"/>
      <c r="AE355" s="403"/>
      <c r="AF355" s="403"/>
      <c r="AG355" s="403"/>
      <c r="AH355" s="403"/>
      <c r="AI355" s="403"/>
      <c r="AJ355" s="403"/>
      <c r="AK355" s="403"/>
      <c r="AL355" s="403"/>
      <c r="AM355" s="403"/>
      <c r="AN355" s="403"/>
      <c r="AO355" s="403"/>
      <c r="AP355" s="403"/>
    </row>
    <row r="356" spans="3:44" s="338" customFormat="1" x14ac:dyDescent="0.25">
      <c r="F356" s="145" t="s">
        <v>49</v>
      </c>
      <c r="G356" s="339" t="s">
        <v>119</v>
      </c>
      <c r="H356" s="339"/>
      <c r="I356" s="339"/>
      <c r="J356" s="416">
        <f t="shared" si="115"/>
        <v>18392694.865808778</v>
      </c>
      <c r="K356" s="416">
        <f t="shared" si="115"/>
        <v>2176952.200723432</v>
      </c>
      <c r="L356" s="416">
        <f t="shared" si="115"/>
        <v>74357.203222125201</v>
      </c>
      <c r="M356" s="416">
        <f t="shared" si="115"/>
        <v>5079126.8342366088</v>
      </c>
      <c r="N356" s="416">
        <f t="shared" si="115"/>
        <v>1384787.6803887938</v>
      </c>
      <c r="O356" s="416">
        <f t="shared" si="115"/>
        <v>20563.037204255168</v>
      </c>
      <c r="P356" s="449"/>
      <c r="Q356" s="449"/>
      <c r="R356" s="449"/>
      <c r="S356" s="416">
        <f t="shared" si="116"/>
        <v>118005.75000548849</v>
      </c>
      <c r="T356" s="416">
        <f t="shared" si="116"/>
        <v>487374.14788775588</v>
      </c>
      <c r="U356" s="403"/>
      <c r="V356" s="403"/>
      <c r="W356" s="403"/>
      <c r="X356" s="403"/>
      <c r="Y356" s="403"/>
      <c r="Z356" s="403"/>
      <c r="AA356" s="403"/>
      <c r="AB356" s="403"/>
      <c r="AC356" s="403"/>
      <c r="AD356" s="403"/>
      <c r="AE356" s="403"/>
      <c r="AF356" s="403"/>
      <c r="AG356" s="403"/>
      <c r="AH356" s="403"/>
      <c r="AI356" s="403"/>
      <c r="AJ356" s="403"/>
      <c r="AK356" s="403"/>
      <c r="AL356" s="403"/>
      <c r="AM356" s="403"/>
      <c r="AN356" s="403"/>
      <c r="AO356" s="403"/>
      <c r="AP356" s="403"/>
    </row>
    <row r="357" spans="3:44" s="338" customFormat="1" x14ac:dyDescent="0.25">
      <c r="F357" s="77" t="s">
        <v>50</v>
      </c>
      <c r="G357" s="168" t="s">
        <v>119</v>
      </c>
      <c r="H357" s="182"/>
      <c r="I357" s="168"/>
      <c r="J357" s="432">
        <f t="shared" si="115"/>
        <v>18392694.865808778</v>
      </c>
      <c r="K357" s="432">
        <f t="shared" si="115"/>
        <v>2176952.200723432</v>
      </c>
      <c r="L357" s="432">
        <f t="shared" si="115"/>
        <v>74357.203222125201</v>
      </c>
      <c r="M357" s="432">
        <f t="shared" si="115"/>
        <v>5079126.8342366088</v>
      </c>
      <c r="N357" s="432">
        <f t="shared" si="115"/>
        <v>1384787.6803887938</v>
      </c>
      <c r="O357" s="432">
        <f t="shared" si="115"/>
        <v>20563.037204255168</v>
      </c>
      <c r="P357" s="404"/>
      <c r="Q357" s="404"/>
      <c r="R357" s="404"/>
      <c r="S357" s="432">
        <f t="shared" si="116"/>
        <v>118005.75000548849</v>
      </c>
      <c r="T357" s="432">
        <f t="shared" si="116"/>
        <v>487374.14788775588</v>
      </c>
      <c r="U357" s="404"/>
      <c r="V357" s="404"/>
      <c r="W357" s="404"/>
      <c r="X357" s="404"/>
      <c r="Y357" s="404"/>
      <c r="Z357" s="404"/>
      <c r="AA357" s="404"/>
      <c r="AB357" s="404"/>
      <c r="AC357" s="404"/>
      <c r="AD357" s="404"/>
      <c r="AE357" s="404"/>
      <c r="AF357" s="404"/>
      <c r="AG357" s="404"/>
      <c r="AH357" s="404"/>
      <c r="AI357" s="404"/>
      <c r="AJ357" s="404"/>
      <c r="AK357" s="404"/>
      <c r="AL357" s="404"/>
      <c r="AM357" s="404"/>
      <c r="AN357" s="404"/>
      <c r="AO357" s="404"/>
      <c r="AP357" s="404"/>
    </row>
    <row r="358" spans="3:44" s="338" customFormat="1" x14ac:dyDescent="0.25">
      <c r="F358" s="372"/>
      <c r="G358" s="145"/>
      <c r="H358" s="181"/>
      <c r="I358" s="339"/>
      <c r="J358" s="128"/>
      <c r="K358" s="128"/>
      <c r="L358" s="128"/>
      <c r="M358" s="128"/>
      <c r="N358" s="128"/>
      <c r="O358" s="128"/>
      <c r="P358" s="128"/>
      <c r="Q358" s="128"/>
      <c r="R358" s="128"/>
      <c r="S358" s="128"/>
      <c r="T358" s="128"/>
      <c r="U358" s="128"/>
      <c r="V358" s="128"/>
      <c r="W358" s="128"/>
      <c r="X358" s="128"/>
      <c r="Y358" s="128"/>
      <c r="Z358" s="128"/>
      <c r="AA358" s="128"/>
      <c r="AB358" s="128"/>
      <c r="AC358" s="128"/>
      <c r="AD358" s="128"/>
      <c r="AE358" s="128"/>
      <c r="AF358" s="128"/>
      <c r="AG358" s="128"/>
      <c r="AH358" s="128"/>
      <c r="AI358" s="128"/>
      <c r="AJ358" s="128"/>
      <c r="AK358" s="128"/>
      <c r="AL358" s="128"/>
      <c r="AM358" s="128"/>
      <c r="AN358" s="128"/>
      <c r="AO358" s="128"/>
      <c r="AP358" s="128"/>
    </row>
    <row r="359" spans="3:44" s="338" customFormat="1" x14ac:dyDescent="0.25">
      <c r="C359" s="22" t="str">
        <f ca="1">INDEX('Version control'!$H$34:$H$59,MATCH($A$1,'Version control'!$F$34:$F$59,0),1)&amp;"-M: Adjustment group flags"</f>
        <v>Section 508-M: Adjustment group flags</v>
      </c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  <c r="AM359" s="22"/>
      <c r="AN359" s="22"/>
      <c r="AO359" s="22"/>
      <c r="AP359" s="22"/>
      <c r="AQ359" s="22"/>
      <c r="AR359" s="22"/>
    </row>
    <row r="360" spans="3:44" s="338" customFormat="1" x14ac:dyDescent="0.25">
      <c r="F360" s="35"/>
      <c r="G360" s="35"/>
      <c r="J360" s="165"/>
      <c r="K360" s="165"/>
      <c r="L360" s="165"/>
      <c r="M360" s="165"/>
      <c r="N360" s="165"/>
      <c r="O360" s="165"/>
      <c r="P360" s="165"/>
      <c r="Q360" s="165"/>
      <c r="R360" s="165"/>
      <c r="S360" s="165"/>
      <c r="T360" s="165"/>
    </row>
    <row r="361" spans="3:44" s="338" customFormat="1" x14ac:dyDescent="0.25">
      <c r="E361" s="172" t="s">
        <v>465</v>
      </c>
      <c r="F361" s="172"/>
      <c r="I361" s="163" t="s">
        <v>525</v>
      </c>
      <c r="J361" s="303"/>
      <c r="K361" s="303"/>
      <c r="L361" s="303"/>
      <c r="M361" s="303"/>
      <c r="N361" s="303"/>
      <c r="O361" s="303"/>
      <c r="P361" s="303"/>
      <c r="Q361" s="303"/>
      <c r="R361" s="303"/>
      <c r="S361" s="303"/>
      <c r="T361" s="200"/>
      <c r="U361" s="200"/>
      <c r="V361" s="200"/>
      <c r="W361" s="200"/>
      <c r="X361" s="200"/>
      <c r="Y361" s="200"/>
      <c r="Z361" s="200"/>
      <c r="AA361" s="200"/>
      <c r="AB361" s="200"/>
      <c r="AC361" s="200"/>
      <c r="AD361" s="200"/>
      <c r="AE361" s="200"/>
      <c r="AF361" s="200"/>
      <c r="AG361" s="200"/>
      <c r="AH361" s="200"/>
      <c r="AI361" s="200"/>
      <c r="AJ361" s="200"/>
      <c r="AK361" s="200"/>
      <c r="AL361" s="200"/>
      <c r="AM361" s="200"/>
      <c r="AN361" s="200"/>
      <c r="AO361" s="200"/>
      <c r="AP361" s="200"/>
      <c r="AR361" s="338" t="s">
        <v>966</v>
      </c>
    </row>
    <row r="362" spans="3:44" s="338" customFormat="1" x14ac:dyDescent="0.25">
      <c r="E362" s="172"/>
      <c r="F362" s="496" t="s">
        <v>460</v>
      </c>
      <c r="G362" s="166" t="s">
        <v>191</v>
      </c>
      <c r="H362" s="166"/>
      <c r="I362" s="166"/>
      <c r="J362" s="344" t="str">
        <f>'Fixed inputs'!J154</f>
        <v>1&amp;2</v>
      </c>
      <c r="K362" s="344" t="str">
        <f>'Fixed inputs'!K154</f>
        <v>1&amp;2</v>
      </c>
      <c r="L362" s="344" t="str">
        <f>'Fixed inputs'!L154</f>
        <v>1&amp;2</v>
      </c>
      <c r="M362" s="344" t="str">
        <f>'Fixed inputs'!M154</f>
        <v>3&amp;4</v>
      </c>
      <c r="N362" s="344" t="str">
        <f>'Fixed inputs'!N154</f>
        <v>3&amp;4</v>
      </c>
      <c r="O362" s="344" t="str">
        <f>'Fixed inputs'!O154</f>
        <v>3&amp;4</v>
      </c>
      <c r="P362" s="344">
        <f>'Fixed inputs'!P154</f>
        <v>0</v>
      </c>
      <c r="Q362" s="344">
        <f>'Fixed inputs'!Q154</f>
        <v>0</v>
      </c>
      <c r="R362" s="344">
        <f>'Fixed inputs'!R154</f>
        <v>0</v>
      </c>
      <c r="S362" s="344" t="str">
        <f>'Fixed inputs'!S154</f>
        <v>LV Network Domestic</v>
      </c>
      <c r="T362" s="344" t="str">
        <f>'Fixed inputs'!T154</f>
        <v>LV Network Non-Domestic</v>
      </c>
      <c r="U362" s="344">
        <f>'Fixed inputs'!U154</f>
        <v>0</v>
      </c>
      <c r="V362" s="344">
        <f>'Fixed inputs'!V154</f>
        <v>0</v>
      </c>
      <c r="W362" s="344">
        <f>'Fixed inputs'!W154</f>
        <v>0</v>
      </c>
      <c r="X362" s="344">
        <f>'Fixed inputs'!X154</f>
        <v>0</v>
      </c>
      <c r="Y362" s="344">
        <f>'Fixed inputs'!Y154</f>
        <v>0</v>
      </c>
      <c r="Z362" s="344">
        <f>'Fixed inputs'!Z154</f>
        <v>0</v>
      </c>
      <c r="AA362" s="344">
        <f>'Fixed inputs'!AA154</f>
        <v>0</v>
      </c>
      <c r="AB362" s="344">
        <f>'Fixed inputs'!AB154</f>
        <v>0</v>
      </c>
      <c r="AC362" s="344">
        <f>'Fixed inputs'!AC154</f>
        <v>0</v>
      </c>
      <c r="AD362" s="344">
        <f>'Fixed inputs'!AD154</f>
        <v>0</v>
      </c>
      <c r="AE362" s="344">
        <f>'Fixed inputs'!AE154</f>
        <v>0</v>
      </c>
      <c r="AF362" s="344">
        <f>'Fixed inputs'!AF154</f>
        <v>0</v>
      </c>
      <c r="AG362" s="344">
        <f>'Fixed inputs'!AG154</f>
        <v>0</v>
      </c>
      <c r="AH362" s="344">
        <f>'Fixed inputs'!AH154</f>
        <v>0</v>
      </c>
      <c r="AI362" s="344">
        <f>'Fixed inputs'!AI154</f>
        <v>0</v>
      </c>
      <c r="AJ362" s="344">
        <f>'Fixed inputs'!AJ154</f>
        <v>0</v>
      </c>
      <c r="AK362" s="344">
        <f>'Fixed inputs'!AK154</f>
        <v>0</v>
      </c>
      <c r="AL362" s="344">
        <f>'Fixed inputs'!AL154</f>
        <v>0</v>
      </c>
      <c r="AM362" s="344">
        <f>'Fixed inputs'!AM154</f>
        <v>0</v>
      </c>
      <c r="AN362" s="344">
        <f>'Fixed inputs'!AN154</f>
        <v>0</v>
      </c>
      <c r="AO362" s="344">
        <f>'Fixed inputs'!AO154</f>
        <v>0</v>
      </c>
      <c r="AP362" s="344">
        <f>'Fixed inputs'!AP154</f>
        <v>0</v>
      </c>
    </row>
    <row r="363" spans="3:44" s="338" customFormat="1" x14ac:dyDescent="0.25">
      <c r="E363" s="172"/>
      <c r="F363" s="497" t="s">
        <v>461</v>
      </c>
      <c r="G363" s="168" t="s">
        <v>191</v>
      </c>
      <c r="H363" s="168"/>
      <c r="I363" s="168"/>
      <c r="J363" s="343" t="str">
        <f>'Fixed inputs'!J155</f>
        <v>Domestic</v>
      </c>
      <c r="K363" s="343" t="str">
        <f>'Fixed inputs'!K155</f>
        <v>Domestic</v>
      </c>
      <c r="L363" s="343" t="str">
        <f>'Fixed inputs'!L155</f>
        <v>Domestic</v>
      </c>
      <c r="M363" s="343" t="str">
        <f>'Fixed inputs'!M155</f>
        <v>Non-domestic</v>
      </c>
      <c r="N363" s="343" t="str">
        <f>'Fixed inputs'!N155</f>
        <v>Non-domestic</v>
      </c>
      <c r="O363" s="343" t="str">
        <f>'Fixed inputs'!O155</f>
        <v>Non-domestic</v>
      </c>
      <c r="P363" s="343">
        <f>'Fixed inputs'!P155</f>
        <v>0</v>
      </c>
      <c r="Q363" s="343">
        <f>'Fixed inputs'!Q155</f>
        <v>0</v>
      </c>
      <c r="R363" s="343">
        <f>'Fixed inputs'!R155</f>
        <v>0</v>
      </c>
      <c r="S363" s="343" t="str">
        <f>'Fixed inputs'!S155</f>
        <v>Domestic</v>
      </c>
      <c r="T363" s="343" t="str">
        <f>'Fixed inputs'!T155</f>
        <v>Non-domestic</v>
      </c>
      <c r="U363" s="343">
        <f>'Fixed inputs'!U155</f>
        <v>0</v>
      </c>
      <c r="V363" s="343">
        <f>'Fixed inputs'!V155</f>
        <v>0</v>
      </c>
      <c r="W363" s="343">
        <f>'Fixed inputs'!W155</f>
        <v>0</v>
      </c>
      <c r="X363" s="343">
        <f>'Fixed inputs'!X155</f>
        <v>0</v>
      </c>
      <c r="Y363" s="343">
        <f>'Fixed inputs'!Y155</f>
        <v>0</v>
      </c>
      <c r="Z363" s="343">
        <f>'Fixed inputs'!Z155</f>
        <v>0</v>
      </c>
      <c r="AA363" s="343">
        <f>'Fixed inputs'!AA155</f>
        <v>0</v>
      </c>
      <c r="AB363" s="343">
        <f>'Fixed inputs'!AB155</f>
        <v>0</v>
      </c>
      <c r="AC363" s="343">
        <f>'Fixed inputs'!AC155</f>
        <v>0</v>
      </c>
      <c r="AD363" s="343">
        <f>'Fixed inputs'!AD155</f>
        <v>0</v>
      </c>
      <c r="AE363" s="343">
        <f>'Fixed inputs'!AE155</f>
        <v>0</v>
      </c>
      <c r="AF363" s="343">
        <f>'Fixed inputs'!AF155</f>
        <v>0</v>
      </c>
      <c r="AG363" s="343">
        <f>'Fixed inputs'!AG155</f>
        <v>0</v>
      </c>
      <c r="AH363" s="343">
        <f>'Fixed inputs'!AH155</f>
        <v>0</v>
      </c>
      <c r="AI363" s="343">
        <f>'Fixed inputs'!AI155</f>
        <v>0</v>
      </c>
      <c r="AJ363" s="343">
        <f>'Fixed inputs'!AJ155</f>
        <v>0</v>
      </c>
      <c r="AK363" s="343">
        <f>'Fixed inputs'!AK155</f>
        <v>0</v>
      </c>
      <c r="AL363" s="343">
        <f>'Fixed inputs'!AL155</f>
        <v>0</v>
      </c>
      <c r="AM363" s="343">
        <f>'Fixed inputs'!AM155</f>
        <v>0</v>
      </c>
      <c r="AN363" s="343">
        <f>'Fixed inputs'!AN155</f>
        <v>0</v>
      </c>
      <c r="AO363" s="343">
        <f>'Fixed inputs'!AO155</f>
        <v>0</v>
      </c>
      <c r="AP363" s="343">
        <f>'Fixed inputs'!AP155</f>
        <v>0</v>
      </c>
    </row>
    <row r="364" spans="3:44" s="338" customFormat="1" x14ac:dyDescent="0.25">
      <c r="D364" s="172"/>
      <c r="E364" s="218"/>
      <c r="F364" s="218"/>
      <c r="G364" s="339"/>
      <c r="H364" s="339"/>
      <c r="I364" s="339"/>
      <c r="J364" s="121"/>
      <c r="K364" s="121"/>
      <c r="L364" s="121"/>
      <c r="M364" s="121"/>
      <c r="N364" s="121"/>
      <c r="O364" s="121"/>
      <c r="P364" s="121"/>
      <c r="Q364" s="121"/>
      <c r="R364" s="121"/>
      <c r="S364" s="121"/>
      <c r="T364" s="121"/>
      <c r="U364" s="121"/>
      <c r="V364" s="121"/>
      <c r="W364" s="121"/>
      <c r="X364" s="121"/>
      <c r="Y364" s="121"/>
      <c r="Z364" s="121"/>
      <c r="AA364" s="121"/>
      <c r="AB364" s="121"/>
      <c r="AC364" s="121"/>
      <c r="AD364" s="121"/>
      <c r="AE364" s="121"/>
      <c r="AF364" s="121"/>
      <c r="AG364" s="121"/>
      <c r="AH364" s="121"/>
      <c r="AI364" s="121"/>
      <c r="AJ364" s="121"/>
      <c r="AK364" s="121"/>
      <c r="AL364" s="121"/>
      <c r="AM364" s="121"/>
      <c r="AN364" s="121"/>
      <c r="AO364" s="121"/>
      <c r="AP364" s="121"/>
    </row>
    <row r="365" spans="3:44" s="338" customFormat="1" x14ac:dyDescent="0.25">
      <c r="C365" s="22" t="str">
        <f ca="1">INDEX('Version control'!$H$34:$H$59,MATCH($A$1,'Version control'!$F$34:$F$59,0),1)&amp;"-N: Average pseudo load coefficient for HH tariff forecast, based on average split of units for NHH tariff forecast"</f>
        <v>Section 508-N: Average pseudo load coefficient for HH tariff forecast, based on average split of units for NHH tariff forecast</v>
      </c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2"/>
      <c r="AL365" s="22"/>
      <c r="AM365" s="22"/>
      <c r="AN365" s="22"/>
      <c r="AO365" s="22"/>
      <c r="AP365" s="22"/>
      <c r="AQ365" s="22"/>
      <c r="AR365" s="22"/>
    </row>
    <row r="366" spans="3:44" s="338" customFormat="1" x14ac:dyDescent="0.25">
      <c r="F366" s="35"/>
      <c r="G366" s="35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  <c r="AJ366" s="73"/>
      <c r="AK366" s="73"/>
      <c r="AL366" s="73"/>
      <c r="AM366" s="73"/>
      <c r="AN366" s="73"/>
      <c r="AO366" s="73"/>
      <c r="AP366" s="73"/>
    </row>
    <row r="367" spans="3:44" s="338" customFormat="1" x14ac:dyDescent="0.25">
      <c r="E367" s="172" t="s">
        <v>774</v>
      </c>
      <c r="H367" s="86" t="s">
        <v>878</v>
      </c>
    </row>
    <row r="368" spans="3:44" s="338" customFormat="1" x14ac:dyDescent="0.25">
      <c r="F368" s="40" t="s">
        <v>101</v>
      </c>
      <c r="G368" s="40" t="s">
        <v>111</v>
      </c>
      <c r="H368" s="201" t="s">
        <v>462</v>
      </c>
      <c r="I368" s="166"/>
      <c r="J368" s="185"/>
      <c r="K368" s="185"/>
      <c r="L368" s="185"/>
      <c r="M368" s="185"/>
      <c r="N368" s="185"/>
      <c r="O368" s="185"/>
      <c r="P368" s="185"/>
      <c r="Q368" s="185"/>
      <c r="R368" s="185"/>
      <c r="S368" s="364">
        <f>IF(SUMIF($J$362:$AP$362, $H368, $J$39:$AP$39) &lt;&gt; 0, SUMIF($J$362:$AP$362, $H368, $J73:$AP73) / SUMIF($J$362:$AP$362, $H368, $J$39:$AP$39), 0)</f>
        <v>0.12196186837052136</v>
      </c>
      <c r="T368" s="374"/>
      <c r="U368" s="185"/>
      <c r="V368" s="185"/>
      <c r="W368" s="185"/>
      <c r="X368" s="185"/>
      <c r="Y368" s="185"/>
      <c r="Z368" s="185"/>
      <c r="AA368" s="185"/>
      <c r="AB368" s="185"/>
      <c r="AC368" s="185"/>
      <c r="AD368" s="185"/>
      <c r="AE368" s="185"/>
      <c r="AF368" s="185"/>
      <c r="AG368" s="185"/>
      <c r="AH368" s="185"/>
      <c r="AI368" s="185"/>
      <c r="AJ368" s="185"/>
      <c r="AK368" s="185"/>
      <c r="AL368" s="185"/>
      <c r="AM368" s="185"/>
      <c r="AN368" s="185"/>
      <c r="AO368" s="185"/>
      <c r="AP368" s="185"/>
    </row>
    <row r="369" spans="5:42" s="338" customFormat="1" x14ac:dyDescent="0.25">
      <c r="F369" s="35" t="s">
        <v>102</v>
      </c>
      <c r="G369" s="35" t="s">
        <v>111</v>
      </c>
      <c r="H369" s="200" t="s">
        <v>462</v>
      </c>
      <c r="J369" s="178"/>
      <c r="K369" s="178"/>
      <c r="L369" s="178"/>
      <c r="M369" s="178"/>
      <c r="N369" s="178"/>
      <c r="O369" s="178"/>
      <c r="P369" s="178"/>
      <c r="Q369" s="178"/>
      <c r="R369" s="178"/>
      <c r="S369" s="375">
        <f>IF(SUMIF($J$362:$AP$362, $H369, $J$39:$AP$39) &lt;&gt; 0, SUMIF($J$362:$AP$362, $H369, $J74:$AP74) / SUMIF($J$362:$AP$362, $H369, $J$39:$AP$39), 0)</f>
        <v>0.5483789147335405</v>
      </c>
      <c r="T369" s="158"/>
      <c r="U369" s="178"/>
      <c r="V369" s="178"/>
      <c r="W369" s="178"/>
      <c r="X369" s="178"/>
      <c r="Y369" s="178"/>
      <c r="Z369" s="178"/>
      <c r="AA369" s="178"/>
      <c r="AB369" s="178"/>
      <c r="AC369" s="178"/>
      <c r="AD369" s="178"/>
      <c r="AE369" s="178"/>
      <c r="AF369" s="178"/>
      <c r="AG369" s="178"/>
      <c r="AH369" s="178"/>
      <c r="AI369" s="178"/>
      <c r="AJ369" s="178"/>
      <c r="AK369" s="178"/>
      <c r="AL369" s="178"/>
      <c r="AM369" s="178"/>
      <c r="AN369" s="178"/>
      <c r="AO369" s="178"/>
      <c r="AP369" s="178"/>
    </row>
    <row r="370" spans="5:42" s="338" customFormat="1" x14ac:dyDescent="0.25">
      <c r="F370" s="38" t="s">
        <v>103</v>
      </c>
      <c r="G370" s="38" t="s">
        <v>111</v>
      </c>
      <c r="H370" s="262" t="s">
        <v>462</v>
      </c>
      <c r="I370" s="168"/>
      <c r="J370" s="179"/>
      <c r="K370" s="179"/>
      <c r="L370" s="179"/>
      <c r="M370" s="179"/>
      <c r="N370" s="179"/>
      <c r="O370" s="179"/>
      <c r="P370" s="179"/>
      <c r="Q370" s="179"/>
      <c r="R370" s="179"/>
      <c r="S370" s="376">
        <f>IF(SUMIF($J$362:$AP$362, $H370, $J$39:$AP$39) &lt;&gt; 0, SUMIF($J$362:$AP$362, $H370, $J75:$AP75) / SUMIF($J$362:$AP$362, $H370, $J$39:$AP$39), 0)</f>
        <v>0.32965921689593813</v>
      </c>
      <c r="T370" s="377"/>
      <c r="U370" s="179"/>
      <c r="V370" s="179"/>
      <c r="W370" s="179"/>
      <c r="X370" s="179"/>
      <c r="Y370" s="179"/>
      <c r="Z370" s="179"/>
      <c r="AA370" s="179"/>
      <c r="AB370" s="179"/>
      <c r="AC370" s="179"/>
      <c r="AD370" s="179"/>
      <c r="AE370" s="179"/>
      <c r="AF370" s="179"/>
      <c r="AG370" s="179"/>
      <c r="AH370" s="179"/>
      <c r="AI370" s="179"/>
      <c r="AJ370" s="179"/>
      <c r="AK370" s="179"/>
      <c r="AL370" s="179"/>
      <c r="AM370" s="179"/>
      <c r="AN370" s="179"/>
      <c r="AO370" s="179"/>
      <c r="AP370" s="179"/>
    </row>
    <row r="371" spans="5:42" s="338" customFormat="1" x14ac:dyDescent="0.25">
      <c r="G371" s="35"/>
      <c r="H371" s="200"/>
      <c r="J371" s="165"/>
      <c r="S371" s="153"/>
      <c r="T371" s="153"/>
    </row>
    <row r="372" spans="5:42" s="338" customFormat="1" x14ac:dyDescent="0.25">
      <c r="E372" s="172" t="s">
        <v>775</v>
      </c>
      <c r="H372" s="86" t="s">
        <v>878</v>
      </c>
      <c r="S372" s="153"/>
      <c r="T372" s="153"/>
    </row>
    <row r="373" spans="5:42" s="338" customFormat="1" x14ac:dyDescent="0.25">
      <c r="F373" s="40" t="s">
        <v>101</v>
      </c>
      <c r="G373" s="40" t="s">
        <v>111</v>
      </c>
      <c r="H373" s="201" t="s">
        <v>463</v>
      </c>
      <c r="I373" s="166"/>
      <c r="J373" s="185"/>
      <c r="K373" s="185"/>
      <c r="L373" s="185"/>
      <c r="M373" s="185"/>
      <c r="N373" s="185"/>
      <c r="O373" s="185"/>
      <c r="P373" s="185"/>
      <c r="Q373" s="185"/>
      <c r="R373" s="185"/>
      <c r="S373" s="374"/>
      <c r="T373" s="364">
        <f>IF(SUMIF($J$362:$AP$362, $H373, $J$39:$AP$39) &lt;&gt; 0, SUMIF($J$362:$AP$362, $H373, $J73:$AP73) / SUMIF($J$362:$AP$362, $H373, $J$39:$AP$39), 0)</f>
        <v>9.6727756167007226E-2</v>
      </c>
      <c r="U373" s="185"/>
      <c r="V373" s="185"/>
      <c r="W373" s="185"/>
      <c r="X373" s="185"/>
      <c r="Y373" s="185"/>
      <c r="Z373" s="185"/>
      <c r="AA373" s="185"/>
      <c r="AB373" s="185"/>
      <c r="AC373" s="185"/>
      <c r="AD373" s="185"/>
      <c r="AE373" s="185"/>
      <c r="AF373" s="185"/>
      <c r="AG373" s="185"/>
      <c r="AH373" s="185"/>
      <c r="AI373" s="185"/>
      <c r="AJ373" s="185"/>
      <c r="AK373" s="185"/>
      <c r="AL373" s="185"/>
      <c r="AM373" s="185"/>
      <c r="AN373" s="185"/>
      <c r="AO373" s="185"/>
      <c r="AP373" s="185"/>
    </row>
    <row r="374" spans="5:42" s="338" customFormat="1" x14ac:dyDescent="0.25">
      <c r="F374" s="35" t="s">
        <v>102</v>
      </c>
      <c r="G374" s="35" t="s">
        <v>111</v>
      </c>
      <c r="H374" s="200" t="s">
        <v>463</v>
      </c>
      <c r="J374" s="178"/>
      <c r="K374" s="178"/>
      <c r="L374" s="178"/>
      <c r="M374" s="178"/>
      <c r="N374" s="178"/>
      <c r="O374" s="178"/>
      <c r="P374" s="178"/>
      <c r="Q374" s="178"/>
      <c r="R374" s="178"/>
      <c r="S374" s="158"/>
      <c r="T374" s="375">
        <f>IF(SUMIF($J$362:$AP$362, $H374, $J$39:$AP$39) &lt;&gt; 0, SUMIF($J$362:$AP$362, $H374, $J74:$AP74) / SUMIF($J$362:$AP$362, $H374, $J$39:$AP$39), 0)</f>
        <v>0.62395769711267335</v>
      </c>
      <c r="U374" s="178"/>
      <c r="V374" s="178"/>
      <c r="W374" s="178"/>
      <c r="X374" s="178"/>
      <c r="Y374" s="178"/>
      <c r="Z374" s="178"/>
      <c r="AA374" s="178"/>
      <c r="AB374" s="178"/>
      <c r="AC374" s="178"/>
      <c r="AD374" s="178"/>
      <c r="AE374" s="178"/>
      <c r="AF374" s="178"/>
      <c r="AG374" s="178"/>
      <c r="AH374" s="178"/>
      <c r="AI374" s="178"/>
      <c r="AJ374" s="178"/>
      <c r="AK374" s="178"/>
      <c r="AL374" s="178"/>
      <c r="AM374" s="178"/>
      <c r="AN374" s="178"/>
      <c r="AO374" s="178"/>
      <c r="AP374" s="178"/>
    </row>
    <row r="375" spans="5:42" s="338" customFormat="1" x14ac:dyDescent="0.25">
      <c r="F375" s="38" t="s">
        <v>103</v>
      </c>
      <c r="G375" s="38" t="s">
        <v>111</v>
      </c>
      <c r="H375" s="262" t="s">
        <v>463</v>
      </c>
      <c r="I375" s="168"/>
      <c r="J375" s="179"/>
      <c r="K375" s="179"/>
      <c r="L375" s="179"/>
      <c r="M375" s="179"/>
      <c r="N375" s="179"/>
      <c r="O375" s="179"/>
      <c r="P375" s="179"/>
      <c r="Q375" s="179"/>
      <c r="R375" s="179"/>
      <c r="S375" s="377"/>
      <c r="T375" s="376">
        <f>IF(SUMIF($J$362:$AP$362, $H375, $J$39:$AP$39) &lt;&gt; 0, SUMIF($J$362:$AP$362, $H375, $J75:$AP75) / SUMIF($J$362:$AP$362, $H375, $J$39:$AP$39), 0)</f>
        <v>0.27931454672031952</v>
      </c>
      <c r="U375" s="179"/>
      <c r="V375" s="179"/>
      <c r="W375" s="179"/>
      <c r="X375" s="179"/>
      <c r="Y375" s="179"/>
      <c r="Z375" s="179"/>
      <c r="AA375" s="179"/>
      <c r="AB375" s="179"/>
      <c r="AC375" s="179"/>
      <c r="AD375" s="179"/>
      <c r="AE375" s="179"/>
      <c r="AF375" s="179"/>
      <c r="AG375" s="179"/>
      <c r="AH375" s="179"/>
      <c r="AI375" s="179"/>
      <c r="AJ375" s="179"/>
      <c r="AK375" s="179"/>
      <c r="AL375" s="179"/>
      <c r="AM375" s="179"/>
      <c r="AN375" s="179"/>
      <c r="AO375" s="179"/>
      <c r="AP375" s="179"/>
    </row>
    <row r="376" spans="5:42" s="338" customFormat="1" x14ac:dyDescent="0.25">
      <c r="G376" s="35"/>
      <c r="J376" s="165"/>
    </row>
    <row r="377" spans="5:42" s="338" customFormat="1" x14ac:dyDescent="0.25">
      <c r="E377" s="172" t="s">
        <v>879</v>
      </c>
      <c r="H377" s="86"/>
      <c r="S377" s="153"/>
      <c r="T377" s="153"/>
    </row>
    <row r="378" spans="5:42" s="338" customFormat="1" x14ac:dyDescent="0.25">
      <c r="F378" s="40" t="s">
        <v>101</v>
      </c>
      <c r="G378" s="40" t="s">
        <v>111</v>
      </c>
      <c r="H378" s="201"/>
      <c r="I378" s="166"/>
      <c r="J378" s="185"/>
      <c r="K378" s="185"/>
      <c r="L378" s="185"/>
      <c r="M378" s="185"/>
      <c r="N378" s="185"/>
      <c r="O378" s="185"/>
      <c r="P378" s="185"/>
      <c r="Q378" s="185"/>
      <c r="R378" s="185"/>
      <c r="S378" s="364">
        <f>S368 + S373</f>
        <v>0.12196186837052136</v>
      </c>
      <c r="T378" s="364">
        <f>T368 + T373</f>
        <v>9.6727756167007226E-2</v>
      </c>
      <c r="U378" s="185"/>
      <c r="V378" s="185"/>
      <c r="W378" s="185"/>
      <c r="X378" s="185"/>
      <c r="Y378" s="185"/>
      <c r="Z378" s="185"/>
      <c r="AA378" s="185"/>
      <c r="AB378" s="185"/>
      <c r="AC378" s="185"/>
      <c r="AD378" s="185"/>
      <c r="AE378" s="185"/>
      <c r="AF378" s="185"/>
      <c r="AG378" s="185"/>
      <c r="AH378" s="185"/>
      <c r="AI378" s="185"/>
      <c r="AJ378" s="185"/>
      <c r="AK378" s="185"/>
      <c r="AL378" s="185"/>
      <c r="AM378" s="185"/>
      <c r="AN378" s="185"/>
      <c r="AO378" s="185"/>
      <c r="AP378" s="185"/>
    </row>
    <row r="379" spans="5:42" s="338" customFormat="1" x14ac:dyDescent="0.25">
      <c r="F379" s="35" t="s">
        <v>102</v>
      </c>
      <c r="G379" s="35" t="s">
        <v>111</v>
      </c>
      <c r="H379" s="200"/>
      <c r="J379" s="178"/>
      <c r="K379" s="178"/>
      <c r="L379" s="178"/>
      <c r="M379" s="178"/>
      <c r="N379" s="178"/>
      <c r="O379" s="178"/>
      <c r="P379" s="178"/>
      <c r="Q379" s="178"/>
      <c r="R379" s="178"/>
      <c r="S379" s="375">
        <f t="shared" ref="S379:T380" si="117">S369 + S374</f>
        <v>0.5483789147335405</v>
      </c>
      <c r="T379" s="375">
        <f t="shared" si="117"/>
        <v>0.62395769711267335</v>
      </c>
      <c r="U379" s="178"/>
      <c r="V379" s="178"/>
      <c r="W379" s="178"/>
      <c r="X379" s="178"/>
      <c r="Y379" s="178"/>
      <c r="Z379" s="178"/>
      <c r="AA379" s="178"/>
      <c r="AB379" s="178"/>
      <c r="AC379" s="178"/>
      <c r="AD379" s="178"/>
      <c r="AE379" s="178"/>
      <c r="AF379" s="178"/>
      <c r="AG379" s="178"/>
      <c r="AH379" s="178"/>
      <c r="AI379" s="178"/>
      <c r="AJ379" s="178"/>
      <c r="AK379" s="178"/>
      <c r="AL379" s="178"/>
      <c r="AM379" s="178"/>
      <c r="AN379" s="178"/>
      <c r="AO379" s="178"/>
      <c r="AP379" s="178"/>
    </row>
    <row r="380" spans="5:42" s="338" customFormat="1" x14ac:dyDescent="0.25">
      <c r="F380" s="38" t="s">
        <v>103</v>
      </c>
      <c r="G380" s="38" t="s">
        <v>111</v>
      </c>
      <c r="H380" s="262"/>
      <c r="I380" s="168"/>
      <c r="J380" s="179"/>
      <c r="K380" s="179"/>
      <c r="L380" s="179"/>
      <c r="M380" s="179"/>
      <c r="N380" s="179"/>
      <c r="O380" s="179"/>
      <c r="P380" s="179"/>
      <c r="Q380" s="179"/>
      <c r="R380" s="179"/>
      <c r="S380" s="376">
        <f t="shared" si="117"/>
        <v>0.32965921689593813</v>
      </c>
      <c r="T380" s="376">
        <f t="shared" si="117"/>
        <v>0.27931454672031952</v>
      </c>
      <c r="U380" s="179"/>
      <c r="V380" s="179"/>
      <c r="W380" s="179"/>
      <c r="X380" s="179"/>
      <c r="Y380" s="179"/>
      <c r="Z380" s="179"/>
      <c r="AA380" s="179"/>
      <c r="AB380" s="179"/>
      <c r="AC380" s="179"/>
      <c r="AD380" s="179"/>
      <c r="AE380" s="179"/>
      <c r="AF380" s="179"/>
      <c r="AG380" s="179"/>
      <c r="AH380" s="179"/>
      <c r="AI380" s="179"/>
      <c r="AJ380" s="179"/>
      <c r="AK380" s="179"/>
      <c r="AL380" s="179"/>
      <c r="AM380" s="179"/>
      <c r="AN380" s="179"/>
      <c r="AO380" s="179"/>
      <c r="AP380" s="179"/>
    </row>
    <row r="381" spans="5:42" s="338" customFormat="1" x14ac:dyDescent="0.25">
      <c r="G381" s="35"/>
      <c r="J381" s="165"/>
    </row>
    <row r="382" spans="5:42" s="338" customFormat="1" x14ac:dyDescent="0.25">
      <c r="E382" s="172" t="s">
        <v>880</v>
      </c>
      <c r="G382" s="35"/>
    </row>
    <row r="383" spans="5:42" s="338" customFormat="1" x14ac:dyDescent="0.25">
      <c r="F383" s="40" t="s">
        <v>43</v>
      </c>
      <c r="G383" s="40" t="s">
        <v>636</v>
      </c>
      <c r="H383" s="166"/>
      <c r="I383" s="166"/>
      <c r="J383" s="402"/>
      <c r="K383" s="402"/>
      <c r="L383" s="402"/>
      <c r="M383" s="402"/>
      <c r="N383" s="402"/>
      <c r="O383" s="402"/>
      <c r="P383" s="402"/>
      <c r="Q383" s="402"/>
      <c r="R383" s="402"/>
      <c r="S383" s="431">
        <f>SUMPRODUCT(S206:S208,S$378:S$380,S$253:S$255) * hours_in_year * S$122</f>
        <v>2.3903188629484546</v>
      </c>
      <c r="T383" s="431">
        <f>SUMPRODUCT(T206:T208,T$378:T$380,T$253:T$255) * hours_in_year * T$122</f>
        <v>1.5448577914573354</v>
      </c>
      <c r="U383" s="402"/>
      <c r="V383" s="402"/>
      <c r="W383" s="402"/>
      <c r="X383" s="402"/>
      <c r="Y383" s="402"/>
      <c r="Z383" s="402"/>
      <c r="AA383" s="402"/>
      <c r="AB383" s="402"/>
      <c r="AC383" s="402"/>
      <c r="AD383" s="402"/>
      <c r="AE383" s="402"/>
      <c r="AF383" s="402"/>
      <c r="AG383" s="402"/>
      <c r="AH383" s="402"/>
      <c r="AI383" s="402"/>
      <c r="AJ383" s="402"/>
      <c r="AK383" s="402"/>
      <c r="AL383" s="402"/>
      <c r="AM383" s="402"/>
      <c r="AN383" s="402"/>
      <c r="AO383" s="402"/>
      <c r="AP383" s="402"/>
    </row>
    <row r="384" spans="5:42" s="338" customFormat="1" x14ac:dyDescent="0.25">
      <c r="F384" s="145" t="s">
        <v>44</v>
      </c>
      <c r="G384" s="145" t="s">
        <v>636</v>
      </c>
      <c r="H384" s="339"/>
      <c r="I384" s="339"/>
      <c r="J384" s="403"/>
      <c r="K384" s="403"/>
      <c r="L384" s="403"/>
      <c r="M384" s="403"/>
      <c r="N384" s="403"/>
      <c r="O384" s="403"/>
      <c r="P384" s="403"/>
      <c r="Q384" s="403"/>
      <c r="R384" s="403"/>
      <c r="S384" s="428">
        <f>SUMPRODUCT(S211:S213,S$378:S$380,S$253:S$255) * hours_in_year * S$122</f>
        <v>2.3583993929406333</v>
      </c>
      <c r="T384" s="428">
        <f>SUMPRODUCT(T211:T213,T$378:T$380,T$253:T$255) * hours_in_year * T$122</f>
        <v>1.5575890202050577</v>
      </c>
      <c r="U384" s="403"/>
      <c r="V384" s="403"/>
      <c r="W384" s="403"/>
      <c r="X384" s="403"/>
      <c r="Y384" s="403"/>
      <c r="Z384" s="403"/>
      <c r="AA384" s="403"/>
      <c r="AB384" s="403"/>
      <c r="AC384" s="403"/>
      <c r="AD384" s="403"/>
      <c r="AE384" s="403"/>
      <c r="AF384" s="403"/>
      <c r="AG384" s="403"/>
      <c r="AH384" s="403"/>
      <c r="AI384" s="403"/>
      <c r="AJ384" s="403"/>
      <c r="AK384" s="403"/>
      <c r="AL384" s="403"/>
      <c r="AM384" s="403"/>
      <c r="AN384" s="403"/>
      <c r="AO384" s="403"/>
      <c r="AP384" s="403"/>
    </row>
    <row r="385" spans="3:44" s="338" customFormat="1" x14ac:dyDescent="0.25">
      <c r="F385" s="145" t="s">
        <v>45</v>
      </c>
      <c r="G385" s="145" t="s">
        <v>636</v>
      </c>
      <c r="H385" s="339"/>
      <c r="I385" s="339"/>
      <c r="J385" s="403"/>
      <c r="K385" s="403"/>
      <c r="L385" s="403"/>
      <c r="M385" s="403"/>
      <c r="N385" s="403"/>
      <c r="O385" s="403"/>
      <c r="P385" s="403"/>
      <c r="Q385" s="403"/>
      <c r="R385" s="403"/>
      <c r="S385" s="428">
        <f>SUMPRODUCT(S216:S218,S$378:S$380,S$253:S$255) * hours_in_year * S$122</f>
        <v>2.3583993929406333</v>
      </c>
      <c r="T385" s="428">
        <f>SUMPRODUCT(T216:T218,T$378:T$380,T$253:T$255) * hours_in_year * T$122</f>
        <v>1.5575890202050577</v>
      </c>
      <c r="U385" s="403"/>
      <c r="V385" s="403"/>
      <c r="W385" s="403"/>
      <c r="X385" s="403"/>
      <c r="Y385" s="403"/>
      <c r="Z385" s="403"/>
      <c r="AA385" s="403"/>
      <c r="AB385" s="403"/>
      <c r="AC385" s="403"/>
      <c r="AD385" s="403"/>
      <c r="AE385" s="403"/>
      <c r="AF385" s="403"/>
      <c r="AG385" s="403"/>
      <c r="AH385" s="403"/>
      <c r="AI385" s="403"/>
      <c r="AJ385" s="403"/>
      <c r="AK385" s="403"/>
      <c r="AL385" s="403"/>
      <c r="AM385" s="403"/>
      <c r="AN385" s="403"/>
      <c r="AO385" s="403"/>
      <c r="AP385" s="403"/>
    </row>
    <row r="386" spans="3:44" s="338" customFormat="1" x14ac:dyDescent="0.25">
      <c r="F386" s="145" t="s">
        <v>46</v>
      </c>
      <c r="G386" s="145" t="s">
        <v>636</v>
      </c>
      <c r="H386" s="339"/>
      <c r="I386" s="339"/>
      <c r="J386" s="403"/>
      <c r="K386" s="403"/>
      <c r="L386" s="403"/>
      <c r="M386" s="403"/>
      <c r="N386" s="403"/>
      <c r="O386" s="403"/>
      <c r="P386" s="403"/>
      <c r="Q386" s="403"/>
      <c r="R386" s="403"/>
      <c r="S386" s="428">
        <f>SUMPRODUCT(S221:S223,S$378:S$380,S$253:S$255) * hours_in_year * S$122</f>
        <v>2.2715706046946766</v>
      </c>
      <c r="T386" s="428">
        <f>SUMPRODUCT(T221:T223,T$378:T$380,T$253:T$255) * hours_in_year * T$122</f>
        <v>1.5869495260194904</v>
      </c>
      <c r="U386" s="403"/>
      <c r="V386" s="403"/>
      <c r="W386" s="403"/>
      <c r="X386" s="403"/>
      <c r="Y386" s="403"/>
      <c r="Z386" s="403"/>
      <c r="AA386" s="403"/>
      <c r="AB386" s="403"/>
      <c r="AC386" s="403"/>
      <c r="AD386" s="403"/>
      <c r="AE386" s="403"/>
      <c r="AF386" s="403"/>
      <c r="AG386" s="403"/>
      <c r="AH386" s="403"/>
      <c r="AI386" s="403"/>
      <c r="AJ386" s="403"/>
      <c r="AK386" s="403"/>
      <c r="AL386" s="403"/>
      <c r="AM386" s="403"/>
      <c r="AN386" s="403"/>
      <c r="AO386" s="403"/>
      <c r="AP386" s="403"/>
    </row>
    <row r="387" spans="3:44" s="338" customFormat="1" x14ac:dyDescent="0.25">
      <c r="F387" s="145" t="s">
        <v>47</v>
      </c>
      <c r="G387" s="145" t="s">
        <v>636</v>
      </c>
      <c r="H387" s="339"/>
      <c r="I387" s="339"/>
      <c r="J387" s="403"/>
      <c r="K387" s="403"/>
      <c r="L387" s="403"/>
      <c r="M387" s="403"/>
      <c r="N387" s="403"/>
      <c r="O387" s="403"/>
      <c r="P387" s="403"/>
      <c r="Q387" s="403"/>
      <c r="R387" s="403"/>
      <c r="S387" s="428">
        <f>SUMPRODUCT(S226:S228,S$378:S$380,S$253:S$255) * hours_in_year * S$122</f>
        <v>2.2715706046946766</v>
      </c>
      <c r="T387" s="428">
        <f>SUMPRODUCT(T226:T228,T$378:T$380,T$253:T$255) * hours_in_year * T$122</f>
        <v>1.5869495260194904</v>
      </c>
      <c r="U387" s="403"/>
      <c r="V387" s="403"/>
      <c r="W387" s="403"/>
      <c r="X387" s="403"/>
      <c r="Y387" s="403"/>
      <c r="Z387" s="403"/>
      <c r="AA387" s="403"/>
      <c r="AB387" s="403"/>
      <c r="AC387" s="403"/>
      <c r="AD387" s="403"/>
      <c r="AE387" s="403"/>
      <c r="AF387" s="403"/>
      <c r="AG387" s="403"/>
      <c r="AH387" s="403"/>
      <c r="AI387" s="403"/>
      <c r="AJ387" s="403"/>
      <c r="AK387" s="403"/>
      <c r="AL387" s="403"/>
      <c r="AM387" s="403"/>
      <c r="AN387" s="403"/>
      <c r="AO387" s="403"/>
      <c r="AP387" s="403"/>
    </row>
    <row r="388" spans="3:44" s="338" customFormat="1" x14ac:dyDescent="0.25">
      <c r="F388" s="145" t="s">
        <v>51</v>
      </c>
      <c r="G388" s="145" t="s">
        <v>636</v>
      </c>
      <c r="H388" s="339"/>
      <c r="I388" s="339"/>
      <c r="J388" s="403"/>
      <c r="K388" s="403"/>
      <c r="L388" s="403"/>
      <c r="M388" s="403"/>
      <c r="N388" s="403"/>
      <c r="O388" s="403"/>
      <c r="P388" s="403"/>
      <c r="Q388" s="403"/>
      <c r="R388" s="403"/>
      <c r="S388" s="428">
        <f>SUMPRODUCT(S231:S233,S$378:S$380,S$253:S$255) * hours_in_year * S$122</f>
        <v>0</v>
      </c>
      <c r="T388" s="428">
        <f>SUMPRODUCT(T231:T233,T$378:T$380,T$253:T$255) * hours_in_year * T$122</f>
        <v>0</v>
      </c>
      <c r="U388" s="403"/>
      <c r="V388" s="403"/>
      <c r="W388" s="403"/>
      <c r="X388" s="403"/>
      <c r="Y388" s="403"/>
      <c r="Z388" s="403"/>
      <c r="AA388" s="403"/>
      <c r="AB388" s="403"/>
      <c r="AC388" s="403"/>
      <c r="AD388" s="403"/>
      <c r="AE388" s="403"/>
      <c r="AF388" s="403"/>
      <c r="AG388" s="403"/>
      <c r="AH388" s="403"/>
      <c r="AI388" s="403"/>
      <c r="AJ388" s="403"/>
      <c r="AK388" s="403"/>
      <c r="AL388" s="403"/>
      <c r="AM388" s="403"/>
      <c r="AN388" s="403"/>
      <c r="AO388" s="403"/>
      <c r="AP388" s="403"/>
    </row>
    <row r="389" spans="3:44" s="338" customFormat="1" x14ac:dyDescent="0.25">
      <c r="F389" s="145" t="s">
        <v>48</v>
      </c>
      <c r="G389" s="145" t="s">
        <v>636</v>
      </c>
      <c r="H389" s="339"/>
      <c r="I389" s="339"/>
      <c r="J389" s="403"/>
      <c r="K389" s="403"/>
      <c r="L389" s="403"/>
      <c r="M389" s="403"/>
      <c r="N389" s="403"/>
      <c r="O389" s="403"/>
      <c r="P389" s="403"/>
      <c r="Q389" s="403"/>
      <c r="R389" s="403"/>
      <c r="S389" s="428">
        <f>SUMPRODUCT(S236:S238,S$378:S$380,S$253:S$255) * hours_in_year * S$122</f>
        <v>2.1570741499767472</v>
      </c>
      <c r="T389" s="428">
        <f>SUMPRODUCT(T236:T238,T$378:T$380,T$253:T$255) * hours_in_year * T$122</f>
        <v>1.6242589343250251</v>
      </c>
      <c r="U389" s="403"/>
      <c r="V389" s="403"/>
      <c r="W389" s="403"/>
      <c r="X389" s="403"/>
      <c r="Y389" s="403"/>
      <c r="Z389" s="403"/>
      <c r="AA389" s="403"/>
      <c r="AB389" s="403"/>
      <c r="AC389" s="403"/>
      <c r="AD389" s="403"/>
      <c r="AE389" s="403"/>
      <c r="AF389" s="403"/>
      <c r="AG389" s="403"/>
      <c r="AH389" s="403"/>
      <c r="AI389" s="403"/>
      <c r="AJ389" s="403"/>
      <c r="AK389" s="403"/>
      <c r="AL389" s="403"/>
      <c r="AM389" s="403"/>
      <c r="AN389" s="403"/>
      <c r="AO389" s="403"/>
      <c r="AP389" s="403"/>
    </row>
    <row r="390" spans="3:44" s="338" customFormat="1" x14ac:dyDescent="0.25">
      <c r="F390" s="145" t="s">
        <v>49</v>
      </c>
      <c r="G390" s="145" t="s">
        <v>636</v>
      </c>
      <c r="H390" s="339"/>
      <c r="I390" s="339"/>
      <c r="J390" s="403"/>
      <c r="K390" s="403"/>
      <c r="L390" s="403"/>
      <c r="M390" s="403"/>
      <c r="N390" s="403"/>
      <c r="O390" s="403"/>
      <c r="P390" s="403"/>
      <c r="Q390" s="403"/>
      <c r="R390" s="403"/>
      <c r="S390" s="428">
        <f>SUMPRODUCT(S241:S243,S$378:S$380,S$253:S$255) * hours_in_year * S$122</f>
        <v>2.1570741499767472</v>
      </c>
      <c r="T390" s="428">
        <f>SUMPRODUCT(T241:T243,T$378:T$380,T$253:T$255) * hours_in_year * T$122</f>
        <v>1.6242589343250251</v>
      </c>
      <c r="U390" s="403"/>
      <c r="V390" s="403"/>
      <c r="W390" s="403"/>
      <c r="X390" s="403"/>
      <c r="Y390" s="403"/>
      <c r="Z390" s="403"/>
      <c r="AA390" s="403"/>
      <c r="AB390" s="403"/>
      <c r="AC390" s="403"/>
      <c r="AD390" s="403"/>
      <c r="AE390" s="403"/>
      <c r="AF390" s="403"/>
      <c r="AG390" s="403"/>
      <c r="AH390" s="403"/>
      <c r="AI390" s="403"/>
      <c r="AJ390" s="403"/>
      <c r="AK390" s="403"/>
      <c r="AL390" s="403"/>
      <c r="AM390" s="403"/>
      <c r="AN390" s="403"/>
      <c r="AO390" s="403"/>
      <c r="AP390" s="403"/>
    </row>
    <row r="391" spans="3:44" s="338" customFormat="1" x14ac:dyDescent="0.25">
      <c r="F391" s="77" t="s">
        <v>50</v>
      </c>
      <c r="G391" s="38" t="s">
        <v>636</v>
      </c>
      <c r="H391" s="182"/>
      <c r="I391" s="168"/>
      <c r="J391" s="404"/>
      <c r="K391" s="404"/>
      <c r="L391" s="404"/>
      <c r="M391" s="404"/>
      <c r="N391" s="404"/>
      <c r="O391" s="404"/>
      <c r="P391" s="404"/>
      <c r="Q391" s="404"/>
      <c r="R391" s="404"/>
      <c r="S391" s="432">
        <f>SUMPRODUCT(S246:S248,S$378:S$380,S$253:S$255) * hours_in_year * S$122</f>
        <v>2.1570741499767472</v>
      </c>
      <c r="T391" s="432">
        <f>SUMPRODUCT(T246:T248,T$378:T$380,T$253:T$255) * hours_in_year * T$122</f>
        <v>1.6242589343250251</v>
      </c>
      <c r="U391" s="404"/>
      <c r="V391" s="404"/>
      <c r="W391" s="404"/>
      <c r="X391" s="404"/>
      <c r="Y391" s="404"/>
      <c r="Z391" s="404"/>
      <c r="AA391" s="404"/>
      <c r="AB391" s="404"/>
      <c r="AC391" s="404"/>
      <c r="AD391" s="404"/>
      <c r="AE391" s="404"/>
      <c r="AF391" s="404"/>
      <c r="AG391" s="404"/>
      <c r="AH391" s="404"/>
      <c r="AI391" s="404"/>
      <c r="AJ391" s="404"/>
      <c r="AK391" s="404"/>
      <c r="AL391" s="404"/>
      <c r="AM391" s="404"/>
      <c r="AN391" s="404"/>
      <c r="AO391" s="404"/>
      <c r="AP391" s="404"/>
    </row>
    <row r="392" spans="3:44" s="338" customFormat="1" x14ac:dyDescent="0.25">
      <c r="F392" s="372"/>
      <c r="G392" s="145"/>
      <c r="H392" s="181"/>
      <c r="I392" s="339"/>
      <c r="J392" s="128"/>
      <c r="K392" s="128"/>
      <c r="L392" s="128"/>
      <c r="M392" s="128"/>
      <c r="N392" s="128"/>
      <c r="O392" s="128"/>
      <c r="P392" s="128"/>
      <c r="Q392" s="128"/>
      <c r="R392" s="128"/>
      <c r="S392" s="128"/>
      <c r="T392" s="128"/>
      <c r="U392" s="128"/>
      <c r="V392" s="128"/>
      <c r="W392" s="128"/>
      <c r="X392" s="128"/>
      <c r="Y392" s="128"/>
      <c r="Z392" s="128"/>
      <c r="AA392" s="128"/>
      <c r="AB392" s="128"/>
      <c r="AC392" s="128"/>
      <c r="AD392" s="128"/>
      <c r="AE392" s="128"/>
      <c r="AF392" s="128"/>
      <c r="AG392" s="128"/>
      <c r="AH392" s="128"/>
      <c r="AI392" s="128"/>
      <c r="AJ392" s="128"/>
      <c r="AK392" s="128"/>
      <c r="AL392" s="128"/>
      <c r="AM392" s="128"/>
      <c r="AN392" s="128"/>
      <c r="AO392" s="128"/>
      <c r="AP392" s="128"/>
    </row>
    <row r="393" spans="3:44" s="338" customFormat="1" x14ac:dyDescent="0.25">
      <c r="C393" s="22" t="str">
        <f ca="1">INDEX('Version control'!$H$34:$H$59,MATCH($A$1,'Version control'!$F$34:$F$59,0),1)&amp;"-O: Volume weighted average pseudo load coefficient by profile class"</f>
        <v>Section 508-O: Volume weighted average pseudo load coefficient by profile class</v>
      </c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L393" s="22"/>
      <c r="AM393" s="22"/>
      <c r="AN393" s="22"/>
      <c r="AO393" s="22"/>
      <c r="AP393" s="22"/>
      <c r="AQ393" s="22"/>
      <c r="AR393" s="22"/>
    </row>
    <row r="394" spans="3:44" s="338" customFormat="1" x14ac:dyDescent="0.25">
      <c r="D394" s="172"/>
      <c r="I394" s="73"/>
      <c r="J394" s="73"/>
      <c r="K394" s="73"/>
      <c r="L394" s="73"/>
      <c r="M394" s="73"/>
      <c r="N394" s="73"/>
      <c r="O394" s="73"/>
      <c r="P394" s="73"/>
      <c r="Q394" s="73"/>
      <c r="R394" s="73"/>
      <c r="S394" s="73"/>
      <c r="T394" s="73"/>
      <c r="U394" s="73"/>
      <c r="V394" s="73"/>
      <c r="W394" s="73"/>
      <c r="X394" s="73"/>
      <c r="Y394" s="73"/>
      <c r="Z394" s="73"/>
      <c r="AA394" s="73"/>
      <c r="AB394" s="73"/>
      <c r="AC394" s="73"/>
      <c r="AD394" s="73"/>
      <c r="AE394" s="73"/>
      <c r="AF394" s="73"/>
      <c r="AG394" s="73"/>
      <c r="AH394" s="73"/>
      <c r="AI394" s="73"/>
      <c r="AJ394" s="73"/>
      <c r="AK394" s="73"/>
      <c r="AL394" s="73"/>
      <c r="AM394" s="73"/>
      <c r="AN394" s="73"/>
      <c r="AO394" s="73"/>
      <c r="AP394" s="73"/>
    </row>
    <row r="395" spans="3:44" s="338" customFormat="1" x14ac:dyDescent="0.25">
      <c r="E395" s="263" t="s">
        <v>874</v>
      </c>
      <c r="F395" s="339"/>
      <c r="G395" s="145"/>
      <c r="H395" s="339"/>
      <c r="I395" s="73"/>
      <c r="J395" s="73"/>
      <c r="K395" s="73"/>
      <c r="L395" s="73"/>
      <c r="M395" s="73"/>
      <c r="N395" s="73"/>
      <c r="O395" s="73"/>
      <c r="P395" s="73"/>
      <c r="Q395" s="73"/>
      <c r="R395" s="73"/>
      <c r="S395" s="73"/>
      <c r="T395" s="73"/>
      <c r="U395" s="73"/>
      <c r="V395" s="73"/>
      <c r="W395" s="73"/>
      <c r="X395" s="73"/>
      <c r="Y395" s="73"/>
      <c r="Z395" s="73"/>
      <c r="AA395" s="73"/>
      <c r="AB395" s="73"/>
      <c r="AC395" s="73"/>
      <c r="AD395" s="73"/>
      <c r="AE395" s="73"/>
      <c r="AF395" s="73"/>
      <c r="AG395" s="73"/>
      <c r="AH395" s="73"/>
      <c r="AI395" s="73"/>
      <c r="AJ395" s="73"/>
      <c r="AK395" s="73"/>
      <c r="AL395" s="73"/>
      <c r="AM395" s="73"/>
      <c r="AN395" s="73"/>
      <c r="AO395" s="73"/>
      <c r="AP395" s="73"/>
    </row>
    <row r="396" spans="3:44" s="338" customFormat="1" x14ac:dyDescent="0.25">
      <c r="E396" s="372"/>
      <c r="F396" s="166" t="s">
        <v>43</v>
      </c>
      <c r="G396" s="40" t="s">
        <v>636</v>
      </c>
      <c r="H396" s="443">
        <f t="shared" ref="H396:H404" si="118">IF(SUM($J$39:$L$39) &lt;&gt; 0, SUMPRODUCT($J338:$L338,$J$39:$L$39) / SUM($J$39:$L$39), 0)</f>
        <v>2.0108799999870888</v>
      </c>
    </row>
    <row r="397" spans="3:44" s="338" customFormat="1" x14ac:dyDescent="0.25">
      <c r="E397" s="372"/>
      <c r="F397" s="339" t="s">
        <v>44</v>
      </c>
      <c r="G397" s="145" t="s">
        <v>636</v>
      </c>
      <c r="H397" s="435">
        <f t="shared" si="118"/>
        <v>1.9837178331493122</v>
      </c>
    </row>
    <row r="398" spans="3:44" s="338" customFormat="1" x14ac:dyDescent="0.25">
      <c r="E398" s="372"/>
      <c r="F398" s="339" t="s">
        <v>45</v>
      </c>
      <c r="G398" s="145" t="s">
        <v>636</v>
      </c>
      <c r="H398" s="435">
        <f t="shared" si="118"/>
        <v>1.9837178331493122</v>
      </c>
    </row>
    <row r="399" spans="3:44" s="338" customFormat="1" x14ac:dyDescent="0.25">
      <c r="E399" s="372"/>
      <c r="F399" s="339" t="s">
        <v>46</v>
      </c>
      <c r="G399" s="145" t="s">
        <v>636</v>
      </c>
      <c r="H399" s="435">
        <f t="shared" si="118"/>
        <v>1.9098552978419534</v>
      </c>
    </row>
    <row r="400" spans="3:44" s="338" customFormat="1" x14ac:dyDescent="0.25">
      <c r="E400" s="372"/>
      <c r="F400" s="339" t="s">
        <v>47</v>
      </c>
      <c r="G400" s="145" t="s">
        <v>636</v>
      </c>
      <c r="H400" s="435">
        <f t="shared" si="118"/>
        <v>1.9098552978419534</v>
      </c>
    </row>
    <row r="401" spans="5:45" s="338" customFormat="1" x14ac:dyDescent="0.25">
      <c r="E401" s="372"/>
      <c r="F401" s="339" t="s">
        <v>51</v>
      </c>
      <c r="G401" s="145" t="s">
        <v>636</v>
      </c>
      <c r="H401" s="435">
        <f t="shared" si="118"/>
        <v>0</v>
      </c>
    </row>
    <row r="402" spans="5:45" s="338" customFormat="1" x14ac:dyDescent="0.25">
      <c r="E402" s="372"/>
      <c r="F402" s="339" t="s">
        <v>48</v>
      </c>
      <c r="G402" s="145" t="s">
        <v>636</v>
      </c>
      <c r="H402" s="435">
        <f t="shared" si="118"/>
        <v>1.8124634740461472</v>
      </c>
    </row>
    <row r="403" spans="5:45" s="338" customFormat="1" x14ac:dyDescent="0.25">
      <c r="E403" s="372"/>
      <c r="F403" s="339" t="s">
        <v>49</v>
      </c>
      <c r="G403" s="145" t="s">
        <v>636</v>
      </c>
      <c r="H403" s="435">
        <f t="shared" si="118"/>
        <v>1.8124634740461472</v>
      </c>
    </row>
    <row r="404" spans="5:45" s="338" customFormat="1" x14ac:dyDescent="0.25">
      <c r="E404" s="372"/>
      <c r="F404" s="168" t="s">
        <v>50</v>
      </c>
      <c r="G404" s="38" t="s">
        <v>636</v>
      </c>
      <c r="H404" s="436">
        <f t="shared" si="118"/>
        <v>1.8124634740461472</v>
      </c>
    </row>
    <row r="405" spans="5:45" s="338" customFormat="1" x14ac:dyDescent="0.25">
      <c r="E405" s="245"/>
      <c r="F405" s="339"/>
      <c r="G405" s="145"/>
      <c r="H405" s="435"/>
      <c r="I405" s="73"/>
      <c r="J405" s="73"/>
      <c r="K405" s="73"/>
      <c r="L405" s="73"/>
      <c r="M405" s="73"/>
      <c r="N405" s="73"/>
      <c r="O405" s="73"/>
      <c r="P405" s="73"/>
      <c r="Q405" s="73"/>
      <c r="R405" s="73"/>
      <c r="S405" s="73"/>
      <c r="T405" s="73"/>
      <c r="U405" s="73"/>
      <c r="V405" s="73"/>
      <c r="W405" s="73"/>
      <c r="X405" s="73"/>
      <c r="Y405" s="73"/>
      <c r="Z405" s="73"/>
      <c r="AA405" s="73"/>
      <c r="AB405" s="73"/>
      <c r="AC405" s="73"/>
      <c r="AD405" s="73"/>
      <c r="AE405" s="73"/>
      <c r="AF405" s="73"/>
      <c r="AG405" s="73"/>
      <c r="AH405" s="73"/>
      <c r="AI405" s="73"/>
      <c r="AJ405" s="73"/>
      <c r="AK405" s="73"/>
      <c r="AL405" s="73"/>
      <c r="AM405" s="73"/>
      <c r="AN405" s="73"/>
      <c r="AO405" s="73"/>
      <c r="AP405" s="73"/>
      <c r="AQ405" s="73"/>
      <c r="AR405" s="73"/>
      <c r="AS405" s="73"/>
    </row>
    <row r="406" spans="5:45" s="338" customFormat="1" x14ac:dyDescent="0.25">
      <c r="E406" s="263" t="s">
        <v>875</v>
      </c>
      <c r="F406" s="339"/>
      <c r="G406" s="145"/>
      <c r="H406" s="435"/>
      <c r="I406" s="73"/>
      <c r="J406" s="73"/>
      <c r="K406" s="73"/>
      <c r="L406" s="73"/>
      <c r="M406" s="73"/>
      <c r="N406" s="73"/>
      <c r="O406" s="73"/>
      <c r="P406" s="73"/>
      <c r="Q406" s="73"/>
      <c r="R406" s="73"/>
      <c r="S406" s="73"/>
      <c r="T406" s="73"/>
      <c r="U406" s="73"/>
      <c r="V406" s="73"/>
      <c r="W406" s="73"/>
      <c r="X406" s="73"/>
      <c r="Y406" s="73"/>
      <c r="Z406" s="73"/>
      <c r="AA406" s="73"/>
      <c r="AB406" s="73"/>
      <c r="AC406" s="73"/>
      <c r="AD406" s="73"/>
      <c r="AE406" s="73"/>
      <c r="AF406" s="73"/>
      <c r="AG406" s="73"/>
      <c r="AH406" s="73"/>
      <c r="AI406" s="73"/>
      <c r="AJ406" s="73"/>
      <c r="AK406" s="73"/>
      <c r="AL406" s="73"/>
      <c r="AM406" s="73"/>
      <c r="AN406" s="73"/>
      <c r="AO406" s="73"/>
      <c r="AP406" s="73"/>
      <c r="AQ406" s="73"/>
      <c r="AR406" s="73"/>
      <c r="AS406" s="73"/>
    </row>
    <row r="407" spans="5:45" s="338" customFormat="1" x14ac:dyDescent="0.25">
      <c r="E407" s="372"/>
      <c r="F407" s="166" t="s">
        <v>43</v>
      </c>
      <c r="G407" s="40" t="s">
        <v>636</v>
      </c>
      <c r="H407" s="431">
        <f t="shared" ref="H407:H415" si="119">IF(SUM($M$39:$O$39) &lt;&gt; 0, SUMPRODUCT($M338:$O338,$M$39:$O$39) / SUM($M$39:$O$39), 0)</f>
        <v>1.7784021257137346</v>
      </c>
      <c r="I407" s="339"/>
      <c r="J407" s="339"/>
      <c r="K407" s="339"/>
      <c r="L407" s="339"/>
      <c r="M407" s="339"/>
      <c r="N407" s="339"/>
      <c r="O407" s="339"/>
      <c r="P407" s="339"/>
      <c r="Q407" s="339"/>
      <c r="R407" s="339"/>
      <c r="S407" s="339"/>
      <c r="T407" s="339"/>
      <c r="U407" s="339"/>
      <c r="V407" s="339"/>
      <c r="W407" s="339"/>
      <c r="X407" s="339"/>
      <c r="Y407" s="339"/>
      <c r="Z407" s="339"/>
      <c r="AA407" s="339"/>
      <c r="AB407" s="339"/>
      <c r="AC407" s="339"/>
      <c r="AD407" s="339"/>
      <c r="AE407" s="339"/>
      <c r="AF407" s="339"/>
      <c r="AG407" s="339"/>
      <c r="AH407" s="339"/>
      <c r="AI407" s="339"/>
      <c r="AJ407" s="339"/>
      <c r="AK407" s="339"/>
      <c r="AL407" s="339"/>
      <c r="AM407" s="339"/>
      <c r="AN407" s="339"/>
      <c r="AO407" s="339"/>
      <c r="AP407" s="339"/>
      <c r="AQ407" s="339"/>
      <c r="AR407" s="339"/>
      <c r="AS407" s="339"/>
    </row>
    <row r="408" spans="5:45" s="338" customFormat="1" x14ac:dyDescent="0.25">
      <c r="E408" s="372"/>
      <c r="F408" s="339" t="s">
        <v>44</v>
      </c>
      <c r="G408" s="145" t="s">
        <v>636</v>
      </c>
      <c r="H408" s="428">
        <f t="shared" si="119"/>
        <v>1.7926426188244755</v>
      </c>
      <c r="I408" s="339"/>
      <c r="J408" s="339"/>
      <c r="K408" s="339"/>
      <c r="L408" s="339"/>
      <c r="M408" s="339"/>
      <c r="N408" s="339"/>
      <c r="O408" s="339"/>
      <c r="P408" s="339"/>
      <c r="Q408" s="339"/>
      <c r="R408" s="339"/>
      <c r="S408" s="339"/>
      <c r="T408" s="339"/>
      <c r="U408" s="339"/>
      <c r="V408" s="339"/>
      <c r="W408" s="339"/>
      <c r="X408" s="339"/>
      <c r="Y408" s="339"/>
      <c r="Z408" s="339"/>
      <c r="AA408" s="339"/>
      <c r="AB408" s="339"/>
      <c r="AC408" s="339"/>
      <c r="AD408" s="339"/>
      <c r="AE408" s="339"/>
      <c r="AF408" s="339"/>
      <c r="AG408" s="339"/>
      <c r="AH408" s="339"/>
      <c r="AI408" s="339"/>
      <c r="AJ408" s="339"/>
      <c r="AK408" s="339"/>
      <c r="AL408" s="339"/>
      <c r="AM408" s="339"/>
      <c r="AN408" s="339"/>
      <c r="AO408" s="339"/>
      <c r="AP408" s="339"/>
      <c r="AQ408" s="339"/>
      <c r="AR408" s="339"/>
      <c r="AS408" s="339"/>
    </row>
    <row r="409" spans="5:45" s="338" customFormat="1" x14ac:dyDescent="0.25">
      <c r="E409" s="372"/>
      <c r="F409" s="339" t="s">
        <v>45</v>
      </c>
      <c r="G409" s="145" t="s">
        <v>636</v>
      </c>
      <c r="H409" s="428">
        <f t="shared" si="119"/>
        <v>1.7926426188244755</v>
      </c>
      <c r="I409" s="339"/>
      <c r="J409" s="339"/>
      <c r="K409" s="339"/>
      <c r="L409" s="339"/>
      <c r="M409" s="339"/>
      <c r="N409" s="339"/>
      <c r="O409" s="339"/>
      <c r="P409" s="339"/>
      <c r="Q409" s="339"/>
      <c r="R409" s="339"/>
      <c r="S409" s="339"/>
      <c r="T409" s="339"/>
      <c r="U409" s="339"/>
      <c r="V409" s="339"/>
      <c r="W409" s="339"/>
      <c r="X409" s="339"/>
      <c r="Y409" s="339"/>
      <c r="Z409" s="339"/>
      <c r="AA409" s="339"/>
      <c r="AB409" s="339"/>
      <c r="AC409" s="339"/>
      <c r="AD409" s="339"/>
      <c r="AE409" s="339"/>
      <c r="AF409" s="339"/>
      <c r="AG409" s="339"/>
      <c r="AH409" s="339"/>
      <c r="AI409" s="339"/>
      <c r="AJ409" s="339"/>
      <c r="AK409" s="339"/>
      <c r="AL409" s="339"/>
      <c r="AM409" s="339"/>
      <c r="AN409" s="339"/>
      <c r="AO409" s="339"/>
      <c r="AP409" s="339"/>
      <c r="AQ409" s="339"/>
      <c r="AR409" s="339"/>
      <c r="AS409" s="339"/>
    </row>
    <row r="410" spans="5:45" s="338" customFormat="1" x14ac:dyDescent="0.25">
      <c r="E410" s="372"/>
      <c r="F410" s="339" t="s">
        <v>46</v>
      </c>
      <c r="G410" s="145" t="s">
        <v>636</v>
      </c>
      <c r="H410" s="428">
        <f t="shared" si="119"/>
        <v>1.8254351012962839</v>
      </c>
      <c r="I410" s="339"/>
      <c r="J410" s="339"/>
      <c r="K410" s="339"/>
      <c r="L410" s="339"/>
      <c r="M410" s="339"/>
      <c r="N410" s="339"/>
      <c r="O410" s="339"/>
      <c r="P410" s="339"/>
      <c r="Q410" s="339"/>
      <c r="R410" s="339"/>
      <c r="S410" s="339"/>
      <c r="T410" s="339"/>
      <c r="U410" s="339"/>
      <c r="V410" s="339"/>
      <c r="W410" s="339"/>
      <c r="X410" s="339"/>
      <c r="Y410" s="339"/>
      <c r="Z410" s="339"/>
      <c r="AA410" s="339"/>
      <c r="AB410" s="339"/>
      <c r="AC410" s="339"/>
      <c r="AD410" s="339"/>
      <c r="AE410" s="339"/>
      <c r="AF410" s="339"/>
      <c r="AG410" s="339"/>
      <c r="AH410" s="339"/>
      <c r="AI410" s="339"/>
      <c r="AJ410" s="339"/>
      <c r="AK410" s="339"/>
      <c r="AL410" s="339"/>
      <c r="AM410" s="339"/>
      <c r="AN410" s="339"/>
      <c r="AO410" s="339"/>
      <c r="AP410" s="339"/>
      <c r="AQ410" s="339"/>
      <c r="AR410" s="339"/>
      <c r="AS410" s="339"/>
    </row>
    <row r="411" spans="5:45" s="338" customFormat="1" x14ac:dyDescent="0.25">
      <c r="E411" s="372"/>
      <c r="F411" s="339" t="s">
        <v>47</v>
      </c>
      <c r="G411" s="145" t="s">
        <v>636</v>
      </c>
      <c r="H411" s="428">
        <f t="shared" si="119"/>
        <v>1.8254351012962839</v>
      </c>
      <c r="I411" s="339"/>
      <c r="J411" s="339"/>
      <c r="K411" s="339"/>
      <c r="L411" s="339"/>
      <c r="M411" s="339"/>
      <c r="N411" s="339"/>
      <c r="O411" s="339"/>
      <c r="P411" s="339"/>
      <c r="Q411" s="339"/>
      <c r="R411" s="339"/>
      <c r="S411" s="339"/>
      <c r="T411" s="339"/>
      <c r="U411" s="339"/>
      <c r="V411" s="339"/>
      <c r="W411" s="339"/>
      <c r="X411" s="339"/>
      <c r="Y411" s="339"/>
      <c r="Z411" s="339"/>
      <c r="AA411" s="339"/>
      <c r="AB411" s="339"/>
      <c r="AC411" s="339"/>
      <c r="AD411" s="339"/>
      <c r="AE411" s="339"/>
      <c r="AF411" s="339"/>
      <c r="AG411" s="339"/>
      <c r="AH411" s="339"/>
      <c r="AI411" s="339"/>
      <c r="AJ411" s="339"/>
      <c r="AK411" s="339"/>
      <c r="AL411" s="339"/>
      <c r="AM411" s="339"/>
      <c r="AN411" s="339"/>
      <c r="AO411" s="339"/>
      <c r="AP411" s="339"/>
      <c r="AQ411" s="339"/>
      <c r="AR411" s="339"/>
      <c r="AS411" s="339"/>
    </row>
    <row r="412" spans="5:45" s="338" customFormat="1" x14ac:dyDescent="0.25">
      <c r="E412" s="372"/>
      <c r="F412" s="339" t="s">
        <v>51</v>
      </c>
      <c r="G412" s="145" t="s">
        <v>636</v>
      </c>
      <c r="H412" s="428">
        <f t="shared" si="119"/>
        <v>0</v>
      </c>
      <c r="I412" s="339"/>
      <c r="J412" s="339"/>
      <c r="K412" s="339"/>
      <c r="L412" s="339"/>
      <c r="M412" s="339"/>
      <c r="N412" s="339"/>
      <c r="O412" s="339"/>
      <c r="P412" s="339"/>
      <c r="Q412" s="339"/>
      <c r="R412" s="339"/>
      <c r="S412" s="339"/>
      <c r="T412" s="339"/>
      <c r="U412" s="339"/>
      <c r="V412" s="339"/>
      <c r="W412" s="339"/>
      <c r="X412" s="339"/>
      <c r="Y412" s="339"/>
      <c r="Z412" s="339"/>
      <c r="AA412" s="339"/>
      <c r="AB412" s="339"/>
      <c r="AC412" s="339"/>
      <c r="AD412" s="339"/>
      <c r="AE412" s="339"/>
      <c r="AF412" s="339"/>
      <c r="AG412" s="339"/>
      <c r="AH412" s="339"/>
      <c r="AI412" s="339"/>
      <c r="AJ412" s="339"/>
      <c r="AK412" s="339"/>
      <c r="AL412" s="339"/>
      <c r="AM412" s="339"/>
      <c r="AN412" s="339"/>
      <c r="AO412" s="339"/>
      <c r="AP412" s="339"/>
      <c r="AQ412" s="339"/>
      <c r="AR412" s="339"/>
      <c r="AS412" s="339"/>
    </row>
    <row r="413" spans="5:45" s="338" customFormat="1" x14ac:dyDescent="0.25">
      <c r="E413" s="372"/>
      <c r="F413" s="339" t="s">
        <v>48</v>
      </c>
      <c r="G413" s="145" t="s">
        <v>636</v>
      </c>
      <c r="H413" s="428">
        <f t="shared" si="119"/>
        <v>1.8670903249487711</v>
      </c>
      <c r="I413" s="339"/>
      <c r="J413" s="339"/>
      <c r="K413" s="339"/>
      <c r="L413" s="339"/>
      <c r="M413" s="339"/>
      <c r="N413" s="339"/>
      <c r="O413" s="339"/>
      <c r="P413" s="339"/>
      <c r="Q413" s="339"/>
      <c r="R413" s="339"/>
      <c r="S413" s="339"/>
      <c r="T413" s="339"/>
      <c r="U413" s="339"/>
      <c r="V413" s="339"/>
      <c r="W413" s="339"/>
      <c r="X413" s="339"/>
      <c r="Y413" s="339"/>
      <c r="Z413" s="339"/>
      <c r="AA413" s="339"/>
      <c r="AB413" s="339"/>
      <c r="AC413" s="339"/>
      <c r="AD413" s="339"/>
      <c r="AE413" s="339"/>
      <c r="AF413" s="339"/>
      <c r="AG413" s="339"/>
      <c r="AH413" s="339"/>
      <c r="AI413" s="339"/>
      <c r="AJ413" s="339"/>
      <c r="AK413" s="339"/>
      <c r="AL413" s="339"/>
      <c r="AM413" s="339"/>
      <c r="AN413" s="339"/>
      <c r="AO413" s="339"/>
      <c r="AP413" s="339"/>
      <c r="AQ413" s="339"/>
      <c r="AR413" s="339"/>
      <c r="AS413" s="339"/>
    </row>
    <row r="414" spans="5:45" s="338" customFormat="1" x14ac:dyDescent="0.25">
      <c r="E414" s="372"/>
      <c r="F414" s="339" t="s">
        <v>49</v>
      </c>
      <c r="G414" s="145" t="s">
        <v>636</v>
      </c>
      <c r="H414" s="428">
        <f t="shared" si="119"/>
        <v>1.8670903249487711</v>
      </c>
      <c r="I414" s="339"/>
      <c r="J414" s="339"/>
      <c r="K414" s="339"/>
      <c r="L414" s="339"/>
      <c r="M414" s="339"/>
      <c r="N414" s="339"/>
      <c r="O414" s="339"/>
      <c r="P414" s="339"/>
      <c r="Q414" s="339"/>
      <c r="R414" s="339"/>
      <c r="S414" s="339"/>
      <c r="T414" s="339"/>
      <c r="U414" s="339"/>
      <c r="V414" s="339"/>
      <c r="W414" s="339"/>
      <c r="X414" s="339"/>
      <c r="Y414" s="339"/>
      <c r="Z414" s="339"/>
      <c r="AA414" s="339"/>
      <c r="AB414" s="339"/>
      <c r="AC414" s="339"/>
      <c r="AD414" s="339"/>
      <c r="AE414" s="339"/>
      <c r="AF414" s="339"/>
      <c r="AG414" s="339"/>
      <c r="AH414" s="339"/>
      <c r="AI414" s="339"/>
      <c r="AJ414" s="339"/>
      <c r="AK414" s="339"/>
      <c r="AL414" s="339"/>
      <c r="AM414" s="339"/>
      <c r="AN414" s="339"/>
      <c r="AO414" s="339"/>
      <c r="AP414" s="339"/>
      <c r="AQ414" s="339"/>
      <c r="AR414" s="339"/>
      <c r="AS414" s="339"/>
    </row>
    <row r="415" spans="5:45" s="338" customFormat="1" x14ac:dyDescent="0.25">
      <c r="E415" s="372"/>
      <c r="F415" s="168" t="s">
        <v>50</v>
      </c>
      <c r="G415" s="38" t="s">
        <v>636</v>
      </c>
      <c r="H415" s="432">
        <f t="shared" si="119"/>
        <v>1.8670903249487711</v>
      </c>
      <c r="I415" s="339"/>
      <c r="J415" s="339"/>
      <c r="K415" s="339"/>
      <c r="L415" s="339"/>
      <c r="M415" s="339"/>
      <c r="N415" s="339"/>
      <c r="O415" s="339"/>
      <c r="P415" s="339"/>
      <c r="Q415" s="339"/>
      <c r="R415" s="339"/>
      <c r="S415" s="339"/>
      <c r="T415" s="339"/>
      <c r="U415" s="339"/>
      <c r="V415" s="339"/>
      <c r="W415" s="339"/>
      <c r="X415" s="339"/>
      <c r="Y415" s="339"/>
      <c r="Z415" s="339"/>
      <c r="AA415" s="339"/>
      <c r="AB415" s="339"/>
      <c r="AC415" s="339"/>
      <c r="AD415" s="339"/>
      <c r="AE415" s="339"/>
      <c r="AF415" s="339"/>
      <c r="AG415" s="339"/>
      <c r="AH415" s="339"/>
      <c r="AI415" s="339"/>
      <c r="AJ415" s="339"/>
      <c r="AK415" s="339"/>
      <c r="AL415" s="339"/>
      <c r="AM415" s="339"/>
      <c r="AN415" s="339"/>
      <c r="AO415" s="339"/>
      <c r="AP415" s="339"/>
      <c r="AQ415" s="339"/>
      <c r="AR415" s="339"/>
      <c r="AS415" s="339"/>
    </row>
    <row r="416" spans="5:45" s="338" customFormat="1" x14ac:dyDescent="0.25">
      <c r="F416" s="35"/>
      <c r="G416" s="35"/>
      <c r="I416" s="73"/>
      <c r="J416" s="73"/>
      <c r="K416" s="73"/>
      <c r="L416" s="73"/>
      <c r="M416" s="73"/>
      <c r="N416" s="73"/>
      <c r="O416" s="73"/>
      <c r="P416" s="73"/>
      <c r="Q416" s="73"/>
      <c r="R416" s="73"/>
      <c r="S416" s="73"/>
      <c r="T416" s="73"/>
      <c r="U416" s="73"/>
      <c r="V416" s="73"/>
      <c r="W416" s="73"/>
      <c r="X416" s="73"/>
      <c r="Y416" s="73"/>
      <c r="Z416" s="73"/>
      <c r="AA416" s="73"/>
      <c r="AB416" s="73"/>
      <c r="AC416" s="73"/>
      <c r="AD416" s="73"/>
      <c r="AE416" s="73"/>
      <c r="AF416" s="73"/>
      <c r="AG416" s="73"/>
      <c r="AH416" s="73"/>
      <c r="AI416" s="73"/>
      <c r="AJ416" s="73"/>
      <c r="AK416" s="73"/>
      <c r="AL416" s="73"/>
      <c r="AM416" s="73"/>
      <c r="AN416" s="73"/>
      <c r="AO416" s="73"/>
      <c r="AP416" s="73"/>
    </row>
    <row r="417" spans="3:45" s="338" customFormat="1" x14ac:dyDescent="0.25">
      <c r="C417" s="22" t="str">
        <f ca="1">INDEX('Version control'!$H$34:$H$59,MATCH($A$1,'Version control'!$F$34:$F$59,0),1)&amp;"-P: Relative correction factors"</f>
        <v>Section 508-P: Relative correction factors</v>
      </c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  <c r="AK417" s="22"/>
      <c r="AL417" s="22"/>
      <c r="AM417" s="22"/>
      <c r="AN417" s="22"/>
      <c r="AO417" s="22"/>
      <c r="AP417" s="22"/>
      <c r="AQ417" s="22"/>
      <c r="AR417" s="22"/>
    </row>
    <row r="418" spans="3:45" s="338" customFormat="1" x14ac:dyDescent="0.25">
      <c r="D418" s="172"/>
    </row>
    <row r="419" spans="3:45" s="338" customFormat="1" x14ac:dyDescent="0.25">
      <c r="E419" s="172" t="s">
        <v>1027</v>
      </c>
      <c r="G419" s="145"/>
      <c r="H419" s="339"/>
      <c r="I419" s="339"/>
      <c r="J419" s="373"/>
      <c r="K419" s="373"/>
      <c r="L419" s="373"/>
      <c r="M419" s="373"/>
      <c r="N419" s="373"/>
      <c r="O419" s="373"/>
      <c r="P419" s="373"/>
      <c r="Q419" s="373"/>
      <c r="R419" s="373"/>
      <c r="S419" s="373"/>
      <c r="T419" s="373"/>
      <c r="U419" s="373"/>
      <c r="V419" s="373"/>
      <c r="W419" s="373"/>
      <c r="X419" s="373"/>
      <c r="Y419" s="373"/>
      <c r="Z419" s="373"/>
      <c r="AA419" s="373"/>
      <c r="AB419" s="373"/>
      <c r="AC419" s="373"/>
      <c r="AD419" s="373"/>
      <c r="AE419" s="373"/>
      <c r="AF419" s="373"/>
      <c r="AG419" s="373"/>
      <c r="AH419" s="373"/>
      <c r="AI419" s="373"/>
      <c r="AJ419" s="373"/>
      <c r="AK419" s="373"/>
      <c r="AL419" s="373"/>
      <c r="AM419" s="373"/>
      <c r="AN419" s="373"/>
      <c r="AO419" s="373"/>
      <c r="AP419" s="373"/>
    </row>
    <row r="420" spans="3:45" s="338" customFormat="1" x14ac:dyDescent="0.25">
      <c r="F420" s="85" t="s">
        <v>43</v>
      </c>
      <c r="G420" s="40" t="s">
        <v>636</v>
      </c>
      <c r="H420" s="166"/>
      <c r="I420" s="166"/>
      <c r="J420" s="402"/>
      <c r="K420" s="402"/>
      <c r="L420" s="402"/>
      <c r="M420" s="402"/>
      <c r="N420" s="402"/>
      <c r="O420" s="402"/>
      <c r="P420" s="402"/>
      <c r="Q420" s="402"/>
      <c r="R420" s="402"/>
      <c r="S420" s="443">
        <f>IF(S383 &lt;&gt; 0, H396 / S383, 0)</f>
        <v>0.84126014782256764</v>
      </c>
      <c r="T420" s="402"/>
      <c r="U420" s="402"/>
      <c r="V420" s="402"/>
      <c r="W420" s="402"/>
      <c r="X420" s="402"/>
      <c r="Y420" s="402"/>
      <c r="Z420" s="402"/>
      <c r="AA420" s="402"/>
      <c r="AB420" s="402"/>
      <c r="AC420" s="402"/>
      <c r="AD420" s="402"/>
      <c r="AE420" s="402"/>
      <c r="AF420" s="402"/>
      <c r="AG420" s="402"/>
      <c r="AH420" s="402"/>
      <c r="AI420" s="402"/>
      <c r="AJ420" s="402"/>
      <c r="AK420" s="402"/>
      <c r="AL420" s="402"/>
      <c r="AM420" s="402"/>
      <c r="AN420" s="402"/>
      <c r="AO420" s="402"/>
      <c r="AP420" s="402"/>
    </row>
    <row r="421" spans="3:45" s="338" customFormat="1" x14ac:dyDescent="0.25">
      <c r="F421" s="84" t="s">
        <v>44</v>
      </c>
      <c r="G421" s="145" t="s">
        <v>636</v>
      </c>
      <c r="H421" s="339"/>
      <c r="I421" s="339"/>
      <c r="J421" s="403"/>
      <c r="K421" s="403"/>
      <c r="L421" s="403"/>
      <c r="M421" s="403"/>
      <c r="N421" s="403"/>
      <c r="O421" s="403"/>
      <c r="P421" s="403"/>
      <c r="Q421" s="403"/>
      <c r="R421" s="403"/>
      <c r="S421" s="428">
        <f t="shared" ref="S421:S428" si="120">IF(S384 &lt;&gt; 0, H397 / S384, 0)</f>
        <v>0.84112887710501849</v>
      </c>
      <c r="T421" s="403"/>
      <c r="U421" s="403"/>
      <c r="V421" s="403"/>
      <c r="W421" s="403"/>
      <c r="X421" s="403"/>
      <c r="Y421" s="403"/>
      <c r="Z421" s="403"/>
      <c r="AA421" s="403"/>
      <c r="AB421" s="403"/>
      <c r="AC421" s="403"/>
      <c r="AD421" s="403"/>
      <c r="AE421" s="403"/>
      <c r="AF421" s="403"/>
      <c r="AG421" s="403"/>
      <c r="AH421" s="403"/>
      <c r="AI421" s="403"/>
      <c r="AJ421" s="403"/>
      <c r="AK421" s="403"/>
      <c r="AL421" s="403"/>
      <c r="AM421" s="403"/>
      <c r="AN421" s="403"/>
      <c r="AO421" s="403"/>
      <c r="AP421" s="403"/>
    </row>
    <row r="422" spans="3:45" s="338" customFormat="1" x14ac:dyDescent="0.25">
      <c r="F422" s="84" t="s">
        <v>45</v>
      </c>
      <c r="G422" s="145" t="s">
        <v>636</v>
      </c>
      <c r="H422" s="339"/>
      <c r="I422" s="339"/>
      <c r="J422" s="403"/>
      <c r="K422" s="403"/>
      <c r="L422" s="403"/>
      <c r="M422" s="403"/>
      <c r="N422" s="403"/>
      <c r="O422" s="403"/>
      <c r="P422" s="403"/>
      <c r="Q422" s="403"/>
      <c r="R422" s="403"/>
      <c r="S422" s="428">
        <f t="shared" si="120"/>
        <v>0.84112887710501849</v>
      </c>
      <c r="T422" s="403"/>
      <c r="U422" s="403"/>
      <c r="V422" s="403"/>
      <c r="W422" s="403"/>
      <c r="X422" s="403"/>
      <c r="Y422" s="403"/>
      <c r="Z422" s="403"/>
      <c r="AA422" s="403"/>
      <c r="AB422" s="403"/>
      <c r="AC422" s="403"/>
      <c r="AD422" s="403"/>
      <c r="AE422" s="403"/>
      <c r="AF422" s="403"/>
      <c r="AG422" s="403"/>
      <c r="AH422" s="403"/>
      <c r="AI422" s="403"/>
      <c r="AJ422" s="403"/>
      <c r="AK422" s="403"/>
      <c r="AL422" s="403"/>
      <c r="AM422" s="403"/>
      <c r="AN422" s="403"/>
      <c r="AO422" s="403"/>
      <c r="AP422" s="403"/>
    </row>
    <row r="423" spans="3:45" s="338" customFormat="1" x14ac:dyDescent="0.25">
      <c r="F423" s="84" t="s">
        <v>46</v>
      </c>
      <c r="G423" s="145" t="s">
        <v>636</v>
      </c>
      <c r="H423" s="339"/>
      <c r="I423" s="339"/>
      <c r="J423" s="403"/>
      <c r="K423" s="403"/>
      <c r="L423" s="403"/>
      <c r="M423" s="403"/>
      <c r="N423" s="403"/>
      <c r="O423" s="403"/>
      <c r="P423" s="403"/>
      <c r="Q423" s="403"/>
      <c r="R423" s="403"/>
      <c r="S423" s="428">
        <f t="shared" si="120"/>
        <v>0.84076422449508603</v>
      </c>
      <c r="T423" s="403"/>
      <c r="U423" s="403"/>
      <c r="V423" s="403"/>
      <c r="W423" s="403"/>
      <c r="X423" s="403"/>
      <c r="Y423" s="403"/>
      <c r="Z423" s="403"/>
      <c r="AA423" s="403"/>
      <c r="AB423" s="403"/>
      <c r="AC423" s="403"/>
      <c r="AD423" s="403"/>
      <c r="AE423" s="403"/>
      <c r="AF423" s="403"/>
      <c r="AG423" s="403"/>
      <c r="AH423" s="403"/>
      <c r="AI423" s="403"/>
      <c r="AJ423" s="403"/>
      <c r="AK423" s="403"/>
      <c r="AL423" s="403"/>
      <c r="AM423" s="403"/>
      <c r="AN423" s="403"/>
      <c r="AO423" s="403"/>
      <c r="AP423" s="403"/>
    </row>
    <row r="424" spans="3:45" s="338" customFormat="1" x14ac:dyDescent="0.25">
      <c r="F424" s="84" t="s">
        <v>47</v>
      </c>
      <c r="G424" s="145" t="s">
        <v>636</v>
      </c>
      <c r="H424" s="339"/>
      <c r="I424" s="339"/>
      <c r="J424" s="403"/>
      <c r="K424" s="403"/>
      <c r="L424" s="403"/>
      <c r="M424" s="403"/>
      <c r="N424" s="403"/>
      <c r="O424" s="403"/>
      <c r="P424" s="403"/>
      <c r="Q424" s="403"/>
      <c r="R424" s="403"/>
      <c r="S424" s="428">
        <f t="shared" si="120"/>
        <v>0.84076422449508603</v>
      </c>
      <c r="T424" s="403"/>
      <c r="U424" s="403"/>
      <c r="V424" s="403"/>
      <c r="W424" s="403"/>
      <c r="X424" s="403"/>
      <c r="Y424" s="403"/>
      <c r="Z424" s="403"/>
      <c r="AA424" s="403"/>
      <c r="AB424" s="403"/>
      <c r="AC424" s="403"/>
      <c r="AD424" s="403"/>
      <c r="AE424" s="403"/>
      <c r="AF424" s="403"/>
      <c r="AG424" s="403"/>
      <c r="AH424" s="403"/>
      <c r="AI424" s="403"/>
      <c r="AJ424" s="403"/>
      <c r="AK424" s="403"/>
      <c r="AL424" s="403"/>
      <c r="AM424" s="403"/>
      <c r="AN424" s="403"/>
      <c r="AO424" s="403"/>
      <c r="AP424" s="403"/>
    </row>
    <row r="425" spans="3:45" s="338" customFormat="1" x14ac:dyDescent="0.25">
      <c r="F425" s="84" t="s">
        <v>51</v>
      </c>
      <c r="G425" s="145" t="s">
        <v>636</v>
      </c>
      <c r="H425" s="339"/>
      <c r="I425" s="339"/>
      <c r="J425" s="403"/>
      <c r="K425" s="403"/>
      <c r="L425" s="403"/>
      <c r="M425" s="403"/>
      <c r="N425" s="403"/>
      <c r="O425" s="403"/>
      <c r="P425" s="403"/>
      <c r="Q425" s="403"/>
      <c r="R425" s="403"/>
      <c r="S425" s="428">
        <f t="shared" si="120"/>
        <v>0</v>
      </c>
      <c r="T425" s="403"/>
      <c r="U425" s="403"/>
      <c r="V425" s="403"/>
      <c r="W425" s="403"/>
      <c r="X425" s="403"/>
      <c r="Y425" s="403"/>
      <c r="Z425" s="403"/>
      <c r="AA425" s="403"/>
      <c r="AB425" s="403"/>
      <c r="AC425" s="403"/>
      <c r="AD425" s="403"/>
      <c r="AE425" s="403"/>
      <c r="AF425" s="403"/>
      <c r="AG425" s="403"/>
      <c r="AH425" s="403"/>
      <c r="AI425" s="403"/>
      <c r="AJ425" s="403"/>
      <c r="AK425" s="403"/>
      <c r="AL425" s="403"/>
      <c r="AM425" s="403"/>
      <c r="AN425" s="403"/>
      <c r="AO425" s="403"/>
      <c r="AP425" s="403"/>
    </row>
    <row r="426" spans="3:45" s="338" customFormat="1" x14ac:dyDescent="0.25">
      <c r="F426" s="84" t="s">
        <v>48</v>
      </c>
      <c r="G426" s="145" t="s">
        <v>636</v>
      </c>
      <c r="H426" s="339"/>
      <c r="I426" s="339"/>
      <c r="J426" s="403"/>
      <c r="K426" s="403"/>
      <c r="L426" s="403"/>
      <c r="M426" s="403"/>
      <c r="N426" s="403"/>
      <c r="O426" s="403"/>
      <c r="P426" s="403"/>
      <c r="Q426" s="403"/>
      <c r="R426" s="403"/>
      <c r="S426" s="428">
        <f t="shared" si="120"/>
        <v>0.84024161805735109</v>
      </c>
      <c r="T426" s="403"/>
      <c r="U426" s="403"/>
      <c r="V426" s="403"/>
      <c r="W426" s="403"/>
      <c r="X426" s="403"/>
      <c r="Y426" s="403"/>
      <c r="Z426" s="403"/>
      <c r="AA426" s="403"/>
      <c r="AB426" s="403"/>
      <c r="AC426" s="403"/>
      <c r="AD426" s="403"/>
      <c r="AE426" s="403"/>
      <c r="AF426" s="403"/>
      <c r="AG426" s="403"/>
      <c r="AH426" s="403"/>
      <c r="AI426" s="403"/>
      <c r="AJ426" s="403"/>
      <c r="AK426" s="403"/>
      <c r="AL426" s="403"/>
      <c r="AM426" s="403"/>
      <c r="AN426" s="403"/>
      <c r="AO426" s="403"/>
      <c r="AP426" s="403"/>
    </row>
    <row r="427" spans="3:45" s="338" customFormat="1" x14ac:dyDescent="0.25">
      <c r="F427" s="84" t="s">
        <v>49</v>
      </c>
      <c r="G427" s="145" t="s">
        <v>636</v>
      </c>
      <c r="H427" s="339"/>
      <c r="I427" s="339"/>
      <c r="J427" s="403"/>
      <c r="K427" s="403"/>
      <c r="L427" s="403"/>
      <c r="M427" s="403"/>
      <c r="N427" s="403"/>
      <c r="O427" s="403"/>
      <c r="P427" s="403"/>
      <c r="Q427" s="403"/>
      <c r="R427" s="403"/>
      <c r="S427" s="428">
        <f t="shared" si="120"/>
        <v>0.84024161805735109</v>
      </c>
      <c r="T427" s="403"/>
      <c r="U427" s="403"/>
      <c r="V427" s="403"/>
      <c r="W427" s="403"/>
      <c r="X427" s="403"/>
      <c r="Y427" s="403"/>
      <c r="Z427" s="403"/>
      <c r="AA427" s="403"/>
      <c r="AB427" s="403"/>
      <c r="AC427" s="403"/>
      <c r="AD427" s="403"/>
      <c r="AE427" s="403"/>
      <c r="AF427" s="403"/>
      <c r="AG427" s="403"/>
      <c r="AH427" s="403"/>
      <c r="AI427" s="403"/>
      <c r="AJ427" s="403"/>
      <c r="AK427" s="403"/>
      <c r="AL427" s="403"/>
      <c r="AM427" s="403"/>
      <c r="AN427" s="403"/>
      <c r="AO427" s="403"/>
      <c r="AP427" s="403"/>
    </row>
    <row r="428" spans="3:45" s="338" customFormat="1" x14ac:dyDescent="0.25">
      <c r="F428" s="77" t="s">
        <v>50</v>
      </c>
      <c r="G428" s="38" t="s">
        <v>636</v>
      </c>
      <c r="H428" s="168"/>
      <c r="I428" s="168"/>
      <c r="J428" s="404"/>
      <c r="K428" s="404"/>
      <c r="L428" s="404"/>
      <c r="M428" s="404"/>
      <c r="N428" s="404"/>
      <c r="O428" s="404"/>
      <c r="P428" s="404"/>
      <c r="Q428" s="404"/>
      <c r="R428" s="404"/>
      <c r="S428" s="432">
        <f t="shared" si="120"/>
        <v>0.84024161805735109</v>
      </c>
      <c r="T428" s="404"/>
      <c r="U428" s="404"/>
      <c r="V428" s="404"/>
      <c r="W428" s="404"/>
      <c r="X428" s="404"/>
      <c r="Y428" s="404"/>
      <c r="Z428" s="404"/>
      <c r="AA428" s="404"/>
      <c r="AB428" s="404"/>
      <c r="AC428" s="404"/>
      <c r="AD428" s="404"/>
      <c r="AE428" s="404"/>
      <c r="AF428" s="404"/>
      <c r="AG428" s="404"/>
      <c r="AH428" s="404"/>
      <c r="AI428" s="404"/>
      <c r="AJ428" s="404"/>
      <c r="AK428" s="404"/>
      <c r="AL428" s="404"/>
      <c r="AM428" s="404"/>
      <c r="AN428" s="404"/>
      <c r="AO428" s="404"/>
      <c r="AP428" s="404"/>
    </row>
    <row r="429" spans="3:45" s="338" customFormat="1" x14ac:dyDescent="0.25">
      <c r="F429" s="78"/>
      <c r="G429" s="145"/>
      <c r="H429" s="339"/>
      <c r="I429" s="339"/>
      <c r="J429" s="450"/>
      <c r="K429" s="450"/>
      <c r="L429" s="450"/>
      <c r="M429" s="450"/>
      <c r="N429" s="450"/>
      <c r="O429" s="450"/>
      <c r="P429" s="450"/>
      <c r="Q429" s="450"/>
      <c r="R429" s="450"/>
      <c r="S429" s="450"/>
      <c r="T429" s="450"/>
      <c r="U429" s="450"/>
      <c r="V429" s="450"/>
      <c r="W429" s="450"/>
      <c r="X429" s="450"/>
      <c r="Y429" s="450"/>
      <c r="Z429" s="450"/>
      <c r="AA429" s="450"/>
      <c r="AB429" s="450"/>
      <c r="AC429" s="450"/>
      <c r="AD429" s="450"/>
      <c r="AE429" s="450"/>
      <c r="AF429" s="450"/>
      <c r="AG429" s="450"/>
      <c r="AH429" s="450"/>
      <c r="AI429" s="450"/>
      <c r="AJ429" s="450"/>
      <c r="AK429" s="450"/>
      <c r="AL429" s="450"/>
      <c r="AM429" s="450"/>
      <c r="AN429" s="450"/>
      <c r="AO429" s="450"/>
      <c r="AP429" s="450"/>
      <c r="AQ429" s="73"/>
      <c r="AR429" s="73"/>
      <c r="AS429" s="73"/>
    </row>
    <row r="430" spans="3:45" s="338" customFormat="1" x14ac:dyDescent="0.25">
      <c r="E430" s="172" t="s">
        <v>1027</v>
      </c>
      <c r="G430" s="145"/>
      <c r="H430" s="339"/>
      <c r="I430" s="339"/>
      <c r="J430" s="450"/>
      <c r="K430" s="450"/>
      <c r="L430" s="450"/>
      <c r="M430" s="450"/>
      <c r="N430" s="450"/>
      <c r="O430" s="450"/>
      <c r="P430" s="450"/>
      <c r="Q430" s="450"/>
      <c r="R430" s="450"/>
      <c r="S430" s="450"/>
      <c r="T430" s="450"/>
      <c r="U430" s="450"/>
      <c r="V430" s="450"/>
      <c r="W430" s="450"/>
      <c r="X430" s="450"/>
      <c r="Y430" s="450"/>
      <c r="Z430" s="450"/>
      <c r="AA430" s="450"/>
      <c r="AB430" s="450"/>
      <c r="AC430" s="450"/>
      <c r="AD430" s="450"/>
      <c r="AE430" s="450"/>
      <c r="AF430" s="450"/>
      <c r="AG430" s="450"/>
      <c r="AH430" s="450"/>
      <c r="AI430" s="450"/>
      <c r="AJ430" s="450"/>
      <c r="AK430" s="450"/>
      <c r="AL430" s="450"/>
      <c r="AM430" s="450"/>
      <c r="AN430" s="450"/>
      <c r="AO430" s="450"/>
      <c r="AP430" s="450"/>
    </row>
    <row r="431" spans="3:45" s="338" customFormat="1" x14ac:dyDescent="0.25">
      <c r="F431" s="85" t="s">
        <v>43</v>
      </c>
      <c r="G431" s="40" t="s">
        <v>636</v>
      </c>
      <c r="H431" s="166"/>
      <c r="I431" s="166"/>
      <c r="J431" s="402"/>
      <c r="K431" s="402"/>
      <c r="L431" s="402"/>
      <c r="M431" s="402"/>
      <c r="N431" s="402"/>
      <c r="O431" s="402"/>
      <c r="P431" s="402"/>
      <c r="Q431" s="402"/>
      <c r="R431" s="402"/>
      <c r="S431" s="402"/>
      <c r="T431" s="443">
        <f t="shared" ref="T431:T432" si="121">IF(T383 &lt;&gt; 0, H407 / T383, 0)</f>
        <v>1.1511752962297495</v>
      </c>
      <c r="U431" s="402"/>
      <c r="V431" s="402"/>
      <c r="W431" s="402"/>
      <c r="X431" s="402"/>
      <c r="Y431" s="402"/>
      <c r="Z431" s="402"/>
      <c r="AA431" s="402"/>
      <c r="AB431" s="402"/>
      <c r="AC431" s="402"/>
      <c r="AD431" s="402"/>
      <c r="AE431" s="402"/>
      <c r="AF431" s="402"/>
      <c r="AG431" s="402"/>
      <c r="AH431" s="402"/>
      <c r="AI431" s="402"/>
      <c r="AJ431" s="402"/>
      <c r="AK431" s="402"/>
      <c r="AL431" s="402"/>
      <c r="AM431" s="402"/>
      <c r="AN431" s="402"/>
      <c r="AO431" s="402"/>
      <c r="AP431" s="402"/>
    </row>
    <row r="432" spans="3:45" s="338" customFormat="1" x14ac:dyDescent="0.25">
      <c r="F432" s="84" t="s">
        <v>44</v>
      </c>
      <c r="G432" s="145" t="s">
        <v>636</v>
      </c>
      <c r="H432" s="339"/>
      <c r="I432" s="339"/>
      <c r="J432" s="403"/>
      <c r="K432" s="403"/>
      <c r="L432" s="403"/>
      <c r="M432" s="403"/>
      <c r="N432" s="403"/>
      <c r="O432" s="403"/>
      <c r="P432" s="403"/>
      <c r="Q432" s="403"/>
      <c r="R432" s="403"/>
      <c r="S432" s="403"/>
      <c r="T432" s="428">
        <f t="shared" si="121"/>
        <v>1.1509086129719075</v>
      </c>
      <c r="U432" s="403"/>
      <c r="V432" s="403"/>
      <c r="W432" s="403"/>
      <c r="X432" s="403"/>
      <c r="Y432" s="403"/>
      <c r="Z432" s="403"/>
      <c r="AA432" s="403"/>
      <c r="AB432" s="403"/>
      <c r="AC432" s="403"/>
      <c r="AD432" s="403"/>
      <c r="AE432" s="403"/>
      <c r="AF432" s="403"/>
      <c r="AG432" s="403"/>
      <c r="AH432" s="403"/>
      <c r="AI432" s="403"/>
      <c r="AJ432" s="403"/>
      <c r="AK432" s="403"/>
      <c r="AL432" s="403"/>
      <c r="AM432" s="403"/>
      <c r="AN432" s="403"/>
      <c r="AO432" s="403"/>
      <c r="AP432" s="403"/>
    </row>
    <row r="433" spans="5:45" s="338" customFormat="1" x14ac:dyDescent="0.25">
      <c r="F433" s="84" t="s">
        <v>45</v>
      </c>
      <c r="G433" s="145" t="s">
        <v>636</v>
      </c>
      <c r="H433" s="339"/>
      <c r="I433" s="339"/>
      <c r="J433" s="403"/>
      <c r="K433" s="403"/>
      <c r="L433" s="403"/>
      <c r="M433" s="403"/>
      <c r="N433" s="403"/>
      <c r="O433" s="403"/>
      <c r="P433" s="403"/>
      <c r="Q433" s="403"/>
      <c r="R433" s="403"/>
      <c r="S433" s="403"/>
      <c r="T433" s="428">
        <f>IF(T385 &lt;&gt; 0, H409 / T385, 0)</f>
        <v>1.1509086129719075</v>
      </c>
      <c r="U433" s="403"/>
      <c r="V433" s="403"/>
      <c r="W433" s="403"/>
      <c r="X433" s="403"/>
      <c r="Y433" s="403"/>
      <c r="Z433" s="403"/>
      <c r="AA433" s="403"/>
      <c r="AB433" s="403"/>
      <c r="AC433" s="403"/>
      <c r="AD433" s="403"/>
      <c r="AE433" s="403"/>
      <c r="AF433" s="403"/>
      <c r="AG433" s="403"/>
      <c r="AH433" s="403"/>
      <c r="AI433" s="403"/>
      <c r="AJ433" s="403"/>
      <c r="AK433" s="403"/>
      <c r="AL433" s="403"/>
      <c r="AM433" s="403"/>
      <c r="AN433" s="403"/>
      <c r="AO433" s="403"/>
      <c r="AP433" s="403"/>
    </row>
    <row r="434" spans="5:45" s="338" customFormat="1" x14ac:dyDescent="0.25">
      <c r="F434" s="84" t="s">
        <v>46</v>
      </c>
      <c r="G434" s="145" t="s">
        <v>636</v>
      </c>
      <c r="H434" s="339"/>
      <c r="I434" s="339"/>
      <c r="J434" s="403"/>
      <c r="K434" s="403"/>
      <c r="L434" s="403"/>
      <c r="M434" s="403"/>
      <c r="N434" s="403"/>
      <c r="O434" s="403"/>
      <c r="P434" s="403"/>
      <c r="Q434" s="403"/>
      <c r="R434" s="403"/>
      <c r="S434" s="403"/>
      <c r="T434" s="428">
        <f t="shared" ref="T434:T439" si="122">IF(T386 &lt;&gt; 0, H410 / T386, 0)</f>
        <v>1.1502792441515022</v>
      </c>
      <c r="U434" s="403"/>
      <c r="V434" s="403"/>
      <c r="W434" s="403"/>
      <c r="X434" s="403"/>
      <c r="Y434" s="403"/>
      <c r="Z434" s="403"/>
      <c r="AA434" s="403"/>
      <c r="AB434" s="403"/>
      <c r="AC434" s="403"/>
      <c r="AD434" s="403"/>
      <c r="AE434" s="403"/>
      <c r="AF434" s="403"/>
      <c r="AG434" s="403"/>
      <c r="AH434" s="403"/>
      <c r="AI434" s="403"/>
      <c r="AJ434" s="403"/>
      <c r="AK434" s="403"/>
      <c r="AL434" s="403"/>
      <c r="AM434" s="403"/>
      <c r="AN434" s="403"/>
      <c r="AO434" s="403"/>
      <c r="AP434" s="403"/>
    </row>
    <row r="435" spans="5:45" s="338" customFormat="1" x14ac:dyDescent="0.25">
      <c r="F435" s="84" t="s">
        <v>47</v>
      </c>
      <c r="G435" s="145" t="s">
        <v>636</v>
      </c>
      <c r="H435" s="339"/>
      <c r="I435" s="339"/>
      <c r="J435" s="403"/>
      <c r="K435" s="403"/>
      <c r="L435" s="403"/>
      <c r="M435" s="403"/>
      <c r="N435" s="403"/>
      <c r="O435" s="403"/>
      <c r="P435" s="403"/>
      <c r="Q435" s="403"/>
      <c r="R435" s="403"/>
      <c r="S435" s="403"/>
      <c r="T435" s="428">
        <f t="shared" si="122"/>
        <v>1.1502792441515022</v>
      </c>
      <c r="U435" s="403"/>
      <c r="V435" s="403"/>
      <c r="W435" s="403"/>
      <c r="X435" s="403"/>
      <c r="Y435" s="403"/>
      <c r="Z435" s="403"/>
      <c r="AA435" s="403"/>
      <c r="AB435" s="403"/>
      <c r="AC435" s="403"/>
      <c r="AD435" s="403"/>
      <c r="AE435" s="403"/>
      <c r="AF435" s="403"/>
      <c r="AG435" s="403"/>
      <c r="AH435" s="403"/>
      <c r="AI435" s="403"/>
      <c r="AJ435" s="403"/>
      <c r="AK435" s="403"/>
      <c r="AL435" s="403"/>
      <c r="AM435" s="403"/>
      <c r="AN435" s="403"/>
      <c r="AO435" s="403"/>
      <c r="AP435" s="403"/>
    </row>
    <row r="436" spans="5:45" s="338" customFormat="1" x14ac:dyDescent="0.25">
      <c r="F436" s="84" t="s">
        <v>51</v>
      </c>
      <c r="G436" s="145" t="s">
        <v>636</v>
      </c>
      <c r="H436" s="339"/>
      <c r="I436" s="339"/>
      <c r="J436" s="403"/>
      <c r="K436" s="403"/>
      <c r="L436" s="403"/>
      <c r="M436" s="403"/>
      <c r="N436" s="403"/>
      <c r="O436" s="403"/>
      <c r="P436" s="403"/>
      <c r="Q436" s="403"/>
      <c r="R436" s="403"/>
      <c r="S436" s="403"/>
      <c r="T436" s="428">
        <f t="shared" si="122"/>
        <v>0</v>
      </c>
      <c r="U436" s="403"/>
      <c r="V436" s="403"/>
      <c r="W436" s="403"/>
      <c r="X436" s="403"/>
      <c r="Y436" s="403"/>
      <c r="Z436" s="403"/>
      <c r="AA436" s="403"/>
      <c r="AB436" s="403"/>
      <c r="AC436" s="403"/>
      <c r="AD436" s="403"/>
      <c r="AE436" s="403"/>
      <c r="AF436" s="403"/>
      <c r="AG436" s="403"/>
      <c r="AH436" s="403"/>
      <c r="AI436" s="403"/>
      <c r="AJ436" s="403"/>
      <c r="AK436" s="403"/>
      <c r="AL436" s="403"/>
      <c r="AM436" s="403"/>
      <c r="AN436" s="403"/>
      <c r="AO436" s="403"/>
      <c r="AP436" s="403"/>
    </row>
    <row r="437" spans="5:45" s="338" customFormat="1" x14ac:dyDescent="0.25">
      <c r="F437" s="84" t="s">
        <v>48</v>
      </c>
      <c r="G437" s="145" t="s">
        <v>636</v>
      </c>
      <c r="H437" s="339"/>
      <c r="I437" s="339"/>
      <c r="J437" s="403"/>
      <c r="K437" s="403"/>
      <c r="L437" s="403"/>
      <c r="M437" s="403"/>
      <c r="N437" s="403"/>
      <c r="O437" s="403"/>
      <c r="P437" s="403"/>
      <c r="Q437" s="403"/>
      <c r="R437" s="403"/>
      <c r="S437" s="403"/>
      <c r="T437" s="428">
        <f t="shared" si="122"/>
        <v>1.1495028812783823</v>
      </c>
      <c r="U437" s="403"/>
      <c r="V437" s="403"/>
      <c r="W437" s="403"/>
      <c r="X437" s="403"/>
      <c r="Y437" s="403"/>
      <c r="Z437" s="403"/>
      <c r="AA437" s="403"/>
      <c r="AB437" s="403"/>
      <c r="AC437" s="403"/>
      <c r="AD437" s="403"/>
      <c r="AE437" s="403"/>
      <c r="AF437" s="403"/>
      <c r="AG437" s="403"/>
      <c r="AH437" s="403"/>
      <c r="AI437" s="403"/>
      <c r="AJ437" s="403"/>
      <c r="AK437" s="403"/>
      <c r="AL437" s="403"/>
      <c r="AM437" s="403"/>
      <c r="AN437" s="403"/>
      <c r="AO437" s="403"/>
      <c r="AP437" s="403"/>
    </row>
    <row r="438" spans="5:45" s="338" customFormat="1" x14ac:dyDescent="0.25">
      <c r="F438" s="84" t="s">
        <v>49</v>
      </c>
      <c r="G438" s="145" t="s">
        <v>636</v>
      </c>
      <c r="H438" s="339"/>
      <c r="I438" s="339"/>
      <c r="J438" s="403"/>
      <c r="K438" s="403"/>
      <c r="L438" s="403"/>
      <c r="M438" s="403"/>
      <c r="N438" s="403"/>
      <c r="O438" s="403"/>
      <c r="P438" s="403"/>
      <c r="Q438" s="403"/>
      <c r="R438" s="403"/>
      <c r="S438" s="403"/>
      <c r="T438" s="428">
        <f t="shared" si="122"/>
        <v>1.1495028812783823</v>
      </c>
      <c r="U438" s="403"/>
      <c r="V438" s="403"/>
      <c r="W438" s="403"/>
      <c r="X438" s="403"/>
      <c r="Y438" s="403"/>
      <c r="Z438" s="403"/>
      <c r="AA438" s="403"/>
      <c r="AB438" s="403"/>
      <c r="AC438" s="403"/>
      <c r="AD438" s="403"/>
      <c r="AE438" s="403"/>
      <c r="AF438" s="403"/>
      <c r="AG438" s="403"/>
      <c r="AH438" s="403"/>
      <c r="AI438" s="403"/>
      <c r="AJ438" s="403"/>
      <c r="AK438" s="403"/>
      <c r="AL438" s="403"/>
      <c r="AM438" s="403"/>
      <c r="AN438" s="403"/>
      <c r="AO438" s="403"/>
      <c r="AP438" s="403"/>
    </row>
    <row r="439" spans="5:45" s="338" customFormat="1" x14ac:dyDescent="0.25">
      <c r="F439" s="77" t="s">
        <v>50</v>
      </c>
      <c r="G439" s="38" t="s">
        <v>636</v>
      </c>
      <c r="H439" s="168"/>
      <c r="I439" s="168"/>
      <c r="J439" s="404"/>
      <c r="K439" s="404"/>
      <c r="L439" s="404"/>
      <c r="M439" s="404"/>
      <c r="N439" s="404"/>
      <c r="O439" s="404"/>
      <c r="P439" s="404"/>
      <c r="Q439" s="404"/>
      <c r="R439" s="404"/>
      <c r="S439" s="404"/>
      <c r="T439" s="432">
        <f t="shared" si="122"/>
        <v>1.1495028812783823</v>
      </c>
      <c r="U439" s="404"/>
      <c r="V439" s="404"/>
      <c r="W439" s="404"/>
      <c r="X439" s="404"/>
      <c r="Y439" s="404"/>
      <c r="Z439" s="404"/>
      <c r="AA439" s="404"/>
      <c r="AB439" s="404"/>
      <c r="AC439" s="404"/>
      <c r="AD439" s="404"/>
      <c r="AE439" s="404"/>
      <c r="AF439" s="404"/>
      <c r="AG439" s="404"/>
      <c r="AH439" s="404"/>
      <c r="AI439" s="404"/>
      <c r="AJ439" s="404"/>
      <c r="AK439" s="404"/>
      <c r="AL439" s="404"/>
      <c r="AM439" s="404"/>
      <c r="AN439" s="404"/>
      <c r="AO439" s="404"/>
      <c r="AP439" s="404"/>
    </row>
    <row r="440" spans="5:45" s="338" customFormat="1" x14ac:dyDescent="0.25">
      <c r="F440" s="78"/>
      <c r="G440" s="145"/>
      <c r="H440" s="339"/>
      <c r="I440" s="339"/>
      <c r="J440" s="450"/>
      <c r="K440" s="450"/>
      <c r="L440" s="450"/>
      <c r="M440" s="450"/>
      <c r="N440" s="450"/>
      <c r="O440" s="450"/>
      <c r="P440" s="450"/>
      <c r="Q440" s="450"/>
      <c r="R440" s="450"/>
      <c r="S440" s="450"/>
      <c r="T440" s="450"/>
      <c r="U440" s="450"/>
      <c r="V440" s="450"/>
      <c r="W440" s="450"/>
      <c r="X440" s="450"/>
      <c r="Y440" s="450"/>
      <c r="Z440" s="450"/>
      <c r="AA440" s="450"/>
      <c r="AB440" s="450"/>
      <c r="AC440" s="450"/>
      <c r="AD440" s="450"/>
      <c r="AE440" s="450"/>
      <c r="AF440" s="450"/>
      <c r="AG440" s="450"/>
      <c r="AH440" s="450"/>
      <c r="AI440" s="450"/>
      <c r="AJ440" s="450"/>
      <c r="AK440" s="450"/>
      <c r="AL440" s="450"/>
      <c r="AM440" s="450"/>
      <c r="AN440" s="450"/>
      <c r="AO440" s="450"/>
      <c r="AP440" s="450"/>
      <c r="AQ440" s="73"/>
      <c r="AR440" s="73"/>
      <c r="AS440" s="73"/>
    </row>
    <row r="441" spans="5:45" s="338" customFormat="1" x14ac:dyDescent="0.25">
      <c r="E441" s="172" t="s">
        <v>1028</v>
      </c>
      <c r="J441" s="416"/>
      <c r="K441" s="416"/>
      <c r="L441" s="416"/>
      <c r="M441" s="416"/>
      <c r="N441" s="416"/>
      <c r="O441" s="416"/>
      <c r="P441" s="416"/>
      <c r="Q441" s="416"/>
      <c r="R441" s="416"/>
      <c r="S441" s="416"/>
      <c r="T441" s="416"/>
      <c r="U441" s="416"/>
      <c r="V441" s="416"/>
      <c r="W441" s="416"/>
      <c r="X441" s="416"/>
      <c r="Y441" s="416"/>
      <c r="Z441" s="416"/>
      <c r="AA441" s="416"/>
      <c r="AB441" s="416"/>
      <c r="AC441" s="416"/>
      <c r="AD441" s="416"/>
      <c r="AE441" s="416"/>
      <c r="AF441" s="416"/>
      <c r="AG441" s="416"/>
      <c r="AH441" s="416"/>
      <c r="AI441" s="416"/>
      <c r="AJ441" s="416"/>
      <c r="AK441" s="416"/>
      <c r="AL441" s="416"/>
      <c r="AM441" s="416"/>
      <c r="AN441" s="416"/>
      <c r="AO441" s="416"/>
      <c r="AP441" s="416"/>
    </row>
    <row r="442" spans="5:45" s="338" customFormat="1" x14ac:dyDescent="0.25">
      <c r="F442" s="85" t="s">
        <v>43</v>
      </c>
      <c r="G442" s="40" t="s">
        <v>636</v>
      </c>
      <c r="H442" s="166"/>
      <c r="I442" s="166"/>
      <c r="J442" s="402"/>
      <c r="K442" s="402"/>
      <c r="L442" s="402"/>
      <c r="M442" s="402"/>
      <c r="N442" s="402"/>
      <c r="O442" s="402"/>
      <c r="P442" s="402"/>
      <c r="Q442" s="402"/>
      <c r="R442" s="402"/>
      <c r="S442" s="431">
        <f>IF(SUM($J349:$L349,$S349 * ($S420 + S431)) &lt;&gt; 0, SUM($J349:$L349,$S349) / SUM($J349:$L349,$S349 * ($S420 + S431)), 0)</f>
        <v>1.0010304627461408</v>
      </c>
      <c r="T442" s="431">
        <f>IF(SUM($M349:$O349,$T349 * ($T420 + T431)) &lt;&gt; 0, SUM($M349:$O349,$T349) / SUM($M349:$O349,$T349 * ($T420 + T431)), 0)</f>
        <v>0.98900770776723812</v>
      </c>
      <c r="U442" s="402"/>
      <c r="V442" s="402"/>
      <c r="W442" s="402"/>
      <c r="X442" s="402"/>
      <c r="Y442" s="402"/>
      <c r="Z442" s="402"/>
      <c r="AA442" s="402"/>
      <c r="AB442" s="402"/>
      <c r="AC442" s="402"/>
      <c r="AD442" s="402"/>
      <c r="AE442" s="402"/>
      <c r="AF442" s="402"/>
      <c r="AG442" s="402"/>
      <c r="AH442" s="402"/>
      <c r="AI442" s="402"/>
      <c r="AJ442" s="402"/>
      <c r="AK442" s="402"/>
      <c r="AL442" s="402"/>
      <c r="AM442" s="402"/>
      <c r="AN442" s="402"/>
      <c r="AO442" s="402"/>
      <c r="AP442" s="402"/>
    </row>
    <row r="443" spans="5:45" s="338" customFormat="1" x14ac:dyDescent="0.25">
      <c r="F443" s="84" t="s">
        <v>44</v>
      </c>
      <c r="G443" s="145" t="s">
        <v>636</v>
      </c>
      <c r="H443" s="339"/>
      <c r="I443" s="339"/>
      <c r="J443" s="403"/>
      <c r="K443" s="403"/>
      <c r="L443" s="403"/>
      <c r="M443" s="403"/>
      <c r="N443" s="403"/>
      <c r="O443" s="403"/>
      <c r="P443" s="403"/>
      <c r="Q443" s="403"/>
      <c r="R443" s="403"/>
      <c r="S443" s="428">
        <f t="shared" ref="S443:S450" si="123">IF(SUM($J350:$L350,$S350 * ($S421 + S432)) &lt;&gt; 0, SUM($J350:$L350,$S350) / SUM($J350:$L350,$S350 * ($S421 + S432)), 0)</f>
        <v>1.0010147736586523</v>
      </c>
      <c r="T443" s="428">
        <f t="shared" ref="T443:T450" si="124">IF(SUM($M350:$O350,$T350 * ($T421 + T432)) &lt;&gt; 0, SUM($M350:$O350,$T350) / SUM($M350:$O350,$T350 * ($T421 + T432)), 0)</f>
        <v>0.98910662111440739</v>
      </c>
      <c r="U443" s="403"/>
      <c r="V443" s="403"/>
      <c r="W443" s="403"/>
      <c r="X443" s="403"/>
      <c r="Y443" s="403"/>
      <c r="Z443" s="403"/>
      <c r="AA443" s="403"/>
      <c r="AB443" s="403"/>
      <c r="AC443" s="403"/>
      <c r="AD443" s="403"/>
      <c r="AE443" s="403"/>
      <c r="AF443" s="403"/>
      <c r="AG443" s="403"/>
      <c r="AH443" s="403"/>
      <c r="AI443" s="403"/>
      <c r="AJ443" s="403"/>
      <c r="AK443" s="403"/>
      <c r="AL443" s="403"/>
      <c r="AM443" s="403"/>
      <c r="AN443" s="403"/>
      <c r="AO443" s="403"/>
      <c r="AP443" s="403"/>
    </row>
    <row r="444" spans="5:45" s="338" customFormat="1" x14ac:dyDescent="0.25">
      <c r="F444" s="84" t="s">
        <v>45</v>
      </c>
      <c r="G444" s="145" t="s">
        <v>636</v>
      </c>
      <c r="H444" s="339"/>
      <c r="I444" s="339"/>
      <c r="J444" s="403"/>
      <c r="K444" s="403"/>
      <c r="L444" s="403"/>
      <c r="M444" s="403"/>
      <c r="N444" s="403"/>
      <c r="O444" s="403"/>
      <c r="P444" s="403"/>
      <c r="Q444" s="403"/>
      <c r="R444" s="403"/>
      <c r="S444" s="428">
        <f t="shared" si="123"/>
        <v>1.0010147736586523</v>
      </c>
      <c r="T444" s="428">
        <f t="shared" si="124"/>
        <v>0.98910662111440739</v>
      </c>
      <c r="U444" s="403"/>
      <c r="V444" s="403"/>
      <c r="W444" s="403"/>
      <c r="X444" s="403"/>
      <c r="Y444" s="403"/>
      <c r="Z444" s="403"/>
      <c r="AA444" s="403"/>
      <c r="AB444" s="403"/>
      <c r="AC444" s="403"/>
      <c r="AD444" s="403"/>
      <c r="AE444" s="403"/>
      <c r="AF444" s="403"/>
      <c r="AG444" s="403"/>
      <c r="AH444" s="403"/>
      <c r="AI444" s="403"/>
      <c r="AJ444" s="403"/>
      <c r="AK444" s="403"/>
      <c r="AL444" s="403"/>
      <c r="AM444" s="403"/>
      <c r="AN444" s="403"/>
      <c r="AO444" s="403"/>
      <c r="AP444" s="403"/>
    </row>
    <row r="445" spans="5:45" s="338" customFormat="1" x14ac:dyDescent="0.25">
      <c r="F445" s="84" t="s">
        <v>46</v>
      </c>
      <c r="G445" s="145" t="s">
        <v>636</v>
      </c>
      <c r="H445" s="339"/>
      <c r="I445" s="339"/>
      <c r="J445" s="403"/>
      <c r="K445" s="403"/>
      <c r="L445" s="403"/>
      <c r="M445" s="403"/>
      <c r="N445" s="403"/>
      <c r="O445" s="403"/>
      <c r="P445" s="403"/>
      <c r="Q445" s="403"/>
      <c r="R445" s="403"/>
      <c r="S445" s="428">
        <f t="shared" si="123"/>
        <v>1.0009713890547309</v>
      </c>
      <c r="T445" s="428">
        <f t="shared" si="124"/>
        <v>0.98935186088280425</v>
      </c>
      <c r="U445" s="403"/>
      <c r="V445" s="403"/>
      <c r="W445" s="403"/>
      <c r="X445" s="403"/>
      <c r="Y445" s="403"/>
      <c r="Z445" s="403"/>
      <c r="AA445" s="403"/>
      <c r="AB445" s="403"/>
      <c r="AC445" s="403"/>
      <c r="AD445" s="403"/>
      <c r="AE445" s="403"/>
      <c r="AF445" s="403"/>
      <c r="AG445" s="403"/>
      <c r="AH445" s="403"/>
      <c r="AI445" s="403"/>
      <c r="AJ445" s="403"/>
      <c r="AK445" s="403"/>
      <c r="AL445" s="403"/>
      <c r="AM445" s="403"/>
      <c r="AN445" s="403"/>
      <c r="AO445" s="403"/>
      <c r="AP445" s="403"/>
    </row>
    <row r="446" spans="5:45" s="338" customFormat="1" x14ac:dyDescent="0.25">
      <c r="F446" s="84" t="s">
        <v>47</v>
      </c>
      <c r="G446" s="145" t="s">
        <v>636</v>
      </c>
      <c r="H446" s="339"/>
      <c r="I446" s="339"/>
      <c r="J446" s="403"/>
      <c r="K446" s="403"/>
      <c r="L446" s="403"/>
      <c r="M446" s="403"/>
      <c r="N446" s="403"/>
      <c r="O446" s="403"/>
      <c r="P446" s="403"/>
      <c r="Q446" s="403"/>
      <c r="R446" s="403"/>
      <c r="S446" s="428">
        <f t="shared" si="123"/>
        <v>1.0009713890547309</v>
      </c>
      <c r="T446" s="428">
        <f t="shared" si="124"/>
        <v>0.98935186088280425</v>
      </c>
      <c r="U446" s="403"/>
      <c r="V446" s="403"/>
      <c r="W446" s="403"/>
      <c r="X446" s="403"/>
      <c r="Y446" s="403"/>
      <c r="Z446" s="403"/>
      <c r="AA446" s="403"/>
      <c r="AB446" s="403"/>
      <c r="AC446" s="403"/>
      <c r="AD446" s="403"/>
      <c r="AE446" s="403"/>
      <c r="AF446" s="403"/>
      <c r="AG446" s="403"/>
      <c r="AH446" s="403"/>
      <c r="AI446" s="403"/>
      <c r="AJ446" s="403"/>
      <c r="AK446" s="403"/>
      <c r="AL446" s="403"/>
      <c r="AM446" s="403"/>
      <c r="AN446" s="403"/>
      <c r="AO446" s="403"/>
      <c r="AP446" s="403"/>
    </row>
    <row r="447" spans="5:45" s="338" customFormat="1" x14ac:dyDescent="0.25">
      <c r="F447" s="84" t="s">
        <v>51</v>
      </c>
      <c r="G447" s="145" t="s">
        <v>636</v>
      </c>
      <c r="H447" s="339"/>
      <c r="I447" s="339"/>
      <c r="J447" s="403"/>
      <c r="K447" s="403"/>
      <c r="L447" s="403"/>
      <c r="M447" s="403"/>
      <c r="N447" s="403"/>
      <c r="O447" s="403"/>
      <c r="P447" s="403"/>
      <c r="Q447" s="403"/>
      <c r="R447" s="403"/>
      <c r="S447" s="428">
        <f t="shared" si="123"/>
        <v>0</v>
      </c>
      <c r="T447" s="428">
        <f t="shared" si="124"/>
        <v>0</v>
      </c>
      <c r="U447" s="403"/>
      <c r="V447" s="403"/>
      <c r="W447" s="403"/>
      <c r="X447" s="403"/>
      <c r="Y447" s="403"/>
      <c r="Z447" s="403"/>
      <c r="AA447" s="403"/>
      <c r="AB447" s="403"/>
      <c r="AC447" s="403"/>
      <c r="AD447" s="403"/>
      <c r="AE447" s="403"/>
      <c r="AF447" s="403"/>
      <c r="AG447" s="403"/>
      <c r="AH447" s="403"/>
      <c r="AI447" s="403"/>
      <c r="AJ447" s="403"/>
      <c r="AK447" s="403"/>
      <c r="AL447" s="403"/>
      <c r="AM447" s="403"/>
      <c r="AN447" s="403"/>
      <c r="AO447" s="403"/>
      <c r="AP447" s="403"/>
    </row>
    <row r="448" spans="5:45" s="338" customFormat="1" x14ac:dyDescent="0.25">
      <c r="F448" s="84" t="s">
        <v>48</v>
      </c>
      <c r="G448" s="145" t="s">
        <v>636</v>
      </c>
      <c r="H448" s="339"/>
      <c r="I448" s="339"/>
      <c r="J448" s="403"/>
      <c r="K448" s="403"/>
      <c r="L448" s="403"/>
      <c r="M448" s="403"/>
      <c r="N448" s="403"/>
      <c r="O448" s="403"/>
      <c r="P448" s="403"/>
      <c r="Q448" s="403"/>
      <c r="R448" s="403"/>
      <c r="S448" s="428">
        <f t="shared" si="123"/>
        <v>1.000908849464164</v>
      </c>
      <c r="T448" s="428">
        <f t="shared" si="124"/>
        <v>0.98965695080723493</v>
      </c>
      <c r="U448" s="403"/>
      <c r="V448" s="403"/>
      <c r="W448" s="403"/>
      <c r="X448" s="403"/>
      <c r="Y448" s="403"/>
      <c r="Z448" s="403"/>
      <c r="AA448" s="403"/>
      <c r="AB448" s="403"/>
      <c r="AC448" s="403"/>
      <c r="AD448" s="403"/>
      <c r="AE448" s="403"/>
      <c r="AF448" s="403"/>
      <c r="AG448" s="403"/>
      <c r="AH448" s="403"/>
      <c r="AI448" s="403"/>
      <c r="AJ448" s="403"/>
      <c r="AK448" s="403"/>
      <c r="AL448" s="403"/>
      <c r="AM448" s="403"/>
      <c r="AN448" s="403"/>
      <c r="AO448" s="403"/>
      <c r="AP448" s="403"/>
    </row>
    <row r="449" spans="5:45" s="338" customFormat="1" x14ac:dyDescent="0.25">
      <c r="F449" s="84" t="s">
        <v>49</v>
      </c>
      <c r="G449" s="145" t="s">
        <v>636</v>
      </c>
      <c r="H449" s="339"/>
      <c r="I449" s="339"/>
      <c r="J449" s="403"/>
      <c r="K449" s="403"/>
      <c r="L449" s="403"/>
      <c r="M449" s="403"/>
      <c r="N449" s="403"/>
      <c r="O449" s="403"/>
      <c r="P449" s="403"/>
      <c r="Q449" s="403"/>
      <c r="R449" s="403"/>
      <c r="S449" s="428">
        <f t="shared" si="123"/>
        <v>1.000908849464164</v>
      </c>
      <c r="T449" s="428">
        <f t="shared" si="124"/>
        <v>0.98965695080723493</v>
      </c>
      <c r="U449" s="403"/>
      <c r="V449" s="403"/>
      <c r="W449" s="403"/>
      <c r="X449" s="403"/>
      <c r="Y449" s="403"/>
      <c r="Z449" s="403"/>
      <c r="AA449" s="403"/>
      <c r="AB449" s="403"/>
      <c r="AC449" s="403"/>
      <c r="AD449" s="403"/>
      <c r="AE449" s="403"/>
      <c r="AF449" s="403"/>
      <c r="AG449" s="403"/>
      <c r="AH449" s="403"/>
      <c r="AI449" s="403"/>
      <c r="AJ449" s="403"/>
      <c r="AK449" s="403"/>
      <c r="AL449" s="403"/>
      <c r="AM449" s="403"/>
      <c r="AN449" s="403"/>
      <c r="AO449" s="403"/>
      <c r="AP449" s="403"/>
    </row>
    <row r="450" spans="5:45" s="338" customFormat="1" x14ac:dyDescent="0.25">
      <c r="F450" s="77" t="s">
        <v>50</v>
      </c>
      <c r="G450" s="38" t="s">
        <v>636</v>
      </c>
      <c r="H450" s="168"/>
      <c r="I450" s="168"/>
      <c r="J450" s="404"/>
      <c r="K450" s="404"/>
      <c r="L450" s="404"/>
      <c r="M450" s="404"/>
      <c r="N450" s="404"/>
      <c r="O450" s="404"/>
      <c r="P450" s="404"/>
      <c r="Q450" s="404"/>
      <c r="R450" s="404"/>
      <c r="S450" s="432">
        <f t="shared" si="123"/>
        <v>1.000908849464164</v>
      </c>
      <c r="T450" s="432">
        <f t="shared" si="124"/>
        <v>0.98965695080723493</v>
      </c>
      <c r="U450" s="404"/>
      <c r="V450" s="404"/>
      <c r="W450" s="404"/>
      <c r="X450" s="404"/>
      <c r="Y450" s="404"/>
      <c r="Z450" s="404"/>
      <c r="AA450" s="404"/>
      <c r="AB450" s="404"/>
      <c r="AC450" s="404"/>
      <c r="AD450" s="404"/>
      <c r="AE450" s="404"/>
      <c r="AF450" s="404"/>
      <c r="AG450" s="404"/>
      <c r="AH450" s="404"/>
      <c r="AI450" s="404"/>
      <c r="AJ450" s="404"/>
      <c r="AK450" s="404"/>
      <c r="AL450" s="404"/>
      <c r="AM450" s="404"/>
      <c r="AN450" s="404"/>
      <c r="AO450" s="404"/>
      <c r="AP450" s="404"/>
    </row>
    <row r="451" spans="5:45" s="338" customFormat="1" x14ac:dyDescent="0.25">
      <c r="F451" s="78"/>
      <c r="G451" s="35"/>
      <c r="H451" s="165"/>
      <c r="J451" s="416"/>
      <c r="K451" s="416"/>
      <c r="L451" s="416"/>
      <c r="M451" s="416"/>
      <c r="N451" s="416"/>
      <c r="O451" s="416"/>
      <c r="P451" s="416"/>
      <c r="Q451" s="416"/>
      <c r="R451" s="416"/>
      <c r="S451" s="416"/>
      <c r="T451" s="416"/>
      <c r="U451" s="416"/>
      <c r="V451" s="416"/>
      <c r="W451" s="416"/>
      <c r="X451" s="416"/>
      <c r="Y451" s="416"/>
      <c r="Z451" s="416"/>
      <c r="AA451" s="416"/>
      <c r="AB451" s="416"/>
      <c r="AC451" s="416"/>
      <c r="AD451" s="416"/>
      <c r="AE451" s="416"/>
      <c r="AF451" s="416"/>
      <c r="AG451" s="416"/>
      <c r="AH451" s="416"/>
      <c r="AI451" s="416"/>
      <c r="AJ451" s="416"/>
      <c r="AK451" s="416"/>
      <c r="AL451" s="416"/>
      <c r="AM451" s="416"/>
      <c r="AN451" s="416"/>
      <c r="AO451" s="416"/>
      <c r="AP451" s="416"/>
      <c r="AQ451" s="73"/>
      <c r="AR451" s="73"/>
      <c r="AS451" s="73"/>
    </row>
    <row r="452" spans="5:45" s="338" customFormat="1" x14ac:dyDescent="0.25">
      <c r="E452" s="172" t="s">
        <v>876</v>
      </c>
      <c r="J452" s="416"/>
      <c r="K452" s="416"/>
      <c r="L452" s="416"/>
      <c r="M452" s="416"/>
      <c r="N452" s="416"/>
      <c r="O452" s="416"/>
      <c r="P452" s="416"/>
      <c r="Q452" s="416"/>
      <c r="R452" s="416"/>
      <c r="S452" s="416"/>
      <c r="T452" s="416"/>
      <c r="U452" s="416"/>
      <c r="V452" s="416"/>
      <c r="W452" s="416"/>
      <c r="X452" s="416"/>
      <c r="Y452" s="416"/>
      <c r="Z452" s="416"/>
      <c r="AA452" s="416"/>
      <c r="AB452" s="416"/>
      <c r="AC452" s="416"/>
      <c r="AD452" s="416"/>
      <c r="AE452" s="416"/>
      <c r="AF452" s="416"/>
      <c r="AG452" s="416"/>
      <c r="AH452" s="416"/>
      <c r="AI452" s="416"/>
      <c r="AJ452" s="416"/>
      <c r="AK452" s="416"/>
      <c r="AL452" s="416"/>
      <c r="AM452" s="416"/>
      <c r="AN452" s="416"/>
      <c r="AO452" s="416"/>
      <c r="AP452" s="416"/>
    </row>
    <row r="453" spans="5:45" s="338" customFormat="1" x14ac:dyDescent="0.25">
      <c r="F453" s="85" t="s">
        <v>43</v>
      </c>
      <c r="G453" s="40" t="s">
        <v>636</v>
      </c>
      <c r="H453" s="166"/>
      <c r="I453" s="166"/>
      <c r="J453" s="431">
        <f>$S442</f>
        <v>1.0010304627461408</v>
      </c>
      <c r="K453" s="431">
        <f t="shared" ref="K453:L453" si="125">$S442</f>
        <v>1.0010304627461408</v>
      </c>
      <c r="L453" s="431">
        <f t="shared" si="125"/>
        <v>1.0010304627461408</v>
      </c>
      <c r="M453" s="402"/>
      <c r="N453" s="402"/>
      <c r="O453" s="402"/>
      <c r="P453" s="402"/>
      <c r="Q453" s="402"/>
      <c r="R453" s="402"/>
      <c r="S453" s="402"/>
      <c r="T453" s="402"/>
      <c r="U453" s="402"/>
      <c r="V453" s="402"/>
      <c r="W453" s="402"/>
      <c r="X453" s="402"/>
      <c r="Y453" s="402"/>
      <c r="Z453" s="402"/>
      <c r="AA453" s="402"/>
      <c r="AB453" s="402"/>
      <c r="AC453" s="402"/>
      <c r="AD453" s="402"/>
      <c r="AE453" s="402"/>
      <c r="AF453" s="402"/>
      <c r="AG453" s="402"/>
      <c r="AH453" s="402"/>
      <c r="AI453" s="402"/>
      <c r="AJ453" s="402"/>
      <c r="AK453" s="402"/>
      <c r="AL453" s="402"/>
      <c r="AM453" s="402"/>
      <c r="AN453" s="402"/>
      <c r="AO453" s="402"/>
      <c r="AP453" s="402"/>
    </row>
    <row r="454" spans="5:45" s="338" customFormat="1" x14ac:dyDescent="0.25">
      <c r="F454" s="84" t="s">
        <v>44</v>
      </c>
      <c r="G454" s="145" t="s">
        <v>636</v>
      </c>
      <c r="H454" s="339"/>
      <c r="I454" s="339"/>
      <c r="J454" s="428">
        <f t="shared" ref="J454:L461" si="126">$S443</f>
        <v>1.0010147736586523</v>
      </c>
      <c r="K454" s="428">
        <f t="shared" si="126"/>
        <v>1.0010147736586523</v>
      </c>
      <c r="L454" s="428">
        <f t="shared" si="126"/>
        <v>1.0010147736586523</v>
      </c>
      <c r="M454" s="403"/>
      <c r="N454" s="403"/>
      <c r="O454" s="403"/>
      <c r="P454" s="403"/>
      <c r="Q454" s="403"/>
      <c r="R454" s="403"/>
      <c r="S454" s="403"/>
      <c r="T454" s="403"/>
      <c r="U454" s="403"/>
      <c r="V454" s="403"/>
      <c r="W454" s="403"/>
      <c r="X454" s="403"/>
      <c r="Y454" s="403"/>
      <c r="Z454" s="403"/>
      <c r="AA454" s="403"/>
      <c r="AB454" s="403"/>
      <c r="AC454" s="403"/>
      <c r="AD454" s="403"/>
      <c r="AE454" s="403"/>
      <c r="AF454" s="403"/>
      <c r="AG454" s="403"/>
      <c r="AH454" s="403"/>
      <c r="AI454" s="403"/>
      <c r="AJ454" s="403"/>
      <c r="AK454" s="403"/>
      <c r="AL454" s="403"/>
      <c r="AM454" s="403"/>
      <c r="AN454" s="403"/>
      <c r="AO454" s="403"/>
      <c r="AP454" s="403"/>
    </row>
    <row r="455" spans="5:45" s="338" customFormat="1" x14ac:dyDescent="0.25">
      <c r="F455" s="84" t="s">
        <v>45</v>
      </c>
      <c r="G455" s="145" t="s">
        <v>636</v>
      </c>
      <c r="H455" s="339"/>
      <c r="I455" s="339"/>
      <c r="J455" s="428">
        <f t="shared" si="126"/>
        <v>1.0010147736586523</v>
      </c>
      <c r="K455" s="428">
        <f t="shared" si="126"/>
        <v>1.0010147736586523</v>
      </c>
      <c r="L455" s="428">
        <f t="shared" si="126"/>
        <v>1.0010147736586523</v>
      </c>
      <c r="M455" s="403"/>
      <c r="N455" s="403"/>
      <c r="O455" s="403"/>
      <c r="P455" s="403"/>
      <c r="Q455" s="403"/>
      <c r="R455" s="403"/>
      <c r="S455" s="403"/>
      <c r="T455" s="403"/>
      <c r="U455" s="403"/>
      <c r="V455" s="403"/>
      <c r="W455" s="403"/>
      <c r="X455" s="403"/>
      <c r="Y455" s="403"/>
      <c r="Z455" s="403"/>
      <c r="AA455" s="403"/>
      <c r="AB455" s="403"/>
      <c r="AC455" s="403"/>
      <c r="AD455" s="403"/>
      <c r="AE455" s="403"/>
      <c r="AF455" s="403"/>
      <c r="AG455" s="403"/>
      <c r="AH455" s="403"/>
      <c r="AI455" s="403"/>
      <c r="AJ455" s="403"/>
      <c r="AK455" s="403"/>
      <c r="AL455" s="403"/>
      <c r="AM455" s="403"/>
      <c r="AN455" s="403"/>
      <c r="AO455" s="403"/>
      <c r="AP455" s="403"/>
    </row>
    <row r="456" spans="5:45" s="338" customFormat="1" x14ac:dyDescent="0.25">
      <c r="F456" s="84" t="s">
        <v>46</v>
      </c>
      <c r="G456" s="145" t="s">
        <v>636</v>
      </c>
      <c r="H456" s="339"/>
      <c r="I456" s="339"/>
      <c r="J456" s="428">
        <f t="shared" si="126"/>
        <v>1.0009713890547309</v>
      </c>
      <c r="K456" s="428">
        <f t="shared" si="126"/>
        <v>1.0009713890547309</v>
      </c>
      <c r="L456" s="428">
        <f t="shared" si="126"/>
        <v>1.0009713890547309</v>
      </c>
      <c r="M456" s="403"/>
      <c r="N456" s="403"/>
      <c r="O456" s="403"/>
      <c r="P456" s="403"/>
      <c r="Q456" s="403"/>
      <c r="R456" s="403"/>
      <c r="S456" s="403"/>
      <c r="T456" s="403"/>
      <c r="U456" s="403"/>
      <c r="V456" s="403"/>
      <c r="W456" s="403"/>
      <c r="X456" s="403"/>
      <c r="Y456" s="403"/>
      <c r="Z456" s="403"/>
      <c r="AA456" s="403"/>
      <c r="AB456" s="403"/>
      <c r="AC456" s="403"/>
      <c r="AD456" s="403"/>
      <c r="AE456" s="403"/>
      <c r="AF456" s="403"/>
      <c r="AG456" s="403"/>
      <c r="AH456" s="403"/>
      <c r="AI456" s="403"/>
      <c r="AJ456" s="403"/>
      <c r="AK456" s="403"/>
      <c r="AL456" s="403"/>
      <c r="AM456" s="403"/>
      <c r="AN456" s="403"/>
      <c r="AO456" s="403"/>
      <c r="AP456" s="403"/>
    </row>
    <row r="457" spans="5:45" s="338" customFormat="1" x14ac:dyDescent="0.25">
      <c r="F457" s="84" t="s">
        <v>47</v>
      </c>
      <c r="G457" s="145" t="s">
        <v>636</v>
      </c>
      <c r="H457" s="339"/>
      <c r="I457" s="339"/>
      <c r="J457" s="428">
        <f t="shared" si="126"/>
        <v>1.0009713890547309</v>
      </c>
      <c r="K457" s="428">
        <f t="shared" si="126"/>
        <v>1.0009713890547309</v>
      </c>
      <c r="L457" s="428">
        <f t="shared" si="126"/>
        <v>1.0009713890547309</v>
      </c>
      <c r="M457" s="403"/>
      <c r="N457" s="403"/>
      <c r="O457" s="403"/>
      <c r="P457" s="403"/>
      <c r="Q457" s="403"/>
      <c r="R457" s="403"/>
      <c r="S457" s="403"/>
      <c r="T457" s="403"/>
      <c r="U457" s="403"/>
      <c r="V457" s="403"/>
      <c r="W457" s="403"/>
      <c r="X457" s="403"/>
      <c r="Y457" s="403"/>
      <c r="Z457" s="403"/>
      <c r="AA457" s="403"/>
      <c r="AB457" s="403"/>
      <c r="AC457" s="403"/>
      <c r="AD457" s="403"/>
      <c r="AE457" s="403"/>
      <c r="AF457" s="403"/>
      <c r="AG457" s="403"/>
      <c r="AH457" s="403"/>
      <c r="AI457" s="403"/>
      <c r="AJ457" s="403"/>
      <c r="AK457" s="403"/>
      <c r="AL457" s="403"/>
      <c r="AM457" s="403"/>
      <c r="AN457" s="403"/>
      <c r="AO457" s="403"/>
      <c r="AP457" s="403"/>
    </row>
    <row r="458" spans="5:45" s="338" customFormat="1" x14ac:dyDescent="0.25">
      <c r="F458" s="84" t="s">
        <v>51</v>
      </c>
      <c r="G458" s="145" t="s">
        <v>636</v>
      </c>
      <c r="H458" s="339"/>
      <c r="I458" s="339"/>
      <c r="J458" s="428">
        <f t="shared" si="126"/>
        <v>0</v>
      </c>
      <c r="K458" s="428">
        <f t="shared" si="126"/>
        <v>0</v>
      </c>
      <c r="L458" s="428">
        <f t="shared" si="126"/>
        <v>0</v>
      </c>
      <c r="M458" s="403"/>
      <c r="N458" s="403"/>
      <c r="O458" s="403"/>
      <c r="P458" s="403"/>
      <c r="Q458" s="403"/>
      <c r="R458" s="403"/>
      <c r="S458" s="403"/>
      <c r="T458" s="403"/>
      <c r="U458" s="403"/>
      <c r="V458" s="403"/>
      <c r="W458" s="403"/>
      <c r="X458" s="403"/>
      <c r="Y458" s="403"/>
      <c r="Z458" s="403"/>
      <c r="AA458" s="403"/>
      <c r="AB458" s="403"/>
      <c r="AC458" s="403"/>
      <c r="AD458" s="403"/>
      <c r="AE458" s="403"/>
      <c r="AF458" s="403"/>
      <c r="AG458" s="403"/>
      <c r="AH458" s="403"/>
      <c r="AI458" s="403"/>
      <c r="AJ458" s="403"/>
      <c r="AK458" s="403"/>
      <c r="AL458" s="403"/>
      <c r="AM458" s="403"/>
      <c r="AN458" s="403"/>
      <c r="AO458" s="403"/>
      <c r="AP458" s="403"/>
    </row>
    <row r="459" spans="5:45" s="338" customFormat="1" x14ac:dyDescent="0.25">
      <c r="F459" s="84" t="s">
        <v>48</v>
      </c>
      <c r="G459" s="145" t="s">
        <v>636</v>
      </c>
      <c r="H459" s="339"/>
      <c r="I459" s="339"/>
      <c r="J459" s="428">
        <f t="shared" si="126"/>
        <v>1.000908849464164</v>
      </c>
      <c r="K459" s="428">
        <f t="shared" si="126"/>
        <v>1.000908849464164</v>
      </c>
      <c r="L459" s="428">
        <f t="shared" si="126"/>
        <v>1.000908849464164</v>
      </c>
      <c r="M459" s="403"/>
      <c r="N459" s="403"/>
      <c r="O459" s="403"/>
      <c r="P459" s="403"/>
      <c r="Q459" s="403"/>
      <c r="R459" s="403"/>
      <c r="S459" s="403"/>
      <c r="T459" s="403"/>
      <c r="U459" s="403"/>
      <c r="V459" s="403"/>
      <c r="W459" s="403"/>
      <c r="X459" s="403"/>
      <c r="Y459" s="403"/>
      <c r="Z459" s="403"/>
      <c r="AA459" s="403"/>
      <c r="AB459" s="403"/>
      <c r="AC459" s="403"/>
      <c r="AD459" s="403"/>
      <c r="AE459" s="403"/>
      <c r="AF459" s="403"/>
      <c r="AG459" s="403"/>
      <c r="AH459" s="403"/>
      <c r="AI459" s="403"/>
      <c r="AJ459" s="403"/>
      <c r="AK459" s="403"/>
      <c r="AL459" s="403"/>
      <c r="AM459" s="403"/>
      <c r="AN459" s="403"/>
      <c r="AO459" s="403"/>
      <c r="AP459" s="403"/>
    </row>
    <row r="460" spans="5:45" s="338" customFormat="1" x14ac:dyDescent="0.25">
      <c r="F460" s="84" t="s">
        <v>49</v>
      </c>
      <c r="G460" s="145" t="s">
        <v>636</v>
      </c>
      <c r="H460" s="339"/>
      <c r="I460" s="339"/>
      <c r="J460" s="428">
        <f t="shared" si="126"/>
        <v>1.000908849464164</v>
      </c>
      <c r="K460" s="428">
        <f t="shared" si="126"/>
        <v>1.000908849464164</v>
      </c>
      <c r="L460" s="428">
        <f t="shared" si="126"/>
        <v>1.000908849464164</v>
      </c>
      <c r="M460" s="403"/>
      <c r="N460" s="403"/>
      <c r="O460" s="403"/>
      <c r="P460" s="403"/>
      <c r="Q460" s="403"/>
      <c r="R460" s="403"/>
      <c r="S460" s="403"/>
      <c r="T460" s="403"/>
      <c r="U460" s="403"/>
      <c r="V460" s="403"/>
      <c r="W460" s="403"/>
      <c r="X460" s="403"/>
      <c r="Y460" s="403"/>
      <c r="Z460" s="403"/>
      <c r="AA460" s="403"/>
      <c r="AB460" s="403"/>
      <c r="AC460" s="403"/>
      <c r="AD460" s="403"/>
      <c r="AE460" s="403"/>
      <c r="AF460" s="403"/>
      <c r="AG460" s="403"/>
      <c r="AH460" s="403"/>
      <c r="AI460" s="403"/>
      <c r="AJ460" s="403"/>
      <c r="AK460" s="403"/>
      <c r="AL460" s="403"/>
      <c r="AM460" s="403"/>
      <c r="AN460" s="403"/>
      <c r="AO460" s="403"/>
      <c r="AP460" s="403"/>
    </row>
    <row r="461" spans="5:45" s="338" customFormat="1" x14ac:dyDescent="0.25">
      <c r="F461" s="77" t="s">
        <v>50</v>
      </c>
      <c r="G461" s="38" t="s">
        <v>636</v>
      </c>
      <c r="H461" s="168"/>
      <c r="I461" s="168"/>
      <c r="J461" s="432">
        <f t="shared" si="126"/>
        <v>1.000908849464164</v>
      </c>
      <c r="K461" s="432">
        <f t="shared" si="126"/>
        <v>1.000908849464164</v>
      </c>
      <c r="L461" s="432">
        <f t="shared" si="126"/>
        <v>1.000908849464164</v>
      </c>
      <c r="M461" s="404"/>
      <c r="N461" s="404"/>
      <c r="O461" s="404"/>
      <c r="P461" s="404"/>
      <c r="Q461" s="404"/>
      <c r="R461" s="404"/>
      <c r="S461" s="404"/>
      <c r="T461" s="404"/>
      <c r="U461" s="404"/>
      <c r="V461" s="404"/>
      <c r="W461" s="404"/>
      <c r="X461" s="404"/>
      <c r="Y461" s="404"/>
      <c r="Z461" s="404"/>
      <c r="AA461" s="404"/>
      <c r="AB461" s="404"/>
      <c r="AC461" s="404"/>
      <c r="AD461" s="404"/>
      <c r="AE461" s="404"/>
      <c r="AF461" s="404"/>
      <c r="AG461" s="404"/>
      <c r="AH461" s="404"/>
      <c r="AI461" s="404"/>
      <c r="AJ461" s="404"/>
      <c r="AK461" s="404"/>
      <c r="AL461" s="404"/>
      <c r="AM461" s="404"/>
      <c r="AN461" s="404"/>
      <c r="AO461" s="404"/>
      <c r="AP461" s="404"/>
    </row>
    <row r="462" spans="5:45" s="338" customFormat="1" x14ac:dyDescent="0.25">
      <c r="F462" s="78"/>
      <c r="G462" s="35"/>
      <c r="H462" s="165"/>
      <c r="J462" s="416"/>
      <c r="K462" s="416"/>
      <c r="L462" s="416"/>
      <c r="M462" s="416"/>
      <c r="N462" s="416"/>
      <c r="O462" s="416"/>
      <c r="P462" s="416"/>
      <c r="Q462" s="416"/>
      <c r="R462" s="416"/>
      <c r="S462" s="416"/>
      <c r="T462" s="416"/>
      <c r="U462" s="416"/>
      <c r="V462" s="416"/>
      <c r="W462" s="416"/>
      <c r="X462" s="416"/>
      <c r="Y462" s="416"/>
      <c r="Z462" s="416"/>
      <c r="AA462" s="416"/>
      <c r="AB462" s="416"/>
      <c r="AC462" s="416"/>
      <c r="AD462" s="416"/>
      <c r="AE462" s="416"/>
      <c r="AF462" s="416"/>
      <c r="AG462" s="416"/>
      <c r="AH462" s="416"/>
      <c r="AI462" s="416"/>
      <c r="AJ462" s="416"/>
      <c r="AK462" s="416"/>
      <c r="AL462" s="416"/>
      <c r="AM462" s="416"/>
      <c r="AN462" s="416"/>
      <c r="AO462" s="416"/>
      <c r="AP462" s="416"/>
      <c r="AQ462" s="73"/>
      <c r="AR462" s="73"/>
      <c r="AS462" s="73"/>
    </row>
    <row r="463" spans="5:45" s="338" customFormat="1" x14ac:dyDescent="0.25">
      <c r="E463" s="172" t="s">
        <v>877</v>
      </c>
      <c r="J463" s="416"/>
      <c r="K463" s="416"/>
      <c r="L463" s="416"/>
      <c r="M463" s="416"/>
      <c r="N463" s="416"/>
      <c r="O463" s="416"/>
      <c r="P463" s="416"/>
      <c r="Q463" s="416"/>
      <c r="R463" s="416"/>
      <c r="S463" s="416"/>
      <c r="T463" s="416"/>
      <c r="U463" s="416"/>
      <c r="V463" s="416"/>
      <c r="W463" s="416"/>
      <c r="X463" s="416"/>
      <c r="Y463" s="416"/>
      <c r="Z463" s="416"/>
      <c r="AA463" s="416"/>
      <c r="AB463" s="416"/>
      <c r="AC463" s="416"/>
      <c r="AD463" s="416"/>
      <c r="AE463" s="416"/>
      <c r="AF463" s="416"/>
      <c r="AG463" s="416"/>
      <c r="AH463" s="416"/>
      <c r="AI463" s="416"/>
      <c r="AJ463" s="416"/>
      <c r="AK463" s="416"/>
      <c r="AL463" s="416"/>
      <c r="AM463" s="416"/>
      <c r="AN463" s="416"/>
      <c r="AO463" s="416"/>
      <c r="AP463" s="416"/>
    </row>
    <row r="464" spans="5:45" s="338" customFormat="1" x14ac:dyDescent="0.25">
      <c r="F464" s="85" t="s">
        <v>43</v>
      </c>
      <c r="G464" s="40" t="s">
        <v>636</v>
      </c>
      <c r="H464" s="166"/>
      <c r="I464" s="166"/>
      <c r="J464" s="402"/>
      <c r="K464" s="402"/>
      <c r="L464" s="402"/>
      <c r="M464" s="431">
        <f>$T442</f>
        <v>0.98900770776723812</v>
      </c>
      <c r="N464" s="431">
        <f t="shared" ref="N464:O464" si="127">$T442</f>
        <v>0.98900770776723812</v>
      </c>
      <c r="O464" s="431">
        <f t="shared" si="127"/>
        <v>0.98900770776723812</v>
      </c>
      <c r="P464" s="402"/>
      <c r="Q464" s="402"/>
      <c r="R464" s="402"/>
      <c r="S464" s="402"/>
      <c r="T464" s="402"/>
      <c r="U464" s="402"/>
      <c r="V464" s="402"/>
      <c r="W464" s="402"/>
      <c r="X464" s="402"/>
      <c r="Y464" s="402"/>
      <c r="Z464" s="402"/>
      <c r="AA464" s="402"/>
      <c r="AB464" s="402"/>
      <c r="AC464" s="402"/>
      <c r="AD464" s="402"/>
      <c r="AE464" s="402"/>
      <c r="AF464" s="402"/>
      <c r="AG464" s="402"/>
      <c r="AH464" s="402"/>
      <c r="AI464" s="402"/>
      <c r="AJ464" s="402"/>
      <c r="AK464" s="402"/>
      <c r="AL464" s="402"/>
      <c r="AM464" s="402"/>
      <c r="AN464" s="402"/>
      <c r="AO464" s="402"/>
      <c r="AP464" s="402"/>
    </row>
    <row r="465" spans="5:45" s="338" customFormat="1" x14ac:dyDescent="0.25">
      <c r="F465" s="84" t="s">
        <v>44</v>
      </c>
      <c r="G465" s="145" t="s">
        <v>636</v>
      </c>
      <c r="H465" s="339"/>
      <c r="I465" s="339"/>
      <c r="J465" s="403"/>
      <c r="K465" s="403"/>
      <c r="L465" s="403"/>
      <c r="M465" s="428">
        <f t="shared" ref="M465:O465" si="128">$T443</f>
        <v>0.98910662111440739</v>
      </c>
      <c r="N465" s="428">
        <f t="shared" si="128"/>
        <v>0.98910662111440739</v>
      </c>
      <c r="O465" s="428">
        <f t="shared" si="128"/>
        <v>0.98910662111440739</v>
      </c>
      <c r="P465" s="403"/>
      <c r="Q465" s="403"/>
      <c r="R465" s="403"/>
      <c r="S465" s="403"/>
      <c r="T465" s="403"/>
      <c r="U465" s="403"/>
      <c r="V465" s="403"/>
      <c r="W465" s="403"/>
      <c r="X465" s="403"/>
      <c r="Y465" s="403"/>
      <c r="Z465" s="403"/>
      <c r="AA465" s="403"/>
      <c r="AB465" s="403"/>
      <c r="AC465" s="403"/>
      <c r="AD465" s="403"/>
      <c r="AE465" s="403"/>
      <c r="AF465" s="403"/>
      <c r="AG465" s="403"/>
      <c r="AH465" s="403"/>
      <c r="AI465" s="403"/>
      <c r="AJ465" s="403"/>
      <c r="AK465" s="403"/>
      <c r="AL465" s="403"/>
      <c r="AM465" s="403"/>
      <c r="AN465" s="403"/>
      <c r="AO465" s="403"/>
      <c r="AP465" s="403"/>
    </row>
    <row r="466" spans="5:45" s="338" customFormat="1" x14ac:dyDescent="0.25">
      <c r="F466" s="84" t="s">
        <v>45</v>
      </c>
      <c r="G466" s="145" t="s">
        <v>636</v>
      </c>
      <c r="H466" s="339"/>
      <c r="I466" s="339"/>
      <c r="J466" s="403"/>
      <c r="K466" s="403"/>
      <c r="L466" s="403"/>
      <c r="M466" s="428">
        <f t="shared" ref="M466:O466" si="129">$T444</f>
        <v>0.98910662111440739</v>
      </c>
      <c r="N466" s="428">
        <f t="shared" si="129"/>
        <v>0.98910662111440739</v>
      </c>
      <c r="O466" s="428">
        <f t="shared" si="129"/>
        <v>0.98910662111440739</v>
      </c>
      <c r="P466" s="403"/>
      <c r="Q466" s="403"/>
      <c r="R466" s="403"/>
      <c r="S466" s="403"/>
      <c r="T466" s="403"/>
      <c r="U466" s="403"/>
      <c r="V466" s="403"/>
      <c r="W466" s="403"/>
      <c r="X466" s="403"/>
      <c r="Y466" s="403"/>
      <c r="Z466" s="403"/>
      <c r="AA466" s="403"/>
      <c r="AB466" s="403"/>
      <c r="AC466" s="403"/>
      <c r="AD466" s="403"/>
      <c r="AE466" s="403"/>
      <c r="AF466" s="403"/>
      <c r="AG466" s="403"/>
      <c r="AH466" s="403"/>
      <c r="AI466" s="403"/>
      <c r="AJ466" s="403"/>
      <c r="AK466" s="403"/>
      <c r="AL466" s="403"/>
      <c r="AM466" s="403"/>
      <c r="AN466" s="403"/>
      <c r="AO466" s="403"/>
      <c r="AP466" s="403"/>
    </row>
    <row r="467" spans="5:45" s="338" customFormat="1" x14ac:dyDescent="0.25">
      <c r="F467" s="84" t="s">
        <v>46</v>
      </c>
      <c r="G467" s="145" t="s">
        <v>636</v>
      </c>
      <c r="H467" s="339"/>
      <c r="I467" s="339"/>
      <c r="J467" s="403"/>
      <c r="K467" s="403"/>
      <c r="L467" s="403"/>
      <c r="M467" s="428">
        <f t="shared" ref="M467:O467" si="130">$T445</f>
        <v>0.98935186088280425</v>
      </c>
      <c r="N467" s="428">
        <f t="shared" si="130"/>
        <v>0.98935186088280425</v>
      </c>
      <c r="O467" s="428">
        <f t="shared" si="130"/>
        <v>0.98935186088280425</v>
      </c>
      <c r="P467" s="403"/>
      <c r="Q467" s="403"/>
      <c r="R467" s="403"/>
      <c r="S467" s="403"/>
      <c r="T467" s="403"/>
      <c r="U467" s="403"/>
      <c r="V467" s="403"/>
      <c r="W467" s="403"/>
      <c r="X467" s="403"/>
      <c r="Y467" s="403"/>
      <c r="Z467" s="403"/>
      <c r="AA467" s="403"/>
      <c r="AB467" s="403"/>
      <c r="AC467" s="403"/>
      <c r="AD467" s="403"/>
      <c r="AE467" s="403"/>
      <c r="AF467" s="403"/>
      <c r="AG467" s="403"/>
      <c r="AH467" s="403"/>
      <c r="AI467" s="403"/>
      <c r="AJ467" s="403"/>
      <c r="AK467" s="403"/>
      <c r="AL467" s="403"/>
      <c r="AM467" s="403"/>
      <c r="AN467" s="403"/>
      <c r="AO467" s="403"/>
      <c r="AP467" s="403"/>
    </row>
    <row r="468" spans="5:45" s="338" customFormat="1" x14ac:dyDescent="0.25">
      <c r="F468" s="84" t="s">
        <v>47</v>
      </c>
      <c r="G468" s="145" t="s">
        <v>636</v>
      </c>
      <c r="H468" s="339"/>
      <c r="I468" s="339"/>
      <c r="J468" s="403"/>
      <c r="K468" s="403"/>
      <c r="L468" s="403"/>
      <c r="M468" s="428">
        <f t="shared" ref="M468:O468" si="131">$T446</f>
        <v>0.98935186088280425</v>
      </c>
      <c r="N468" s="428">
        <f t="shared" si="131"/>
        <v>0.98935186088280425</v>
      </c>
      <c r="O468" s="428">
        <f t="shared" si="131"/>
        <v>0.98935186088280425</v>
      </c>
      <c r="P468" s="403"/>
      <c r="Q468" s="403"/>
      <c r="R468" s="403"/>
      <c r="S468" s="403"/>
      <c r="T468" s="403"/>
      <c r="U468" s="403"/>
      <c r="V468" s="403"/>
      <c r="W468" s="403"/>
      <c r="X468" s="403"/>
      <c r="Y468" s="403"/>
      <c r="Z468" s="403"/>
      <c r="AA468" s="403"/>
      <c r="AB468" s="403"/>
      <c r="AC468" s="403"/>
      <c r="AD468" s="403"/>
      <c r="AE468" s="403"/>
      <c r="AF468" s="403"/>
      <c r="AG468" s="403"/>
      <c r="AH468" s="403"/>
      <c r="AI468" s="403"/>
      <c r="AJ468" s="403"/>
      <c r="AK468" s="403"/>
      <c r="AL468" s="403"/>
      <c r="AM468" s="403"/>
      <c r="AN468" s="403"/>
      <c r="AO468" s="403"/>
      <c r="AP468" s="403"/>
    </row>
    <row r="469" spans="5:45" s="338" customFormat="1" x14ac:dyDescent="0.25">
      <c r="F469" s="84" t="s">
        <v>51</v>
      </c>
      <c r="G469" s="145" t="s">
        <v>636</v>
      </c>
      <c r="H469" s="339"/>
      <c r="I469" s="339"/>
      <c r="J469" s="403"/>
      <c r="K469" s="403"/>
      <c r="L469" s="403"/>
      <c r="M469" s="428">
        <f t="shared" ref="M469:O469" si="132">$T447</f>
        <v>0</v>
      </c>
      <c r="N469" s="428">
        <f t="shared" si="132"/>
        <v>0</v>
      </c>
      <c r="O469" s="428">
        <f t="shared" si="132"/>
        <v>0</v>
      </c>
      <c r="P469" s="403"/>
      <c r="Q469" s="403"/>
      <c r="R469" s="403"/>
      <c r="S469" s="403"/>
      <c r="T469" s="403"/>
      <c r="U469" s="403"/>
      <c r="V469" s="403"/>
      <c r="W469" s="403"/>
      <c r="X469" s="403"/>
      <c r="Y469" s="403"/>
      <c r="Z469" s="403"/>
      <c r="AA469" s="403"/>
      <c r="AB469" s="403"/>
      <c r="AC469" s="403"/>
      <c r="AD469" s="403"/>
      <c r="AE469" s="403"/>
      <c r="AF469" s="403"/>
      <c r="AG469" s="403"/>
      <c r="AH469" s="403"/>
      <c r="AI469" s="403"/>
      <c r="AJ469" s="403"/>
      <c r="AK469" s="403"/>
      <c r="AL469" s="403"/>
      <c r="AM469" s="403"/>
      <c r="AN469" s="403"/>
      <c r="AO469" s="403"/>
      <c r="AP469" s="403"/>
    </row>
    <row r="470" spans="5:45" s="338" customFormat="1" x14ac:dyDescent="0.25">
      <c r="F470" s="84" t="s">
        <v>48</v>
      </c>
      <c r="G470" s="145" t="s">
        <v>636</v>
      </c>
      <c r="H470" s="339"/>
      <c r="I470" s="339"/>
      <c r="J470" s="403"/>
      <c r="K470" s="403"/>
      <c r="L470" s="403"/>
      <c r="M470" s="428">
        <f t="shared" ref="M470:O470" si="133">$T448</f>
        <v>0.98965695080723493</v>
      </c>
      <c r="N470" s="428">
        <f t="shared" si="133"/>
        <v>0.98965695080723493</v>
      </c>
      <c r="O470" s="428">
        <f t="shared" si="133"/>
        <v>0.98965695080723493</v>
      </c>
      <c r="P470" s="403"/>
      <c r="Q470" s="403"/>
      <c r="R470" s="403"/>
      <c r="S470" s="403"/>
      <c r="T470" s="403"/>
      <c r="U470" s="403"/>
      <c r="V470" s="403"/>
      <c r="W470" s="403"/>
      <c r="X470" s="403"/>
      <c r="Y470" s="403"/>
      <c r="Z470" s="403"/>
      <c r="AA470" s="403"/>
      <c r="AB470" s="403"/>
      <c r="AC470" s="403"/>
      <c r="AD470" s="403"/>
      <c r="AE470" s="403"/>
      <c r="AF470" s="403"/>
      <c r="AG470" s="403"/>
      <c r="AH470" s="403"/>
      <c r="AI470" s="403"/>
      <c r="AJ470" s="403"/>
      <c r="AK470" s="403"/>
      <c r="AL470" s="403"/>
      <c r="AM470" s="403"/>
      <c r="AN470" s="403"/>
      <c r="AO470" s="403"/>
      <c r="AP470" s="403"/>
    </row>
    <row r="471" spans="5:45" s="338" customFormat="1" x14ac:dyDescent="0.25">
      <c r="F471" s="84" t="s">
        <v>49</v>
      </c>
      <c r="G471" s="145" t="s">
        <v>636</v>
      </c>
      <c r="H471" s="339"/>
      <c r="I471" s="339"/>
      <c r="J471" s="403"/>
      <c r="K471" s="403"/>
      <c r="L471" s="403"/>
      <c r="M471" s="428">
        <f t="shared" ref="M471:O471" si="134">$T449</f>
        <v>0.98965695080723493</v>
      </c>
      <c r="N471" s="428">
        <f t="shared" si="134"/>
        <v>0.98965695080723493</v>
      </c>
      <c r="O471" s="428">
        <f t="shared" si="134"/>
        <v>0.98965695080723493</v>
      </c>
      <c r="P471" s="403"/>
      <c r="Q471" s="403"/>
      <c r="R471" s="403"/>
      <c r="S471" s="403"/>
      <c r="T471" s="403"/>
      <c r="U471" s="403"/>
      <c r="V471" s="403"/>
      <c r="W471" s="403"/>
      <c r="X471" s="403"/>
      <c r="Y471" s="403"/>
      <c r="Z471" s="403"/>
      <c r="AA471" s="403"/>
      <c r="AB471" s="403"/>
      <c r="AC471" s="403"/>
      <c r="AD471" s="403"/>
      <c r="AE471" s="403"/>
      <c r="AF471" s="403"/>
      <c r="AG471" s="403"/>
      <c r="AH471" s="403"/>
      <c r="AI471" s="403"/>
      <c r="AJ471" s="403"/>
      <c r="AK471" s="403"/>
      <c r="AL471" s="403"/>
      <c r="AM471" s="403"/>
      <c r="AN471" s="403"/>
      <c r="AO471" s="403"/>
      <c r="AP471" s="403"/>
    </row>
    <row r="472" spans="5:45" s="338" customFormat="1" x14ac:dyDescent="0.25">
      <c r="F472" s="77" t="s">
        <v>50</v>
      </c>
      <c r="G472" s="38" t="s">
        <v>636</v>
      </c>
      <c r="H472" s="168"/>
      <c r="I472" s="168"/>
      <c r="J472" s="404"/>
      <c r="K472" s="404"/>
      <c r="L472" s="404"/>
      <c r="M472" s="432">
        <f t="shared" ref="M472:O472" si="135">$T450</f>
        <v>0.98965695080723493</v>
      </c>
      <c r="N472" s="432">
        <f t="shared" si="135"/>
        <v>0.98965695080723493</v>
      </c>
      <c r="O472" s="432">
        <f t="shared" si="135"/>
        <v>0.98965695080723493</v>
      </c>
      <c r="P472" s="404"/>
      <c r="Q472" s="404"/>
      <c r="R472" s="404"/>
      <c r="S472" s="404"/>
      <c r="T472" s="404"/>
      <c r="U472" s="404"/>
      <c r="V472" s="404"/>
      <c r="W472" s="404"/>
      <c r="X472" s="404"/>
      <c r="Y472" s="404"/>
      <c r="Z472" s="404"/>
      <c r="AA472" s="404"/>
      <c r="AB472" s="404"/>
      <c r="AC472" s="404"/>
      <c r="AD472" s="404"/>
      <c r="AE472" s="404"/>
      <c r="AF472" s="404"/>
      <c r="AG472" s="404"/>
      <c r="AH472" s="404"/>
      <c r="AI472" s="404"/>
      <c r="AJ472" s="404"/>
      <c r="AK472" s="404"/>
      <c r="AL472" s="404"/>
      <c r="AM472" s="404"/>
      <c r="AN472" s="404"/>
      <c r="AO472" s="404"/>
      <c r="AP472" s="404"/>
    </row>
    <row r="473" spans="5:45" s="338" customFormat="1" x14ac:dyDescent="0.25">
      <c r="F473" s="78"/>
      <c r="G473" s="35"/>
      <c r="H473" s="165"/>
      <c r="J473" s="416"/>
      <c r="K473" s="416"/>
      <c r="L473" s="416"/>
      <c r="M473" s="416"/>
      <c r="N473" s="416"/>
      <c r="O473" s="416"/>
      <c r="P473" s="416"/>
      <c r="Q473" s="416"/>
      <c r="R473" s="416"/>
      <c r="S473" s="416"/>
      <c r="T473" s="416"/>
      <c r="U473" s="416"/>
      <c r="V473" s="416"/>
      <c r="W473" s="416"/>
      <c r="X473" s="416"/>
      <c r="Y473" s="416"/>
      <c r="Z473" s="416"/>
      <c r="AA473" s="416"/>
      <c r="AB473" s="416"/>
      <c r="AC473" s="416"/>
      <c r="AD473" s="416"/>
      <c r="AE473" s="416"/>
      <c r="AF473" s="416"/>
      <c r="AG473" s="416"/>
      <c r="AH473" s="416"/>
      <c r="AI473" s="416"/>
      <c r="AJ473" s="416"/>
      <c r="AK473" s="416"/>
      <c r="AL473" s="416"/>
      <c r="AM473" s="416"/>
      <c r="AN473" s="416"/>
      <c r="AO473" s="416"/>
      <c r="AP473" s="416"/>
      <c r="AQ473" s="73"/>
      <c r="AR473" s="73"/>
      <c r="AS473" s="73"/>
    </row>
    <row r="474" spans="5:45" s="338" customFormat="1" x14ac:dyDescent="0.25">
      <c r="E474" s="172" t="s">
        <v>1029</v>
      </c>
      <c r="G474" s="145"/>
      <c r="H474" s="339"/>
      <c r="I474" s="339"/>
      <c r="J474" s="450"/>
      <c r="K474" s="450"/>
      <c r="L474" s="450"/>
      <c r="M474" s="450"/>
      <c r="N474" s="450"/>
      <c r="O474" s="450"/>
      <c r="P474" s="450"/>
      <c r="Q474" s="450"/>
      <c r="R474" s="450"/>
      <c r="S474" s="450"/>
      <c r="T474" s="450"/>
      <c r="U474" s="450"/>
      <c r="V474" s="450"/>
      <c r="W474" s="450"/>
      <c r="X474" s="450"/>
      <c r="Y474" s="450"/>
      <c r="Z474" s="450"/>
      <c r="AA474" s="450"/>
      <c r="AB474" s="450"/>
      <c r="AC474" s="450"/>
      <c r="AD474" s="450"/>
      <c r="AE474" s="450"/>
      <c r="AF474" s="450"/>
      <c r="AG474" s="450"/>
      <c r="AH474" s="450"/>
      <c r="AI474" s="450"/>
      <c r="AJ474" s="450"/>
      <c r="AK474" s="450"/>
      <c r="AL474" s="450"/>
      <c r="AM474" s="450"/>
      <c r="AN474" s="450"/>
      <c r="AO474" s="450"/>
      <c r="AP474" s="450"/>
    </row>
    <row r="475" spans="5:45" s="338" customFormat="1" x14ac:dyDescent="0.25">
      <c r="F475" s="85" t="s">
        <v>43</v>
      </c>
      <c r="G475" s="40" t="s">
        <v>636</v>
      </c>
      <c r="H475" s="166"/>
      <c r="I475" s="166"/>
      <c r="J475" s="402"/>
      <c r="K475" s="402"/>
      <c r="L475" s="402"/>
      <c r="M475" s="402"/>
      <c r="N475" s="402"/>
      <c r="O475" s="402"/>
      <c r="P475" s="402"/>
      <c r="Q475" s="402"/>
      <c r="R475" s="402"/>
      <c r="S475" s="443">
        <f>S442 * (S420 + S431)</f>
        <v>0.84212703506471176</v>
      </c>
      <c r="T475" s="443">
        <f>T442 * (T420 + T431)</f>
        <v>1.1385212409624559</v>
      </c>
      <c r="U475" s="402"/>
      <c r="V475" s="402"/>
      <c r="W475" s="402"/>
      <c r="X475" s="402"/>
      <c r="Y475" s="402"/>
      <c r="Z475" s="402"/>
      <c r="AA475" s="402"/>
      <c r="AB475" s="402"/>
      <c r="AC475" s="402"/>
      <c r="AD475" s="402"/>
      <c r="AE475" s="402"/>
      <c r="AF475" s="402"/>
      <c r="AG475" s="402"/>
      <c r="AH475" s="402"/>
      <c r="AI475" s="402"/>
      <c r="AJ475" s="402"/>
      <c r="AK475" s="402"/>
      <c r="AL475" s="402"/>
      <c r="AM475" s="402"/>
      <c r="AN475" s="402"/>
      <c r="AO475" s="402"/>
      <c r="AP475" s="402"/>
    </row>
    <row r="476" spans="5:45" s="338" customFormat="1" x14ac:dyDescent="0.25">
      <c r="F476" s="84" t="s">
        <v>44</v>
      </c>
      <c r="G476" s="145" t="s">
        <v>636</v>
      </c>
      <c r="H476" s="339"/>
      <c r="I476" s="339"/>
      <c r="J476" s="403"/>
      <c r="K476" s="403"/>
      <c r="L476" s="403"/>
      <c r="M476" s="403"/>
      <c r="N476" s="403"/>
      <c r="O476" s="403"/>
      <c r="P476" s="403"/>
      <c r="Q476" s="403"/>
      <c r="R476" s="403"/>
      <c r="S476" s="435">
        <f t="shared" ref="S476:T476" si="136">S443 * (S421 + S432)</f>
        <v>0.84198243253303651</v>
      </c>
      <c r="T476" s="428">
        <f t="shared" si="136"/>
        <v>1.1383713293881126</v>
      </c>
      <c r="U476" s="403"/>
      <c r="V476" s="403"/>
      <c r="W476" s="403"/>
      <c r="X476" s="403"/>
      <c r="Y476" s="403"/>
      <c r="Z476" s="403"/>
      <c r="AA476" s="403"/>
      <c r="AB476" s="403"/>
      <c r="AC476" s="403"/>
      <c r="AD476" s="403"/>
      <c r="AE476" s="403"/>
      <c r="AF476" s="403"/>
      <c r="AG476" s="403"/>
      <c r="AH476" s="403"/>
      <c r="AI476" s="403"/>
      <c r="AJ476" s="403"/>
      <c r="AK476" s="403"/>
      <c r="AL476" s="403"/>
      <c r="AM476" s="403"/>
      <c r="AN476" s="403"/>
      <c r="AO476" s="403"/>
      <c r="AP476" s="403"/>
    </row>
    <row r="477" spans="5:45" s="338" customFormat="1" x14ac:dyDescent="0.25">
      <c r="F477" s="84" t="s">
        <v>45</v>
      </c>
      <c r="G477" s="145" t="s">
        <v>636</v>
      </c>
      <c r="H477" s="339"/>
      <c r="I477" s="339"/>
      <c r="J477" s="403"/>
      <c r="K477" s="403"/>
      <c r="L477" s="403"/>
      <c r="M477" s="403"/>
      <c r="N477" s="403"/>
      <c r="O477" s="403"/>
      <c r="P477" s="403"/>
      <c r="Q477" s="403"/>
      <c r="R477" s="403"/>
      <c r="S477" s="435">
        <f t="shared" ref="S477:T477" si="137">S444 * (S422 + S433)</f>
        <v>0.84198243253303651</v>
      </c>
      <c r="T477" s="428">
        <f t="shared" si="137"/>
        <v>1.1383713293881126</v>
      </c>
      <c r="U477" s="403"/>
      <c r="V477" s="403"/>
      <c r="W477" s="403"/>
      <c r="X477" s="403"/>
      <c r="Y477" s="403"/>
      <c r="Z477" s="403"/>
      <c r="AA477" s="403"/>
      <c r="AB477" s="403"/>
      <c r="AC477" s="403"/>
      <c r="AD477" s="403"/>
      <c r="AE477" s="403"/>
      <c r="AF477" s="403"/>
      <c r="AG477" s="403"/>
      <c r="AH477" s="403"/>
      <c r="AI477" s="403"/>
      <c r="AJ477" s="403"/>
      <c r="AK477" s="403"/>
      <c r="AL477" s="403"/>
      <c r="AM477" s="403"/>
      <c r="AN477" s="403"/>
      <c r="AO477" s="403"/>
      <c r="AP477" s="403"/>
    </row>
    <row r="478" spans="5:45" s="338" customFormat="1" x14ac:dyDescent="0.25">
      <c r="F478" s="84" t="s">
        <v>46</v>
      </c>
      <c r="G478" s="145" t="s">
        <v>636</v>
      </c>
      <c r="H478" s="339"/>
      <c r="I478" s="339"/>
      <c r="J478" s="403"/>
      <c r="K478" s="403"/>
      <c r="L478" s="403"/>
      <c r="M478" s="403"/>
      <c r="N478" s="403"/>
      <c r="O478" s="403"/>
      <c r="P478" s="403"/>
      <c r="Q478" s="403"/>
      <c r="R478" s="403"/>
      <c r="S478" s="435">
        <f t="shared" ref="S478:T478" si="138">S445 * (S423 + S434)</f>
        <v>0.8415809336603699</v>
      </c>
      <c r="T478" s="428">
        <f t="shared" si="138"/>
        <v>1.1380309107361541</v>
      </c>
      <c r="U478" s="403"/>
      <c r="V478" s="403"/>
      <c r="W478" s="403"/>
      <c r="X478" s="403"/>
      <c r="Y478" s="403"/>
      <c r="Z478" s="403"/>
      <c r="AA478" s="403"/>
      <c r="AB478" s="403"/>
      <c r="AC478" s="403"/>
      <c r="AD478" s="403"/>
      <c r="AE478" s="403"/>
      <c r="AF478" s="403"/>
      <c r="AG478" s="403"/>
      <c r="AH478" s="403"/>
      <c r="AI478" s="403"/>
      <c r="AJ478" s="403"/>
      <c r="AK478" s="403"/>
      <c r="AL478" s="403"/>
      <c r="AM478" s="403"/>
      <c r="AN478" s="403"/>
      <c r="AO478" s="403"/>
      <c r="AP478" s="403"/>
    </row>
    <row r="479" spans="5:45" s="338" customFormat="1" x14ac:dyDescent="0.25">
      <c r="F479" s="84" t="s">
        <v>47</v>
      </c>
      <c r="G479" s="145" t="s">
        <v>636</v>
      </c>
      <c r="H479" s="339"/>
      <c r="I479" s="339"/>
      <c r="J479" s="403"/>
      <c r="K479" s="403"/>
      <c r="L479" s="403"/>
      <c r="M479" s="403"/>
      <c r="N479" s="403"/>
      <c r="O479" s="403"/>
      <c r="P479" s="403"/>
      <c r="Q479" s="403"/>
      <c r="R479" s="403"/>
      <c r="S479" s="435">
        <f t="shared" ref="S479:T479" si="139">S446 * (S424 + S435)</f>
        <v>0.8415809336603699</v>
      </c>
      <c r="T479" s="428">
        <f t="shared" si="139"/>
        <v>1.1380309107361541</v>
      </c>
      <c r="U479" s="403"/>
      <c r="V479" s="403"/>
      <c r="W479" s="403"/>
      <c r="X479" s="403"/>
      <c r="Y479" s="403"/>
      <c r="Z479" s="403"/>
      <c r="AA479" s="403"/>
      <c r="AB479" s="403"/>
      <c r="AC479" s="403"/>
      <c r="AD479" s="403"/>
      <c r="AE479" s="403"/>
      <c r="AF479" s="403"/>
      <c r="AG479" s="403"/>
      <c r="AH479" s="403"/>
      <c r="AI479" s="403"/>
      <c r="AJ479" s="403"/>
      <c r="AK479" s="403"/>
      <c r="AL479" s="403"/>
      <c r="AM479" s="403"/>
      <c r="AN479" s="403"/>
      <c r="AO479" s="403"/>
      <c r="AP479" s="403"/>
    </row>
    <row r="480" spans="5:45" s="338" customFormat="1" x14ac:dyDescent="0.25">
      <c r="F480" s="84" t="s">
        <v>51</v>
      </c>
      <c r="G480" s="145" t="s">
        <v>636</v>
      </c>
      <c r="H480" s="339"/>
      <c r="I480" s="339"/>
      <c r="J480" s="403"/>
      <c r="K480" s="403"/>
      <c r="L480" s="403"/>
      <c r="M480" s="403"/>
      <c r="N480" s="403"/>
      <c r="O480" s="403"/>
      <c r="P480" s="403"/>
      <c r="Q480" s="403"/>
      <c r="R480" s="403"/>
      <c r="S480" s="435">
        <f t="shared" ref="S480:T480" si="140">S447 * (S425 + S436)</f>
        <v>0</v>
      </c>
      <c r="T480" s="428">
        <f t="shared" si="140"/>
        <v>0</v>
      </c>
      <c r="U480" s="403"/>
      <c r="V480" s="403"/>
      <c r="W480" s="403"/>
      <c r="X480" s="403"/>
      <c r="Y480" s="403"/>
      <c r="Z480" s="403"/>
      <c r="AA480" s="403"/>
      <c r="AB480" s="403"/>
      <c r="AC480" s="403"/>
      <c r="AD480" s="403"/>
      <c r="AE480" s="403"/>
      <c r="AF480" s="403"/>
      <c r="AG480" s="403"/>
      <c r="AH480" s="403"/>
      <c r="AI480" s="403"/>
      <c r="AJ480" s="403"/>
      <c r="AK480" s="403"/>
      <c r="AL480" s="403"/>
      <c r="AM480" s="403"/>
      <c r="AN480" s="403"/>
      <c r="AO480" s="403"/>
      <c r="AP480" s="403"/>
    </row>
    <row r="481" spans="3:45" s="338" customFormat="1" x14ac:dyDescent="0.25">
      <c r="F481" s="84" t="s">
        <v>48</v>
      </c>
      <c r="G481" s="145" t="s">
        <v>636</v>
      </c>
      <c r="H481" s="339"/>
      <c r="I481" s="339"/>
      <c r="J481" s="403"/>
      <c r="K481" s="403"/>
      <c r="L481" s="403"/>
      <c r="M481" s="403"/>
      <c r="N481" s="403"/>
      <c r="O481" s="403"/>
      <c r="P481" s="403"/>
      <c r="Q481" s="403"/>
      <c r="R481" s="403"/>
      <c r="S481" s="435">
        <f t="shared" ref="S481:T481" si="141">S448 * (S426 + S437)</f>
        <v>0.84100527120169088</v>
      </c>
      <c r="T481" s="428">
        <f t="shared" si="141"/>
        <v>1.1376135164300949</v>
      </c>
      <c r="U481" s="403"/>
      <c r="V481" s="403"/>
      <c r="W481" s="403"/>
      <c r="X481" s="403"/>
      <c r="Y481" s="403"/>
      <c r="Z481" s="403"/>
      <c r="AA481" s="403"/>
      <c r="AB481" s="403"/>
      <c r="AC481" s="403"/>
      <c r="AD481" s="403"/>
      <c r="AE481" s="403"/>
      <c r="AF481" s="403"/>
      <c r="AG481" s="403"/>
      <c r="AH481" s="403"/>
      <c r="AI481" s="403"/>
      <c r="AJ481" s="403"/>
      <c r="AK481" s="403"/>
      <c r="AL481" s="403"/>
      <c r="AM481" s="403"/>
      <c r="AN481" s="403"/>
      <c r="AO481" s="403"/>
      <c r="AP481" s="403"/>
    </row>
    <row r="482" spans="3:45" s="338" customFormat="1" x14ac:dyDescent="0.25">
      <c r="F482" s="84" t="s">
        <v>49</v>
      </c>
      <c r="G482" s="145" t="s">
        <v>636</v>
      </c>
      <c r="H482" s="339"/>
      <c r="I482" s="339"/>
      <c r="J482" s="403"/>
      <c r="K482" s="403"/>
      <c r="L482" s="403"/>
      <c r="M482" s="403"/>
      <c r="N482" s="403"/>
      <c r="O482" s="403"/>
      <c r="P482" s="403"/>
      <c r="Q482" s="403"/>
      <c r="R482" s="403"/>
      <c r="S482" s="435">
        <f t="shared" ref="S482:T482" si="142">S449 * (S427 + S438)</f>
        <v>0.84100527120169088</v>
      </c>
      <c r="T482" s="428">
        <f t="shared" si="142"/>
        <v>1.1376135164300949</v>
      </c>
      <c r="U482" s="403"/>
      <c r="V482" s="403"/>
      <c r="W482" s="403"/>
      <c r="X482" s="403"/>
      <c r="Y482" s="403"/>
      <c r="Z482" s="403"/>
      <c r="AA482" s="403"/>
      <c r="AB482" s="403"/>
      <c r="AC482" s="403"/>
      <c r="AD482" s="403"/>
      <c r="AE482" s="403"/>
      <c r="AF482" s="403"/>
      <c r="AG482" s="403"/>
      <c r="AH482" s="403"/>
      <c r="AI482" s="403"/>
      <c r="AJ482" s="403"/>
      <c r="AK482" s="403"/>
      <c r="AL482" s="403"/>
      <c r="AM482" s="403"/>
      <c r="AN482" s="403"/>
      <c r="AO482" s="403"/>
      <c r="AP482" s="403"/>
    </row>
    <row r="483" spans="3:45" s="338" customFormat="1" x14ac:dyDescent="0.25">
      <c r="F483" s="77" t="s">
        <v>50</v>
      </c>
      <c r="G483" s="38" t="s">
        <v>636</v>
      </c>
      <c r="H483" s="168"/>
      <c r="I483" s="168"/>
      <c r="J483" s="404"/>
      <c r="K483" s="404"/>
      <c r="L483" s="404"/>
      <c r="M483" s="404"/>
      <c r="N483" s="404"/>
      <c r="O483" s="404"/>
      <c r="P483" s="404"/>
      <c r="Q483" s="404"/>
      <c r="R483" s="404"/>
      <c r="S483" s="436">
        <f t="shared" ref="S483:T483" si="143">S450 * (S428 + S439)</f>
        <v>0.84100527120169088</v>
      </c>
      <c r="T483" s="432">
        <f t="shared" si="143"/>
        <v>1.1376135164300949</v>
      </c>
      <c r="U483" s="404"/>
      <c r="V483" s="404"/>
      <c r="W483" s="404"/>
      <c r="X483" s="404"/>
      <c r="Y483" s="404"/>
      <c r="Z483" s="404"/>
      <c r="AA483" s="404"/>
      <c r="AB483" s="404"/>
      <c r="AC483" s="404"/>
      <c r="AD483" s="404"/>
      <c r="AE483" s="404"/>
      <c r="AF483" s="404"/>
      <c r="AG483" s="404"/>
      <c r="AH483" s="404"/>
      <c r="AI483" s="404"/>
      <c r="AJ483" s="404"/>
      <c r="AK483" s="404"/>
      <c r="AL483" s="404"/>
      <c r="AM483" s="404"/>
      <c r="AN483" s="404"/>
      <c r="AO483" s="404"/>
      <c r="AP483" s="404"/>
    </row>
    <row r="484" spans="3:45" s="338" customFormat="1" x14ac:dyDescent="0.25">
      <c r="E484" s="78"/>
      <c r="F484" s="238"/>
      <c r="G484" s="145"/>
      <c r="H484" s="339"/>
      <c r="I484" s="339"/>
      <c r="J484" s="450"/>
      <c r="K484" s="450"/>
      <c r="L484" s="450"/>
      <c r="M484" s="450"/>
      <c r="N484" s="450"/>
      <c r="O484" s="450"/>
      <c r="P484" s="450"/>
      <c r="Q484" s="450"/>
      <c r="R484" s="450"/>
      <c r="S484" s="450"/>
      <c r="T484" s="450"/>
      <c r="U484" s="450"/>
      <c r="V484" s="450"/>
      <c r="W484" s="450"/>
      <c r="X484" s="450"/>
      <c r="Y484" s="450"/>
      <c r="Z484" s="450"/>
      <c r="AA484" s="450"/>
      <c r="AB484" s="450"/>
      <c r="AC484" s="450"/>
      <c r="AD484" s="450"/>
      <c r="AE484" s="450"/>
      <c r="AF484" s="450"/>
      <c r="AG484" s="450"/>
      <c r="AH484" s="450"/>
      <c r="AI484" s="450"/>
      <c r="AJ484" s="450"/>
      <c r="AK484" s="450"/>
      <c r="AL484" s="450"/>
      <c r="AM484" s="450"/>
      <c r="AN484" s="450"/>
      <c r="AO484" s="450"/>
      <c r="AP484" s="450"/>
      <c r="AQ484" s="73"/>
      <c r="AR484" s="73"/>
      <c r="AS484" s="73"/>
    </row>
    <row r="485" spans="3:45" s="338" customFormat="1" x14ac:dyDescent="0.25">
      <c r="C485" s="22" t="str">
        <f ca="1">INDEX('Version control'!$H$34:$H$59,MATCH($A$1,'Version control'!$F$34:$F$59,0),1)&amp;"-Q: Final correction factors for Paragraph 72A adjustment"</f>
        <v>Section 508-Q: Final correction factors for Paragraph 72A adjustment</v>
      </c>
      <c r="D485" s="22"/>
      <c r="E485" s="22"/>
      <c r="F485" s="22"/>
      <c r="G485" s="22"/>
      <c r="H485" s="22"/>
      <c r="I485" s="22"/>
      <c r="J485" s="406"/>
      <c r="K485" s="406"/>
      <c r="L485" s="406"/>
      <c r="M485" s="406"/>
      <c r="N485" s="406"/>
      <c r="O485" s="406"/>
      <c r="P485" s="406"/>
      <c r="Q485" s="406"/>
      <c r="R485" s="406"/>
      <c r="S485" s="406"/>
      <c r="T485" s="406"/>
      <c r="U485" s="406"/>
      <c r="V485" s="406"/>
      <c r="W485" s="406"/>
      <c r="X485" s="406"/>
      <c r="Y485" s="406"/>
      <c r="Z485" s="406"/>
      <c r="AA485" s="406"/>
      <c r="AB485" s="406"/>
      <c r="AC485" s="406"/>
      <c r="AD485" s="406"/>
      <c r="AE485" s="406"/>
      <c r="AF485" s="406"/>
      <c r="AG485" s="406"/>
      <c r="AH485" s="406"/>
      <c r="AI485" s="406"/>
      <c r="AJ485" s="406"/>
      <c r="AK485" s="406"/>
      <c r="AL485" s="406"/>
      <c r="AM485" s="406"/>
      <c r="AN485" s="406"/>
      <c r="AO485" s="406"/>
      <c r="AP485" s="406"/>
      <c r="AQ485" s="22"/>
      <c r="AR485" s="22"/>
    </row>
    <row r="486" spans="3:45" s="338" customFormat="1" x14ac:dyDescent="0.25">
      <c r="D486" s="172"/>
      <c r="J486" s="416"/>
      <c r="K486" s="416"/>
      <c r="L486" s="416"/>
      <c r="M486" s="416"/>
      <c r="N486" s="416"/>
      <c r="O486" s="416"/>
      <c r="P486" s="416"/>
      <c r="Q486" s="416"/>
      <c r="R486" s="416"/>
      <c r="S486" s="416"/>
      <c r="T486" s="416"/>
      <c r="U486" s="416"/>
      <c r="V486" s="416"/>
      <c r="W486" s="416"/>
      <c r="X486" s="416"/>
      <c r="Y486" s="416"/>
      <c r="Z486" s="416"/>
      <c r="AA486" s="416"/>
      <c r="AB486" s="416"/>
      <c r="AC486" s="416"/>
      <c r="AD486" s="416"/>
      <c r="AE486" s="416"/>
      <c r="AF486" s="416"/>
      <c r="AG486" s="416"/>
      <c r="AH486" s="416"/>
      <c r="AI486" s="416"/>
      <c r="AJ486" s="416"/>
      <c r="AK486" s="416"/>
      <c r="AL486" s="416"/>
      <c r="AM486" s="416"/>
      <c r="AN486" s="416"/>
      <c r="AO486" s="416"/>
      <c r="AP486" s="416"/>
    </row>
    <row r="487" spans="3:45" s="338" customFormat="1" x14ac:dyDescent="0.25">
      <c r="E487" s="172" t="s">
        <v>967</v>
      </c>
      <c r="J487" s="416"/>
      <c r="K487" s="416"/>
      <c r="L487" s="416"/>
      <c r="M487" s="416"/>
      <c r="N487" s="416"/>
      <c r="O487" s="416"/>
      <c r="P487" s="416"/>
      <c r="Q487" s="416"/>
      <c r="R487" s="416"/>
      <c r="S487" s="416"/>
      <c r="T487" s="416"/>
      <c r="U487" s="416"/>
      <c r="V487" s="416"/>
      <c r="W487" s="416"/>
      <c r="X487" s="416"/>
      <c r="Y487" s="416"/>
      <c r="Z487" s="416"/>
      <c r="AA487" s="416"/>
      <c r="AB487" s="416"/>
      <c r="AC487" s="416"/>
      <c r="AD487" s="416"/>
      <c r="AE487" s="416"/>
      <c r="AF487" s="416"/>
      <c r="AG487" s="416"/>
      <c r="AH487" s="416"/>
      <c r="AI487" s="416"/>
      <c r="AJ487" s="416"/>
      <c r="AK487" s="416"/>
      <c r="AL487" s="416"/>
      <c r="AM487" s="416"/>
      <c r="AN487" s="416"/>
      <c r="AO487" s="416"/>
      <c r="AP487" s="416"/>
    </row>
    <row r="488" spans="3:45" s="338" customFormat="1" x14ac:dyDescent="0.25">
      <c r="F488" s="85" t="s">
        <v>43</v>
      </c>
      <c r="G488" s="40" t="s">
        <v>636</v>
      </c>
      <c r="H488" s="141"/>
      <c r="I488" s="166"/>
      <c r="J488" s="431">
        <f>IF(J453 + J464 + J475 = 0, 1, J453 + J464 + J475)</f>
        <v>1.0010304627461408</v>
      </c>
      <c r="K488" s="431">
        <f t="shared" ref="K488:AP488" si="144">IF(K453 + K464 + K475 = 0, 1, K453 + K464 + K475)</f>
        <v>1.0010304627461408</v>
      </c>
      <c r="L488" s="431">
        <f t="shared" si="144"/>
        <v>1.0010304627461408</v>
      </c>
      <c r="M488" s="431">
        <f t="shared" si="144"/>
        <v>0.98900770776723812</v>
      </c>
      <c r="N488" s="431">
        <f t="shared" si="144"/>
        <v>0.98900770776723812</v>
      </c>
      <c r="O488" s="431">
        <f t="shared" si="144"/>
        <v>0.98900770776723812</v>
      </c>
      <c r="P488" s="431">
        <f t="shared" si="144"/>
        <v>1</v>
      </c>
      <c r="Q488" s="431">
        <f t="shared" si="144"/>
        <v>1</v>
      </c>
      <c r="R488" s="431">
        <f t="shared" si="144"/>
        <v>1</v>
      </c>
      <c r="S488" s="431">
        <f t="shared" si="144"/>
        <v>0.84212703506471176</v>
      </c>
      <c r="T488" s="431">
        <f t="shared" si="144"/>
        <v>1.1385212409624559</v>
      </c>
      <c r="U488" s="431">
        <f t="shared" si="144"/>
        <v>1</v>
      </c>
      <c r="V488" s="431">
        <f t="shared" si="144"/>
        <v>1</v>
      </c>
      <c r="W488" s="431">
        <f t="shared" si="144"/>
        <v>1</v>
      </c>
      <c r="X488" s="431">
        <f t="shared" si="144"/>
        <v>1</v>
      </c>
      <c r="Y488" s="431">
        <f t="shared" si="144"/>
        <v>1</v>
      </c>
      <c r="Z488" s="431">
        <f t="shared" si="144"/>
        <v>1</v>
      </c>
      <c r="AA488" s="431">
        <f t="shared" si="144"/>
        <v>1</v>
      </c>
      <c r="AB488" s="431">
        <f t="shared" si="144"/>
        <v>1</v>
      </c>
      <c r="AC488" s="431">
        <f t="shared" si="144"/>
        <v>1</v>
      </c>
      <c r="AD488" s="431">
        <f t="shared" si="144"/>
        <v>1</v>
      </c>
      <c r="AE488" s="431">
        <f t="shared" si="144"/>
        <v>1</v>
      </c>
      <c r="AF488" s="431">
        <f t="shared" si="144"/>
        <v>1</v>
      </c>
      <c r="AG488" s="431">
        <f t="shared" si="144"/>
        <v>1</v>
      </c>
      <c r="AH488" s="431">
        <f t="shared" si="144"/>
        <v>1</v>
      </c>
      <c r="AI488" s="431">
        <f t="shared" si="144"/>
        <v>1</v>
      </c>
      <c r="AJ488" s="431">
        <f t="shared" si="144"/>
        <v>1</v>
      </c>
      <c r="AK488" s="431">
        <f t="shared" si="144"/>
        <v>1</v>
      </c>
      <c r="AL488" s="431">
        <f t="shared" si="144"/>
        <v>1</v>
      </c>
      <c r="AM488" s="431">
        <f t="shared" si="144"/>
        <v>1</v>
      </c>
      <c r="AN488" s="431">
        <f t="shared" si="144"/>
        <v>1</v>
      </c>
      <c r="AO488" s="431">
        <f t="shared" si="144"/>
        <v>1</v>
      </c>
      <c r="AP488" s="431">
        <f t="shared" si="144"/>
        <v>1</v>
      </c>
    </row>
    <row r="489" spans="3:45" s="338" customFormat="1" x14ac:dyDescent="0.25">
      <c r="F489" s="84" t="s">
        <v>44</v>
      </c>
      <c r="G489" s="145" t="s">
        <v>636</v>
      </c>
      <c r="H489" s="170"/>
      <c r="I489" s="339"/>
      <c r="J489" s="428">
        <f t="shared" ref="J489:AP489" si="145">IF(J454 + J465 + J476 = 0, 1, J454 + J465 + J476)</f>
        <v>1.0010147736586523</v>
      </c>
      <c r="K489" s="428">
        <f t="shared" si="145"/>
        <v>1.0010147736586523</v>
      </c>
      <c r="L489" s="428">
        <f t="shared" si="145"/>
        <v>1.0010147736586523</v>
      </c>
      <c r="M489" s="428">
        <f t="shared" si="145"/>
        <v>0.98910662111440739</v>
      </c>
      <c r="N489" s="428">
        <f t="shared" si="145"/>
        <v>0.98910662111440739</v>
      </c>
      <c r="O489" s="428">
        <f t="shared" si="145"/>
        <v>0.98910662111440739</v>
      </c>
      <c r="P489" s="428">
        <f t="shared" si="145"/>
        <v>1</v>
      </c>
      <c r="Q489" s="428">
        <f t="shared" si="145"/>
        <v>1</v>
      </c>
      <c r="R489" s="428">
        <f t="shared" si="145"/>
        <v>1</v>
      </c>
      <c r="S489" s="428">
        <f t="shared" si="145"/>
        <v>0.84198243253303651</v>
      </c>
      <c r="T489" s="428">
        <f t="shared" si="145"/>
        <v>1.1383713293881126</v>
      </c>
      <c r="U489" s="428">
        <f t="shared" si="145"/>
        <v>1</v>
      </c>
      <c r="V489" s="428">
        <f t="shared" si="145"/>
        <v>1</v>
      </c>
      <c r="W489" s="428">
        <f t="shared" si="145"/>
        <v>1</v>
      </c>
      <c r="X489" s="428">
        <f t="shared" si="145"/>
        <v>1</v>
      </c>
      <c r="Y489" s="428">
        <f t="shared" si="145"/>
        <v>1</v>
      </c>
      <c r="Z489" s="428">
        <f t="shared" si="145"/>
        <v>1</v>
      </c>
      <c r="AA489" s="428">
        <f t="shared" si="145"/>
        <v>1</v>
      </c>
      <c r="AB489" s="428">
        <f t="shared" si="145"/>
        <v>1</v>
      </c>
      <c r="AC489" s="428">
        <f t="shared" si="145"/>
        <v>1</v>
      </c>
      <c r="AD489" s="428">
        <f t="shared" si="145"/>
        <v>1</v>
      </c>
      <c r="AE489" s="428">
        <f t="shared" si="145"/>
        <v>1</v>
      </c>
      <c r="AF489" s="428">
        <f t="shared" si="145"/>
        <v>1</v>
      </c>
      <c r="AG489" s="428">
        <f t="shared" si="145"/>
        <v>1</v>
      </c>
      <c r="AH489" s="428">
        <f t="shared" si="145"/>
        <v>1</v>
      </c>
      <c r="AI489" s="428">
        <f t="shared" si="145"/>
        <v>1</v>
      </c>
      <c r="AJ489" s="428">
        <f t="shared" si="145"/>
        <v>1</v>
      </c>
      <c r="AK489" s="428">
        <f t="shared" si="145"/>
        <v>1</v>
      </c>
      <c r="AL489" s="428">
        <f t="shared" si="145"/>
        <v>1</v>
      </c>
      <c r="AM489" s="428">
        <f t="shared" si="145"/>
        <v>1</v>
      </c>
      <c r="AN489" s="428">
        <f t="shared" si="145"/>
        <v>1</v>
      </c>
      <c r="AO489" s="428">
        <f t="shared" si="145"/>
        <v>1</v>
      </c>
      <c r="AP489" s="428">
        <f t="shared" si="145"/>
        <v>1</v>
      </c>
    </row>
    <row r="490" spans="3:45" s="338" customFormat="1" x14ac:dyDescent="0.25">
      <c r="F490" s="84" t="s">
        <v>45</v>
      </c>
      <c r="G490" s="145" t="s">
        <v>636</v>
      </c>
      <c r="H490" s="170"/>
      <c r="I490" s="339"/>
      <c r="J490" s="428">
        <f t="shared" ref="J490:AP490" si="146">IF(J455 + J466 + J477 = 0, 1, J455 + J466 + J477)</f>
        <v>1.0010147736586523</v>
      </c>
      <c r="K490" s="428">
        <f t="shared" si="146"/>
        <v>1.0010147736586523</v>
      </c>
      <c r="L490" s="428">
        <f t="shared" si="146"/>
        <v>1.0010147736586523</v>
      </c>
      <c r="M490" s="428">
        <f t="shared" si="146"/>
        <v>0.98910662111440739</v>
      </c>
      <c r="N490" s="428">
        <f t="shared" si="146"/>
        <v>0.98910662111440739</v>
      </c>
      <c r="O490" s="428">
        <f t="shared" si="146"/>
        <v>0.98910662111440739</v>
      </c>
      <c r="P490" s="428">
        <f t="shared" si="146"/>
        <v>1</v>
      </c>
      <c r="Q490" s="428">
        <f t="shared" si="146"/>
        <v>1</v>
      </c>
      <c r="R490" s="428">
        <f t="shared" si="146"/>
        <v>1</v>
      </c>
      <c r="S490" s="428">
        <f t="shared" si="146"/>
        <v>0.84198243253303651</v>
      </c>
      <c r="T490" s="428">
        <f t="shared" si="146"/>
        <v>1.1383713293881126</v>
      </c>
      <c r="U490" s="428">
        <f t="shared" si="146"/>
        <v>1</v>
      </c>
      <c r="V490" s="428">
        <f t="shared" si="146"/>
        <v>1</v>
      </c>
      <c r="W490" s="428">
        <f t="shared" si="146"/>
        <v>1</v>
      </c>
      <c r="X490" s="428">
        <f t="shared" si="146"/>
        <v>1</v>
      </c>
      <c r="Y490" s="428">
        <f t="shared" si="146"/>
        <v>1</v>
      </c>
      <c r="Z490" s="428">
        <f t="shared" si="146"/>
        <v>1</v>
      </c>
      <c r="AA490" s="428">
        <f t="shared" si="146"/>
        <v>1</v>
      </c>
      <c r="AB490" s="428">
        <f t="shared" si="146"/>
        <v>1</v>
      </c>
      <c r="AC490" s="428">
        <f t="shared" si="146"/>
        <v>1</v>
      </c>
      <c r="AD490" s="428">
        <f t="shared" si="146"/>
        <v>1</v>
      </c>
      <c r="AE490" s="428">
        <f t="shared" si="146"/>
        <v>1</v>
      </c>
      <c r="AF490" s="428">
        <f t="shared" si="146"/>
        <v>1</v>
      </c>
      <c r="AG490" s="428">
        <f t="shared" si="146"/>
        <v>1</v>
      </c>
      <c r="AH490" s="428">
        <f t="shared" si="146"/>
        <v>1</v>
      </c>
      <c r="AI490" s="428">
        <f t="shared" si="146"/>
        <v>1</v>
      </c>
      <c r="AJ490" s="428">
        <f t="shared" si="146"/>
        <v>1</v>
      </c>
      <c r="AK490" s="428">
        <f t="shared" si="146"/>
        <v>1</v>
      </c>
      <c r="AL490" s="428">
        <f t="shared" si="146"/>
        <v>1</v>
      </c>
      <c r="AM490" s="428">
        <f t="shared" si="146"/>
        <v>1</v>
      </c>
      <c r="AN490" s="428">
        <f t="shared" si="146"/>
        <v>1</v>
      </c>
      <c r="AO490" s="428">
        <f t="shared" si="146"/>
        <v>1</v>
      </c>
      <c r="AP490" s="428">
        <f t="shared" si="146"/>
        <v>1</v>
      </c>
    </row>
    <row r="491" spans="3:45" s="338" customFormat="1" x14ac:dyDescent="0.25">
      <c r="F491" s="84" t="s">
        <v>46</v>
      </c>
      <c r="G491" s="145" t="s">
        <v>636</v>
      </c>
      <c r="H491" s="170"/>
      <c r="I491" s="339"/>
      <c r="J491" s="428">
        <f t="shared" ref="J491:AP491" si="147">IF(J456 + J467 + J478 = 0, 1, J456 + J467 + J478)</f>
        <v>1.0009713890547309</v>
      </c>
      <c r="K491" s="428">
        <f t="shared" si="147"/>
        <v>1.0009713890547309</v>
      </c>
      <c r="L491" s="428">
        <f t="shared" si="147"/>
        <v>1.0009713890547309</v>
      </c>
      <c r="M491" s="428">
        <f t="shared" si="147"/>
        <v>0.98935186088280425</v>
      </c>
      <c r="N491" s="428">
        <f t="shared" si="147"/>
        <v>0.98935186088280425</v>
      </c>
      <c r="O491" s="428">
        <f t="shared" si="147"/>
        <v>0.98935186088280425</v>
      </c>
      <c r="P491" s="428">
        <f t="shared" si="147"/>
        <v>1</v>
      </c>
      <c r="Q491" s="428">
        <f t="shared" si="147"/>
        <v>1</v>
      </c>
      <c r="R491" s="428">
        <f t="shared" si="147"/>
        <v>1</v>
      </c>
      <c r="S491" s="428">
        <f t="shared" si="147"/>
        <v>0.8415809336603699</v>
      </c>
      <c r="T491" s="428">
        <f t="shared" si="147"/>
        <v>1.1380309107361541</v>
      </c>
      <c r="U491" s="428">
        <f t="shared" si="147"/>
        <v>1</v>
      </c>
      <c r="V491" s="428">
        <f t="shared" si="147"/>
        <v>1</v>
      </c>
      <c r="W491" s="428">
        <f t="shared" si="147"/>
        <v>1</v>
      </c>
      <c r="X491" s="428">
        <f t="shared" si="147"/>
        <v>1</v>
      </c>
      <c r="Y491" s="428">
        <f t="shared" si="147"/>
        <v>1</v>
      </c>
      <c r="Z491" s="428">
        <f t="shared" si="147"/>
        <v>1</v>
      </c>
      <c r="AA491" s="428">
        <f t="shared" si="147"/>
        <v>1</v>
      </c>
      <c r="AB491" s="428">
        <f t="shared" si="147"/>
        <v>1</v>
      </c>
      <c r="AC491" s="428">
        <f t="shared" si="147"/>
        <v>1</v>
      </c>
      <c r="AD491" s="428">
        <f t="shared" si="147"/>
        <v>1</v>
      </c>
      <c r="AE491" s="428">
        <f t="shared" si="147"/>
        <v>1</v>
      </c>
      <c r="AF491" s="428">
        <f t="shared" si="147"/>
        <v>1</v>
      </c>
      <c r="AG491" s="428">
        <f t="shared" si="147"/>
        <v>1</v>
      </c>
      <c r="AH491" s="428">
        <f t="shared" si="147"/>
        <v>1</v>
      </c>
      <c r="AI491" s="428">
        <f t="shared" si="147"/>
        <v>1</v>
      </c>
      <c r="AJ491" s="428">
        <f t="shared" si="147"/>
        <v>1</v>
      </c>
      <c r="AK491" s="428">
        <f t="shared" si="147"/>
        <v>1</v>
      </c>
      <c r="AL491" s="428">
        <f t="shared" si="147"/>
        <v>1</v>
      </c>
      <c r="AM491" s="428">
        <f t="shared" si="147"/>
        <v>1</v>
      </c>
      <c r="AN491" s="428">
        <f t="shared" si="147"/>
        <v>1</v>
      </c>
      <c r="AO491" s="428">
        <f t="shared" si="147"/>
        <v>1</v>
      </c>
      <c r="AP491" s="428">
        <f t="shared" si="147"/>
        <v>1</v>
      </c>
    </row>
    <row r="492" spans="3:45" s="338" customFormat="1" x14ac:dyDescent="0.25">
      <c r="F492" s="84" t="s">
        <v>47</v>
      </c>
      <c r="G492" s="145" t="s">
        <v>636</v>
      </c>
      <c r="H492" s="170"/>
      <c r="I492" s="339"/>
      <c r="J492" s="428">
        <f t="shared" ref="J492:AP492" si="148">IF(J457 + J468 + J479 = 0, 1, J457 + J468 + J479)</f>
        <v>1.0009713890547309</v>
      </c>
      <c r="K492" s="428">
        <f t="shared" si="148"/>
        <v>1.0009713890547309</v>
      </c>
      <c r="L492" s="428">
        <f t="shared" si="148"/>
        <v>1.0009713890547309</v>
      </c>
      <c r="M492" s="428">
        <f t="shared" si="148"/>
        <v>0.98935186088280425</v>
      </c>
      <c r="N492" s="428">
        <f t="shared" si="148"/>
        <v>0.98935186088280425</v>
      </c>
      <c r="O492" s="428">
        <f t="shared" si="148"/>
        <v>0.98935186088280425</v>
      </c>
      <c r="P492" s="428">
        <f t="shared" si="148"/>
        <v>1</v>
      </c>
      <c r="Q492" s="428">
        <f t="shared" si="148"/>
        <v>1</v>
      </c>
      <c r="R492" s="428">
        <f t="shared" si="148"/>
        <v>1</v>
      </c>
      <c r="S492" s="428">
        <f t="shared" si="148"/>
        <v>0.8415809336603699</v>
      </c>
      <c r="T492" s="428">
        <f t="shared" si="148"/>
        <v>1.1380309107361541</v>
      </c>
      <c r="U492" s="428">
        <f t="shared" si="148"/>
        <v>1</v>
      </c>
      <c r="V492" s="428">
        <f t="shared" si="148"/>
        <v>1</v>
      </c>
      <c r="W492" s="428">
        <f t="shared" si="148"/>
        <v>1</v>
      </c>
      <c r="X492" s="428">
        <f t="shared" si="148"/>
        <v>1</v>
      </c>
      <c r="Y492" s="428">
        <f t="shared" si="148"/>
        <v>1</v>
      </c>
      <c r="Z492" s="428">
        <f t="shared" si="148"/>
        <v>1</v>
      </c>
      <c r="AA492" s="428">
        <f t="shared" si="148"/>
        <v>1</v>
      </c>
      <c r="AB492" s="428">
        <f t="shared" si="148"/>
        <v>1</v>
      </c>
      <c r="AC492" s="428">
        <f t="shared" si="148"/>
        <v>1</v>
      </c>
      <c r="AD492" s="428">
        <f t="shared" si="148"/>
        <v>1</v>
      </c>
      <c r="AE492" s="428">
        <f t="shared" si="148"/>
        <v>1</v>
      </c>
      <c r="AF492" s="428">
        <f t="shared" si="148"/>
        <v>1</v>
      </c>
      <c r="AG492" s="428">
        <f t="shared" si="148"/>
        <v>1</v>
      </c>
      <c r="AH492" s="428">
        <f t="shared" si="148"/>
        <v>1</v>
      </c>
      <c r="AI492" s="428">
        <f t="shared" si="148"/>
        <v>1</v>
      </c>
      <c r="AJ492" s="428">
        <f t="shared" si="148"/>
        <v>1</v>
      </c>
      <c r="AK492" s="428">
        <f t="shared" si="148"/>
        <v>1</v>
      </c>
      <c r="AL492" s="428">
        <f t="shared" si="148"/>
        <v>1</v>
      </c>
      <c r="AM492" s="428">
        <f t="shared" si="148"/>
        <v>1</v>
      </c>
      <c r="AN492" s="428">
        <f t="shared" si="148"/>
        <v>1</v>
      </c>
      <c r="AO492" s="428">
        <f t="shared" si="148"/>
        <v>1</v>
      </c>
      <c r="AP492" s="428">
        <f t="shared" si="148"/>
        <v>1</v>
      </c>
    </row>
    <row r="493" spans="3:45" s="338" customFormat="1" x14ac:dyDescent="0.25">
      <c r="F493" s="84" t="s">
        <v>51</v>
      </c>
      <c r="G493" s="145" t="s">
        <v>636</v>
      </c>
      <c r="H493" s="170"/>
      <c r="I493" s="339"/>
      <c r="J493" s="428">
        <f t="shared" ref="J493:AP493" si="149">IF(J458 + J469 + J480 = 0, 1, J458 + J469 + J480)</f>
        <v>1</v>
      </c>
      <c r="K493" s="428">
        <f t="shared" si="149"/>
        <v>1</v>
      </c>
      <c r="L493" s="428">
        <f t="shared" si="149"/>
        <v>1</v>
      </c>
      <c r="M493" s="428">
        <f t="shared" si="149"/>
        <v>1</v>
      </c>
      <c r="N493" s="428">
        <f t="shared" si="149"/>
        <v>1</v>
      </c>
      <c r="O493" s="428">
        <f t="shared" si="149"/>
        <v>1</v>
      </c>
      <c r="P493" s="428">
        <f t="shared" si="149"/>
        <v>1</v>
      </c>
      <c r="Q493" s="428">
        <f t="shared" si="149"/>
        <v>1</v>
      </c>
      <c r="R493" s="428">
        <f t="shared" si="149"/>
        <v>1</v>
      </c>
      <c r="S493" s="428">
        <f t="shared" si="149"/>
        <v>1</v>
      </c>
      <c r="T493" s="428">
        <f t="shared" si="149"/>
        <v>1</v>
      </c>
      <c r="U493" s="428">
        <f t="shared" si="149"/>
        <v>1</v>
      </c>
      <c r="V493" s="428">
        <f t="shared" si="149"/>
        <v>1</v>
      </c>
      <c r="W493" s="428">
        <f t="shared" si="149"/>
        <v>1</v>
      </c>
      <c r="X493" s="428">
        <f t="shared" si="149"/>
        <v>1</v>
      </c>
      <c r="Y493" s="428">
        <f t="shared" si="149"/>
        <v>1</v>
      </c>
      <c r="Z493" s="428">
        <f t="shared" si="149"/>
        <v>1</v>
      </c>
      <c r="AA493" s="428">
        <f t="shared" si="149"/>
        <v>1</v>
      </c>
      <c r="AB493" s="428">
        <f t="shared" si="149"/>
        <v>1</v>
      </c>
      <c r="AC493" s="428">
        <f t="shared" si="149"/>
        <v>1</v>
      </c>
      <c r="AD493" s="428">
        <f t="shared" si="149"/>
        <v>1</v>
      </c>
      <c r="AE493" s="428">
        <f t="shared" si="149"/>
        <v>1</v>
      </c>
      <c r="AF493" s="428">
        <f t="shared" si="149"/>
        <v>1</v>
      </c>
      <c r="AG493" s="428">
        <f t="shared" si="149"/>
        <v>1</v>
      </c>
      <c r="AH493" s="428">
        <f t="shared" si="149"/>
        <v>1</v>
      </c>
      <c r="AI493" s="428">
        <f t="shared" si="149"/>
        <v>1</v>
      </c>
      <c r="AJ493" s="428">
        <f t="shared" si="149"/>
        <v>1</v>
      </c>
      <c r="AK493" s="428">
        <f t="shared" si="149"/>
        <v>1</v>
      </c>
      <c r="AL493" s="428">
        <f t="shared" si="149"/>
        <v>1</v>
      </c>
      <c r="AM493" s="428">
        <f t="shared" si="149"/>
        <v>1</v>
      </c>
      <c r="AN493" s="428">
        <f t="shared" si="149"/>
        <v>1</v>
      </c>
      <c r="AO493" s="428">
        <f t="shared" si="149"/>
        <v>1</v>
      </c>
      <c r="AP493" s="428">
        <f t="shared" si="149"/>
        <v>1</v>
      </c>
    </row>
    <row r="494" spans="3:45" s="338" customFormat="1" x14ac:dyDescent="0.25">
      <c r="F494" s="84" t="s">
        <v>48</v>
      </c>
      <c r="G494" s="145" t="s">
        <v>636</v>
      </c>
      <c r="H494" s="170"/>
      <c r="I494" s="339"/>
      <c r="J494" s="428">
        <f t="shared" ref="J494:AP494" si="150">IF(J459 + J470 + J481 = 0, 1, J459 + J470 + J481)</f>
        <v>1.000908849464164</v>
      </c>
      <c r="K494" s="428">
        <f t="shared" si="150"/>
        <v>1.000908849464164</v>
      </c>
      <c r="L494" s="428">
        <f t="shared" si="150"/>
        <v>1.000908849464164</v>
      </c>
      <c r="M494" s="428">
        <f t="shared" si="150"/>
        <v>0.98965695080723493</v>
      </c>
      <c r="N494" s="428">
        <f t="shared" si="150"/>
        <v>0.98965695080723493</v>
      </c>
      <c r="O494" s="428">
        <f t="shared" si="150"/>
        <v>0.98965695080723493</v>
      </c>
      <c r="P494" s="428">
        <f t="shared" si="150"/>
        <v>1</v>
      </c>
      <c r="Q494" s="428">
        <f t="shared" si="150"/>
        <v>1</v>
      </c>
      <c r="R494" s="428">
        <f t="shared" si="150"/>
        <v>1</v>
      </c>
      <c r="S494" s="428">
        <f t="shared" si="150"/>
        <v>0.84100527120169088</v>
      </c>
      <c r="T494" s="428">
        <f t="shared" si="150"/>
        <v>1.1376135164300949</v>
      </c>
      <c r="U494" s="428">
        <f t="shared" si="150"/>
        <v>1</v>
      </c>
      <c r="V494" s="428">
        <f t="shared" si="150"/>
        <v>1</v>
      </c>
      <c r="W494" s="428">
        <f t="shared" si="150"/>
        <v>1</v>
      </c>
      <c r="X494" s="428">
        <f t="shared" si="150"/>
        <v>1</v>
      </c>
      <c r="Y494" s="428">
        <f t="shared" si="150"/>
        <v>1</v>
      </c>
      <c r="Z494" s="428">
        <f t="shared" si="150"/>
        <v>1</v>
      </c>
      <c r="AA494" s="428">
        <f t="shared" si="150"/>
        <v>1</v>
      </c>
      <c r="AB494" s="428">
        <f t="shared" si="150"/>
        <v>1</v>
      </c>
      <c r="AC494" s="428">
        <f t="shared" si="150"/>
        <v>1</v>
      </c>
      <c r="AD494" s="428">
        <f t="shared" si="150"/>
        <v>1</v>
      </c>
      <c r="AE494" s="428">
        <f t="shared" si="150"/>
        <v>1</v>
      </c>
      <c r="AF494" s="428">
        <f t="shared" si="150"/>
        <v>1</v>
      </c>
      <c r="AG494" s="428">
        <f t="shared" si="150"/>
        <v>1</v>
      </c>
      <c r="AH494" s="428">
        <f t="shared" si="150"/>
        <v>1</v>
      </c>
      <c r="AI494" s="428">
        <f t="shared" si="150"/>
        <v>1</v>
      </c>
      <c r="AJ494" s="428">
        <f t="shared" si="150"/>
        <v>1</v>
      </c>
      <c r="AK494" s="428">
        <f t="shared" si="150"/>
        <v>1</v>
      </c>
      <c r="AL494" s="428">
        <f t="shared" si="150"/>
        <v>1</v>
      </c>
      <c r="AM494" s="428">
        <f t="shared" si="150"/>
        <v>1</v>
      </c>
      <c r="AN494" s="428">
        <f t="shared" si="150"/>
        <v>1</v>
      </c>
      <c r="AO494" s="428">
        <f t="shared" si="150"/>
        <v>1</v>
      </c>
      <c r="AP494" s="428">
        <f t="shared" si="150"/>
        <v>1</v>
      </c>
    </row>
    <row r="495" spans="3:45" s="338" customFormat="1" x14ac:dyDescent="0.25">
      <c r="F495" s="84" t="s">
        <v>49</v>
      </c>
      <c r="G495" s="145" t="s">
        <v>636</v>
      </c>
      <c r="H495" s="170"/>
      <c r="I495" s="339"/>
      <c r="J495" s="428">
        <f t="shared" ref="J495:AP495" si="151">IF(J460 + J471 + J482 = 0, 1, J460 + J471 + J482)</f>
        <v>1.000908849464164</v>
      </c>
      <c r="K495" s="428">
        <f t="shared" si="151"/>
        <v>1.000908849464164</v>
      </c>
      <c r="L495" s="428">
        <f t="shared" si="151"/>
        <v>1.000908849464164</v>
      </c>
      <c r="M495" s="428">
        <f t="shared" si="151"/>
        <v>0.98965695080723493</v>
      </c>
      <c r="N495" s="428">
        <f t="shared" si="151"/>
        <v>0.98965695080723493</v>
      </c>
      <c r="O495" s="428">
        <f t="shared" si="151"/>
        <v>0.98965695080723493</v>
      </c>
      <c r="P495" s="428">
        <f t="shared" si="151"/>
        <v>1</v>
      </c>
      <c r="Q495" s="428">
        <f t="shared" si="151"/>
        <v>1</v>
      </c>
      <c r="R495" s="428">
        <f t="shared" si="151"/>
        <v>1</v>
      </c>
      <c r="S495" s="428">
        <f t="shared" si="151"/>
        <v>0.84100527120169088</v>
      </c>
      <c r="T495" s="428">
        <f t="shared" si="151"/>
        <v>1.1376135164300949</v>
      </c>
      <c r="U495" s="428">
        <f t="shared" si="151"/>
        <v>1</v>
      </c>
      <c r="V495" s="428">
        <f t="shared" si="151"/>
        <v>1</v>
      </c>
      <c r="W495" s="428">
        <f t="shared" si="151"/>
        <v>1</v>
      </c>
      <c r="X495" s="428">
        <f t="shared" si="151"/>
        <v>1</v>
      </c>
      <c r="Y495" s="428">
        <f t="shared" si="151"/>
        <v>1</v>
      </c>
      <c r="Z495" s="428">
        <f t="shared" si="151"/>
        <v>1</v>
      </c>
      <c r="AA495" s="428">
        <f t="shared" si="151"/>
        <v>1</v>
      </c>
      <c r="AB495" s="428">
        <f t="shared" si="151"/>
        <v>1</v>
      </c>
      <c r="AC495" s="428">
        <f t="shared" si="151"/>
        <v>1</v>
      </c>
      <c r="AD495" s="428">
        <f t="shared" si="151"/>
        <v>1</v>
      </c>
      <c r="AE495" s="428">
        <f t="shared" si="151"/>
        <v>1</v>
      </c>
      <c r="AF495" s="428">
        <f t="shared" si="151"/>
        <v>1</v>
      </c>
      <c r="AG495" s="428">
        <f t="shared" si="151"/>
        <v>1</v>
      </c>
      <c r="AH495" s="428">
        <f t="shared" si="151"/>
        <v>1</v>
      </c>
      <c r="AI495" s="428">
        <f t="shared" si="151"/>
        <v>1</v>
      </c>
      <c r="AJ495" s="428">
        <f t="shared" si="151"/>
        <v>1</v>
      </c>
      <c r="AK495" s="428">
        <f t="shared" si="151"/>
        <v>1</v>
      </c>
      <c r="AL495" s="428">
        <f t="shared" si="151"/>
        <v>1</v>
      </c>
      <c r="AM495" s="428">
        <f t="shared" si="151"/>
        <v>1</v>
      </c>
      <c r="AN495" s="428">
        <f t="shared" si="151"/>
        <v>1</v>
      </c>
      <c r="AO495" s="428">
        <f t="shared" si="151"/>
        <v>1</v>
      </c>
      <c r="AP495" s="428">
        <f t="shared" si="151"/>
        <v>1</v>
      </c>
    </row>
    <row r="496" spans="3:45" s="338" customFormat="1" x14ac:dyDescent="0.25">
      <c r="F496" s="77" t="s">
        <v>50</v>
      </c>
      <c r="G496" s="38" t="s">
        <v>636</v>
      </c>
      <c r="H496" s="330"/>
      <c r="I496" s="168"/>
      <c r="J496" s="432">
        <f t="shared" ref="J496:AP496" si="152">IF(J461 + J472 + J483 = 0, 1, J461 + J472 + J483)</f>
        <v>1.000908849464164</v>
      </c>
      <c r="K496" s="432">
        <f t="shared" si="152"/>
        <v>1.000908849464164</v>
      </c>
      <c r="L496" s="432">
        <f t="shared" si="152"/>
        <v>1.000908849464164</v>
      </c>
      <c r="M496" s="432">
        <f t="shared" si="152"/>
        <v>0.98965695080723493</v>
      </c>
      <c r="N496" s="432">
        <f t="shared" si="152"/>
        <v>0.98965695080723493</v>
      </c>
      <c r="O496" s="432">
        <f t="shared" si="152"/>
        <v>0.98965695080723493</v>
      </c>
      <c r="P496" s="432">
        <f t="shared" si="152"/>
        <v>1</v>
      </c>
      <c r="Q496" s="432">
        <f t="shared" si="152"/>
        <v>1</v>
      </c>
      <c r="R496" s="432">
        <f t="shared" si="152"/>
        <v>1</v>
      </c>
      <c r="S496" s="432">
        <f t="shared" si="152"/>
        <v>0.84100527120169088</v>
      </c>
      <c r="T496" s="432">
        <f t="shared" si="152"/>
        <v>1.1376135164300949</v>
      </c>
      <c r="U496" s="432">
        <f t="shared" si="152"/>
        <v>1</v>
      </c>
      <c r="V496" s="432">
        <f t="shared" si="152"/>
        <v>1</v>
      </c>
      <c r="W496" s="432">
        <f t="shared" si="152"/>
        <v>1</v>
      </c>
      <c r="X496" s="432">
        <f t="shared" si="152"/>
        <v>1</v>
      </c>
      <c r="Y496" s="432">
        <f t="shared" si="152"/>
        <v>1</v>
      </c>
      <c r="Z496" s="432">
        <f t="shared" si="152"/>
        <v>1</v>
      </c>
      <c r="AA496" s="432">
        <f t="shared" si="152"/>
        <v>1</v>
      </c>
      <c r="AB496" s="432">
        <f t="shared" si="152"/>
        <v>1</v>
      </c>
      <c r="AC496" s="432">
        <f t="shared" si="152"/>
        <v>1</v>
      </c>
      <c r="AD496" s="432">
        <f t="shared" si="152"/>
        <v>1</v>
      </c>
      <c r="AE496" s="432">
        <f t="shared" si="152"/>
        <v>1</v>
      </c>
      <c r="AF496" s="432">
        <f t="shared" si="152"/>
        <v>1</v>
      </c>
      <c r="AG496" s="432">
        <f t="shared" si="152"/>
        <v>1</v>
      </c>
      <c r="AH496" s="432">
        <f t="shared" si="152"/>
        <v>1</v>
      </c>
      <c r="AI496" s="432">
        <f t="shared" si="152"/>
        <v>1</v>
      </c>
      <c r="AJ496" s="432">
        <f t="shared" si="152"/>
        <v>1</v>
      </c>
      <c r="AK496" s="432">
        <f t="shared" si="152"/>
        <v>1</v>
      </c>
      <c r="AL496" s="432">
        <f t="shared" si="152"/>
        <v>1</v>
      </c>
      <c r="AM496" s="432">
        <f t="shared" si="152"/>
        <v>1</v>
      </c>
      <c r="AN496" s="432">
        <f t="shared" si="152"/>
        <v>1</v>
      </c>
      <c r="AO496" s="432">
        <f t="shared" si="152"/>
        <v>1</v>
      </c>
      <c r="AP496" s="432">
        <f t="shared" si="152"/>
        <v>1</v>
      </c>
    </row>
    <row r="497" spans="1:44" s="338" customFormat="1" x14ac:dyDescent="0.25">
      <c r="F497" s="35"/>
      <c r="G497" s="35"/>
      <c r="J497" s="416"/>
      <c r="K497" s="416"/>
      <c r="L497" s="416"/>
      <c r="M497" s="416"/>
      <c r="N497" s="416"/>
      <c r="O497" s="416"/>
      <c r="P497" s="416"/>
      <c r="Q497" s="416"/>
      <c r="R497" s="416"/>
      <c r="S497" s="416"/>
      <c r="T497" s="416"/>
      <c r="U497" s="416"/>
      <c r="V497" s="416"/>
      <c r="W497" s="416"/>
      <c r="X497" s="416"/>
      <c r="Y497" s="416"/>
      <c r="Z497" s="416"/>
      <c r="AA497" s="416"/>
      <c r="AB497" s="416"/>
      <c r="AC497" s="416"/>
      <c r="AD497" s="416"/>
      <c r="AE497" s="416"/>
      <c r="AF497" s="416"/>
      <c r="AG497" s="416"/>
      <c r="AH497" s="416"/>
      <c r="AI497" s="416"/>
      <c r="AJ497" s="416"/>
      <c r="AK497" s="416"/>
      <c r="AL497" s="416"/>
      <c r="AM497" s="416"/>
      <c r="AN497" s="416"/>
      <c r="AO497" s="416"/>
      <c r="AP497" s="416"/>
    </row>
    <row r="498" spans="1:44" s="88" customFormat="1" x14ac:dyDescent="0.25">
      <c r="A498" s="338"/>
      <c r="B498" s="6" t="s">
        <v>1091</v>
      </c>
      <c r="C498" s="7"/>
      <c r="D498" s="6"/>
      <c r="E498" s="134"/>
      <c r="F498" s="7"/>
      <c r="G498" s="7"/>
      <c r="H498" s="7"/>
      <c r="I498" s="7"/>
      <c r="J498" s="447"/>
      <c r="K498" s="447"/>
      <c r="L498" s="447"/>
      <c r="M498" s="447"/>
      <c r="N498" s="447"/>
      <c r="O498" s="447"/>
      <c r="P498" s="447"/>
      <c r="Q498" s="447"/>
      <c r="R498" s="447"/>
      <c r="S498" s="447"/>
      <c r="T498" s="447"/>
      <c r="U498" s="447"/>
      <c r="V498" s="447"/>
      <c r="W498" s="447"/>
      <c r="X498" s="447"/>
      <c r="Y498" s="447"/>
      <c r="Z498" s="447"/>
      <c r="AA498" s="447"/>
      <c r="AB498" s="447"/>
      <c r="AC498" s="447"/>
      <c r="AD498" s="447"/>
      <c r="AE498" s="447"/>
      <c r="AF498" s="447"/>
      <c r="AG498" s="447"/>
      <c r="AH498" s="447"/>
      <c r="AI498" s="447"/>
      <c r="AJ498" s="447"/>
      <c r="AK498" s="447"/>
      <c r="AL498" s="447"/>
      <c r="AM498" s="447"/>
      <c r="AN498" s="447"/>
      <c r="AO498" s="447"/>
      <c r="AP498" s="447"/>
      <c r="AQ498" s="135"/>
      <c r="AR498" s="135"/>
    </row>
    <row r="499" spans="1:44" s="160" customFormat="1" x14ac:dyDescent="0.25">
      <c r="A499" s="338"/>
      <c r="F499" s="35"/>
      <c r="G499" s="35"/>
      <c r="J499" s="416"/>
      <c r="K499" s="416"/>
      <c r="L499" s="416"/>
      <c r="M499" s="416"/>
      <c r="N499" s="416"/>
      <c r="O499" s="416"/>
      <c r="P499" s="416"/>
      <c r="Q499" s="416"/>
      <c r="R499" s="416"/>
      <c r="S499" s="416"/>
      <c r="T499" s="416"/>
      <c r="U499" s="416"/>
      <c r="V499" s="416"/>
      <c r="W499" s="416"/>
      <c r="X499" s="416"/>
      <c r="Y499" s="416"/>
      <c r="Z499" s="416"/>
      <c r="AA499" s="416"/>
      <c r="AB499" s="416"/>
      <c r="AC499" s="416"/>
      <c r="AD499" s="416"/>
      <c r="AE499" s="416"/>
      <c r="AF499" s="416"/>
      <c r="AG499" s="416"/>
      <c r="AH499" s="416"/>
      <c r="AI499" s="416"/>
      <c r="AJ499" s="416"/>
      <c r="AK499" s="416"/>
      <c r="AL499" s="416"/>
      <c r="AM499" s="416"/>
      <c r="AN499" s="416"/>
      <c r="AO499" s="416"/>
      <c r="AP499" s="416"/>
    </row>
    <row r="500" spans="1:44" s="131" customFormat="1" x14ac:dyDescent="0.25">
      <c r="C500" s="152" t="s">
        <v>539</v>
      </c>
      <c r="E500" s="160"/>
      <c r="F500" s="35"/>
      <c r="G500" s="35"/>
      <c r="J500" s="416"/>
      <c r="K500" s="416"/>
      <c r="L500" s="416"/>
      <c r="M500" s="416"/>
      <c r="N500" s="416"/>
      <c r="O500" s="416"/>
      <c r="P500" s="416"/>
      <c r="Q500" s="416"/>
      <c r="R500" s="416"/>
      <c r="S500" s="416"/>
      <c r="T500" s="416"/>
      <c r="U500" s="416"/>
      <c r="V500" s="416"/>
      <c r="W500" s="416"/>
      <c r="X500" s="416"/>
      <c r="Y500" s="416"/>
      <c r="Z500" s="416"/>
      <c r="AA500" s="416"/>
      <c r="AB500" s="416"/>
      <c r="AC500" s="416"/>
      <c r="AD500" s="416"/>
      <c r="AE500" s="416"/>
      <c r="AF500" s="416"/>
      <c r="AG500" s="416"/>
      <c r="AH500" s="416"/>
      <c r="AI500" s="416"/>
      <c r="AJ500" s="416"/>
      <c r="AK500" s="416"/>
      <c r="AL500" s="416"/>
      <c r="AM500" s="416"/>
      <c r="AN500" s="416"/>
      <c r="AO500" s="416"/>
      <c r="AP500" s="416"/>
    </row>
    <row r="501" spans="1:44" s="160" customFormat="1" x14ac:dyDescent="0.25">
      <c r="F501" s="35"/>
      <c r="G501" s="35"/>
      <c r="J501" s="416"/>
      <c r="K501" s="416"/>
      <c r="L501" s="416"/>
      <c r="M501" s="416"/>
      <c r="N501" s="416"/>
      <c r="O501" s="416"/>
      <c r="P501" s="416"/>
      <c r="Q501" s="416"/>
      <c r="R501" s="416"/>
      <c r="S501" s="416"/>
      <c r="T501" s="416"/>
      <c r="U501" s="416"/>
      <c r="V501" s="416"/>
      <c r="W501" s="416"/>
      <c r="X501" s="416"/>
      <c r="Y501" s="416"/>
      <c r="Z501" s="416"/>
      <c r="AA501" s="416"/>
      <c r="AB501" s="416"/>
      <c r="AC501" s="416"/>
      <c r="AD501" s="416"/>
      <c r="AE501" s="416"/>
      <c r="AF501" s="416"/>
      <c r="AG501" s="416"/>
      <c r="AH501" s="416"/>
      <c r="AI501" s="416"/>
      <c r="AJ501" s="416"/>
      <c r="AK501" s="416"/>
      <c r="AL501" s="416"/>
      <c r="AM501" s="416"/>
      <c r="AN501" s="416"/>
      <c r="AO501" s="416"/>
      <c r="AP501" s="416"/>
    </row>
    <row r="502" spans="1:44" s="131" customFormat="1" x14ac:dyDescent="0.25">
      <c r="C502" s="22" t="str">
        <f ca="1">INDEX('Version control'!$H$34:$H$59,MATCH($A$1,'Version control'!$F$34:$F$59,0),1)&amp;"-R: Load coefficient"</f>
        <v>Section 508-R: Load coefficient</v>
      </c>
      <c r="D502" s="22"/>
      <c r="E502" s="22"/>
      <c r="F502" s="22"/>
      <c r="G502" s="22"/>
      <c r="H502" s="22"/>
      <c r="I502" s="22"/>
      <c r="J502" s="406"/>
      <c r="K502" s="406"/>
      <c r="L502" s="406"/>
      <c r="M502" s="406"/>
      <c r="N502" s="406"/>
      <c r="O502" s="406"/>
      <c r="P502" s="406"/>
      <c r="Q502" s="406"/>
      <c r="R502" s="406"/>
      <c r="S502" s="406"/>
      <c r="T502" s="406"/>
      <c r="U502" s="406"/>
      <c r="V502" s="406"/>
      <c r="W502" s="406"/>
      <c r="X502" s="406"/>
      <c r="Y502" s="406"/>
      <c r="Z502" s="406"/>
      <c r="AA502" s="406"/>
      <c r="AB502" s="406"/>
      <c r="AC502" s="406"/>
      <c r="AD502" s="406"/>
      <c r="AE502" s="406"/>
      <c r="AF502" s="406"/>
      <c r="AG502" s="406"/>
      <c r="AH502" s="406"/>
      <c r="AI502" s="406"/>
      <c r="AJ502" s="406"/>
      <c r="AK502" s="406"/>
      <c r="AL502" s="406"/>
      <c r="AM502" s="406"/>
      <c r="AN502" s="406"/>
      <c r="AO502" s="406"/>
      <c r="AP502" s="406"/>
      <c r="AQ502" s="22"/>
      <c r="AR502" s="22"/>
    </row>
    <row r="503" spans="1:44" s="131" customFormat="1" x14ac:dyDescent="0.25">
      <c r="E503" s="160"/>
      <c r="F503" s="35"/>
      <c r="G503" s="35"/>
      <c r="J503" s="416"/>
      <c r="K503" s="416"/>
      <c r="L503" s="416"/>
      <c r="M503" s="416"/>
      <c r="N503" s="416"/>
      <c r="O503" s="416"/>
      <c r="P503" s="416"/>
      <c r="Q503" s="416"/>
      <c r="R503" s="416"/>
      <c r="S503" s="416"/>
      <c r="T503" s="416"/>
      <c r="U503" s="416"/>
      <c r="V503" s="416"/>
      <c r="W503" s="416"/>
      <c r="X503" s="416"/>
      <c r="Y503" s="416"/>
      <c r="Z503" s="416"/>
      <c r="AA503" s="416"/>
      <c r="AB503" s="416"/>
      <c r="AC503" s="416"/>
      <c r="AD503" s="416"/>
      <c r="AE503" s="416"/>
      <c r="AF503" s="416"/>
      <c r="AG503" s="416"/>
      <c r="AH503" s="416"/>
      <c r="AI503" s="416"/>
      <c r="AJ503" s="416"/>
      <c r="AK503" s="416"/>
      <c r="AL503" s="416"/>
      <c r="AM503" s="416"/>
      <c r="AN503" s="416"/>
      <c r="AO503" s="416"/>
      <c r="AP503" s="416"/>
    </row>
    <row r="504" spans="1:44" s="131" customFormat="1" x14ac:dyDescent="0.25">
      <c r="E504" s="145" t="s">
        <v>160</v>
      </c>
      <c r="F504" s="167"/>
      <c r="G504" s="145" t="s">
        <v>636</v>
      </c>
      <c r="H504" s="167"/>
      <c r="I504" s="167"/>
      <c r="J504" s="420">
        <f t="shared" ref="J504:AP504" si="153">J116</f>
        <v>2.1890659604598501</v>
      </c>
      <c r="K504" s="420">
        <f t="shared" si="153"/>
        <v>1.5351885425582381</v>
      </c>
      <c r="L504" s="420">
        <f t="shared" si="153"/>
        <v>0</v>
      </c>
      <c r="M504" s="420">
        <f t="shared" si="153"/>
        <v>1.7403660063627993</v>
      </c>
      <c r="N504" s="420">
        <f t="shared" si="153"/>
        <v>1.8535345329375978</v>
      </c>
      <c r="O504" s="420">
        <f t="shared" si="153"/>
        <v>0</v>
      </c>
      <c r="P504" s="420">
        <f t="shared" si="153"/>
        <v>1.3490647508846296</v>
      </c>
      <c r="Q504" s="420">
        <f t="shared" si="153"/>
        <v>1.171122523918301</v>
      </c>
      <c r="R504" s="420">
        <f t="shared" si="153"/>
        <v>1.4458370721245499</v>
      </c>
      <c r="S504" s="420">
        <f t="shared" si="153"/>
        <v>3.3159185887351486</v>
      </c>
      <c r="T504" s="420">
        <f t="shared" si="153"/>
        <v>1.666085951865081</v>
      </c>
      <c r="U504" s="420">
        <f t="shared" si="153"/>
        <v>1.3834786756026229</v>
      </c>
      <c r="V504" s="420">
        <f t="shared" si="153"/>
        <v>1.2592887780490676</v>
      </c>
      <c r="W504" s="420">
        <f t="shared" si="153"/>
        <v>1.1193334401253572</v>
      </c>
      <c r="X504" s="420">
        <f t="shared" si="153"/>
        <v>1.0001140642937896</v>
      </c>
      <c r="Y504" s="420">
        <f t="shared" si="153"/>
        <v>1.7697168156489922</v>
      </c>
      <c r="Z504" s="420">
        <f t="shared" si="153"/>
        <v>3.3141582131214564</v>
      </c>
      <c r="AA504" s="420">
        <f t="shared" si="153"/>
        <v>0.51478777584072866</v>
      </c>
      <c r="AB504" s="420">
        <f t="shared" si="153"/>
        <v>1.7269517163989574</v>
      </c>
      <c r="AC504" s="420">
        <f t="shared" si="153"/>
        <v>1</v>
      </c>
      <c r="AD504" s="420">
        <f t="shared" si="153"/>
        <v>1</v>
      </c>
      <c r="AE504" s="420">
        <f t="shared" si="153"/>
        <v>1</v>
      </c>
      <c r="AF504" s="420">
        <f t="shared" si="153"/>
        <v>1</v>
      </c>
      <c r="AG504" s="420">
        <f t="shared" si="153"/>
        <v>1</v>
      </c>
      <c r="AH504" s="420">
        <f t="shared" si="153"/>
        <v>1</v>
      </c>
      <c r="AI504" s="420">
        <f t="shared" si="153"/>
        <v>1</v>
      </c>
      <c r="AJ504" s="420">
        <f t="shared" si="153"/>
        <v>1</v>
      </c>
      <c r="AK504" s="420">
        <f t="shared" si="153"/>
        <v>1</v>
      </c>
      <c r="AL504" s="420">
        <f t="shared" si="153"/>
        <v>1</v>
      </c>
      <c r="AM504" s="420">
        <f t="shared" si="153"/>
        <v>1</v>
      </c>
      <c r="AN504" s="420">
        <f t="shared" si="153"/>
        <v>1</v>
      </c>
      <c r="AO504" s="420">
        <f t="shared" si="153"/>
        <v>1</v>
      </c>
      <c r="AP504" s="420">
        <f t="shared" si="153"/>
        <v>1</v>
      </c>
    </row>
    <row r="505" spans="1:44" s="131" customFormat="1" x14ac:dyDescent="0.25">
      <c r="E505" s="160"/>
      <c r="F505" s="35"/>
      <c r="G505" s="35"/>
      <c r="J505" s="416"/>
      <c r="K505" s="416"/>
      <c r="L505" s="416"/>
      <c r="M505" s="416"/>
      <c r="N505" s="416"/>
      <c r="O505" s="416"/>
      <c r="P505" s="416"/>
      <c r="Q505" s="416"/>
      <c r="R505" s="416"/>
      <c r="S505" s="416"/>
      <c r="T505" s="416"/>
      <c r="U505" s="416"/>
      <c r="V505" s="416"/>
      <c r="W505" s="416"/>
      <c r="X505" s="416"/>
      <c r="Y505" s="416"/>
      <c r="Z505" s="416"/>
      <c r="AA505" s="416"/>
      <c r="AB505" s="416"/>
      <c r="AC505" s="416"/>
      <c r="AD505" s="416"/>
      <c r="AE505" s="416"/>
      <c r="AF505" s="416"/>
      <c r="AG505" s="416"/>
      <c r="AH505" s="416"/>
      <c r="AI505" s="416"/>
      <c r="AJ505" s="416"/>
      <c r="AK505" s="416"/>
      <c r="AL505" s="416"/>
      <c r="AM505" s="416"/>
      <c r="AN505" s="416"/>
      <c r="AO505" s="416"/>
      <c r="AP505" s="416"/>
    </row>
    <row r="506" spans="1:44" s="88" customFormat="1" x14ac:dyDescent="0.25">
      <c r="C506" s="22" t="str">
        <f ca="1">INDEX('Version control'!$H$34:$H$59,MATCH($A$1,'Version control'!$F$34:$F$59,0),1)&amp;"-S: Pseudo load coefficients, by unit rate"</f>
        <v>Section 508-S: Pseudo load coefficients, by unit rate</v>
      </c>
      <c r="D506" s="22"/>
      <c r="E506" s="22"/>
      <c r="F506" s="22"/>
      <c r="G506" s="22"/>
      <c r="H506" s="22"/>
      <c r="I506" s="22"/>
      <c r="J506" s="406"/>
      <c r="K506" s="406"/>
      <c r="L506" s="406"/>
      <c r="M506" s="406"/>
      <c r="N506" s="406"/>
      <c r="O506" s="406"/>
      <c r="P506" s="406"/>
      <c r="Q506" s="406"/>
      <c r="R506" s="406"/>
      <c r="S506" s="406"/>
      <c r="T506" s="406"/>
      <c r="U506" s="406"/>
      <c r="V506" s="406"/>
      <c r="W506" s="406"/>
      <c r="X506" s="406"/>
      <c r="Y506" s="406"/>
      <c r="Z506" s="406"/>
      <c r="AA506" s="406"/>
      <c r="AB506" s="406"/>
      <c r="AC506" s="406"/>
      <c r="AD506" s="406"/>
      <c r="AE506" s="406"/>
      <c r="AF506" s="406"/>
      <c r="AG506" s="406"/>
      <c r="AH506" s="406"/>
      <c r="AI506" s="406"/>
      <c r="AJ506" s="406"/>
      <c r="AK506" s="406"/>
      <c r="AL506" s="406"/>
      <c r="AM506" s="406"/>
      <c r="AN506" s="406"/>
      <c r="AO506" s="406"/>
      <c r="AP506" s="406"/>
      <c r="AQ506" s="22"/>
      <c r="AR506" s="22"/>
    </row>
    <row r="507" spans="1:44" s="88" customFormat="1" x14ac:dyDescent="0.25">
      <c r="E507" s="160"/>
      <c r="F507" s="35"/>
      <c r="G507" s="35"/>
      <c r="J507" s="416"/>
      <c r="K507" s="416"/>
      <c r="L507" s="416"/>
      <c r="M507" s="416"/>
      <c r="N507" s="416"/>
      <c r="O507" s="416"/>
      <c r="P507" s="416"/>
      <c r="Q507" s="416"/>
      <c r="R507" s="416"/>
      <c r="S507" s="416"/>
      <c r="T507" s="416"/>
      <c r="U507" s="416"/>
      <c r="V507" s="416"/>
      <c r="W507" s="416"/>
      <c r="X507" s="416"/>
      <c r="Y507" s="416"/>
      <c r="Z507" s="416"/>
      <c r="AA507" s="416"/>
      <c r="AB507" s="416"/>
      <c r="AC507" s="416"/>
      <c r="AD507" s="416"/>
      <c r="AE507" s="416"/>
      <c r="AF507" s="416"/>
      <c r="AG507" s="416"/>
      <c r="AH507" s="416"/>
      <c r="AI507" s="416"/>
      <c r="AJ507" s="416"/>
      <c r="AK507" s="416"/>
      <c r="AL507" s="416"/>
      <c r="AM507" s="416"/>
      <c r="AN507" s="416"/>
      <c r="AO507" s="416"/>
      <c r="AP507" s="416"/>
    </row>
    <row r="508" spans="1:44" s="88" customFormat="1" x14ac:dyDescent="0.25">
      <c r="E508" s="87" t="s">
        <v>151</v>
      </c>
      <c r="G508" s="35"/>
      <c r="J508" s="416"/>
      <c r="K508" s="416"/>
      <c r="L508" s="416"/>
      <c r="M508" s="416"/>
      <c r="N508" s="416"/>
      <c r="O508" s="416"/>
      <c r="P508" s="416"/>
      <c r="Q508" s="416"/>
      <c r="R508" s="416"/>
      <c r="S508" s="416"/>
      <c r="T508" s="416"/>
      <c r="U508" s="416"/>
      <c r="V508" s="416"/>
      <c r="W508" s="416"/>
      <c r="X508" s="416"/>
      <c r="Y508" s="416"/>
      <c r="Z508" s="416"/>
      <c r="AA508" s="416"/>
      <c r="AB508" s="416"/>
      <c r="AC508" s="416"/>
      <c r="AD508" s="416"/>
      <c r="AE508" s="416"/>
      <c r="AF508" s="416"/>
      <c r="AG508" s="416"/>
      <c r="AH508" s="416"/>
      <c r="AI508" s="416"/>
      <c r="AJ508" s="416"/>
      <c r="AK508" s="416"/>
      <c r="AL508" s="416"/>
      <c r="AM508" s="416"/>
      <c r="AN508" s="416"/>
      <c r="AO508" s="416"/>
      <c r="AP508" s="416"/>
    </row>
    <row r="509" spans="1:44" s="88" customFormat="1" x14ac:dyDescent="0.25">
      <c r="F509" s="40" t="s">
        <v>43</v>
      </c>
      <c r="G509" s="40" t="s">
        <v>636</v>
      </c>
      <c r="H509" s="13"/>
      <c r="I509" s="13"/>
      <c r="J509" s="418">
        <f t="shared" ref="J509:AP509" si="154">J293 * J488</f>
        <v>2.13658194144862</v>
      </c>
      <c r="K509" s="418">
        <f t="shared" si="154"/>
        <v>2.786702182471386</v>
      </c>
      <c r="L509" s="418">
        <f t="shared" si="154"/>
        <v>9.7925499018583773E-2</v>
      </c>
      <c r="M509" s="418">
        <f t="shared" si="154"/>
        <v>1.7576171229579702</v>
      </c>
      <c r="N509" s="418">
        <f t="shared" si="154"/>
        <v>2.9415666403916836</v>
      </c>
      <c r="O509" s="418">
        <f t="shared" si="154"/>
        <v>0.32922729904060583</v>
      </c>
      <c r="P509" s="418">
        <f t="shared" si="154"/>
        <v>1.4469019029137948</v>
      </c>
      <c r="Q509" s="418">
        <f t="shared" si="154"/>
        <v>1.3511937913885297</v>
      </c>
      <c r="R509" s="418">
        <f t="shared" si="154"/>
        <v>1.4829750268438726</v>
      </c>
      <c r="S509" s="418">
        <f t="shared" si="154"/>
        <v>14.83472280043944</v>
      </c>
      <c r="T509" s="418">
        <f t="shared" si="154"/>
        <v>15.655108953460749</v>
      </c>
      <c r="U509" s="418">
        <f t="shared" si="154"/>
        <v>11.698297556207121</v>
      </c>
      <c r="V509" s="418">
        <f t="shared" si="154"/>
        <v>11.311995936319519</v>
      </c>
      <c r="W509" s="418">
        <f t="shared" si="154"/>
        <v>10.2902733716969</v>
      </c>
      <c r="X509" s="418">
        <f t="shared" si="154"/>
        <v>0.93700694130950746</v>
      </c>
      <c r="Y509" s="418">
        <f t="shared" si="154"/>
        <v>1.1061570095096109</v>
      </c>
      <c r="Z509" s="418">
        <f t="shared" si="154"/>
        <v>2.1096430315341204</v>
      </c>
      <c r="AA509" s="418">
        <f t="shared" si="154"/>
        <v>0.86507538339375201</v>
      </c>
      <c r="AB509" s="418">
        <f t="shared" si="154"/>
        <v>16.860085005559529</v>
      </c>
      <c r="AC509" s="418">
        <f t="shared" si="154"/>
        <v>0.99999999999999989</v>
      </c>
      <c r="AD509" s="418">
        <f t="shared" si="154"/>
        <v>0.99999999999999989</v>
      </c>
      <c r="AE509" s="418">
        <f t="shared" si="154"/>
        <v>0.99999999999999989</v>
      </c>
      <c r="AF509" s="418">
        <f t="shared" si="154"/>
        <v>0.99999999999999989</v>
      </c>
      <c r="AG509" s="418">
        <f t="shared" si="154"/>
        <v>9.8133180967350384</v>
      </c>
      <c r="AH509" s="418">
        <f t="shared" si="154"/>
        <v>9.8133180967350384</v>
      </c>
      <c r="AI509" s="418">
        <f t="shared" si="154"/>
        <v>0.99999999999999989</v>
      </c>
      <c r="AJ509" s="418">
        <f t="shared" si="154"/>
        <v>0.99999999999999989</v>
      </c>
      <c r="AK509" s="418">
        <f t="shared" si="154"/>
        <v>9.8133180967350384</v>
      </c>
      <c r="AL509" s="418">
        <f t="shared" si="154"/>
        <v>9.8133180967350384</v>
      </c>
      <c r="AM509" s="418">
        <f t="shared" si="154"/>
        <v>0.99999999999999989</v>
      </c>
      <c r="AN509" s="418">
        <f t="shared" si="154"/>
        <v>0.99999999999999989</v>
      </c>
      <c r="AO509" s="418">
        <f t="shared" si="154"/>
        <v>9.8133180967350384</v>
      </c>
      <c r="AP509" s="418">
        <f t="shared" si="154"/>
        <v>9.8133180967350384</v>
      </c>
    </row>
    <row r="510" spans="1:44" s="88" customFormat="1" x14ac:dyDescent="0.25">
      <c r="F510" s="145" t="s">
        <v>44</v>
      </c>
      <c r="G510" s="145" t="s">
        <v>636</v>
      </c>
      <c r="H510" s="90"/>
      <c r="I510" s="90"/>
      <c r="J510" s="420">
        <f t="shared" ref="J510:AP510" si="155">J294 * J489</f>
        <v>2.1064407247757848</v>
      </c>
      <c r="K510" s="420">
        <f t="shared" si="155"/>
        <v>2.7381361193225717</v>
      </c>
      <c r="L510" s="420">
        <f t="shared" si="155"/>
        <v>0.13455624660851292</v>
      </c>
      <c r="M510" s="420">
        <f t="shared" si="155"/>
        <v>1.7738104867681408</v>
      </c>
      <c r="N510" s="420">
        <f t="shared" si="155"/>
        <v>2.9193248768526838</v>
      </c>
      <c r="O510" s="420">
        <f t="shared" si="155"/>
        <v>0.34854020905487437</v>
      </c>
      <c r="P510" s="420">
        <f t="shared" si="155"/>
        <v>1.4478459019196326</v>
      </c>
      <c r="Q510" s="420">
        <f t="shared" si="155"/>
        <v>1.352977417395504</v>
      </c>
      <c r="R510" s="420">
        <f t="shared" si="155"/>
        <v>1.4887743751659068</v>
      </c>
      <c r="S510" s="420">
        <f t="shared" si="155"/>
        <v>13.756688977499781</v>
      </c>
      <c r="T510" s="420">
        <f t="shared" si="155"/>
        <v>14.518039334676065</v>
      </c>
      <c r="U510" s="420">
        <f t="shared" si="155"/>
        <v>10.850049670136503</v>
      </c>
      <c r="V510" s="420">
        <f t="shared" si="155"/>
        <v>10.49175892370129</v>
      </c>
      <c r="W510" s="420">
        <f t="shared" si="155"/>
        <v>9.544121840442747</v>
      </c>
      <c r="X510" s="420">
        <f t="shared" si="155"/>
        <v>0.9376724603938239</v>
      </c>
      <c r="Y510" s="420">
        <f t="shared" si="155"/>
        <v>1.1984220598858641</v>
      </c>
      <c r="Z510" s="420">
        <f t="shared" si="155"/>
        <v>2.2773031502293315</v>
      </c>
      <c r="AA510" s="420">
        <f t="shared" si="155"/>
        <v>0.7897896015082424</v>
      </c>
      <c r="AB510" s="420">
        <f t="shared" si="155"/>
        <v>18.834395159483773</v>
      </c>
      <c r="AC510" s="420">
        <f t="shared" si="155"/>
        <v>1.0000000000000002</v>
      </c>
      <c r="AD510" s="420">
        <f t="shared" si="155"/>
        <v>1.0000000000000002</v>
      </c>
      <c r="AE510" s="420">
        <f t="shared" si="155"/>
        <v>1.0000000000000002</v>
      </c>
      <c r="AF510" s="420">
        <f t="shared" si="155"/>
        <v>1.0000000000000002</v>
      </c>
      <c r="AG510" s="420">
        <f t="shared" si="155"/>
        <v>9.1017507690192847</v>
      </c>
      <c r="AH510" s="420">
        <f t="shared" si="155"/>
        <v>9.1017507690192847</v>
      </c>
      <c r="AI510" s="420">
        <f t="shared" si="155"/>
        <v>1.0000000000000002</v>
      </c>
      <c r="AJ510" s="420">
        <f t="shared" si="155"/>
        <v>1.0000000000000002</v>
      </c>
      <c r="AK510" s="420">
        <f t="shared" si="155"/>
        <v>9.1017507690192847</v>
      </c>
      <c r="AL510" s="420">
        <f t="shared" si="155"/>
        <v>9.1017507690192847</v>
      </c>
      <c r="AM510" s="420">
        <f t="shared" si="155"/>
        <v>1.0000000000000002</v>
      </c>
      <c r="AN510" s="420">
        <f t="shared" si="155"/>
        <v>1.0000000000000002</v>
      </c>
      <c r="AO510" s="420">
        <f t="shared" si="155"/>
        <v>9.1017507690192847</v>
      </c>
      <c r="AP510" s="420">
        <f t="shared" si="155"/>
        <v>9.1017507690192847</v>
      </c>
    </row>
    <row r="511" spans="1:44" s="88" customFormat="1" x14ac:dyDescent="0.25">
      <c r="F511" s="145" t="s">
        <v>45</v>
      </c>
      <c r="G511" s="145" t="s">
        <v>636</v>
      </c>
      <c r="H511" s="90"/>
      <c r="I511" s="90"/>
      <c r="J511" s="420">
        <f t="shared" ref="J511:AP511" si="156">J295 * J490</f>
        <v>2.1064407247757848</v>
      </c>
      <c r="K511" s="420">
        <f t="shared" si="156"/>
        <v>2.7381361193225717</v>
      </c>
      <c r="L511" s="420">
        <f t="shared" si="156"/>
        <v>0.13455624660851292</v>
      </c>
      <c r="M511" s="420">
        <f t="shared" si="156"/>
        <v>1.7738104867681408</v>
      </c>
      <c r="N511" s="420">
        <f t="shared" si="156"/>
        <v>2.9193248768526838</v>
      </c>
      <c r="O511" s="420">
        <f t="shared" si="156"/>
        <v>0.34854020905487437</v>
      </c>
      <c r="P511" s="420">
        <f t="shared" si="156"/>
        <v>1.4478459019196326</v>
      </c>
      <c r="Q511" s="420">
        <f t="shared" si="156"/>
        <v>1.352977417395504</v>
      </c>
      <c r="R511" s="420">
        <f t="shared" si="156"/>
        <v>1.4887743751659068</v>
      </c>
      <c r="S511" s="420">
        <f t="shared" si="156"/>
        <v>13.756688977499781</v>
      </c>
      <c r="T511" s="420">
        <f t="shared" si="156"/>
        <v>14.518039334676065</v>
      </c>
      <c r="U511" s="420">
        <f t="shared" si="156"/>
        <v>10.850049670136503</v>
      </c>
      <c r="V511" s="420">
        <f t="shared" si="156"/>
        <v>10.49175892370129</v>
      </c>
      <c r="W511" s="420">
        <f t="shared" si="156"/>
        <v>9.544121840442747</v>
      </c>
      <c r="X511" s="420">
        <f t="shared" si="156"/>
        <v>0.9376724603938239</v>
      </c>
      <c r="Y511" s="420">
        <f t="shared" si="156"/>
        <v>1.1984220598858641</v>
      </c>
      <c r="Z511" s="420">
        <f t="shared" si="156"/>
        <v>2.2773031502293315</v>
      </c>
      <c r="AA511" s="420">
        <f t="shared" si="156"/>
        <v>0.7897896015082424</v>
      </c>
      <c r="AB511" s="420">
        <f t="shared" si="156"/>
        <v>18.834395159483773</v>
      </c>
      <c r="AC511" s="420">
        <f t="shared" si="156"/>
        <v>1.0000000000000002</v>
      </c>
      <c r="AD511" s="420">
        <f t="shared" si="156"/>
        <v>1.0000000000000002</v>
      </c>
      <c r="AE511" s="420">
        <f t="shared" si="156"/>
        <v>1.0000000000000002</v>
      </c>
      <c r="AF511" s="420">
        <f t="shared" si="156"/>
        <v>1.0000000000000002</v>
      </c>
      <c r="AG511" s="420">
        <f t="shared" si="156"/>
        <v>9.1017507690192847</v>
      </c>
      <c r="AH511" s="420">
        <f t="shared" si="156"/>
        <v>9.1017507690192847</v>
      </c>
      <c r="AI511" s="420">
        <f t="shared" si="156"/>
        <v>1.0000000000000002</v>
      </c>
      <c r="AJ511" s="420">
        <f t="shared" si="156"/>
        <v>1.0000000000000002</v>
      </c>
      <c r="AK511" s="420">
        <f t="shared" si="156"/>
        <v>9.1017507690192847</v>
      </c>
      <c r="AL511" s="420">
        <f t="shared" si="156"/>
        <v>9.1017507690192847</v>
      </c>
      <c r="AM511" s="420">
        <f t="shared" si="156"/>
        <v>1.0000000000000002</v>
      </c>
      <c r="AN511" s="420">
        <f t="shared" si="156"/>
        <v>1.0000000000000002</v>
      </c>
      <c r="AO511" s="420">
        <f t="shared" si="156"/>
        <v>9.1017507690192847</v>
      </c>
      <c r="AP511" s="420">
        <f t="shared" si="156"/>
        <v>9.1017507690192847</v>
      </c>
    </row>
    <row r="512" spans="1:44" s="88" customFormat="1" x14ac:dyDescent="0.25">
      <c r="F512" s="145" t="s">
        <v>46</v>
      </c>
      <c r="G512" s="145" t="s">
        <v>636</v>
      </c>
      <c r="H512" s="90"/>
      <c r="I512" s="90"/>
      <c r="J512" s="420">
        <f t="shared" ref="J512:AP512" si="157">J296 * J491</f>
        <v>2.023448068726081</v>
      </c>
      <c r="K512" s="420">
        <f t="shared" si="157"/>
        <v>2.6021873241736615</v>
      </c>
      <c r="L512" s="420">
        <f t="shared" si="157"/>
        <v>0.23723781296590604</v>
      </c>
      <c r="M512" s="420">
        <f t="shared" si="157"/>
        <v>1.8106821466313612</v>
      </c>
      <c r="N512" s="420">
        <f t="shared" si="157"/>
        <v>2.8493629304145642</v>
      </c>
      <c r="O512" s="420">
        <f t="shared" si="157"/>
        <v>0.40524136871418465</v>
      </c>
      <c r="P512" s="420">
        <f t="shared" si="157"/>
        <v>1.4462178277371061</v>
      </c>
      <c r="Q512" s="420">
        <f t="shared" si="157"/>
        <v>1.3525109569741856</v>
      </c>
      <c r="R512" s="420">
        <f t="shared" si="157"/>
        <v>1.5001810197593486</v>
      </c>
      <c r="S512" s="420">
        <f t="shared" si="157"/>
        <v>10.919058364043636</v>
      </c>
      <c r="T512" s="420">
        <f t="shared" si="157"/>
        <v>11.52541279864173</v>
      </c>
      <c r="U512" s="420">
        <f t="shared" si="157"/>
        <v>8.6160882325457742</v>
      </c>
      <c r="V512" s="420">
        <f t="shared" si="157"/>
        <v>8.3315674443426335</v>
      </c>
      <c r="W512" s="420">
        <f t="shared" si="157"/>
        <v>7.5790432651897071</v>
      </c>
      <c r="X512" s="420">
        <f t="shared" si="157"/>
        <v>0.93658384552539908</v>
      </c>
      <c r="Y512" s="420">
        <f t="shared" si="157"/>
        <v>1.0676296952091524</v>
      </c>
      <c r="Z512" s="420">
        <f t="shared" si="157"/>
        <v>2.0072330539086121</v>
      </c>
      <c r="AA512" s="420">
        <f t="shared" si="157"/>
        <v>0.89367630597148673</v>
      </c>
      <c r="AB512" s="420">
        <f t="shared" si="157"/>
        <v>15.57665125520071</v>
      </c>
      <c r="AC512" s="420">
        <f t="shared" si="157"/>
        <v>1</v>
      </c>
      <c r="AD512" s="420">
        <f t="shared" si="157"/>
        <v>1</v>
      </c>
      <c r="AE512" s="420">
        <f t="shared" si="157"/>
        <v>1</v>
      </c>
      <c r="AF512" s="420">
        <f t="shared" si="157"/>
        <v>1</v>
      </c>
      <c r="AG512" s="420">
        <f t="shared" si="157"/>
        <v>7.2277537965892922</v>
      </c>
      <c r="AH512" s="420">
        <f t="shared" si="157"/>
        <v>7.2277537965892922</v>
      </c>
      <c r="AI512" s="420">
        <f t="shared" si="157"/>
        <v>1</v>
      </c>
      <c r="AJ512" s="420">
        <f t="shared" si="157"/>
        <v>1</v>
      </c>
      <c r="AK512" s="420">
        <f t="shared" si="157"/>
        <v>7.2277537965892922</v>
      </c>
      <c r="AL512" s="420">
        <f t="shared" si="157"/>
        <v>7.2277537965892922</v>
      </c>
      <c r="AM512" s="420">
        <f t="shared" si="157"/>
        <v>1</v>
      </c>
      <c r="AN512" s="420">
        <f t="shared" si="157"/>
        <v>1</v>
      </c>
      <c r="AO512" s="420">
        <f t="shared" si="157"/>
        <v>7.2277537965892922</v>
      </c>
      <c r="AP512" s="420">
        <f t="shared" si="157"/>
        <v>7.2277537965892922</v>
      </c>
    </row>
    <row r="513" spans="5:42" s="88" customFormat="1" x14ac:dyDescent="0.25">
      <c r="F513" s="145" t="s">
        <v>47</v>
      </c>
      <c r="G513" s="145" t="s">
        <v>636</v>
      </c>
      <c r="H513" s="90"/>
      <c r="I513" s="90"/>
      <c r="J513" s="420">
        <f t="shared" ref="J513:AP513" si="158">J297 * J492</f>
        <v>2.023448068726081</v>
      </c>
      <c r="K513" s="420">
        <f t="shared" si="158"/>
        <v>2.6021873241736615</v>
      </c>
      <c r="L513" s="420">
        <f t="shared" si="158"/>
        <v>0.23723781296590604</v>
      </c>
      <c r="M513" s="420">
        <f t="shared" si="158"/>
        <v>1.8106821466313612</v>
      </c>
      <c r="N513" s="420">
        <f t="shared" si="158"/>
        <v>2.8493629304145642</v>
      </c>
      <c r="O513" s="420">
        <f t="shared" si="158"/>
        <v>0.40524136871418465</v>
      </c>
      <c r="P513" s="420">
        <f t="shared" si="158"/>
        <v>1.4462178277371061</v>
      </c>
      <c r="Q513" s="420">
        <f t="shared" si="158"/>
        <v>1.3525109569741856</v>
      </c>
      <c r="R513" s="420">
        <f t="shared" si="158"/>
        <v>1.5001810197593486</v>
      </c>
      <c r="S513" s="420">
        <f t="shared" si="158"/>
        <v>10.919058364043636</v>
      </c>
      <c r="T513" s="420">
        <f t="shared" si="158"/>
        <v>11.52541279864173</v>
      </c>
      <c r="U513" s="420">
        <f t="shared" si="158"/>
        <v>8.6160882325457742</v>
      </c>
      <c r="V513" s="420">
        <f t="shared" si="158"/>
        <v>8.3315674443426335</v>
      </c>
      <c r="W513" s="420">
        <f t="shared" si="158"/>
        <v>7.5790432651897071</v>
      </c>
      <c r="X513" s="420">
        <f t="shared" si="158"/>
        <v>0.93658384552539908</v>
      </c>
      <c r="Y513" s="420">
        <f t="shared" si="158"/>
        <v>1.0676296952091524</v>
      </c>
      <c r="Z513" s="420">
        <f t="shared" si="158"/>
        <v>2.0072330539086121</v>
      </c>
      <c r="AA513" s="420">
        <f t="shared" si="158"/>
        <v>0.89367630597148673</v>
      </c>
      <c r="AB513" s="420">
        <f t="shared" si="158"/>
        <v>15.57665125520071</v>
      </c>
      <c r="AC513" s="420">
        <f t="shared" si="158"/>
        <v>1</v>
      </c>
      <c r="AD513" s="420">
        <f t="shared" si="158"/>
        <v>1</v>
      </c>
      <c r="AE513" s="420">
        <f t="shared" si="158"/>
        <v>1</v>
      </c>
      <c r="AF513" s="420">
        <f t="shared" si="158"/>
        <v>1</v>
      </c>
      <c r="AG513" s="420">
        <f t="shared" si="158"/>
        <v>7.2277537965892922</v>
      </c>
      <c r="AH513" s="420">
        <f t="shared" si="158"/>
        <v>7.2277537965892922</v>
      </c>
      <c r="AI513" s="420">
        <f t="shared" si="158"/>
        <v>1</v>
      </c>
      <c r="AJ513" s="420">
        <f t="shared" si="158"/>
        <v>1</v>
      </c>
      <c r="AK513" s="420">
        <f t="shared" si="158"/>
        <v>7.2277537965892922</v>
      </c>
      <c r="AL513" s="420">
        <f t="shared" si="158"/>
        <v>7.2277537965892922</v>
      </c>
      <c r="AM513" s="420">
        <f t="shared" si="158"/>
        <v>1</v>
      </c>
      <c r="AN513" s="420">
        <f t="shared" si="158"/>
        <v>1</v>
      </c>
      <c r="AO513" s="420">
        <f t="shared" si="158"/>
        <v>7.2277537965892922</v>
      </c>
      <c r="AP513" s="420">
        <f t="shared" si="158"/>
        <v>7.2277537965892922</v>
      </c>
    </row>
    <row r="514" spans="5:42" s="88" customFormat="1" x14ac:dyDescent="0.25">
      <c r="F514" s="145" t="s">
        <v>51</v>
      </c>
      <c r="G514" s="145" t="s">
        <v>636</v>
      </c>
      <c r="H514" s="90"/>
      <c r="I514" s="90"/>
      <c r="J514" s="420">
        <f t="shared" ref="J514:AP514" si="159">J298 * J493</f>
        <v>0</v>
      </c>
      <c r="K514" s="420">
        <f t="shared" si="159"/>
        <v>0</v>
      </c>
      <c r="L514" s="420">
        <f t="shared" si="159"/>
        <v>0</v>
      </c>
      <c r="M514" s="420">
        <f t="shared" si="159"/>
        <v>0</v>
      </c>
      <c r="N514" s="420">
        <f t="shared" si="159"/>
        <v>0</v>
      </c>
      <c r="O514" s="420">
        <f t="shared" si="159"/>
        <v>0</v>
      </c>
      <c r="P514" s="420">
        <f t="shared" si="159"/>
        <v>0</v>
      </c>
      <c r="Q514" s="420">
        <f t="shared" si="159"/>
        <v>0</v>
      </c>
      <c r="R514" s="420">
        <f t="shared" si="159"/>
        <v>0</v>
      </c>
      <c r="S514" s="420">
        <f t="shared" si="159"/>
        <v>0</v>
      </c>
      <c r="T514" s="420">
        <f t="shared" si="159"/>
        <v>0</v>
      </c>
      <c r="U514" s="420">
        <f t="shared" si="159"/>
        <v>0</v>
      </c>
      <c r="V514" s="420">
        <f t="shared" si="159"/>
        <v>0</v>
      </c>
      <c r="W514" s="420">
        <f t="shared" si="159"/>
        <v>0</v>
      </c>
      <c r="X514" s="420">
        <f t="shared" si="159"/>
        <v>0</v>
      </c>
      <c r="Y514" s="420">
        <f t="shared" si="159"/>
        <v>0</v>
      </c>
      <c r="Z514" s="420">
        <f t="shared" si="159"/>
        <v>0</v>
      </c>
      <c r="AA514" s="420">
        <f t="shared" si="159"/>
        <v>0</v>
      </c>
      <c r="AB514" s="420">
        <f t="shared" si="159"/>
        <v>0</v>
      </c>
      <c r="AC514" s="420">
        <f t="shared" si="159"/>
        <v>0</v>
      </c>
      <c r="AD514" s="420">
        <f t="shared" si="159"/>
        <v>0</v>
      </c>
      <c r="AE514" s="420">
        <f t="shared" si="159"/>
        <v>0</v>
      </c>
      <c r="AF514" s="420">
        <f t="shared" si="159"/>
        <v>0</v>
      </c>
      <c r="AG514" s="420">
        <f t="shared" si="159"/>
        <v>0</v>
      </c>
      <c r="AH514" s="420">
        <f t="shared" si="159"/>
        <v>0</v>
      </c>
      <c r="AI514" s="420">
        <f t="shared" si="159"/>
        <v>0</v>
      </c>
      <c r="AJ514" s="420">
        <f t="shared" si="159"/>
        <v>0</v>
      </c>
      <c r="AK514" s="420">
        <f t="shared" si="159"/>
        <v>0</v>
      </c>
      <c r="AL514" s="420">
        <f t="shared" si="159"/>
        <v>0</v>
      </c>
      <c r="AM514" s="420">
        <f t="shared" si="159"/>
        <v>0</v>
      </c>
      <c r="AN514" s="420">
        <f t="shared" si="159"/>
        <v>0</v>
      </c>
      <c r="AO514" s="420">
        <f t="shared" si="159"/>
        <v>0</v>
      </c>
      <c r="AP514" s="420">
        <f t="shared" si="159"/>
        <v>0</v>
      </c>
    </row>
    <row r="515" spans="5:42" s="88" customFormat="1" x14ac:dyDescent="0.25">
      <c r="F515" s="145" t="s">
        <v>48</v>
      </c>
      <c r="G515" s="145" t="s">
        <v>636</v>
      </c>
      <c r="H515" s="90"/>
      <c r="I515" s="90"/>
      <c r="J515" s="420">
        <f t="shared" ref="J515:AP515" si="160">J299 * J494</f>
        <v>1.9137428742491756</v>
      </c>
      <c r="K515" s="420">
        <f t="shared" si="160"/>
        <v>2.4218986027307627</v>
      </c>
      <c r="L515" s="420">
        <f t="shared" si="160"/>
        <v>0.37343483262940991</v>
      </c>
      <c r="M515" s="420">
        <f t="shared" si="160"/>
        <v>1.8573873175791129</v>
      </c>
      <c r="N515" s="420">
        <f t="shared" si="160"/>
        <v>2.7545029252499589</v>
      </c>
      <c r="O515" s="420">
        <f t="shared" si="160"/>
        <v>0.48115339535519658</v>
      </c>
      <c r="P515" s="420">
        <f t="shared" si="160"/>
        <v>1.4429512785280627</v>
      </c>
      <c r="Q515" s="420">
        <f t="shared" si="160"/>
        <v>1.3504766596416269</v>
      </c>
      <c r="R515" s="420">
        <f t="shared" si="160"/>
        <v>1.5140564824817799</v>
      </c>
      <c r="S515" s="420">
        <f t="shared" si="160"/>
        <v>7.2057946498092118</v>
      </c>
      <c r="T515" s="420">
        <f t="shared" si="160"/>
        <v>7.6083597319212446</v>
      </c>
      <c r="U515" s="420">
        <f t="shared" si="160"/>
        <v>5.6898917199959316</v>
      </c>
      <c r="V515" s="420">
        <f t="shared" si="160"/>
        <v>5.5019999025875759</v>
      </c>
      <c r="W515" s="420">
        <f t="shared" si="160"/>
        <v>5.0050480399214905</v>
      </c>
      <c r="X515" s="420">
        <f t="shared" si="160"/>
        <v>0.93457480535347592</v>
      </c>
      <c r="Y515" s="420">
        <f t="shared" si="160"/>
        <v>0.82006000573139126</v>
      </c>
      <c r="Z515" s="420">
        <f t="shared" si="160"/>
        <v>1.507533099216728</v>
      </c>
      <c r="AA515" s="420">
        <f t="shared" si="160"/>
        <v>1.0913245534559157</v>
      </c>
      <c r="AB515" s="420">
        <f t="shared" si="160"/>
        <v>9.5731832179348917</v>
      </c>
      <c r="AC515" s="420">
        <f t="shared" si="160"/>
        <v>1</v>
      </c>
      <c r="AD515" s="420">
        <f t="shared" si="160"/>
        <v>1</v>
      </c>
      <c r="AE515" s="420">
        <f t="shared" si="160"/>
        <v>1</v>
      </c>
      <c r="AF515" s="420">
        <f t="shared" si="160"/>
        <v>1</v>
      </c>
      <c r="AG515" s="420">
        <f t="shared" si="160"/>
        <v>4.7730635262112946</v>
      </c>
      <c r="AH515" s="420">
        <f t="shared" si="160"/>
        <v>4.7730635262112946</v>
      </c>
      <c r="AI515" s="420">
        <f t="shared" si="160"/>
        <v>1</v>
      </c>
      <c r="AJ515" s="420">
        <f t="shared" si="160"/>
        <v>1</v>
      </c>
      <c r="AK515" s="420">
        <f t="shared" si="160"/>
        <v>4.7730635262112946</v>
      </c>
      <c r="AL515" s="420">
        <f t="shared" si="160"/>
        <v>4.7730635262112946</v>
      </c>
      <c r="AM515" s="420">
        <f t="shared" si="160"/>
        <v>1</v>
      </c>
      <c r="AN515" s="420">
        <f t="shared" si="160"/>
        <v>1</v>
      </c>
      <c r="AO515" s="420">
        <f t="shared" si="160"/>
        <v>4.7730635262112946</v>
      </c>
      <c r="AP515" s="420">
        <f t="shared" si="160"/>
        <v>4.7730635262112946</v>
      </c>
    </row>
    <row r="516" spans="5:42" s="88" customFormat="1" x14ac:dyDescent="0.25">
      <c r="F516" s="145" t="s">
        <v>49</v>
      </c>
      <c r="G516" s="145" t="s">
        <v>636</v>
      </c>
      <c r="H516" s="90"/>
      <c r="I516" s="90"/>
      <c r="J516" s="420">
        <f t="shared" ref="J516:AP516" si="161">J300 * J495</f>
        <v>1.9137428742491756</v>
      </c>
      <c r="K516" s="420">
        <f t="shared" si="161"/>
        <v>2.4218986027307627</v>
      </c>
      <c r="L516" s="420">
        <f t="shared" si="161"/>
        <v>0.37343483262940991</v>
      </c>
      <c r="M516" s="420">
        <f t="shared" si="161"/>
        <v>1.8573873175791129</v>
      </c>
      <c r="N516" s="420">
        <f t="shared" si="161"/>
        <v>2.7545029252499589</v>
      </c>
      <c r="O516" s="420">
        <f t="shared" si="161"/>
        <v>0.48115339535519658</v>
      </c>
      <c r="P516" s="420">
        <f t="shared" si="161"/>
        <v>1.4429512785280627</v>
      </c>
      <c r="Q516" s="420">
        <f t="shared" si="161"/>
        <v>1.3504766596416269</v>
      </c>
      <c r="R516" s="420">
        <f t="shared" si="161"/>
        <v>1.5140564824817799</v>
      </c>
      <c r="S516" s="420">
        <f t="shared" si="161"/>
        <v>7.2057946498092118</v>
      </c>
      <c r="T516" s="420">
        <f t="shared" si="161"/>
        <v>7.6083597319212446</v>
      </c>
      <c r="U516" s="420">
        <f t="shared" si="161"/>
        <v>5.6898917199959316</v>
      </c>
      <c r="V516" s="420">
        <f t="shared" si="161"/>
        <v>5.5019999025875759</v>
      </c>
      <c r="W516" s="420">
        <f t="shared" si="161"/>
        <v>5.0050480399214905</v>
      </c>
      <c r="X516" s="420">
        <f t="shared" si="161"/>
        <v>0.93457480535347592</v>
      </c>
      <c r="Y516" s="420">
        <f t="shared" si="161"/>
        <v>0.82006000573139126</v>
      </c>
      <c r="Z516" s="420">
        <f t="shared" si="161"/>
        <v>1.507533099216728</v>
      </c>
      <c r="AA516" s="420">
        <f t="shared" si="161"/>
        <v>1.0913245534559157</v>
      </c>
      <c r="AB516" s="420">
        <f t="shared" si="161"/>
        <v>9.5731832179348917</v>
      </c>
      <c r="AC516" s="420">
        <f t="shared" si="161"/>
        <v>1</v>
      </c>
      <c r="AD516" s="420">
        <f t="shared" si="161"/>
        <v>1</v>
      </c>
      <c r="AE516" s="420">
        <f t="shared" si="161"/>
        <v>1</v>
      </c>
      <c r="AF516" s="420">
        <f t="shared" si="161"/>
        <v>1</v>
      </c>
      <c r="AG516" s="420">
        <f t="shared" si="161"/>
        <v>4.7730635262112946</v>
      </c>
      <c r="AH516" s="420">
        <f t="shared" si="161"/>
        <v>4.7730635262112946</v>
      </c>
      <c r="AI516" s="420">
        <f t="shared" si="161"/>
        <v>1</v>
      </c>
      <c r="AJ516" s="420">
        <f t="shared" si="161"/>
        <v>1</v>
      </c>
      <c r="AK516" s="420">
        <f t="shared" si="161"/>
        <v>4.7730635262112946</v>
      </c>
      <c r="AL516" s="420">
        <f t="shared" si="161"/>
        <v>4.7730635262112946</v>
      </c>
      <c r="AM516" s="420">
        <f t="shared" si="161"/>
        <v>1</v>
      </c>
      <c r="AN516" s="420">
        <f t="shared" si="161"/>
        <v>1</v>
      </c>
      <c r="AO516" s="420">
        <f t="shared" si="161"/>
        <v>4.7730635262112946</v>
      </c>
      <c r="AP516" s="420">
        <f t="shared" si="161"/>
        <v>4.7730635262112946</v>
      </c>
    </row>
    <row r="517" spans="5:42" s="88" customFormat="1" x14ac:dyDescent="0.25">
      <c r="F517" s="38" t="s">
        <v>50</v>
      </c>
      <c r="G517" s="38" t="s">
        <v>636</v>
      </c>
      <c r="H517" s="16"/>
      <c r="I517" s="16"/>
      <c r="J517" s="422">
        <f t="shared" ref="J517:AP517" si="162">J301 * J496</f>
        <v>1.9137428742491756</v>
      </c>
      <c r="K517" s="422">
        <f t="shared" si="162"/>
        <v>2.4218986027307627</v>
      </c>
      <c r="L517" s="422">
        <f t="shared" si="162"/>
        <v>0.37343483262940991</v>
      </c>
      <c r="M517" s="422">
        <f t="shared" si="162"/>
        <v>1.8573873175791129</v>
      </c>
      <c r="N517" s="422">
        <f t="shared" si="162"/>
        <v>2.7545029252499589</v>
      </c>
      <c r="O517" s="422">
        <f t="shared" si="162"/>
        <v>0.48115339535519658</v>
      </c>
      <c r="P517" s="422">
        <f t="shared" si="162"/>
        <v>1.4429512785280627</v>
      </c>
      <c r="Q517" s="422">
        <f t="shared" si="162"/>
        <v>1.3504766596416269</v>
      </c>
      <c r="R517" s="422">
        <f t="shared" si="162"/>
        <v>1.5140564824817799</v>
      </c>
      <c r="S517" s="422">
        <f t="shared" si="162"/>
        <v>7.2057946498092118</v>
      </c>
      <c r="T517" s="422">
        <f t="shared" si="162"/>
        <v>7.6083597319212446</v>
      </c>
      <c r="U517" s="422">
        <f t="shared" si="162"/>
        <v>5.6898917199959316</v>
      </c>
      <c r="V517" s="422">
        <f t="shared" si="162"/>
        <v>5.5019999025875759</v>
      </c>
      <c r="W517" s="422">
        <f t="shared" si="162"/>
        <v>5.0050480399214905</v>
      </c>
      <c r="X517" s="422">
        <f t="shared" si="162"/>
        <v>0.93457480535347592</v>
      </c>
      <c r="Y517" s="422">
        <f t="shared" si="162"/>
        <v>0.82006000573139126</v>
      </c>
      <c r="Z517" s="422">
        <f t="shared" si="162"/>
        <v>1.507533099216728</v>
      </c>
      <c r="AA517" s="422">
        <f t="shared" si="162"/>
        <v>1.0913245534559157</v>
      </c>
      <c r="AB517" s="422">
        <f t="shared" si="162"/>
        <v>9.5731832179348917</v>
      </c>
      <c r="AC517" s="422">
        <f t="shared" si="162"/>
        <v>1</v>
      </c>
      <c r="AD517" s="422">
        <f t="shared" si="162"/>
        <v>1</v>
      </c>
      <c r="AE517" s="422">
        <f t="shared" si="162"/>
        <v>1</v>
      </c>
      <c r="AF517" s="422">
        <f t="shared" si="162"/>
        <v>1</v>
      </c>
      <c r="AG517" s="422">
        <f t="shared" si="162"/>
        <v>4.7730635262112946</v>
      </c>
      <c r="AH517" s="422">
        <f t="shared" si="162"/>
        <v>4.7730635262112946</v>
      </c>
      <c r="AI517" s="422">
        <f t="shared" si="162"/>
        <v>1</v>
      </c>
      <c r="AJ517" s="422">
        <f t="shared" si="162"/>
        <v>1</v>
      </c>
      <c r="AK517" s="422">
        <f t="shared" si="162"/>
        <v>4.7730635262112946</v>
      </c>
      <c r="AL517" s="422">
        <f t="shared" si="162"/>
        <v>4.7730635262112946</v>
      </c>
      <c r="AM517" s="422">
        <f t="shared" si="162"/>
        <v>1</v>
      </c>
      <c r="AN517" s="422">
        <f t="shared" si="162"/>
        <v>1</v>
      </c>
      <c r="AO517" s="422">
        <f t="shared" si="162"/>
        <v>4.7730635262112946</v>
      </c>
      <c r="AP517" s="422">
        <f t="shared" si="162"/>
        <v>4.7730635262112946</v>
      </c>
    </row>
    <row r="518" spans="5:42" s="88" customFormat="1" x14ac:dyDescent="0.25">
      <c r="J518" s="416"/>
      <c r="K518" s="416"/>
      <c r="L518" s="416"/>
      <c r="M518" s="416"/>
      <c r="N518" s="416"/>
      <c r="O518" s="416"/>
      <c r="P518" s="416"/>
      <c r="Q518" s="416"/>
      <c r="R518" s="416"/>
      <c r="S518" s="416"/>
      <c r="T518" s="416"/>
      <c r="U518" s="416"/>
      <c r="V518" s="416"/>
      <c r="W518" s="416"/>
      <c r="X518" s="444"/>
      <c r="Y518" s="444"/>
      <c r="Z518" s="444"/>
      <c r="AA518" s="444"/>
      <c r="AB518" s="444"/>
      <c r="AC518" s="444"/>
      <c r="AD518" s="444"/>
      <c r="AE518" s="444"/>
      <c r="AF518" s="444"/>
      <c r="AG518" s="444"/>
      <c r="AH518" s="444"/>
      <c r="AI518" s="444"/>
      <c r="AJ518" s="444"/>
      <c r="AK518" s="444"/>
      <c r="AL518" s="444"/>
      <c r="AM518" s="444"/>
      <c r="AN518" s="444"/>
      <c r="AO518" s="444"/>
      <c r="AP518" s="444"/>
    </row>
    <row r="519" spans="5:42" s="88" customFormat="1" x14ac:dyDescent="0.25">
      <c r="E519" s="87" t="s">
        <v>152</v>
      </c>
      <c r="F519" s="35"/>
      <c r="G519" s="35"/>
      <c r="J519" s="416"/>
      <c r="K519" s="416"/>
      <c r="L519" s="416"/>
      <c r="M519" s="416"/>
      <c r="N519" s="416"/>
      <c r="O519" s="416"/>
      <c r="P519" s="416"/>
      <c r="Q519" s="416"/>
      <c r="R519" s="416"/>
      <c r="S519" s="416"/>
      <c r="T519" s="416"/>
      <c r="U519" s="416"/>
      <c r="V519" s="416"/>
      <c r="W519" s="416"/>
      <c r="X519" s="416"/>
      <c r="Y519" s="416"/>
      <c r="Z519" s="416"/>
      <c r="AA519" s="416"/>
      <c r="AB519" s="416"/>
      <c r="AC519" s="416"/>
      <c r="AD519" s="416"/>
      <c r="AE519" s="416"/>
      <c r="AF519" s="416"/>
      <c r="AG519" s="416"/>
      <c r="AH519" s="416"/>
      <c r="AI519" s="416"/>
      <c r="AJ519" s="416"/>
      <c r="AK519" s="416"/>
      <c r="AL519" s="416"/>
      <c r="AM519" s="416"/>
      <c r="AN519" s="416"/>
      <c r="AO519" s="416"/>
      <c r="AP519" s="416"/>
    </row>
    <row r="520" spans="5:42" s="88" customFormat="1" x14ac:dyDescent="0.25">
      <c r="F520" s="40" t="s">
        <v>43</v>
      </c>
      <c r="G520" s="40" t="s">
        <v>636</v>
      </c>
      <c r="H520" s="13"/>
      <c r="I520" s="13"/>
      <c r="J520" s="418">
        <f t="shared" ref="J520:AP520" si="163">J304 * J488</f>
        <v>0</v>
      </c>
      <c r="K520" s="418">
        <f t="shared" si="163"/>
        <v>3.6243659981993449E-2</v>
      </c>
      <c r="L520" s="418">
        <f t="shared" si="163"/>
        <v>0</v>
      </c>
      <c r="M520" s="418">
        <f t="shared" si="163"/>
        <v>0</v>
      </c>
      <c r="N520" s="418">
        <f t="shared" si="163"/>
        <v>8.89580510718843E-2</v>
      </c>
      <c r="O520" s="418">
        <f t="shared" si="163"/>
        <v>0</v>
      </c>
      <c r="P520" s="418">
        <f t="shared" si="163"/>
        <v>2.5420906287747784E-2</v>
      </c>
      <c r="Q520" s="418">
        <f t="shared" si="163"/>
        <v>2.5346903557012294E-2</v>
      </c>
      <c r="R520" s="418">
        <f t="shared" si="163"/>
        <v>4.2290493382837135E-2</v>
      </c>
      <c r="S520" s="418">
        <f t="shared" si="163"/>
        <v>0.37142497995685703</v>
      </c>
      <c r="T520" s="418">
        <f t="shared" si="163"/>
        <v>0.39196543187779181</v>
      </c>
      <c r="U520" s="418">
        <f t="shared" si="163"/>
        <v>0.29289660439188447</v>
      </c>
      <c r="V520" s="418">
        <f t="shared" si="163"/>
        <v>0.28322456175554994</v>
      </c>
      <c r="W520" s="418">
        <f t="shared" si="163"/>
        <v>0.25764314117954951</v>
      </c>
      <c r="X520" s="418">
        <f t="shared" si="163"/>
        <v>0</v>
      </c>
      <c r="Y520" s="418">
        <f t="shared" si="163"/>
        <v>0</v>
      </c>
      <c r="Z520" s="418">
        <f t="shared" si="163"/>
        <v>0</v>
      </c>
      <c r="AA520" s="418">
        <f t="shared" si="163"/>
        <v>0</v>
      </c>
      <c r="AB520" s="418">
        <f t="shared" si="163"/>
        <v>0.78729520276771325</v>
      </c>
      <c r="AC520" s="418">
        <f t="shared" si="163"/>
        <v>0</v>
      </c>
      <c r="AD520" s="418">
        <f t="shared" si="163"/>
        <v>0</v>
      </c>
      <c r="AE520" s="418">
        <f t="shared" si="163"/>
        <v>0</v>
      </c>
      <c r="AF520" s="418">
        <f t="shared" si="163"/>
        <v>0</v>
      </c>
      <c r="AG520" s="418">
        <f t="shared" si="163"/>
        <v>0.24570135393983247</v>
      </c>
      <c r="AH520" s="418">
        <f t="shared" si="163"/>
        <v>0.24570135393983247</v>
      </c>
      <c r="AI520" s="418">
        <f t="shared" si="163"/>
        <v>0</v>
      </c>
      <c r="AJ520" s="418">
        <f t="shared" si="163"/>
        <v>0</v>
      </c>
      <c r="AK520" s="418">
        <f t="shared" si="163"/>
        <v>0.24570135393983247</v>
      </c>
      <c r="AL520" s="418">
        <f t="shared" si="163"/>
        <v>0.24570135393983247</v>
      </c>
      <c r="AM520" s="418">
        <f t="shared" si="163"/>
        <v>0</v>
      </c>
      <c r="AN520" s="418">
        <f t="shared" si="163"/>
        <v>0</v>
      </c>
      <c r="AO520" s="418">
        <f t="shared" si="163"/>
        <v>0.24570135393983247</v>
      </c>
      <c r="AP520" s="418">
        <f t="shared" si="163"/>
        <v>0.24570135393983247</v>
      </c>
    </row>
    <row r="521" spans="5:42" s="88" customFormat="1" x14ac:dyDescent="0.25">
      <c r="F521" s="145" t="s">
        <v>44</v>
      </c>
      <c r="G521" s="145" t="s">
        <v>636</v>
      </c>
      <c r="H521" s="90"/>
      <c r="I521" s="90"/>
      <c r="J521" s="420">
        <f t="shared" ref="J521:AP521" si="164">J305 * J489</f>
        <v>0</v>
      </c>
      <c r="K521" s="420">
        <f t="shared" si="164"/>
        <v>5.4150844483141621E-2</v>
      </c>
      <c r="L521" s="420">
        <f t="shared" si="164"/>
        <v>0</v>
      </c>
      <c r="M521" s="420">
        <f t="shared" si="164"/>
        <v>0</v>
      </c>
      <c r="N521" s="420">
        <f t="shared" si="164"/>
        <v>0.14226615992691255</v>
      </c>
      <c r="O521" s="420">
        <f t="shared" si="164"/>
        <v>0</v>
      </c>
      <c r="P521" s="420">
        <f t="shared" si="164"/>
        <v>4.4658601120804629E-2</v>
      </c>
      <c r="Q521" s="420">
        <f t="shared" si="164"/>
        <v>4.3542796154771399E-2</v>
      </c>
      <c r="R521" s="420">
        <f t="shared" si="164"/>
        <v>7.0193615685965577E-2</v>
      </c>
      <c r="S521" s="420">
        <f t="shared" si="164"/>
        <v>0.55586889287989016</v>
      </c>
      <c r="T521" s="420">
        <f t="shared" si="164"/>
        <v>0.58663290744978325</v>
      </c>
      <c r="U521" s="420">
        <f t="shared" si="164"/>
        <v>0.43841981945620329</v>
      </c>
      <c r="V521" s="420">
        <f t="shared" si="164"/>
        <v>0.42394230376359748</v>
      </c>
      <c r="W521" s="420">
        <f t="shared" si="164"/>
        <v>0.38565096947637045</v>
      </c>
      <c r="X521" s="420">
        <f t="shared" si="164"/>
        <v>0</v>
      </c>
      <c r="Y521" s="420">
        <f t="shared" si="164"/>
        <v>0</v>
      </c>
      <c r="Z521" s="420">
        <f t="shared" si="164"/>
        <v>0</v>
      </c>
      <c r="AA521" s="420">
        <f t="shared" si="164"/>
        <v>0</v>
      </c>
      <c r="AB521" s="420">
        <f t="shared" si="164"/>
        <v>0.68045149656284321</v>
      </c>
      <c r="AC521" s="420">
        <f t="shared" si="164"/>
        <v>0</v>
      </c>
      <c r="AD521" s="420">
        <f t="shared" si="164"/>
        <v>0</v>
      </c>
      <c r="AE521" s="420">
        <f t="shared" si="164"/>
        <v>0</v>
      </c>
      <c r="AF521" s="420">
        <f t="shared" si="164"/>
        <v>0</v>
      </c>
      <c r="AG521" s="420">
        <f t="shared" si="164"/>
        <v>0.36777600565939084</v>
      </c>
      <c r="AH521" s="420">
        <f t="shared" si="164"/>
        <v>0.36777600565939084</v>
      </c>
      <c r="AI521" s="420">
        <f t="shared" si="164"/>
        <v>0</v>
      </c>
      <c r="AJ521" s="420">
        <f t="shared" si="164"/>
        <v>0</v>
      </c>
      <c r="AK521" s="420">
        <f t="shared" si="164"/>
        <v>0.36777600565939084</v>
      </c>
      <c r="AL521" s="420">
        <f t="shared" si="164"/>
        <v>0.36777600565939084</v>
      </c>
      <c r="AM521" s="420">
        <f t="shared" si="164"/>
        <v>0</v>
      </c>
      <c r="AN521" s="420">
        <f t="shared" si="164"/>
        <v>0</v>
      </c>
      <c r="AO521" s="420">
        <f t="shared" si="164"/>
        <v>0.36777600565939084</v>
      </c>
      <c r="AP521" s="420">
        <f t="shared" si="164"/>
        <v>0.36777600565939084</v>
      </c>
    </row>
    <row r="522" spans="5:42" s="88" customFormat="1" x14ac:dyDescent="0.25">
      <c r="F522" s="145" t="s">
        <v>45</v>
      </c>
      <c r="G522" s="145" t="s">
        <v>636</v>
      </c>
      <c r="H522" s="90"/>
      <c r="I522" s="90"/>
      <c r="J522" s="420">
        <f t="shared" ref="J522:AP522" si="165">J306 * J490</f>
        <v>0</v>
      </c>
      <c r="K522" s="420">
        <f t="shared" si="165"/>
        <v>5.4150844483141621E-2</v>
      </c>
      <c r="L522" s="420">
        <f t="shared" si="165"/>
        <v>0</v>
      </c>
      <c r="M522" s="420">
        <f t="shared" si="165"/>
        <v>0</v>
      </c>
      <c r="N522" s="420">
        <f t="shared" si="165"/>
        <v>0.14226615992691255</v>
      </c>
      <c r="O522" s="420">
        <f t="shared" si="165"/>
        <v>0</v>
      </c>
      <c r="P522" s="420">
        <f t="shared" si="165"/>
        <v>4.4658601120804629E-2</v>
      </c>
      <c r="Q522" s="420">
        <f t="shared" si="165"/>
        <v>4.3542796154771399E-2</v>
      </c>
      <c r="R522" s="420">
        <f t="shared" si="165"/>
        <v>7.0193615685965577E-2</v>
      </c>
      <c r="S522" s="420">
        <f t="shared" si="165"/>
        <v>0.55586889287989016</v>
      </c>
      <c r="T522" s="420">
        <f t="shared" si="165"/>
        <v>0.58663290744978325</v>
      </c>
      <c r="U522" s="420">
        <f t="shared" si="165"/>
        <v>0.43841981945620329</v>
      </c>
      <c r="V522" s="420">
        <f t="shared" si="165"/>
        <v>0.42394230376359748</v>
      </c>
      <c r="W522" s="420">
        <f t="shared" si="165"/>
        <v>0.38565096947637045</v>
      </c>
      <c r="X522" s="420">
        <f t="shared" si="165"/>
        <v>0</v>
      </c>
      <c r="Y522" s="420">
        <f t="shared" si="165"/>
        <v>0</v>
      </c>
      <c r="Z522" s="420">
        <f t="shared" si="165"/>
        <v>0</v>
      </c>
      <c r="AA522" s="420">
        <f t="shared" si="165"/>
        <v>0</v>
      </c>
      <c r="AB522" s="420">
        <f t="shared" si="165"/>
        <v>0.68045149656284321</v>
      </c>
      <c r="AC522" s="420">
        <f t="shared" si="165"/>
        <v>0</v>
      </c>
      <c r="AD522" s="420">
        <f t="shared" si="165"/>
        <v>0</v>
      </c>
      <c r="AE522" s="420">
        <f t="shared" si="165"/>
        <v>0</v>
      </c>
      <c r="AF522" s="420">
        <f t="shared" si="165"/>
        <v>0</v>
      </c>
      <c r="AG522" s="420">
        <f t="shared" si="165"/>
        <v>0.36777600565939084</v>
      </c>
      <c r="AH522" s="420">
        <f t="shared" si="165"/>
        <v>0.36777600565939084</v>
      </c>
      <c r="AI522" s="420">
        <f t="shared" si="165"/>
        <v>0</v>
      </c>
      <c r="AJ522" s="420">
        <f t="shared" si="165"/>
        <v>0</v>
      </c>
      <c r="AK522" s="420">
        <f t="shared" si="165"/>
        <v>0.36777600565939084</v>
      </c>
      <c r="AL522" s="420">
        <f t="shared" si="165"/>
        <v>0.36777600565939084</v>
      </c>
      <c r="AM522" s="420">
        <f t="shared" si="165"/>
        <v>0</v>
      </c>
      <c r="AN522" s="420">
        <f t="shared" si="165"/>
        <v>0</v>
      </c>
      <c r="AO522" s="420">
        <f t="shared" si="165"/>
        <v>0.36777600565939084</v>
      </c>
      <c r="AP522" s="420">
        <f t="shared" si="165"/>
        <v>0.36777600565939084</v>
      </c>
    </row>
    <row r="523" spans="5:42" s="88" customFormat="1" x14ac:dyDescent="0.25">
      <c r="F523" s="145" t="s">
        <v>46</v>
      </c>
      <c r="G523" s="145" t="s">
        <v>636</v>
      </c>
      <c r="H523" s="90"/>
      <c r="I523" s="90"/>
      <c r="J523" s="420">
        <f t="shared" ref="J523:AP523" si="166">J307 * J491</f>
        <v>0</v>
      </c>
      <c r="K523" s="420">
        <f t="shared" si="166"/>
        <v>0.11992714650021423</v>
      </c>
      <c r="L523" s="420">
        <f t="shared" si="166"/>
        <v>0</v>
      </c>
      <c r="M523" s="420">
        <f t="shared" si="166"/>
        <v>0</v>
      </c>
      <c r="N523" s="420">
        <f t="shared" si="166"/>
        <v>0.29786471110145424</v>
      </c>
      <c r="O523" s="420">
        <f t="shared" si="166"/>
        <v>0</v>
      </c>
      <c r="P523" s="420">
        <f t="shared" si="166"/>
        <v>0.10773880835268247</v>
      </c>
      <c r="Q523" s="420">
        <f t="shared" si="166"/>
        <v>0.1018290558189891</v>
      </c>
      <c r="R523" s="420">
        <f t="shared" si="166"/>
        <v>0.15595567214982345</v>
      </c>
      <c r="S523" s="420">
        <f t="shared" si="166"/>
        <v>1.025460413360668</v>
      </c>
      <c r="T523" s="420">
        <f t="shared" si="166"/>
        <v>1.0824060261063233</v>
      </c>
      <c r="U523" s="420">
        <f t="shared" si="166"/>
        <v>0.80917759626539421</v>
      </c>
      <c r="V523" s="420">
        <f t="shared" si="166"/>
        <v>0.78245690338575224</v>
      </c>
      <c r="W523" s="420">
        <f t="shared" si="166"/>
        <v>0.71178379860968433</v>
      </c>
      <c r="X523" s="420">
        <f t="shared" si="166"/>
        <v>0</v>
      </c>
      <c r="Y523" s="420">
        <f t="shared" si="166"/>
        <v>0</v>
      </c>
      <c r="Z523" s="420">
        <f t="shared" si="166"/>
        <v>0</v>
      </c>
      <c r="AA523" s="420">
        <f t="shared" si="166"/>
        <v>0</v>
      </c>
      <c r="AB523" s="420">
        <f t="shared" si="166"/>
        <v>0.82975770434246265</v>
      </c>
      <c r="AC523" s="420">
        <f t="shared" si="166"/>
        <v>0</v>
      </c>
      <c r="AD523" s="420">
        <f t="shared" si="166"/>
        <v>0</v>
      </c>
      <c r="AE523" s="420">
        <f t="shared" si="166"/>
        <v>0</v>
      </c>
      <c r="AF523" s="420">
        <f t="shared" si="166"/>
        <v>0</v>
      </c>
      <c r="AG523" s="420">
        <f t="shared" si="166"/>
        <v>0.67879254316713844</v>
      </c>
      <c r="AH523" s="420">
        <f t="shared" si="166"/>
        <v>0.67879254316713844</v>
      </c>
      <c r="AI523" s="420">
        <f t="shared" si="166"/>
        <v>0</v>
      </c>
      <c r="AJ523" s="420">
        <f t="shared" si="166"/>
        <v>0</v>
      </c>
      <c r="AK523" s="420">
        <f t="shared" si="166"/>
        <v>0.67879254316713844</v>
      </c>
      <c r="AL523" s="420">
        <f t="shared" si="166"/>
        <v>0.67879254316713844</v>
      </c>
      <c r="AM523" s="420">
        <f t="shared" si="166"/>
        <v>0</v>
      </c>
      <c r="AN523" s="420">
        <f t="shared" si="166"/>
        <v>0</v>
      </c>
      <c r="AO523" s="420">
        <f t="shared" si="166"/>
        <v>0.67879254316713844</v>
      </c>
      <c r="AP523" s="420">
        <f t="shared" si="166"/>
        <v>0.67879254316713844</v>
      </c>
    </row>
    <row r="524" spans="5:42" s="88" customFormat="1" x14ac:dyDescent="0.25">
      <c r="F524" s="145" t="s">
        <v>47</v>
      </c>
      <c r="G524" s="145" t="s">
        <v>636</v>
      </c>
      <c r="H524" s="90"/>
      <c r="I524" s="90"/>
      <c r="J524" s="420">
        <f t="shared" ref="J524:AP524" si="167">J308 * J492</f>
        <v>0</v>
      </c>
      <c r="K524" s="420">
        <f t="shared" si="167"/>
        <v>0.11992714650021423</v>
      </c>
      <c r="L524" s="420">
        <f t="shared" si="167"/>
        <v>0</v>
      </c>
      <c r="M524" s="420">
        <f t="shared" si="167"/>
        <v>0</v>
      </c>
      <c r="N524" s="420">
        <f t="shared" si="167"/>
        <v>0.29786471110145424</v>
      </c>
      <c r="O524" s="420">
        <f t="shared" si="167"/>
        <v>0</v>
      </c>
      <c r="P524" s="420">
        <f t="shared" si="167"/>
        <v>0.10773880835268247</v>
      </c>
      <c r="Q524" s="420">
        <f t="shared" si="167"/>
        <v>0.1018290558189891</v>
      </c>
      <c r="R524" s="420">
        <f t="shared" si="167"/>
        <v>0.15595567214982345</v>
      </c>
      <c r="S524" s="420">
        <f t="shared" si="167"/>
        <v>1.025460413360668</v>
      </c>
      <c r="T524" s="420">
        <f t="shared" si="167"/>
        <v>1.0824060261063233</v>
      </c>
      <c r="U524" s="420">
        <f t="shared" si="167"/>
        <v>0.80917759626539421</v>
      </c>
      <c r="V524" s="420">
        <f t="shared" si="167"/>
        <v>0.78245690338575224</v>
      </c>
      <c r="W524" s="420">
        <f t="shared" si="167"/>
        <v>0.71178379860968433</v>
      </c>
      <c r="X524" s="420">
        <f t="shared" si="167"/>
        <v>0</v>
      </c>
      <c r="Y524" s="420">
        <f t="shared" si="167"/>
        <v>0</v>
      </c>
      <c r="Z524" s="420">
        <f t="shared" si="167"/>
        <v>0</v>
      </c>
      <c r="AA524" s="420">
        <f t="shared" si="167"/>
        <v>0</v>
      </c>
      <c r="AB524" s="420">
        <f t="shared" si="167"/>
        <v>0.82975770434246265</v>
      </c>
      <c r="AC524" s="420">
        <f t="shared" si="167"/>
        <v>0</v>
      </c>
      <c r="AD524" s="420">
        <f t="shared" si="167"/>
        <v>0</v>
      </c>
      <c r="AE524" s="420">
        <f t="shared" si="167"/>
        <v>0</v>
      </c>
      <c r="AF524" s="420">
        <f t="shared" si="167"/>
        <v>0</v>
      </c>
      <c r="AG524" s="420">
        <f t="shared" si="167"/>
        <v>0.67879254316713844</v>
      </c>
      <c r="AH524" s="420">
        <f t="shared" si="167"/>
        <v>0.67879254316713844</v>
      </c>
      <c r="AI524" s="420">
        <f t="shared" si="167"/>
        <v>0</v>
      </c>
      <c r="AJ524" s="420">
        <f t="shared" si="167"/>
        <v>0</v>
      </c>
      <c r="AK524" s="420">
        <f t="shared" si="167"/>
        <v>0.67879254316713844</v>
      </c>
      <c r="AL524" s="420">
        <f t="shared" si="167"/>
        <v>0.67879254316713844</v>
      </c>
      <c r="AM524" s="420">
        <f t="shared" si="167"/>
        <v>0</v>
      </c>
      <c r="AN524" s="420">
        <f t="shared" si="167"/>
        <v>0</v>
      </c>
      <c r="AO524" s="420">
        <f t="shared" si="167"/>
        <v>0.67879254316713844</v>
      </c>
      <c r="AP524" s="420">
        <f t="shared" si="167"/>
        <v>0.67879254316713844</v>
      </c>
    </row>
    <row r="525" spans="5:42" s="88" customFormat="1" x14ac:dyDescent="0.25">
      <c r="F525" s="145" t="s">
        <v>51</v>
      </c>
      <c r="G525" s="145" t="s">
        <v>636</v>
      </c>
      <c r="H525" s="90"/>
      <c r="I525" s="90"/>
      <c r="J525" s="420">
        <f t="shared" ref="J525:AP525" si="168">J309 * J493</f>
        <v>0</v>
      </c>
      <c r="K525" s="420">
        <f t="shared" si="168"/>
        <v>0</v>
      </c>
      <c r="L525" s="420">
        <f t="shared" si="168"/>
        <v>0</v>
      </c>
      <c r="M525" s="420">
        <f t="shared" si="168"/>
        <v>0</v>
      </c>
      <c r="N525" s="420">
        <f t="shared" si="168"/>
        <v>0</v>
      </c>
      <c r="O525" s="420">
        <f t="shared" si="168"/>
        <v>0</v>
      </c>
      <c r="P525" s="420">
        <f t="shared" si="168"/>
        <v>0</v>
      </c>
      <c r="Q525" s="420">
        <f t="shared" si="168"/>
        <v>0</v>
      </c>
      <c r="R525" s="420">
        <f t="shared" si="168"/>
        <v>0</v>
      </c>
      <c r="S525" s="420">
        <f t="shared" si="168"/>
        <v>0</v>
      </c>
      <c r="T525" s="420">
        <f t="shared" si="168"/>
        <v>0</v>
      </c>
      <c r="U525" s="420">
        <f t="shared" si="168"/>
        <v>0</v>
      </c>
      <c r="V525" s="420">
        <f t="shared" si="168"/>
        <v>0</v>
      </c>
      <c r="W525" s="420">
        <f t="shared" si="168"/>
        <v>0</v>
      </c>
      <c r="X525" s="420">
        <f t="shared" si="168"/>
        <v>0</v>
      </c>
      <c r="Y525" s="420">
        <f t="shared" si="168"/>
        <v>0</v>
      </c>
      <c r="Z525" s="420">
        <f t="shared" si="168"/>
        <v>0</v>
      </c>
      <c r="AA525" s="420">
        <f t="shared" si="168"/>
        <v>0</v>
      </c>
      <c r="AB525" s="420">
        <f t="shared" si="168"/>
        <v>0</v>
      </c>
      <c r="AC525" s="420">
        <f t="shared" si="168"/>
        <v>0</v>
      </c>
      <c r="AD525" s="420">
        <f t="shared" si="168"/>
        <v>0</v>
      </c>
      <c r="AE525" s="420">
        <f t="shared" si="168"/>
        <v>0</v>
      </c>
      <c r="AF525" s="420">
        <f t="shared" si="168"/>
        <v>0</v>
      </c>
      <c r="AG525" s="420">
        <f t="shared" si="168"/>
        <v>0</v>
      </c>
      <c r="AH525" s="420">
        <f t="shared" si="168"/>
        <v>0</v>
      </c>
      <c r="AI525" s="420">
        <f t="shared" si="168"/>
        <v>0</v>
      </c>
      <c r="AJ525" s="420">
        <f t="shared" si="168"/>
        <v>0</v>
      </c>
      <c r="AK525" s="420">
        <f t="shared" si="168"/>
        <v>0</v>
      </c>
      <c r="AL525" s="420">
        <f t="shared" si="168"/>
        <v>0</v>
      </c>
      <c r="AM525" s="420">
        <f t="shared" si="168"/>
        <v>0</v>
      </c>
      <c r="AN525" s="420">
        <f t="shared" si="168"/>
        <v>0</v>
      </c>
      <c r="AO525" s="420">
        <f t="shared" si="168"/>
        <v>0</v>
      </c>
      <c r="AP525" s="420">
        <f t="shared" si="168"/>
        <v>0</v>
      </c>
    </row>
    <row r="526" spans="5:42" s="88" customFormat="1" x14ac:dyDescent="0.25">
      <c r="F526" s="145" t="s">
        <v>48</v>
      </c>
      <c r="G526" s="145" t="s">
        <v>636</v>
      </c>
      <c r="H526" s="90"/>
      <c r="I526" s="90"/>
      <c r="J526" s="420">
        <f t="shared" ref="J526:AP526" si="169">J310 * J494</f>
        <v>0</v>
      </c>
      <c r="K526" s="420">
        <f t="shared" si="169"/>
        <v>0.21120711007169812</v>
      </c>
      <c r="L526" s="420">
        <f t="shared" si="169"/>
        <v>0</v>
      </c>
      <c r="M526" s="420">
        <f t="shared" si="169"/>
        <v>0</v>
      </c>
      <c r="N526" s="420">
        <f t="shared" si="169"/>
        <v>0.50596631844083284</v>
      </c>
      <c r="O526" s="420">
        <f t="shared" si="169"/>
        <v>0</v>
      </c>
      <c r="P526" s="420">
        <f t="shared" si="169"/>
        <v>0.19378763858628878</v>
      </c>
      <c r="Q526" s="420">
        <f t="shared" si="169"/>
        <v>0.18103334311496919</v>
      </c>
      <c r="R526" s="420">
        <f t="shared" si="169"/>
        <v>0.27167627775635395</v>
      </c>
      <c r="S526" s="420">
        <f t="shared" si="169"/>
        <v>1.6354270464969127</v>
      </c>
      <c r="T526" s="420">
        <f t="shared" si="169"/>
        <v>1.7267932115428042</v>
      </c>
      <c r="U526" s="420">
        <f t="shared" si="169"/>
        <v>1.2913777401034547</v>
      </c>
      <c r="V526" s="420">
        <f t="shared" si="169"/>
        <v>1.2487338160203254</v>
      </c>
      <c r="W526" s="420">
        <f t="shared" si="169"/>
        <v>1.1359456286643821</v>
      </c>
      <c r="X526" s="420">
        <f t="shared" si="169"/>
        <v>0</v>
      </c>
      <c r="Y526" s="420">
        <f t="shared" si="169"/>
        <v>0</v>
      </c>
      <c r="Z526" s="420">
        <f t="shared" si="169"/>
        <v>0</v>
      </c>
      <c r="AA526" s="420">
        <f t="shared" si="169"/>
        <v>0</v>
      </c>
      <c r="AB526" s="420">
        <f t="shared" si="169"/>
        <v>1.1131352849896714</v>
      </c>
      <c r="AC526" s="420">
        <f t="shared" si="169"/>
        <v>0</v>
      </c>
      <c r="AD526" s="420">
        <f t="shared" si="169"/>
        <v>0</v>
      </c>
      <c r="AE526" s="420">
        <f t="shared" si="169"/>
        <v>0</v>
      </c>
      <c r="AF526" s="420">
        <f t="shared" si="169"/>
        <v>0</v>
      </c>
      <c r="AG526" s="420">
        <f t="shared" si="169"/>
        <v>1.0832944268846958</v>
      </c>
      <c r="AH526" s="420">
        <f t="shared" si="169"/>
        <v>1.0832944268846958</v>
      </c>
      <c r="AI526" s="420">
        <f t="shared" si="169"/>
        <v>0</v>
      </c>
      <c r="AJ526" s="420">
        <f t="shared" si="169"/>
        <v>0</v>
      </c>
      <c r="AK526" s="420">
        <f t="shared" si="169"/>
        <v>1.0832944268846958</v>
      </c>
      <c r="AL526" s="420">
        <f t="shared" si="169"/>
        <v>1.0832944268846958</v>
      </c>
      <c r="AM526" s="420">
        <f t="shared" si="169"/>
        <v>0</v>
      </c>
      <c r="AN526" s="420">
        <f t="shared" si="169"/>
        <v>0</v>
      </c>
      <c r="AO526" s="420">
        <f t="shared" si="169"/>
        <v>1.0832944268846958</v>
      </c>
      <c r="AP526" s="420">
        <f t="shared" si="169"/>
        <v>1.0832944268846958</v>
      </c>
    </row>
    <row r="527" spans="5:42" s="88" customFormat="1" x14ac:dyDescent="0.25">
      <c r="F527" s="145" t="s">
        <v>49</v>
      </c>
      <c r="G527" s="145" t="s">
        <v>636</v>
      </c>
      <c r="H527" s="90"/>
      <c r="I527" s="90"/>
      <c r="J527" s="420">
        <f t="shared" ref="J527:AP527" si="170">J311 * J495</f>
        <v>0</v>
      </c>
      <c r="K527" s="420">
        <f t="shared" si="170"/>
        <v>0.21120711007169812</v>
      </c>
      <c r="L527" s="420">
        <f t="shared" si="170"/>
        <v>0</v>
      </c>
      <c r="M527" s="420">
        <f t="shared" si="170"/>
        <v>0</v>
      </c>
      <c r="N527" s="420">
        <f t="shared" si="170"/>
        <v>0.50596631844083284</v>
      </c>
      <c r="O527" s="420">
        <f t="shared" si="170"/>
        <v>0</v>
      </c>
      <c r="P527" s="420">
        <f t="shared" si="170"/>
        <v>0.19378763858628878</v>
      </c>
      <c r="Q527" s="420">
        <f t="shared" si="170"/>
        <v>0.18103334311496919</v>
      </c>
      <c r="R527" s="420">
        <f t="shared" si="170"/>
        <v>0.27167627775635395</v>
      </c>
      <c r="S527" s="420">
        <f t="shared" si="170"/>
        <v>1.6354270464969127</v>
      </c>
      <c r="T527" s="420">
        <f t="shared" si="170"/>
        <v>1.7267932115428042</v>
      </c>
      <c r="U527" s="420">
        <f t="shared" si="170"/>
        <v>1.2913777401034547</v>
      </c>
      <c r="V527" s="420">
        <f t="shared" si="170"/>
        <v>1.2487338160203254</v>
      </c>
      <c r="W527" s="420">
        <f t="shared" si="170"/>
        <v>1.1359456286643821</v>
      </c>
      <c r="X527" s="420">
        <f t="shared" si="170"/>
        <v>0</v>
      </c>
      <c r="Y527" s="420">
        <f t="shared" si="170"/>
        <v>0</v>
      </c>
      <c r="Z527" s="420">
        <f t="shared" si="170"/>
        <v>0</v>
      </c>
      <c r="AA527" s="420">
        <f t="shared" si="170"/>
        <v>0</v>
      </c>
      <c r="AB527" s="420">
        <f t="shared" si="170"/>
        <v>1.1131352849896714</v>
      </c>
      <c r="AC527" s="420">
        <f t="shared" si="170"/>
        <v>0</v>
      </c>
      <c r="AD527" s="420">
        <f t="shared" si="170"/>
        <v>0</v>
      </c>
      <c r="AE527" s="420">
        <f t="shared" si="170"/>
        <v>0</v>
      </c>
      <c r="AF527" s="420">
        <f t="shared" si="170"/>
        <v>0</v>
      </c>
      <c r="AG527" s="420">
        <f t="shared" si="170"/>
        <v>1.0832944268846958</v>
      </c>
      <c r="AH527" s="420">
        <f t="shared" si="170"/>
        <v>1.0832944268846958</v>
      </c>
      <c r="AI527" s="420">
        <f t="shared" si="170"/>
        <v>0</v>
      </c>
      <c r="AJ527" s="420">
        <f t="shared" si="170"/>
        <v>0</v>
      </c>
      <c r="AK527" s="420">
        <f t="shared" si="170"/>
        <v>1.0832944268846958</v>
      </c>
      <c r="AL527" s="420">
        <f t="shared" si="170"/>
        <v>1.0832944268846958</v>
      </c>
      <c r="AM527" s="420">
        <f t="shared" si="170"/>
        <v>0</v>
      </c>
      <c r="AN527" s="420">
        <f t="shared" si="170"/>
        <v>0</v>
      </c>
      <c r="AO527" s="420">
        <f t="shared" si="170"/>
        <v>1.0832944268846958</v>
      </c>
      <c r="AP527" s="420">
        <f t="shared" si="170"/>
        <v>1.0832944268846958</v>
      </c>
    </row>
    <row r="528" spans="5:42" s="88" customFormat="1" x14ac:dyDescent="0.25">
      <c r="F528" s="38" t="s">
        <v>50</v>
      </c>
      <c r="G528" s="38" t="s">
        <v>636</v>
      </c>
      <c r="H528" s="16"/>
      <c r="I528" s="16"/>
      <c r="J528" s="422">
        <f t="shared" ref="J528:AP528" si="171">J312 * J496</f>
        <v>0</v>
      </c>
      <c r="K528" s="422">
        <f t="shared" si="171"/>
        <v>0.21120711007169812</v>
      </c>
      <c r="L528" s="422">
        <f t="shared" si="171"/>
        <v>0</v>
      </c>
      <c r="M528" s="422">
        <f t="shared" si="171"/>
        <v>0</v>
      </c>
      <c r="N528" s="422">
        <f t="shared" si="171"/>
        <v>0.50596631844083284</v>
      </c>
      <c r="O528" s="422">
        <f t="shared" si="171"/>
        <v>0</v>
      </c>
      <c r="P528" s="422">
        <f t="shared" si="171"/>
        <v>0.19378763858628878</v>
      </c>
      <c r="Q528" s="422">
        <f t="shared" si="171"/>
        <v>0.18103334311496919</v>
      </c>
      <c r="R528" s="422">
        <f t="shared" si="171"/>
        <v>0.27167627775635395</v>
      </c>
      <c r="S528" s="422">
        <f t="shared" si="171"/>
        <v>1.6354270464969127</v>
      </c>
      <c r="T528" s="422">
        <f t="shared" si="171"/>
        <v>1.7267932115428042</v>
      </c>
      <c r="U528" s="422">
        <f t="shared" si="171"/>
        <v>1.2913777401034547</v>
      </c>
      <c r="V528" s="422">
        <f t="shared" si="171"/>
        <v>1.2487338160203254</v>
      </c>
      <c r="W528" s="422">
        <f t="shared" si="171"/>
        <v>1.1359456286643821</v>
      </c>
      <c r="X528" s="422">
        <f t="shared" si="171"/>
        <v>0</v>
      </c>
      <c r="Y528" s="422">
        <f t="shared" si="171"/>
        <v>0</v>
      </c>
      <c r="Z528" s="422">
        <f t="shared" si="171"/>
        <v>0</v>
      </c>
      <c r="AA528" s="422">
        <f t="shared" si="171"/>
        <v>0</v>
      </c>
      <c r="AB528" s="422">
        <f t="shared" si="171"/>
        <v>1.1131352849896714</v>
      </c>
      <c r="AC528" s="422">
        <f t="shared" si="171"/>
        <v>0</v>
      </c>
      <c r="AD528" s="422">
        <f t="shared" si="171"/>
        <v>0</v>
      </c>
      <c r="AE528" s="422">
        <f t="shared" si="171"/>
        <v>0</v>
      </c>
      <c r="AF528" s="422">
        <f t="shared" si="171"/>
        <v>0</v>
      </c>
      <c r="AG528" s="422">
        <f t="shared" si="171"/>
        <v>1.0832944268846958</v>
      </c>
      <c r="AH528" s="422">
        <f t="shared" si="171"/>
        <v>1.0832944268846958</v>
      </c>
      <c r="AI528" s="422">
        <f t="shared" si="171"/>
        <v>0</v>
      </c>
      <c r="AJ528" s="422">
        <f t="shared" si="171"/>
        <v>0</v>
      </c>
      <c r="AK528" s="422">
        <f t="shared" si="171"/>
        <v>1.0832944268846958</v>
      </c>
      <c r="AL528" s="422">
        <f t="shared" si="171"/>
        <v>1.0832944268846958</v>
      </c>
      <c r="AM528" s="422">
        <f t="shared" si="171"/>
        <v>0</v>
      </c>
      <c r="AN528" s="422">
        <f t="shared" si="171"/>
        <v>0</v>
      </c>
      <c r="AO528" s="422">
        <f t="shared" si="171"/>
        <v>1.0832944268846958</v>
      </c>
      <c r="AP528" s="422">
        <f t="shared" si="171"/>
        <v>1.0832944268846958</v>
      </c>
    </row>
    <row r="529" spans="2:44" s="88" customFormat="1" x14ac:dyDescent="0.25">
      <c r="J529" s="416"/>
      <c r="K529" s="416"/>
      <c r="L529" s="416"/>
      <c r="M529" s="416"/>
      <c r="N529" s="416"/>
      <c r="O529" s="416"/>
      <c r="P529" s="416"/>
      <c r="Q529" s="416"/>
      <c r="R529" s="416"/>
      <c r="S529" s="416"/>
      <c r="T529" s="416"/>
      <c r="U529" s="416"/>
      <c r="V529" s="416"/>
      <c r="W529" s="416"/>
      <c r="X529" s="416"/>
      <c r="Y529" s="416"/>
      <c r="Z529" s="416"/>
      <c r="AA529" s="416"/>
      <c r="AB529" s="416"/>
      <c r="AC529" s="416"/>
      <c r="AD529" s="416"/>
      <c r="AE529" s="416"/>
      <c r="AF529" s="416"/>
      <c r="AG529" s="416"/>
      <c r="AH529" s="416"/>
      <c r="AI529" s="416"/>
      <c r="AJ529" s="416"/>
      <c r="AK529" s="416"/>
      <c r="AL529" s="416"/>
      <c r="AM529" s="416"/>
      <c r="AN529" s="416"/>
      <c r="AO529" s="416"/>
      <c r="AP529" s="416"/>
    </row>
    <row r="530" spans="2:44" s="88" customFormat="1" x14ac:dyDescent="0.25">
      <c r="E530" s="87" t="s">
        <v>153</v>
      </c>
      <c r="F530" s="35"/>
      <c r="G530" s="35"/>
      <c r="J530" s="416"/>
      <c r="K530" s="416"/>
      <c r="L530" s="416"/>
      <c r="M530" s="416"/>
      <c r="N530" s="416"/>
      <c r="O530" s="416"/>
      <c r="P530" s="416"/>
      <c r="Q530" s="416"/>
      <c r="R530" s="416"/>
      <c r="S530" s="416"/>
      <c r="T530" s="416"/>
      <c r="U530" s="416"/>
      <c r="V530" s="416"/>
      <c r="W530" s="416"/>
      <c r="X530" s="416"/>
      <c r="Y530" s="416"/>
      <c r="Z530" s="416"/>
      <c r="AA530" s="416"/>
      <c r="AB530" s="416"/>
      <c r="AC530" s="416"/>
      <c r="AD530" s="416"/>
      <c r="AE530" s="416"/>
      <c r="AF530" s="416"/>
      <c r="AG530" s="416"/>
      <c r="AH530" s="416"/>
      <c r="AI530" s="416"/>
      <c r="AJ530" s="416"/>
      <c r="AK530" s="416"/>
      <c r="AL530" s="416"/>
      <c r="AM530" s="416"/>
      <c r="AN530" s="416"/>
      <c r="AO530" s="416"/>
      <c r="AP530" s="416"/>
    </row>
    <row r="531" spans="2:44" s="88" customFormat="1" x14ac:dyDescent="0.25">
      <c r="F531" s="40" t="s">
        <v>43</v>
      </c>
      <c r="G531" s="40" t="s">
        <v>636</v>
      </c>
      <c r="H531" s="13"/>
      <c r="I531" s="13"/>
      <c r="J531" s="418">
        <f t="shared" ref="J531:AP531" si="172">J315 * J488</f>
        <v>0</v>
      </c>
      <c r="K531" s="418">
        <f t="shared" si="172"/>
        <v>0</v>
      </c>
      <c r="L531" s="418">
        <f t="shared" si="172"/>
        <v>0</v>
      </c>
      <c r="M531" s="418">
        <f t="shared" si="172"/>
        <v>0</v>
      </c>
      <c r="N531" s="418">
        <f t="shared" si="172"/>
        <v>0</v>
      </c>
      <c r="O531" s="418">
        <f t="shared" si="172"/>
        <v>0</v>
      </c>
      <c r="P531" s="418">
        <f t="shared" si="172"/>
        <v>0</v>
      </c>
      <c r="Q531" s="418">
        <f t="shared" si="172"/>
        <v>0</v>
      </c>
      <c r="R531" s="418">
        <f t="shared" si="172"/>
        <v>0</v>
      </c>
      <c r="S531" s="418">
        <f t="shared" si="172"/>
        <v>0</v>
      </c>
      <c r="T531" s="418">
        <f t="shared" si="172"/>
        <v>0</v>
      </c>
      <c r="U531" s="418">
        <f t="shared" si="172"/>
        <v>0</v>
      </c>
      <c r="V531" s="418">
        <f t="shared" si="172"/>
        <v>0</v>
      </c>
      <c r="W531" s="418">
        <f t="shared" si="172"/>
        <v>0</v>
      </c>
      <c r="X531" s="418">
        <f t="shared" si="172"/>
        <v>0</v>
      </c>
      <c r="Y531" s="418">
        <f t="shared" si="172"/>
        <v>0</v>
      </c>
      <c r="Z531" s="418">
        <f t="shared" si="172"/>
        <v>0</v>
      </c>
      <c r="AA531" s="418">
        <f t="shared" si="172"/>
        <v>0</v>
      </c>
      <c r="AB531" s="418">
        <f t="shared" si="172"/>
        <v>0</v>
      </c>
      <c r="AC531" s="418">
        <f t="shared" si="172"/>
        <v>0</v>
      </c>
      <c r="AD531" s="418">
        <f t="shared" si="172"/>
        <v>0</v>
      </c>
      <c r="AE531" s="418">
        <f t="shared" si="172"/>
        <v>0</v>
      </c>
      <c r="AF531" s="418">
        <f t="shared" si="172"/>
        <v>0</v>
      </c>
      <c r="AG531" s="418">
        <f t="shared" si="172"/>
        <v>0</v>
      </c>
      <c r="AH531" s="418">
        <f t="shared" si="172"/>
        <v>0</v>
      </c>
      <c r="AI531" s="418">
        <f t="shared" si="172"/>
        <v>0</v>
      </c>
      <c r="AJ531" s="418">
        <f t="shared" si="172"/>
        <v>0</v>
      </c>
      <c r="AK531" s="418">
        <f t="shared" si="172"/>
        <v>0</v>
      </c>
      <c r="AL531" s="418">
        <f t="shared" si="172"/>
        <v>0</v>
      </c>
      <c r="AM531" s="418">
        <f t="shared" si="172"/>
        <v>0</v>
      </c>
      <c r="AN531" s="418">
        <f t="shared" si="172"/>
        <v>0</v>
      </c>
      <c r="AO531" s="418">
        <f t="shared" si="172"/>
        <v>0</v>
      </c>
      <c r="AP531" s="418">
        <f t="shared" si="172"/>
        <v>0</v>
      </c>
    </row>
    <row r="532" spans="2:44" s="88" customFormat="1" x14ac:dyDescent="0.25">
      <c r="F532" s="145" t="s">
        <v>44</v>
      </c>
      <c r="G532" s="145" t="s">
        <v>636</v>
      </c>
      <c r="H532" s="90"/>
      <c r="I532" s="90"/>
      <c r="J532" s="420">
        <f t="shared" ref="J532:AP532" si="173">J316 * J489</f>
        <v>0</v>
      </c>
      <c r="K532" s="420">
        <f t="shared" si="173"/>
        <v>0</v>
      </c>
      <c r="L532" s="420">
        <f t="shared" si="173"/>
        <v>0</v>
      </c>
      <c r="M532" s="420">
        <f t="shared" si="173"/>
        <v>0</v>
      </c>
      <c r="N532" s="420">
        <f t="shared" si="173"/>
        <v>0</v>
      </c>
      <c r="O532" s="420">
        <f t="shared" si="173"/>
        <v>0</v>
      </c>
      <c r="P532" s="420">
        <f t="shared" si="173"/>
        <v>0</v>
      </c>
      <c r="Q532" s="420">
        <f t="shared" si="173"/>
        <v>0</v>
      </c>
      <c r="R532" s="420">
        <f t="shared" si="173"/>
        <v>0</v>
      </c>
      <c r="S532" s="420">
        <f t="shared" si="173"/>
        <v>9.4418329396628205E-3</v>
      </c>
      <c r="T532" s="420">
        <f t="shared" si="173"/>
        <v>9.964381853341725E-3</v>
      </c>
      <c r="U532" s="420">
        <f t="shared" si="173"/>
        <v>7.446875955400961E-3</v>
      </c>
      <c r="V532" s="420">
        <f t="shared" si="173"/>
        <v>7.2009649387892302E-3</v>
      </c>
      <c r="W532" s="420">
        <f t="shared" si="173"/>
        <v>6.5505590858844507E-3</v>
      </c>
      <c r="X532" s="420">
        <f t="shared" si="173"/>
        <v>0</v>
      </c>
      <c r="Y532" s="420">
        <f t="shared" si="173"/>
        <v>0</v>
      </c>
      <c r="Z532" s="420">
        <f t="shared" si="173"/>
        <v>0</v>
      </c>
      <c r="AA532" s="420">
        <f t="shared" si="173"/>
        <v>0</v>
      </c>
      <c r="AB532" s="420">
        <f t="shared" si="173"/>
        <v>5.8214681131000465E-3</v>
      </c>
      <c r="AC532" s="420">
        <f t="shared" si="173"/>
        <v>0</v>
      </c>
      <c r="AD532" s="420">
        <f t="shared" si="173"/>
        <v>0</v>
      </c>
      <c r="AE532" s="420">
        <f t="shared" si="173"/>
        <v>0</v>
      </c>
      <c r="AF532" s="420">
        <f t="shared" si="173"/>
        <v>0</v>
      </c>
      <c r="AG532" s="420">
        <f t="shared" si="173"/>
        <v>6.2469399693549227E-3</v>
      </c>
      <c r="AH532" s="420">
        <f t="shared" si="173"/>
        <v>6.2469399693549227E-3</v>
      </c>
      <c r="AI532" s="420">
        <f t="shared" si="173"/>
        <v>0</v>
      </c>
      <c r="AJ532" s="420">
        <f t="shared" si="173"/>
        <v>0</v>
      </c>
      <c r="AK532" s="420">
        <f t="shared" si="173"/>
        <v>6.2469399693549227E-3</v>
      </c>
      <c r="AL532" s="420">
        <f t="shared" si="173"/>
        <v>6.2469399693549227E-3</v>
      </c>
      <c r="AM532" s="420">
        <f t="shared" si="173"/>
        <v>0</v>
      </c>
      <c r="AN532" s="420">
        <f t="shared" si="173"/>
        <v>0</v>
      </c>
      <c r="AO532" s="420">
        <f t="shared" si="173"/>
        <v>6.2469399693549227E-3</v>
      </c>
      <c r="AP532" s="420">
        <f t="shared" si="173"/>
        <v>6.2469399693549227E-3</v>
      </c>
    </row>
    <row r="533" spans="2:44" s="88" customFormat="1" x14ac:dyDescent="0.25">
      <c r="F533" s="145" t="s">
        <v>45</v>
      </c>
      <c r="G533" s="145" t="s">
        <v>636</v>
      </c>
      <c r="H533" s="90"/>
      <c r="I533" s="90"/>
      <c r="J533" s="420">
        <f t="shared" ref="J533:AP533" si="174">J317 * J490</f>
        <v>0</v>
      </c>
      <c r="K533" s="420">
        <f t="shared" si="174"/>
        <v>0</v>
      </c>
      <c r="L533" s="420">
        <f t="shared" si="174"/>
        <v>0</v>
      </c>
      <c r="M533" s="420">
        <f t="shared" si="174"/>
        <v>0</v>
      </c>
      <c r="N533" s="420">
        <f t="shared" si="174"/>
        <v>0</v>
      </c>
      <c r="O533" s="420">
        <f t="shared" si="174"/>
        <v>0</v>
      </c>
      <c r="P533" s="420">
        <f t="shared" si="174"/>
        <v>0</v>
      </c>
      <c r="Q533" s="420">
        <f t="shared" si="174"/>
        <v>0</v>
      </c>
      <c r="R533" s="420">
        <f t="shared" si="174"/>
        <v>0</v>
      </c>
      <c r="S533" s="420">
        <f t="shared" si="174"/>
        <v>9.4418329396628205E-3</v>
      </c>
      <c r="T533" s="420">
        <f t="shared" si="174"/>
        <v>9.964381853341725E-3</v>
      </c>
      <c r="U533" s="420">
        <f t="shared" si="174"/>
        <v>7.446875955400961E-3</v>
      </c>
      <c r="V533" s="420">
        <f t="shared" si="174"/>
        <v>7.2009649387892302E-3</v>
      </c>
      <c r="W533" s="420">
        <f t="shared" si="174"/>
        <v>6.5505590858844507E-3</v>
      </c>
      <c r="X533" s="420">
        <f t="shared" si="174"/>
        <v>0</v>
      </c>
      <c r="Y533" s="420">
        <f t="shared" si="174"/>
        <v>0</v>
      </c>
      <c r="Z533" s="420">
        <f t="shared" si="174"/>
        <v>0</v>
      </c>
      <c r="AA533" s="420">
        <f t="shared" si="174"/>
        <v>0</v>
      </c>
      <c r="AB533" s="420">
        <f t="shared" si="174"/>
        <v>5.8214681131000465E-3</v>
      </c>
      <c r="AC533" s="420">
        <f t="shared" si="174"/>
        <v>0</v>
      </c>
      <c r="AD533" s="420">
        <f t="shared" si="174"/>
        <v>0</v>
      </c>
      <c r="AE533" s="420">
        <f t="shared" si="174"/>
        <v>0</v>
      </c>
      <c r="AF533" s="420">
        <f t="shared" si="174"/>
        <v>0</v>
      </c>
      <c r="AG533" s="420">
        <f t="shared" si="174"/>
        <v>6.2469399693549227E-3</v>
      </c>
      <c r="AH533" s="420">
        <f t="shared" si="174"/>
        <v>6.2469399693549227E-3</v>
      </c>
      <c r="AI533" s="420">
        <f t="shared" si="174"/>
        <v>0</v>
      </c>
      <c r="AJ533" s="420">
        <f t="shared" si="174"/>
        <v>0</v>
      </c>
      <c r="AK533" s="420">
        <f t="shared" si="174"/>
        <v>6.2469399693549227E-3</v>
      </c>
      <c r="AL533" s="420">
        <f t="shared" si="174"/>
        <v>6.2469399693549227E-3</v>
      </c>
      <c r="AM533" s="420">
        <f t="shared" si="174"/>
        <v>0</v>
      </c>
      <c r="AN533" s="420">
        <f t="shared" si="174"/>
        <v>0</v>
      </c>
      <c r="AO533" s="420">
        <f t="shared" si="174"/>
        <v>6.2469399693549227E-3</v>
      </c>
      <c r="AP533" s="420">
        <f t="shared" si="174"/>
        <v>6.2469399693549227E-3</v>
      </c>
    </row>
    <row r="534" spans="2:44" s="88" customFormat="1" x14ac:dyDescent="0.25">
      <c r="F534" s="145" t="s">
        <v>46</v>
      </c>
      <c r="G534" s="145" t="s">
        <v>636</v>
      </c>
      <c r="H534" s="90"/>
      <c r="I534" s="90"/>
      <c r="J534" s="420">
        <f t="shared" ref="J534:AP534" si="175">J318 * J491</f>
        <v>0</v>
      </c>
      <c r="K534" s="420">
        <f t="shared" si="175"/>
        <v>0</v>
      </c>
      <c r="L534" s="420">
        <f t="shared" si="175"/>
        <v>0</v>
      </c>
      <c r="M534" s="420">
        <f t="shared" si="175"/>
        <v>0</v>
      </c>
      <c r="N534" s="420">
        <f t="shared" si="175"/>
        <v>0</v>
      </c>
      <c r="O534" s="420">
        <f t="shared" si="175"/>
        <v>0</v>
      </c>
      <c r="P534" s="420">
        <f t="shared" si="175"/>
        <v>0</v>
      </c>
      <c r="Q534" s="420">
        <f t="shared" si="175"/>
        <v>0</v>
      </c>
      <c r="R534" s="420">
        <f t="shared" si="175"/>
        <v>0</v>
      </c>
      <c r="S534" s="420">
        <f t="shared" si="175"/>
        <v>5.3573150583291269E-2</v>
      </c>
      <c r="T534" s="420">
        <f t="shared" si="175"/>
        <v>5.6548161463216659E-2</v>
      </c>
      <c r="U534" s="420">
        <f t="shared" si="175"/>
        <v>4.2273882685810504E-2</v>
      </c>
      <c r="V534" s="420">
        <f t="shared" si="175"/>
        <v>4.0877912949017305E-2</v>
      </c>
      <c r="W534" s="420">
        <f t="shared" si="175"/>
        <v>3.7185736405654868E-2</v>
      </c>
      <c r="X534" s="420">
        <f t="shared" si="175"/>
        <v>0</v>
      </c>
      <c r="Y534" s="420">
        <f t="shared" si="175"/>
        <v>0</v>
      </c>
      <c r="Z534" s="420">
        <f t="shared" si="175"/>
        <v>0</v>
      </c>
      <c r="AA534" s="420">
        <f t="shared" si="175"/>
        <v>0</v>
      </c>
      <c r="AB534" s="420">
        <f t="shared" si="175"/>
        <v>3.3046885908431585E-2</v>
      </c>
      <c r="AC534" s="420">
        <f t="shared" si="175"/>
        <v>0</v>
      </c>
      <c r="AD534" s="420">
        <f t="shared" si="175"/>
        <v>0</v>
      </c>
      <c r="AE534" s="420">
        <f t="shared" si="175"/>
        <v>0</v>
      </c>
      <c r="AF534" s="420">
        <f t="shared" si="175"/>
        <v>0</v>
      </c>
      <c r="AG534" s="420">
        <f t="shared" si="175"/>
        <v>3.5462173533088177E-2</v>
      </c>
      <c r="AH534" s="420">
        <f t="shared" si="175"/>
        <v>3.5462173533088177E-2</v>
      </c>
      <c r="AI534" s="420">
        <f t="shared" si="175"/>
        <v>0</v>
      </c>
      <c r="AJ534" s="420">
        <f t="shared" si="175"/>
        <v>0</v>
      </c>
      <c r="AK534" s="420">
        <f t="shared" si="175"/>
        <v>3.5462173533088177E-2</v>
      </c>
      <c r="AL534" s="420">
        <f t="shared" si="175"/>
        <v>3.5462173533088177E-2</v>
      </c>
      <c r="AM534" s="420">
        <f t="shared" si="175"/>
        <v>0</v>
      </c>
      <c r="AN534" s="420">
        <f t="shared" si="175"/>
        <v>0</v>
      </c>
      <c r="AO534" s="420">
        <f t="shared" si="175"/>
        <v>3.5462173533088177E-2</v>
      </c>
      <c r="AP534" s="420">
        <f t="shared" si="175"/>
        <v>3.5462173533088177E-2</v>
      </c>
    </row>
    <row r="535" spans="2:44" s="88" customFormat="1" x14ac:dyDescent="0.25">
      <c r="F535" s="145" t="s">
        <v>47</v>
      </c>
      <c r="G535" s="145" t="s">
        <v>636</v>
      </c>
      <c r="H535" s="90"/>
      <c r="I535" s="90"/>
      <c r="J535" s="420">
        <f t="shared" ref="J535:AP535" si="176">J319 * J492</f>
        <v>0</v>
      </c>
      <c r="K535" s="420">
        <f t="shared" si="176"/>
        <v>0</v>
      </c>
      <c r="L535" s="420">
        <f t="shared" si="176"/>
        <v>0</v>
      </c>
      <c r="M535" s="420">
        <f t="shared" si="176"/>
        <v>0</v>
      </c>
      <c r="N535" s="420">
        <f t="shared" si="176"/>
        <v>0</v>
      </c>
      <c r="O535" s="420">
        <f t="shared" si="176"/>
        <v>0</v>
      </c>
      <c r="P535" s="420">
        <f t="shared" si="176"/>
        <v>0</v>
      </c>
      <c r="Q535" s="420">
        <f t="shared" si="176"/>
        <v>0</v>
      </c>
      <c r="R535" s="420">
        <f t="shared" si="176"/>
        <v>0</v>
      </c>
      <c r="S535" s="420">
        <f t="shared" si="176"/>
        <v>5.3573150583291269E-2</v>
      </c>
      <c r="T535" s="420">
        <f t="shared" si="176"/>
        <v>5.6548161463216659E-2</v>
      </c>
      <c r="U535" s="420">
        <f t="shared" si="176"/>
        <v>4.2273882685810504E-2</v>
      </c>
      <c r="V535" s="420">
        <f t="shared" si="176"/>
        <v>4.0877912949017305E-2</v>
      </c>
      <c r="W535" s="420">
        <f t="shared" si="176"/>
        <v>3.7185736405654868E-2</v>
      </c>
      <c r="X535" s="420">
        <f t="shared" si="176"/>
        <v>0</v>
      </c>
      <c r="Y535" s="420">
        <f t="shared" si="176"/>
        <v>0</v>
      </c>
      <c r="Z535" s="420">
        <f t="shared" si="176"/>
        <v>0</v>
      </c>
      <c r="AA535" s="420">
        <f t="shared" si="176"/>
        <v>0</v>
      </c>
      <c r="AB535" s="420">
        <f t="shared" si="176"/>
        <v>3.3046885908431585E-2</v>
      </c>
      <c r="AC535" s="420">
        <f t="shared" si="176"/>
        <v>0</v>
      </c>
      <c r="AD535" s="420">
        <f t="shared" si="176"/>
        <v>0</v>
      </c>
      <c r="AE535" s="420">
        <f t="shared" si="176"/>
        <v>0</v>
      </c>
      <c r="AF535" s="420">
        <f t="shared" si="176"/>
        <v>0</v>
      </c>
      <c r="AG535" s="420">
        <f t="shared" si="176"/>
        <v>3.5462173533088177E-2</v>
      </c>
      <c r="AH535" s="420">
        <f t="shared" si="176"/>
        <v>3.5462173533088177E-2</v>
      </c>
      <c r="AI535" s="420">
        <f t="shared" si="176"/>
        <v>0</v>
      </c>
      <c r="AJ535" s="420">
        <f t="shared" si="176"/>
        <v>0</v>
      </c>
      <c r="AK535" s="420">
        <f t="shared" si="176"/>
        <v>3.5462173533088177E-2</v>
      </c>
      <c r="AL535" s="420">
        <f t="shared" si="176"/>
        <v>3.5462173533088177E-2</v>
      </c>
      <c r="AM535" s="420">
        <f t="shared" si="176"/>
        <v>0</v>
      </c>
      <c r="AN535" s="420">
        <f t="shared" si="176"/>
        <v>0</v>
      </c>
      <c r="AO535" s="420">
        <f t="shared" si="176"/>
        <v>3.5462173533088177E-2</v>
      </c>
      <c r="AP535" s="420">
        <f t="shared" si="176"/>
        <v>3.5462173533088177E-2</v>
      </c>
    </row>
    <row r="536" spans="2:44" s="88" customFormat="1" x14ac:dyDescent="0.25">
      <c r="F536" s="145" t="s">
        <v>51</v>
      </c>
      <c r="G536" s="145" t="s">
        <v>636</v>
      </c>
      <c r="H536" s="90"/>
      <c r="I536" s="90"/>
      <c r="J536" s="420">
        <f t="shared" ref="J536:AP536" si="177">J320 * J493</f>
        <v>0</v>
      </c>
      <c r="K536" s="420">
        <f t="shared" si="177"/>
        <v>0</v>
      </c>
      <c r="L536" s="420">
        <f t="shared" si="177"/>
        <v>0</v>
      </c>
      <c r="M536" s="420">
        <f t="shared" si="177"/>
        <v>0</v>
      </c>
      <c r="N536" s="420">
        <f t="shared" si="177"/>
        <v>0</v>
      </c>
      <c r="O536" s="420">
        <f t="shared" si="177"/>
        <v>0</v>
      </c>
      <c r="P536" s="420">
        <f t="shared" si="177"/>
        <v>0</v>
      </c>
      <c r="Q536" s="420">
        <f t="shared" si="177"/>
        <v>0</v>
      </c>
      <c r="R536" s="420">
        <f t="shared" si="177"/>
        <v>0</v>
      </c>
      <c r="S536" s="420">
        <f t="shared" si="177"/>
        <v>0</v>
      </c>
      <c r="T536" s="420">
        <f t="shared" si="177"/>
        <v>0</v>
      </c>
      <c r="U536" s="420">
        <f t="shared" si="177"/>
        <v>0</v>
      </c>
      <c r="V536" s="420">
        <f t="shared" si="177"/>
        <v>0</v>
      </c>
      <c r="W536" s="420">
        <f t="shared" si="177"/>
        <v>0</v>
      </c>
      <c r="X536" s="420">
        <f t="shared" si="177"/>
        <v>0</v>
      </c>
      <c r="Y536" s="420">
        <f t="shared" si="177"/>
        <v>0</v>
      </c>
      <c r="Z536" s="420">
        <f t="shared" si="177"/>
        <v>0</v>
      </c>
      <c r="AA536" s="420">
        <f t="shared" si="177"/>
        <v>0</v>
      </c>
      <c r="AB536" s="420">
        <f t="shared" si="177"/>
        <v>0</v>
      </c>
      <c r="AC536" s="420">
        <f t="shared" si="177"/>
        <v>0</v>
      </c>
      <c r="AD536" s="420">
        <f t="shared" si="177"/>
        <v>0</v>
      </c>
      <c r="AE536" s="420">
        <f t="shared" si="177"/>
        <v>0</v>
      </c>
      <c r="AF536" s="420">
        <f t="shared" si="177"/>
        <v>0</v>
      </c>
      <c r="AG536" s="420">
        <f t="shared" si="177"/>
        <v>0</v>
      </c>
      <c r="AH536" s="420">
        <f t="shared" si="177"/>
        <v>0</v>
      </c>
      <c r="AI536" s="420">
        <f t="shared" si="177"/>
        <v>0</v>
      </c>
      <c r="AJ536" s="420">
        <f t="shared" si="177"/>
        <v>0</v>
      </c>
      <c r="AK536" s="420">
        <f t="shared" si="177"/>
        <v>0</v>
      </c>
      <c r="AL536" s="420">
        <f t="shared" si="177"/>
        <v>0</v>
      </c>
      <c r="AM536" s="420">
        <f t="shared" si="177"/>
        <v>0</v>
      </c>
      <c r="AN536" s="420">
        <f t="shared" si="177"/>
        <v>0</v>
      </c>
      <c r="AO536" s="420">
        <f t="shared" si="177"/>
        <v>0</v>
      </c>
      <c r="AP536" s="420">
        <f t="shared" si="177"/>
        <v>0</v>
      </c>
    </row>
    <row r="537" spans="2:44" s="88" customFormat="1" x14ac:dyDescent="0.25">
      <c r="F537" s="145" t="s">
        <v>48</v>
      </c>
      <c r="G537" s="145" t="s">
        <v>636</v>
      </c>
      <c r="H537" s="90"/>
      <c r="I537" s="90"/>
      <c r="J537" s="420">
        <f t="shared" ref="J537:AP537" si="178">J321 * J494</f>
        <v>0</v>
      </c>
      <c r="K537" s="420">
        <f t="shared" si="178"/>
        <v>0</v>
      </c>
      <c r="L537" s="420">
        <f t="shared" si="178"/>
        <v>0</v>
      </c>
      <c r="M537" s="420">
        <f t="shared" si="178"/>
        <v>0</v>
      </c>
      <c r="N537" s="420">
        <f t="shared" si="178"/>
        <v>0</v>
      </c>
      <c r="O537" s="420">
        <f t="shared" si="178"/>
        <v>0</v>
      </c>
      <c r="P537" s="420">
        <f t="shared" si="178"/>
        <v>0</v>
      </c>
      <c r="Q537" s="420">
        <f t="shared" si="178"/>
        <v>0</v>
      </c>
      <c r="R537" s="420">
        <f t="shared" si="178"/>
        <v>0</v>
      </c>
      <c r="S537" s="420">
        <f t="shared" si="178"/>
        <v>0.11661995498397386</v>
      </c>
      <c r="T537" s="420">
        <f t="shared" si="178"/>
        <v>0.12313514505468563</v>
      </c>
      <c r="U537" s="420">
        <f t="shared" si="178"/>
        <v>9.2086292837554012E-2</v>
      </c>
      <c r="V537" s="420">
        <f t="shared" si="178"/>
        <v>8.904541582774364E-2</v>
      </c>
      <c r="W537" s="420">
        <f t="shared" si="178"/>
        <v>8.1002652098020184E-2</v>
      </c>
      <c r="X537" s="420">
        <f t="shared" si="178"/>
        <v>0</v>
      </c>
      <c r="Y537" s="420">
        <f t="shared" si="178"/>
        <v>0</v>
      </c>
      <c r="Z537" s="420">
        <f t="shared" si="178"/>
        <v>0</v>
      </c>
      <c r="AA537" s="420">
        <f t="shared" si="178"/>
        <v>0</v>
      </c>
      <c r="AB537" s="420">
        <f t="shared" si="178"/>
        <v>7.1986886933253599E-2</v>
      </c>
      <c r="AC537" s="420">
        <f t="shared" si="178"/>
        <v>0</v>
      </c>
      <c r="AD537" s="420">
        <f t="shared" si="178"/>
        <v>0</v>
      </c>
      <c r="AE537" s="420">
        <f t="shared" si="178"/>
        <v>0</v>
      </c>
      <c r="AF537" s="420">
        <f t="shared" si="178"/>
        <v>0</v>
      </c>
      <c r="AG537" s="420">
        <f t="shared" si="178"/>
        <v>7.7248170481398148E-2</v>
      </c>
      <c r="AH537" s="420">
        <f t="shared" si="178"/>
        <v>7.7248170481398148E-2</v>
      </c>
      <c r="AI537" s="420">
        <f t="shared" si="178"/>
        <v>0</v>
      </c>
      <c r="AJ537" s="420">
        <f t="shared" si="178"/>
        <v>0</v>
      </c>
      <c r="AK537" s="420">
        <f t="shared" si="178"/>
        <v>7.7248170481398148E-2</v>
      </c>
      <c r="AL537" s="420">
        <f t="shared" si="178"/>
        <v>7.7248170481398148E-2</v>
      </c>
      <c r="AM537" s="420">
        <f t="shared" si="178"/>
        <v>0</v>
      </c>
      <c r="AN537" s="420">
        <f t="shared" si="178"/>
        <v>0</v>
      </c>
      <c r="AO537" s="420">
        <f t="shared" si="178"/>
        <v>7.7248170481398148E-2</v>
      </c>
      <c r="AP537" s="420">
        <f t="shared" si="178"/>
        <v>7.7248170481398148E-2</v>
      </c>
    </row>
    <row r="538" spans="2:44" s="88" customFormat="1" x14ac:dyDescent="0.25">
      <c r="F538" s="145" t="s">
        <v>49</v>
      </c>
      <c r="G538" s="145" t="s">
        <v>636</v>
      </c>
      <c r="H538" s="90"/>
      <c r="I538" s="90"/>
      <c r="J538" s="420">
        <f t="shared" ref="J538:AP538" si="179">J322 * J495</f>
        <v>0</v>
      </c>
      <c r="K538" s="420">
        <f t="shared" si="179"/>
        <v>0</v>
      </c>
      <c r="L538" s="420">
        <f t="shared" si="179"/>
        <v>0</v>
      </c>
      <c r="M538" s="420">
        <f t="shared" si="179"/>
        <v>0</v>
      </c>
      <c r="N538" s="420">
        <f t="shared" si="179"/>
        <v>0</v>
      </c>
      <c r="O538" s="420">
        <f t="shared" si="179"/>
        <v>0</v>
      </c>
      <c r="P538" s="420">
        <f t="shared" si="179"/>
        <v>0</v>
      </c>
      <c r="Q538" s="420">
        <f t="shared" si="179"/>
        <v>0</v>
      </c>
      <c r="R538" s="420">
        <f t="shared" si="179"/>
        <v>0</v>
      </c>
      <c r="S538" s="420">
        <f t="shared" si="179"/>
        <v>0.11661995498397386</v>
      </c>
      <c r="T538" s="420">
        <f t="shared" si="179"/>
        <v>0.12313514505468563</v>
      </c>
      <c r="U538" s="420">
        <f t="shared" si="179"/>
        <v>9.2086292837554012E-2</v>
      </c>
      <c r="V538" s="420">
        <f t="shared" si="179"/>
        <v>8.904541582774364E-2</v>
      </c>
      <c r="W538" s="420">
        <f t="shared" si="179"/>
        <v>8.1002652098020184E-2</v>
      </c>
      <c r="X538" s="420">
        <f t="shared" si="179"/>
        <v>0</v>
      </c>
      <c r="Y538" s="420">
        <f t="shared" si="179"/>
        <v>0</v>
      </c>
      <c r="Z538" s="420">
        <f t="shared" si="179"/>
        <v>0</v>
      </c>
      <c r="AA538" s="420">
        <f t="shared" si="179"/>
        <v>0</v>
      </c>
      <c r="AB538" s="420">
        <f t="shared" si="179"/>
        <v>7.1986886933253599E-2</v>
      </c>
      <c r="AC538" s="420">
        <f t="shared" si="179"/>
        <v>0</v>
      </c>
      <c r="AD538" s="420">
        <f t="shared" si="179"/>
        <v>0</v>
      </c>
      <c r="AE538" s="420">
        <f t="shared" si="179"/>
        <v>0</v>
      </c>
      <c r="AF538" s="420">
        <f t="shared" si="179"/>
        <v>0</v>
      </c>
      <c r="AG538" s="420">
        <f t="shared" si="179"/>
        <v>7.7248170481398148E-2</v>
      </c>
      <c r="AH538" s="420">
        <f t="shared" si="179"/>
        <v>7.7248170481398148E-2</v>
      </c>
      <c r="AI538" s="420">
        <f t="shared" si="179"/>
        <v>0</v>
      </c>
      <c r="AJ538" s="420">
        <f t="shared" si="179"/>
        <v>0</v>
      </c>
      <c r="AK538" s="420">
        <f t="shared" si="179"/>
        <v>7.7248170481398148E-2</v>
      </c>
      <c r="AL538" s="420">
        <f t="shared" si="179"/>
        <v>7.7248170481398148E-2</v>
      </c>
      <c r="AM538" s="420">
        <f t="shared" si="179"/>
        <v>0</v>
      </c>
      <c r="AN538" s="420">
        <f t="shared" si="179"/>
        <v>0</v>
      </c>
      <c r="AO538" s="420">
        <f t="shared" si="179"/>
        <v>7.7248170481398148E-2</v>
      </c>
      <c r="AP538" s="420">
        <f t="shared" si="179"/>
        <v>7.7248170481398148E-2</v>
      </c>
    </row>
    <row r="539" spans="2:44" s="88" customFormat="1" x14ac:dyDescent="0.25">
      <c r="F539" s="38" t="s">
        <v>50</v>
      </c>
      <c r="G539" s="38" t="s">
        <v>636</v>
      </c>
      <c r="H539" s="16"/>
      <c r="I539" s="16"/>
      <c r="J539" s="422">
        <f t="shared" ref="J539:AP539" si="180">J323 * J496</f>
        <v>0</v>
      </c>
      <c r="K539" s="422">
        <f t="shared" si="180"/>
        <v>0</v>
      </c>
      <c r="L539" s="422">
        <f t="shared" si="180"/>
        <v>0</v>
      </c>
      <c r="M539" s="422">
        <f t="shared" si="180"/>
        <v>0</v>
      </c>
      <c r="N539" s="422">
        <f t="shared" si="180"/>
        <v>0</v>
      </c>
      <c r="O539" s="422">
        <f t="shared" si="180"/>
        <v>0</v>
      </c>
      <c r="P539" s="422">
        <f t="shared" si="180"/>
        <v>0</v>
      </c>
      <c r="Q539" s="422">
        <f t="shared" si="180"/>
        <v>0</v>
      </c>
      <c r="R539" s="422">
        <f t="shared" si="180"/>
        <v>0</v>
      </c>
      <c r="S539" s="422">
        <f t="shared" si="180"/>
        <v>0.11661995498397386</v>
      </c>
      <c r="T539" s="422">
        <f t="shared" si="180"/>
        <v>0.12313514505468563</v>
      </c>
      <c r="U539" s="422">
        <f t="shared" si="180"/>
        <v>9.2086292837554012E-2</v>
      </c>
      <c r="V539" s="422">
        <f t="shared" si="180"/>
        <v>8.904541582774364E-2</v>
      </c>
      <c r="W539" s="422">
        <f t="shared" si="180"/>
        <v>8.1002652098020184E-2</v>
      </c>
      <c r="X539" s="422">
        <f t="shared" si="180"/>
        <v>0</v>
      </c>
      <c r="Y539" s="422">
        <f t="shared" si="180"/>
        <v>0</v>
      </c>
      <c r="Z539" s="422">
        <f t="shared" si="180"/>
        <v>0</v>
      </c>
      <c r="AA539" s="422">
        <f t="shared" si="180"/>
        <v>0</v>
      </c>
      <c r="AB539" s="422">
        <f t="shared" si="180"/>
        <v>7.1986886933253599E-2</v>
      </c>
      <c r="AC539" s="422">
        <f t="shared" si="180"/>
        <v>0</v>
      </c>
      <c r="AD539" s="422">
        <f t="shared" si="180"/>
        <v>0</v>
      </c>
      <c r="AE539" s="422">
        <f t="shared" si="180"/>
        <v>0</v>
      </c>
      <c r="AF539" s="422">
        <f t="shared" si="180"/>
        <v>0</v>
      </c>
      <c r="AG539" s="422">
        <f t="shared" si="180"/>
        <v>7.7248170481398148E-2</v>
      </c>
      <c r="AH539" s="422">
        <f t="shared" si="180"/>
        <v>7.7248170481398148E-2</v>
      </c>
      <c r="AI539" s="422">
        <f t="shared" si="180"/>
        <v>0</v>
      </c>
      <c r="AJ539" s="422">
        <f t="shared" si="180"/>
        <v>0</v>
      </c>
      <c r="AK539" s="422">
        <f t="shared" si="180"/>
        <v>7.7248170481398148E-2</v>
      </c>
      <c r="AL539" s="422">
        <f t="shared" si="180"/>
        <v>7.7248170481398148E-2</v>
      </c>
      <c r="AM539" s="422">
        <f t="shared" si="180"/>
        <v>0</v>
      </c>
      <c r="AN539" s="422">
        <f t="shared" si="180"/>
        <v>0</v>
      </c>
      <c r="AO539" s="422">
        <f t="shared" si="180"/>
        <v>7.7248170481398148E-2</v>
      </c>
      <c r="AP539" s="422">
        <f t="shared" si="180"/>
        <v>7.7248170481398148E-2</v>
      </c>
    </row>
    <row r="540" spans="2:44" s="88" customFormat="1" x14ac:dyDescent="0.25">
      <c r="E540" s="160"/>
    </row>
    <row r="541" spans="2:44" s="160" customFormat="1" x14ac:dyDescent="0.25">
      <c r="B541" s="171" t="s">
        <v>126</v>
      </c>
      <c r="C541" s="171"/>
      <c r="D541" s="171"/>
      <c r="E541" s="171"/>
      <c r="F541" s="171"/>
      <c r="G541" s="171"/>
      <c r="H541" s="171"/>
      <c r="I541" s="171"/>
      <c r="J541" s="171"/>
      <c r="K541" s="171"/>
      <c r="L541" s="171"/>
      <c r="M541" s="171"/>
      <c r="N541" s="171"/>
      <c r="O541" s="171"/>
      <c r="P541" s="171"/>
      <c r="Q541" s="171"/>
      <c r="R541" s="171"/>
      <c r="S541" s="171"/>
      <c r="T541" s="171"/>
      <c r="U541" s="171"/>
      <c r="V541" s="171"/>
      <c r="W541" s="171"/>
      <c r="X541" s="171"/>
      <c r="Y541" s="171"/>
      <c r="Z541" s="171"/>
      <c r="AA541" s="171"/>
      <c r="AB541" s="171"/>
      <c r="AC541" s="171"/>
      <c r="AD541" s="171"/>
      <c r="AE541" s="171"/>
      <c r="AF541" s="171"/>
      <c r="AG541" s="171"/>
      <c r="AH541" s="171"/>
      <c r="AI541" s="171"/>
      <c r="AJ541" s="171"/>
      <c r="AK541" s="171"/>
      <c r="AL541" s="171"/>
      <c r="AM541" s="171"/>
      <c r="AN541" s="171"/>
      <c r="AO541" s="171"/>
      <c r="AP541" s="171"/>
      <c r="AQ541" s="171"/>
      <c r="AR541" s="171"/>
    </row>
    <row r="542" spans="2:44" s="160" customFormat="1" x14ac:dyDescent="0.25"/>
    <row r="543" spans="2:44" s="160" customFormat="1" x14ac:dyDescent="0.25">
      <c r="E543" s="160" t="s">
        <v>622</v>
      </c>
      <c r="G543" s="111" t="s">
        <v>814</v>
      </c>
      <c r="H543" s="362">
        <f t="array" ref="H543">SUM(IF(ISERROR(H24:AP539), 1))</f>
        <v>0</v>
      </c>
    </row>
    <row r="544" spans="2:44" s="160" customFormat="1" x14ac:dyDescent="0.25"/>
    <row r="545" spans="2:44" s="88" customFormat="1" x14ac:dyDescent="0.25">
      <c r="B545" s="34" t="s">
        <v>127</v>
      </c>
      <c r="C545" s="34"/>
      <c r="D545" s="34"/>
      <c r="E545" s="171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  <c r="AA545" s="34"/>
      <c r="AB545" s="34"/>
      <c r="AC545" s="34"/>
      <c r="AD545" s="34"/>
      <c r="AE545" s="34"/>
      <c r="AF545" s="34"/>
      <c r="AG545" s="34"/>
      <c r="AH545" s="34"/>
      <c r="AI545" s="34"/>
      <c r="AJ545" s="34"/>
      <c r="AK545" s="34"/>
      <c r="AL545" s="34"/>
      <c r="AM545" s="34"/>
      <c r="AN545" s="34"/>
      <c r="AO545" s="34"/>
      <c r="AP545" s="34"/>
      <c r="AQ545" s="171"/>
      <c r="AR545" s="34"/>
    </row>
    <row r="546" spans="2:44" s="88" customFormat="1" x14ac:dyDescent="0.25">
      <c r="E546" s="160"/>
    </row>
  </sheetData>
  <sheetProtection sheet="1" objects="1" formatCells="0" formatColumns="0" formatRows="0" sort="0" autoFilter="0"/>
  <conditionalFormatting sqref="H543">
    <cfRule type="cellIs" dxfId="43" priority="2" operator="greaterThan">
      <formula>0</formula>
    </cfRule>
  </conditionalFormatting>
  <conditionalFormatting sqref="A4:XFD4">
    <cfRule type="expression" dxfId="42" priority="1">
      <formula>LEFT($A$4,1) &lt;&gt; "0"</formula>
    </cfRule>
  </conditionalFormatting>
  <hyperlinks>
    <hyperlink ref="B5:F5" location="'Model map'!A1" display="Click here to return to model map"/>
  </hyperlinks>
  <pageMargins left="0.7" right="0.7" top="0.75" bottom="0.75" header="0.3" footer="0.3"/>
  <pageSetup paperSize="9" fitToHeight="0" orientation="portrait" r:id="rId1"/>
  <headerFooter>
    <oddHeader>&amp;L&amp;A&amp;C&amp;R&amp;P of &amp;N</oddHeader>
    <oddFooter>&amp;F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4" tint="0.59999389629810485"/>
    <pageSetUpPr fitToPage="1"/>
  </sheetPr>
  <dimension ref="A1:KR320"/>
  <sheetViews>
    <sheetView showGridLines="0" zoomScale="80" zoomScaleNormal="80" workbookViewId="0">
      <pane xSplit="9" ySplit="5" topLeftCell="J6" activePane="bottomRight" state="frozen"/>
      <selection activeCell="N50" sqref="N50"/>
      <selection pane="topRight" activeCell="N50" sqref="N50"/>
      <selection pane="bottomLeft" activeCell="N50" sqref="N50"/>
      <selection pane="bottomRight" activeCell="J6" sqref="J6"/>
    </sheetView>
  </sheetViews>
  <sheetFormatPr defaultColWidth="0" defaultRowHeight="15" x14ac:dyDescent="0.25"/>
  <cols>
    <col min="1" max="4" width="2.7109375" style="131" customWidth="1"/>
    <col min="5" max="5" width="2.7109375" style="160" customWidth="1"/>
    <col min="6" max="6" width="59.5703125" style="131" customWidth="1"/>
    <col min="7" max="8" width="20.7109375" style="131" customWidth="1"/>
    <col min="9" max="9" width="2.28515625" style="131" customWidth="1"/>
    <col min="10" max="42" width="17" style="131" customWidth="1"/>
    <col min="43" max="43" width="2.28515625" style="131" customWidth="1"/>
    <col min="44" max="44" width="50.7109375" style="131" customWidth="1"/>
    <col min="45" max="45" width="2.28515625" style="131" customWidth="1"/>
    <col min="46" max="58" width="17" style="131" hidden="1" customWidth="1"/>
    <col min="59" max="59" width="3.7109375" style="131" hidden="1" customWidth="1"/>
    <col min="60" max="60" width="18.28515625" style="131" hidden="1" customWidth="1"/>
    <col min="61" max="61" width="4.28515625" style="131" hidden="1" customWidth="1"/>
    <col min="62" max="62" width="24.7109375" style="131" hidden="1" customWidth="1"/>
    <col min="63" max="63" width="3.5703125" style="131" hidden="1" customWidth="1"/>
    <col min="64" max="64" width="15.42578125" style="131" hidden="1" customWidth="1"/>
    <col min="65" max="304" width="24.7109375" style="131" hidden="1" customWidth="1"/>
    <col min="305" max="16384" width="8.85546875" style="131" hidden="1"/>
  </cols>
  <sheetData>
    <row r="1" spans="1:97" s="25" customFormat="1" x14ac:dyDescent="0.25">
      <c r="A1" s="25" t="str">
        <f ca="1">MID(CELL("filename",A1),FIND("]",CELL("filename",A1))+1,255)</f>
        <v>System peak demand</v>
      </c>
    </row>
    <row r="2" spans="1:97" s="25" customFormat="1" x14ac:dyDescent="0.25">
      <c r="A2" s="25" t="str">
        <f>Cover!D21&amp;" - "&amp;Cover!D23</f>
        <v>SEPD - Final</v>
      </c>
    </row>
    <row r="3" spans="1:97" s="97" customFormat="1" x14ac:dyDescent="0.25">
      <c r="A3" s="97" t="str">
        <f>Cover!D2&amp;" - "&amp;Cover!D8&amp;" v"&amp;Cover!D10&amp;" - "&amp;Cover!D19</f>
        <v>ARP model - Release for charge setting v3 - 2020/21</v>
      </c>
    </row>
    <row r="4" spans="1:97" s="338" customFormat="1" x14ac:dyDescent="0.25">
      <c r="A4" s="392" t="str">
        <f>H281 &amp; IF(H281 = 1, " issue", " issues") &amp;" identified in checks on this sheet"</f>
        <v>0 issues identified in checks on this sheet</v>
      </c>
      <c r="B4" s="393"/>
      <c r="C4" s="393"/>
      <c r="D4" s="393"/>
      <c r="E4" s="393"/>
      <c r="F4" s="393"/>
      <c r="G4" s="393"/>
      <c r="H4" s="394"/>
      <c r="I4" s="394"/>
      <c r="J4" s="393"/>
      <c r="K4" s="383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3"/>
      <c r="AD4" s="383"/>
      <c r="AE4" s="383"/>
      <c r="AF4" s="383"/>
      <c r="AG4" s="383"/>
      <c r="AH4" s="383"/>
      <c r="AI4" s="383"/>
      <c r="AJ4" s="383"/>
      <c r="AK4" s="383"/>
      <c r="AL4" s="383"/>
      <c r="AM4" s="383"/>
      <c r="AN4" s="383"/>
      <c r="AO4" s="383"/>
      <c r="AP4" s="383"/>
      <c r="AQ4" s="383"/>
      <c r="AR4" s="383"/>
      <c r="AS4" s="383"/>
      <c r="AT4" s="383"/>
      <c r="AU4" s="383"/>
      <c r="AV4" s="383"/>
      <c r="AW4" s="383"/>
      <c r="AX4" s="383"/>
      <c r="AY4" s="383"/>
      <c r="AZ4" s="383"/>
      <c r="BA4" s="383"/>
      <c r="BB4" s="383"/>
      <c r="BC4" s="383"/>
      <c r="BD4" s="383"/>
      <c r="BE4" s="383"/>
      <c r="BF4" s="383"/>
      <c r="BG4" s="383"/>
      <c r="BH4" s="383"/>
      <c r="BI4" s="383"/>
      <c r="BJ4" s="383"/>
      <c r="BK4" s="383"/>
      <c r="BL4" s="383"/>
      <c r="BM4" s="383"/>
      <c r="BN4" s="383"/>
      <c r="BO4" s="383"/>
      <c r="BP4" s="383"/>
      <c r="BQ4" s="383"/>
      <c r="BR4" s="383"/>
      <c r="BS4" s="383"/>
      <c r="BT4" s="383"/>
      <c r="BU4" s="383"/>
      <c r="BV4" s="383"/>
      <c r="BW4" s="383"/>
      <c r="BX4" s="383"/>
      <c r="BY4" s="383"/>
      <c r="BZ4" s="383"/>
      <c r="CA4" s="383"/>
      <c r="CB4" s="383"/>
      <c r="CC4" s="383"/>
      <c r="CD4" s="383"/>
      <c r="CE4" s="383"/>
      <c r="CF4" s="383"/>
      <c r="CG4" s="383"/>
      <c r="CH4" s="383"/>
      <c r="CI4" s="383"/>
      <c r="CJ4" s="383"/>
      <c r="CK4" s="383"/>
      <c r="CL4" s="383"/>
      <c r="CM4" s="383"/>
      <c r="CN4" s="383"/>
      <c r="CO4" s="383"/>
      <c r="CP4" s="383"/>
      <c r="CQ4" s="383"/>
      <c r="CR4" s="383"/>
      <c r="CS4" s="383"/>
    </row>
    <row r="5" spans="1:97" ht="60" x14ac:dyDescent="0.25">
      <c r="B5" s="244" t="s">
        <v>667</v>
      </c>
      <c r="C5" s="24"/>
      <c r="D5" s="24"/>
      <c r="E5" s="24"/>
      <c r="F5" s="24"/>
      <c r="G5" s="1" t="s">
        <v>108</v>
      </c>
      <c r="H5" s="2" t="s">
        <v>109</v>
      </c>
      <c r="I5" s="200"/>
      <c r="J5" s="2" t="s">
        <v>52</v>
      </c>
      <c r="K5" s="2" t="s">
        <v>53</v>
      </c>
      <c r="L5" s="2" t="s">
        <v>84</v>
      </c>
      <c r="M5" s="2" t="s">
        <v>54</v>
      </c>
      <c r="N5" s="2" t="s">
        <v>55</v>
      </c>
      <c r="O5" s="2" t="s">
        <v>85</v>
      </c>
      <c r="P5" s="2" t="s">
        <v>56</v>
      </c>
      <c r="Q5" s="2" t="s">
        <v>57</v>
      </c>
      <c r="R5" s="2" t="s">
        <v>72</v>
      </c>
      <c r="S5" s="2" t="s">
        <v>58</v>
      </c>
      <c r="T5" s="2" t="s">
        <v>59</v>
      </c>
      <c r="U5" s="2" t="s">
        <v>60</v>
      </c>
      <c r="V5" s="2" t="s">
        <v>61</v>
      </c>
      <c r="W5" s="2" t="s">
        <v>73</v>
      </c>
      <c r="X5" s="2" t="s">
        <v>86</v>
      </c>
      <c r="Y5" s="2" t="s">
        <v>87</v>
      </c>
      <c r="Z5" s="2" t="s">
        <v>88</v>
      </c>
      <c r="AA5" s="2" t="s">
        <v>89</v>
      </c>
      <c r="AB5" s="2" t="s">
        <v>90</v>
      </c>
      <c r="AC5" s="2" t="s">
        <v>62</v>
      </c>
      <c r="AD5" s="2" t="s">
        <v>63</v>
      </c>
      <c r="AE5" s="2" t="s">
        <v>64</v>
      </c>
      <c r="AF5" s="2" t="s">
        <v>65</v>
      </c>
      <c r="AG5" s="2" t="s">
        <v>66</v>
      </c>
      <c r="AH5" s="2" t="s">
        <v>67</v>
      </c>
      <c r="AI5" s="2" t="s">
        <v>68</v>
      </c>
      <c r="AJ5" s="2" t="s">
        <v>69</v>
      </c>
      <c r="AK5" s="2" t="s">
        <v>70</v>
      </c>
      <c r="AL5" s="2" t="s">
        <v>71</v>
      </c>
      <c r="AM5" s="2" t="s">
        <v>74</v>
      </c>
      <c r="AN5" s="2" t="s">
        <v>75</v>
      </c>
      <c r="AO5" s="2" t="s">
        <v>76</v>
      </c>
      <c r="AP5" s="2" t="s">
        <v>77</v>
      </c>
      <c r="AR5" s="1" t="s">
        <v>110</v>
      </c>
    </row>
    <row r="7" spans="1:97" x14ac:dyDescent="0.25">
      <c r="B7" s="34" t="s">
        <v>107</v>
      </c>
      <c r="C7" s="34"/>
      <c r="D7" s="34"/>
      <c r="E7" s="171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160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H7" s="34"/>
    </row>
    <row r="8" spans="1:97" x14ac:dyDescent="0.25">
      <c r="AS8" s="160"/>
    </row>
    <row r="9" spans="1:97" x14ac:dyDescent="0.25">
      <c r="C9" s="152" t="s">
        <v>510</v>
      </c>
      <c r="D9" s="152"/>
      <c r="AS9" s="160"/>
    </row>
    <row r="10" spans="1:97" s="160" customFormat="1" x14ac:dyDescent="0.25">
      <c r="C10" s="152" t="s">
        <v>507</v>
      </c>
      <c r="D10" s="152"/>
    </row>
    <row r="11" spans="1:97" x14ac:dyDescent="0.25">
      <c r="C11" s="152" t="s">
        <v>437</v>
      </c>
      <c r="D11" s="152"/>
      <c r="AS11" s="160"/>
    </row>
    <row r="12" spans="1:97" x14ac:dyDescent="0.25">
      <c r="C12" s="152"/>
      <c r="D12" s="152" t="s">
        <v>438</v>
      </c>
      <c r="AS12" s="160"/>
    </row>
    <row r="13" spans="1:97" x14ac:dyDescent="0.25">
      <c r="C13" s="152"/>
      <c r="D13" s="152" t="s">
        <v>439</v>
      </c>
      <c r="AS13" s="160"/>
    </row>
    <row r="14" spans="1:97" x14ac:dyDescent="0.25">
      <c r="C14" s="152"/>
      <c r="D14" s="152" t="s">
        <v>440</v>
      </c>
      <c r="AS14" s="160"/>
    </row>
    <row r="15" spans="1:97" x14ac:dyDescent="0.25">
      <c r="AS15" s="160"/>
    </row>
    <row r="16" spans="1:97" x14ac:dyDescent="0.25">
      <c r="B16" s="34" t="s">
        <v>911</v>
      </c>
      <c r="C16" s="34"/>
      <c r="D16" s="34"/>
      <c r="E16" s="171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160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H16" s="34"/>
    </row>
    <row r="17" spans="3:60" s="160" customFormat="1" x14ac:dyDescent="0.25">
      <c r="C17" s="74"/>
      <c r="F17" s="167"/>
      <c r="G17" s="167"/>
      <c r="H17" s="167"/>
      <c r="I17" s="167"/>
      <c r="J17" s="167"/>
      <c r="K17" s="167"/>
      <c r="L17" s="170"/>
      <c r="M17" s="170"/>
      <c r="N17" s="167"/>
      <c r="O17" s="170"/>
      <c r="BH17" s="163"/>
    </row>
    <row r="18" spans="3:60" s="338" customFormat="1" x14ac:dyDescent="0.25">
      <c r="C18" s="22" t="str">
        <f ca="1">INDEX('Version control'!$H$34:$H$59,MATCH($A$1,'Version control'!$F$34:$F$59,0),1)&amp;"-A: Common inputs for chargeable load calculations"</f>
        <v>Section 509-A: Common inputs for chargeable load calculations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BH18" s="163"/>
    </row>
    <row r="19" spans="3:60" s="338" customFormat="1" x14ac:dyDescent="0.25">
      <c r="H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5"/>
      <c r="AD19" s="165"/>
      <c r="AE19" s="165"/>
      <c r="AF19" s="165"/>
      <c r="AG19" s="165"/>
      <c r="AH19" s="165"/>
      <c r="AI19" s="165"/>
      <c r="AJ19" s="165"/>
      <c r="AK19" s="165"/>
      <c r="AL19" s="165"/>
      <c r="AM19" s="165"/>
      <c r="AN19" s="165"/>
      <c r="AO19" s="165"/>
      <c r="AP19" s="165"/>
    </row>
    <row r="20" spans="3:60" x14ac:dyDescent="0.25">
      <c r="D20" s="152" t="s">
        <v>509</v>
      </c>
      <c r="F20" s="139"/>
      <c r="G20" s="139"/>
      <c r="H20" s="139"/>
      <c r="I20" s="139"/>
      <c r="J20" s="139"/>
      <c r="K20" s="139"/>
      <c r="L20" s="142"/>
      <c r="M20" s="142"/>
      <c r="N20" s="139"/>
      <c r="O20" s="142"/>
      <c r="AS20" s="160"/>
      <c r="BH20" s="136"/>
    </row>
    <row r="21" spans="3:60" s="160" customFormat="1" x14ac:dyDescent="0.25">
      <c r="C21" s="74"/>
      <c r="F21" s="167"/>
      <c r="G21" s="167"/>
      <c r="H21" s="167"/>
      <c r="I21" s="167"/>
      <c r="J21" s="167"/>
      <c r="K21" s="167"/>
      <c r="L21" s="170"/>
      <c r="M21" s="170"/>
      <c r="N21" s="167"/>
      <c r="O21" s="170"/>
      <c r="BH21" s="163"/>
    </row>
    <row r="22" spans="3:60" x14ac:dyDescent="0.25">
      <c r="E22" s="172" t="s">
        <v>733</v>
      </c>
      <c r="F22" s="160"/>
      <c r="G22" s="139"/>
      <c r="H22" s="121"/>
      <c r="I22" s="139"/>
      <c r="J22" s="142"/>
      <c r="K22" s="142"/>
      <c r="L22" s="142"/>
      <c r="M22" s="142"/>
      <c r="N22" s="142"/>
      <c r="O22" s="142"/>
      <c r="P22" s="33"/>
      <c r="Q22" s="33"/>
      <c r="R22" s="33"/>
      <c r="S22" s="33"/>
      <c r="AS22" s="160"/>
      <c r="BH22" s="136"/>
    </row>
    <row r="23" spans="3:60" x14ac:dyDescent="0.25">
      <c r="E23" s="74"/>
      <c r="F23" s="137" t="s">
        <v>43</v>
      </c>
      <c r="G23" s="137" t="s">
        <v>111</v>
      </c>
      <c r="H23" s="141"/>
      <c r="I23" s="137"/>
      <c r="J23" s="123">
        <f>'Standing charge factors'!J44</f>
        <v>0</v>
      </c>
      <c r="K23" s="123">
        <f>'Standing charge factors'!K44</f>
        <v>0</v>
      </c>
      <c r="L23" s="123">
        <f>'Standing charge factors'!L44</f>
        <v>0</v>
      </c>
      <c r="M23" s="123">
        <f>'Standing charge factors'!M44</f>
        <v>0</v>
      </c>
      <c r="N23" s="123">
        <f>'Standing charge factors'!N44</f>
        <v>0</v>
      </c>
      <c r="O23" s="123">
        <f>'Standing charge factors'!O44</f>
        <v>0</v>
      </c>
      <c r="P23" s="123">
        <f>'Standing charge factors'!P44</f>
        <v>0</v>
      </c>
      <c r="Q23" s="123">
        <f>'Standing charge factors'!Q44</f>
        <v>0</v>
      </c>
      <c r="R23" s="123">
        <f>'Standing charge factors'!R44</f>
        <v>0</v>
      </c>
      <c r="S23" s="123">
        <f>'Standing charge factors'!S44</f>
        <v>0</v>
      </c>
      <c r="T23" s="123">
        <f>'Standing charge factors'!T44</f>
        <v>0</v>
      </c>
      <c r="U23" s="123">
        <f>'Standing charge factors'!U44</f>
        <v>0</v>
      </c>
      <c r="V23" s="123">
        <f>'Standing charge factors'!V44</f>
        <v>0</v>
      </c>
      <c r="W23" s="123">
        <f>'Standing charge factors'!W44</f>
        <v>0</v>
      </c>
      <c r="X23" s="123">
        <f>'Standing charge factors'!X44</f>
        <v>0</v>
      </c>
      <c r="Y23" s="123">
        <f>'Standing charge factors'!Y44</f>
        <v>0</v>
      </c>
      <c r="Z23" s="123">
        <f>'Standing charge factors'!Z44</f>
        <v>0</v>
      </c>
      <c r="AA23" s="123">
        <f>'Standing charge factors'!AA44</f>
        <v>0</v>
      </c>
      <c r="AB23" s="123">
        <f>'Standing charge factors'!AB44</f>
        <v>0</v>
      </c>
      <c r="AC23" s="123">
        <f>'Standing charge factors'!AC44</f>
        <v>0</v>
      </c>
      <c r="AD23" s="123">
        <f>'Standing charge factors'!AD44</f>
        <v>0</v>
      </c>
      <c r="AE23" s="123">
        <f>'Standing charge factors'!AE44</f>
        <v>0</v>
      </c>
      <c r="AF23" s="123">
        <f>'Standing charge factors'!AF44</f>
        <v>0</v>
      </c>
      <c r="AG23" s="123">
        <f>'Standing charge factors'!AG44</f>
        <v>0</v>
      </c>
      <c r="AH23" s="123">
        <f>'Standing charge factors'!AH44</f>
        <v>0</v>
      </c>
      <c r="AI23" s="123">
        <f>'Standing charge factors'!AI44</f>
        <v>0</v>
      </c>
      <c r="AJ23" s="123">
        <f>'Standing charge factors'!AJ44</f>
        <v>0</v>
      </c>
      <c r="AK23" s="123">
        <f>'Standing charge factors'!AK44</f>
        <v>0</v>
      </c>
      <c r="AL23" s="123">
        <f>'Standing charge factors'!AL44</f>
        <v>0</v>
      </c>
      <c r="AM23" s="123">
        <f>'Standing charge factors'!AM44</f>
        <v>0</v>
      </c>
      <c r="AN23" s="123">
        <f>'Standing charge factors'!AN44</f>
        <v>0</v>
      </c>
      <c r="AO23" s="123">
        <f>'Standing charge factors'!AO44</f>
        <v>0</v>
      </c>
      <c r="AP23" s="123">
        <f>'Standing charge factors'!AP44</f>
        <v>0</v>
      </c>
      <c r="AS23" s="160"/>
      <c r="BH23" s="136"/>
    </row>
    <row r="24" spans="3:60" x14ac:dyDescent="0.25">
      <c r="E24" s="74"/>
      <c r="F24" s="139" t="s">
        <v>44</v>
      </c>
      <c r="G24" s="139" t="s">
        <v>111</v>
      </c>
      <c r="H24" s="142"/>
      <c r="I24" s="139"/>
      <c r="J24" s="79">
        <f>'Standing charge factors'!J45</f>
        <v>0</v>
      </c>
      <c r="K24" s="79">
        <f>'Standing charge factors'!K45</f>
        <v>0</v>
      </c>
      <c r="L24" s="79">
        <f>'Standing charge factors'!L45</f>
        <v>0</v>
      </c>
      <c r="M24" s="79">
        <f>'Standing charge factors'!M45</f>
        <v>0</v>
      </c>
      <c r="N24" s="79">
        <f>'Standing charge factors'!N45</f>
        <v>0</v>
      </c>
      <c r="O24" s="79">
        <f>'Standing charge factors'!O45</f>
        <v>0</v>
      </c>
      <c r="P24" s="79">
        <f>'Standing charge factors'!P45</f>
        <v>0</v>
      </c>
      <c r="Q24" s="79">
        <f>'Standing charge factors'!Q45</f>
        <v>0</v>
      </c>
      <c r="R24" s="79">
        <f>'Standing charge factors'!R45</f>
        <v>0</v>
      </c>
      <c r="S24" s="79">
        <f>'Standing charge factors'!S45</f>
        <v>0</v>
      </c>
      <c r="T24" s="79">
        <f>'Standing charge factors'!T45</f>
        <v>0</v>
      </c>
      <c r="U24" s="79">
        <f>'Standing charge factors'!U45</f>
        <v>0</v>
      </c>
      <c r="V24" s="79">
        <f>'Standing charge factors'!V45</f>
        <v>0</v>
      </c>
      <c r="W24" s="79">
        <f>'Standing charge factors'!W45</f>
        <v>0</v>
      </c>
      <c r="X24" s="79">
        <f>'Standing charge factors'!X45</f>
        <v>0</v>
      </c>
      <c r="Y24" s="79">
        <f>'Standing charge factors'!Y45</f>
        <v>0</v>
      </c>
      <c r="Z24" s="79">
        <f>'Standing charge factors'!Z45</f>
        <v>0</v>
      </c>
      <c r="AA24" s="79">
        <f>'Standing charge factors'!AA45</f>
        <v>0</v>
      </c>
      <c r="AB24" s="79">
        <f>'Standing charge factors'!AB45</f>
        <v>0</v>
      </c>
      <c r="AC24" s="79">
        <f>'Standing charge factors'!AC45</f>
        <v>0</v>
      </c>
      <c r="AD24" s="79">
        <f>'Standing charge factors'!AD45</f>
        <v>0</v>
      </c>
      <c r="AE24" s="79">
        <f>'Standing charge factors'!AE45</f>
        <v>0</v>
      </c>
      <c r="AF24" s="79">
        <f>'Standing charge factors'!AF45</f>
        <v>0</v>
      </c>
      <c r="AG24" s="79">
        <f>'Standing charge factors'!AG45</f>
        <v>0</v>
      </c>
      <c r="AH24" s="79">
        <f>'Standing charge factors'!AH45</f>
        <v>0</v>
      </c>
      <c r="AI24" s="79">
        <f>'Standing charge factors'!AI45</f>
        <v>0</v>
      </c>
      <c r="AJ24" s="79">
        <f>'Standing charge factors'!AJ45</f>
        <v>0</v>
      </c>
      <c r="AK24" s="79">
        <f>'Standing charge factors'!AK45</f>
        <v>0</v>
      </c>
      <c r="AL24" s="79">
        <f>'Standing charge factors'!AL45</f>
        <v>0</v>
      </c>
      <c r="AM24" s="79">
        <f>'Standing charge factors'!AM45</f>
        <v>0</v>
      </c>
      <c r="AN24" s="79">
        <f>'Standing charge factors'!AN45</f>
        <v>0</v>
      </c>
      <c r="AO24" s="79">
        <f>'Standing charge factors'!AO45</f>
        <v>0</v>
      </c>
      <c r="AP24" s="79">
        <f>'Standing charge factors'!AP45</f>
        <v>0</v>
      </c>
      <c r="AS24" s="160"/>
      <c r="BH24" s="136"/>
    </row>
    <row r="25" spans="3:60" x14ac:dyDescent="0.25">
      <c r="E25" s="74"/>
      <c r="F25" s="139" t="s">
        <v>45</v>
      </c>
      <c r="G25" s="139" t="s">
        <v>111</v>
      </c>
      <c r="H25" s="142"/>
      <c r="I25" s="139"/>
      <c r="J25" s="79">
        <f>'Standing charge factors'!J46</f>
        <v>0</v>
      </c>
      <c r="K25" s="79">
        <f>'Standing charge factors'!K46</f>
        <v>0</v>
      </c>
      <c r="L25" s="79">
        <f>'Standing charge factors'!L46</f>
        <v>0</v>
      </c>
      <c r="M25" s="79">
        <f>'Standing charge factors'!M46</f>
        <v>0</v>
      </c>
      <c r="N25" s="79">
        <f>'Standing charge factors'!N46</f>
        <v>0</v>
      </c>
      <c r="O25" s="79">
        <f>'Standing charge factors'!O46</f>
        <v>0</v>
      </c>
      <c r="P25" s="79">
        <f>'Standing charge factors'!P46</f>
        <v>0</v>
      </c>
      <c r="Q25" s="79">
        <f>'Standing charge factors'!Q46</f>
        <v>0</v>
      </c>
      <c r="R25" s="79">
        <f>'Standing charge factors'!R46</f>
        <v>0</v>
      </c>
      <c r="S25" s="79">
        <f>'Standing charge factors'!S46</f>
        <v>0</v>
      </c>
      <c r="T25" s="79">
        <f>'Standing charge factors'!T46</f>
        <v>0</v>
      </c>
      <c r="U25" s="79">
        <f>'Standing charge factors'!U46</f>
        <v>0</v>
      </c>
      <c r="V25" s="79">
        <f>'Standing charge factors'!V46</f>
        <v>0</v>
      </c>
      <c r="W25" s="79">
        <f>'Standing charge factors'!W46</f>
        <v>0</v>
      </c>
      <c r="X25" s="79">
        <f>'Standing charge factors'!X46</f>
        <v>0</v>
      </c>
      <c r="Y25" s="79">
        <f>'Standing charge factors'!Y46</f>
        <v>0</v>
      </c>
      <c r="Z25" s="79">
        <f>'Standing charge factors'!Z46</f>
        <v>0</v>
      </c>
      <c r="AA25" s="79">
        <f>'Standing charge factors'!AA46</f>
        <v>0</v>
      </c>
      <c r="AB25" s="79">
        <f>'Standing charge factors'!AB46</f>
        <v>0</v>
      </c>
      <c r="AC25" s="79">
        <f>'Standing charge factors'!AC46</f>
        <v>0</v>
      </c>
      <c r="AD25" s="79">
        <f>'Standing charge factors'!AD46</f>
        <v>0</v>
      </c>
      <c r="AE25" s="79">
        <f>'Standing charge factors'!AE46</f>
        <v>0</v>
      </c>
      <c r="AF25" s="79">
        <f>'Standing charge factors'!AF46</f>
        <v>0</v>
      </c>
      <c r="AG25" s="79">
        <f>'Standing charge factors'!AG46</f>
        <v>0</v>
      </c>
      <c r="AH25" s="79">
        <f>'Standing charge factors'!AH46</f>
        <v>0</v>
      </c>
      <c r="AI25" s="79">
        <f>'Standing charge factors'!AI46</f>
        <v>0</v>
      </c>
      <c r="AJ25" s="79">
        <f>'Standing charge factors'!AJ46</f>
        <v>0</v>
      </c>
      <c r="AK25" s="79">
        <f>'Standing charge factors'!AK46</f>
        <v>0</v>
      </c>
      <c r="AL25" s="79">
        <f>'Standing charge factors'!AL46</f>
        <v>0</v>
      </c>
      <c r="AM25" s="79">
        <f>'Standing charge factors'!AM46</f>
        <v>0</v>
      </c>
      <c r="AN25" s="79">
        <f>'Standing charge factors'!AN46</f>
        <v>0</v>
      </c>
      <c r="AO25" s="79">
        <f>'Standing charge factors'!AO46</f>
        <v>0</v>
      </c>
      <c r="AP25" s="79">
        <f>'Standing charge factors'!AP46</f>
        <v>0</v>
      </c>
      <c r="AS25" s="160"/>
      <c r="BH25" s="136"/>
    </row>
    <row r="26" spans="3:60" x14ac:dyDescent="0.25">
      <c r="E26" s="74"/>
      <c r="F26" s="139" t="s">
        <v>46</v>
      </c>
      <c r="G26" s="139" t="s">
        <v>111</v>
      </c>
      <c r="H26" s="142"/>
      <c r="I26" s="139"/>
      <c r="J26" s="79">
        <f>'Standing charge factors'!J47</f>
        <v>0</v>
      </c>
      <c r="K26" s="79">
        <f>'Standing charge factors'!K47</f>
        <v>0</v>
      </c>
      <c r="L26" s="79">
        <f>'Standing charge factors'!L47</f>
        <v>0</v>
      </c>
      <c r="M26" s="79">
        <f>'Standing charge factors'!M47</f>
        <v>0</v>
      </c>
      <c r="N26" s="79">
        <f>'Standing charge factors'!N47</f>
        <v>0</v>
      </c>
      <c r="O26" s="79">
        <f>'Standing charge factors'!O47</f>
        <v>0</v>
      </c>
      <c r="P26" s="79">
        <f>'Standing charge factors'!P47</f>
        <v>0</v>
      </c>
      <c r="Q26" s="79">
        <f>'Standing charge factors'!Q47</f>
        <v>0</v>
      </c>
      <c r="R26" s="79">
        <f>'Standing charge factors'!R47</f>
        <v>0.2</v>
      </c>
      <c r="S26" s="79">
        <f>'Standing charge factors'!S47</f>
        <v>0</v>
      </c>
      <c r="T26" s="79">
        <f>'Standing charge factors'!T47</f>
        <v>0</v>
      </c>
      <c r="U26" s="79">
        <f>'Standing charge factors'!U47</f>
        <v>0</v>
      </c>
      <c r="V26" s="79">
        <f>'Standing charge factors'!V47</f>
        <v>0</v>
      </c>
      <c r="W26" s="79">
        <f>'Standing charge factors'!W47</f>
        <v>0.2</v>
      </c>
      <c r="X26" s="79">
        <f>'Standing charge factors'!X47</f>
        <v>0</v>
      </c>
      <c r="Y26" s="79">
        <f>'Standing charge factors'!Y47</f>
        <v>0</v>
      </c>
      <c r="Z26" s="79">
        <f>'Standing charge factors'!Z47</f>
        <v>0</v>
      </c>
      <c r="AA26" s="79">
        <f>'Standing charge factors'!AA47</f>
        <v>0</v>
      </c>
      <c r="AB26" s="79">
        <f>'Standing charge factors'!AB47</f>
        <v>0</v>
      </c>
      <c r="AC26" s="79">
        <f>'Standing charge factors'!AC47</f>
        <v>0</v>
      </c>
      <c r="AD26" s="79">
        <f>'Standing charge factors'!AD47</f>
        <v>0</v>
      </c>
      <c r="AE26" s="79">
        <f>'Standing charge factors'!AE47</f>
        <v>0</v>
      </c>
      <c r="AF26" s="79">
        <f>'Standing charge factors'!AF47</f>
        <v>0</v>
      </c>
      <c r="AG26" s="79">
        <f>'Standing charge factors'!AG47</f>
        <v>0</v>
      </c>
      <c r="AH26" s="79">
        <f>'Standing charge factors'!AH47</f>
        <v>0</v>
      </c>
      <c r="AI26" s="79">
        <f>'Standing charge factors'!AI47</f>
        <v>0</v>
      </c>
      <c r="AJ26" s="79">
        <f>'Standing charge factors'!AJ47</f>
        <v>0</v>
      </c>
      <c r="AK26" s="79">
        <f>'Standing charge factors'!AK47</f>
        <v>0</v>
      </c>
      <c r="AL26" s="79">
        <f>'Standing charge factors'!AL47</f>
        <v>0</v>
      </c>
      <c r="AM26" s="79">
        <f>'Standing charge factors'!AM47</f>
        <v>0</v>
      </c>
      <c r="AN26" s="79">
        <f>'Standing charge factors'!AN47</f>
        <v>0</v>
      </c>
      <c r="AO26" s="79">
        <f>'Standing charge factors'!AO47</f>
        <v>0</v>
      </c>
      <c r="AP26" s="79">
        <f>'Standing charge factors'!AP47</f>
        <v>0</v>
      </c>
      <c r="AS26" s="160"/>
      <c r="BH26" s="136"/>
    </row>
    <row r="27" spans="3:60" x14ac:dyDescent="0.25">
      <c r="E27" s="74"/>
      <c r="F27" s="139" t="s">
        <v>47</v>
      </c>
      <c r="G27" s="139" t="s">
        <v>111</v>
      </c>
      <c r="H27" s="142"/>
      <c r="I27" s="139"/>
      <c r="J27" s="79">
        <f>'Standing charge factors'!J48</f>
        <v>0</v>
      </c>
      <c r="K27" s="79">
        <f>'Standing charge factors'!K48</f>
        <v>0</v>
      </c>
      <c r="L27" s="79">
        <f>'Standing charge factors'!L48</f>
        <v>0</v>
      </c>
      <c r="M27" s="79">
        <f>'Standing charge factors'!M48</f>
        <v>0</v>
      </c>
      <c r="N27" s="79">
        <f>'Standing charge factors'!N48</f>
        <v>0</v>
      </c>
      <c r="O27" s="79">
        <f>'Standing charge factors'!O48</f>
        <v>0</v>
      </c>
      <c r="P27" s="79">
        <f>'Standing charge factors'!P48</f>
        <v>0</v>
      </c>
      <c r="Q27" s="79">
        <f>'Standing charge factors'!Q48</f>
        <v>0</v>
      </c>
      <c r="R27" s="79">
        <f>'Standing charge factors'!R48</f>
        <v>1</v>
      </c>
      <c r="S27" s="79">
        <f>'Standing charge factors'!S48</f>
        <v>0</v>
      </c>
      <c r="T27" s="79">
        <f>'Standing charge factors'!T48</f>
        <v>0</v>
      </c>
      <c r="U27" s="79">
        <f>'Standing charge factors'!U48</f>
        <v>0</v>
      </c>
      <c r="V27" s="79">
        <f>'Standing charge factors'!V48</f>
        <v>0</v>
      </c>
      <c r="W27" s="79">
        <f>'Standing charge factors'!W48</f>
        <v>1</v>
      </c>
      <c r="X27" s="79">
        <f>'Standing charge factors'!X48</f>
        <v>0</v>
      </c>
      <c r="Y27" s="79">
        <f>'Standing charge factors'!Y48</f>
        <v>0</v>
      </c>
      <c r="Z27" s="79">
        <f>'Standing charge factors'!Z48</f>
        <v>0</v>
      </c>
      <c r="AA27" s="79">
        <f>'Standing charge factors'!AA48</f>
        <v>0</v>
      </c>
      <c r="AB27" s="79">
        <f>'Standing charge factors'!AB48</f>
        <v>0</v>
      </c>
      <c r="AC27" s="79">
        <f>'Standing charge factors'!AC48</f>
        <v>0</v>
      </c>
      <c r="AD27" s="79">
        <f>'Standing charge factors'!AD48</f>
        <v>0</v>
      </c>
      <c r="AE27" s="79">
        <f>'Standing charge factors'!AE48</f>
        <v>0</v>
      </c>
      <c r="AF27" s="79">
        <f>'Standing charge factors'!AF48</f>
        <v>0</v>
      </c>
      <c r="AG27" s="79">
        <f>'Standing charge factors'!AG48</f>
        <v>0</v>
      </c>
      <c r="AH27" s="79">
        <f>'Standing charge factors'!AH48</f>
        <v>0</v>
      </c>
      <c r="AI27" s="79">
        <f>'Standing charge factors'!AI48</f>
        <v>0</v>
      </c>
      <c r="AJ27" s="79">
        <f>'Standing charge factors'!AJ48</f>
        <v>0</v>
      </c>
      <c r="AK27" s="79">
        <f>'Standing charge factors'!AK48</f>
        <v>0</v>
      </c>
      <c r="AL27" s="79">
        <f>'Standing charge factors'!AL48</f>
        <v>0</v>
      </c>
      <c r="AM27" s="79">
        <f>'Standing charge factors'!AM48</f>
        <v>0</v>
      </c>
      <c r="AN27" s="79">
        <f>'Standing charge factors'!AN48</f>
        <v>0</v>
      </c>
      <c r="AO27" s="79">
        <f>'Standing charge factors'!AO48</f>
        <v>0</v>
      </c>
      <c r="AP27" s="79">
        <f>'Standing charge factors'!AP48</f>
        <v>0</v>
      </c>
      <c r="AS27" s="160"/>
      <c r="BH27" s="136"/>
    </row>
    <row r="28" spans="3:60" x14ac:dyDescent="0.25">
      <c r="E28" s="74"/>
      <c r="F28" s="139" t="s">
        <v>51</v>
      </c>
      <c r="G28" s="139" t="s">
        <v>111</v>
      </c>
      <c r="H28" s="142"/>
      <c r="I28" s="139"/>
      <c r="J28" s="79">
        <f>'Standing charge factors'!J49</f>
        <v>0</v>
      </c>
      <c r="K28" s="79">
        <f>'Standing charge factors'!K49</f>
        <v>0</v>
      </c>
      <c r="L28" s="79">
        <f>'Standing charge factors'!L49</f>
        <v>0</v>
      </c>
      <c r="M28" s="79">
        <f>'Standing charge factors'!M49</f>
        <v>0</v>
      </c>
      <c r="N28" s="79">
        <f>'Standing charge factors'!N49</f>
        <v>0</v>
      </c>
      <c r="O28" s="79">
        <f>'Standing charge factors'!O49</f>
        <v>0</v>
      </c>
      <c r="P28" s="79">
        <f>'Standing charge factors'!P49</f>
        <v>0</v>
      </c>
      <c r="Q28" s="79">
        <f>'Standing charge factors'!Q49</f>
        <v>0</v>
      </c>
      <c r="R28" s="79">
        <f>'Standing charge factors'!R49</f>
        <v>1</v>
      </c>
      <c r="S28" s="79">
        <f>'Standing charge factors'!S49</f>
        <v>0</v>
      </c>
      <c r="T28" s="79">
        <f>'Standing charge factors'!T49</f>
        <v>0</v>
      </c>
      <c r="U28" s="79">
        <f>'Standing charge factors'!U49</f>
        <v>0</v>
      </c>
      <c r="V28" s="79">
        <f>'Standing charge factors'!V49</f>
        <v>0</v>
      </c>
      <c r="W28" s="79">
        <f>'Standing charge factors'!W49</f>
        <v>1</v>
      </c>
      <c r="X28" s="79">
        <f>'Standing charge factors'!X49</f>
        <v>0</v>
      </c>
      <c r="Y28" s="79">
        <f>'Standing charge factors'!Y49</f>
        <v>0</v>
      </c>
      <c r="Z28" s="79">
        <f>'Standing charge factors'!Z49</f>
        <v>0</v>
      </c>
      <c r="AA28" s="79">
        <f>'Standing charge factors'!AA49</f>
        <v>0</v>
      </c>
      <c r="AB28" s="79">
        <f>'Standing charge factors'!AB49</f>
        <v>0</v>
      </c>
      <c r="AC28" s="79">
        <f>'Standing charge factors'!AC49</f>
        <v>0</v>
      </c>
      <c r="AD28" s="79">
        <f>'Standing charge factors'!AD49</f>
        <v>0</v>
      </c>
      <c r="AE28" s="79">
        <f>'Standing charge factors'!AE49</f>
        <v>0</v>
      </c>
      <c r="AF28" s="79">
        <f>'Standing charge factors'!AF49</f>
        <v>0</v>
      </c>
      <c r="AG28" s="79">
        <f>'Standing charge factors'!AG49</f>
        <v>0</v>
      </c>
      <c r="AH28" s="79">
        <f>'Standing charge factors'!AH49</f>
        <v>0</v>
      </c>
      <c r="AI28" s="79">
        <f>'Standing charge factors'!AI49</f>
        <v>0</v>
      </c>
      <c r="AJ28" s="79">
        <f>'Standing charge factors'!AJ49</f>
        <v>0</v>
      </c>
      <c r="AK28" s="79">
        <f>'Standing charge factors'!AK49</f>
        <v>0</v>
      </c>
      <c r="AL28" s="79">
        <f>'Standing charge factors'!AL49</f>
        <v>0</v>
      </c>
      <c r="AM28" s="79">
        <f>'Standing charge factors'!AM49</f>
        <v>0</v>
      </c>
      <c r="AN28" s="79">
        <f>'Standing charge factors'!AN49</f>
        <v>0</v>
      </c>
      <c r="AO28" s="79">
        <f>'Standing charge factors'!AO49</f>
        <v>0</v>
      </c>
      <c r="AP28" s="79">
        <f>'Standing charge factors'!AP49</f>
        <v>0</v>
      </c>
      <c r="AS28" s="160"/>
      <c r="BH28" s="136"/>
    </row>
    <row r="29" spans="3:60" x14ac:dyDescent="0.25">
      <c r="E29" s="74"/>
      <c r="F29" s="139" t="s">
        <v>48</v>
      </c>
      <c r="G29" s="139" t="s">
        <v>111</v>
      </c>
      <c r="H29" s="142"/>
      <c r="I29" s="139"/>
      <c r="J29" s="79">
        <f>'Standing charge factors'!J50</f>
        <v>0</v>
      </c>
      <c r="K29" s="79">
        <f>'Standing charge factors'!K50</f>
        <v>0</v>
      </c>
      <c r="L29" s="79">
        <f>'Standing charge factors'!L50</f>
        <v>0</v>
      </c>
      <c r="M29" s="79">
        <f>'Standing charge factors'!M50</f>
        <v>0</v>
      </c>
      <c r="N29" s="79">
        <f>'Standing charge factors'!N50</f>
        <v>0</v>
      </c>
      <c r="O29" s="79">
        <f>'Standing charge factors'!O50</f>
        <v>0</v>
      </c>
      <c r="P29" s="79">
        <f>'Standing charge factors'!P50</f>
        <v>0</v>
      </c>
      <c r="Q29" s="79">
        <f>'Standing charge factors'!Q50</f>
        <v>0</v>
      </c>
      <c r="R29" s="79">
        <f>'Standing charge factors'!R50</f>
        <v>1</v>
      </c>
      <c r="S29" s="79">
        <f>'Standing charge factors'!S50</f>
        <v>0</v>
      </c>
      <c r="T29" s="79">
        <f>'Standing charge factors'!T50</f>
        <v>0</v>
      </c>
      <c r="U29" s="79">
        <f>'Standing charge factors'!U50</f>
        <v>0.2</v>
      </c>
      <c r="V29" s="79">
        <f>'Standing charge factors'!V50</f>
        <v>1</v>
      </c>
      <c r="W29" s="79">
        <f>'Standing charge factors'!W50</f>
        <v>1</v>
      </c>
      <c r="X29" s="79">
        <f>'Standing charge factors'!X50</f>
        <v>0</v>
      </c>
      <c r="Y29" s="79">
        <f>'Standing charge factors'!Y50</f>
        <v>0</v>
      </c>
      <c r="Z29" s="79">
        <f>'Standing charge factors'!Z50</f>
        <v>0</v>
      </c>
      <c r="AA29" s="79">
        <f>'Standing charge factors'!AA50</f>
        <v>0</v>
      </c>
      <c r="AB29" s="79">
        <f>'Standing charge factors'!AB50</f>
        <v>0</v>
      </c>
      <c r="AC29" s="79">
        <f>'Standing charge factors'!AC50</f>
        <v>0</v>
      </c>
      <c r="AD29" s="79">
        <f>'Standing charge factors'!AD50</f>
        <v>0</v>
      </c>
      <c r="AE29" s="79">
        <f>'Standing charge factors'!AE50</f>
        <v>0</v>
      </c>
      <c r="AF29" s="79">
        <f>'Standing charge factors'!AF50</f>
        <v>0</v>
      </c>
      <c r="AG29" s="79">
        <f>'Standing charge factors'!AG50</f>
        <v>0</v>
      </c>
      <c r="AH29" s="79">
        <f>'Standing charge factors'!AH50</f>
        <v>0</v>
      </c>
      <c r="AI29" s="79">
        <f>'Standing charge factors'!AI50</f>
        <v>0</v>
      </c>
      <c r="AJ29" s="79">
        <f>'Standing charge factors'!AJ50</f>
        <v>0</v>
      </c>
      <c r="AK29" s="79">
        <f>'Standing charge factors'!AK50</f>
        <v>0</v>
      </c>
      <c r="AL29" s="79">
        <f>'Standing charge factors'!AL50</f>
        <v>0</v>
      </c>
      <c r="AM29" s="79">
        <f>'Standing charge factors'!AM50</f>
        <v>0</v>
      </c>
      <c r="AN29" s="79">
        <f>'Standing charge factors'!AN50</f>
        <v>0</v>
      </c>
      <c r="AO29" s="79">
        <f>'Standing charge factors'!AO50</f>
        <v>0</v>
      </c>
      <c r="AP29" s="79">
        <f>'Standing charge factors'!AP50</f>
        <v>0</v>
      </c>
      <c r="AS29" s="160"/>
      <c r="BH29" s="136"/>
    </row>
    <row r="30" spans="3:60" x14ac:dyDescent="0.25">
      <c r="E30" s="74"/>
      <c r="F30" s="139" t="s">
        <v>49</v>
      </c>
      <c r="G30" s="139" t="s">
        <v>111</v>
      </c>
      <c r="H30" s="142"/>
      <c r="I30" s="139"/>
      <c r="J30" s="79">
        <f>'Standing charge factors'!J51</f>
        <v>0</v>
      </c>
      <c r="K30" s="79">
        <f>'Standing charge factors'!K51</f>
        <v>0</v>
      </c>
      <c r="L30" s="79">
        <f>'Standing charge factors'!L51</f>
        <v>0</v>
      </c>
      <c r="M30" s="79">
        <f>'Standing charge factors'!M51</f>
        <v>0</v>
      </c>
      <c r="N30" s="79">
        <f>'Standing charge factors'!N51</f>
        <v>0</v>
      </c>
      <c r="O30" s="79">
        <f>'Standing charge factors'!O51</f>
        <v>0</v>
      </c>
      <c r="P30" s="79">
        <f>'Standing charge factors'!P51</f>
        <v>0</v>
      </c>
      <c r="Q30" s="79">
        <f>'Standing charge factors'!Q51</f>
        <v>1</v>
      </c>
      <c r="R30" s="79">
        <f>'Standing charge factors'!R51</f>
        <v>0</v>
      </c>
      <c r="S30" s="79">
        <f>'Standing charge factors'!S51</f>
        <v>0</v>
      </c>
      <c r="T30" s="79">
        <f>'Standing charge factors'!T51</f>
        <v>0</v>
      </c>
      <c r="U30" s="79">
        <f>'Standing charge factors'!U51</f>
        <v>1</v>
      </c>
      <c r="V30" s="79">
        <f>'Standing charge factors'!V51</f>
        <v>1</v>
      </c>
      <c r="W30" s="79">
        <f>'Standing charge factors'!W51</f>
        <v>0</v>
      </c>
      <c r="X30" s="79">
        <f>'Standing charge factors'!X51</f>
        <v>0</v>
      </c>
      <c r="Y30" s="79">
        <f>'Standing charge factors'!Y51</f>
        <v>0</v>
      </c>
      <c r="Z30" s="79">
        <f>'Standing charge factors'!Z51</f>
        <v>0</v>
      </c>
      <c r="AA30" s="79">
        <f>'Standing charge factors'!AA51</f>
        <v>0</v>
      </c>
      <c r="AB30" s="79">
        <f>'Standing charge factors'!AB51</f>
        <v>0</v>
      </c>
      <c r="AC30" s="79">
        <f>'Standing charge factors'!AC51</f>
        <v>0</v>
      </c>
      <c r="AD30" s="79">
        <f>'Standing charge factors'!AD51</f>
        <v>0</v>
      </c>
      <c r="AE30" s="79">
        <f>'Standing charge factors'!AE51</f>
        <v>0</v>
      </c>
      <c r="AF30" s="79">
        <f>'Standing charge factors'!AF51</f>
        <v>0</v>
      </c>
      <c r="AG30" s="79">
        <f>'Standing charge factors'!AG51</f>
        <v>0</v>
      </c>
      <c r="AH30" s="79">
        <f>'Standing charge factors'!AH51</f>
        <v>0</v>
      </c>
      <c r="AI30" s="79">
        <f>'Standing charge factors'!AI51</f>
        <v>0</v>
      </c>
      <c r="AJ30" s="79">
        <f>'Standing charge factors'!AJ51</f>
        <v>0</v>
      </c>
      <c r="AK30" s="79">
        <f>'Standing charge factors'!AK51</f>
        <v>0</v>
      </c>
      <c r="AL30" s="79">
        <f>'Standing charge factors'!AL51</f>
        <v>0</v>
      </c>
      <c r="AM30" s="79">
        <f>'Standing charge factors'!AM51</f>
        <v>0</v>
      </c>
      <c r="AN30" s="79">
        <f>'Standing charge factors'!AN51</f>
        <v>0</v>
      </c>
      <c r="AO30" s="79">
        <f>'Standing charge factors'!AO51</f>
        <v>0</v>
      </c>
      <c r="AP30" s="79">
        <f>'Standing charge factors'!AP51</f>
        <v>0</v>
      </c>
      <c r="AS30" s="160"/>
      <c r="BH30" s="136"/>
    </row>
    <row r="31" spans="3:60" x14ac:dyDescent="0.25">
      <c r="E31" s="74"/>
      <c r="F31" s="140" t="s">
        <v>50</v>
      </c>
      <c r="G31" s="140" t="s">
        <v>111</v>
      </c>
      <c r="H31" s="20"/>
      <c r="I31" s="140"/>
      <c r="J31" s="80">
        <f>'Standing charge factors'!J52</f>
        <v>1</v>
      </c>
      <c r="K31" s="80">
        <f>'Standing charge factors'!K52</f>
        <v>1</v>
      </c>
      <c r="L31" s="80">
        <f>'Standing charge factors'!L52</f>
        <v>1</v>
      </c>
      <c r="M31" s="80">
        <f>'Standing charge factors'!M52</f>
        <v>1</v>
      </c>
      <c r="N31" s="80">
        <f>'Standing charge factors'!N52</f>
        <v>1</v>
      </c>
      <c r="O31" s="80">
        <f>'Standing charge factors'!O52</f>
        <v>1</v>
      </c>
      <c r="P31" s="80">
        <f>'Standing charge factors'!P52</f>
        <v>1</v>
      </c>
      <c r="Q31" s="80">
        <f>'Standing charge factors'!Q52</f>
        <v>0</v>
      </c>
      <c r="R31" s="80">
        <f>'Standing charge factors'!R52</f>
        <v>0</v>
      </c>
      <c r="S31" s="80">
        <f>'Standing charge factors'!S52</f>
        <v>1</v>
      </c>
      <c r="T31" s="80">
        <f>'Standing charge factors'!T52</f>
        <v>1</v>
      </c>
      <c r="U31" s="80">
        <f>'Standing charge factors'!U52</f>
        <v>1</v>
      </c>
      <c r="V31" s="80">
        <f>'Standing charge factors'!V52</f>
        <v>0</v>
      </c>
      <c r="W31" s="80">
        <f>'Standing charge factors'!W52</f>
        <v>0</v>
      </c>
      <c r="X31" s="80">
        <f>'Standing charge factors'!X52</f>
        <v>0</v>
      </c>
      <c r="Y31" s="80">
        <f>'Standing charge factors'!Y52</f>
        <v>0</v>
      </c>
      <c r="Z31" s="80">
        <f>'Standing charge factors'!Z52</f>
        <v>0</v>
      </c>
      <c r="AA31" s="80">
        <f>'Standing charge factors'!AA52</f>
        <v>0</v>
      </c>
      <c r="AB31" s="80">
        <f>'Standing charge factors'!AB52</f>
        <v>0</v>
      </c>
      <c r="AC31" s="80">
        <f>'Standing charge factors'!AC52</f>
        <v>0</v>
      </c>
      <c r="AD31" s="80">
        <f>'Standing charge factors'!AD52</f>
        <v>0</v>
      </c>
      <c r="AE31" s="80">
        <f>'Standing charge factors'!AE52</f>
        <v>0</v>
      </c>
      <c r="AF31" s="80">
        <f>'Standing charge factors'!AF52</f>
        <v>0</v>
      </c>
      <c r="AG31" s="80">
        <f>'Standing charge factors'!AG52</f>
        <v>0</v>
      </c>
      <c r="AH31" s="80">
        <f>'Standing charge factors'!AH52</f>
        <v>0</v>
      </c>
      <c r="AI31" s="80">
        <f>'Standing charge factors'!AI52</f>
        <v>0</v>
      </c>
      <c r="AJ31" s="80">
        <f>'Standing charge factors'!AJ52</f>
        <v>0</v>
      </c>
      <c r="AK31" s="80">
        <f>'Standing charge factors'!AK52</f>
        <v>0</v>
      </c>
      <c r="AL31" s="80">
        <f>'Standing charge factors'!AL52</f>
        <v>0</v>
      </c>
      <c r="AM31" s="80">
        <f>'Standing charge factors'!AM52</f>
        <v>0</v>
      </c>
      <c r="AN31" s="80">
        <f>'Standing charge factors'!AN52</f>
        <v>0</v>
      </c>
      <c r="AO31" s="80">
        <f>'Standing charge factors'!AO52</f>
        <v>0</v>
      </c>
      <c r="AP31" s="80">
        <f>'Standing charge factors'!AP52</f>
        <v>0</v>
      </c>
      <c r="AS31" s="160"/>
      <c r="BH31" s="136"/>
    </row>
    <row r="32" spans="3:60" x14ac:dyDescent="0.25">
      <c r="E32" s="74"/>
      <c r="F32" s="139"/>
      <c r="G32" s="139"/>
      <c r="H32" s="139"/>
      <c r="I32" s="139"/>
      <c r="J32" s="142"/>
      <c r="K32" s="142"/>
      <c r="L32" s="142"/>
      <c r="M32" s="142"/>
      <c r="N32" s="142"/>
      <c r="O32" s="142"/>
      <c r="P32" s="33"/>
      <c r="Q32" s="33"/>
      <c r="R32" s="33"/>
      <c r="S32" s="33"/>
      <c r="AS32" s="160"/>
      <c r="BH32" s="136"/>
    </row>
    <row r="33" spans="1:60" s="160" customFormat="1" x14ac:dyDescent="0.25">
      <c r="E33" s="172" t="s">
        <v>734</v>
      </c>
      <c r="F33" s="167"/>
      <c r="G33" s="167"/>
      <c r="H33" s="167"/>
      <c r="I33" s="160" t="s">
        <v>525</v>
      </c>
      <c r="J33" s="170"/>
      <c r="K33" s="170"/>
      <c r="L33" s="170"/>
      <c r="M33" s="170"/>
      <c r="N33" s="170"/>
      <c r="O33" s="170"/>
      <c r="P33" s="165"/>
      <c r="Q33" s="165"/>
      <c r="R33" s="165"/>
      <c r="S33" s="165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  <c r="AH33" s="165"/>
      <c r="AI33" s="165"/>
      <c r="AJ33" s="165"/>
      <c r="AK33" s="165"/>
      <c r="AL33" s="165"/>
      <c r="AM33" s="165"/>
      <c r="AN33" s="165"/>
      <c r="AO33" s="165"/>
      <c r="AP33" s="165"/>
      <c r="AR33" s="160" t="s">
        <v>1010</v>
      </c>
      <c r="BH33" s="163"/>
    </row>
    <row r="34" spans="1:60" s="160" customFormat="1" x14ac:dyDescent="0.25">
      <c r="E34" s="74"/>
      <c r="F34" s="166" t="s">
        <v>43</v>
      </c>
      <c r="G34" s="166" t="s">
        <v>636</v>
      </c>
      <c r="H34" s="443"/>
      <c r="I34" s="443"/>
      <c r="J34" s="438">
        <f t="array" ref="J34">TRANSPOSE('Load &amp; loss characteristics'!K230:S262)</f>
        <v>1.089</v>
      </c>
      <c r="K34" s="438">
        <f>'Load &amp; loss characteristics'!K231</f>
        <v>1.089</v>
      </c>
      <c r="L34" s="438">
        <f>'Load &amp; loss characteristics'!K232</f>
        <v>1.089</v>
      </c>
      <c r="M34" s="438">
        <f>'Load &amp; loss characteristics'!K233</f>
        <v>1.089</v>
      </c>
      <c r="N34" s="438">
        <f>'Load &amp; loss characteristics'!K234</f>
        <v>1.089</v>
      </c>
      <c r="O34" s="438">
        <f>'Load &amp; loss characteristics'!K235</f>
        <v>1.089</v>
      </c>
      <c r="P34" s="438">
        <f>'Load &amp; loss characteristics'!K236</f>
        <v>1.089</v>
      </c>
      <c r="Q34" s="438">
        <f>'Load &amp; loss characteristics'!K237</f>
        <v>1.046</v>
      </c>
      <c r="R34" s="438">
        <f>'Load &amp; loss characteristics'!K238</f>
        <v>1.0309999999999999</v>
      </c>
      <c r="S34" s="438">
        <f>'Load &amp; loss characteristics'!K239</f>
        <v>1.089</v>
      </c>
      <c r="T34" s="438">
        <f>'Load &amp; loss characteristics'!K240</f>
        <v>1.089</v>
      </c>
      <c r="U34" s="438">
        <f>'Load &amp; loss characteristics'!K241</f>
        <v>1.089</v>
      </c>
      <c r="V34" s="438">
        <f>'Load &amp; loss characteristics'!K242</f>
        <v>1.046</v>
      </c>
      <c r="W34" s="438">
        <f>'Load &amp; loss characteristics'!K243</f>
        <v>1.0309999999999999</v>
      </c>
      <c r="X34" s="438">
        <f>'Load &amp; loss characteristics'!K244</f>
        <v>1.089</v>
      </c>
      <c r="Y34" s="438">
        <f>'Load &amp; loss characteristics'!K245</f>
        <v>1.089</v>
      </c>
      <c r="Z34" s="438">
        <f>'Load &amp; loss characteristics'!K246</f>
        <v>1.089</v>
      </c>
      <c r="AA34" s="438">
        <f>'Load &amp; loss characteristics'!K247</f>
        <v>1.089</v>
      </c>
      <c r="AB34" s="438">
        <f>'Load &amp; loss characteristics'!K248</f>
        <v>1.089</v>
      </c>
      <c r="AC34" s="438">
        <f>'Load &amp; loss characteristics'!K249</f>
        <v>-1.089</v>
      </c>
      <c r="AD34" s="438">
        <f>'Load &amp; loss characteristics'!K250</f>
        <v>-1.046</v>
      </c>
      <c r="AE34" s="438">
        <f>'Load &amp; loss characteristics'!K251</f>
        <v>-1.089</v>
      </c>
      <c r="AF34" s="438">
        <f>'Load &amp; loss characteristics'!K252</f>
        <v>-1.089</v>
      </c>
      <c r="AG34" s="438">
        <f>'Load &amp; loss characteristics'!K253</f>
        <v>-1.089</v>
      </c>
      <c r="AH34" s="438">
        <f>'Load &amp; loss characteristics'!K254</f>
        <v>-1.089</v>
      </c>
      <c r="AI34" s="438">
        <f>'Load &amp; loss characteristics'!K255</f>
        <v>-1.046</v>
      </c>
      <c r="AJ34" s="438">
        <f>'Load &amp; loss characteristics'!K256</f>
        <v>-1.046</v>
      </c>
      <c r="AK34" s="438">
        <f>'Load &amp; loss characteristics'!K257</f>
        <v>-1.046</v>
      </c>
      <c r="AL34" s="438">
        <f>'Load &amp; loss characteristics'!K258</f>
        <v>-1.046</v>
      </c>
      <c r="AM34" s="438">
        <f>'Load &amp; loss characteristics'!K259</f>
        <v>-1.0309999999999999</v>
      </c>
      <c r="AN34" s="438">
        <f>'Load &amp; loss characteristics'!K260</f>
        <v>-1.0309999999999999</v>
      </c>
      <c r="AO34" s="438">
        <f>'Load &amp; loss characteristics'!K261</f>
        <v>-1.0309999999999999</v>
      </c>
      <c r="AP34" s="438">
        <f>'Load &amp; loss characteristics'!K262</f>
        <v>-1.0309999999999999</v>
      </c>
      <c r="BH34" s="163"/>
    </row>
    <row r="35" spans="1:60" s="160" customFormat="1" x14ac:dyDescent="0.25">
      <c r="E35" s="74"/>
      <c r="F35" s="167" t="s">
        <v>44</v>
      </c>
      <c r="G35" s="167" t="s">
        <v>636</v>
      </c>
      <c r="H35" s="435"/>
      <c r="I35" s="435"/>
      <c r="J35" s="437">
        <f>'Load &amp; loss characteristics'!L230</f>
        <v>1.089</v>
      </c>
      <c r="K35" s="437">
        <f>'Load &amp; loss characteristics'!L231</f>
        <v>1.089</v>
      </c>
      <c r="L35" s="437">
        <f>'Load &amp; loss characteristics'!L232</f>
        <v>1.089</v>
      </c>
      <c r="M35" s="437">
        <f>'Load &amp; loss characteristics'!L233</f>
        <v>1.089</v>
      </c>
      <c r="N35" s="437">
        <f>'Load &amp; loss characteristics'!L234</f>
        <v>1.089</v>
      </c>
      <c r="O35" s="437">
        <f>'Load &amp; loss characteristics'!L235</f>
        <v>1.089</v>
      </c>
      <c r="P35" s="437">
        <f>'Load &amp; loss characteristics'!L236</f>
        <v>1.089</v>
      </c>
      <c r="Q35" s="437">
        <f>'Load &amp; loss characteristics'!L237</f>
        <v>1.046</v>
      </c>
      <c r="R35" s="437">
        <f>'Load &amp; loss characteristics'!L238</f>
        <v>1.0309999999999999</v>
      </c>
      <c r="S35" s="437">
        <f>'Load &amp; loss characteristics'!L239</f>
        <v>1.089</v>
      </c>
      <c r="T35" s="437">
        <f>'Load &amp; loss characteristics'!L240</f>
        <v>1.089</v>
      </c>
      <c r="U35" s="437">
        <f>'Load &amp; loss characteristics'!L241</f>
        <v>1.089</v>
      </c>
      <c r="V35" s="437">
        <f>'Load &amp; loss characteristics'!L242</f>
        <v>1.046</v>
      </c>
      <c r="W35" s="437">
        <f>'Load &amp; loss characteristics'!L243</f>
        <v>1.0309999999999999</v>
      </c>
      <c r="X35" s="437">
        <f>'Load &amp; loss characteristics'!L244</f>
        <v>1.089</v>
      </c>
      <c r="Y35" s="437">
        <f>'Load &amp; loss characteristics'!L245</f>
        <v>1.089</v>
      </c>
      <c r="Z35" s="437">
        <f>'Load &amp; loss characteristics'!L246</f>
        <v>1.089</v>
      </c>
      <c r="AA35" s="437">
        <f>'Load &amp; loss characteristics'!L247</f>
        <v>1.089</v>
      </c>
      <c r="AB35" s="437">
        <f>'Load &amp; loss characteristics'!L248</f>
        <v>1.089</v>
      </c>
      <c r="AC35" s="437">
        <f>'Load &amp; loss characteristics'!L249</f>
        <v>-1.089</v>
      </c>
      <c r="AD35" s="437">
        <f>'Load &amp; loss characteristics'!L250</f>
        <v>-1.046</v>
      </c>
      <c r="AE35" s="437">
        <f>'Load &amp; loss characteristics'!L251</f>
        <v>-1.089</v>
      </c>
      <c r="AF35" s="437">
        <f>'Load &amp; loss characteristics'!L252</f>
        <v>-1.089</v>
      </c>
      <c r="AG35" s="437">
        <f>'Load &amp; loss characteristics'!L253</f>
        <v>-1.089</v>
      </c>
      <c r="AH35" s="437">
        <f>'Load &amp; loss characteristics'!L254</f>
        <v>-1.089</v>
      </c>
      <c r="AI35" s="437">
        <f>'Load &amp; loss characteristics'!L255</f>
        <v>-1.046</v>
      </c>
      <c r="AJ35" s="437">
        <f>'Load &amp; loss characteristics'!L256</f>
        <v>-1.046</v>
      </c>
      <c r="AK35" s="437">
        <f>'Load &amp; loss characteristics'!L257</f>
        <v>-1.046</v>
      </c>
      <c r="AL35" s="437">
        <f>'Load &amp; loss characteristics'!L258</f>
        <v>-1.046</v>
      </c>
      <c r="AM35" s="437">
        <f>'Load &amp; loss characteristics'!L259</f>
        <v>-1.0309999999999999</v>
      </c>
      <c r="AN35" s="437">
        <f>'Load &amp; loss characteristics'!L260</f>
        <v>-1.0309999999999999</v>
      </c>
      <c r="AO35" s="437">
        <f>'Load &amp; loss characteristics'!L261</f>
        <v>-1.0309999999999999</v>
      </c>
      <c r="AP35" s="437">
        <f>'Load &amp; loss characteristics'!L262</f>
        <v>-1.0309999999999999</v>
      </c>
      <c r="BH35" s="163"/>
    </row>
    <row r="36" spans="1:60" s="160" customFormat="1" x14ac:dyDescent="0.25">
      <c r="E36" s="74"/>
      <c r="F36" s="167" t="s">
        <v>45</v>
      </c>
      <c r="G36" s="167" t="s">
        <v>636</v>
      </c>
      <c r="H36" s="435"/>
      <c r="I36" s="435"/>
      <c r="J36" s="437">
        <f>'Load &amp; loss characteristics'!M230</f>
        <v>1.089</v>
      </c>
      <c r="K36" s="437">
        <f>'Load &amp; loss characteristics'!M231</f>
        <v>1.089</v>
      </c>
      <c r="L36" s="437">
        <f>'Load &amp; loss characteristics'!M232</f>
        <v>1.089</v>
      </c>
      <c r="M36" s="437">
        <f>'Load &amp; loss characteristics'!M233</f>
        <v>1.089</v>
      </c>
      <c r="N36" s="437">
        <f>'Load &amp; loss characteristics'!M234</f>
        <v>1.089</v>
      </c>
      <c r="O36" s="437">
        <f>'Load &amp; loss characteristics'!M235</f>
        <v>1.089</v>
      </c>
      <c r="P36" s="437">
        <f>'Load &amp; loss characteristics'!M236</f>
        <v>1.089</v>
      </c>
      <c r="Q36" s="437">
        <f>'Load &amp; loss characteristics'!M237</f>
        <v>1.046</v>
      </c>
      <c r="R36" s="437">
        <f>'Load &amp; loss characteristics'!M238</f>
        <v>1.0309999999999999</v>
      </c>
      <c r="S36" s="437">
        <f>'Load &amp; loss characteristics'!M239</f>
        <v>1.089</v>
      </c>
      <c r="T36" s="437">
        <f>'Load &amp; loss characteristics'!M240</f>
        <v>1.089</v>
      </c>
      <c r="U36" s="437">
        <f>'Load &amp; loss characteristics'!M241</f>
        <v>1.089</v>
      </c>
      <c r="V36" s="437">
        <f>'Load &amp; loss characteristics'!M242</f>
        <v>1.046</v>
      </c>
      <c r="W36" s="437">
        <f>'Load &amp; loss characteristics'!M243</f>
        <v>1.0309999999999999</v>
      </c>
      <c r="X36" s="437">
        <f>'Load &amp; loss characteristics'!M244</f>
        <v>1.089</v>
      </c>
      <c r="Y36" s="437">
        <f>'Load &amp; loss characteristics'!M245</f>
        <v>1.089</v>
      </c>
      <c r="Z36" s="437">
        <f>'Load &amp; loss characteristics'!M246</f>
        <v>1.089</v>
      </c>
      <c r="AA36" s="437">
        <f>'Load &amp; loss characteristics'!M247</f>
        <v>1.089</v>
      </c>
      <c r="AB36" s="437">
        <f>'Load &amp; loss characteristics'!M248</f>
        <v>1.089</v>
      </c>
      <c r="AC36" s="437">
        <f>'Load &amp; loss characteristics'!M249</f>
        <v>-1.089</v>
      </c>
      <c r="AD36" s="437">
        <f>'Load &amp; loss characteristics'!M250</f>
        <v>-1.046</v>
      </c>
      <c r="AE36" s="437">
        <f>'Load &amp; loss characteristics'!M251</f>
        <v>-1.089</v>
      </c>
      <c r="AF36" s="437">
        <f>'Load &amp; loss characteristics'!M252</f>
        <v>-1.089</v>
      </c>
      <c r="AG36" s="437">
        <f>'Load &amp; loss characteristics'!M253</f>
        <v>-1.089</v>
      </c>
      <c r="AH36" s="437">
        <f>'Load &amp; loss characteristics'!M254</f>
        <v>-1.089</v>
      </c>
      <c r="AI36" s="437">
        <f>'Load &amp; loss characteristics'!M255</f>
        <v>-1.046</v>
      </c>
      <c r="AJ36" s="437">
        <f>'Load &amp; loss characteristics'!M256</f>
        <v>-1.046</v>
      </c>
      <c r="AK36" s="437">
        <f>'Load &amp; loss characteristics'!M257</f>
        <v>-1.046</v>
      </c>
      <c r="AL36" s="437">
        <f>'Load &amp; loss characteristics'!M258</f>
        <v>-1.046</v>
      </c>
      <c r="AM36" s="437">
        <f>'Load &amp; loss characteristics'!M259</f>
        <v>-1.0309999999999999</v>
      </c>
      <c r="AN36" s="437">
        <f>'Load &amp; loss characteristics'!M260</f>
        <v>-1.0309999999999999</v>
      </c>
      <c r="AO36" s="437">
        <f>'Load &amp; loss characteristics'!M261</f>
        <v>-1.0309999999999999</v>
      </c>
      <c r="AP36" s="437">
        <f>'Load &amp; loss characteristics'!M262</f>
        <v>-1.0309999999999999</v>
      </c>
      <c r="BH36" s="163"/>
    </row>
    <row r="37" spans="1:60" s="160" customFormat="1" x14ac:dyDescent="0.25">
      <c r="E37" s="74"/>
      <c r="F37" s="167" t="s">
        <v>46</v>
      </c>
      <c r="G37" s="167" t="s">
        <v>636</v>
      </c>
      <c r="H37" s="435"/>
      <c r="I37" s="435"/>
      <c r="J37" s="437">
        <f>'Load &amp; loss characteristics'!N230</f>
        <v>1.089</v>
      </c>
      <c r="K37" s="437">
        <f>'Load &amp; loss characteristics'!N231</f>
        <v>1.089</v>
      </c>
      <c r="L37" s="437">
        <f>'Load &amp; loss characteristics'!N232</f>
        <v>1.089</v>
      </c>
      <c r="M37" s="437">
        <f>'Load &amp; loss characteristics'!N233</f>
        <v>1.089</v>
      </c>
      <c r="N37" s="437">
        <f>'Load &amp; loss characteristics'!N234</f>
        <v>1.089</v>
      </c>
      <c r="O37" s="437">
        <f>'Load &amp; loss characteristics'!N235</f>
        <v>1.089</v>
      </c>
      <c r="P37" s="437">
        <f>'Load &amp; loss characteristics'!N236</f>
        <v>1.089</v>
      </c>
      <c r="Q37" s="437">
        <f>'Load &amp; loss characteristics'!N237</f>
        <v>1.046</v>
      </c>
      <c r="R37" s="437">
        <f>'Load &amp; loss characteristics'!N238</f>
        <v>1.0309999999999999</v>
      </c>
      <c r="S37" s="437">
        <f>'Load &amp; loss characteristics'!N239</f>
        <v>1.089</v>
      </c>
      <c r="T37" s="437">
        <f>'Load &amp; loss characteristics'!N240</f>
        <v>1.089</v>
      </c>
      <c r="U37" s="437">
        <f>'Load &amp; loss characteristics'!N241</f>
        <v>1.089</v>
      </c>
      <c r="V37" s="437">
        <f>'Load &amp; loss characteristics'!N242</f>
        <v>1.046</v>
      </c>
      <c r="W37" s="437">
        <f>'Load &amp; loss characteristics'!N243</f>
        <v>1.0309999999999999</v>
      </c>
      <c r="X37" s="437">
        <f>'Load &amp; loss characteristics'!N244</f>
        <v>1.089</v>
      </c>
      <c r="Y37" s="437">
        <f>'Load &amp; loss characteristics'!N245</f>
        <v>1.089</v>
      </c>
      <c r="Z37" s="437">
        <f>'Load &amp; loss characteristics'!N246</f>
        <v>1.089</v>
      </c>
      <c r="AA37" s="437">
        <f>'Load &amp; loss characteristics'!N247</f>
        <v>1.089</v>
      </c>
      <c r="AB37" s="437">
        <f>'Load &amp; loss characteristics'!N248</f>
        <v>1.089</v>
      </c>
      <c r="AC37" s="437">
        <f>'Load &amp; loss characteristics'!N249</f>
        <v>-1.089</v>
      </c>
      <c r="AD37" s="437">
        <f>'Load &amp; loss characteristics'!N250</f>
        <v>-1.046</v>
      </c>
      <c r="AE37" s="437">
        <f>'Load &amp; loss characteristics'!N251</f>
        <v>-1.089</v>
      </c>
      <c r="AF37" s="437">
        <f>'Load &amp; loss characteristics'!N252</f>
        <v>-1.089</v>
      </c>
      <c r="AG37" s="437">
        <f>'Load &amp; loss characteristics'!N253</f>
        <v>-1.089</v>
      </c>
      <c r="AH37" s="437">
        <f>'Load &amp; loss characteristics'!N254</f>
        <v>-1.089</v>
      </c>
      <c r="AI37" s="437">
        <f>'Load &amp; loss characteristics'!N255</f>
        <v>-1.046</v>
      </c>
      <c r="AJ37" s="437">
        <f>'Load &amp; loss characteristics'!N256</f>
        <v>-1.046</v>
      </c>
      <c r="AK37" s="437">
        <f>'Load &amp; loss characteristics'!N257</f>
        <v>-1.046</v>
      </c>
      <c r="AL37" s="437">
        <f>'Load &amp; loss characteristics'!N258</f>
        <v>-1.046</v>
      </c>
      <c r="AM37" s="437">
        <f>'Load &amp; loss characteristics'!N259</f>
        <v>-1.0309999999999999</v>
      </c>
      <c r="AN37" s="437">
        <f>'Load &amp; loss characteristics'!N260</f>
        <v>-1.0309999999999999</v>
      </c>
      <c r="AO37" s="437">
        <f>'Load &amp; loss characteristics'!N261</f>
        <v>-1.0309999999999999</v>
      </c>
      <c r="AP37" s="437">
        <f>'Load &amp; loss characteristics'!N262</f>
        <v>-1.0309999999999999</v>
      </c>
      <c r="BH37" s="163"/>
    </row>
    <row r="38" spans="1:60" s="160" customFormat="1" x14ac:dyDescent="0.25">
      <c r="E38" s="74"/>
      <c r="F38" s="167" t="s">
        <v>47</v>
      </c>
      <c r="G38" s="167" t="s">
        <v>636</v>
      </c>
      <c r="H38" s="435"/>
      <c r="I38" s="435"/>
      <c r="J38" s="437">
        <f>'Load &amp; loss characteristics'!O230</f>
        <v>1.089</v>
      </c>
      <c r="K38" s="437">
        <f>'Load &amp; loss characteristics'!O231</f>
        <v>1.089</v>
      </c>
      <c r="L38" s="437">
        <f>'Load &amp; loss characteristics'!O232</f>
        <v>1.089</v>
      </c>
      <c r="M38" s="437">
        <f>'Load &amp; loss characteristics'!O233</f>
        <v>1.089</v>
      </c>
      <c r="N38" s="437">
        <f>'Load &amp; loss characteristics'!O234</f>
        <v>1.089</v>
      </c>
      <c r="O38" s="437">
        <f>'Load &amp; loss characteristics'!O235</f>
        <v>1.089</v>
      </c>
      <c r="P38" s="437">
        <f>'Load &amp; loss characteristics'!O236</f>
        <v>1.089</v>
      </c>
      <c r="Q38" s="437">
        <f>'Load &amp; loss characteristics'!O237</f>
        <v>1.046</v>
      </c>
      <c r="R38" s="437">
        <f>'Load &amp; loss characteristics'!O238</f>
        <v>1.0309999999999999</v>
      </c>
      <c r="S38" s="437">
        <f>'Load &amp; loss characteristics'!O239</f>
        <v>1.089</v>
      </c>
      <c r="T38" s="437">
        <f>'Load &amp; loss characteristics'!O240</f>
        <v>1.089</v>
      </c>
      <c r="U38" s="437">
        <f>'Load &amp; loss characteristics'!O241</f>
        <v>1.089</v>
      </c>
      <c r="V38" s="437">
        <f>'Load &amp; loss characteristics'!O242</f>
        <v>1.046</v>
      </c>
      <c r="W38" s="437">
        <f>'Load &amp; loss characteristics'!O243</f>
        <v>1.0309999999999999</v>
      </c>
      <c r="X38" s="437">
        <f>'Load &amp; loss characteristics'!O244</f>
        <v>1.089</v>
      </c>
      <c r="Y38" s="437">
        <f>'Load &amp; loss characteristics'!O245</f>
        <v>1.089</v>
      </c>
      <c r="Z38" s="437">
        <f>'Load &amp; loss characteristics'!O246</f>
        <v>1.089</v>
      </c>
      <c r="AA38" s="437">
        <f>'Load &amp; loss characteristics'!O247</f>
        <v>1.089</v>
      </c>
      <c r="AB38" s="437">
        <f>'Load &amp; loss characteristics'!O248</f>
        <v>1.089</v>
      </c>
      <c r="AC38" s="437">
        <f>'Load &amp; loss characteristics'!O249</f>
        <v>-1.089</v>
      </c>
      <c r="AD38" s="437">
        <f>'Load &amp; loss characteristics'!O250</f>
        <v>-1.046</v>
      </c>
      <c r="AE38" s="437">
        <f>'Load &amp; loss characteristics'!O251</f>
        <v>-1.089</v>
      </c>
      <c r="AF38" s="437">
        <f>'Load &amp; loss characteristics'!O252</f>
        <v>-1.089</v>
      </c>
      <c r="AG38" s="437">
        <f>'Load &amp; loss characteristics'!O253</f>
        <v>-1.089</v>
      </c>
      <c r="AH38" s="437">
        <f>'Load &amp; loss characteristics'!O254</f>
        <v>-1.089</v>
      </c>
      <c r="AI38" s="437">
        <f>'Load &amp; loss characteristics'!O255</f>
        <v>-1.046</v>
      </c>
      <c r="AJ38" s="437">
        <f>'Load &amp; loss characteristics'!O256</f>
        <v>-1.046</v>
      </c>
      <c r="AK38" s="437">
        <f>'Load &amp; loss characteristics'!O257</f>
        <v>-1.046</v>
      </c>
      <c r="AL38" s="437">
        <f>'Load &amp; loss characteristics'!O258</f>
        <v>-1.046</v>
      </c>
      <c r="AM38" s="437">
        <f>'Load &amp; loss characteristics'!O259</f>
        <v>-1.0309999999999999</v>
      </c>
      <c r="AN38" s="437">
        <f>'Load &amp; loss characteristics'!O260</f>
        <v>-1.0309999999999999</v>
      </c>
      <c r="AO38" s="437">
        <f>'Load &amp; loss characteristics'!O261</f>
        <v>-1.0309999999999999</v>
      </c>
      <c r="AP38" s="437">
        <f>'Load &amp; loss characteristics'!O262</f>
        <v>-1.0309999999999999</v>
      </c>
      <c r="BH38" s="163"/>
    </row>
    <row r="39" spans="1:60" s="160" customFormat="1" x14ac:dyDescent="0.25">
      <c r="E39" s="74"/>
      <c r="F39" s="167" t="s">
        <v>51</v>
      </c>
      <c r="G39" s="167" t="s">
        <v>636</v>
      </c>
      <c r="H39" s="435"/>
      <c r="I39" s="435"/>
      <c r="J39" s="437">
        <f>'Load &amp; loss characteristics'!P230</f>
        <v>0</v>
      </c>
      <c r="K39" s="437">
        <f>'Load &amp; loss characteristics'!P231</f>
        <v>0</v>
      </c>
      <c r="L39" s="437">
        <f>'Load &amp; loss characteristics'!P232</f>
        <v>0</v>
      </c>
      <c r="M39" s="437">
        <f>'Load &amp; loss characteristics'!P233</f>
        <v>0</v>
      </c>
      <c r="N39" s="437">
        <f>'Load &amp; loss characteristics'!P234</f>
        <v>0</v>
      </c>
      <c r="O39" s="437">
        <f>'Load &amp; loss characteristics'!P235</f>
        <v>0</v>
      </c>
      <c r="P39" s="437">
        <f>'Load &amp; loss characteristics'!P236</f>
        <v>0</v>
      </c>
      <c r="Q39" s="437">
        <f>'Load &amp; loss characteristics'!P237</f>
        <v>0</v>
      </c>
      <c r="R39" s="437">
        <f>'Load &amp; loss characteristics'!P238</f>
        <v>0</v>
      </c>
      <c r="S39" s="437">
        <f>'Load &amp; loss characteristics'!P239</f>
        <v>0</v>
      </c>
      <c r="T39" s="437">
        <f>'Load &amp; loss characteristics'!P240</f>
        <v>0</v>
      </c>
      <c r="U39" s="437">
        <f>'Load &amp; loss characteristics'!P241</f>
        <v>0</v>
      </c>
      <c r="V39" s="437">
        <f>'Load &amp; loss characteristics'!P242</f>
        <v>0</v>
      </c>
      <c r="W39" s="437">
        <f>'Load &amp; loss characteristics'!P243</f>
        <v>0</v>
      </c>
      <c r="X39" s="437">
        <f>'Load &amp; loss characteristics'!P244</f>
        <v>0</v>
      </c>
      <c r="Y39" s="437">
        <f>'Load &amp; loss characteristics'!P245</f>
        <v>0</v>
      </c>
      <c r="Z39" s="437">
        <f>'Load &amp; loss characteristics'!P246</f>
        <v>0</v>
      </c>
      <c r="AA39" s="437">
        <f>'Load &amp; loss characteristics'!P247</f>
        <v>0</v>
      </c>
      <c r="AB39" s="437">
        <f>'Load &amp; loss characteristics'!P248</f>
        <v>0</v>
      </c>
      <c r="AC39" s="437">
        <f>'Load &amp; loss characteristics'!P249</f>
        <v>0</v>
      </c>
      <c r="AD39" s="437">
        <f>'Load &amp; loss characteristics'!P250</f>
        <v>0</v>
      </c>
      <c r="AE39" s="437">
        <f>'Load &amp; loss characteristics'!P251</f>
        <v>0</v>
      </c>
      <c r="AF39" s="437">
        <f>'Load &amp; loss characteristics'!P252</f>
        <v>0</v>
      </c>
      <c r="AG39" s="437">
        <f>'Load &amp; loss characteristics'!P253</f>
        <v>0</v>
      </c>
      <c r="AH39" s="437">
        <f>'Load &amp; loss characteristics'!P254</f>
        <v>0</v>
      </c>
      <c r="AI39" s="437">
        <f>'Load &amp; loss characteristics'!P255</f>
        <v>0</v>
      </c>
      <c r="AJ39" s="437">
        <f>'Load &amp; loss characteristics'!P256</f>
        <v>0</v>
      </c>
      <c r="AK39" s="437">
        <f>'Load &amp; loss characteristics'!P257</f>
        <v>0</v>
      </c>
      <c r="AL39" s="437">
        <f>'Load &amp; loss characteristics'!P258</f>
        <v>0</v>
      </c>
      <c r="AM39" s="437">
        <f>'Load &amp; loss characteristics'!P259</f>
        <v>0</v>
      </c>
      <c r="AN39" s="437">
        <f>'Load &amp; loss characteristics'!P260</f>
        <v>0</v>
      </c>
      <c r="AO39" s="437">
        <f>'Load &amp; loss characteristics'!P261</f>
        <v>0</v>
      </c>
      <c r="AP39" s="437">
        <f>'Load &amp; loss characteristics'!P262</f>
        <v>0</v>
      </c>
      <c r="BH39" s="163"/>
    </row>
    <row r="40" spans="1:60" s="160" customFormat="1" x14ac:dyDescent="0.25">
      <c r="E40" s="74"/>
      <c r="F40" s="167" t="s">
        <v>48</v>
      </c>
      <c r="G40" s="167" t="s">
        <v>636</v>
      </c>
      <c r="H40" s="435"/>
      <c r="I40" s="435"/>
      <c r="J40" s="437">
        <f>'Load &amp; loss characteristics'!Q230</f>
        <v>1.089</v>
      </c>
      <c r="K40" s="437">
        <f>'Load &amp; loss characteristics'!Q231</f>
        <v>1.089</v>
      </c>
      <c r="L40" s="437">
        <f>'Load &amp; loss characteristics'!Q232</f>
        <v>1.089</v>
      </c>
      <c r="M40" s="437">
        <f>'Load &amp; loss characteristics'!Q233</f>
        <v>1.089</v>
      </c>
      <c r="N40" s="437">
        <f>'Load &amp; loss characteristics'!Q234</f>
        <v>1.089</v>
      </c>
      <c r="O40" s="437">
        <f>'Load &amp; loss characteristics'!Q235</f>
        <v>1.089</v>
      </c>
      <c r="P40" s="437">
        <f>'Load &amp; loss characteristics'!Q236</f>
        <v>1.089</v>
      </c>
      <c r="Q40" s="437">
        <f>'Load &amp; loss characteristics'!Q237</f>
        <v>1.046</v>
      </c>
      <c r="R40" s="437">
        <f>'Load &amp; loss characteristics'!Q238</f>
        <v>1.0309999999999999</v>
      </c>
      <c r="S40" s="437">
        <f>'Load &amp; loss characteristics'!Q239</f>
        <v>1.089</v>
      </c>
      <c r="T40" s="437">
        <f>'Load &amp; loss characteristics'!Q240</f>
        <v>1.089</v>
      </c>
      <c r="U40" s="437">
        <f>'Load &amp; loss characteristics'!Q241</f>
        <v>1.089</v>
      </c>
      <c r="V40" s="437">
        <f>'Load &amp; loss characteristics'!Q242</f>
        <v>1.046</v>
      </c>
      <c r="W40" s="437">
        <f>'Load &amp; loss characteristics'!Q243</f>
        <v>1.0309999999999999</v>
      </c>
      <c r="X40" s="437">
        <f>'Load &amp; loss characteristics'!Q244</f>
        <v>1.089</v>
      </c>
      <c r="Y40" s="437">
        <f>'Load &amp; loss characteristics'!Q245</f>
        <v>1.089</v>
      </c>
      <c r="Z40" s="437">
        <f>'Load &amp; loss characteristics'!Q246</f>
        <v>1.089</v>
      </c>
      <c r="AA40" s="437">
        <f>'Load &amp; loss characteristics'!Q247</f>
        <v>1.089</v>
      </c>
      <c r="AB40" s="437">
        <f>'Load &amp; loss characteristics'!Q248</f>
        <v>1.089</v>
      </c>
      <c r="AC40" s="437">
        <f>'Load &amp; loss characteristics'!Q249</f>
        <v>-1.089</v>
      </c>
      <c r="AD40" s="437">
        <f>'Load &amp; loss characteristics'!Q250</f>
        <v>-1.046</v>
      </c>
      <c r="AE40" s="437">
        <f>'Load &amp; loss characteristics'!Q251</f>
        <v>-1.089</v>
      </c>
      <c r="AF40" s="437">
        <f>'Load &amp; loss characteristics'!Q252</f>
        <v>-1.089</v>
      </c>
      <c r="AG40" s="437">
        <f>'Load &amp; loss characteristics'!Q253</f>
        <v>-1.089</v>
      </c>
      <c r="AH40" s="437">
        <f>'Load &amp; loss characteristics'!Q254</f>
        <v>-1.089</v>
      </c>
      <c r="AI40" s="437">
        <f>'Load &amp; loss characteristics'!Q255</f>
        <v>-1.046</v>
      </c>
      <c r="AJ40" s="437">
        <f>'Load &amp; loss characteristics'!Q256</f>
        <v>-1.046</v>
      </c>
      <c r="AK40" s="437">
        <f>'Load &amp; loss characteristics'!Q257</f>
        <v>-1.046</v>
      </c>
      <c r="AL40" s="437">
        <f>'Load &amp; loss characteristics'!Q258</f>
        <v>-1.046</v>
      </c>
      <c r="AM40" s="437">
        <f>'Load &amp; loss characteristics'!Q259</f>
        <v>0</v>
      </c>
      <c r="AN40" s="437">
        <f>'Load &amp; loss characteristics'!Q260</f>
        <v>0</v>
      </c>
      <c r="AO40" s="437">
        <f>'Load &amp; loss characteristics'!Q261</f>
        <v>0</v>
      </c>
      <c r="AP40" s="437">
        <f>'Load &amp; loss characteristics'!Q262</f>
        <v>0</v>
      </c>
      <c r="BH40" s="163"/>
    </row>
    <row r="41" spans="1:60" s="160" customFormat="1" x14ac:dyDescent="0.25">
      <c r="E41" s="74"/>
      <c r="F41" s="167" t="s">
        <v>49</v>
      </c>
      <c r="G41" s="167" t="s">
        <v>636</v>
      </c>
      <c r="H41" s="435"/>
      <c r="I41" s="435"/>
      <c r="J41" s="437">
        <f>'Load &amp; loss characteristics'!R230</f>
        <v>1.089</v>
      </c>
      <c r="K41" s="437">
        <f>'Load &amp; loss characteristics'!R231</f>
        <v>1.089</v>
      </c>
      <c r="L41" s="437">
        <f>'Load &amp; loss characteristics'!R232</f>
        <v>1.089</v>
      </c>
      <c r="M41" s="437">
        <f>'Load &amp; loss characteristics'!R233</f>
        <v>1.089</v>
      </c>
      <c r="N41" s="437">
        <f>'Load &amp; loss characteristics'!R234</f>
        <v>1.089</v>
      </c>
      <c r="O41" s="437">
        <f>'Load &amp; loss characteristics'!R235</f>
        <v>1.089</v>
      </c>
      <c r="P41" s="437">
        <f>'Load &amp; loss characteristics'!R236</f>
        <v>1.089</v>
      </c>
      <c r="Q41" s="437">
        <f>'Load &amp; loss characteristics'!R237</f>
        <v>1.046</v>
      </c>
      <c r="R41" s="437">
        <f>'Load &amp; loss characteristics'!R238</f>
        <v>0</v>
      </c>
      <c r="S41" s="437">
        <f>'Load &amp; loss characteristics'!R239</f>
        <v>1.089</v>
      </c>
      <c r="T41" s="437">
        <f>'Load &amp; loss characteristics'!R240</f>
        <v>1.089</v>
      </c>
      <c r="U41" s="437">
        <f>'Load &amp; loss characteristics'!R241</f>
        <v>1.089</v>
      </c>
      <c r="V41" s="437">
        <f>'Load &amp; loss characteristics'!R242</f>
        <v>1.046</v>
      </c>
      <c r="W41" s="437">
        <f>'Load &amp; loss characteristics'!R243</f>
        <v>0</v>
      </c>
      <c r="X41" s="437">
        <f>'Load &amp; loss characteristics'!R244</f>
        <v>1.089</v>
      </c>
      <c r="Y41" s="437">
        <f>'Load &amp; loss characteristics'!R245</f>
        <v>1.089</v>
      </c>
      <c r="Z41" s="437">
        <f>'Load &amp; loss characteristics'!R246</f>
        <v>1.089</v>
      </c>
      <c r="AA41" s="437">
        <f>'Load &amp; loss characteristics'!R247</f>
        <v>1.089</v>
      </c>
      <c r="AB41" s="437">
        <f>'Load &amp; loss characteristics'!R248</f>
        <v>1.089</v>
      </c>
      <c r="AC41" s="437">
        <f>'Load &amp; loss characteristics'!R249</f>
        <v>-1.089</v>
      </c>
      <c r="AD41" s="437">
        <f>'Load &amp; loss characteristics'!R250</f>
        <v>0</v>
      </c>
      <c r="AE41" s="437">
        <f>'Load &amp; loss characteristics'!R251</f>
        <v>-1.089</v>
      </c>
      <c r="AF41" s="437">
        <f>'Load &amp; loss characteristics'!R252</f>
        <v>-1.089</v>
      </c>
      <c r="AG41" s="437">
        <f>'Load &amp; loss characteristics'!R253</f>
        <v>-1.089</v>
      </c>
      <c r="AH41" s="437">
        <f>'Load &amp; loss characteristics'!R254</f>
        <v>-1.089</v>
      </c>
      <c r="AI41" s="437">
        <f>'Load &amp; loss characteristics'!R255</f>
        <v>0</v>
      </c>
      <c r="AJ41" s="437">
        <f>'Load &amp; loss characteristics'!R256</f>
        <v>0</v>
      </c>
      <c r="AK41" s="437">
        <f>'Load &amp; loss characteristics'!R257</f>
        <v>0</v>
      </c>
      <c r="AL41" s="437">
        <f>'Load &amp; loss characteristics'!R258</f>
        <v>0</v>
      </c>
      <c r="AM41" s="437">
        <f>'Load &amp; loss characteristics'!R259</f>
        <v>0</v>
      </c>
      <c r="AN41" s="437">
        <f>'Load &amp; loss characteristics'!R260</f>
        <v>0</v>
      </c>
      <c r="AO41" s="437">
        <f>'Load &amp; loss characteristics'!R261</f>
        <v>0</v>
      </c>
      <c r="AP41" s="437">
        <f>'Load &amp; loss characteristics'!R262</f>
        <v>0</v>
      </c>
      <c r="BH41" s="163"/>
    </row>
    <row r="42" spans="1:60" s="160" customFormat="1" x14ac:dyDescent="0.25">
      <c r="E42" s="74"/>
      <c r="F42" s="168" t="s">
        <v>50</v>
      </c>
      <c r="G42" s="168" t="s">
        <v>636</v>
      </c>
      <c r="H42" s="436"/>
      <c r="I42" s="436"/>
      <c r="J42" s="440">
        <f>'Load &amp; loss characteristics'!S230</f>
        <v>1.089</v>
      </c>
      <c r="K42" s="440">
        <f>'Load &amp; loss characteristics'!S231</f>
        <v>1.089</v>
      </c>
      <c r="L42" s="440">
        <f>'Load &amp; loss characteristics'!S232</f>
        <v>1.089</v>
      </c>
      <c r="M42" s="440">
        <f>'Load &amp; loss characteristics'!S233</f>
        <v>1.089</v>
      </c>
      <c r="N42" s="440">
        <f>'Load &amp; loss characteristics'!S234</f>
        <v>1.089</v>
      </c>
      <c r="O42" s="440">
        <f>'Load &amp; loss characteristics'!S235</f>
        <v>1.089</v>
      </c>
      <c r="P42" s="440">
        <f>'Load &amp; loss characteristics'!S236</f>
        <v>1.089</v>
      </c>
      <c r="Q42" s="440">
        <f>'Load &amp; loss characteristics'!S237</f>
        <v>0</v>
      </c>
      <c r="R42" s="440">
        <f>'Load &amp; loss characteristics'!S238</f>
        <v>0</v>
      </c>
      <c r="S42" s="440">
        <f>'Load &amp; loss characteristics'!S239</f>
        <v>1.089</v>
      </c>
      <c r="T42" s="440">
        <f>'Load &amp; loss characteristics'!S240</f>
        <v>1.089</v>
      </c>
      <c r="U42" s="440">
        <f>'Load &amp; loss characteristics'!S241</f>
        <v>1.089</v>
      </c>
      <c r="V42" s="440">
        <f>'Load &amp; loss characteristics'!S242</f>
        <v>0</v>
      </c>
      <c r="W42" s="440">
        <f>'Load &amp; loss characteristics'!S243</f>
        <v>0</v>
      </c>
      <c r="X42" s="440">
        <f>'Load &amp; loss characteristics'!S244</f>
        <v>1.089</v>
      </c>
      <c r="Y42" s="440">
        <f>'Load &amp; loss characteristics'!S245</f>
        <v>1.089</v>
      </c>
      <c r="Z42" s="440">
        <f>'Load &amp; loss characteristics'!S246</f>
        <v>1.089</v>
      </c>
      <c r="AA42" s="440">
        <f>'Load &amp; loss characteristics'!S247</f>
        <v>1.089</v>
      </c>
      <c r="AB42" s="440">
        <f>'Load &amp; loss characteristics'!S248</f>
        <v>1.089</v>
      </c>
      <c r="AC42" s="440">
        <f>'Load &amp; loss characteristics'!S249</f>
        <v>0</v>
      </c>
      <c r="AD42" s="440">
        <f>'Load &amp; loss characteristics'!S250</f>
        <v>0</v>
      </c>
      <c r="AE42" s="440">
        <f>'Load &amp; loss characteristics'!S251</f>
        <v>0</v>
      </c>
      <c r="AF42" s="440">
        <f>'Load &amp; loss characteristics'!S252</f>
        <v>0</v>
      </c>
      <c r="AG42" s="440">
        <f>'Load &amp; loss characteristics'!S253</f>
        <v>0</v>
      </c>
      <c r="AH42" s="440">
        <f>'Load &amp; loss characteristics'!S254</f>
        <v>0</v>
      </c>
      <c r="AI42" s="440">
        <f>'Load &amp; loss characteristics'!S255</f>
        <v>0</v>
      </c>
      <c r="AJ42" s="440">
        <f>'Load &amp; loss characteristics'!S256</f>
        <v>0</v>
      </c>
      <c r="AK42" s="440">
        <f>'Load &amp; loss characteristics'!S257</f>
        <v>0</v>
      </c>
      <c r="AL42" s="440">
        <f>'Load &amp; loss characteristics'!S258</f>
        <v>0</v>
      </c>
      <c r="AM42" s="440">
        <f>'Load &amp; loss characteristics'!S259</f>
        <v>0</v>
      </c>
      <c r="AN42" s="440">
        <f>'Load &amp; loss characteristics'!S260</f>
        <v>0</v>
      </c>
      <c r="AO42" s="440">
        <f>'Load &amp; loss characteristics'!S261</f>
        <v>0</v>
      </c>
      <c r="AP42" s="440">
        <f>'Load &amp; loss characteristics'!S262</f>
        <v>0</v>
      </c>
      <c r="BH42" s="163"/>
    </row>
    <row r="43" spans="1:60" x14ac:dyDescent="0.25">
      <c r="A43" s="160"/>
      <c r="E43" s="74"/>
      <c r="F43" s="139"/>
      <c r="G43" s="139"/>
      <c r="H43" s="435"/>
      <c r="I43" s="435"/>
      <c r="J43" s="416"/>
      <c r="K43" s="416"/>
      <c r="L43" s="416"/>
      <c r="M43" s="416"/>
      <c r="N43" s="416"/>
      <c r="O43" s="416"/>
      <c r="P43" s="416"/>
      <c r="Q43" s="416"/>
      <c r="R43" s="416"/>
      <c r="S43" s="416"/>
      <c r="T43" s="416"/>
      <c r="U43" s="416"/>
      <c r="V43" s="416"/>
      <c r="W43" s="416"/>
      <c r="X43" s="416"/>
      <c r="Y43" s="416"/>
      <c r="Z43" s="416"/>
      <c r="AA43" s="416"/>
      <c r="AB43" s="416"/>
      <c r="AC43" s="416"/>
      <c r="AD43" s="416"/>
      <c r="AE43" s="416"/>
      <c r="AF43" s="416"/>
      <c r="AG43" s="416"/>
      <c r="AH43" s="416"/>
      <c r="AI43" s="416"/>
      <c r="AJ43" s="416"/>
      <c r="AK43" s="416"/>
      <c r="AL43" s="416"/>
      <c r="AM43" s="416"/>
      <c r="AN43" s="416"/>
      <c r="AO43" s="416"/>
      <c r="AP43" s="416"/>
      <c r="BH43" s="136"/>
    </row>
    <row r="44" spans="1:60" s="160" customFormat="1" x14ac:dyDescent="0.25">
      <c r="E44" s="74" t="s">
        <v>735</v>
      </c>
      <c r="F44" s="167"/>
      <c r="G44" s="167"/>
      <c r="H44" s="435"/>
      <c r="I44" s="435"/>
      <c r="J44" s="416"/>
      <c r="K44" s="416"/>
      <c r="L44" s="416"/>
      <c r="M44" s="416"/>
      <c r="N44" s="416"/>
      <c r="O44" s="416"/>
      <c r="P44" s="416"/>
      <c r="Q44" s="416"/>
      <c r="R44" s="416"/>
      <c r="S44" s="416"/>
      <c r="T44" s="416"/>
      <c r="U44" s="416"/>
      <c r="V44" s="416"/>
      <c r="W44" s="416"/>
      <c r="X44" s="416"/>
      <c r="Y44" s="416"/>
      <c r="Z44" s="416"/>
      <c r="AA44" s="416"/>
      <c r="AB44" s="416"/>
      <c r="AC44" s="416"/>
      <c r="AD44" s="416"/>
      <c r="AE44" s="416"/>
      <c r="AF44" s="416"/>
      <c r="AG44" s="416"/>
      <c r="AH44" s="416"/>
      <c r="AI44" s="416"/>
      <c r="AJ44" s="416"/>
      <c r="AK44" s="416"/>
      <c r="AL44" s="416"/>
      <c r="AM44" s="416"/>
      <c r="AN44" s="416"/>
      <c r="AO44" s="416"/>
      <c r="AP44" s="416"/>
      <c r="BH44" s="163"/>
    </row>
    <row r="45" spans="1:60" s="160" customFormat="1" x14ac:dyDescent="0.25">
      <c r="E45" s="74"/>
      <c r="F45" s="166" t="s">
        <v>43</v>
      </c>
      <c r="G45" s="166" t="s">
        <v>636</v>
      </c>
      <c r="H45" s="438">
        <f>'Load &amp; loss characteristics'!K29</f>
        <v>1</v>
      </c>
      <c r="I45" s="435"/>
      <c r="J45" s="416"/>
      <c r="K45" s="416"/>
      <c r="L45" s="416"/>
      <c r="M45" s="416"/>
      <c r="N45" s="416"/>
      <c r="O45" s="416"/>
      <c r="P45" s="416"/>
      <c r="Q45" s="416"/>
      <c r="R45" s="416"/>
      <c r="S45" s="416"/>
      <c r="T45" s="416"/>
      <c r="U45" s="416"/>
      <c r="V45" s="416"/>
      <c r="W45" s="416"/>
      <c r="X45" s="416"/>
      <c r="Y45" s="416"/>
      <c r="Z45" s="416"/>
      <c r="AA45" s="416"/>
      <c r="AB45" s="416"/>
      <c r="AC45" s="416"/>
      <c r="AD45" s="416"/>
      <c r="AE45" s="416"/>
      <c r="AF45" s="416"/>
      <c r="AG45" s="416"/>
      <c r="AH45" s="416"/>
      <c r="AI45" s="416"/>
      <c r="AJ45" s="416"/>
      <c r="AK45" s="416"/>
      <c r="AL45" s="416"/>
      <c r="AM45" s="416"/>
      <c r="AN45" s="416"/>
      <c r="AO45" s="416"/>
      <c r="AP45" s="416"/>
      <c r="BH45" s="163"/>
    </row>
    <row r="46" spans="1:60" s="160" customFormat="1" x14ac:dyDescent="0.25">
      <c r="E46" s="74"/>
      <c r="F46" s="167" t="s">
        <v>44</v>
      </c>
      <c r="G46" s="167" t="s">
        <v>636</v>
      </c>
      <c r="H46" s="437">
        <f>'Load &amp; loss characteristics'!L29</f>
        <v>1.0049999999999999</v>
      </c>
      <c r="I46" s="435"/>
      <c r="J46" s="416"/>
      <c r="K46" s="416"/>
      <c r="L46" s="416"/>
      <c r="M46" s="416"/>
      <c r="N46" s="416"/>
      <c r="O46" s="416"/>
      <c r="P46" s="416"/>
      <c r="Q46" s="416"/>
      <c r="R46" s="416"/>
      <c r="S46" s="416"/>
      <c r="T46" s="416"/>
      <c r="U46" s="416"/>
      <c r="V46" s="416"/>
      <c r="W46" s="416"/>
      <c r="X46" s="416"/>
      <c r="Y46" s="416"/>
      <c r="Z46" s="416"/>
      <c r="AA46" s="416"/>
      <c r="AB46" s="416"/>
      <c r="AC46" s="416"/>
      <c r="AD46" s="416"/>
      <c r="AE46" s="416"/>
      <c r="AF46" s="416"/>
      <c r="AG46" s="416"/>
      <c r="AH46" s="416"/>
      <c r="AI46" s="416"/>
      <c r="AJ46" s="416"/>
      <c r="AK46" s="416"/>
      <c r="AL46" s="416"/>
      <c r="AM46" s="416"/>
      <c r="AN46" s="416"/>
      <c r="AO46" s="416"/>
      <c r="AP46" s="416"/>
      <c r="BH46" s="163"/>
    </row>
    <row r="47" spans="1:60" s="160" customFormat="1" x14ac:dyDescent="0.25">
      <c r="E47" s="74"/>
      <c r="F47" s="167" t="s">
        <v>45</v>
      </c>
      <c r="G47" s="167" t="s">
        <v>636</v>
      </c>
      <c r="H47" s="437">
        <f>'Load &amp; loss characteristics'!M29</f>
        <v>1.008</v>
      </c>
      <c r="I47" s="435"/>
      <c r="J47" s="416"/>
      <c r="K47" s="416"/>
      <c r="L47" s="416"/>
      <c r="M47" s="416"/>
      <c r="N47" s="416"/>
      <c r="O47" s="416"/>
      <c r="P47" s="416"/>
      <c r="Q47" s="416"/>
      <c r="R47" s="416"/>
      <c r="S47" s="416"/>
      <c r="T47" s="416"/>
      <c r="U47" s="416"/>
      <c r="V47" s="416"/>
      <c r="W47" s="416"/>
      <c r="X47" s="416"/>
      <c r="Y47" s="416"/>
      <c r="Z47" s="416"/>
      <c r="AA47" s="416"/>
      <c r="AB47" s="416"/>
      <c r="AC47" s="416"/>
      <c r="AD47" s="416"/>
      <c r="AE47" s="416"/>
      <c r="AF47" s="416"/>
      <c r="AG47" s="416"/>
      <c r="AH47" s="416"/>
      <c r="AI47" s="416"/>
      <c r="AJ47" s="416"/>
      <c r="AK47" s="416"/>
      <c r="AL47" s="416"/>
      <c r="AM47" s="416"/>
      <c r="AN47" s="416"/>
      <c r="AO47" s="416"/>
      <c r="AP47" s="416"/>
      <c r="BH47" s="163"/>
    </row>
    <row r="48" spans="1:60" s="160" customFormat="1" x14ac:dyDescent="0.25">
      <c r="E48" s="74"/>
      <c r="F48" s="167" t="s">
        <v>46</v>
      </c>
      <c r="G48" s="167" t="s">
        <v>636</v>
      </c>
      <c r="H48" s="437">
        <f>'Load &amp; loss characteristics'!N29</f>
        <v>1.016</v>
      </c>
      <c r="I48" s="435"/>
      <c r="J48" s="416"/>
      <c r="K48" s="416"/>
      <c r="L48" s="416"/>
      <c r="M48" s="416"/>
      <c r="N48" s="416"/>
      <c r="O48" s="416"/>
      <c r="P48" s="416"/>
      <c r="Q48" s="416"/>
      <c r="R48" s="416"/>
      <c r="S48" s="416"/>
      <c r="T48" s="416"/>
      <c r="U48" s="416"/>
      <c r="V48" s="416"/>
      <c r="W48" s="416"/>
      <c r="X48" s="416"/>
      <c r="Y48" s="416"/>
      <c r="Z48" s="416"/>
      <c r="AA48" s="416"/>
      <c r="AB48" s="416"/>
      <c r="AC48" s="416"/>
      <c r="AD48" s="416"/>
      <c r="AE48" s="416"/>
      <c r="AF48" s="416"/>
      <c r="AG48" s="416"/>
      <c r="AH48" s="416"/>
      <c r="AI48" s="416"/>
      <c r="AJ48" s="416"/>
      <c r="AK48" s="416"/>
      <c r="AL48" s="416"/>
      <c r="AM48" s="416"/>
      <c r="AN48" s="416"/>
      <c r="AO48" s="416"/>
      <c r="AP48" s="416"/>
      <c r="BH48" s="163"/>
    </row>
    <row r="49" spans="1:60" s="160" customFormat="1" x14ac:dyDescent="0.25">
      <c r="E49" s="74"/>
      <c r="F49" s="167" t="s">
        <v>47</v>
      </c>
      <c r="G49" s="167" t="s">
        <v>636</v>
      </c>
      <c r="H49" s="437">
        <f>'Load &amp; loss characteristics'!O29</f>
        <v>1.0209999999999999</v>
      </c>
      <c r="I49" s="435"/>
      <c r="J49" s="416"/>
      <c r="K49" s="416"/>
      <c r="L49" s="416"/>
      <c r="M49" s="416"/>
      <c r="N49" s="416"/>
      <c r="O49" s="416"/>
      <c r="P49" s="416"/>
      <c r="Q49" s="416"/>
      <c r="R49" s="416"/>
      <c r="S49" s="416"/>
      <c r="T49" s="416"/>
      <c r="U49" s="416"/>
      <c r="V49" s="416"/>
      <c r="W49" s="416"/>
      <c r="X49" s="416"/>
      <c r="Y49" s="416"/>
      <c r="Z49" s="416"/>
      <c r="AA49" s="416"/>
      <c r="AB49" s="416"/>
      <c r="AC49" s="416"/>
      <c r="AD49" s="416"/>
      <c r="AE49" s="416"/>
      <c r="AF49" s="416"/>
      <c r="AG49" s="416"/>
      <c r="AH49" s="416"/>
      <c r="AI49" s="416"/>
      <c r="AJ49" s="416"/>
      <c r="AK49" s="416"/>
      <c r="AL49" s="416"/>
      <c r="AM49" s="416"/>
      <c r="AN49" s="416"/>
      <c r="AO49" s="416"/>
      <c r="AP49" s="416"/>
      <c r="BH49" s="163"/>
    </row>
    <row r="50" spans="1:60" s="160" customFormat="1" x14ac:dyDescent="0.25">
      <c r="E50" s="74"/>
      <c r="F50" s="167" t="s">
        <v>51</v>
      </c>
      <c r="G50" s="167" t="s">
        <v>636</v>
      </c>
      <c r="H50" s="437">
        <f>'Load &amp; loss characteristics'!P29</f>
        <v>1.0209999999999999</v>
      </c>
      <c r="I50" s="435"/>
      <c r="J50" s="416"/>
      <c r="K50" s="416"/>
      <c r="L50" s="416"/>
      <c r="M50" s="416"/>
      <c r="N50" s="416"/>
      <c r="O50" s="416"/>
      <c r="P50" s="416"/>
      <c r="Q50" s="416"/>
      <c r="R50" s="416"/>
      <c r="S50" s="416"/>
      <c r="T50" s="416"/>
      <c r="U50" s="416"/>
      <c r="V50" s="416"/>
      <c r="W50" s="416"/>
      <c r="X50" s="416"/>
      <c r="Y50" s="416"/>
      <c r="Z50" s="416"/>
      <c r="AA50" s="416"/>
      <c r="AB50" s="416"/>
      <c r="AC50" s="416"/>
      <c r="AD50" s="416"/>
      <c r="AE50" s="416"/>
      <c r="AF50" s="416"/>
      <c r="AG50" s="416"/>
      <c r="AH50" s="416"/>
      <c r="AI50" s="416"/>
      <c r="AJ50" s="416"/>
      <c r="AK50" s="416"/>
      <c r="AL50" s="416"/>
      <c r="AM50" s="416"/>
      <c r="AN50" s="416"/>
      <c r="AO50" s="416"/>
      <c r="AP50" s="416"/>
      <c r="BH50" s="163"/>
    </row>
    <row r="51" spans="1:60" s="160" customFormat="1" x14ac:dyDescent="0.25">
      <c r="E51" s="74"/>
      <c r="F51" s="167" t="s">
        <v>48</v>
      </c>
      <c r="G51" s="167" t="s">
        <v>636</v>
      </c>
      <c r="H51" s="437">
        <f>'Load &amp; loss characteristics'!Q29</f>
        <v>1.0309999999999999</v>
      </c>
      <c r="I51" s="435"/>
      <c r="J51" s="416"/>
      <c r="K51" s="416"/>
      <c r="L51" s="416"/>
      <c r="M51" s="416"/>
      <c r="N51" s="416"/>
      <c r="O51" s="416"/>
      <c r="P51" s="416"/>
      <c r="Q51" s="416"/>
      <c r="R51" s="416"/>
      <c r="S51" s="416"/>
      <c r="T51" s="416"/>
      <c r="U51" s="416"/>
      <c r="V51" s="416"/>
      <c r="W51" s="416"/>
      <c r="X51" s="416"/>
      <c r="Y51" s="416"/>
      <c r="Z51" s="416"/>
      <c r="AA51" s="416"/>
      <c r="AB51" s="416"/>
      <c r="AC51" s="416"/>
      <c r="AD51" s="416"/>
      <c r="AE51" s="416"/>
      <c r="AF51" s="416"/>
      <c r="AG51" s="416"/>
      <c r="AH51" s="416"/>
      <c r="AI51" s="416"/>
      <c r="AJ51" s="416"/>
      <c r="AK51" s="416"/>
      <c r="AL51" s="416"/>
      <c r="AM51" s="416"/>
      <c r="AN51" s="416"/>
      <c r="AO51" s="416"/>
      <c r="AP51" s="416"/>
      <c r="BH51" s="163"/>
    </row>
    <row r="52" spans="1:60" s="160" customFormat="1" x14ac:dyDescent="0.25">
      <c r="E52" s="74"/>
      <c r="F52" s="167" t="s">
        <v>49</v>
      </c>
      <c r="G52" s="167" t="s">
        <v>636</v>
      </c>
      <c r="H52" s="437">
        <f>'Load &amp; loss characteristics'!R29</f>
        <v>1.046</v>
      </c>
      <c r="I52" s="435"/>
      <c r="J52" s="416"/>
      <c r="K52" s="416"/>
      <c r="L52" s="416"/>
      <c r="M52" s="416"/>
      <c r="N52" s="416"/>
      <c r="O52" s="416"/>
      <c r="P52" s="416"/>
      <c r="Q52" s="416"/>
      <c r="R52" s="416"/>
      <c r="S52" s="416"/>
      <c r="T52" s="416"/>
      <c r="U52" s="416"/>
      <c r="V52" s="416"/>
      <c r="W52" s="416"/>
      <c r="X52" s="416"/>
      <c r="Y52" s="416"/>
      <c r="Z52" s="416"/>
      <c r="AA52" s="416"/>
      <c r="AB52" s="416"/>
      <c r="AC52" s="416"/>
      <c r="AD52" s="416"/>
      <c r="AE52" s="416"/>
      <c r="AF52" s="416"/>
      <c r="AG52" s="416"/>
      <c r="AH52" s="416"/>
      <c r="AI52" s="416"/>
      <c r="AJ52" s="416"/>
      <c r="AK52" s="416"/>
      <c r="AL52" s="416"/>
      <c r="AM52" s="416"/>
      <c r="AN52" s="416"/>
      <c r="AO52" s="416"/>
      <c r="AP52" s="416"/>
      <c r="BH52" s="163"/>
    </row>
    <row r="53" spans="1:60" s="160" customFormat="1" x14ac:dyDescent="0.25">
      <c r="E53" s="74"/>
      <c r="F53" s="168" t="s">
        <v>50</v>
      </c>
      <c r="G53" s="168" t="s">
        <v>636</v>
      </c>
      <c r="H53" s="440">
        <f>'Load &amp; loss characteristics'!S29</f>
        <v>1.089</v>
      </c>
      <c r="I53" s="435"/>
      <c r="J53" s="416"/>
      <c r="K53" s="416"/>
      <c r="L53" s="416"/>
      <c r="M53" s="416"/>
      <c r="N53" s="416"/>
      <c r="O53" s="416"/>
      <c r="P53" s="416"/>
      <c r="Q53" s="416"/>
      <c r="R53" s="416"/>
      <c r="S53" s="416"/>
      <c r="T53" s="416"/>
      <c r="U53" s="416"/>
      <c r="V53" s="416"/>
      <c r="W53" s="416"/>
      <c r="X53" s="416"/>
      <c r="Y53" s="416"/>
      <c r="Z53" s="416"/>
      <c r="AA53" s="416"/>
      <c r="AB53" s="416"/>
      <c r="AC53" s="416"/>
      <c r="AD53" s="416"/>
      <c r="AE53" s="416"/>
      <c r="AF53" s="416"/>
      <c r="AG53" s="416"/>
      <c r="AH53" s="416"/>
      <c r="AI53" s="416"/>
      <c r="AJ53" s="416"/>
      <c r="AK53" s="416"/>
      <c r="AL53" s="416"/>
      <c r="AM53" s="416"/>
      <c r="AN53" s="416"/>
      <c r="AO53" s="416"/>
      <c r="AP53" s="416"/>
      <c r="BH53" s="163"/>
    </row>
    <row r="54" spans="1:60" s="160" customFormat="1" x14ac:dyDescent="0.25">
      <c r="E54" s="74"/>
      <c r="F54" s="167"/>
      <c r="G54" s="167"/>
      <c r="H54" s="435"/>
      <c r="I54" s="435"/>
      <c r="J54" s="416"/>
      <c r="K54" s="416"/>
      <c r="L54" s="416"/>
      <c r="M54" s="416"/>
      <c r="N54" s="416"/>
      <c r="O54" s="416"/>
      <c r="P54" s="416"/>
      <c r="Q54" s="416"/>
      <c r="R54" s="416"/>
      <c r="S54" s="416"/>
      <c r="T54" s="416"/>
      <c r="U54" s="416"/>
      <c r="V54" s="416"/>
      <c r="W54" s="416"/>
      <c r="X54" s="416"/>
      <c r="Y54" s="416"/>
      <c r="Z54" s="416"/>
      <c r="AA54" s="416"/>
      <c r="AB54" s="416"/>
      <c r="AC54" s="416"/>
      <c r="AD54" s="416"/>
      <c r="AE54" s="416"/>
      <c r="AF54" s="416"/>
      <c r="AG54" s="416"/>
      <c r="AH54" s="416"/>
      <c r="AI54" s="416"/>
      <c r="AJ54" s="416"/>
      <c r="AK54" s="416"/>
      <c r="AL54" s="416"/>
      <c r="AM54" s="416"/>
      <c r="AN54" s="416"/>
      <c r="AO54" s="416"/>
      <c r="AP54" s="416"/>
      <c r="BH54" s="163"/>
    </row>
    <row r="55" spans="1:60" x14ac:dyDescent="0.25">
      <c r="A55" s="160"/>
      <c r="E55" s="74" t="s">
        <v>508</v>
      </c>
      <c r="H55" s="416"/>
      <c r="I55" s="416" t="s">
        <v>525</v>
      </c>
      <c r="J55" s="416"/>
      <c r="K55" s="416"/>
      <c r="L55" s="416"/>
      <c r="M55" s="416"/>
      <c r="N55" s="416"/>
      <c r="O55" s="416"/>
      <c r="P55" s="416"/>
      <c r="Q55" s="416"/>
      <c r="R55" s="416"/>
      <c r="S55" s="416"/>
      <c r="T55" s="416"/>
      <c r="U55" s="416"/>
      <c r="V55" s="416"/>
      <c r="W55" s="416"/>
      <c r="X55" s="416"/>
      <c r="Y55" s="416"/>
      <c r="Z55" s="416"/>
      <c r="AA55" s="416"/>
      <c r="AB55" s="416"/>
      <c r="AC55" s="416"/>
      <c r="AD55" s="416"/>
      <c r="AE55" s="416"/>
      <c r="AF55" s="416"/>
      <c r="AG55" s="416"/>
      <c r="AH55" s="416"/>
      <c r="AI55" s="416"/>
      <c r="AJ55" s="416"/>
      <c r="AK55" s="416"/>
      <c r="AL55" s="416"/>
      <c r="AM55" s="416"/>
      <c r="AN55" s="416"/>
      <c r="AO55" s="416"/>
      <c r="AP55" s="416"/>
      <c r="AR55" s="131" t="s">
        <v>1011</v>
      </c>
    </row>
    <row r="56" spans="1:60" x14ac:dyDescent="0.25">
      <c r="A56" s="160"/>
      <c r="E56" s="74"/>
      <c r="F56" s="166" t="s">
        <v>151</v>
      </c>
      <c r="G56" s="166" t="s">
        <v>137</v>
      </c>
      <c r="H56" s="443"/>
      <c r="I56" s="443"/>
      <c r="J56" s="438">
        <f>'Volume adjustments'!J66</f>
        <v>9619584.3780239914</v>
      </c>
      <c r="K56" s="438">
        <f>'Volume adjustments'!K66</f>
        <v>835527.80607310811</v>
      </c>
      <c r="L56" s="438">
        <f>'Volume adjustments'!L66</f>
        <v>199297.91284437623</v>
      </c>
      <c r="M56" s="438">
        <f>'Volume adjustments'!M66</f>
        <v>2706270.8612037809</v>
      </c>
      <c r="N56" s="438">
        <f>'Volume adjustments'!N66</f>
        <v>446470.69642024959</v>
      </c>
      <c r="O56" s="438">
        <f>'Volume adjustments'!O66</f>
        <v>42294.937322173275</v>
      </c>
      <c r="P56" s="438">
        <f>'Volume adjustments'!P66</f>
        <v>104009.34260682437</v>
      </c>
      <c r="Q56" s="438">
        <f>'Volume adjustments'!Q66</f>
        <v>0</v>
      </c>
      <c r="R56" s="438">
        <f>'Volume adjustments'!R66</f>
        <v>282.01794456199212</v>
      </c>
      <c r="S56" s="438">
        <f>'Volume adjustments'!S66</f>
        <v>7860.7404958513216</v>
      </c>
      <c r="T56" s="438">
        <f>'Volume adjustments'!T66</f>
        <v>31198.833710634557</v>
      </c>
      <c r="U56" s="438">
        <f>'Volume adjustments'!U66</f>
        <v>625884.22888754157</v>
      </c>
      <c r="V56" s="438">
        <f>'Volume adjustments'!V66</f>
        <v>38456.239420473794</v>
      </c>
      <c r="W56" s="438">
        <f>'Volume adjustments'!W66</f>
        <v>452539.55734968698</v>
      </c>
      <c r="X56" s="438">
        <f>'Volume adjustments'!X66</f>
        <v>24532.632560505219</v>
      </c>
      <c r="Y56" s="438">
        <f>'Volume adjustments'!Y66</f>
        <v>15654.703404062586</v>
      </c>
      <c r="Z56" s="438">
        <f>'Volume adjustments'!Z66</f>
        <v>778.6739855590813</v>
      </c>
      <c r="AA56" s="438">
        <f>'Volume adjustments'!AA66</f>
        <v>149.6510564463434</v>
      </c>
      <c r="AB56" s="438">
        <f>'Volume adjustments'!AB66</f>
        <v>11673.535442439646</v>
      </c>
      <c r="AC56" s="438">
        <f>'Volume adjustments'!AC66</f>
        <v>4480.1442453728014</v>
      </c>
      <c r="AD56" s="438">
        <f>'Volume adjustments'!AD66</f>
        <v>263.02538443584314</v>
      </c>
      <c r="AE56" s="438">
        <f>'Volume adjustments'!AE66</f>
        <v>35972.106690575252</v>
      </c>
      <c r="AF56" s="438">
        <f>'Volume adjustments'!AF66</f>
        <v>0</v>
      </c>
      <c r="AG56" s="438">
        <f>'Volume adjustments'!AG66</f>
        <v>2725.9199353160684</v>
      </c>
      <c r="AH56" s="438">
        <f>'Volume adjustments'!AH66</f>
        <v>0</v>
      </c>
      <c r="AI56" s="438">
        <f>'Volume adjustments'!AI66</f>
        <v>0</v>
      </c>
      <c r="AJ56" s="438">
        <f>'Volume adjustments'!AJ66</f>
        <v>0</v>
      </c>
      <c r="AK56" s="438">
        <f>'Volume adjustments'!AK66</f>
        <v>0</v>
      </c>
      <c r="AL56" s="438">
        <f>'Volume adjustments'!AL66</f>
        <v>0</v>
      </c>
      <c r="AM56" s="438">
        <f>'Volume adjustments'!AM66</f>
        <v>468706.30956186936</v>
      </c>
      <c r="AN56" s="438">
        <f>'Volume adjustments'!AN66</f>
        <v>0</v>
      </c>
      <c r="AO56" s="438">
        <f>'Volume adjustments'!AO66</f>
        <v>57940.367337102631</v>
      </c>
      <c r="AP56" s="438">
        <f>'Volume adjustments'!AP66</f>
        <v>0</v>
      </c>
      <c r="BH56" s="136"/>
    </row>
    <row r="57" spans="1:60" x14ac:dyDescent="0.25">
      <c r="A57" s="160"/>
      <c r="E57" s="74"/>
      <c r="F57" s="339" t="s">
        <v>152</v>
      </c>
      <c r="G57" s="339" t="s">
        <v>137</v>
      </c>
      <c r="H57" s="435"/>
      <c r="I57" s="435"/>
      <c r="J57" s="437">
        <f>'Volume adjustments'!J77</f>
        <v>0</v>
      </c>
      <c r="K57" s="437">
        <f>'Volume adjustments'!K77</f>
        <v>735614.89686908422</v>
      </c>
      <c r="L57" s="437">
        <f>'Volume adjustments'!L77</f>
        <v>0</v>
      </c>
      <c r="M57" s="437">
        <f>'Volume adjustments'!M77</f>
        <v>0</v>
      </c>
      <c r="N57" s="437">
        <f>'Volume adjustments'!N77</f>
        <v>278002.52474213234</v>
      </c>
      <c r="O57" s="437">
        <f>'Volume adjustments'!O77</f>
        <v>0</v>
      </c>
      <c r="P57" s="437">
        <f>'Volume adjustments'!P77</f>
        <v>7102.53616241911</v>
      </c>
      <c r="Q57" s="437">
        <f>'Volume adjustments'!Q77</f>
        <v>0</v>
      </c>
      <c r="R57" s="437">
        <f>'Volume adjustments'!R77</f>
        <v>4.3459831614531019</v>
      </c>
      <c r="S57" s="437">
        <f>'Volume adjustments'!S77</f>
        <v>24996.690407605536</v>
      </c>
      <c r="T57" s="437">
        <f>'Volume adjustments'!T77</f>
        <v>177573.26231864805</v>
      </c>
      <c r="U57" s="437">
        <f>'Volume adjustments'!U77</f>
        <v>3540894.6661684732</v>
      </c>
      <c r="V57" s="437">
        <f>'Volume adjustments'!V77</f>
        <v>221362.20664832584</v>
      </c>
      <c r="W57" s="437">
        <f>'Volume adjustments'!W77</f>
        <v>2543209.0589652988</v>
      </c>
      <c r="X57" s="437">
        <f>'Volume adjustments'!X77</f>
        <v>0</v>
      </c>
      <c r="Y57" s="437">
        <f>'Volume adjustments'!Y77</f>
        <v>0</v>
      </c>
      <c r="Z57" s="437">
        <f>'Volume adjustments'!Z77</f>
        <v>0</v>
      </c>
      <c r="AA57" s="437">
        <f>'Volume adjustments'!AA77</f>
        <v>0</v>
      </c>
      <c r="AB57" s="437">
        <f>'Volume adjustments'!AB77</f>
        <v>68850.186278347115</v>
      </c>
      <c r="AC57" s="437">
        <f>'Volume adjustments'!AC77</f>
        <v>0</v>
      </c>
      <c r="AD57" s="437">
        <f>'Volume adjustments'!AD77</f>
        <v>0</v>
      </c>
      <c r="AE57" s="437">
        <f>'Volume adjustments'!AE77</f>
        <v>0</v>
      </c>
      <c r="AF57" s="437">
        <f>'Volume adjustments'!AF77</f>
        <v>0</v>
      </c>
      <c r="AG57" s="437">
        <f>'Volume adjustments'!AG77</f>
        <v>15061.671411533149</v>
      </c>
      <c r="AH57" s="437">
        <f>'Volume adjustments'!AH77</f>
        <v>0</v>
      </c>
      <c r="AI57" s="437">
        <f>'Volume adjustments'!AI77</f>
        <v>0</v>
      </c>
      <c r="AJ57" s="437">
        <f>'Volume adjustments'!AJ77</f>
        <v>0</v>
      </c>
      <c r="AK57" s="437">
        <f>'Volume adjustments'!AK77</f>
        <v>0</v>
      </c>
      <c r="AL57" s="437">
        <f>'Volume adjustments'!AL77</f>
        <v>0</v>
      </c>
      <c r="AM57" s="437">
        <f>'Volume adjustments'!AM77</f>
        <v>0</v>
      </c>
      <c r="AN57" s="437">
        <f>'Volume adjustments'!AN77</f>
        <v>0</v>
      </c>
      <c r="AO57" s="437">
        <f>'Volume adjustments'!AO77</f>
        <v>308061.97136442841</v>
      </c>
      <c r="AP57" s="437">
        <f>'Volume adjustments'!AP77</f>
        <v>0</v>
      </c>
      <c r="BH57" s="136"/>
    </row>
    <row r="58" spans="1:60" x14ac:dyDescent="0.25">
      <c r="A58" s="160"/>
      <c r="E58" s="74"/>
      <c r="F58" s="168" t="s">
        <v>153</v>
      </c>
      <c r="G58" s="168" t="s">
        <v>137</v>
      </c>
      <c r="H58" s="436"/>
      <c r="I58" s="436"/>
      <c r="J58" s="440">
        <f>'Volume adjustments'!J88</f>
        <v>0</v>
      </c>
      <c r="K58" s="440">
        <f>'Volume adjustments'!K88</f>
        <v>0</v>
      </c>
      <c r="L58" s="440">
        <f>'Volume adjustments'!L88</f>
        <v>0</v>
      </c>
      <c r="M58" s="440">
        <f>'Volume adjustments'!M88</f>
        <v>0</v>
      </c>
      <c r="N58" s="440">
        <f>'Volume adjustments'!N88</f>
        <v>0</v>
      </c>
      <c r="O58" s="440">
        <f>'Volume adjustments'!O88</f>
        <v>0</v>
      </c>
      <c r="P58" s="440">
        <f>'Volume adjustments'!P88</f>
        <v>0</v>
      </c>
      <c r="Q58" s="440">
        <f>'Volume adjustments'!Q88</f>
        <v>0</v>
      </c>
      <c r="R58" s="440">
        <f>'Volume adjustments'!R88</f>
        <v>0</v>
      </c>
      <c r="S58" s="440">
        <f>'Volume adjustments'!S88</f>
        <v>14751.44123412742</v>
      </c>
      <c r="T58" s="440">
        <f>'Volume adjustments'!T88</f>
        <v>84778.104421972268</v>
      </c>
      <c r="U58" s="440">
        <f>'Volume adjustments'!U88</f>
        <v>1866739.9019720491</v>
      </c>
      <c r="V58" s="440">
        <f>'Volume adjustments'!V88</f>
        <v>134010.09592598444</v>
      </c>
      <c r="W58" s="440">
        <f>'Volume adjustments'!W88</f>
        <v>1747222.1632098565</v>
      </c>
      <c r="X58" s="440">
        <f>'Volume adjustments'!X88</f>
        <v>0</v>
      </c>
      <c r="Y58" s="440">
        <f>'Volume adjustments'!Y88</f>
        <v>0</v>
      </c>
      <c r="Z58" s="440">
        <f>'Volume adjustments'!Z88</f>
        <v>0</v>
      </c>
      <c r="AA58" s="440">
        <f>'Volume adjustments'!AA88</f>
        <v>0</v>
      </c>
      <c r="AB58" s="440">
        <f>'Volume adjustments'!AB88</f>
        <v>135233.45936929047</v>
      </c>
      <c r="AC58" s="440">
        <f>'Volume adjustments'!AC88</f>
        <v>0</v>
      </c>
      <c r="AD58" s="440">
        <f>'Volume adjustments'!AD88</f>
        <v>0</v>
      </c>
      <c r="AE58" s="440">
        <f>'Volume adjustments'!AE88</f>
        <v>0</v>
      </c>
      <c r="AF58" s="440">
        <f>'Volume adjustments'!AF88</f>
        <v>0</v>
      </c>
      <c r="AG58" s="440">
        <f>'Volume adjustments'!AG88</f>
        <v>11083.1138824874</v>
      </c>
      <c r="AH58" s="440">
        <f>'Volume adjustments'!AH88</f>
        <v>0</v>
      </c>
      <c r="AI58" s="440">
        <f>'Volume adjustments'!AI88</f>
        <v>0</v>
      </c>
      <c r="AJ58" s="440">
        <f>'Volume adjustments'!AJ88</f>
        <v>0</v>
      </c>
      <c r="AK58" s="440">
        <f>'Volume adjustments'!AK88</f>
        <v>0</v>
      </c>
      <c r="AL58" s="440">
        <f>'Volume adjustments'!AL88</f>
        <v>0</v>
      </c>
      <c r="AM58" s="440">
        <f>'Volume adjustments'!AM88</f>
        <v>0</v>
      </c>
      <c r="AN58" s="440">
        <f>'Volume adjustments'!AN88</f>
        <v>0</v>
      </c>
      <c r="AO58" s="440">
        <f>'Volume adjustments'!AO88</f>
        <v>227982.97660961846</v>
      </c>
      <c r="AP58" s="440">
        <f>'Volume adjustments'!AP88</f>
        <v>0</v>
      </c>
      <c r="BH58" s="136"/>
    </row>
    <row r="59" spans="1:60" x14ac:dyDescent="0.25">
      <c r="A59" s="160"/>
      <c r="E59" s="74"/>
      <c r="F59" s="154" t="s">
        <v>719</v>
      </c>
      <c r="G59" s="154" t="s">
        <v>137</v>
      </c>
      <c r="H59" s="451"/>
      <c r="I59" s="451"/>
      <c r="J59" s="451">
        <f t="shared" ref="J59:AP59" si="0">SUM(J56:J58)</f>
        <v>9619584.3780239914</v>
      </c>
      <c r="K59" s="451">
        <f t="shared" si="0"/>
        <v>1571142.7029421923</v>
      </c>
      <c r="L59" s="451">
        <f t="shared" si="0"/>
        <v>199297.91284437623</v>
      </c>
      <c r="M59" s="451">
        <f t="shared" si="0"/>
        <v>2706270.8612037809</v>
      </c>
      <c r="N59" s="451">
        <f t="shared" si="0"/>
        <v>724473.22116238193</v>
      </c>
      <c r="O59" s="451">
        <f t="shared" si="0"/>
        <v>42294.937322173275</v>
      </c>
      <c r="P59" s="451">
        <f t="shared" si="0"/>
        <v>111111.87876924349</v>
      </c>
      <c r="Q59" s="451">
        <f t="shared" si="0"/>
        <v>0</v>
      </c>
      <c r="R59" s="451">
        <f t="shared" si="0"/>
        <v>286.36392772344522</v>
      </c>
      <c r="S59" s="451">
        <f t="shared" si="0"/>
        <v>47608.87213758428</v>
      </c>
      <c r="T59" s="451">
        <f t="shared" si="0"/>
        <v>293550.20045125484</v>
      </c>
      <c r="U59" s="451">
        <f t="shared" si="0"/>
        <v>6033518.7970280638</v>
      </c>
      <c r="V59" s="451">
        <f t="shared" si="0"/>
        <v>393828.54199478409</v>
      </c>
      <c r="W59" s="451">
        <f t="shared" si="0"/>
        <v>4742970.7795248423</v>
      </c>
      <c r="X59" s="451">
        <f t="shared" si="0"/>
        <v>24532.632560505219</v>
      </c>
      <c r="Y59" s="451">
        <f t="shared" si="0"/>
        <v>15654.703404062586</v>
      </c>
      <c r="Z59" s="451">
        <f t="shared" si="0"/>
        <v>778.6739855590813</v>
      </c>
      <c r="AA59" s="451">
        <f t="shared" si="0"/>
        <v>149.6510564463434</v>
      </c>
      <c r="AB59" s="451">
        <f t="shared" si="0"/>
        <v>215757.18109007724</v>
      </c>
      <c r="AC59" s="451">
        <f t="shared" si="0"/>
        <v>4480.1442453728014</v>
      </c>
      <c r="AD59" s="451">
        <f t="shared" si="0"/>
        <v>263.02538443584314</v>
      </c>
      <c r="AE59" s="451">
        <f t="shared" si="0"/>
        <v>35972.106690575252</v>
      </c>
      <c r="AF59" s="451">
        <f t="shared" si="0"/>
        <v>0</v>
      </c>
      <c r="AG59" s="451">
        <f t="shared" si="0"/>
        <v>28870.705229336618</v>
      </c>
      <c r="AH59" s="451">
        <f t="shared" si="0"/>
        <v>0</v>
      </c>
      <c r="AI59" s="451">
        <f t="shared" si="0"/>
        <v>0</v>
      </c>
      <c r="AJ59" s="451">
        <f t="shared" si="0"/>
        <v>0</v>
      </c>
      <c r="AK59" s="451">
        <f t="shared" si="0"/>
        <v>0</v>
      </c>
      <c r="AL59" s="451">
        <f t="shared" si="0"/>
        <v>0</v>
      </c>
      <c r="AM59" s="451">
        <f t="shared" si="0"/>
        <v>468706.30956186936</v>
      </c>
      <c r="AN59" s="451">
        <f t="shared" si="0"/>
        <v>0</v>
      </c>
      <c r="AO59" s="451">
        <f t="shared" si="0"/>
        <v>593985.31531114946</v>
      </c>
      <c r="AP59" s="451">
        <f t="shared" si="0"/>
        <v>0</v>
      </c>
      <c r="BH59" s="136"/>
    </row>
    <row r="60" spans="1:60" x14ac:dyDescent="0.25">
      <c r="A60" s="160"/>
      <c r="D60" s="74"/>
      <c r="E60" s="139"/>
      <c r="F60" s="167"/>
      <c r="G60" s="139"/>
      <c r="H60" s="139"/>
      <c r="J60" s="142"/>
      <c r="K60" s="142"/>
      <c r="L60" s="142"/>
      <c r="M60" s="142"/>
      <c r="N60" s="142"/>
      <c r="O60" s="142"/>
      <c r="P60" s="33"/>
      <c r="Q60" s="33"/>
      <c r="R60" s="33"/>
      <c r="S60" s="33"/>
      <c r="BH60" s="136"/>
    </row>
    <row r="61" spans="1:60" x14ac:dyDescent="0.25">
      <c r="A61" s="160"/>
      <c r="C61" s="74"/>
      <c r="E61" s="145" t="s">
        <v>83</v>
      </c>
      <c r="F61" s="145"/>
      <c r="G61" s="145" t="s">
        <v>111</v>
      </c>
      <c r="H61" s="167"/>
      <c r="I61" s="160" t="s">
        <v>525</v>
      </c>
      <c r="J61" s="181">
        <f>'Inputs by customer type'!J18</f>
        <v>0.40291264713159136</v>
      </c>
      <c r="K61" s="181">
        <f>'Inputs by customer type'!K18</f>
        <v>0.25201324928166224</v>
      </c>
      <c r="L61" s="181">
        <f>'Inputs by customer type'!L18</f>
        <v>0.10517953382833152</v>
      </c>
      <c r="M61" s="181">
        <f>'Inputs by customer type'!M18</f>
        <v>0.36016861163234548</v>
      </c>
      <c r="N61" s="181">
        <f>'Inputs by customer type'!N18</f>
        <v>0.43283209899661901</v>
      </c>
      <c r="O61" s="181">
        <f>'Inputs by customer type'!O18</f>
        <v>0.22382885280794493</v>
      </c>
      <c r="P61" s="181">
        <f>'Inputs by customer type'!P18</f>
        <v>0.50478850499382066</v>
      </c>
      <c r="Q61" s="181">
        <f>'Inputs by customer type'!Q18</f>
        <v>0.34529704834737524</v>
      </c>
      <c r="R61" s="181">
        <f>'Inputs by customer type'!R18</f>
        <v>0.32153049705220221</v>
      </c>
      <c r="S61" s="181">
        <f>'Inputs by customer type'!S18</f>
        <v>0.24061157735295277</v>
      </c>
      <c r="T61" s="181">
        <f>'Inputs by customer type'!T18</f>
        <v>0.38486677189948271</v>
      </c>
      <c r="U61" s="181">
        <f>'Inputs by customer type'!U18</f>
        <v>0.58319695130103477</v>
      </c>
      <c r="V61" s="181">
        <f>'Inputs by customer type'!V18</f>
        <v>0.64316565706091622</v>
      </c>
      <c r="W61" s="181">
        <f>'Inputs by customer type'!W18</f>
        <v>0.69582668577563445</v>
      </c>
      <c r="X61" s="181">
        <f>'Inputs by customer type'!X18</f>
        <v>0.99988594871538961</v>
      </c>
      <c r="Y61" s="181">
        <f>'Inputs by customer type'!Y18</f>
        <v>0.47409656688998675</v>
      </c>
      <c r="Z61" s="181">
        <f>'Inputs by customer type'!Z18</f>
        <v>0.25735293202252324</v>
      </c>
      <c r="AA61" s="181">
        <f>'Inputs by customer type'!AA18</f>
        <v>0.52508693100157189</v>
      </c>
      <c r="AB61" s="181">
        <f>'Inputs by customer type'!AB18</f>
        <v>0.45997700435704125</v>
      </c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/>
      <c r="AN61" s="81"/>
      <c r="AO61" s="81"/>
      <c r="AP61" s="81"/>
      <c r="AR61" s="160" t="s">
        <v>1012</v>
      </c>
      <c r="BH61" s="136"/>
    </row>
    <row r="62" spans="1:60" x14ac:dyDescent="0.25">
      <c r="A62" s="160"/>
    </row>
    <row r="63" spans="1:60" x14ac:dyDescent="0.25">
      <c r="A63" s="160"/>
      <c r="B63" s="34" t="s">
        <v>433</v>
      </c>
      <c r="C63" s="34"/>
      <c r="D63" s="34"/>
      <c r="E63" s="171"/>
      <c r="F63" s="120"/>
      <c r="G63" s="120"/>
      <c r="H63" s="120"/>
      <c r="I63" s="120"/>
      <c r="J63" s="118"/>
      <c r="K63" s="118"/>
      <c r="L63" s="118"/>
      <c r="M63" s="118"/>
      <c r="N63" s="118"/>
      <c r="O63" s="118"/>
      <c r="P63" s="60"/>
      <c r="Q63" s="60"/>
      <c r="R63" s="60"/>
      <c r="S63" s="60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171"/>
      <c r="AR63" s="171"/>
      <c r="BH63" s="136"/>
    </row>
    <row r="64" spans="1:60" s="160" customFormat="1" x14ac:dyDescent="0.25">
      <c r="C64" s="74"/>
      <c r="F64" s="167"/>
      <c r="G64" s="167"/>
      <c r="H64" s="167"/>
      <c r="I64" s="167"/>
      <c r="J64" s="170"/>
      <c r="K64" s="170"/>
      <c r="L64" s="170"/>
      <c r="M64" s="170"/>
      <c r="N64" s="170"/>
      <c r="O64" s="170"/>
      <c r="P64" s="165"/>
      <c r="Q64" s="165"/>
      <c r="R64" s="165"/>
      <c r="S64" s="165"/>
      <c r="BH64" s="163"/>
    </row>
    <row r="65" spans="1:60" x14ac:dyDescent="0.25">
      <c r="A65" s="160"/>
      <c r="C65" s="152" t="s">
        <v>511</v>
      </c>
      <c r="F65" s="139"/>
      <c r="G65" s="139"/>
      <c r="H65" s="139"/>
      <c r="I65" s="139"/>
      <c r="J65" s="142"/>
      <c r="K65" s="142"/>
      <c r="L65" s="142"/>
      <c r="M65" s="142"/>
      <c r="N65" s="142"/>
      <c r="O65" s="142"/>
      <c r="P65" s="33"/>
      <c r="Q65" s="33"/>
      <c r="R65" s="33"/>
      <c r="S65" s="33"/>
      <c r="BH65" s="136"/>
    </row>
    <row r="66" spans="1:60" s="160" customFormat="1" x14ac:dyDescent="0.25">
      <c r="C66" s="74"/>
      <c r="F66" s="167"/>
      <c r="G66" s="167"/>
      <c r="H66" s="167"/>
      <c r="I66" s="167"/>
      <c r="J66" s="170"/>
      <c r="K66" s="170"/>
      <c r="L66" s="170"/>
      <c r="M66" s="170"/>
      <c r="N66" s="170"/>
      <c r="O66" s="170"/>
      <c r="P66" s="165"/>
      <c r="Q66" s="165"/>
      <c r="R66" s="165"/>
      <c r="S66" s="165"/>
      <c r="BH66" s="163"/>
    </row>
    <row r="67" spans="1:60" s="338" customFormat="1" x14ac:dyDescent="0.25">
      <c r="C67" s="22" t="str">
        <f ca="1">INDEX('Version control'!$H$34:$H$59,MATCH($A$1,'Version control'!$F$34:$F$59,0),1)&amp;"-B: System peak load, by unit rate"</f>
        <v>Section 509-B: System peak load, by unit rate</v>
      </c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BH67" s="163"/>
    </row>
    <row r="68" spans="1:60" s="338" customFormat="1" x14ac:dyDescent="0.25">
      <c r="H68" s="165"/>
      <c r="J68" s="165"/>
      <c r="K68" s="165"/>
      <c r="L68" s="165"/>
      <c r="M68" s="165"/>
      <c r="N68" s="165"/>
      <c r="O68" s="165"/>
      <c r="P68" s="165"/>
      <c r="Q68" s="165"/>
      <c r="R68" s="165"/>
      <c r="S68" s="165"/>
      <c r="T68" s="165"/>
      <c r="U68" s="165"/>
      <c r="V68" s="165"/>
      <c r="W68" s="165"/>
      <c r="X68" s="165"/>
      <c r="Y68" s="165"/>
      <c r="Z68" s="165"/>
      <c r="AA68" s="165"/>
      <c r="AB68" s="165"/>
      <c r="AC68" s="165"/>
      <c r="AD68" s="165"/>
      <c r="AE68" s="165"/>
      <c r="AF68" s="165"/>
      <c r="AG68" s="165"/>
      <c r="AH68" s="165"/>
      <c r="AI68" s="165"/>
      <c r="AJ68" s="165"/>
      <c r="AK68" s="165"/>
      <c r="AL68" s="165"/>
      <c r="AM68" s="165"/>
      <c r="AN68" s="165"/>
      <c r="AO68" s="165"/>
      <c r="AP68" s="165"/>
    </row>
    <row r="69" spans="1:60" x14ac:dyDescent="0.25">
      <c r="A69" s="160"/>
      <c r="E69" s="74" t="s">
        <v>378</v>
      </c>
      <c r="F69" s="160"/>
      <c r="G69" s="139"/>
      <c r="H69" s="139"/>
      <c r="I69" s="139"/>
      <c r="J69" s="142"/>
      <c r="K69" s="142"/>
      <c r="L69" s="142"/>
      <c r="M69" s="142"/>
      <c r="N69" s="142"/>
      <c r="O69" s="142"/>
      <c r="P69" s="33"/>
      <c r="Q69" s="33"/>
      <c r="R69" s="33"/>
      <c r="S69" s="33"/>
      <c r="BH69" s="136"/>
    </row>
    <row r="70" spans="1:60" x14ac:dyDescent="0.25">
      <c r="A70" s="160"/>
      <c r="E70" s="74"/>
      <c r="F70" s="137" t="s">
        <v>43</v>
      </c>
      <c r="G70" s="166" t="s">
        <v>636</v>
      </c>
      <c r="H70" s="137"/>
      <c r="I70" s="137"/>
      <c r="J70" s="438">
        <f>'Pseudo-load coefficients'!J509</f>
        <v>2.13658194144862</v>
      </c>
      <c r="K70" s="438">
        <f>'Pseudo-load coefficients'!K509</f>
        <v>2.786702182471386</v>
      </c>
      <c r="L70" s="438">
        <f>'Pseudo-load coefficients'!L509</f>
        <v>9.7925499018583773E-2</v>
      </c>
      <c r="M70" s="438">
        <f>'Pseudo-load coefficients'!M509</f>
        <v>1.7576171229579702</v>
      </c>
      <c r="N70" s="438">
        <f>'Pseudo-load coefficients'!N509</f>
        <v>2.9415666403916836</v>
      </c>
      <c r="O70" s="438">
        <f>'Pseudo-load coefficients'!O509</f>
        <v>0.32922729904060583</v>
      </c>
      <c r="P70" s="438">
        <f>'Pseudo-load coefficients'!P509</f>
        <v>1.4469019029137948</v>
      </c>
      <c r="Q70" s="438">
        <f>'Pseudo-load coefficients'!Q509</f>
        <v>1.3511937913885297</v>
      </c>
      <c r="R70" s="438">
        <f>'Pseudo-load coefficients'!R509</f>
        <v>1.4829750268438726</v>
      </c>
      <c r="S70" s="438">
        <f>'Pseudo-load coefficients'!S509</f>
        <v>14.83472280043944</v>
      </c>
      <c r="T70" s="438">
        <f>'Pseudo-load coefficients'!T509</f>
        <v>15.655108953460749</v>
      </c>
      <c r="U70" s="438">
        <f>'Pseudo-load coefficients'!U509</f>
        <v>11.698297556207121</v>
      </c>
      <c r="V70" s="438">
        <f>'Pseudo-load coefficients'!V509</f>
        <v>11.311995936319519</v>
      </c>
      <c r="W70" s="438">
        <f>'Pseudo-load coefficients'!W509</f>
        <v>10.2902733716969</v>
      </c>
      <c r="X70" s="438">
        <f>'Pseudo-load coefficients'!X509</f>
        <v>0.93700694130950746</v>
      </c>
      <c r="Y70" s="438">
        <f>'Pseudo-load coefficients'!Y509</f>
        <v>1.1061570095096109</v>
      </c>
      <c r="Z70" s="438">
        <f>'Pseudo-load coefficients'!Z509</f>
        <v>2.1096430315341204</v>
      </c>
      <c r="AA70" s="438">
        <f>'Pseudo-load coefficients'!AA509</f>
        <v>0.86507538339375201</v>
      </c>
      <c r="AB70" s="438">
        <f>'Pseudo-load coefficients'!AB509</f>
        <v>16.860085005559529</v>
      </c>
      <c r="AC70" s="438">
        <f>'Pseudo-load coefficients'!AC509</f>
        <v>0.99999999999999989</v>
      </c>
      <c r="AD70" s="438">
        <f>'Pseudo-load coefficients'!AD509</f>
        <v>0.99999999999999989</v>
      </c>
      <c r="AE70" s="438">
        <f>'Pseudo-load coefficients'!AE509</f>
        <v>0.99999999999999989</v>
      </c>
      <c r="AF70" s="438">
        <f>'Pseudo-load coefficients'!AF509</f>
        <v>0.99999999999999989</v>
      </c>
      <c r="AG70" s="438">
        <f>'Pseudo-load coefficients'!AG509</f>
        <v>9.8133180967350384</v>
      </c>
      <c r="AH70" s="438">
        <f>'Pseudo-load coefficients'!AH509</f>
        <v>9.8133180967350384</v>
      </c>
      <c r="AI70" s="438">
        <f>'Pseudo-load coefficients'!AI509</f>
        <v>0.99999999999999989</v>
      </c>
      <c r="AJ70" s="438">
        <f>'Pseudo-load coefficients'!AJ509</f>
        <v>0.99999999999999989</v>
      </c>
      <c r="AK70" s="438">
        <f>'Pseudo-load coefficients'!AK509</f>
        <v>9.8133180967350384</v>
      </c>
      <c r="AL70" s="438">
        <f>'Pseudo-load coefficients'!AL509</f>
        <v>9.8133180967350384</v>
      </c>
      <c r="AM70" s="438">
        <f>'Pseudo-load coefficients'!AM509</f>
        <v>0.99999999999999989</v>
      </c>
      <c r="AN70" s="438">
        <f>'Pseudo-load coefficients'!AN509</f>
        <v>0.99999999999999989</v>
      </c>
      <c r="AO70" s="438">
        <f>'Pseudo-load coefficients'!AO509</f>
        <v>9.8133180967350384</v>
      </c>
      <c r="AP70" s="438">
        <f>'Pseudo-load coefficients'!AP509</f>
        <v>9.8133180967350384</v>
      </c>
      <c r="BH70" s="136"/>
    </row>
    <row r="71" spans="1:60" x14ac:dyDescent="0.25">
      <c r="A71" s="160"/>
      <c r="E71" s="74"/>
      <c r="F71" s="139" t="s">
        <v>44</v>
      </c>
      <c r="G71" s="167" t="s">
        <v>636</v>
      </c>
      <c r="H71" s="139"/>
      <c r="I71" s="139"/>
      <c r="J71" s="437">
        <f>'Pseudo-load coefficients'!J510</f>
        <v>2.1064407247757848</v>
      </c>
      <c r="K71" s="437">
        <f>'Pseudo-load coefficients'!K510</f>
        <v>2.7381361193225717</v>
      </c>
      <c r="L71" s="437">
        <f>'Pseudo-load coefficients'!L510</f>
        <v>0.13455624660851292</v>
      </c>
      <c r="M71" s="437">
        <f>'Pseudo-load coefficients'!M510</f>
        <v>1.7738104867681408</v>
      </c>
      <c r="N71" s="437">
        <f>'Pseudo-load coefficients'!N510</f>
        <v>2.9193248768526838</v>
      </c>
      <c r="O71" s="437">
        <f>'Pseudo-load coefficients'!O510</f>
        <v>0.34854020905487437</v>
      </c>
      <c r="P71" s="437">
        <f>'Pseudo-load coefficients'!P510</f>
        <v>1.4478459019196326</v>
      </c>
      <c r="Q71" s="437">
        <f>'Pseudo-load coefficients'!Q510</f>
        <v>1.352977417395504</v>
      </c>
      <c r="R71" s="437">
        <f>'Pseudo-load coefficients'!R510</f>
        <v>1.4887743751659068</v>
      </c>
      <c r="S71" s="437">
        <f>'Pseudo-load coefficients'!S510</f>
        <v>13.756688977499781</v>
      </c>
      <c r="T71" s="437">
        <f>'Pseudo-load coefficients'!T510</f>
        <v>14.518039334676065</v>
      </c>
      <c r="U71" s="437">
        <f>'Pseudo-load coefficients'!U510</f>
        <v>10.850049670136503</v>
      </c>
      <c r="V71" s="437">
        <f>'Pseudo-load coefficients'!V510</f>
        <v>10.49175892370129</v>
      </c>
      <c r="W71" s="437">
        <f>'Pseudo-load coefficients'!W510</f>
        <v>9.544121840442747</v>
      </c>
      <c r="X71" s="437">
        <f>'Pseudo-load coefficients'!X510</f>
        <v>0.9376724603938239</v>
      </c>
      <c r="Y71" s="437">
        <f>'Pseudo-load coefficients'!Y510</f>
        <v>1.1984220598858641</v>
      </c>
      <c r="Z71" s="437">
        <f>'Pseudo-load coefficients'!Z510</f>
        <v>2.2773031502293315</v>
      </c>
      <c r="AA71" s="437">
        <f>'Pseudo-load coefficients'!AA510</f>
        <v>0.7897896015082424</v>
      </c>
      <c r="AB71" s="437">
        <f>'Pseudo-load coefficients'!AB510</f>
        <v>18.834395159483773</v>
      </c>
      <c r="AC71" s="437">
        <f>'Pseudo-load coefficients'!AC510</f>
        <v>1.0000000000000002</v>
      </c>
      <c r="AD71" s="437">
        <f>'Pseudo-load coefficients'!AD510</f>
        <v>1.0000000000000002</v>
      </c>
      <c r="AE71" s="437">
        <f>'Pseudo-load coefficients'!AE510</f>
        <v>1.0000000000000002</v>
      </c>
      <c r="AF71" s="437">
        <f>'Pseudo-load coefficients'!AF510</f>
        <v>1.0000000000000002</v>
      </c>
      <c r="AG71" s="437">
        <f>'Pseudo-load coefficients'!AG510</f>
        <v>9.1017507690192847</v>
      </c>
      <c r="AH71" s="437">
        <f>'Pseudo-load coefficients'!AH510</f>
        <v>9.1017507690192847</v>
      </c>
      <c r="AI71" s="437">
        <f>'Pseudo-load coefficients'!AI510</f>
        <v>1.0000000000000002</v>
      </c>
      <c r="AJ71" s="437">
        <f>'Pseudo-load coefficients'!AJ510</f>
        <v>1.0000000000000002</v>
      </c>
      <c r="AK71" s="437">
        <f>'Pseudo-load coefficients'!AK510</f>
        <v>9.1017507690192847</v>
      </c>
      <c r="AL71" s="437">
        <f>'Pseudo-load coefficients'!AL510</f>
        <v>9.1017507690192847</v>
      </c>
      <c r="AM71" s="437">
        <f>'Pseudo-load coefficients'!AM510</f>
        <v>1.0000000000000002</v>
      </c>
      <c r="AN71" s="437">
        <f>'Pseudo-load coefficients'!AN510</f>
        <v>1.0000000000000002</v>
      </c>
      <c r="AO71" s="437">
        <f>'Pseudo-load coefficients'!AO510</f>
        <v>9.1017507690192847</v>
      </c>
      <c r="AP71" s="437">
        <f>'Pseudo-load coefficients'!AP510</f>
        <v>9.1017507690192847</v>
      </c>
      <c r="BH71" s="136"/>
    </row>
    <row r="72" spans="1:60" x14ac:dyDescent="0.25">
      <c r="E72" s="74"/>
      <c r="F72" s="139" t="s">
        <v>45</v>
      </c>
      <c r="G72" s="167" t="s">
        <v>636</v>
      </c>
      <c r="H72" s="139"/>
      <c r="I72" s="139"/>
      <c r="J72" s="437">
        <f>'Pseudo-load coefficients'!J511</f>
        <v>2.1064407247757848</v>
      </c>
      <c r="K72" s="437">
        <f>'Pseudo-load coefficients'!K511</f>
        <v>2.7381361193225717</v>
      </c>
      <c r="L72" s="437">
        <f>'Pseudo-load coefficients'!L511</f>
        <v>0.13455624660851292</v>
      </c>
      <c r="M72" s="437">
        <f>'Pseudo-load coefficients'!M511</f>
        <v>1.7738104867681408</v>
      </c>
      <c r="N72" s="437">
        <f>'Pseudo-load coefficients'!N511</f>
        <v>2.9193248768526838</v>
      </c>
      <c r="O72" s="437">
        <f>'Pseudo-load coefficients'!O511</f>
        <v>0.34854020905487437</v>
      </c>
      <c r="P72" s="437">
        <f>'Pseudo-load coefficients'!P511</f>
        <v>1.4478459019196326</v>
      </c>
      <c r="Q72" s="437">
        <f>'Pseudo-load coefficients'!Q511</f>
        <v>1.352977417395504</v>
      </c>
      <c r="R72" s="437">
        <f>'Pseudo-load coefficients'!R511</f>
        <v>1.4887743751659068</v>
      </c>
      <c r="S72" s="437">
        <f>'Pseudo-load coefficients'!S511</f>
        <v>13.756688977499781</v>
      </c>
      <c r="T72" s="437">
        <f>'Pseudo-load coefficients'!T511</f>
        <v>14.518039334676065</v>
      </c>
      <c r="U72" s="437">
        <f>'Pseudo-load coefficients'!U511</f>
        <v>10.850049670136503</v>
      </c>
      <c r="V72" s="437">
        <f>'Pseudo-load coefficients'!V511</f>
        <v>10.49175892370129</v>
      </c>
      <c r="W72" s="437">
        <f>'Pseudo-load coefficients'!W511</f>
        <v>9.544121840442747</v>
      </c>
      <c r="X72" s="437">
        <f>'Pseudo-load coefficients'!X511</f>
        <v>0.9376724603938239</v>
      </c>
      <c r="Y72" s="437">
        <f>'Pseudo-load coefficients'!Y511</f>
        <v>1.1984220598858641</v>
      </c>
      <c r="Z72" s="437">
        <f>'Pseudo-load coefficients'!Z511</f>
        <v>2.2773031502293315</v>
      </c>
      <c r="AA72" s="437">
        <f>'Pseudo-load coefficients'!AA511</f>
        <v>0.7897896015082424</v>
      </c>
      <c r="AB72" s="437">
        <f>'Pseudo-load coefficients'!AB511</f>
        <v>18.834395159483773</v>
      </c>
      <c r="AC72" s="437">
        <f>'Pseudo-load coefficients'!AC511</f>
        <v>1.0000000000000002</v>
      </c>
      <c r="AD72" s="437">
        <f>'Pseudo-load coefficients'!AD511</f>
        <v>1.0000000000000002</v>
      </c>
      <c r="AE72" s="437">
        <f>'Pseudo-load coefficients'!AE511</f>
        <v>1.0000000000000002</v>
      </c>
      <c r="AF72" s="437">
        <f>'Pseudo-load coefficients'!AF511</f>
        <v>1.0000000000000002</v>
      </c>
      <c r="AG72" s="437">
        <f>'Pseudo-load coefficients'!AG511</f>
        <v>9.1017507690192847</v>
      </c>
      <c r="AH72" s="437">
        <f>'Pseudo-load coefficients'!AH511</f>
        <v>9.1017507690192847</v>
      </c>
      <c r="AI72" s="437">
        <f>'Pseudo-load coefficients'!AI511</f>
        <v>1.0000000000000002</v>
      </c>
      <c r="AJ72" s="437">
        <f>'Pseudo-load coefficients'!AJ511</f>
        <v>1.0000000000000002</v>
      </c>
      <c r="AK72" s="437">
        <f>'Pseudo-load coefficients'!AK511</f>
        <v>9.1017507690192847</v>
      </c>
      <c r="AL72" s="437">
        <f>'Pseudo-load coefficients'!AL511</f>
        <v>9.1017507690192847</v>
      </c>
      <c r="AM72" s="437">
        <f>'Pseudo-load coefficients'!AM511</f>
        <v>1.0000000000000002</v>
      </c>
      <c r="AN72" s="437">
        <f>'Pseudo-load coefficients'!AN511</f>
        <v>1.0000000000000002</v>
      </c>
      <c r="AO72" s="437">
        <f>'Pseudo-load coefficients'!AO511</f>
        <v>9.1017507690192847</v>
      </c>
      <c r="AP72" s="437">
        <f>'Pseudo-load coefficients'!AP511</f>
        <v>9.1017507690192847</v>
      </c>
      <c r="BH72" s="136"/>
    </row>
    <row r="73" spans="1:60" x14ac:dyDescent="0.25">
      <c r="E73" s="74"/>
      <c r="F73" s="139" t="s">
        <v>46</v>
      </c>
      <c r="G73" s="167" t="s">
        <v>636</v>
      </c>
      <c r="H73" s="139"/>
      <c r="I73" s="139"/>
      <c r="J73" s="437">
        <f>'Pseudo-load coefficients'!J512</f>
        <v>2.023448068726081</v>
      </c>
      <c r="K73" s="437">
        <f>'Pseudo-load coefficients'!K512</f>
        <v>2.6021873241736615</v>
      </c>
      <c r="L73" s="437">
        <f>'Pseudo-load coefficients'!L512</f>
        <v>0.23723781296590604</v>
      </c>
      <c r="M73" s="437">
        <f>'Pseudo-load coefficients'!M512</f>
        <v>1.8106821466313612</v>
      </c>
      <c r="N73" s="437">
        <f>'Pseudo-load coefficients'!N512</f>
        <v>2.8493629304145642</v>
      </c>
      <c r="O73" s="437">
        <f>'Pseudo-load coefficients'!O512</f>
        <v>0.40524136871418465</v>
      </c>
      <c r="P73" s="437">
        <f>'Pseudo-load coefficients'!P512</f>
        <v>1.4462178277371061</v>
      </c>
      <c r="Q73" s="437">
        <f>'Pseudo-load coefficients'!Q512</f>
        <v>1.3525109569741856</v>
      </c>
      <c r="R73" s="437">
        <f>'Pseudo-load coefficients'!R512</f>
        <v>1.5001810197593486</v>
      </c>
      <c r="S73" s="437">
        <f>'Pseudo-load coefficients'!S512</f>
        <v>10.919058364043636</v>
      </c>
      <c r="T73" s="437">
        <f>'Pseudo-load coefficients'!T512</f>
        <v>11.52541279864173</v>
      </c>
      <c r="U73" s="437">
        <f>'Pseudo-load coefficients'!U512</f>
        <v>8.6160882325457742</v>
      </c>
      <c r="V73" s="437">
        <f>'Pseudo-load coefficients'!V512</f>
        <v>8.3315674443426335</v>
      </c>
      <c r="W73" s="437">
        <f>'Pseudo-load coefficients'!W512</f>
        <v>7.5790432651897071</v>
      </c>
      <c r="X73" s="437">
        <f>'Pseudo-load coefficients'!X512</f>
        <v>0.93658384552539908</v>
      </c>
      <c r="Y73" s="437">
        <f>'Pseudo-load coefficients'!Y512</f>
        <v>1.0676296952091524</v>
      </c>
      <c r="Z73" s="437">
        <f>'Pseudo-load coefficients'!Z512</f>
        <v>2.0072330539086121</v>
      </c>
      <c r="AA73" s="437">
        <f>'Pseudo-load coefficients'!AA512</f>
        <v>0.89367630597148673</v>
      </c>
      <c r="AB73" s="437">
        <f>'Pseudo-load coefficients'!AB512</f>
        <v>15.57665125520071</v>
      </c>
      <c r="AC73" s="437">
        <f>'Pseudo-load coefficients'!AC512</f>
        <v>1</v>
      </c>
      <c r="AD73" s="437">
        <f>'Pseudo-load coefficients'!AD512</f>
        <v>1</v>
      </c>
      <c r="AE73" s="437">
        <f>'Pseudo-load coefficients'!AE512</f>
        <v>1</v>
      </c>
      <c r="AF73" s="437">
        <f>'Pseudo-load coefficients'!AF512</f>
        <v>1</v>
      </c>
      <c r="AG73" s="437">
        <f>'Pseudo-load coefficients'!AG512</f>
        <v>7.2277537965892922</v>
      </c>
      <c r="AH73" s="437">
        <f>'Pseudo-load coefficients'!AH512</f>
        <v>7.2277537965892922</v>
      </c>
      <c r="AI73" s="437">
        <f>'Pseudo-load coefficients'!AI512</f>
        <v>1</v>
      </c>
      <c r="AJ73" s="437">
        <f>'Pseudo-load coefficients'!AJ512</f>
        <v>1</v>
      </c>
      <c r="AK73" s="437">
        <f>'Pseudo-load coefficients'!AK512</f>
        <v>7.2277537965892922</v>
      </c>
      <c r="AL73" s="437">
        <f>'Pseudo-load coefficients'!AL512</f>
        <v>7.2277537965892922</v>
      </c>
      <c r="AM73" s="437">
        <f>'Pseudo-load coefficients'!AM512</f>
        <v>1</v>
      </c>
      <c r="AN73" s="437">
        <f>'Pseudo-load coefficients'!AN512</f>
        <v>1</v>
      </c>
      <c r="AO73" s="437">
        <f>'Pseudo-load coefficients'!AO512</f>
        <v>7.2277537965892922</v>
      </c>
      <c r="AP73" s="437">
        <f>'Pseudo-load coefficients'!AP512</f>
        <v>7.2277537965892922</v>
      </c>
      <c r="BH73" s="136"/>
    </row>
    <row r="74" spans="1:60" x14ac:dyDescent="0.25">
      <c r="E74" s="74"/>
      <c r="F74" s="139" t="s">
        <v>47</v>
      </c>
      <c r="G74" s="167" t="s">
        <v>636</v>
      </c>
      <c r="H74" s="139"/>
      <c r="I74" s="139"/>
      <c r="J74" s="437">
        <f>'Pseudo-load coefficients'!J513</f>
        <v>2.023448068726081</v>
      </c>
      <c r="K74" s="437">
        <f>'Pseudo-load coefficients'!K513</f>
        <v>2.6021873241736615</v>
      </c>
      <c r="L74" s="437">
        <f>'Pseudo-load coefficients'!L513</f>
        <v>0.23723781296590604</v>
      </c>
      <c r="M74" s="437">
        <f>'Pseudo-load coefficients'!M513</f>
        <v>1.8106821466313612</v>
      </c>
      <c r="N74" s="437">
        <f>'Pseudo-load coefficients'!N513</f>
        <v>2.8493629304145642</v>
      </c>
      <c r="O74" s="437">
        <f>'Pseudo-load coefficients'!O513</f>
        <v>0.40524136871418465</v>
      </c>
      <c r="P74" s="437">
        <f>'Pseudo-load coefficients'!P513</f>
        <v>1.4462178277371061</v>
      </c>
      <c r="Q74" s="437">
        <f>'Pseudo-load coefficients'!Q513</f>
        <v>1.3525109569741856</v>
      </c>
      <c r="R74" s="437">
        <f>'Pseudo-load coefficients'!R513</f>
        <v>1.5001810197593486</v>
      </c>
      <c r="S74" s="437">
        <f>'Pseudo-load coefficients'!S513</f>
        <v>10.919058364043636</v>
      </c>
      <c r="T74" s="437">
        <f>'Pseudo-load coefficients'!T513</f>
        <v>11.52541279864173</v>
      </c>
      <c r="U74" s="437">
        <f>'Pseudo-load coefficients'!U513</f>
        <v>8.6160882325457742</v>
      </c>
      <c r="V74" s="437">
        <f>'Pseudo-load coefficients'!V513</f>
        <v>8.3315674443426335</v>
      </c>
      <c r="W74" s="437">
        <f>'Pseudo-load coefficients'!W513</f>
        <v>7.5790432651897071</v>
      </c>
      <c r="X74" s="437">
        <f>'Pseudo-load coefficients'!X513</f>
        <v>0.93658384552539908</v>
      </c>
      <c r="Y74" s="437">
        <f>'Pseudo-load coefficients'!Y513</f>
        <v>1.0676296952091524</v>
      </c>
      <c r="Z74" s="437">
        <f>'Pseudo-load coefficients'!Z513</f>
        <v>2.0072330539086121</v>
      </c>
      <c r="AA74" s="437">
        <f>'Pseudo-load coefficients'!AA513</f>
        <v>0.89367630597148673</v>
      </c>
      <c r="AB74" s="437">
        <f>'Pseudo-load coefficients'!AB513</f>
        <v>15.57665125520071</v>
      </c>
      <c r="AC74" s="437">
        <f>'Pseudo-load coefficients'!AC513</f>
        <v>1</v>
      </c>
      <c r="AD74" s="437">
        <f>'Pseudo-load coefficients'!AD513</f>
        <v>1</v>
      </c>
      <c r="AE74" s="437">
        <f>'Pseudo-load coefficients'!AE513</f>
        <v>1</v>
      </c>
      <c r="AF74" s="437">
        <f>'Pseudo-load coefficients'!AF513</f>
        <v>1</v>
      </c>
      <c r="AG74" s="437">
        <f>'Pseudo-load coefficients'!AG513</f>
        <v>7.2277537965892922</v>
      </c>
      <c r="AH74" s="437">
        <f>'Pseudo-load coefficients'!AH513</f>
        <v>7.2277537965892922</v>
      </c>
      <c r="AI74" s="437">
        <f>'Pseudo-load coefficients'!AI513</f>
        <v>1</v>
      </c>
      <c r="AJ74" s="437">
        <f>'Pseudo-load coefficients'!AJ513</f>
        <v>1</v>
      </c>
      <c r="AK74" s="437">
        <f>'Pseudo-load coefficients'!AK513</f>
        <v>7.2277537965892922</v>
      </c>
      <c r="AL74" s="437">
        <f>'Pseudo-load coefficients'!AL513</f>
        <v>7.2277537965892922</v>
      </c>
      <c r="AM74" s="437">
        <f>'Pseudo-load coefficients'!AM513</f>
        <v>1</v>
      </c>
      <c r="AN74" s="437">
        <f>'Pseudo-load coefficients'!AN513</f>
        <v>1</v>
      </c>
      <c r="AO74" s="437">
        <f>'Pseudo-load coefficients'!AO513</f>
        <v>7.2277537965892922</v>
      </c>
      <c r="AP74" s="437">
        <f>'Pseudo-load coefficients'!AP513</f>
        <v>7.2277537965892922</v>
      </c>
      <c r="BH74" s="136"/>
    </row>
    <row r="75" spans="1:60" x14ac:dyDescent="0.25">
      <c r="E75" s="74"/>
      <c r="F75" s="139" t="s">
        <v>51</v>
      </c>
      <c r="G75" s="167" t="s">
        <v>636</v>
      </c>
      <c r="H75" s="139"/>
      <c r="I75" s="139"/>
      <c r="J75" s="437">
        <f>'Pseudo-load coefficients'!J514</f>
        <v>0</v>
      </c>
      <c r="K75" s="437">
        <f>'Pseudo-load coefficients'!K514</f>
        <v>0</v>
      </c>
      <c r="L75" s="437">
        <f>'Pseudo-load coefficients'!L514</f>
        <v>0</v>
      </c>
      <c r="M75" s="437">
        <f>'Pseudo-load coefficients'!M514</f>
        <v>0</v>
      </c>
      <c r="N75" s="437">
        <f>'Pseudo-load coefficients'!N514</f>
        <v>0</v>
      </c>
      <c r="O75" s="437">
        <f>'Pseudo-load coefficients'!O514</f>
        <v>0</v>
      </c>
      <c r="P75" s="437">
        <f>'Pseudo-load coefficients'!P514</f>
        <v>0</v>
      </c>
      <c r="Q75" s="437">
        <f>'Pseudo-load coefficients'!Q514</f>
        <v>0</v>
      </c>
      <c r="R75" s="437">
        <f>'Pseudo-load coefficients'!R514</f>
        <v>0</v>
      </c>
      <c r="S75" s="437">
        <f>'Pseudo-load coefficients'!S514</f>
        <v>0</v>
      </c>
      <c r="T75" s="437">
        <f>'Pseudo-load coefficients'!T514</f>
        <v>0</v>
      </c>
      <c r="U75" s="437">
        <f>'Pseudo-load coefficients'!U514</f>
        <v>0</v>
      </c>
      <c r="V75" s="437">
        <f>'Pseudo-load coefficients'!V514</f>
        <v>0</v>
      </c>
      <c r="W75" s="437">
        <f>'Pseudo-load coefficients'!W514</f>
        <v>0</v>
      </c>
      <c r="X75" s="437">
        <f>'Pseudo-load coefficients'!X514</f>
        <v>0</v>
      </c>
      <c r="Y75" s="437">
        <f>'Pseudo-load coefficients'!Y514</f>
        <v>0</v>
      </c>
      <c r="Z75" s="437">
        <f>'Pseudo-load coefficients'!Z514</f>
        <v>0</v>
      </c>
      <c r="AA75" s="437">
        <f>'Pseudo-load coefficients'!AA514</f>
        <v>0</v>
      </c>
      <c r="AB75" s="437">
        <f>'Pseudo-load coefficients'!AB514</f>
        <v>0</v>
      </c>
      <c r="AC75" s="437">
        <f>'Pseudo-load coefficients'!AC514</f>
        <v>0</v>
      </c>
      <c r="AD75" s="437">
        <f>'Pseudo-load coefficients'!AD514</f>
        <v>0</v>
      </c>
      <c r="AE75" s="437">
        <f>'Pseudo-load coefficients'!AE514</f>
        <v>0</v>
      </c>
      <c r="AF75" s="437">
        <f>'Pseudo-load coefficients'!AF514</f>
        <v>0</v>
      </c>
      <c r="AG75" s="437">
        <f>'Pseudo-load coefficients'!AG514</f>
        <v>0</v>
      </c>
      <c r="AH75" s="437">
        <f>'Pseudo-load coefficients'!AH514</f>
        <v>0</v>
      </c>
      <c r="AI75" s="437">
        <f>'Pseudo-load coefficients'!AI514</f>
        <v>0</v>
      </c>
      <c r="AJ75" s="437">
        <f>'Pseudo-load coefficients'!AJ514</f>
        <v>0</v>
      </c>
      <c r="AK75" s="437">
        <f>'Pseudo-load coefficients'!AK514</f>
        <v>0</v>
      </c>
      <c r="AL75" s="437">
        <f>'Pseudo-load coefficients'!AL514</f>
        <v>0</v>
      </c>
      <c r="AM75" s="437">
        <f>'Pseudo-load coefficients'!AM514</f>
        <v>0</v>
      </c>
      <c r="AN75" s="437">
        <f>'Pseudo-load coefficients'!AN514</f>
        <v>0</v>
      </c>
      <c r="AO75" s="437">
        <f>'Pseudo-load coefficients'!AO514</f>
        <v>0</v>
      </c>
      <c r="AP75" s="437">
        <f>'Pseudo-load coefficients'!AP514</f>
        <v>0</v>
      </c>
      <c r="BH75" s="136"/>
    </row>
    <row r="76" spans="1:60" x14ac:dyDescent="0.25">
      <c r="E76" s="74"/>
      <c r="F76" s="139" t="s">
        <v>48</v>
      </c>
      <c r="G76" s="167" t="s">
        <v>636</v>
      </c>
      <c r="H76" s="139"/>
      <c r="I76" s="139"/>
      <c r="J76" s="437">
        <f>'Pseudo-load coefficients'!J515</f>
        <v>1.9137428742491756</v>
      </c>
      <c r="K76" s="437">
        <f>'Pseudo-load coefficients'!K515</f>
        <v>2.4218986027307627</v>
      </c>
      <c r="L76" s="437">
        <f>'Pseudo-load coefficients'!L515</f>
        <v>0.37343483262940991</v>
      </c>
      <c r="M76" s="437">
        <f>'Pseudo-load coefficients'!M515</f>
        <v>1.8573873175791129</v>
      </c>
      <c r="N76" s="437">
        <f>'Pseudo-load coefficients'!N515</f>
        <v>2.7545029252499589</v>
      </c>
      <c r="O76" s="437">
        <f>'Pseudo-load coefficients'!O515</f>
        <v>0.48115339535519658</v>
      </c>
      <c r="P76" s="437">
        <f>'Pseudo-load coefficients'!P515</f>
        <v>1.4429512785280627</v>
      </c>
      <c r="Q76" s="437">
        <f>'Pseudo-load coefficients'!Q515</f>
        <v>1.3504766596416269</v>
      </c>
      <c r="R76" s="437">
        <f>'Pseudo-load coefficients'!R515</f>
        <v>1.5140564824817799</v>
      </c>
      <c r="S76" s="437">
        <f>'Pseudo-load coefficients'!S515</f>
        <v>7.2057946498092118</v>
      </c>
      <c r="T76" s="437">
        <f>'Pseudo-load coefficients'!T515</f>
        <v>7.6083597319212446</v>
      </c>
      <c r="U76" s="437">
        <f>'Pseudo-load coefficients'!U515</f>
        <v>5.6898917199959316</v>
      </c>
      <c r="V76" s="437">
        <f>'Pseudo-load coefficients'!V515</f>
        <v>5.5019999025875759</v>
      </c>
      <c r="W76" s="437">
        <f>'Pseudo-load coefficients'!W515</f>
        <v>5.0050480399214905</v>
      </c>
      <c r="X76" s="437">
        <f>'Pseudo-load coefficients'!X515</f>
        <v>0.93457480535347592</v>
      </c>
      <c r="Y76" s="437">
        <f>'Pseudo-load coefficients'!Y515</f>
        <v>0.82006000573139126</v>
      </c>
      <c r="Z76" s="437">
        <f>'Pseudo-load coefficients'!Z515</f>
        <v>1.507533099216728</v>
      </c>
      <c r="AA76" s="437">
        <f>'Pseudo-load coefficients'!AA515</f>
        <v>1.0913245534559157</v>
      </c>
      <c r="AB76" s="437">
        <f>'Pseudo-load coefficients'!AB515</f>
        <v>9.5731832179348917</v>
      </c>
      <c r="AC76" s="437">
        <f>'Pseudo-load coefficients'!AC515</f>
        <v>1</v>
      </c>
      <c r="AD76" s="437">
        <f>'Pseudo-load coefficients'!AD515</f>
        <v>1</v>
      </c>
      <c r="AE76" s="437">
        <f>'Pseudo-load coefficients'!AE515</f>
        <v>1</v>
      </c>
      <c r="AF76" s="437">
        <f>'Pseudo-load coefficients'!AF515</f>
        <v>1</v>
      </c>
      <c r="AG76" s="437">
        <f>'Pseudo-load coefficients'!AG515</f>
        <v>4.7730635262112946</v>
      </c>
      <c r="AH76" s="437">
        <f>'Pseudo-load coefficients'!AH515</f>
        <v>4.7730635262112946</v>
      </c>
      <c r="AI76" s="437">
        <f>'Pseudo-load coefficients'!AI515</f>
        <v>1</v>
      </c>
      <c r="AJ76" s="437">
        <f>'Pseudo-load coefficients'!AJ515</f>
        <v>1</v>
      </c>
      <c r="AK76" s="437">
        <f>'Pseudo-load coefficients'!AK515</f>
        <v>4.7730635262112946</v>
      </c>
      <c r="AL76" s="437">
        <f>'Pseudo-load coefficients'!AL515</f>
        <v>4.7730635262112946</v>
      </c>
      <c r="AM76" s="437">
        <f>'Pseudo-load coefficients'!AM515</f>
        <v>1</v>
      </c>
      <c r="AN76" s="437">
        <f>'Pseudo-load coefficients'!AN515</f>
        <v>1</v>
      </c>
      <c r="AO76" s="437">
        <f>'Pseudo-load coefficients'!AO515</f>
        <v>4.7730635262112946</v>
      </c>
      <c r="AP76" s="437">
        <f>'Pseudo-load coefficients'!AP515</f>
        <v>4.7730635262112946</v>
      </c>
      <c r="BH76" s="136"/>
    </row>
    <row r="77" spans="1:60" x14ac:dyDescent="0.25">
      <c r="E77" s="74"/>
      <c r="F77" s="139" t="s">
        <v>49</v>
      </c>
      <c r="G77" s="167" t="s">
        <v>636</v>
      </c>
      <c r="H77" s="139"/>
      <c r="I77" s="139"/>
      <c r="J77" s="437">
        <f>'Pseudo-load coefficients'!J516</f>
        <v>1.9137428742491756</v>
      </c>
      <c r="K77" s="437">
        <f>'Pseudo-load coefficients'!K516</f>
        <v>2.4218986027307627</v>
      </c>
      <c r="L77" s="437">
        <f>'Pseudo-load coefficients'!L516</f>
        <v>0.37343483262940991</v>
      </c>
      <c r="M77" s="437">
        <f>'Pseudo-load coefficients'!M516</f>
        <v>1.8573873175791129</v>
      </c>
      <c r="N77" s="437">
        <f>'Pseudo-load coefficients'!N516</f>
        <v>2.7545029252499589</v>
      </c>
      <c r="O77" s="437">
        <f>'Pseudo-load coefficients'!O516</f>
        <v>0.48115339535519658</v>
      </c>
      <c r="P77" s="437">
        <f>'Pseudo-load coefficients'!P516</f>
        <v>1.4429512785280627</v>
      </c>
      <c r="Q77" s="437">
        <f>'Pseudo-load coefficients'!Q516</f>
        <v>1.3504766596416269</v>
      </c>
      <c r="R77" s="437">
        <f>'Pseudo-load coefficients'!R516</f>
        <v>1.5140564824817799</v>
      </c>
      <c r="S77" s="437">
        <f>'Pseudo-load coefficients'!S516</f>
        <v>7.2057946498092118</v>
      </c>
      <c r="T77" s="437">
        <f>'Pseudo-load coefficients'!T516</f>
        <v>7.6083597319212446</v>
      </c>
      <c r="U77" s="437">
        <f>'Pseudo-load coefficients'!U516</f>
        <v>5.6898917199959316</v>
      </c>
      <c r="V77" s="437">
        <f>'Pseudo-load coefficients'!V516</f>
        <v>5.5019999025875759</v>
      </c>
      <c r="W77" s="437">
        <f>'Pseudo-load coefficients'!W516</f>
        <v>5.0050480399214905</v>
      </c>
      <c r="X77" s="437">
        <f>'Pseudo-load coefficients'!X516</f>
        <v>0.93457480535347592</v>
      </c>
      <c r="Y77" s="437">
        <f>'Pseudo-load coefficients'!Y516</f>
        <v>0.82006000573139126</v>
      </c>
      <c r="Z77" s="437">
        <f>'Pseudo-load coefficients'!Z516</f>
        <v>1.507533099216728</v>
      </c>
      <c r="AA77" s="437">
        <f>'Pseudo-load coefficients'!AA516</f>
        <v>1.0913245534559157</v>
      </c>
      <c r="AB77" s="437">
        <f>'Pseudo-load coefficients'!AB516</f>
        <v>9.5731832179348917</v>
      </c>
      <c r="AC77" s="437">
        <f>'Pseudo-load coefficients'!AC516</f>
        <v>1</v>
      </c>
      <c r="AD77" s="437">
        <f>'Pseudo-load coefficients'!AD516</f>
        <v>1</v>
      </c>
      <c r="AE77" s="437">
        <f>'Pseudo-load coefficients'!AE516</f>
        <v>1</v>
      </c>
      <c r="AF77" s="437">
        <f>'Pseudo-load coefficients'!AF516</f>
        <v>1</v>
      </c>
      <c r="AG77" s="437">
        <f>'Pseudo-load coefficients'!AG516</f>
        <v>4.7730635262112946</v>
      </c>
      <c r="AH77" s="437">
        <f>'Pseudo-load coefficients'!AH516</f>
        <v>4.7730635262112946</v>
      </c>
      <c r="AI77" s="437">
        <f>'Pseudo-load coefficients'!AI516</f>
        <v>1</v>
      </c>
      <c r="AJ77" s="437">
        <f>'Pseudo-load coefficients'!AJ516</f>
        <v>1</v>
      </c>
      <c r="AK77" s="437">
        <f>'Pseudo-load coefficients'!AK516</f>
        <v>4.7730635262112946</v>
      </c>
      <c r="AL77" s="437">
        <f>'Pseudo-load coefficients'!AL516</f>
        <v>4.7730635262112946</v>
      </c>
      <c r="AM77" s="437">
        <f>'Pseudo-load coefficients'!AM516</f>
        <v>1</v>
      </c>
      <c r="AN77" s="437">
        <f>'Pseudo-load coefficients'!AN516</f>
        <v>1</v>
      </c>
      <c r="AO77" s="437">
        <f>'Pseudo-load coefficients'!AO516</f>
        <v>4.7730635262112946</v>
      </c>
      <c r="AP77" s="437">
        <f>'Pseudo-load coefficients'!AP516</f>
        <v>4.7730635262112946</v>
      </c>
      <c r="BH77" s="136"/>
    </row>
    <row r="78" spans="1:60" x14ac:dyDescent="0.25">
      <c r="E78" s="74"/>
      <c r="F78" s="140" t="s">
        <v>50</v>
      </c>
      <c r="G78" s="168" t="s">
        <v>636</v>
      </c>
      <c r="H78" s="140"/>
      <c r="I78" s="140"/>
      <c r="J78" s="440">
        <f>'Pseudo-load coefficients'!J517</f>
        <v>1.9137428742491756</v>
      </c>
      <c r="K78" s="440">
        <f>'Pseudo-load coefficients'!K517</f>
        <v>2.4218986027307627</v>
      </c>
      <c r="L78" s="440">
        <f>'Pseudo-load coefficients'!L517</f>
        <v>0.37343483262940991</v>
      </c>
      <c r="M78" s="440">
        <f>'Pseudo-load coefficients'!M517</f>
        <v>1.8573873175791129</v>
      </c>
      <c r="N78" s="440">
        <f>'Pseudo-load coefficients'!N517</f>
        <v>2.7545029252499589</v>
      </c>
      <c r="O78" s="440">
        <f>'Pseudo-load coefficients'!O517</f>
        <v>0.48115339535519658</v>
      </c>
      <c r="P78" s="440">
        <f>'Pseudo-load coefficients'!P517</f>
        <v>1.4429512785280627</v>
      </c>
      <c r="Q78" s="440">
        <f>'Pseudo-load coefficients'!Q517</f>
        <v>1.3504766596416269</v>
      </c>
      <c r="R78" s="440">
        <f>'Pseudo-load coefficients'!R517</f>
        <v>1.5140564824817799</v>
      </c>
      <c r="S78" s="440">
        <f>'Pseudo-load coefficients'!S517</f>
        <v>7.2057946498092118</v>
      </c>
      <c r="T78" s="440">
        <f>'Pseudo-load coefficients'!T517</f>
        <v>7.6083597319212446</v>
      </c>
      <c r="U78" s="440">
        <f>'Pseudo-load coefficients'!U517</f>
        <v>5.6898917199959316</v>
      </c>
      <c r="V78" s="440">
        <f>'Pseudo-load coefficients'!V517</f>
        <v>5.5019999025875759</v>
      </c>
      <c r="W78" s="440">
        <f>'Pseudo-load coefficients'!W517</f>
        <v>5.0050480399214905</v>
      </c>
      <c r="X78" s="440">
        <f>'Pseudo-load coefficients'!X517</f>
        <v>0.93457480535347592</v>
      </c>
      <c r="Y78" s="440">
        <f>'Pseudo-load coefficients'!Y517</f>
        <v>0.82006000573139126</v>
      </c>
      <c r="Z78" s="440">
        <f>'Pseudo-load coefficients'!Z517</f>
        <v>1.507533099216728</v>
      </c>
      <c r="AA78" s="440">
        <f>'Pseudo-load coefficients'!AA517</f>
        <v>1.0913245534559157</v>
      </c>
      <c r="AB78" s="440">
        <f>'Pseudo-load coefficients'!AB517</f>
        <v>9.5731832179348917</v>
      </c>
      <c r="AC78" s="440">
        <f>'Pseudo-load coefficients'!AC517</f>
        <v>1</v>
      </c>
      <c r="AD78" s="440">
        <f>'Pseudo-load coefficients'!AD517</f>
        <v>1</v>
      </c>
      <c r="AE78" s="440">
        <f>'Pseudo-load coefficients'!AE517</f>
        <v>1</v>
      </c>
      <c r="AF78" s="440">
        <f>'Pseudo-load coefficients'!AF517</f>
        <v>1</v>
      </c>
      <c r="AG78" s="440">
        <f>'Pseudo-load coefficients'!AG517</f>
        <v>4.7730635262112946</v>
      </c>
      <c r="AH78" s="440">
        <f>'Pseudo-load coefficients'!AH517</f>
        <v>4.7730635262112946</v>
      </c>
      <c r="AI78" s="440">
        <f>'Pseudo-load coefficients'!AI517</f>
        <v>1</v>
      </c>
      <c r="AJ78" s="440">
        <f>'Pseudo-load coefficients'!AJ517</f>
        <v>1</v>
      </c>
      <c r="AK78" s="440">
        <f>'Pseudo-load coefficients'!AK517</f>
        <v>4.7730635262112946</v>
      </c>
      <c r="AL78" s="440">
        <f>'Pseudo-load coefficients'!AL517</f>
        <v>4.7730635262112946</v>
      </c>
      <c r="AM78" s="440">
        <f>'Pseudo-load coefficients'!AM517</f>
        <v>1</v>
      </c>
      <c r="AN78" s="440">
        <f>'Pseudo-load coefficients'!AN517</f>
        <v>1</v>
      </c>
      <c r="AO78" s="440">
        <f>'Pseudo-load coefficients'!AO517</f>
        <v>4.7730635262112946</v>
      </c>
      <c r="AP78" s="440">
        <f>'Pseudo-load coefficients'!AP517</f>
        <v>4.7730635262112946</v>
      </c>
      <c r="BH78" s="136"/>
    </row>
    <row r="79" spans="1:60" x14ac:dyDescent="0.25">
      <c r="E79" s="74"/>
      <c r="F79" s="139"/>
      <c r="G79" s="139"/>
      <c r="H79" s="139"/>
      <c r="I79" s="139"/>
      <c r="J79" s="435"/>
      <c r="K79" s="435"/>
      <c r="L79" s="435"/>
      <c r="M79" s="435"/>
      <c r="N79" s="435"/>
      <c r="O79" s="435"/>
      <c r="P79" s="416"/>
      <c r="Q79" s="416"/>
      <c r="R79" s="416"/>
      <c r="S79" s="416"/>
      <c r="T79" s="416"/>
      <c r="U79" s="416"/>
      <c r="V79" s="416"/>
      <c r="W79" s="416"/>
      <c r="X79" s="416"/>
      <c r="Y79" s="416"/>
      <c r="Z79" s="416"/>
      <c r="AA79" s="416"/>
      <c r="AB79" s="416"/>
      <c r="AC79" s="416"/>
      <c r="AD79" s="416"/>
      <c r="AE79" s="416"/>
      <c r="AF79" s="416"/>
      <c r="AG79" s="416"/>
      <c r="AH79" s="416"/>
      <c r="AI79" s="416"/>
      <c r="AJ79" s="416"/>
      <c r="AK79" s="416"/>
      <c r="AL79" s="416"/>
      <c r="AM79" s="416"/>
      <c r="AN79" s="416"/>
      <c r="AO79" s="416"/>
      <c r="AP79" s="416"/>
      <c r="BH79" s="136"/>
    </row>
    <row r="80" spans="1:60" x14ac:dyDescent="0.25">
      <c r="E80" s="74" t="s">
        <v>739</v>
      </c>
      <c r="F80" s="139"/>
      <c r="G80" s="139"/>
      <c r="H80" s="139"/>
      <c r="I80" s="139"/>
      <c r="J80" s="435"/>
      <c r="K80" s="435"/>
      <c r="L80" s="435"/>
      <c r="M80" s="435"/>
      <c r="N80" s="435"/>
      <c r="O80" s="435"/>
      <c r="P80" s="416"/>
      <c r="Q80" s="416"/>
      <c r="R80" s="416"/>
      <c r="S80" s="416"/>
      <c r="T80" s="416"/>
      <c r="U80" s="416"/>
      <c r="V80" s="416"/>
      <c r="W80" s="416"/>
      <c r="X80" s="416"/>
      <c r="Y80" s="416"/>
      <c r="Z80" s="416"/>
      <c r="AA80" s="416"/>
      <c r="AB80" s="416"/>
      <c r="AC80" s="416"/>
      <c r="AD80" s="416"/>
      <c r="AE80" s="416"/>
      <c r="AF80" s="416"/>
      <c r="AG80" s="416"/>
      <c r="AH80" s="416"/>
      <c r="AI80" s="416"/>
      <c r="AJ80" s="416"/>
      <c r="AK80" s="416"/>
      <c r="AL80" s="416"/>
      <c r="AM80" s="416"/>
      <c r="AN80" s="416"/>
      <c r="AO80" s="416"/>
      <c r="AP80" s="416"/>
      <c r="BH80" s="136"/>
    </row>
    <row r="81" spans="5:60" s="160" customFormat="1" x14ac:dyDescent="0.25">
      <c r="E81" s="152" t="s">
        <v>515</v>
      </c>
      <c r="F81" s="167"/>
      <c r="G81" s="167"/>
      <c r="H81" s="167"/>
      <c r="I81" s="167"/>
      <c r="J81" s="435"/>
      <c r="K81" s="435"/>
      <c r="L81" s="435"/>
      <c r="M81" s="435"/>
      <c r="N81" s="435"/>
      <c r="O81" s="435"/>
      <c r="P81" s="435"/>
      <c r="Q81" s="435"/>
      <c r="R81" s="435"/>
      <c r="S81" s="435"/>
      <c r="T81" s="435"/>
      <c r="U81" s="435"/>
      <c r="V81" s="435"/>
      <c r="W81" s="435"/>
      <c r="X81" s="435"/>
      <c r="Y81" s="435"/>
      <c r="Z81" s="435"/>
      <c r="AA81" s="435"/>
      <c r="AB81" s="435"/>
      <c r="AC81" s="435"/>
      <c r="AD81" s="435"/>
      <c r="AE81" s="435"/>
      <c r="AF81" s="435"/>
      <c r="AG81" s="435"/>
      <c r="AH81" s="435"/>
      <c r="AI81" s="435"/>
      <c r="AJ81" s="435"/>
      <c r="AK81" s="435"/>
      <c r="AL81" s="435"/>
      <c r="AM81" s="435"/>
      <c r="AN81" s="435"/>
      <c r="AO81" s="435"/>
      <c r="AP81" s="435"/>
      <c r="BH81" s="163"/>
    </row>
    <row r="82" spans="5:60" x14ac:dyDescent="0.25">
      <c r="E82" s="74"/>
      <c r="F82" s="137" t="s">
        <v>43</v>
      </c>
      <c r="G82" s="137" t="s">
        <v>119</v>
      </c>
      <c r="H82" s="137"/>
      <c r="I82" s="137"/>
      <c r="J82" s="443">
        <f t="shared" ref="J82:AP82" si="1">J$56 * J34 * J70 / hours_in_year / $H45</f>
        <v>2555.0513653002795</v>
      </c>
      <c r="K82" s="443">
        <f t="shared" si="1"/>
        <v>289.4511230595561</v>
      </c>
      <c r="L82" s="443">
        <f t="shared" si="1"/>
        <v>2.4261760847325813</v>
      </c>
      <c r="M82" s="443">
        <f t="shared" si="1"/>
        <v>591.31556363701156</v>
      </c>
      <c r="N82" s="443">
        <f t="shared" si="1"/>
        <v>163.26587680147819</v>
      </c>
      <c r="O82" s="443">
        <f t="shared" si="1"/>
        <v>1.7310435670871602</v>
      </c>
      <c r="P82" s="443">
        <f t="shared" si="1"/>
        <v>18.708338223671785</v>
      </c>
      <c r="Q82" s="443">
        <f t="shared" si="1"/>
        <v>0</v>
      </c>
      <c r="R82" s="443">
        <f t="shared" si="1"/>
        <v>4.9222666842853827E-2</v>
      </c>
      <c r="S82" s="443">
        <f t="shared" si="1"/>
        <v>14.496617114095203</v>
      </c>
      <c r="T82" s="443">
        <f t="shared" si="1"/>
        <v>60.718107592055603</v>
      </c>
      <c r="U82" s="443">
        <f t="shared" si="1"/>
        <v>910.20757538723467</v>
      </c>
      <c r="V82" s="443">
        <f t="shared" si="1"/>
        <v>51.943789721102107</v>
      </c>
      <c r="W82" s="443">
        <f t="shared" si="1"/>
        <v>548.07250971354688</v>
      </c>
      <c r="X82" s="443">
        <f t="shared" si="1"/>
        <v>2.8576611849991154</v>
      </c>
      <c r="Y82" s="443">
        <f t="shared" si="1"/>
        <v>2.152709330307466</v>
      </c>
      <c r="Z82" s="443">
        <f t="shared" si="1"/>
        <v>0.20421536490828651</v>
      </c>
      <c r="AA82" s="443">
        <f t="shared" si="1"/>
        <v>1.6093759776064382E-2</v>
      </c>
      <c r="AB82" s="443">
        <f t="shared" si="1"/>
        <v>24.467293957056444</v>
      </c>
      <c r="AC82" s="443">
        <f t="shared" si="1"/>
        <v>-0.55694943872271452</v>
      </c>
      <c r="AD82" s="443">
        <f t="shared" si="1"/>
        <v>-3.1406912342453408E-2</v>
      </c>
      <c r="AE82" s="443">
        <f t="shared" si="1"/>
        <v>-4.4718749070817854</v>
      </c>
      <c r="AF82" s="443">
        <f t="shared" si="1"/>
        <v>0</v>
      </c>
      <c r="AG82" s="443">
        <f t="shared" si="1"/>
        <v>-3.3254677923390878</v>
      </c>
      <c r="AH82" s="443">
        <f t="shared" si="1"/>
        <v>0</v>
      </c>
      <c r="AI82" s="443">
        <f t="shared" si="1"/>
        <v>0</v>
      </c>
      <c r="AJ82" s="443">
        <f t="shared" si="1"/>
        <v>0</v>
      </c>
      <c r="AK82" s="443">
        <f t="shared" si="1"/>
        <v>0</v>
      </c>
      <c r="AL82" s="443">
        <f t="shared" si="1"/>
        <v>0</v>
      </c>
      <c r="AM82" s="443">
        <f t="shared" si="1"/>
        <v>-55.163950360535068</v>
      </c>
      <c r="AN82" s="443">
        <f t="shared" si="1"/>
        <v>0</v>
      </c>
      <c r="AO82" s="443">
        <f t="shared" si="1"/>
        <v>-66.919344775754055</v>
      </c>
      <c r="AP82" s="443">
        <f t="shared" si="1"/>
        <v>0</v>
      </c>
      <c r="BH82" s="136"/>
    </row>
    <row r="83" spans="5:60" x14ac:dyDescent="0.25">
      <c r="E83" s="74"/>
      <c r="F83" s="139" t="s">
        <v>44</v>
      </c>
      <c r="G83" s="139" t="s">
        <v>119</v>
      </c>
      <c r="H83" s="139"/>
      <c r="I83" s="139"/>
      <c r="J83" s="435">
        <f t="shared" ref="J83:AP83" si="2">J$56 * J35 * J71 / hours_in_year / $H46</f>
        <v>2506.4743396071235</v>
      </c>
      <c r="K83" s="435">
        <f t="shared" si="2"/>
        <v>282.9916710339009</v>
      </c>
      <c r="L83" s="435">
        <f t="shared" si="2"/>
        <v>3.3171440116737139</v>
      </c>
      <c r="M83" s="435">
        <f t="shared" si="2"/>
        <v>593.7945283891188</v>
      </c>
      <c r="N83" s="435">
        <f t="shared" si="2"/>
        <v>161.22526509128056</v>
      </c>
      <c r="O83" s="435">
        <f t="shared" si="2"/>
        <v>1.8234715210020476</v>
      </c>
      <c r="P83" s="435">
        <f t="shared" si="2"/>
        <v>18.627407028227488</v>
      </c>
      <c r="Q83" s="435">
        <f t="shared" si="2"/>
        <v>0</v>
      </c>
      <c r="R83" s="435">
        <f t="shared" si="2"/>
        <v>4.9169311316258846E-2</v>
      </c>
      <c r="S83" s="435">
        <f t="shared" si="2"/>
        <v>13.376271946683653</v>
      </c>
      <c r="T83" s="435">
        <f t="shared" si="2"/>
        <v>56.027860658196914</v>
      </c>
      <c r="U83" s="435">
        <f t="shared" si="2"/>
        <v>840.00804693659177</v>
      </c>
      <c r="V83" s="435">
        <f t="shared" si="2"/>
        <v>47.937638110235326</v>
      </c>
      <c r="W83" s="435">
        <f t="shared" si="2"/>
        <v>505.8025563764931</v>
      </c>
      <c r="X83" s="435">
        <f t="shared" si="2"/>
        <v>2.8454635513049831</v>
      </c>
      <c r="Y83" s="435">
        <f t="shared" si="2"/>
        <v>2.3206644550687701</v>
      </c>
      <c r="Z83" s="435">
        <f t="shared" si="2"/>
        <v>0.21934827556548181</v>
      </c>
      <c r="AA83" s="435">
        <f t="shared" si="2"/>
        <v>1.4620051765039308E-2</v>
      </c>
      <c r="AB83" s="435">
        <f t="shared" si="2"/>
        <v>27.196423544437593</v>
      </c>
      <c r="AC83" s="435">
        <f t="shared" si="2"/>
        <v>-0.55417854599275107</v>
      </c>
      <c r="AD83" s="435">
        <f t="shared" si="2"/>
        <v>-3.1250659047217341E-2</v>
      </c>
      <c r="AE83" s="435">
        <f t="shared" si="2"/>
        <v>-4.4496267732157087</v>
      </c>
      <c r="AF83" s="435">
        <f t="shared" si="2"/>
        <v>0</v>
      </c>
      <c r="AG83" s="435">
        <f t="shared" si="2"/>
        <v>-3.0689919320929371</v>
      </c>
      <c r="AH83" s="435">
        <f t="shared" si="2"/>
        <v>0</v>
      </c>
      <c r="AI83" s="435">
        <f t="shared" si="2"/>
        <v>0</v>
      </c>
      <c r="AJ83" s="435">
        <f t="shared" si="2"/>
        <v>0</v>
      </c>
      <c r="AK83" s="435">
        <f t="shared" si="2"/>
        <v>0</v>
      </c>
      <c r="AL83" s="435">
        <f t="shared" si="2"/>
        <v>0</v>
      </c>
      <c r="AM83" s="435">
        <f t="shared" si="2"/>
        <v>-54.889502846303579</v>
      </c>
      <c r="AN83" s="435">
        <f t="shared" si="2"/>
        <v>0</v>
      </c>
      <c r="AO83" s="435">
        <f t="shared" si="2"/>
        <v>-61.758207278644846</v>
      </c>
      <c r="AP83" s="435">
        <f t="shared" si="2"/>
        <v>0</v>
      </c>
      <c r="BH83" s="136"/>
    </row>
    <row r="84" spans="5:60" x14ac:dyDescent="0.25">
      <c r="E84" s="74"/>
      <c r="F84" s="139" t="s">
        <v>45</v>
      </c>
      <c r="G84" s="139" t="s">
        <v>119</v>
      </c>
      <c r="H84" s="139"/>
      <c r="I84" s="139"/>
      <c r="J84" s="435">
        <f t="shared" ref="J84:AP84" si="3">J$56 * J36 * J72 / hours_in_year / $H47</f>
        <v>2499.0145945487684</v>
      </c>
      <c r="K84" s="435">
        <f t="shared" si="3"/>
        <v>282.14943391772852</v>
      </c>
      <c r="L84" s="435">
        <f t="shared" si="3"/>
        <v>3.3072715592580177</v>
      </c>
      <c r="M84" s="435">
        <f t="shared" si="3"/>
        <v>592.0272827689131</v>
      </c>
      <c r="N84" s="435">
        <f t="shared" si="3"/>
        <v>160.74542799279459</v>
      </c>
      <c r="O84" s="435">
        <f t="shared" si="3"/>
        <v>1.8180445224276365</v>
      </c>
      <c r="P84" s="435">
        <f t="shared" si="3"/>
        <v>18.571968316833953</v>
      </c>
      <c r="Q84" s="435">
        <f t="shared" si="3"/>
        <v>0</v>
      </c>
      <c r="R84" s="435">
        <f t="shared" si="3"/>
        <v>4.9022974080198546E-2</v>
      </c>
      <c r="S84" s="435">
        <f t="shared" si="3"/>
        <v>13.336461613508998</v>
      </c>
      <c r="T84" s="435">
        <f t="shared" si="3"/>
        <v>55.861111072904656</v>
      </c>
      <c r="U84" s="435">
        <f t="shared" si="3"/>
        <v>837.50802298737563</v>
      </c>
      <c r="V84" s="435">
        <f t="shared" si="3"/>
        <v>47.794966568240575</v>
      </c>
      <c r="W84" s="435">
        <f t="shared" si="3"/>
        <v>504.29719162537248</v>
      </c>
      <c r="X84" s="435">
        <f t="shared" si="3"/>
        <v>2.8369949097832419</v>
      </c>
      <c r="Y84" s="435">
        <f t="shared" si="3"/>
        <v>2.3137577156191607</v>
      </c>
      <c r="Z84" s="435">
        <f t="shared" si="3"/>
        <v>0.21869545331677501</v>
      </c>
      <c r="AA84" s="435">
        <f t="shared" si="3"/>
        <v>1.4576539706214786E-2</v>
      </c>
      <c r="AB84" s="435">
        <f t="shared" si="3"/>
        <v>27.115481807698192</v>
      </c>
      <c r="AC84" s="435">
        <f t="shared" si="3"/>
        <v>-0.55252920508205827</v>
      </c>
      <c r="AD84" s="435">
        <f t="shared" si="3"/>
        <v>-3.1157651133386331E-2</v>
      </c>
      <c r="AE84" s="435">
        <f t="shared" si="3"/>
        <v>-4.4363838363906618</v>
      </c>
      <c r="AF84" s="435">
        <f t="shared" si="3"/>
        <v>0</v>
      </c>
      <c r="AG84" s="435">
        <f t="shared" si="3"/>
        <v>-3.0598580275331364</v>
      </c>
      <c r="AH84" s="435">
        <f t="shared" si="3"/>
        <v>0</v>
      </c>
      <c r="AI84" s="435">
        <f t="shared" si="3"/>
        <v>0</v>
      </c>
      <c r="AJ84" s="435">
        <f t="shared" si="3"/>
        <v>0</v>
      </c>
      <c r="AK84" s="435">
        <f t="shared" si="3"/>
        <v>0</v>
      </c>
      <c r="AL84" s="435">
        <f t="shared" si="3"/>
        <v>0</v>
      </c>
      <c r="AM84" s="435">
        <f t="shared" si="3"/>
        <v>-54.726141230689571</v>
      </c>
      <c r="AN84" s="435">
        <f t="shared" si="3"/>
        <v>0</v>
      </c>
      <c r="AO84" s="435">
        <f t="shared" si="3"/>
        <v>-61.574403090315535</v>
      </c>
      <c r="AP84" s="435">
        <f t="shared" si="3"/>
        <v>0</v>
      </c>
      <c r="BH84" s="136"/>
    </row>
    <row r="85" spans="5:60" x14ac:dyDescent="0.25">
      <c r="E85" s="74"/>
      <c r="F85" s="139" t="s">
        <v>46</v>
      </c>
      <c r="G85" s="139" t="s">
        <v>119</v>
      </c>
      <c r="H85" s="139"/>
      <c r="I85" s="139"/>
      <c r="J85" s="435">
        <f t="shared" ref="J85:AP85" si="4">J$56 * J37 * J73 / hours_in_year / $H48</f>
        <v>2381.652728836109</v>
      </c>
      <c r="K85" s="435">
        <f t="shared" si="4"/>
        <v>266.02933588029191</v>
      </c>
      <c r="L85" s="435">
        <f t="shared" si="4"/>
        <v>5.7851780258294188</v>
      </c>
      <c r="M85" s="435">
        <f t="shared" si="4"/>
        <v>599.57504201135339</v>
      </c>
      <c r="N85" s="435">
        <f t="shared" si="4"/>
        <v>155.65776677217019</v>
      </c>
      <c r="O85" s="435">
        <f t="shared" si="4"/>
        <v>2.09716318335161</v>
      </c>
      <c r="P85" s="435">
        <f t="shared" si="4"/>
        <v>18.405012972947148</v>
      </c>
      <c r="Q85" s="435">
        <f t="shared" si="4"/>
        <v>0</v>
      </c>
      <c r="R85" s="435">
        <f t="shared" si="4"/>
        <v>4.9009611586871636E-2</v>
      </c>
      <c r="S85" s="435">
        <f t="shared" si="4"/>
        <v>10.502161978867262</v>
      </c>
      <c r="T85" s="435">
        <f t="shared" si="4"/>
        <v>43.997187384890061</v>
      </c>
      <c r="U85" s="435">
        <f t="shared" si="4"/>
        <v>659.83327291479395</v>
      </c>
      <c r="V85" s="435">
        <f t="shared" si="4"/>
        <v>37.655411475444112</v>
      </c>
      <c r="W85" s="435">
        <f t="shared" si="4"/>
        <v>397.31209413969316</v>
      </c>
      <c r="X85" s="435">
        <f t="shared" si="4"/>
        <v>2.8113886197584517</v>
      </c>
      <c r="Y85" s="435">
        <f t="shared" si="4"/>
        <v>2.0450105568656478</v>
      </c>
      <c r="Z85" s="435">
        <f t="shared" si="4"/>
        <v>0.1912421121029147</v>
      </c>
      <c r="AA85" s="435">
        <f t="shared" si="4"/>
        <v>1.6364023568594475E-2</v>
      </c>
      <c r="AB85" s="435">
        <f t="shared" si="4"/>
        <v>22.248798792021159</v>
      </c>
      <c r="AC85" s="435">
        <f t="shared" si="4"/>
        <v>-0.54817858141999476</v>
      </c>
      <c r="AD85" s="435">
        <f t="shared" si="4"/>
        <v>-3.0912315297690368E-2</v>
      </c>
      <c r="AE85" s="435">
        <f t="shared" si="4"/>
        <v>-4.4014516801986083</v>
      </c>
      <c r="AF85" s="435">
        <f t="shared" si="4"/>
        <v>0</v>
      </c>
      <c r="AG85" s="435">
        <f t="shared" si="4"/>
        <v>-2.4107185621459157</v>
      </c>
      <c r="AH85" s="435">
        <f t="shared" si="4"/>
        <v>0</v>
      </c>
      <c r="AI85" s="435">
        <f t="shared" si="4"/>
        <v>0</v>
      </c>
      <c r="AJ85" s="435">
        <f t="shared" si="4"/>
        <v>0</v>
      </c>
      <c r="AK85" s="435">
        <f t="shared" si="4"/>
        <v>0</v>
      </c>
      <c r="AL85" s="435">
        <f t="shared" si="4"/>
        <v>0</v>
      </c>
      <c r="AM85" s="435">
        <f t="shared" si="4"/>
        <v>-54.295226732810114</v>
      </c>
      <c r="AN85" s="435">
        <f t="shared" si="4"/>
        <v>0</v>
      </c>
      <c r="AO85" s="435">
        <f t="shared" si="4"/>
        <v>-48.51158293855547</v>
      </c>
      <c r="AP85" s="435">
        <f t="shared" si="4"/>
        <v>0</v>
      </c>
      <c r="BH85" s="136"/>
    </row>
    <row r="86" spans="5:60" x14ac:dyDescent="0.25">
      <c r="E86" s="74"/>
      <c r="F86" s="139" t="s">
        <v>47</v>
      </c>
      <c r="G86" s="139" t="s">
        <v>119</v>
      </c>
      <c r="H86" s="139"/>
      <c r="I86" s="139"/>
      <c r="J86" s="435">
        <f t="shared" ref="J86:AP86" si="5">J$56 * J38 * J74 / hours_in_year / $H49</f>
        <v>2369.9893951983222</v>
      </c>
      <c r="K86" s="435">
        <f t="shared" si="5"/>
        <v>264.72654775159316</v>
      </c>
      <c r="L86" s="435">
        <f t="shared" si="5"/>
        <v>5.7568470854482765</v>
      </c>
      <c r="M86" s="435">
        <f t="shared" si="5"/>
        <v>596.63882731002457</v>
      </c>
      <c r="N86" s="435">
        <f t="shared" si="5"/>
        <v>154.89548583792845</v>
      </c>
      <c r="O86" s="435">
        <f t="shared" si="5"/>
        <v>2.0868930404360784</v>
      </c>
      <c r="P86" s="435">
        <f t="shared" si="5"/>
        <v>18.314880686106076</v>
      </c>
      <c r="Q86" s="435">
        <f t="shared" si="5"/>
        <v>0</v>
      </c>
      <c r="R86" s="435">
        <f t="shared" si="5"/>
        <v>4.8769603694673445E-2</v>
      </c>
      <c r="S86" s="435">
        <f t="shared" si="5"/>
        <v>10.450731215013848</v>
      </c>
      <c r="T86" s="435">
        <f t="shared" si="5"/>
        <v>43.781726134229487</v>
      </c>
      <c r="U86" s="435">
        <f t="shared" si="5"/>
        <v>656.60196403666089</v>
      </c>
      <c r="V86" s="435">
        <f t="shared" si="5"/>
        <v>37.471006913860158</v>
      </c>
      <c r="W86" s="435">
        <f t="shared" si="5"/>
        <v>395.3663933848465</v>
      </c>
      <c r="X86" s="435">
        <f t="shared" si="5"/>
        <v>2.7976208008565986</v>
      </c>
      <c r="Y86" s="435">
        <f t="shared" si="5"/>
        <v>2.0349958136880493</v>
      </c>
      <c r="Z86" s="435">
        <f t="shared" si="5"/>
        <v>0.19030556894863992</v>
      </c>
      <c r="AA86" s="435">
        <f t="shared" si="5"/>
        <v>1.6283886332705177E-2</v>
      </c>
      <c r="AB86" s="435">
        <f t="shared" si="5"/>
        <v>22.139842872373652</v>
      </c>
      <c r="AC86" s="435">
        <f t="shared" si="5"/>
        <v>-0.54549406339149331</v>
      </c>
      <c r="AD86" s="435">
        <f t="shared" si="5"/>
        <v>-3.0760932754606677E-2</v>
      </c>
      <c r="AE86" s="435">
        <f t="shared" si="5"/>
        <v>-4.3798970686403393</v>
      </c>
      <c r="AF86" s="435">
        <f t="shared" si="5"/>
        <v>0</v>
      </c>
      <c r="AG86" s="435">
        <f t="shared" si="5"/>
        <v>-2.3989128884821258</v>
      </c>
      <c r="AH86" s="435">
        <f t="shared" si="5"/>
        <v>0</v>
      </c>
      <c r="AI86" s="435">
        <f t="shared" si="5"/>
        <v>0</v>
      </c>
      <c r="AJ86" s="435">
        <f t="shared" si="5"/>
        <v>0</v>
      </c>
      <c r="AK86" s="435">
        <f t="shared" si="5"/>
        <v>0</v>
      </c>
      <c r="AL86" s="435">
        <f t="shared" si="5"/>
        <v>0</v>
      </c>
      <c r="AM86" s="435">
        <f t="shared" si="5"/>
        <v>-54.029334339407519</v>
      </c>
      <c r="AN86" s="435">
        <f t="shared" si="5"/>
        <v>0</v>
      </c>
      <c r="AO86" s="435">
        <f t="shared" si="5"/>
        <v>-48.274013972157064</v>
      </c>
      <c r="AP86" s="435">
        <f t="shared" si="5"/>
        <v>0</v>
      </c>
      <c r="BH86" s="136"/>
    </row>
    <row r="87" spans="5:60" x14ac:dyDescent="0.25">
      <c r="E87" s="74"/>
      <c r="F87" s="139" t="s">
        <v>51</v>
      </c>
      <c r="G87" s="139" t="s">
        <v>119</v>
      </c>
      <c r="H87" s="139"/>
      <c r="I87" s="139"/>
      <c r="J87" s="435">
        <f t="shared" ref="J87:AP87" si="6">J$56 * J39 * J75 / hours_in_year / $H50</f>
        <v>0</v>
      </c>
      <c r="K87" s="435">
        <f t="shared" si="6"/>
        <v>0</v>
      </c>
      <c r="L87" s="435">
        <f t="shared" si="6"/>
        <v>0</v>
      </c>
      <c r="M87" s="435">
        <f t="shared" si="6"/>
        <v>0</v>
      </c>
      <c r="N87" s="435">
        <f t="shared" si="6"/>
        <v>0</v>
      </c>
      <c r="O87" s="435">
        <f t="shared" si="6"/>
        <v>0</v>
      </c>
      <c r="P87" s="435">
        <f t="shared" si="6"/>
        <v>0</v>
      </c>
      <c r="Q87" s="435">
        <f t="shared" si="6"/>
        <v>0</v>
      </c>
      <c r="R87" s="435">
        <f t="shared" si="6"/>
        <v>0</v>
      </c>
      <c r="S87" s="435">
        <f t="shared" si="6"/>
        <v>0</v>
      </c>
      <c r="T87" s="435">
        <f t="shared" si="6"/>
        <v>0</v>
      </c>
      <c r="U87" s="435">
        <f t="shared" si="6"/>
        <v>0</v>
      </c>
      <c r="V87" s="435">
        <f t="shared" si="6"/>
        <v>0</v>
      </c>
      <c r="W87" s="435">
        <f t="shared" si="6"/>
        <v>0</v>
      </c>
      <c r="X87" s="435">
        <f t="shared" si="6"/>
        <v>0</v>
      </c>
      <c r="Y87" s="435">
        <f t="shared" si="6"/>
        <v>0</v>
      </c>
      <c r="Z87" s="435">
        <f t="shared" si="6"/>
        <v>0</v>
      </c>
      <c r="AA87" s="435">
        <f t="shared" si="6"/>
        <v>0</v>
      </c>
      <c r="AB87" s="435">
        <f t="shared" si="6"/>
        <v>0</v>
      </c>
      <c r="AC87" s="435">
        <f t="shared" si="6"/>
        <v>0</v>
      </c>
      <c r="AD87" s="435">
        <f t="shared" si="6"/>
        <v>0</v>
      </c>
      <c r="AE87" s="435">
        <f t="shared" si="6"/>
        <v>0</v>
      </c>
      <c r="AF87" s="435">
        <f t="shared" si="6"/>
        <v>0</v>
      </c>
      <c r="AG87" s="435">
        <f t="shared" si="6"/>
        <v>0</v>
      </c>
      <c r="AH87" s="435">
        <f t="shared" si="6"/>
        <v>0</v>
      </c>
      <c r="AI87" s="435">
        <f t="shared" si="6"/>
        <v>0</v>
      </c>
      <c r="AJ87" s="435">
        <f t="shared" si="6"/>
        <v>0</v>
      </c>
      <c r="AK87" s="435">
        <f t="shared" si="6"/>
        <v>0</v>
      </c>
      <c r="AL87" s="435">
        <f t="shared" si="6"/>
        <v>0</v>
      </c>
      <c r="AM87" s="435">
        <f t="shared" si="6"/>
        <v>0</v>
      </c>
      <c r="AN87" s="435">
        <f t="shared" si="6"/>
        <v>0</v>
      </c>
      <c r="AO87" s="435">
        <f t="shared" si="6"/>
        <v>0</v>
      </c>
      <c r="AP87" s="435">
        <f t="shared" si="6"/>
        <v>0</v>
      </c>
      <c r="BH87" s="136"/>
    </row>
    <row r="88" spans="5:60" x14ac:dyDescent="0.25">
      <c r="E88" s="74"/>
      <c r="F88" s="139" t="s">
        <v>48</v>
      </c>
      <c r="G88" s="139" t="s">
        <v>119</v>
      </c>
      <c r="H88" s="139"/>
      <c r="I88" s="139"/>
      <c r="J88" s="435">
        <f t="shared" ref="J88:AP88" si="7">J$56 * J40 * J76 / hours_in_year / $H51</f>
        <v>2219.7547977012619</v>
      </c>
      <c r="K88" s="435">
        <f t="shared" si="7"/>
        <v>243.99558756089687</v>
      </c>
      <c r="L88" s="435">
        <f t="shared" si="7"/>
        <v>8.9739301282483499</v>
      </c>
      <c r="M88" s="435">
        <f t="shared" si="7"/>
        <v>606.0924101878652</v>
      </c>
      <c r="N88" s="435">
        <f t="shared" si="7"/>
        <v>148.28639460161395</v>
      </c>
      <c r="O88" s="435">
        <f t="shared" si="7"/>
        <v>2.4537880597705044</v>
      </c>
      <c r="P88" s="435">
        <f t="shared" si="7"/>
        <v>18.096272485582933</v>
      </c>
      <c r="Q88" s="435">
        <f t="shared" si="7"/>
        <v>0</v>
      </c>
      <c r="R88" s="435">
        <f t="shared" si="7"/>
        <v>4.8743275929254731E-2</v>
      </c>
      <c r="S88" s="435">
        <f t="shared" si="7"/>
        <v>6.8298387310170652</v>
      </c>
      <c r="T88" s="435">
        <f t="shared" si="7"/>
        <v>28.621639411644612</v>
      </c>
      <c r="U88" s="435">
        <f t="shared" si="7"/>
        <v>429.40106608135602</v>
      </c>
      <c r="V88" s="435">
        <f t="shared" si="7"/>
        <v>24.505090141727074</v>
      </c>
      <c r="W88" s="435">
        <f t="shared" si="7"/>
        <v>258.5596146689486</v>
      </c>
      <c r="X88" s="435">
        <f t="shared" si="7"/>
        <v>2.764542885918523</v>
      </c>
      <c r="Y88" s="435">
        <f t="shared" si="7"/>
        <v>1.5479452078919729</v>
      </c>
      <c r="Z88" s="435">
        <f t="shared" si="7"/>
        <v>0.14154275036961866</v>
      </c>
      <c r="AA88" s="435">
        <f t="shared" si="7"/>
        <v>1.9692407844238129E-2</v>
      </c>
      <c r="AB88" s="435">
        <f t="shared" si="7"/>
        <v>13.474848323122217</v>
      </c>
      <c r="AC88" s="435">
        <f t="shared" si="7"/>
        <v>-0.54020314134113934</v>
      </c>
      <c r="AD88" s="435">
        <f t="shared" si="7"/>
        <v>-3.0462572592098367E-2</v>
      </c>
      <c r="AE88" s="435">
        <f t="shared" si="7"/>
        <v>-4.3374150408164756</v>
      </c>
      <c r="AF88" s="435">
        <f t="shared" si="7"/>
        <v>0</v>
      </c>
      <c r="AG88" s="435">
        <f t="shared" si="7"/>
        <v>-1.5688283133021752</v>
      </c>
      <c r="AH88" s="435">
        <f t="shared" si="7"/>
        <v>0</v>
      </c>
      <c r="AI88" s="435">
        <f t="shared" si="7"/>
        <v>0</v>
      </c>
      <c r="AJ88" s="435">
        <f t="shared" si="7"/>
        <v>0</v>
      </c>
      <c r="AK88" s="435">
        <f t="shared" si="7"/>
        <v>0</v>
      </c>
      <c r="AL88" s="435">
        <f t="shared" si="7"/>
        <v>0</v>
      </c>
      <c r="AM88" s="435">
        <f t="shared" si="7"/>
        <v>0</v>
      </c>
      <c r="AN88" s="435">
        <f t="shared" si="7"/>
        <v>0</v>
      </c>
      <c r="AO88" s="435">
        <f t="shared" si="7"/>
        <v>0</v>
      </c>
      <c r="AP88" s="435">
        <f t="shared" si="7"/>
        <v>0</v>
      </c>
      <c r="BH88" s="136"/>
    </row>
    <row r="89" spans="5:60" x14ac:dyDescent="0.25">
      <c r="E89" s="74"/>
      <c r="F89" s="139" t="s">
        <v>49</v>
      </c>
      <c r="G89" s="139" t="s">
        <v>119</v>
      </c>
      <c r="H89" s="139"/>
      <c r="I89" s="139"/>
      <c r="J89" s="435">
        <f t="shared" ref="J89:AP89" si="8">J$56 * J41 * J77 / hours_in_year / $H52</f>
        <v>2187.9227499330791</v>
      </c>
      <c r="K89" s="435">
        <f t="shared" si="8"/>
        <v>240.49660685973677</v>
      </c>
      <c r="L89" s="435">
        <f t="shared" si="8"/>
        <v>8.8452408816673493</v>
      </c>
      <c r="M89" s="435">
        <f t="shared" si="8"/>
        <v>597.40083642800096</v>
      </c>
      <c r="N89" s="435">
        <f t="shared" si="8"/>
        <v>146.15991666755639</v>
      </c>
      <c r="O89" s="435">
        <f t="shared" si="8"/>
        <v>2.4185998944774281</v>
      </c>
      <c r="P89" s="435">
        <f t="shared" si="8"/>
        <v>17.836765709977058</v>
      </c>
      <c r="Q89" s="435">
        <f t="shared" si="8"/>
        <v>0</v>
      </c>
      <c r="R89" s="435">
        <f t="shared" si="8"/>
        <v>0</v>
      </c>
      <c r="S89" s="435">
        <f t="shared" si="8"/>
        <v>6.7318964930005674</v>
      </c>
      <c r="T89" s="435">
        <f t="shared" si="8"/>
        <v>28.211195251821792</v>
      </c>
      <c r="U89" s="435">
        <f t="shared" si="8"/>
        <v>423.2433070075316</v>
      </c>
      <c r="V89" s="435">
        <f t="shared" si="8"/>
        <v>24.153678715220469</v>
      </c>
      <c r="W89" s="435">
        <f t="shared" si="8"/>
        <v>0</v>
      </c>
      <c r="X89" s="435">
        <f t="shared" si="8"/>
        <v>2.7248983894665364</v>
      </c>
      <c r="Y89" s="435">
        <f t="shared" si="8"/>
        <v>1.525747140857193</v>
      </c>
      <c r="Z89" s="435">
        <f t="shared" si="8"/>
        <v>0.1395129786147962</v>
      </c>
      <c r="AA89" s="435">
        <f t="shared" si="8"/>
        <v>1.9410011938250007E-2</v>
      </c>
      <c r="AB89" s="435">
        <f t="shared" si="8"/>
        <v>13.28161436055354</v>
      </c>
      <c r="AC89" s="435">
        <f t="shared" si="8"/>
        <v>-0.53245644237353218</v>
      </c>
      <c r="AD89" s="435">
        <f t="shared" si="8"/>
        <v>0</v>
      </c>
      <c r="AE89" s="435">
        <f t="shared" si="8"/>
        <v>-4.2752150163305798</v>
      </c>
      <c r="AF89" s="435">
        <f t="shared" si="8"/>
        <v>0</v>
      </c>
      <c r="AG89" s="435">
        <f t="shared" si="8"/>
        <v>-1.5463307753485109</v>
      </c>
      <c r="AH89" s="435">
        <f t="shared" si="8"/>
        <v>0</v>
      </c>
      <c r="AI89" s="435">
        <f t="shared" si="8"/>
        <v>0</v>
      </c>
      <c r="AJ89" s="435">
        <f t="shared" si="8"/>
        <v>0</v>
      </c>
      <c r="AK89" s="435">
        <f t="shared" si="8"/>
        <v>0</v>
      </c>
      <c r="AL89" s="435">
        <f t="shared" si="8"/>
        <v>0</v>
      </c>
      <c r="AM89" s="435">
        <f t="shared" si="8"/>
        <v>0</v>
      </c>
      <c r="AN89" s="435">
        <f t="shared" si="8"/>
        <v>0</v>
      </c>
      <c r="AO89" s="435">
        <f t="shared" si="8"/>
        <v>0</v>
      </c>
      <c r="AP89" s="435">
        <f t="shared" si="8"/>
        <v>0</v>
      </c>
      <c r="BH89" s="136"/>
    </row>
    <row r="90" spans="5:60" x14ac:dyDescent="0.25">
      <c r="E90" s="74"/>
      <c r="F90" s="140" t="s">
        <v>50</v>
      </c>
      <c r="G90" s="140" t="s">
        <v>119</v>
      </c>
      <c r="H90" s="140"/>
      <c r="I90" s="140"/>
      <c r="J90" s="436">
        <f t="shared" ref="J90:AP90" si="9">J$56 * J42 * J78 / hours_in_year / $H53</f>
        <v>2101.5309425436189</v>
      </c>
      <c r="K90" s="436">
        <f t="shared" si="9"/>
        <v>231.00041393506396</v>
      </c>
      <c r="L90" s="436">
        <f t="shared" si="9"/>
        <v>8.4959797632911371</v>
      </c>
      <c r="M90" s="436">
        <f t="shared" si="9"/>
        <v>573.81200633947572</v>
      </c>
      <c r="N90" s="436">
        <f t="shared" si="9"/>
        <v>140.38868028858033</v>
      </c>
      <c r="O90" s="436">
        <f t="shared" si="9"/>
        <v>2.323099623161974</v>
      </c>
      <c r="P90" s="436">
        <f t="shared" si="9"/>
        <v>17.132467339426999</v>
      </c>
      <c r="Q90" s="436">
        <f t="shared" si="9"/>
        <v>0</v>
      </c>
      <c r="R90" s="436">
        <f t="shared" si="9"/>
        <v>0</v>
      </c>
      <c r="S90" s="436">
        <f t="shared" si="9"/>
        <v>6.4660823982356233</v>
      </c>
      <c r="T90" s="436">
        <f t="shared" si="9"/>
        <v>27.097254576130023</v>
      </c>
      <c r="U90" s="436">
        <f t="shared" si="9"/>
        <v>406.53122050493852</v>
      </c>
      <c r="V90" s="436">
        <f t="shared" si="9"/>
        <v>0</v>
      </c>
      <c r="W90" s="436">
        <f t="shared" si="9"/>
        <v>0</v>
      </c>
      <c r="X90" s="436">
        <f t="shared" si="9"/>
        <v>2.6173036872194646</v>
      </c>
      <c r="Y90" s="436">
        <f t="shared" si="9"/>
        <v>1.4655018451208668</v>
      </c>
      <c r="Z90" s="436">
        <f t="shared" si="9"/>
        <v>0.1340042016814296</v>
      </c>
      <c r="AA90" s="436">
        <f t="shared" si="9"/>
        <v>1.8643592734076685E-2</v>
      </c>
      <c r="AB90" s="436">
        <f t="shared" si="9"/>
        <v>12.75717963373646</v>
      </c>
      <c r="AC90" s="436">
        <f t="shared" si="9"/>
        <v>0</v>
      </c>
      <c r="AD90" s="436">
        <f t="shared" si="9"/>
        <v>0</v>
      </c>
      <c r="AE90" s="436">
        <f t="shared" si="9"/>
        <v>0</v>
      </c>
      <c r="AF90" s="436">
        <f t="shared" si="9"/>
        <v>0</v>
      </c>
      <c r="AG90" s="436">
        <f t="shared" si="9"/>
        <v>0</v>
      </c>
      <c r="AH90" s="436">
        <f t="shared" si="9"/>
        <v>0</v>
      </c>
      <c r="AI90" s="436">
        <f t="shared" si="9"/>
        <v>0</v>
      </c>
      <c r="AJ90" s="436">
        <f t="shared" si="9"/>
        <v>0</v>
      </c>
      <c r="AK90" s="436">
        <f t="shared" si="9"/>
        <v>0</v>
      </c>
      <c r="AL90" s="436">
        <f t="shared" si="9"/>
        <v>0</v>
      </c>
      <c r="AM90" s="436">
        <f t="shared" si="9"/>
        <v>0</v>
      </c>
      <c r="AN90" s="436">
        <f t="shared" si="9"/>
        <v>0</v>
      </c>
      <c r="AO90" s="436">
        <f t="shared" si="9"/>
        <v>0</v>
      </c>
      <c r="AP90" s="436">
        <f t="shared" si="9"/>
        <v>0</v>
      </c>
      <c r="BH90" s="136"/>
    </row>
    <row r="91" spans="5:60" x14ac:dyDescent="0.25">
      <c r="E91" s="74"/>
      <c r="F91" s="139"/>
      <c r="G91" s="139"/>
      <c r="H91" s="139"/>
      <c r="I91" s="139"/>
      <c r="J91" s="435"/>
      <c r="K91" s="435"/>
      <c r="L91" s="435"/>
      <c r="M91" s="435"/>
      <c r="N91" s="435"/>
      <c r="O91" s="435"/>
      <c r="P91" s="416"/>
      <c r="Q91" s="416"/>
      <c r="R91" s="416"/>
      <c r="S91" s="416"/>
      <c r="T91" s="416"/>
      <c r="U91" s="416"/>
      <c r="V91" s="416"/>
      <c r="W91" s="416"/>
      <c r="X91" s="416"/>
      <c r="Y91" s="416"/>
      <c r="Z91" s="416"/>
      <c r="AA91" s="416"/>
      <c r="AB91" s="416"/>
      <c r="AC91" s="416"/>
      <c r="AD91" s="416"/>
      <c r="AE91" s="416"/>
      <c r="AF91" s="416"/>
      <c r="AG91" s="416"/>
      <c r="AH91" s="416"/>
      <c r="AI91" s="416"/>
      <c r="AJ91" s="416"/>
      <c r="AK91" s="416"/>
      <c r="AL91" s="416"/>
      <c r="AM91" s="416"/>
      <c r="AN91" s="416"/>
      <c r="AO91" s="416"/>
      <c r="AP91" s="416"/>
      <c r="BH91" s="136"/>
    </row>
    <row r="92" spans="5:60" x14ac:dyDescent="0.25">
      <c r="E92" s="74" t="s">
        <v>379</v>
      </c>
      <c r="F92" s="139"/>
      <c r="G92" s="139"/>
      <c r="H92" s="139"/>
      <c r="I92" s="139"/>
      <c r="J92" s="435"/>
      <c r="K92" s="435"/>
      <c r="L92" s="435"/>
      <c r="M92" s="435"/>
      <c r="N92" s="435"/>
      <c r="O92" s="435"/>
      <c r="P92" s="416"/>
      <c r="Q92" s="416"/>
      <c r="R92" s="416"/>
      <c r="S92" s="416"/>
      <c r="T92" s="416"/>
      <c r="U92" s="416"/>
      <c r="V92" s="416"/>
      <c r="W92" s="416"/>
      <c r="X92" s="416"/>
      <c r="Y92" s="416"/>
      <c r="Z92" s="416"/>
      <c r="AA92" s="416"/>
      <c r="AB92" s="416"/>
      <c r="AC92" s="416"/>
      <c r="AD92" s="416"/>
      <c r="AE92" s="416"/>
      <c r="AF92" s="416"/>
      <c r="AG92" s="416"/>
      <c r="AH92" s="416"/>
      <c r="AI92" s="416"/>
      <c r="AJ92" s="416"/>
      <c r="AK92" s="416"/>
      <c r="AL92" s="416"/>
      <c r="AM92" s="416"/>
      <c r="AN92" s="416"/>
      <c r="AO92" s="416"/>
      <c r="AP92" s="416"/>
      <c r="BH92" s="136"/>
    </row>
    <row r="93" spans="5:60" x14ac:dyDescent="0.25">
      <c r="E93" s="74"/>
      <c r="F93" s="137" t="s">
        <v>43</v>
      </c>
      <c r="G93" s="166" t="s">
        <v>636</v>
      </c>
      <c r="H93" s="137"/>
      <c r="I93" s="137"/>
      <c r="J93" s="438">
        <f>'Pseudo-load coefficients'!J520</f>
        <v>0</v>
      </c>
      <c r="K93" s="438">
        <f>'Pseudo-load coefficients'!K520</f>
        <v>3.6243659981993449E-2</v>
      </c>
      <c r="L93" s="438">
        <f>'Pseudo-load coefficients'!L520</f>
        <v>0</v>
      </c>
      <c r="M93" s="438">
        <f>'Pseudo-load coefficients'!M520</f>
        <v>0</v>
      </c>
      <c r="N93" s="438">
        <f>'Pseudo-load coefficients'!N520</f>
        <v>8.89580510718843E-2</v>
      </c>
      <c r="O93" s="438">
        <f>'Pseudo-load coefficients'!O520</f>
        <v>0</v>
      </c>
      <c r="P93" s="438">
        <f>'Pseudo-load coefficients'!P520</f>
        <v>2.5420906287747784E-2</v>
      </c>
      <c r="Q93" s="438">
        <f>'Pseudo-load coefficients'!Q520</f>
        <v>2.5346903557012294E-2</v>
      </c>
      <c r="R93" s="438">
        <f>'Pseudo-load coefficients'!R520</f>
        <v>4.2290493382837135E-2</v>
      </c>
      <c r="S93" s="438">
        <f>'Pseudo-load coefficients'!S520</f>
        <v>0.37142497995685703</v>
      </c>
      <c r="T93" s="438">
        <f>'Pseudo-load coefficients'!T520</f>
        <v>0.39196543187779181</v>
      </c>
      <c r="U93" s="438">
        <f>'Pseudo-load coefficients'!U520</f>
        <v>0.29289660439188447</v>
      </c>
      <c r="V93" s="438">
        <f>'Pseudo-load coefficients'!V520</f>
        <v>0.28322456175554994</v>
      </c>
      <c r="W93" s="438">
        <f>'Pseudo-load coefficients'!W520</f>
        <v>0.25764314117954951</v>
      </c>
      <c r="X93" s="438">
        <f>'Pseudo-load coefficients'!X520</f>
        <v>0</v>
      </c>
      <c r="Y93" s="438">
        <f>'Pseudo-load coefficients'!Y520</f>
        <v>0</v>
      </c>
      <c r="Z93" s="438">
        <f>'Pseudo-load coefficients'!Z520</f>
        <v>0</v>
      </c>
      <c r="AA93" s="438">
        <f>'Pseudo-load coefficients'!AA520</f>
        <v>0</v>
      </c>
      <c r="AB93" s="438">
        <f>'Pseudo-load coefficients'!AB520</f>
        <v>0.78729520276771325</v>
      </c>
      <c r="AC93" s="438">
        <f>'Pseudo-load coefficients'!AC520</f>
        <v>0</v>
      </c>
      <c r="AD93" s="438">
        <f>'Pseudo-load coefficients'!AD520</f>
        <v>0</v>
      </c>
      <c r="AE93" s="438">
        <f>'Pseudo-load coefficients'!AE520</f>
        <v>0</v>
      </c>
      <c r="AF93" s="438">
        <f>'Pseudo-load coefficients'!AF520</f>
        <v>0</v>
      </c>
      <c r="AG93" s="438">
        <f>'Pseudo-load coefficients'!AG520</f>
        <v>0.24570135393983247</v>
      </c>
      <c r="AH93" s="438">
        <f>'Pseudo-load coefficients'!AH520</f>
        <v>0.24570135393983247</v>
      </c>
      <c r="AI93" s="438">
        <f>'Pseudo-load coefficients'!AI520</f>
        <v>0</v>
      </c>
      <c r="AJ93" s="438">
        <f>'Pseudo-load coefficients'!AJ520</f>
        <v>0</v>
      </c>
      <c r="AK93" s="438">
        <f>'Pseudo-load coefficients'!AK520</f>
        <v>0.24570135393983247</v>
      </c>
      <c r="AL93" s="438">
        <f>'Pseudo-load coefficients'!AL520</f>
        <v>0.24570135393983247</v>
      </c>
      <c r="AM93" s="438">
        <f>'Pseudo-load coefficients'!AM520</f>
        <v>0</v>
      </c>
      <c r="AN93" s="438">
        <f>'Pseudo-load coefficients'!AN520</f>
        <v>0</v>
      </c>
      <c r="AO93" s="438">
        <f>'Pseudo-load coefficients'!AO520</f>
        <v>0.24570135393983247</v>
      </c>
      <c r="AP93" s="438">
        <f>'Pseudo-load coefficients'!AP520</f>
        <v>0.24570135393983247</v>
      </c>
      <c r="BH93" s="136"/>
    </row>
    <row r="94" spans="5:60" x14ac:dyDescent="0.25">
      <c r="E94" s="74"/>
      <c r="F94" s="139" t="s">
        <v>44</v>
      </c>
      <c r="G94" s="167" t="s">
        <v>636</v>
      </c>
      <c r="H94" s="139"/>
      <c r="I94" s="139"/>
      <c r="J94" s="437">
        <f>'Pseudo-load coefficients'!J521</f>
        <v>0</v>
      </c>
      <c r="K94" s="437">
        <f>'Pseudo-load coefficients'!K521</f>
        <v>5.4150844483141621E-2</v>
      </c>
      <c r="L94" s="437">
        <f>'Pseudo-load coefficients'!L521</f>
        <v>0</v>
      </c>
      <c r="M94" s="437">
        <f>'Pseudo-load coefficients'!M521</f>
        <v>0</v>
      </c>
      <c r="N94" s="437">
        <f>'Pseudo-load coefficients'!N521</f>
        <v>0.14226615992691255</v>
      </c>
      <c r="O94" s="437">
        <f>'Pseudo-load coefficients'!O521</f>
        <v>0</v>
      </c>
      <c r="P94" s="437">
        <f>'Pseudo-load coefficients'!P521</f>
        <v>4.4658601120804629E-2</v>
      </c>
      <c r="Q94" s="437">
        <f>'Pseudo-load coefficients'!Q521</f>
        <v>4.3542796154771399E-2</v>
      </c>
      <c r="R94" s="437">
        <f>'Pseudo-load coefficients'!R521</f>
        <v>7.0193615685965577E-2</v>
      </c>
      <c r="S94" s="437">
        <f>'Pseudo-load coefficients'!S521</f>
        <v>0.55586889287989016</v>
      </c>
      <c r="T94" s="437">
        <f>'Pseudo-load coefficients'!T521</f>
        <v>0.58663290744978325</v>
      </c>
      <c r="U94" s="437">
        <f>'Pseudo-load coefficients'!U521</f>
        <v>0.43841981945620329</v>
      </c>
      <c r="V94" s="437">
        <f>'Pseudo-load coefficients'!V521</f>
        <v>0.42394230376359748</v>
      </c>
      <c r="W94" s="437">
        <f>'Pseudo-load coefficients'!W521</f>
        <v>0.38565096947637045</v>
      </c>
      <c r="X94" s="437">
        <f>'Pseudo-load coefficients'!X521</f>
        <v>0</v>
      </c>
      <c r="Y94" s="437">
        <f>'Pseudo-load coefficients'!Y521</f>
        <v>0</v>
      </c>
      <c r="Z94" s="437">
        <f>'Pseudo-load coefficients'!Z521</f>
        <v>0</v>
      </c>
      <c r="AA94" s="437">
        <f>'Pseudo-load coefficients'!AA521</f>
        <v>0</v>
      </c>
      <c r="AB94" s="437">
        <f>'Pseudo-load coefficients'!AB521</f>
        <v>0.68045149656284321</v>
      </c>
      <c r="AC94" s="437">
        <f>'Pseudo-load coefficients'!AC521</f>
        <v>0</v>
      </c>
      <c r="AD94" s="437">
        <f>'Pseudo-load coefficients'!AD521</f>
        <v>0</v>
      </c>
      <c r="AE94" s="437">
        <f>'Pseudo-load coefficients'!AE521</f>
        <v>0</v>
      </c>
      <c r="AF94" s="437">
        <f>'Pseudo-load coefficients'!AF521</f>
        <v>0</v>
      </c>
      <c r="AG94" s="437">
        <f>'Pseudo-load coefficients'!AG521</f>
        <v>0.36777600565939084</v>
      </c>
      <c r="AH94" s="437">
        <f>'Pseudo-load coefficients'!AH521</f>
        <v>0.36777600565939084</v>
      </c>
      <c r="AI94" s="437">
        <f>'Pseudo-load coefficients'!AI521</f>
        <v>0</v>
      </c>
      <c r="AJ94" s="437">
        <f>'Pseudo-load coefficients'!AJ521</f>
        <v>0</v>
      </c>
      <c r="AK94" s="437">
        <f>'Pseudo-load coefficients'!AK521</f>
        <v>0.36777600565939084</v>
      </c>
      <c r="AL94" s="437">
        <f>'Pseudo-load coefficients'!AL521</f>
        <v>0.36777600565939084</v>
      </c>
      <c r="AM94" s="437">
        <f>'Pseudo-load coefficients'!AM521</f>
        <v>0</v>
      </c>
      <c r="AN94" s="437">
        <f>'Pseudo-load coefficients'!AN521</f>
        <v>0</v>
      </c>
      <c r="AO94" s="437">
        <f>'Pseudo-load coefficients'!AO521</f>
        <v>0.36777600565939084</v>
      </c>
      <c r="AP94" s="437">
        <f>'Pseudo-load coefficients'!AP521</f>
        <v>0.36777600565939084</v>
      </c>
      <c r="BH94" s="136"/>
    </row>
    <row r="95" spans="5:60" x14ac:dyDescent="0.25">
      <c r="E95" s="74"/>
      <c r="F95" s="139" t="s">
        <v>45</v>
      </c>
      <c r="G95" s="167" t="s">
        <v>636</v>
      </c>
      <c r="H95" s="139"/>
      <c r="I95" s="139"/>
      <c r="J95" s="437">
        <f>'Pseudo-load coefficients'!J522</f>
        <v>0</v>
      </c>
      <c r="K95" s="437">
        <f>'Pseudo-load coefficients'!K522</f>
        <v>5.4150844483141621E-2</v>
      </c>
      <c r="L95" s="437">
        <f>'Pseudo-load coefficients'!L522</f>
        <v>0</v>
      </c>
      <c r="M95" s="437">
        <f>'Pseudo-load coefficients'!M522</f>
        <v>0</v>
      </c>
      <c r="N95" s="437">
        <f>'Pseudo-load coefficients'!N522</f>
        <v>0.14226615992691255</v>
      </c>
      <c r="O95" s="437">
        <f>'Pseudo-load coefficients'!O522</f>
        <v>0</v>
      </c>
      <c r="P95" s="437">
        <f>'Pseudo-load coefficients'!P522</f>
        <v>4.4658601120804629E-2</v>
      </c>
      <c r="Q95" s="437">
        <f>'Pseudo-load coefficients'!Q522</f>
        <v>4.3542796154771399E-2</v>
      </c>
      <c r="R95" s="437">
        <f>'Pseudo-load coefficients'!R522</f>
        <v>7.0193615685965577E-2</v>
      </c>
      <c r="S95" s="437">
        <f>'Pseudo-load coefficients'!S522</f>
        <v>0.55586889287989016</v>
      </c>
      <c r="T95" s="437">
        <f>'Pseudo-load coefficients'!T522</f>
        <v>0.58663290744978325</v>
      </c>
      <c r="U95" s="437">
        <f>'Pseudo-load coefficients'!U522</f>
        <v>0.43841981945620329</v>
      </c>
      <c r="V95" s="437">
        <f>'Pseudo-load coefficients'!V522</f>
        <v>0.42394230376359748</v>
      </c>
      <c r="W95" s="437">
        <f>'Pseudo-load coefficients'!W522</f>
        <v>0.38565096947637045</v>
      </c>
      <c r="X95" s="437">
        <f>'Pseudo-load coefficients'!X522</f>
        <v>0</v>
      </c>
      <c r="Y95" s="437">
        <f>'Pseudo-load coefficients'!Y522</f>
        <v>0</v>
      </c>
      <c r="Z95" s="437">
        <f>'Pseudo-load coefficients'!Z522</f>
        <v>0</v>
      </c>
      <c r="AA95" s="437">
        <f>'Pseudo-load coefficients'!AA522</f>
        <v>0</v>
      </c>
      <c r="AB95" s="437">
        <f>'Pseudo-load coefficients'!AB522</f>
        <v>0.68045149656284321</v>
      </c>
      <c r="AC95" s="437">
        <f>'Pseudo-load coefficients'!AC522</f>
        <v>0</v>
      </c>
      <c r="AD95" s="437">
        <f>'Pseudo-load coefficients'!AD522</f>
        <v>0</v>
      </c>
      <c r="AE95" s="437">
        <f>'Pseudo-load coefficients'!AE522</f>
        <v>0</v>
      </c>
      <c r="AF95" s="437">
        <f>'Pseudo-load coefficients'!AF522</f>
        <v>0</v>
      </c>
      <c r="AG95" s="437">
        <f>'Pseudo-load coefficients'!AG522</f>
        <v>0.36777600565939084</v>
      </c>
      <c r="AH95" s="437">
        <f>'Pseudo-load coefficients'!AH522</f>
        <v>0.36777600565939084</v>
      </c>
      <c r="AI95" s="437">
        <f>'Pseudo-load coefficients'!AI522</f>
        <v>0</v>
      </c>
      <c r="AJ95" s="437">
        <f>'Pseudo-load coefficients'!AJ522</f>
        <v>0</v>
      </c>
      <c r="AK95" s="437">
        <f>'Pseudo-load coefficients'!AK522</f>
        <v>0.36777600565939084</v>
      </c>
      <c r="AL95" s="437">
        <f>'Pseudo-load coefficients'!AL522</f>
        <v>0.36777600565939084</v>
      </c>
      <c r="AM95" s="437">
        <f>'Pseudo-load coefficients'!AM522</f>
        <v>0</v>
      </c>
      <c r="AN95" s="437">
        <f>'Pseudo-load coefficients'!AN522</f>
        <v>0</v>
      </c>
      <c r="AO95" s="437">
        <f>'Pseudo-load coefficients'!AO522</f>
        <v>0.36777600565939084</v>
      </c>
      <c r="AP95" s="437">
        <f>'Pseudo-load coefficients'!AP522</f>
        <v>0.36777600565939084</v>
      </c>
      <c r="BH95" s="136"/>
    </row>
    <row r="96" spans="5:60" x14ac:dyDescent="0.25">
      <c r="E96" s="74"/>
      <c r="F96" s="139" t="s">
        <v>46</v>
      </c>
      <c r="G96" s="167" t="s">
        <v>636</v>
      </c>
      <c r="H96" s="139"/>
      <c r="I96" s="139"/>
      <c r="J96" s="437">
        <f>'Pseudo-load coefficients'!J523</f>
        <v>0</v>
      </c>
      <c r="K96" s="437">
        <f>'Pseudo-load coefficients'!K523</f>
        <v>0.11992714650021423</v>
      </c>
      <c r="L96" s="437">
        <f>'Pseudo-load coefficients'!L523</f>
        <v>0</v>
      </c>
      <c r="M96" s="437">
        <f>'Pseudo-load coefficients'!M523</f>
        <v>0</v>
      </c>
      <c r="N96" s="437">
        <f>'Pseudo-load coefficients'!N523</f>
        <v>0.29786471110145424</v>
      </c>
      <c r="O96" s="437">
        <f>'Pseudo-load coefficients'!O523</f>
        <v>0</v>
      </c>
      <c r="P96" s="437">
        <f>'Pseudo-load coefficients'!P523</f>
        <v>0.10773880835268247</v>
      </c>
      <c r="Q96" s="437">
        <f>'Pseudo-load coefficients'!Q523</f>
        <v>0.1018290558189891</v>
      </c>
      <c r="R96" s="437">
        <f>'Pseudo-load coefficients'!R523</f>
        <v>0.15595567214982345</v>
      </c>
      <c r="S96" s="437">
        <f>'Pseudo-load coefficients'!S523</f>
        <v>1.025460413360668</v>
      </c>
      <c r="T96" s="437">
        <f>'Pseudo-load coefficients'!T523</f>
        <v>1.0824060261063233</v>
      </c>
      <c r="U96" s="437">
        <f>'Pseudo-load coefficients'!U523</f>
        <v>0.80917759626539421</v>
      </c>
      <c r="V96" s="437">
        <f>'Pseudo-load coefficients'!V523</f>
        <v>0.78245690338575224</v>
      </c>
      <c r="W96" s="437">
        <f>'Pseudo-load coefficients'!W523</f>
        <v>0.71178379860968433</v>
      </c>
      <c r="X96" s="437">
        <f>'Pseudo-load coefficients'!X523</f>
        <v>0</v>
      </c>
      <c r="Y96" s="437">
        <f>'Pseudo-load coefficients'!Y523</f>
        <v>0</v>
      </c>
      <c r="Z96" s="437">
        <f>'Pseudo-load coefficients'!Z523</f>
        <v>0</v>
      </c>
      <c r="AA96" s="437">
        <f>'Pseudo-load coefficients'!AA523</f>
        <v>0</v>
      </c>
      <c r="AB96" s="437">
        <f>'Pseudo-load coefficients'!AB523</f>
        <v>0.82975770434246265</v>
      </c>
      <c r="AC96" s="437">
        <f>'Pseudo-load coefficients'!AC523</f>
        <v>0</v>
      </c>
      <c r="AD96" s="437">
        <f>'Pseudo-load coefficients'!AD523</f>
        <v>0</v>
      </c>
      <c r="AE96" s="437">
        <f>'Pseudo-load coefficients'!AE523</f>
        <v>0</v>
      </c>
      <c r="AF96" s="437">
        <f>'Pseudo-load coefficients'!AF523</f>
        <v>0</v>
      </c>
      <c r="AG96" s="437">
        <f>'Pseudo-load coefficients'!AG523</f>
        <v>0.67879254316713844</v>
      </c>
      <c r="AH96" s="437">
        <f>'Pseudo-load coefficients'!AH523</f>
        <v>0.67879254316713844</v>
      </c>
      <c r="AI96" s="437">
        <f>'Pseudo-load coefficients'!AI523</f>
        <v>0</v>
      </c>
      <c r="AJ96" s="437">
        <f>'Pseudo-load coefficients'!AJ523</f>
        <v>0</v>
      </c>
      <c r="AK96" s="437">
        <f>'Pseudo-load coefficients'!AK523</f>
        <v>0.67879254316713844</v>
      </c>
      <c r="AL96" s="437">
        <f>'Pseudo-load coefficients'!AL523</f>
        <v>0.67879254316713844</v>
      </c>
      <c r="AM96" s="437">
        <f>'Pseudo-load coefficients'!AM523</f>
        <v>0</v>
      </c>
      <c r="AN96" s="437">
        <f>'Pseudo-load coefficients'!AN523</f>
        <v>0</v>
      </c>
      <c r="AO96" s="437">
        <f>'Pseudo-load coefficients'!AO523</f>
        <v>0.67879254316713844</v>
      </c>
      <c r="AP96" s="437">
        <f>'Pseudo-load coefficients'!AP523</f>
        <v>0.67879254316713844</v>
      </c>
      <c r="BH96" s="136"/>
    </row>
    <row r="97" spans="5:60" x14ac:dyDescent="0.25">
      <c r="E97" s="74"/>
      <c r="F97" s="139" t="s">
        <v>47</v>
      </c>
      <c r="G97" s="167" t="s">
        <v>636</v>
      </c>
      <c r="H97" s="139"/>
      <c r="I97" s="139"/>
      <c r="J97" s="437">
        <f>'Pseudo-load coefficients'!J524</f>
        <v>0</v>
      </c>
      <c r="K97" s="437">
        <f>'Pseudo-load coefficients'!K524</f>
        <v>0.11992714650021423</v>
      </c>
      <c r="L97" s="437">
        <f>'Pseudo-load coefficients'!L524</f>
        <v>0</v>
      </c>
      <c r="M97" s="437">
        <f>'Pseudo-load coefficients'!M524</f>
        <v>0</v>
      </c>
      <c r="N97" s="437">
        <f>'Pseudo-load coefficients'!N524</f>
        <v>0.29786471110145424</v>
      </c>
      <c r="O97" s="437">
        <f>'Pseudo-load coefficients'!O524</f>
        <v>0</v>
      </c>
      <c r="P97" s="437">
        <f>'Pseudo-load coefficients'!P524</f>
        <v>0.10773880835268247</v>
      </c>
      <c r="Q97" s="437">
        <f>'Pseudo-load coefficients'!Q524</f>
        <v>0.1018290558189891</v>
      </c>
      <c r="R97" s="437">
        <f>'Pseudo-load coefficients'!R524</f>
        <v>0.15595567214982345</v>
      </c>
      <c r="S97" s="437">
        <f>'Pseudo-load coefficients'!S524</f>
        <v>1.025460413360668</v>
      </c>
      <c r="T97" s="437">
        <f>'Pseudo-load coefficients'!T524</f>
        <v>1.0824060261063233</v>
      </c>
      <c r="U97" s="437">
        <f>'Pseudo-load coefficients'!U524</f>
        <v>0.80917759626539421</v>
      </c>
      <c r="V97" s="437">
        <f>'Pseudo-load coefficients'!V524</f>
        <v>0.78245690338575224</v>
      </c>
      <c r="W97" s="437">
        <f>'Pseudo-load coefficients'!W524</f>
        <v>0.71178379860968433</v>
      </c>
      <c r="X97" s="437">
        <f>'Pseudo-load coefficients'!X524</f>
        <v>0</v>
      </c>
      <c r="Y97" s="437">
        <f>'Pseudo-load coefficients'!Y524</f>
        <v>0</v>
      </c>
      <c r="Z97" s="437">
        <f>'Pseudo-load coefficients'!Z524</f>
        <v>0</v>
      </c>
      <c r="AA97" s="437">
        <f>'Pseudo-load coefficients'!AA524</f>
        <v>0</v>
      </c>
      <c r="AB97" s="437">
        <f>'Pseudo-load coefficients'!AB524</f>
        <v>0.82975770434246265</v>
      </c>
      <c r="AC97" s="437">
        <f>'Pseudo-load coefficients'!AC524</f>
        <v>0</v>
      </c>
      <c r="AD97" s="437">
        <f>'Pseudo-load coefficients'!AD524</f>
        <v>0</v>
      </c>
      <c r="AE97" s="437">
        <f>'Pseudo-load coefficients'!AE524</f>
        <v>0</v>
      </c>
      <c r="AF97" s="437">
        <f>'Pseudo-load coefficients'!AF524</f>
        <v>0</v>
      </c>
      <c r="AG97" s="437">
        <f>'Pseudo-load coefficients'!AG524</f>
        <v>0.67879254316713844</v>
      </c>
      <c r="AH97" s="437">
        <f>'Pseudo-load coefficients'!AH524</f>
        <v>0.67879254316713844</v>
      </c>
      <c r="AI97" s="437">
        <f>'Pseudo-load coefficients'!AI524</f>
        <v>0</v>
      </c>
      <c r="AJ97" s="437">
        <f>'Pseudo-load coefficients'!AJ524</f>
        <v>0</v>
      </c>
      <c r="AK97" s="437">
        <f>'Pseudo-load coefficients'!AK524</f>
        <v>0.67879254316713844</v>
      </c>
      <c r="AL97" s="437">
        <f>'Pseudo-load coefficients'!AL524</f>
        <v>0.67879254316713844</v>
      </c>
      <c r="AM97" s="437">
        <f>'Pseudo-load coefficients'!AM524</f>
        <v>0</v>
      </c>
      <c r="AN97" s="437">
        <f>'Pseudo-load coefficients'!AN524</f>
        <v>0</v>
      </c>
      <c r="AO97" s="437">
        <f>'Pseudo-load coefficients'!AO524</f>
        <v>0.67879254316713844</v>
      </c>
      <c r="AP97" s="437">
        <f>'Pseudo-load coefficients'!AP524</f>
        <v>0.67879254316713844</v>
      </c>
      <c r="BH97" s="136"/>
    </row>
    <row r="98" spans="5:60" x14ac:dyDescent="0.25">
      <c r="E98" s="74"/>
      <c r="F98" s="139" t="s">
        <v>51</v>
      </c>
      <c r="G98" s="167" t="s">
        <v>636</v>
      </c>
      <c r="H98" s="139"/>
      <c r="I98" s="139"/>
      <c r="J98" s="437">
        <f>'Pseudo-load coefficients'!J525</f>
        <v>0</v>
      </c>
      <c r="K98" s="437">
        <f>'Pseudo-load coefficients'!K525</f>
        <v>0</v>
      </c>
      <c r="L98" s="437">
        <f>'Pseudo-load coefficients'!L525</f>
        <v>0</v>
      </c>
      <c r="M98" s="437">
        <f>'Pseudo-load coefficients'!M525</f>
        <v>0</v>
      </c>
      <c r="N98" s="437">
        <f>'Pseudo-load coefficients'!N525</f>
        <v>0</v>
      </c>
      <c r="O98" s="437">
        <f>'Pseudo-load coefficients'!O525</f>
        <v>0</v>
      </c>
      <c r="P98" s="437">
        <f>'Pseudo-load coefficients'!P525</f>
        <v>0</v>
      </c>
      <c r="Q98" s="437">
        <f>'Pseudo-load coefficients'!Q525</f>
        <v>0</v>
      </c>
      <c r="R98" s="437">
        <f>'Pseudo-load coefficients'!R525</f>
        <v>0</v>
      </c>
      <c r="S98" s="437">
        <f>'Pseudo-load coefficients'!S525</f>
        <v>0</v>
      </c>
      <c r="T98" s="437">
        <f>'Pseudo-load coefficients'!T525</f>
        <v>0</v>
      </c>
      <c r="U98" s="437">
        <f>'Pseudo-load coefficients'!U525</f>
        <v>0</v>
      </c>
      <c r="V98" s="437">
        <f>'Pseudo-load coefficients'!V525</f>
        <v>0</v>
      </c>
      <c r="W98" s="437">
        <f>'Pseudo-load coefficients'!W525</f>
        <v>0</v>
      </c>
      <c r="X98" s="437">
        <f>'Pseudo-load coefficients'!X525</f>
        <v>0</v>
      </c>
      <c r="Y98" s="437">
        <f>'Pseudo-load coefficients'!Y525</f>
        <v>0</v>
      </c>
      <c r="Z98" s="437">
        <f>'Pseudo-load coefficients'!Z525</f>
        <v>0</v>
      </c>
      <c r="AA98" s="437">
        <f>'Pseudo-load coefficients'!AA525</f>
        <v>0</v>
      </c>
      <c r="AB98" s="437">
        <f>'Pseudo-load coefficients'!AB525</f>
        <v>0</v>
      </c>
      <c r="AC98" s="437">
        <f>'Pseudo-load coefficients'!AC525</f>
        <v>0</v>
      </c>
      <c r="AD98" s="437">
        <f>'Pseudo-load coefficients'!AD525</f>
        <v>0</v>
      </c>
      <c r="AE98" s="437">
        <f>'Pseudo-load coefficients'!AE525</f>
        <v>0</v>
      </c>
      <c r="AF98" s="437">
        <f>'Pseudo-load coefficients'!AF525</f>
        <v>0</v>
      </c>
      <c r="AG98" s="437">
        <f>'Pseudo-load coefficients'!AG525</f>
        <v>0</v>
      </c>
      <c r="AH98" s="437">
        <f>'Pseudo-load coefficients'!AH525</f>
        <v>0</v>
      </c>
      <c r="AI98" s="437">
        <f>'Pseudo-load coefficients'!AI525</f>
        <v>0</v>
      </c>
      <c r="AJ98" s="437">
        <f>'Pseudo-load coefficients'!AJ525</f>
        <v>0</v>
      </c>
      <c r="AK98" s="437">
        <f>'Pseudo-load coefficients'!AK525</f>
        <v>0</v>
      </c>
      <c r="AL98" s="437">
        <f>'Pseudo-load coefficients'!AL525</f>
        <v>0</v>
      </c>
      <c r="AM98" s="437">
        <f>'Pseudo-load coefficients'!AM525</f>
        <v>0</v>
      </c>
      <c r="AN98" s="437">
        <f>'Pseudo-load coefficients'!AN525</f>
        <v>0</v>
      </c>
      <c r="AO98" s="437">
        <f>'Pseudo-load coefficients'!AO525</f>
        <v>0</v>
      </c>
      <c r="AP98" s="437">
        <f>'Pseudo-load coefficients'!AP525</f>
        <v>0</v>
      </c>
      <c r="BH98" s="136"/>
    </row>
    <row r="99" spans="5:60" x14ac:dyDescent="0.25">
      <c r="E99" s="74"/>
      <c r="F99" s="139" t="s">
        <v>48</v>
      </c>
      <c r="G99" s="167" t="s">
        <v>636</v>
      </c>
      <c r="H99" s="139"/>
      <c r="I99" s="139"/>
      <c r="J99" s="437">
        <f>'Pseudo-load coefficients'!J526</f>
        <v>0</v>
      </c>
      <c r="K99" s="437">
        <f>'Pseudo-load coefficients'!K526</f>
        <v>0.21120711007169812</v>
      </c>
      <c r="L99" s="437">
        <f>'Pseudo-load coefficients'!L526</f>
        <v>0</v>
      </c>
      <c r="M99" s="437">
        <f>'Pseudo-load coefficients'!M526</f>
        <v>0</v>
      </c>
      <c r="N99" s="437">
        <f>'Pseudo-load coefficients'!N526</f>
        <v>0.50596631844083284</v>
      </c>
      <c r="O99" s="437">
        <f>'Pseudo-load coefficients'!O526</f>
        <v>0</v>
      </c>
      <c r="P99" s="437">
        <f>'Pseudo-load coefficients'!P526</f>
        <v>0.19378763858628878</v>
      </c>
      <c r="Q99" s="437">
        <f>'Pseudo-load coefficients'!Q526</f>
        <v>0.18103334311496919</v>
      </c>
      <c r="R99" s="437">
        <f>'Pseudo-load coefficients'!R526</f>
        <v>0.27167627775635395</v>
      </c>
      <c r="S99" s="437">
        <f>'Pseudo-load coefficients'!S526</f>
        <v>1.6354270464969127</v>
      </c>
      <c r="T99" s="437">
        <f>'Pseudo-load coefficients'!T526</f>
        <v>1.7267932115428042</v>
      </c>
      <c r="U99" s="437">
        <f>'Pseudo-load coefficients'!U526</f>
        <v>1.2913777401034547</v>
      </c>
      <c r="V99" s="437">
        <f>'Pseudo-load coefficients'!V526</f>
        <v>1.2487338160203254</v>
      </c>
      <c r="W99" s="437">
        <f>'Pseudo-load coefficients'!W526</f>
        <v>1.1359456286643821</v>
      </c>
      <c r="X99" s="437">
        <f>'Pseudo-load coefficients'!X526</f>
        <v>0</v>
      </c>
      <c r="Y99" s="437">
        <f>'Pseudo-load coefficients'!Y526</f>
        <v>0</v>
      </c>
      <c r="Z99" s="437">
        <f>'Pseudo-load coefficients'!Z526</f>
        <v>0</v>
      </c>
      <c r="AA99" s="437">
        <f>'Pseudo-load coefficients'!AA526</f>
        <v>0</v>
      </c>
      <c r="AB99" s="437">
        <f>'Pseudo-load coefficients'!AB526</f>
        <v>1.1131352849896714</v>
      </c>
      <c r="AC99" s="437">
        <f>'Pseudo-load coefficients'!AC526</f>
        <v>0</v>
      </c>
      <c r="AD99" s="437">
        <f>'Pseudo-load coefficients'!AD526</f>
        <v>0</v>
      </c>
      <c r="AE99" s="437">
        <f>'Pseudo-load coefficients'!AE526</f>
        <v>0</v>
      </c>
      <c r="AF99" s="437">
        <f>'Pseudo-load coefficients'!AF526</f>
        <v>0</v>
      </c>
      <c r="AG99" s="437">
        <f>'Pseudo-load coefficients'!AG526</f>
        <v>1.0832944268846958</v>
      </c>
      <c r="AH99" s="437">
        <f>'Pseudo-load coefficients'!AH526</f>
        <v>1.0832944268846958</v>
      </c>
      <c r="AI99" s="437">
        <f>'Pseudo-load coefficients'!AI526</f>
        <v>0</v>
      </c>
      <c r="AJ99" s="437">
        <f>'Pseudo-load coefficients'!AJ526</f>
        <v>0</v>
      </c>
      <c r="AK99" s="437">
        <f>'Pseudo-load coefficients'!AK526</f>
        <v>1.0832944268846958</v>
      </c>
      <c r="AL99" s="437">
        <f>'Pseudo-load coefficients'!AL526</f>
        <v>1.0832944268846958</v>
      </c>
      <c r="AM99" s="437">
        <f>'Pseudo-load coefficients'!AM526</f>
        <v>0</v>
      </c>
      <c r="AN99" s="437">
        <f>'Pseudo-load coefficients'!AN526</f>
        <v>0</v>
      </c>
      <c r="AO99" s="437">
        <f>'Pseudo-load coefficients'!AO526</f>
        <v>1.0832944268846958</v>
      </c>
      <c r="AP99" s="437">
        <f>'Pseudo-load coefficients'!AP526</f>
        <v>1.0832944268846958</v>
      </c>
      <c r="BH99" s="136"/>
    </row>
    <row r="100" spans="5:60" x14ac:dyDescent="0.25">
      <c r="E100" s="74"/>
      <c r="F100" s="139" t="s">
        <v>49</v>
      </c>
      <c r="G100" s="167" t="s">
        <v>636</v>
      </c>
      <c r="H100" s="139"/>
      <c r="I100" s="139"/>
      <c r="J100" s="437">
        <f>'Pseudo-load coefficients'!J527</f>
        <v>0</v>
      </c>
      <c r="K100" s="437">
        <f>'Pseudo-load coefficients'!K527</f>
        <v>0.21120711007169812</v>
      </c>
      <c r="L100" s="437">
        <f>'Pseudo-load coefficients'!L527</f>
        <v>0</v>
      </c>
      <c r="M100" s="437">
        <f>'Pseudo-load coefficients'!M527</f>
        <v>0</v>
      </c>
      <c r="N100" s="437">
        <f>'Pseudo-load coefficients'!N527</f>
        <v>0.50596631844083284</v>
      </c>
      <c r="O100" s="437">
        <f>'Pseudo-load coefficients'!O527</f>
        <v>0</v>
      </c>
      <c r="P100" s="437">
        <f>'Pseudo-load coefficients'!P527</f>
        <v>0.19378763858628878</v>
      </c>
      <c r="Q100" s="437">
        <f>'Pseudo-load coefficients'!Q527</f>
        <v>0.18103334311496919</v>
      </c>
      <c r="R100" s="437">
        <f>'Pseudo-load coefficients'!R527</f>
        <v>0.27167627775635395</v>
      </c>
      <c r="S100" s="437">
        <f>'Pseudo-load coefficients'!S527</f>
        <v>1.6354270464969127</v>
      </c>
      <c r="T100" s="437">
        <f>'Pseudo-load coefficients'!T527</f>
        <v>1.7267932115428042</v>
      </c>
      <c r="U100" s="437">
        <f>'Pseudo-load coefficients'!U527</f>
        <v>1.2913777401034547</v>
      </c>
      <c r="V100" s="437">
        <f>'Pseudo-load coefficients'!V527</f>
        <v>1.2487338160203254</v>
      </c>
      <c r="W100" s="437">
        <f>'Pseudo-load coefficients'!W527</f>
        <v>1.1359456286643821</v>
      </c>
      <c r="X100" s="437">
        <f>'Pseudo-load coefficients'!X527</f>
        <v>0</v>
      </c>
      <c r="Y100" s="437">
        <f>'Pseudo-load coefficients'!Y527</f>
        <v>0</v>
      </c>
      <c r="Z100" s="437">
        <f>'Pseudo-load coefficients'!Z527</f>
        <v>0</v>
      </c>
      <c r="AA100" s="437">
        <f>'Pseudo-load coefficients'!AA527</f>
        <v>0</v>
      </c>
      <c r="AB100" s="437">
        <f>'Pseudo-load coefficients'!AB527</f>
        <v>1.1131352849896714</v>
      </c>
      <c r="AC100" s="437">
        <f>'Pseudo-load coefficients'!AC527</f>
        <v>0</v>
      </c>
      <c r="AD100" s="437">
        <f>'Pseudo-load coefficients'!AD527</f>
        <v>0</v>
      </c>
      <c r="AE100" s="437">
        <f>'Pseudo-load coefficients'!AE527</f>
        <v>0</v>
      </c>
      <c r="AF100" s="437">
        <f>'Pseudo-load coefficients'!AF527</f>
        <v>0</v>
      </c>
      <c r="AG100" s="437">
        <f>'Pseudo-load coefficients'!AG527</f>
        <v>1.0832944268846958</v>
      </c>
      <c r="AH100" s="437">
        <f>'Pseudo-load coefficients'!AH527</f>
        <v>1.0832944268846958</v>
      </c>
      <c r="AI100" s="437">
        <f>'Pseudo-load coefficients'!AI527</f>
        <v>0</v>
      </c>
      <c r="AJ100" s="437">
        <f>'Pseudo-load coefficients'!AJ527</f>
        <v>0</v>
      </c>
      <c r="AK100" s="437">
        <f>'Pseudo-load coefficients'!AK527</f>
        <v>1.0832944268846958</v>
      </c>
      <c r="AL100" s="437">
        <f>'Pseudo-load coefficients'!AL527</f>
        <v>1.0832944268846958</v>
      </c>
      <c r="AM100" s="437">
        <f>'Pseudo-load coefficients'!AM527</f>
        <v>0</v>
      </c>
      <c r="AN100" s="437">
        <f>'Pseudo-load coefficients'!AN527</f>
        <v>0</v>
      </c>
      <c r="AO100" s="437">
        <f>'Pseudo-load coefficients'!AO527</f>
        <v>1.0832944268846958</v>
      </c>
      <c r="AP100" s="437">
        <f>'Pseudo-load coefficients'!AP527</f>
        <v>1.0832944268846958</v>
      </c>
      <c r="BH100" s="136"/>
    </row>
    <row r="101" spans="5:60" x14ac:dyDescent="0.25">
      <c r="E101" s="74"/>
      <c r="F101" s="140" t="s">
        <v>50</v>
      </c>
      <c r="G101" s="168" t="s">
        <v>636</v>
      </c>
      <c r="H101" s="140"/>
      <c r="I101" s="140"/>
      <c r="J101" s="440">
        <f>'Pseudo-load coefficients'!J528</f>
        <v>0</v>
      </c>
      <c r="K101" s="440">
        <f>'Pseudo-load coefficients'!K528</f>
        <v>0.21120711007169812</v>
      </c>
      <c r="L101" s="440">
        <f>'Pseudo-load coefficients'!L528</f>
        <v>0</v>
      </c>
      <c r="M101" s="440">
        <f>'Pseudo-load coefficients'!M528</f>
        <v>0</v>
      </c>
      <c r="N101" s="440">
        <f>'Pseudo-load coefficients'!N528</f>
        <v>0.50596631844083284</v>
      </c>
      <c r="O101" s="440">
        <f>'Pseudo-load coefficients'!O528</f>
        <v>0</v>
      </c>
      <c r="P101" s="440">
        <f>'Pseudo-load coefficients'!P528</f>
        <v>0.19378763858628878</v>
      </c>
      <c r="Q101" s="440">
        <f>'Pseudo-load coefficients'!Q528</f>
        <v>0.18103334311496919</v>
      </c>
      <c r="R101" s="440">
        <f>'Pseudo-load coefficients'!R528</f>
        <v>0.27167627775635395</v>
      </c>
      <c r="S101" s="440">
        <f>'Pseudo-load coefficients'!S528</f>
        <v>1.6354270464969127</v>
      </c>
      <c r="T101" s="440">
        <f>'Pseudo-load coefficients'!T528</f>
        <v>1.7267932115428042</v>
      </c>
      <c r="U101" s="440">
        <f>'Pseudo-load coefficients'!U528</f>
        <v>1.2913777401034547</v>
      </c>
      <c r="V101" s="440">
        <f>'Pseudo-load coefficients'!V528</f>
        <v>1.2487338160203254</v>
      </c>
      <c r="W101" s="440">
        <f>'Pseudo-load coefficients'!W528</f>
        <v>1.1359456286643821</v>
      </c>
      <c r="X101" s="440">
        <f>'Pseudo-load coefficients'!X528</f>
        <v>0</v>
      </c>
      <c r="Y101" s="440">
        <f>'Pseudo-load coefficients'!Y528</f>
        <v>0</v>
      </c>
      <c r="Z101" s="440">
        <f>'Pseudo-load coefficients'!Z528</f>
        <v>0</v>
      </c>
      <c r="AA101" s="440">
        <f>'Pseudo-load coefficients'!AA528</f>
        <v>0</v>
      </c>
      <c r="AB101" s="440">
        <f>'Pseudo-load coefficients'!AB528</f>
        <v>1.1131352849896714</v>
      </c>
      <c r="AC101" s="440">
        <f>'Pseudo-load coefficients'!AC528</f>
        <v>0</v>
      </c>
      <c r="AD101" s="440">
        <f>'Pseudo-load coefficients'!AD528</f>
        <v>0</v>
      </c>
      <c r="AE101" s="440">
        <f>'Pseudo-load coefficients'!AE528</f>
        <v>0</v>
      </c>
      <c r="AF101" s="440">
        <f>'Pseudo-load coefficients'!AF528</f>
        <v>0</v>
      </c>
      <c r="AG101" s="440">
        <f>'Pseudo-load coefficients'!AG528</f>
        <v>1.0832944268846958</v>
      </c>
      <c r="AH101" s="440">
        <f>'Pseudo-load coefficients'!AH528</f>
        <v>1.0832944268846958</v>
      </c>
      <c r="AI101" s="440">
        <f>'Pseudo-load coefficients'!AI528</f>
        <v>0</v>
      </c>
      <c r="AJ101" s="440">
        <f>'Pseudo-load coefficients'!AJ528</f>
        <v>0</v>
      </c>
      <c r="AK101" s="440">
        <f>'Pseudo-load coefficients'!AK528</f>
        <v>1.0832944268846958</v>
      </c>
      <c r="AL101" s="440">
        <f>'Pseudo-load coefficients'!AL528</f>
        <v>1.0832944268846958</v>
      </c>
      <c r="AM101" s="440">
        <f>'Pseudo-load coefficients'!AM528</f>
        <v>0</v>
      </c>
      <c r="AN101" s="440">
        <f>'Pseudo-load coefficients'!AN528</f>
        <v>0</v>
      </c>
      <c r="AO101" s="440">
        <f>'Pseudo-load coefficients'!AO528</f>
        <v>1.0832944268846958</v>
      </c>
      <c r="AP101" s="440">
        <f>'Pseudo-load coefficients'!AP528</f>
        <v>1.0832944268846958</v>
      </c>
      <c r="BH101" s="136"/>
    </row>
    <row r="102" spans="5:60" x14ac:dyDescent="0.25">
      <c r="E102" s="74"/>
      <c r="F102" s="139"/>
      <c r="G102" s="139"/>
      <c r="H102" s="139"/>
      <c r="I102" s="139"/>
      <c r="J102" s="435"/>
      <c r="K102" s="435"/>
      <c r="L102" s="435"/>
      <c r="M102" s="435"/>
      <c r="N102" s="435"/>
      <c r="O102" s="435"/>
      <c r="P102" s="416"/>
      <c r="Q102" s="416"/>
      <c r="R102" s="416"/>
      <c r="S102" s="416"/>
      <c r="T102" s="416"/>
      <c r="U102" s="416"/>
      <c r="V102" s="416"/>
      <c r="W102" s="416"/>
      <c r="X102" s="416"/>
      <c r="Y102" s="416"/>
      <c r="Z102" s="416"/>
      <c r="AA102" s="416"/>
      <c r="AB102" s="416"/>
      <c r="AC102" s="416"/>
      <c r="AD102" s="416"/>
      <c r="AE102" s="416"/>
      <c r="AF102" s="416"/>
      <c r="AG102" s="416"/>
      <c r="AH102" s="416"/>
      <c r="AI102" s="416"/>
      <c r="AJ102" s="416"/>
      <c r="AK102" s="416"/>
      <c r="AL102" s="416"/>
      <c r="AM102" s="416"/>
      <c r="AN102" s="416"/>
      <c r="AO102" s="416"/>
      <c r="AP102" s="416"/>
      <c r="BH102" s="136"/>
    </row>
    <row r="103" spans="5:60" x14ac:dyDescent="0.25">
      <c r="E103" s="74" t="s">
        <v>740</v>
      </c>
      <c r="F103" s="139"/>
      <c r="G103" s="139"/>
      <c r="H103" s="139"/>
      <c r="I103" s="139"/>
      <c r="J103" s="435"/>
      <c r="K103" s="435"/>
      <c r="L103" s="435"/>
      <c r="M103" s="435"/>
      <c r="N103" s="435"/>
      <c r="O103" s="435"/>
      <c r="P103" s="416"/>
      <c r="Q103" s="416"/>
      <c r="R103" s="416"/>
      <c r="S103" s="416"/>
      <c r="T103" s="416"/>
      <c r="U103" s="416"/>
      <c r="V103" s="416"/>
      <c r="W103" s="416"/>
      <c r="X103" s="416"/>
      <c r="Y103" s="416"/>
      <c r="Z103" s="416"/>
      <c r="AA103" s="416"/>
      <c r="AB103" s="416"/>
      <c r="AC103" s="416"/>
      <c r="AD103" s="416"/>
      <c r="AE103" s="416"/>
      <c r="AF103" s="416"/>
      <c r="AG103" s="416"/>
      <c r="AH103" s="416"/>
      <c r="AI103" s="416"/>
      <c r="AJ103" s="416"/>
      <c r="AK103" s="416"/>
      <c r="AL103" s="416"/>
      <c r="AM103" s="416"/>
      <c r="AN103" s="416"/>
      <c r="AO103" s="416"/>
      <c r="AP103" s="416"/>
      <c r="BH103" s="136"/>
    </row>
    <row r="104" spans="5:60" s="160" customFormat="1" x14ac:dyDescent="0.25">
      <c r="E104" s="152" t="s">
        <v>514</v>
      </c>
      <c r="F104" s="167"/>
      <c r="G104" s="167"/>
      <c r="H104" s="167"/>
      <c r="I104" s="167"/>
      <c r="J104" s="435"/>
      <c r="K104" s="435"/>
      <c r="L104" s="435"/>
      <c r="M104" s="435"/>
      <c r="N104" s="435"/>
      <c r="O104" s="435"/>
      <c r="P104" s="435"/>
      <c r="Q104" s="435"/>
      <c r="R104" s="435"/>
      <c r="S104" s="435"/>
      <c r="T104" s="435"/>
      <c r="U104" s="435"/>
      <c r="V104" s="435"/>
      <c r="W104" s="435"/>
      <c r="X104" s="435"/>
      <c r="Y104" s="435"/>
      <c r="Z104" s="435"/>
      <c r="AA104" s="435"/>
      <c r="AB104" s="435"/>
      <c r="AC104" s="435"/>
      <c r="AD104" s="435"/>
      <c r="AE104" s="435"/>
      <c r="AF104" s="435"/>
      <c r="AG104" s="435"/>
      <c r="AH104" s="435"/>
      <c r="AI104" s="435"/>
      <c r="AJ104" s="435"/>
      <c r="AK104" s="435"/>
      <c r="AL104" s="435"/>
      <c r="AM104" s="435"/>
      <c r="AN104" s="435"/>
      <c r="AO104" s="435"/>
      <c r="AP104" s="435"/>
      <c r="BH104" s="163"/>
    </row>
    <row r="105" spans="5:60" x14ac:dyDescent="0.25">
      <c r="E105" s="74"/>
      <c r="F105" s="137" t="s">
        <v>43</v>
      </c>
      <c r="G105" s="137" t="s">
        <v>119</v>
      </c>
      <c r="H105" s="137"/>
      <c r="I105" s="137"/>
      <c r="J105" s="443">
        <f t="shared" ref="J105:AP105" si="10">J$57 * J34 * J93 / hours_in_year / $H45</f>
        <v>0</v>
      </c>
      <c r="K105" s="443">
        <f t="shared" si="10"/>
        <v>3.3144108084013193</v>
      </c>
      <c r="L105" s="443">
        <f t="shared" si="10"/>
        <v>0</v>
      </c>
      <c r="M105" s="443">
        <f t="shared" si="10"/>
        <v>0</v>
      </c>
      <c r="N105" s="443">
        <f t="shared" si="10"/>
        <v>3.0743816076256123</v>
      </c>
      <c r="O105" s="443">
        <f t="shared" si="10"/>
        <v>0</v>
      </c>
      <c r="P105" s="443">
        <f t="shared" si="10"/>
        <v>2.2445446899671623E-2</v>
      </c>
      <c r="Q105" s="443">
        <f t="shared" si="10"/>
        <v>0</v>
      </c>
      <c r="R105" s="443">
        <f t="shared" si="10"/>
        <v>2.1631435966601138E-5</v>
      </c>
      <c r="S105" s="443">
        <f t="shared" si="10"/>
        <v>1.154190229386524</v>
      </c>
      <c r="T105" s="443">
        <f t="shared" si="10"/>
        <v>8.6526495565232402</v>
      </c>
      <c r="U105" s="443">
        <f t="shared" si="10"/>
        <v>128.92914958750666</v>
      </c>
      <c r="V105" s="443">
        <f t="shared" si="10"/>
        <v>7.4862093390074653</v>
      </c>
      <c r="W105" s="443">
        <f t="shared" si="10"/>
        <v>77.117902068216551</v>
      </c>
      <c r="X105" s="443">
        <f t="shared" si="10"/>
        <v>0</v>
      </c>
      <c r="Y105" s="443">
        <f t="shared" si="10"/>
        <v>0</v>
      </c>
      <c r="Z105" s="443">
        <f t="shared" si="10"/>
        <v>0</v>
      </c>
      <c r="AA105" s="443">
        <f t="shared" si="10"/>
        <v>0</v>
      </c>
      <c r="AB105" s="443">
        <f t="shared" si="10"/>
        <v>6.7385506698897322</v>
      </c>
      <c r="AC105" s="443">
        <f t="shared" si="10"/>
        <v>0</v>
      </c>
      <c r="AD105" s="443">
        <f t="shared" si="10"/>
        <v>0</v>
      </c>
      <c r="AE105" s="443">
        <f t="shared" si="10"/>
        <v>0</v>
      </c>
      <c r="AF105" s="443">
        <f t="shared" si="10"/>
        <v>0</v>
      </c>
      <c r="AG105" s="443">
        <f t="shared" si="10"/>
        <v>-0.4600494247270665</v>
      </c>
      <c r="AH105" s="443">
        <f t="shared" si="10"/>
        <v>0</v>
      </c>
      <c r="AI105" s="443">
        <f t="shared" si="10"/>
        <v>0</v>
      </c>
      <c r="AJ105" s="443">
        <f t="shared" si="10"/>
        <v>0</v>
      </c>
      <c r="AK105" s="443">
        <f t="shared" si="10"/>
        <v>0</v>
      </c>
      <c r="AL105" s="443">
        <f t="shared" si="10"/>
        <v>0</v>
      </c>
      <c r="AM105" s="443">
        <f t="shared" si="10"/>
        <v>0</v>
      </c>
      <c r="AN105" s="443">
        <f t="shared" si="10"/>
        <v>0</v>
      </c>
      <c r="AO105" s="443">
        <f t="shared" si="10"/>
        <v>-8.9084100466808209</v>
      </c>
      <c r="AP105" s="443">
        <f t="shared" si="10"/>
        <v>0</v>
      </c>
      <c r="BH105" s="136"/>
    </row>
    <row r="106" spans="5:60" x14ac:dyDescent="0.25">
      <c r="E106" s="74"/>
      <c r="F106" s="139" t="s">
        <v>44</v>
      </c>
      <c r="G106" s="139" t="s">
        <v>119</v>
      </c>
      <c r="H106" s="139"/>
      <c r="I106" s="139"/>
      <c r="J106" s="435">
        <f t="shared" ref="J106:AP106" si="11">J$57 * J35 * J94 / hours_in_year / $H46</f>
        <v>0</v>
      </c>
      <c r="K106" s="435">
        <f t="shared" si="11"/>
        <v>4.9273505555721187</v>
      </c>
      <c r="L106" s="435">
        <f t="shared" si="11"/>
        <v>0</v>
      </c>
      <c r="M106" s="435">
        <f t="shared" si="11"/>
        <v>0</v>
      </c>
      <c r="N106" s="435">
        <f t="shared" si="11"/>
        <v>4.892243456400541</v>
      </c>
      <c r="O106" s="435">
        <f t="shared" si="11"/>
        <v>0</v>
      </c>
      <c r="P106" s="435">
        <f t="shared" si="11"/>
        <v>3.9235237027449826E-2</v>
      </c>
      <c r="Q106" s="435">
        <f t="shared" si="11"/>
        <v>0</v>
      </c>
      <c r="R106" s="435">
        <f t="shared" si="11"/>
        <v>3.5725157345567932E-5</v>
      </c>
      <c r="S106" s="435">
        <f t="shared" si="11"/>
        <v>1.7187495372387898</v>
      </c>
      <c r="T106" s="435">
        <f t="shared" si="11"/>
        <v>12.885512797259372</v>
      </c>
      <c r="U106" s="435">
        <f t="shared" si="11"/>
        <v>192.02638154861671</v>
      </c>
      <c r="V106" s="435">
        <f t="shared" si="11"/>
        <v>11.149919901622971</v>
      </c>
      <c r="W106" s="435">
        <f t="shared" si="11"/>
        <v>114.85898832156091</v>
      </c>
      <c r="X106" s="435">
        <f t="shared" si="11"/>
        <v>0</v>
      </c>
      <c r="Y106" s="435">
        <f t="shared" si="11"/>
        <v>0</v>
      </c>
      <c r="Z106" s="435">
        <f t="shared" si="11"/>
        <v>0</v>
      </c>
      <c r="AA106" s="435">
        <f t="shared" si="11"/>
        <v>0</v>
      </c>
      <c r="AB106" s="435">
        <f t="shared" si="11"/>
        <v>5.7950875969122375</v>
      </c>
      <c r="AC106" s="435">
        <f t="shared" si="11"/>
        <v>0</v>
      </c>
      <c r="AD106" s="435">
        <f t="shared" si="11"/>
        <v>0</v>
      </c>
      <c r="AE106" s="435">
        <f t="shared" si="11"/>
        <v>0</v>
      </c>
      <c r="AF106" s="435">
        <f t="shared" si="11"/>
        <v>0</v>
      </c>
      <c r="AG106" s="435">
        <f t="shared" si="11"/>
        <v>-0.68519513737971383</v>
      </c>
      <c r="AH106" s="435">
        <f t="shared" si="11"/>
        <v>0</v>
      </c>
      <c r="AI106" s="435">
        <f t="shared" si="11"/>
        <v>0</v>
      </c>
      <c r="AJ106" s="435">
        <f t="shared" si="11"/>
        <v>0</v>
      </c>
      <c r="AK106" s="435">
        <f t="shared" si="11"/>
        <v>0</v>
      </c>
      <c r="AL106" s="435">
        <f t="shared" si="11"/>
        <v>0</v>
      </c>
      <c r="AM106" s="435">
        <f t="shared" si="11"/>
        <v>0</v>
      </c>
      <c r="AN106" s="435">
        <f t="shared" si="11"/>
        <v>0</v>
      </c>
      <c r="AO106" s="435">
        <f t="shared" si="11"/>
        <v>-13.268137981895331</v>
      </c>
      <c r="AP106" s="435">
        <f t="shared" si="11"/>
        <v>0</v>
      </c>
      <c r="BH106" s="136"/>
    </row>
    <row r="107" spans="5:60" x14ac:dyDescent="0.25">
      <c r="E107" s="74"/>
      <c r="F107" s="139" t="s">
        <v>45</v>
      </c>
      <c r="G107" s="139" t="s">
        <v>119</v>
      </c>
      <c r="H107" s="139"/>
      <c r="I107" s="139"/>
      <c r="J107" s="435">
        <f t="shared" ref="J107:AP107" si="12">J$57 * J36 * J95 / hours_in_year / $H47</f>
        <v>0</v>
      </c>
      <c r="K107" s="435">
        <f t="shared" si="12"/>
        <v>4.9126858217757725</v>
      </c>
      <c r="L107" s="435">
        <f t="shared" si="12"/>
        <v>0</v>
      </c>
      <c r="M107" s="435">
        <f t="shared" si="12"/>
        <v>0</v>
      </c>
      <c r="N107" s="435">
        <f t="shared" si="12"/>
        <v>4.8776832080183956</v>
      </c>
      <c r="O107" s="435">
        <f t="shared" si="12"/>
        <v>0</v>
      </c>
      <c r="P107" s="435">
        <f t="shared" si="12"/>
        <v>3.9118465488677652E-2</v>
      </c>
      <c r="Q107" s="435">
        <f t="shared" si="12"/>
        <v>0</v>
      </c>
      <c r="R107" s="435">
        <f t="shared" si="12"/>
        <v>3.5618832472515642E-5</v>
      </c>
      <c r="S107" s="435">
        <f t="shared" si="12"/>
        <v>1.7136342112351026</v>
      </c>
      <c r="T107" s="435">
        <f t="shared" si="12"/>
        <v>12.847163056791336</v>
      </c>
      <c r="U107" s="435">
        <f t="shared" si="12"/>
        <v>191.45487446067438</v>
      </c>
      <c r="V107" s="435">
        <f t="shared" si="12"/>
        <v>11.116735616201472</v>
      </c>
      <c r="W107" s="435">
        <f t="shared" si="12"/>
        <v>114.51714609441339</v>
      </c>
      <c r="X107" s="435">
        <f t="shared" si="12"/>
        <v>0</v>
      </c>
      <c r="Y107" s="435">
        <f t="shared" si="12"/>
        <v>0</v>
      </c>
      <c r="Z107" s="435">
        <f t="shared" si="12"/>
        <v>0</v>
      </c>
      <c r="AA107" s="435">
        <f t="shared" si="12"/>
        <v>0</v>
      </c>
      <c r="AB107" s="435">
        <f t="shared" si="12"/>
        <v>5.7778403123976174</v>
      </c>
      <c r="AC107" s="435">
        <f t="shared" si="12"/>
        <v>0</v>
      </c>
      <c r="AD107" s="435">
        <f t="shared" si="12"/>
        <v>0</v>
      </c>
      <c r="AE107" s="435">
        <f t="shared" si="12"/>
        <v>0</v>
      </c>
      <c r="AF107" s="435">
        <f t="shared" si="12"/>
        <v>0</v>
      </c>
      <c r="AG107" s="435">
        <f t="shared" si="12"/>
        <v>-0.68315586613751222</v>
      </c>
      <c r="AH107" s="435">
        <f t="shared" si="12"/>
        <v>0</v>
      </c>
      <c r="AI107" s="435">
        <f t="shared" si="12"/>
        <v>0</v>
      </c>
      <c r="AJ107" s="435">
        <f t="shared" si="12"/>
        <v>0</v>
      </c>
      <c r="AK107" s="435">
        <f t="shared" si="12"/>
        <v>0</v>
      </c>
      <c r="AL107" s="435">
        <f t="shared" si="12"/>
        <v>0</v>
      </c>
      <c r="AM107" s="435">
        <f t="shared" si="12"/>
        <v>0</v>
      </c>
      <c r="AN107" s="435">
        <f t="shared" si="12"/>
        <v>0</v>
      </c>
      <c r="AO107" s="435">
        <f t="shared" si="12"/>
        <v>-13.228649475996832</v>
      </c>
      <c r="AP107" s="435">
        <f t="shared" si="12"/>
        <v>0</v>
      </c>
      <c r="BH107" s="136"/>
    </row>
    <row r="108" spans="5:60" x14ac:dyDescent="0.25">
      <c r="E108" s="74"/>
      <c r="F108" s="139" t="s">
        <v>46</v>
      </c>
      <c r="G108" s="139" t="s">
        <v>119</v>
      </c>
      <c r="H108" s="139"/>
      <c r="I108" s="139"/>
      <c r="J108" s="435">
        <f t="shared" ref="J108:AP108" si="13">J$57 * J37 * J96 / hours_in_year / $H48</f>
        <v>0</v>
      </c>
      <c r="K108" s="435">
        <f t="shared" si="13"/>
        <v>10.794389415972788</v>
      </c>
      <c r="L108" s="435">
        <f t="shared" si="13"/>
        <v>0</v>
      </c>
      <c r="M108" s="435">
        <f t="shared" si="13"/>
        <v>0</v>
      </c>
      <c r="N108" s="435">
        <f t="shared" si="13"/>
        <v>10.13206249445779</v>
      </c>
      <c r="O108" s="435">
        <f t="shared" si="13"/>
        <v>0</v>
      </c>
      <c r="P108" s="435">
        <f t="shared" si="13"/>
        <v>9.3630143059936735E-2</v>
      </c>
      <c r="Q108" s="435">
        <f t="shared" si="13"/>
        <v>0</v>
      </c>
      <c r="R108" s="435">
        <f t="shared" si="13"/>
        <v>7.8514535421185281E-5</v>
      </c>
      <c r="S108" s="435">
        <f t="shared" si="13"/>
        <v>3.1364002270270026</v>
      </c>
      <c r="T108" s="435">
        <f t="shared" si="13"/>
        <v>23.517862158508411</v>
      </c>
      <c r="U108" s="435">
        <f t="shared" si="13"/>
        <v>350.57982767483793</v>
      </c>
      <c r="V108" s="435">
        <f t="shared" si="13"/>
        <v>20.356249834919549</v>
      </c>
      <c r="W108" s="435">
        <f t="shared" si="13"/>
        <v>209.69641779394931</v>
      </c>
      <c r="X108" s="435">
        <f t="shared" si="13"/>
        <v>0</v>
      </c>
      <c r="Y108" s="435">
        <f t="shared" si="13"/>
        <v>0</v>
      </c>
      <c r="Z108" s="435">
        <f t="shared" si="13"/>
        <v>0</v>
      </c>
      <c r="AA108" s="435">
        <f t="shared" si="13"/>
        <v>0</v>
      </c>
      <c r="AB108" s="435">
        <f t="shared" si="13"/>
        <v>6.9901497347520545</v>
      </c>
      <c r="AC108" s="435">
        <f t="shared" si="13"/>
        <v>0</v>
      </c>
      <c r="AD108" s="435">
        <f t="shared" si="13"/>
        <v>0</v>
      </c>
      <c r="AE108" s="435">
        <f t="shared" si="13"/>
        <v>0</v>
      </c>
      <c r="AF108" s="435">
        <f t="shared" si="13"/>
        <v>0</v>
      </c>
      <c r="AG108" s="435">
        <f t="shared" si="13"/>
        <v>-1.2509509956338989</v>
      </c>
      <c r="AH108" s="435">
        <f t="shared" si="13"/>
        <v>0</v>
      </c>
      <c r="AI108" s="435">
        <f t="shared" si="13"/>
        <v>0</v>
      </c>
      <c r="AJ108" s="435">
        <f t="shared" si="13"/>
        <v>0</v>
      </c>
      <c r="AK108" s="435">
        <f t="shared" si="13"/>
        <v>0</v>
      </c>
      <c r="AL108" s="435">
        <f t="shared" si="13"/>
        <v>0</v>
      </c>
      <c r="AM108" s="435">
        <f t="shared" si="13"/>
        <v>0</v>
      </c>
      <c r="AN108" s="435">
        <f t="shared" si="13"/>
        <v>0</v>
      </c>
      <c r="AO108" s="435">
        <f t="shared" si="13"/>
        <v>-24.223450391274351</v>
      </c>
      <c r="AP108" s="435">
        <f t="shared" si="13"/>
        <v>0</v>
      </c>
      <c r="BH108" s="136"/>
    </row>
    <row r="109" spans="5:60" x14ac:dyDescent="0.25">
      <c r="E109" s="74"/>
      <c r="F109" s="139" t="s">
        <v>47</v>
      </c>
      <c r="G109" s="139" t="s">
        <v>119</v>
      </c>
      <c r="H109" s="139"/>
      <c r="I109" s="139"/>
      <c r="J109" s="435">
        <f t="shared" ref="J109:AP109" si="14">J$57 * J38 * J97 / hours_in_year / $H49</f>
        <v>0</v>
      </c>
      <c r="K109" s="435">
        <f t="shared" si="14"/>
        <v>10.741527567706516</v>
      </c>
      <c r="L109" s="435">
        <f t="shared" si="14"/>
        <v>0</v>
      </c>
      <c r="M109" s="435">
        <f t="shared" si="14"/>
        <v>0</v>
      </c>
      <c r="N109" s="435">
        <f t="shared" si="14"/>
        <v>10.082444166864951</v>
      </c>
      <c r="O109" s="435">
        <f t="shared" si="14"/>
        <v>0</v>
      </c>
      <c r="P109" s="435">
        <f t="shared" si="14"/>
        <v>9.317162130156291E-2</v>
      </c>
      <c r="Q109" s="435">
        <f t="shared" si="14"/>
        <v>0</v>
      </c>
      <c r="R109" s="435">
        <f t="shared" si="14"/>
        <v>7.8130037206585956E-5</v>
      </c>
      <c r="S109" s="435">
        <f t="shared" si="14"/>
        <v>3.1210407743970956</v>
      </c>
      <c r="T109" s="435">
        <f t="shared" si="14"/>
        <v>23.402691432952544</v>
      </c>
      <c r="U109" s="435">
        <f t="shared" si="14"/>
        <v>348.86298228955474</v>
      </c>
      <c r="V109" s="435">
        <f t="shared" si="14"/>
        <v>20.256562029655495</v>
      </c>
      <c r="W109" s="435">
        <f t="shared" si="14"/>
        <v>208.66950095852354</v>
      </c>
      <c r="X109" s="435">
        <f t="shared" si="14"/>
        <v>0</v>
      </c>
      <c r="Y109" s="435">
        <f t="shared" si="14"/>
        <v>0</v>
      </c>
      <c r="Z109" s="435">
        <f t="shared" si="14"/>
        <v>0</v>
      </c>
      <c r="AA109" s="435">
        <f t="shared" si="14"/>
        <v>0</v>
      </c>
      <c r="AB109" s="435">
        <f t="shared" si="14"/>
        <v>6.9559178555417116</v>
      </c>
      <c r="AC109" s="435">
        <f t="shared" si="14"/>
        <v>0</v>
      </c>
      <c r="AD109" s="435">
        <f t="shared" si="14"/>
        <v>0</v>
      </c>
      <c r="AE109" s="435">
        <f t="shared" si="14"/>
        <v>0</v>
      </c>
      <c r="AF109" s="435">
        <f t="shared" si="14"/>
        <v>0</v>
      </c>
      <c r="AG109" s="435">
        <f t="shared" si="14"/>
        <v>-1.2448248888972002</v>
      </c>
      <c r="AH109" s="435">
        <f t="shared" si="14"/>
        <v>0</v>
      </c>
      <c r="AI109" s="435">
        <f t="shared" si="14"/>
        <v>0</v>
      </c>
      <c r="AJ109" s="435">
        <f t="shared" si="14"/>
        <v>0</v>
      </c>
      <c r="AK109" s="435">
        <f t="shared" si="14"/>
        <v>0</v>
      </c>
      <c r="AL109" s="435">
        <f t="shared" si="14"/>
        <v>0</v>
      </c>
      <c r="AM109" s="435">
        <f t="shared" si="14"/>
        <v>0</v>
      </c>
      <c r="AN109" s="435">
        <f t="shared" si="14"/>
        <v>0</v>
      </c>
      <c r="AO109" s="435">
        <f t="shared" si="14"/>
        <v>-24.104824287497301</v>
      </c>
      <c r="AP109" s="435">
        <f t="shared" si="14"/>
        <v>0</v>
      </c>
      <c r="BH109" s="136"/>
    </row>
    <row r="110" spans="5:60" x14ac:dyDescent="0.25">
      <c r="E110" s="74"/>
      <c r="F110" s="139" t="s">
        <v>51</v>
      </c>
      <c r="G110" s="139" t="s">
        <v>119</v>
      </c>
      <c r="H110" s="139"/>
      <c r="I110" s="139"/>
      <c r="J110" s="435">
        <f t="shared" ref="J110:AP110" si="15">J$57 * J39 * J98 / hours_in_year / $H50</f>
        <v>0</v>
      </c>
      <c r="K110" s="435">
        <f t="shared" si="15"/>
        <v>0</v>
      </c>
      <c r="L110" s="435">
        <f t="shared" si="15"/>
        <v>0</v>
      </c>
      <c r="M110" s="435">
        <f t="shared" si="15"/>
        <v>0</v>
      </c>
      <c r="N110" s="435">
        <f t="shared" si="15"/>
        <v>0</v>
      </c>
      <c r="O110" s="435">
        <f t="shared" si="15"/>
        <v>0</v>
      </c>
      <c r="P110" s="435">
        <f t="shared" si="15"/>
        <v>0</v>
      </c>
      <c r="Q110" s="435">
        <f t="shared" si="15"/>
        <v>0</v>
      </c>
      <c r="R110" s="435">
        <f t="shared" si="15"/>
        <v>0</v>
      </c>
      <c r="S110" s="435">
        <f t="shared" si="15"/>
        <v>0</v>
      </c>
      <c r="T110" s="435">
        <f t="shared" si="15"/>
        <v>0</v>
      </c>
      <c r="U110" s="435">
        <f t="shared" si="15"/>
        <v>0</v>
      </c>
      <c r="V110" s="435">
        <f t="shared" si="15"/>
        <v>0</v>
      </c>
      <c r="W110" s="435">
        <f t="shared" si="15"/>
        <v>0</v>
      </c>
      <c r="X110" s="435">
        <f t="shared" si="15"/>
        <v>0</v>
      </c>
      <c r="Y110" s="435">
        <f t="shared" si="15"/>
        <v>0</v>
      </c>
      <c r="Z110" s="435">
        <f t="shared" si="15"/>
        <v>0</v>
      </c>
      <c r="AA110" s="435">
        <f t="shared" si="15"/>
        <v>0</v>
      </c>
      <c r="AB110" s="435">
        <f t="shared" si="15"/>
        <v>0</v>
      </c>
      <c r="AC110" s="435">
        <f t="shared" si="15"/>
        <v>0</v>
      </c>
      <c r="AD110" s="435">
        <f t="shared" si="15"/>
        <v>0</v>
      </c>
      <c r="AE110" s="435">
        <f t="shared" si="15"/>
        <v>0</v>
      </c>
      <c r="AF110" s="435">
        <f t="shared" si="15"/>
        <v>0</v>
      </c>
      <c r="AG110" s="435">
        <f t="shared" si="15"/>
        <v>0</v>
      </c>
      <c r="AH110" s="435">
        <f t="shared" si="15"/>
        <v>0</v>
      </c>
      <c r="AI110" s="435">
        <f t="shared" si="15"/>
        <v>0</v>
      </c>
      <c r="AJ110" s="435">
        <f t="shared" si="15"/>
        <v>0</v>
      </c>
      <c r="AK110" s="435">
        <f t="shared" si="15"/>
        <v>0</v>
      </c>
      <c r="AL110" s="435">
        <f t="shared" si="15"/>
        <v>0</v>
      </c>
      <c r="AM110" s="435">
        <f t="shared" si="15"/>
        <v>0</v>
      </c>
      <c r="AN110" s="435">
        <f t="shared" si="15"/>
        <v>0</v>
      </c>
      <c r="AO110" s="435">
        <f t="shared" si="15"/>
        <v>0</v>
      </c>
      <c r="AP110" s="435">
        <f t="shared" si="15"/>
        <v>0</v>
      </c>
      <c r="BH110" s="136"/>
    </row>
    <row r="111" spans="5:60" x14ac:dyDescent="0.25">
      <c r="E111" s="74"/>
      <c r="F111" s="139" t="s">
        <v>48</v>
      </c>
      <c r="G111" s="139" t="s">
        <v>119</v>
      </c>
      <c r="H111" s="139"/>
      <c r="I111" s="139"/>
      <c r="J111" s="435">
        <f t="shared" ref="J111:AP111" si="16">J$57 * J40 * J99 / hours_in_year / $H51</f>
        <v>0</v>
      </c>
      <c r="K111" s="435">
        <f t="shared" si="16"/>
        <v>18.733725744093267</v>
      </c>
      <c r="L111" s="435">
        <f t="shared" si="16"/>
        <v>0</v>
      </c>
      <c r="M111" s="435">
        <f t="shared" si="16"/>
        <v>0</v>
      </c>
      <c r="N111" s="435">
        <f t="shared" si="16"/>
        <v>16.960375206892852</v>
      </c>
      <c r="O111" s="435">
        <f t="shared" si="16"/>
        <v>0</v>
      </c>
      <c r="P111" s="435">
        <f t="shared" si="16"/>
        <v>0.16596046100098266</v>
      </c>
      <c r="Q111" s="435">
        <f t="shared" si="16"/>
        <v>0</v>
      </c>
      <c r="R111" s="435">
        <f t="shared" si="16"/>
        <v>1.3478316535335276E-4</v>
      </c>
      <c r="S111" s="435">
        <f t="shared" si="16"/>
        <v>4.9292267363377151</v>
      </c>
      <c r="T111" s="435">
        <f t="shared" si="16"/>
        <v>36.972857288500478</v>
      </c>
      <c r="U111" s="435">
        <f t="shared" si="16"/>
        <v>551.35512016349014</v>
      </c>
      <c r="V111" s="435">
        <f t="shared" si="16"/>
        <v>32.014171061262218</v>
      </c>
      <c r="W111" s="435">
        <f t="shared" si="16"/>
        <v>329.78849467023832</v>
      </c>
      <c r="X111" s="435">
        <f t="shared" si="16"/>
        <v>0</v>
      </c>
      <c r="Y111" s="435">
        <f t="shared" si="16"/>
        <v>0</v>
      </c>
      <c r="Z111" s="435">
        <f t="shared" si="16"/>
        <v>0</v>
      </c>
      <c r="AA111" s="435">
        <f t="shared" si="16"/>
        <v>0</v>
      </c>
      <c r="AB111" s="435">
        <f t="shared" si="16"/>
        <v>9.2409831311560708</v>
      </c>
      <c r="AC111" s="435">
        <f t="shared" si="16"/>
        <v>0</v>
      </c>
      <c r="AD111" s="435">
        <f t="shared" si="16"/>
        <v>0</v>
      </c>
      <c r="AE111" s="435">
        <f t="shared" si="16"/>
        <v>0</v>
      </c>
      <c r="AF111" s="435">
        <f t="shared" si="16"/>
        <v>0</v>
      </c>
      <c r="AG111" s="435">
        <f t="shared" si="16"/>
        <v>-1.9673642978570864</v>
      </c>
      <c r="AH111" s="435">
        <f t="shared" si="16"/>
        <v>0</v>
      </c>
      <c r="AI111" s="435">
        <f t="shared" si="16"/>
        <v>0</v>
      </c>
      <c r="AJ111" s="435">
        <f t="shared" si="16"/>
        <v>0</v>
      </c>
      <c r="AK111" s="435">
        <f t="shared" si="16"/>
        <v>0</v>
      </c>
      <c r="AL111" s="435">
        <f t="shared" si="16"/>
        <v>0</v>
      </c>
      <c r="AM111" s="435">
        <f t="shared" si="16"/>
        <v>0</v>
      </c>
      <c r="AN111" s="435">
        <f t="shared" si="16"/>
        <v>0</v>
      </c>
      <c r="AO111" s="435">
        <f t="shared" si="16"/>
        <v>0</v>
      </c>
      <c r="AP111" s="435">
        <f t="shared" si="16"/>
        <v>0</v>
      </c>
      <c r="BH111" s="136"/>
    </row>
    <row r="112" spans="5:60" x14ac:dyDescent="0.25">
      <c r="E112" s="74"/>
      <c r="F112" s="139" t="s">
        <v>49</v>
      </c>
      <c r="G112" s="139" t="s">
        <v>119</v>
      </c>
      <c r="H112" s="139"/>
      <c r="I112" s="139"/>
      <c r="J112" s="435">
        <f t="shared" ref="J112:AP112" si="17">J$57 * J41 * J100 / hours_in_year / $H52</f>
        <v>0</v>
      </c>
      <c r="K112" s="435">
        <f t="shared" si="17"/>
        <v>18.465077669369172</v>
      </c>
      <c r="L112" s="435">
        <f t="shared" si="17"/>
        <v>0</v>
      </c>
      <c r="M112" s="435">
        <f t="shared" si="17"/>
        <v>0</v>
      </c>
      <c r="N112" s="435">
        <f t="shared" si="17"/>
        <v>16.717157589203183</v>
      </c>
      <c r="O112" s="435">
        <f t="shared" si="17"/>
        <v>0</v>
      </c>
      <c r="P112" s="435">
        <f t="shared" si="17"/>
        <v>0.16358053087190544</v>
      </c>
      <c r="Q112" s="435">
        <f t="shared" si="17"/>
        <v>0</v>
      </c>
      <c r="R112" s="435">
        <f t="shared" si="17"/>
        <v>0</v>
      </c>
      <c r="S112" s="435">
        <f t="shared" si="17"/>
        <v>4.858539928455242</v>
      </c>
      <c r="T112" s="435">
        <f t="shared" si="17"/>
        <v>36.442653790099413</v>
      </c>
      <c r="U112" s="435">
        <f t="shared" si="17"/>
        <v>543.4484979814132</v>
      </c>
      <c r="V112" s="435">
        <f t="shared" si="17"/>
        <v>31.555076829982166</v>
      </c>
      <c r="W112" s="435">
        <f t="shared" si="17"/>
        <v>0</v>
      </c>
      <c r="X112" s="435">
        <f t="shared" si="17"/>
        <v>0</v>
      </c>
      <c r="Y112" s="435">
        <f t="shared" si="17"/>
        <v>0</v>
      </c>
      <c r="Z112" s="435">
        <f t="shared" si="17"/>
        <v>0</v>
      </c>
      <c r="AA112" s="435">
        <f t="shared" si="17"/>
        <v>0</v>
      </c>
      <c r="AB112" s="435">
        <f t="shared" si="17"/>
        <v>9.1084642526022055</v>
      </c>
      <c r="AC112" s="435">
        <f t="shared" si="17"/>
        <v>0</v>
      </c>
      <c r="AD112" s="435">
        <f t="shared" si="17"/>
        <v>0</v>
      </c>
      <c r="AE112" s="435">
        <f t="shared" si="17"/>
        <v>0</v>
      </c>
      <c r="AF112" s="435">
        <f t="shared" si="17"/>
        <v>0</v>
      </c>
      <c r="AG112" s="435">
        <f t="shared" si="17"/>
        <v>-1.9391516167214682</v>
      </c>
      <c r="AH112" s="435">
        <f t="shared" si="17"/>
        <v>0</v>
      </c>
      <c r="AI112" s="435">
        <f t="shared" si="17"/>
        <v>0</v>
      </c>
      <c r="AJ112" s="435">
        <f t="shared" si="17"/>
        <v>0</v>
      </c>
      <c r="AK112" s="435">
        <f t="shared" si="17"/>
        <v>0</v>
      </c>
      <c r="AL112" s="435">
        <f t="shared" si="17"/>
        <v>0</v>
      </c>
      <c r="AM112" s="435">
        <f t="shared" si="17"/>
        <v>0</v>
      </c>
      <c r="AN112" s="435">
        <f t="shared" si="17"/>
        <v>0</v>
      </c>
      <c r="AO112" s="435">
        <f t="shared" si="17"/>
        <v>0</v>
      </c>
      <c r="AP112" s="435">
        <f t="shared" si="17"/>
        <v>0</v>
      </c>
      <c r="BH112" s="136"/>
    </row>
    <row r="113" spans="5:60" x14ac:dyDescent="0.25">
      <c r="E113" s="74"/>
      <c r="F113" s="140" t="s">
        <v>50</v>
      </c>
      <c r="G113" s="140" t="s">
        <v>119</v>
      </c>
      <c r="H113" s="140"/>
      <c r="I113" s="140"/>
      <c r="J113" s="436">
        <f t="shared" ref="J113:AP113" si="18">J$57 * J42 * J101 / hours_in_year / $H53</f>
        <v>0</v>
      </c>
      <c r="K113" s="436">
        <f t="shared" si="18"/>
        <v>17.735969919338988</v>
      </c>
      <c r="L113" s="436">
        <f t="shared" si="18"/>
        <v>0</v>
      </c>
      <c r="M113" s="436">
        <f t="shared" si="18"/>
        <v>0</v>
      </c>
      <c r="N113" s="436">
        <f t="shared" si="18"/>
        <v>16.057067803770916</v>
      </c>
      <c r="O113" s="436">
        <f t="shared" si="18"/>
        <v>0</v>
      </c>
      <c r="P113" s="436">
        <f t="shared" si="18"/>
        <v>0.15712142818366676</v>
      </c>
      <c r="Q113" s="436">
        <f t="shared" si="18"/>
        <v>0</v>
      </c>
      <c r="R113" s="436">
        <f t="shared" si="18"/>
        <v>0</v>
      </c>
      <c r="S113" s="436">
        <f t="shared" si="18"/>
        <v>4.6666967540534285</v>
      </c>
      <c r="T113" s="436">
        <f t="shared" si="18"/>
        <v>35.003687662483003</v>
      </c>
      <c r="U113" s="436">
        <f t="shared" si="18"/>
        <v>521.99001734486524</v>
      </c>
      <c r="V113" s="436">
        <f t="shared" si="18"/>
        <v>0</v>
      </c>
      <c r="W113" s="436">
        <f t="shared" si="18"/>
        <v>0</v>
      </c>
      <c r="X113" s="436">
        <f t="shared" si="18"/>
        <v>0</v>
      </c>
      <c r="Y113" s="436">
        <f t="shared" si="18"/>
        <v>0</v>
      </c>
      <c r="Z113" s="436">
        <f t="shared" si="18"/>
        <v>0</v>
      </c>
      <c r="AA113" s="436">
        <f t="shared" si="18"/>
        <v>0</v>
      </c>
      <c r="AB113" s="436">
        <f t="shared" si="18"/>
        <v>8.7488095575958749</v>
      </c>
      <c r="AC113" s="436">
        <f t="shared" si="18"/>
        <v>0</v>
      </c>
      <c r="AD113" s="436">
        <f t="shared" si="18"/>
        <v>0</v>
      </c>
      <c r="AE113" s="436">
        <f t="shared" si="18"/>
        <v>0</v>
      </c>
      <c r="AF113" s="436">
        <f t="shared" si="18"/>
        <v>0</v>
      </c>
      <c r="AG113" s="436">
        <f t="shared" si="18"/>
        <v>0</v>
      </c>
      <c r="AH113" s="436">
        <f t="shared" si="18"/>
        <v>0</v>
      </c>
      <c r="AI113" s="436">
        <f t="shared" si="18"/>
        <v>0</v>
      </c>
      <c r="AJ113" s="436">
        <f t="shared" si="18"/>
        <v>0</v>
      </c>
      <c r="AK113" s="436">
        <f t="shared" si="18"/>
        <v>0</v>
      </c>
      <c r="AL113" s="436">
        <f t="shared" si="18"/>
        <v>0</v>
      </c>
      <c r="AM113" s="436">
        <f t="shared" si="18"/>
        <v>0</v>
      </c>
      <c r="AN113" s="436">
        <f t="shared" si="18"/>
        <v>0</v>
      </c>
      <c r="AO113" s="436">
        <f t="shared" si="18"/>
        <v>0</v>
      </c>
      <c r="AP113" s="436">
        <f t="shared" si="18"/>
        <v>0</v>
      </c>
      <c r="BH113" s="136"/>
    </row>
    <row r="114" spans="5:60" x14ac:dyDescent="0.25">
      <c r="E114" s="74"/>
      <c r="F114" s="139"/>
      <c r="G114" s="139"/>
      <c r="H114" s="139"/>
      <c r="I114" s="139"/>
      <c r="J114" s="435"/>
      <c r="K114" s="435"/>
      <c r="L114" s="435"/>
      <c r="M114" s="435"/>
      <c r="N114" s="435"/>
      <c r="O114" s="435"/>
      <c r="P114" s="416"/>
      <c r="Q114" s="416"/>
      <c r="R114" s="416"/>
      <c r="S114" s="416"/>
      <c r="T114" s="416"/>
      <c r="U114" s="416"/>
      <c r="V114" s="416"/>
      <c r="W114" s="416"/>
      <c r="X114" s="416"/>
      <c r="Y114" s="416"/>
      <c r="Z114" s="416"/>
      <c r="AA114" s="416"/>
      <c r="AB114" s="416"/>
      <c r="AC114" s="416"/>
      <c r="AD114" s="416"/>
      <c r="AE114" s="416"/>
      <c r="AF114" s="416"/>
      <c r="AG114" s="416"/>
      <c r="AH114" s="416"/>
      <c r="AI114" s="416"/>
      <c r="AJ114" s="416"/>
      <c r="AK114" s="416"/>
      <c r="AL114" s="416"/>
      <c r="AM114" s="416"/>
      <c r="AN114" s="416"/>
      <c r="AO114" s="416"/>
      <c r="AP114" s="416"/>
      <c r="BH114" s="136"/>
    </row>
    <row r="115" spans="5:60" x14ac:dyDescent="0.25">
      <c r="E115" s="74" t="s">
        <v>380</v>
      </c>
      <c r="F115" s="139"/>
      <c r="G115" s="139"/>
      <c r="H115" s="139"/>
      <c r="I115" s="139"/>
      <c r="J115" s="435"/>
      <c r="K115" s="435"/>
      <c r="L115" s="435"/>
      <c r="M115" s="435"/>
      <c r="N115" s="435"/>
      <c r="O115" s="435"/>
      <c r="P115" s="416"/>
      <c r="Q115" s="416"/>
      <c r="R115" s="416"/>
      <c r="S115" s="416"/>
      <c r="T115" s="416"/>
      <c r="U115" s="416"/>
      <c r="V115" s="416"/>
      <c r="W115" s="416"/>
      <c r="X115" s="416"/>
      <c r="Y115" s="416"/>
      <c r="Z115" s="416"/>
      <c r="AA115" s="416"/>
      <c r="AB115" s="416"/>
      <c r="AC115" s="416"/>
      <c r="AD115" s="416"/>
      <c r="AE115" s="416"/>
      <c r="AF115" s="416"/>
      <c r="AG115" s="416"/>
      <c r="AH115" s="416"/>
      <c r="AI115" s="416"/>
      <c r="AJ115" s="416"/>
      <c r="AK115" s="416"/>
      <c r="AL115" s="416"/>
      <c r="AM115" s="416"/>
      <c r="AN115" s="416"/>
      <c r="AO115" s="416"/>
      <c r="AP115" s="416"/>
      <c r="BH115" s="136"/>
    </row>
    <row r="116" spans="5:60" x14ac:dyDescent="0.25">
      <c r="E116" s="74"/>
      <c r="F116" s="137" t="s">
        <v>43</v>
      </c>
      <c r="G116" s="166" t="s">
        <v>636</v>
      </c>
      <c r="H116" s="137"/>
      <c r="I116" s="137"/>
      <c r="J116" s="438">
        <f>'Pseudo-load coefficients'!J531</f>
        <v>0</v>
      </c>
      <c r="K116" s="438">
        <f>'Pseudo-load coefficients'!K531</f>
        <v>0</v>
      </c>
      <c r="L116" s="438">
        <f>'Pseudo-load coefficients'!L531</f>
        <v>0</v>
      </c>
      <c r="M116" s="438">
        <f>'Pseudo-load coefficients'!M531</f>
        <v>0</v>
      </c>
      <c r="N116" s="438">
        <f>'Pseudo-load coefficients'!N531</f>
        <v>0</v>
      </c>
      <c r="O116" s="438">
        <f>'Pseudo-load coefficients'!O531</f>
        <v>0</v>
      </c>
      <c r="P116" s="438">
        <f>'Pseudo-load coefficients'!P531</f>
        <v>0</v>
      </c>
      <c r="Q116" s="438">
        <f>'Pseudo-load coefficients'!Q531</f>
        <v>0</v>
      </c>
      <c r="R116" s="438">
        <f>'Pseudo-load coefficients'!R531</f>
        <v>0</v>
      </c>
      <c r="S116" s="438">
        <f>'Pseudo-load coefficients'!S531</f>
        <v>0</v>
      </c>
      <c r="T116" s="438">
        <f>'Pseudo-load coefficients'!T531</f>
        <v>0</v>
      </c>
      <c r="U116" s="438">
        <f>'Pseudo-load coefficients'!U531</f>
        <v>0</v>
      </c>
      <c r="V116" s="438">
        <f>'Pseudo-load coefficients'!V531</f>
        <v>0</v>
      </c>
      <c r="W116" s="438">
        <f>'Pseudo-load coefficients'!W531</f>
        <v>0</v>
      </c>
      <c r="X116" s="438">
        <f>'Pseudo-load coefficients'!X531</f>
        <v>0</v>
      </c>
      <c r="Y116" s="438">
        <f>'Pseudo-load coefficients'!Y531</f>
        <v>0</v>
      </c>
      <c r="Z116" s="438">
        <f>'Pseudo-load coefficients'!Z531</f>
        <v>0</v>
      </c>
      <c r="AA116" s="438">
        <f>'Pseudo-load coefficients'!AA531</f>
        <v>0</v>
      </c>
      <c r="AB116" s="438">
        <f>'Pseudo-load coefficients'!AB531</f>
        <v>0</v>
      </c>
      <c r="AC116" s="438">
        <f>'Pseudo-load coefficients'!AC531</f>
        <v>0</v>
      </c>
      <c r="AD116" s="438">
        <f>'Pseudo-load coefficients'!AD531</f>
        <v>0</v>
      </c>
      <c r="AE116" s="438">
        <f>'Pseudo-load coefficients'!AE531</f>
        <v>0</v>
      </c>
      <c r="AF116" s="438">
        <f>'Pseudo-load coefficients'!AF531</f>
        <v>0</v>
      </c>
      <c r="AG116" s="438">
        <f>'Pseudo-load coefficients'!AG531</f>
        <v>0</v>
      </c>
      <c r="AH116" s="438">
        <f>'Pseudo-load coefficients'!AH531</f>
        <v>0</v>
      </c>
      <c r="AI116" s="438">
        <f>'Pseudo-load coefficients'!AI531</f>
        <v>0</v>
      </c>
      <c r="AJ116" s="438">
        <f>'Pseudo-load coefficients'!AJ531</f>
        <v>0</v>
      </c>
      <c r="AK116" s="438">
        <f>'Pseudo-load coefficients'!AK531</f>
        <v>0</v>
      </c>
      <c r="AL116" s="438">
        <f>'Pseudo-load coefficients'!AL531</f>
        <v>0</v>
      </c>
      <c r="AM116" s="438">
        <f>'Pseudo-load coefficients'!AM531</f>
        <v>0</v>
      </c>
      <c r="AN116" s="438">
        <f>'Pseudo-load coefficients'!AN531</f>
        <v>0</v>
      </c>
      <c r="AO116" s="438">
        <f>'Pseudo-load coefficients'!AO531</f>
        <v>0</v>
      </c>
      <c r="AP116" s="438">
        <f>'Pseudo-load coefficients'!AP531</f>
        <v>0</v>
      </c>
      <c r="BH116" s="136"/>
    </row>
    <row r="117" spans="5:60" x14ac:dyDescent="0.25">
      <c r="E117" s="74"/>
      <c r="F117" s="139" t="s">
        <v>44</v>
      </c>
      <c r="G117" s="167" t="s">
        <v>636</v>
      </c>
      <c r="H117" s="139"/>
      <c r="I117" s="139"/>
      <c r="J117" s="437">
        <f>'Pseudo-load coefficients'!J532</f>
        <v>0</v>
      </c>
      <c r="K117" s="437">
        <f>'Pseudo-load coefficients'!K532</f>
        <v>0</v>
      </c>
      <c r="L117" s="437">
        <f>'Pseudo-load coefficients'!L532</f>
        <v>0</v>
      </c>
      <c r="M117" s="437">
        <f>'Pseudo-load coefficients'!M532</f>
        <v>0</v>
      </c>
      <c r="N117" s="437">
        <f>'Pseudo-load coefficients'!N532</f>
        <v>0</v>
      </c>
      <c r="O117" s="437">
        <f>'Pseudo-load coefficients'!O532</f>
        <v>0</v>
      </c>
      <c r="P117" s="437">
        <f>'Pseudo-load coefficients'!P532</f>
        <v>0</v>
      </c>
      <c r="Q117" s="437">
        <f>'Pseudo-load coefficients'!Q532</f>
        <v>0</v>
      </c>
      <c r="R117" s="437">
        <f>'Pseudo-load coefficients'!R532</f>
        <v>0</v>
      </c>
      <c r="S117" s="437">
        <f>'Pseudo-load coefficients'!S532</f>
        <v>9.4418329396628205E-3</v>
      </c>
      <c r="T117" s="437">
        <f>'Pseudo-load coefficients'!T532</f>
        <v>9.964381853341725E-3</v>
      </c>
      <c r="U117" s="437">
        <f>'Pseudo-load coefficients'!U532</f>
        <v>7.446875955400961E-3</v>
      </c>
      <c r="V117" s="437">
        <f>'Pseudo-load coefficients'!V532</f>
        <v>7.2009649387892302E-3</v>
      </c>
      <c r="W117" s="437">
        <f>'Pseudo-load coefficients'!W532</f>
        <v>6.5505590858844507E-3</v>
      </c>
      <c r="X117" s="437">
        <f>'Pseudo-load coefficients'!X532</f>
        <v>0</v>
      </c>
      <c r="Y117" s="437">
        <f>'Pseudo-load coefficients'!Y532</f>
        <v>0</v>
      </c>
      <c r="Z117" s="437">
        <f>'Pseudo-load coefficients'!Z532</f>
        <v>0</v>
      </c>
      <c r="AA117" s="437">
        <f>'Pseudo-load coefficients'!AA532</f>
        <v>0</v>
      </c>
      <c r="AB117" s="437">
        <f>'Pseudo-load coefficients'!AB532</f>
        <v>5.8214681131000465E-3</v>
      </c>
      <c r="AC117" s="437">
        <f>'Pseudo-load coefficients'!AC532</f>
        <v>0</v>
      </c>
      <c r="AD117" s="437">
        <f>'Pseudo-load coefficients'!AD532</f>
        <v>0</v>
      </c>
      <c r="AE117" s="437">
        <f>'Pseudo-load coefficients'!AE532</f>
        <v>0</v>
      </c>
      <c r="AF117" s="437">
        <f>'Pseudo-load coefficients'!AF532</f>
        <v>0</v>
      </c>
      <c r="AG117" s="437">
        <f>'Pseudo-load coefficients'!AG532</f>
        <v>6.2469399693549227E-3</v>
      </c>
      <c r="AH117" s="437">
        <f>'Pseudo-load coefficients'!AH532</f>
        <v>6.2469399693549227E-3</v>
      </c>
      <c r="AI117" s="437">
        <f>'Pseudo-load coefficients'!AI532</f>
        <v>0</v>
      </c>
      <c r="AJ117" s="437">
        <f>'Pseudo-load coefficients'!AJ532</f>
        <v>0</v>
      </c>
      <c r="AK117" s="437">
        <f>'Pseudo-load coefficients'!AK532</f>
        <v>6.2469399693549227E-3</v>
      </c>
      <c r="AL117" s="437">
        <f>'Pseudo-load coefficients'!AL532</f>
        <v>6.2469399693549227E-3</v>
      </c>
      <c r="AM117" s="437">
        <f>'Pseudo-load coefficients'!AM532</f>
        <v>0</v>
      </c>
      <c r="AN117" s="437">
        <f>'Pseudo-load coefficients'!AN532</f>
        <v>0</v>
      </c>
      <c r="AO117" s="437">
        <f>'Pseudo-load coefficients'!AO532</f>
        <v>6.2469399693549227E-3</v>
      </c>
      <c r="AP117" s="437">
        <f>'Pseudo-load coefficients'!AP532</f>
        <v>6.2469399693549227E-3</v>
      </c>
      <c r="BH117" s="136"/>
    </row>
    <row r="118" spans="5:60" x14ac:dyDescent="0.25">
      <c r="E118" s="74"/>
      <c r="F118" s="139" t="s">
        <v>45</v>
      </c>
      <c r="G118" s="167" t="s">
        <v>636</v>
      </c>
      <c r="H118" s="139"/>
      <c r="I118" s="139"/>
      <c r="J118" s="437">
        <f>'Pseudo-load coefficients'!J533</f>
        <v>0</v>
      </c>
      <c r="K118" s="437">
        <f>'Pseudo-load coefficients'!K533</f>
        <v>0</v>
      </c>
      <c r="L118" s="437">
        <f>'Pseudo-load coefficients'!L533</f>
        <v>0</v>
      </c>
      <c r="M118" s="437">
        <f>'Pseudo-load coefficients'!M533</f>
        <v>0</v>
      </c>
      <c r="N118" s="437">
        <f>'Pseudo-load coefficients'!N533</f>
        <v>0</v>
      </c>
      <c r="O118" s="437">
        <f>'Pseudo-load coefficients'!O533</f>
        <v>0</v>
      </c>
      <c r="P118" s="437">
        <f>'Pseudo-load coefficients'!P533</f>
        <v>0</v>
      </c>
      <c r="Q118" s="437">
        <f>'Pseudo-load coefficients'!Q533</f>
        <v>0</v>
      </c>
      <c r="R118" s="437">
        <f>'Pseudo-load coefficients'!R533</f>
        <v>0</v>
      </c>
      <c r="S118" s="437">
        <f>'Pseudo-load coefficients'!S533</f>
        <v>9.4418329396628205E-3</v>
      </c>
      <c r="T118" s="437">
        <f>'Pseudo-load coefficients'!T533</f>
        <v>9.964381853341725E-3</v>
      </c>
      <c r="U118" s="437">
        <f>'Pseudo-load coefficients'!U533</f>
        <v>7.446875955400961E-3</v>
      </c>
      <c r="V118" s="437">
        <f>'Pseudo-load coefficients'!V533</f>
        <v>7.2009649387892302E-3</v>
      </c>
      <c r="W118" s="437">
        <f>'Pseudo-load coefficients'!W533</f>
        <v>6.5505590858844507E-3</v>
      </c>
      <c r="X118" s="437">
        <f>'Pseudo-load coefficients'!X533</f>
        <v>0</v>
      </c>
      <c r="Y118" s="437">
        <f>'Pseudo-load coefficients'!Y533</f>
        <v>0</v>
      </c>
      <c r="Z118" s="437">
        <f>'Pseudo-load coefficients'!Z533</f>
        <v>0</v>
      </c>
      <c r="AA118" s="437">
        <f>'Pseudo-load coefficients'!AA533</f>
        <v>0</v>
      </c>
      <c r="AB118" s="437">
        <f>'Pseudo-load coefficients'!AB533</f>
        <v>5.8214681131000465E-3</v>
      </c>
      <c r="AC118" s="437">
        <f>'Pseudo-load coefficients'!AC533</f>
        <v>0</v>
      </c>
      <c r="AD118" s="437">
        <f>'Pseudo-load coefficients'!AD533</f>
        <v>0</v>
      </c>
      <c r="AE118" s="437">
        <f>'Pseudo-load coefficients'!AE533</f>
        <v>0</v>
      </c>
      <c r="AF118" s="437">
        <f>'Pseudo-load coefficients'!AF533</f>
        <v>0</v>
      </c>
      <c r="AG118" s="437">
        <f>'Pseudo-load coefficients'!AG533</f>
        <v>6.2469399693549227E-3</v>
      </c>
      <c r="AH118" s="437">
        <f>'Pseudo-load coefficients'!AH533</f>
        <v>6.2469399693549227E-3</v>
      </c>
      <c r="AI118" s="437">
        <f>'Pseudo-load coefficients'!AI533</f>
        <v>0</v>
      </c>
      <c r="AJ118" s="437">
        <f>'Pseudo-load coefficients'!AJ533</f>
        <v>0</v>
      </c>
      <c r="AK118" s="437">
        <f>'Pseudo-load coefficients'!AK533</f>
        <v>6.2469399693549227E-3</v>
      </c>
      <c r="AL118" s="437">
        <f>'Pseudo-load coefficients'!AL533</f>
        <v>6.2469399693549227E-3</v>
      </c>
      <c r="AM118" s="437">
        <f>'Pseudo-load coefficients'!AM533</f>
        <v>0</v>
      </c>
      <c r="AN118" s="437">
        <f>'Pseudo-load coefficients'!AN533</f>
        <v>0</v>
      </c>
      <c r="AO118" s="437">
        <f>'Pseudo-load coefficients'!AO533</f>
        <v>6.2469399693549227E-3</v>
      </c>
      <c r="AP118" s="437">
        <f>'Pseudo-load coefficients'!AP533</f>
        <v>6.2469399693549227E-3</v>
      </c>
      <c r="BH118" s="136"/>
    </row>
    <row r="119" spans="5:60" x14ac:dyDescent="0.25">
      <c r="E119" s="74"/>
      <c r="F119" s="139" t="s">
        <v>46</v>
      </c>
      <c r="G119" s="167" t="s">
        <v>636</v>
      </c>
      <c r="H119" s="139"/>
      <c r="I119" s="139"/>
      <c r="J119" s="437">
        <f>'Pseudo-load coefficients'!J534</f>
        <v>0</v>
      </c>
      <c r="K119" s="437">
        <f>'Pseudo-load coefficients'!K534</f>
        <v>0</v>
      </c>
      <c r="L119" s="437">
        <f>'Pseudo-load coefficients'!L534</f>
        <v>0</v>
      </c>
      <c r="M119" s="437">
        <f>'Pseudo-load coefficients'!M534</f>
        <v>0</v>
      </c>
      <c r="N119" s="437">
        <f>'Pseudo-load coefficients'!N534</f>
        <v>0</v>
      </c>
      <c r="O119" s="437">
        <f>'Pseudo-load coefficients'!O534</f>
        <v>0</v>
      </c>
      <c r="P119" s="437">
        <f>'Pseudo-load coefficients'!P534</f>
        <v>0</v>
      </c>
      <c r="Q119" s="437">
        <f>'Pseudo-load coefficients'!Q534</f>
        <v>0</v>
      </c>
      <c r="R119" s="437">
        <f>'Pseudo-load coefficients'!R534</f>
        <v>0</v>
      </c>
      <c r="S119" s="437">
        <f>'Pseudo-load coefficients'!S534</f>
        <v>5.3573150583291269E-2</v>
      </c>
      <c r="T119" s="437">
        <f>'Pseudo-load coefficients'!T534</f>
        <v>5.6548161463216659E-2</v>
      </c>
      <c r="U119" s="437">
        <f>'Pseudo-load coefficients'!U534</f>
        <v>4.2273882685810504E-2</v>
      </c>
      <c r="V119" s="437">
        <f>'Pseudo-load coefficients'!V534</f>
        <v>4.0877912949017305E-2</v>
      </c>
      <c r="W119" s="437">
        <f>'Pseudo-load coefficients'!W534</f>
        <v>3.7185736405654868E-2</v>
      </c>
      <c r="X119" s="437">
        <f>'Pseudo-load coefficients'!X534</f>
        <v>0</v>
      </c>
      <c r="Y119" s="437">
        <f>'Pseudo-load coefficients'!Y534</f>
        <v>0</v>
      </c>
      <c r="Z119" s="437">
        <f>'Pseudo-load coefficients'!Z534</f>
        <v>0</v>
      </c>
      <c r="AA119" s="437">
        <f>'Pseudo-load coefficients'!AA534</f>
        <v>0</v>
      </c>
      <c r="AB119" s="437">
        <f>'Pseudo-load coefficients'!AB534</f>
        <v>3.3046885908431585E-2</v>
      </c>
      <c r="AC119" s="437">
        <f>'Pseudo-load coefficients'!AC534</f>
        <v>0</v>
      </c>
      <c r="AD119" s="437">
        <f>'Pseudo-load coefficients'!AD534</f>
        <v>0</v>
      </c>
      <c r="AE119" s="437">
        <f>'Pseudo-load coefficients'!AE534</f>
        <v>0</v>
      </c>
      <c r="AF119" s="437">
        <f>'Pseudo-load coefficients'!AF534</f>
        <v>0</v>
      </c>
      <c r="AG119" s="437">
        <f>'Pseudo-load coefficients'!AG534</f>
        <v>3.5462173533088177E-2</v>
      </c>
      <c r="AH119" s="437">
        <f>'Pseudo-load coefficients'!AH534</f>
        <v>3.5462173533088177E-2</v>
      </c>
      <c r="AI119" s="437">
        <f>'Pseudo-load coefficients'!AI534</f>
        <v>0</v>
      </c>
      <c r="AJ119" s="437">
        <f>'Pseudo-load coefficients'!AJ534</f>
        <v>0</v>
      </c>
      <c r="AK119" s="437">
        <f>'Pseudo-load coefficients'!AK534</f>
        <v>3.5462173533088177E-2</v>
      </c>
      <c r="AL119" s="437">
        <f>'Pseudo-load coefficients'!AL534</f>
        <v>3.5462173533088177E-2</v>
      </c>
      <c r="AM119" s="437">
        <f>'Pseudo-load coefficients'!AM534</f>
        <v>0</v>
      </c>
      <c r="AN119" s="437">
        <f>'Pseudo-load coefficients'!AN534</f>
        <v>0</v>
      </c>
      <c r="AO119" s="437">
        <f>'Pseudo-load coefficients'!AO534</f>
        <v>3.5462173533088177E-2</v>
      </c>
      <c r="AP119" s="437">
        <f>'Pseudo-load coefficients'!AP534</f>
        <v>3.5462173533088177E-2</v>
      </c>
      <c r="BH119" s="136"/>
    </row>
    <row r="120" spans="5:60" x14ac:dyDescent="0.25">
      <c r="E120" s="74"/>
      <c r="F120" s="139" t="s">
        <v>47</v>
      </c>
      <c r="G120" s="167" t="s">
        <v>636</v>
      </c>
      <c r="H120" s="139"/>
      <c r="I120" s="139"/>
      <c r="J120" s="437">
        <f>'Pseudo-load coefficients'!J535</f>
        <v>0</v>
      </c>
      <c r="K120" s="437">
        <f>'Pseudo-load coefficients'!K535</f>
        <v>0</v>
      </c>
      <c r="L120" s="437">
        <f>'Pseudo-load coefficients'!L535</f>
        <v>0</v>
      </c>
      <c r="M120" s="437">
        <f>'Pseudo-load coefficients'!M535</f>
        <v>0</v>
      </c>
      <c r="N120" s="437">
        <f>'Pseudo-load coefficients'!N535</f>
        <v>0</v>
      </c>
      <c r="O120" s="437">
        <f>'Pseudo-load coefficients'!O535</f>
        <v>0</v>
      </c>
      <c r="P120" s="437">
        <f>'Pseudo-load coefficients'!P535</f>
        <v>0</v>
      </c>
      <c r="Q120" s="437">
        <f>'Pseudo-load coefficients'!Q535</f>
        <v>0</v>
      </c>
      <c r="R120" s="437">
        <f>'Pseudo-load coefficients'!R535</f>
        <v>0</v>
      </c>
      <c r="S120" s="437">
        <f>'Pseudo-load coefficients'!S535</f>
        <v>5.3573150583291269E-2</v>
      </c>
      <c r="T120" s="437">
        <f>'Pseudo-load coefficients'!T535</f>
        <v>5.6548161463216659E-2</v>
      </c>
      <c r="U120" s="437">
        <f>'Pseudo-load coefficients'!U535</f>
        <v>4.2273882685810504E-2</v>
      </c>
      <c r="V120" s="437">
        <f>'Pseudo-load coefficients'!V535</f>
        <v>4.0877912949017305E-2</v>
      </c>
      <c r="W120" s="437">
        <f>'Pseudo-load coefficients'!W535</f>
        <v>3.7185736405654868E-2</v>
      </c>
      <c r="X120" s="437">
        <f>'Pseudo-load coefficients'!X535</f>
        <v>0</v>
      </c>
      <c r="Y120" s="437">
        <f>'Pseudo-load coefficients'!Y535</f>
        <v>0</v>
      </c>
      <c r="Z120" s="437">
        <f>'Pseudo-load coefficients'!Z535</f>
        <v>0</v>
      </c>
      <c r="AA120" s="437">
        <f>'Pseudo-load coefficients'!AA535</f>
        <v>0</v>
      </c>
      <c r="AB120" s="437">
        <f>'Pseudo-load coefficients'!AB535</f>
        <v>3.3046885908431585E-2</v>
      </c>
      <c r="AC120" s="437">
        <f>'Pseudo-load coefficients'!AC535</f>
        <v>0</v>
      </c>
      <c r="AD120" s="437">
        <f>'Pseudo-load coefficients'!AD535</f>
        <v>0</v>
      </c>
      <c r="AE120" s="437">
        <f>'Pseudo-load coefficients'!AE535</f>
        <v>0</v>
      </c>
      <c r="AF120" s="437">
        <f>'Pseudo-load coefficients'!AF535</f>
        <v>0</v>
      </c>
      <c r="AG120" s="437">
        <f>'Pseudo-load coefficients'!AG535</f>
        <v>3.5462173533088177E-2</v>
      </c>
      <c r="AH120" s="437">
        <f>'Pseudo-load coefficients'!AH535</f>
        <v>3.5462173533088177E-2</v>
      </c>
      <c r="AI120" s="437">
        <f>'Pseudo-load coefficients'!AI535</f>
        <v>0</v>
      </c>
      <c r="AJ120" s="437">
        <f>'Pseudo-load coefficients'!AJ535</f>
        <v>0</v>
      </c>
      <c r="AK120" s="437">
        <f>'Pseudo-load coefficients'!AK535</f>
        <v>3.5462173533088177E-2</v>
      </c>
      <c r="AL120" s="437">
        <f>'Pseudo-load coefficients'!AL535</f>
        <v>3.5462173533088177E-2</v>
      </c>
      <c r="AM120" s="437">
        <f>'Pseudo-load coefficients'!AM535</f>
        <v>0</v>
      </c>
      <c r="AN120" s="437">
        <f>'Pseudo-load coefficients'!AN535</f>
        <v>0</v>
      </c>
      <c r="AO120" s="437">
        <f>'Pseudo-load coefficients'!AO535</f>
        <v>3.5462173533088177E-2</v>
      </c>
      <c r="AP120" s="437">
        <f>'Pseudo-load coefficients'!AP535</f>
        <v>3.5462173533088177E-2</v>
      </c>
      <c r="BH120" s="136"/>
    </row>
    <row r="121" spans="5:60" x14ac:dyDescent="0.25">
      <c r="E121" s="74"/>
      <c r="F121" s="139" t="s">
        <v>51</v>
      </c>
      <c r="G121" s="167" t="s">
        <v>636</v>
      </c>
      <c r="H121" s="139"/>
      <c r="I121" s="139"/>
      <c r="J121" s="437">
        <f>'Pseudo-load coefficients'!J536</f>
        <v>0</v>
      </c>
      <c r="K121" s="437">
        <f>'Pseudo-load coefficients'!K536</f>
        <v>0</v>
      </c>
      <c r="L121" s="437">
        <f>'Pseudo-load coefficients'!L536</f>
        <v>0</v>
      </c>
      <c r="M121" s="437">
        <f>'Pseudo-load coefficients'!M536</f>
        <v>0</v>
      </c>
      <c r="N121" s="437">
        <f>'Pseudo-load coefficients'!N536</f>
        <v>0</v>
      </c>
      <c r="O121" s="437">
        <f>'Pseudo-load coefficients'!O536</f>
        <v>0</v>
      </c>
      <c r="P121" s="437">
        <f>'Pseudo-load coefficients'!P536</f>
        <v>0</v>
      </c>
      <c r="Q121" s="437">
        <f>'Pseudo-load coefficients'!Q536</f>
        <v>0</v>
      </c>
      <c r="R121" s="437">
        <f>'Pseudo-load coefficients'!R536</f>
        <v>0</v>
      </c>
      <c r="S121" s="437">
        <f>'Pseudo-load coefficients'!S536</f>
        <v>0</v>
      </c>
      <c r="T121" s="437">
        <f>'Pseudo-load coefficients'!T536</f>
        <v>0</v>
      </c>
      <c r="U121" s="437">
        <f>'Pseudo-load coefficients'!U536</f>
        <v>0</v>
      </c>
      <c r="V121" s="437">
        <f>'Pseudo-load coefficients'!V536</f>
        <v>0</v>
      </c>
      <c r="W121" s="437">
        <f>'Pseudo-load coefficients'!W536</f>
        <v>0</v>
      </c>
      <c r="X121" s="437">
        <f>'Pseudo-load coefficients'!X536</f>
        <v>0</v>
      </c>
      <c r="Y121" s="437">
        <f>'Pseudo-load coefficients'!Y536</f>
        <v>0</v>
      </c>
      <c r="Z121" s="437">
        <f>'Pseudo-load coefficients'!Z536</f>
        <v>0</v>
      </c>
      <c r="AA121" s="437">
        <f>'Pseudo-load coefficients'!AA536</f>
        <v>0</v>
      </c>
      <c r="AB121" s="437">
        <f>'Pseudo-load coefficients'!AB536</f>
        <v>0</v>
      </c>
      <c r="AC121" s="437">
        <f>'Pseudo-load coefficients'!AC536</f>
        <v>0</v>
      </c>
      <c r="AD121" s="437">
        <f>'Pseudo-load coefficients'!AD536</f>
        <v>0</v>
      </c>
      <c r="AE121" s="437">
        <f>'Pseudo-load coefficients'!AE536</f>
        <v>0</v>
      </c>
      <c r="AF121" s="437">
        <f>'Pseudo-load coefficients'!AF536</f>
        <v>0</v>
      </c>
      <c r="AG121" s="437">
        <f>'Pseudo-load coefficients'!AG536</f>
        <v>0</v>
      </c>
      <c r="AH121" s="437">
        <f>'Pseudo-load coefficients'!AH536</f>
        <v>0</v>
      </c>
      <c r="AI121" s="437">
        <f>'Pseudo-load coefficients'!AI536</f>
        <v>0</v>
      </c>
      <c r="AJ121" s="437">
        <f>'Pseudo-load coefficients'!AJ536</f>
        <v>0</v>
      </c>
      <c r="AK121" s="437">
        <f>'Pseudo-load coefficients'!AK536</f>
        <v>0</v>
      </c>
      <c r="AL121" s="437">
        <f>'Pseudo-load coefficients'!AL536</f>
        <v>0</v>
      </c>
      <c r="AM121" s="437">
        <f>'Pseudo-load coefficients'!AM536</f>
        <v>0</v>
      </c>
      <c r="AN121" s="437">
        <f>'Pseudo-load coefficients'!AN536</f>
        <v>0</v>
      </c>
      <c r="AO121" s="437">
        <f>'Pseudo-load coefficients'!AO536</f>
        <v>0</v>
      </c>
      <c r="AP121" s="437">
        <f>'Pseudo-load coefficients'!AP536</f>
        <v>0</v>
      </c>
      <c r="BH121" s="136"/>
    </row>
    <row r="122" spans="5:60" x14ac:dyDescent="0.25">
      <c r="E122" s="74"/>
      <c r="F122" s="139" t="s">
        <v>48</v>
      </c>
      <c r="G122" s="167" t="s">
        <v>636</v>
      </c>
      <c r="H122" s="139"/>
      <c r="I122" s="139"/>
      <c r="J122" s="437">
        <f>'Pseudo-load coefficients'!J537</f>
        <v>0</v>
      </c>
      <c r="K122" s="437">
        <f>'Pseudo-load coefficients'!K537</f>
        <v>0</v>
      </c>
      <c r="L122" s="437">
        <f>'Pseudo-load coefficients'!L537</f>
        <v>0</v>
      </c>
      <c r="M122" s="437">
        <f>'Pseudo-load coefficients'!M537</f>
        <v>0</v>
      </c>
      <c r="N122" s="437">
        <f>'Pseudo-load coefficients'!N537</f>
        <v>0</v>
      </c>
      <c r="O122" s="437">
        <f>'Pseudo-load coefficients'!O537</f>
        <v>0</v>
      </c>
      <c r="P122" s="437">
        <f>'Pseudo-load coefficients'!P537</f>
        <v>0</v>
      </c>
      <c r="Q122" s="437">
        <f>'Pseudo-load coefficients'!Q537</f>
        <v>0</v>
      </c>
      <c r="R122" s="437">
        <f>'Pseudo-load coefficients'!R537</f>
        <v>0</v>
      </c>
      <c r="S122" s="437">
        <f>'Pseudo-load coefficients'!S537</f>
        <v>0.11661995498397386</v>
      </c>
      <c r="T122" s="437">
        <f>'Pseudo-load coefficients'!T537</f>
        <v>0.12313514505468563</v>
      </c>
      <c r="U122" s="437">
        <f>'Pseudo-load coefficients'!U537</f>
        <v>9.2086292837554012E-2</v>
      </c>
      <c r="V122" s="437">
        <f>'Pseudo-load coefficients'!V537</f>
        <v>8.904541582774364E-2</v>
      </c>
      <c r="W122" s="437">
        <f>'Pseudo-load coefficients'!W537</f>
        <v>8.1002652098020184E-2</v>
      </c>
      <c r="X122" s="437">
        <f>'Pseudo-load coefficients'!X537</f>
        <v>0</v>
      </c>
      <c r="Y122" s="437">
        <f>'Pseudo-load coefficients'!Y537</f>
        <v>0</v>
      </c>
      <c r="Z122" s="437">
        <f>'Pseudo-load coefficients'!Z537</f>
        <v>0</v>
      </c>
      <c r="AA122" s="437">
        <f>'Pseudo-load coefficients'!AA537</f>
        <v>0</v>
      </c>
      <c r="AB122" s="437">
        <f>'Pseudo-load coefficients'!AB537</f>
        <v>7.1986886933253599E-2</v>
      </c>
      <c r="AC122" s="437">
        <f>'Pseudo-load coefficients'!AC537</f>
        <v>0</v>
      </c>
      <c r="AD122" s="437">
        <f>'Pseudo-load coefficients'!AD537</f>
        <v>0</v>
      </c>
      <c r="AE122" s="437">
        <f>'Pseudo-load coefficients'!AE537</f>
        <v>0</v>
      </c>
      <c r="AF122" s="437">
        <f>'Pseudo-load coefficients'!AF537</f>
        <v>0</v>
      </c>
      <c r="AG122" s="437">
        <f>'Pseudo-load coefficients'!AG537</f>
        <v>7.7248170481398148E-2</v>
      </c>
      <c r="AH122" s="437">
        <f>'Pseudo-load coefficients'!AH537</f>
        <v>7.7248170481398148E-2</v>
      </c>
      <c r="AI122" s="437">
        <f>'Pseudo-load coefficients'!AI537</f>
        <v>0</v>
      </c>
      <c r="AJ122" s="437">
        <f>'Pseudo-load coefficients'!AJ537</f>
        <v>0</v>
      </c>
      <c r="AK122" s="437">
        <f>'Pseudo-load coefficients'!AK537</f>
        <v>7.7248170481398148E-2</v>
      </c>
      <c r="AL122" s="437">
        <f>'Pseudo-load coefficients'!AL537</f>
        <v>7.7248170481398148E-2</v>
      </c>
      <c r="AM122" s="437">
        <f>'Pseudo-load coefficients'!AM537</f>
        <v>0</v>
      </c>
      <c r="AN122" s="437">
        <f>'Pseudo-load coefficients'!AN537</f>
        <v>0</v>
      </c>
      <c r="AO122" s="437">
        <f>'Pseudo-load coefficients'!AO537</f>
        <v>7.7248170481398148E-2</v>
      </c>
      <c r="AP122" s="437">
        <f>'Pseudo-load coefficients'!AP537</f>
        <v>7.7248170481398148E-2</v>
      </c>
      <c r="BH122" s="136"/>
    </row>
    <row r="123" spans="5:60" x14ac:dyDescent="0.25">
      <c r="E123" s="74"/>
      <c r="F123" s="139" t="s">
        <v>49</v>
      </c>
      <c r="G123" s="167" t="s">
        <v>636</v>
      </c>
      <c r="H123" s="139"/>
      <c r="I123" s="139"/>
      <c r="J123" s="437">
        <f>'Pseudo-load coefficients'!J538</f>
        <v>0</v>
      </c>
      <c r="K123" s="437">
        <f>'Pseudo-load coefficients'!K538</f>
        <v>0</v>
      </c>
      <c r="L123" s="437">
        <f>'Pseudo-load coefficients'!L538</f>
        <v>0</v>
      </c>
      <c r="M123" s="437">
        <f>'Pseudo-load coefficients'!M538</f>
        <v>0</v>
      </c>
      <c r="N123" s="437">
        <f>'Pseudo-load coefficients'!N538</f>
        <v>0</v>
      </c>
      <c r="O123" s="437">
        <f>'Pseudo-load coefficients'!O538</f>
        <v>0</v>
      </c>
      <c r="P123" s="437">
        <f>'Pseudo-load coefficients'!P538</f>
        <v>0</v>
      </c>
      <c r="Q123" s="437">
        <f>'Pseudo-load coefficients'!Q538</f>
        <v>0</v>
      </c>
      <c r="R123" s="437">
        <f>'Pseudo-load coefficients'!R538</f>
        <v>0</v>
      </c>
      <c r="S123" s="437">
        <f>'Pseudo-load coefficients'!S538</f>
        <v>0.11661995498397386</v>
      </c>
      <c r="T123" s="437">
        <f>'Pseudo-load coefficients'!T538</f>
        <v>0.12313514505468563</v>
      </c>
      <c r="U123" s="437">
        <f>'Pseudo-load coefficients'!U538</f>
        <v>9.2086292837554012E-2</v>
      </c>
      <c r="V123" s="437">
        <f>'Pseudo-load coefficients'!V538</f>
        <v>8.904541582774364E-2</v>
      </c>
      <c r="W123" s="437">
        <f>'Pseudo-load coefficients'!W538</f>
        <v>8.1002652098020184E-2</v>
      </c>
      <c r="X123" s="437">
        <f>'Pseudo-load coefficients'!X538</f>
        <v>0</v>
      </c>
      <c r="Y123" s="437">
        <f>'Pseudo-load coefficients'!Y538</f>
        <v>0</v>
      </c>
      <c r="Z123" s="437">
        <f>'Pseudo-load coefficients'!Z538</f>
        <v>0</v>
      </c>
      <c r="AA123" s="437">
        <f>'Pseudo-load coefficients'!AA538</f>
        <v>0</v>
      </c>
      <c r="AB123" s="437">
        <f>'Pseudo-load coefficients'!AB538</f>
        <v>7.1986886933253599E-2</v>
      </c>
      <c r="AC123" s="437">
        <f>'Pseudo-load coefficients'!AC538</f>
        <v>0</v>
      </c>
      <c r="AD123" s="437">
        <f>'Pseudo-load coefficients'!AD538</f>
        <v>0</v>
      </c>
      <c r="AE123" s="437">
        <f>'Pseudo-load coefficients'!AE538</f>
        <v>0</v>
      </c>
      <c r="AF123" s="437">
        <f>'Pseudo-load coefficients'!AF538</f>
        <v>0</v>
      </c>
      <c r="AG123" s="437">
        <f>'Pseudo-load coefficients'!AG538</f>
        <v>7.7248170481398148E-2</v>
      </c>
      <c r="AH123" s="437">
        <f>'Pseudo-load coefficients'!AH538</f>
        <v>7.7248170481398148E-2</v>
      </c>
      <c r="AI123" s="437">
        <f>'Pseudo-load coefficients'!AI538</f>
        <v>0</v>
      </c>
      <c r="AJ123" s="437">
        <f>'Pseudo-load coefficients'!AJ538</f>
        <v>0</v>
      </c>
      <c r="AK123" s="437">
        <f>'Pseudo-load coefficients'!AK538</f>
        <v>7.7248170481398148E-2</v>
      </c>
      <c r="AL123" s="437">
        <f>'Pseudo-load coefficients'!AL538</f>
        <v>7.7248170481398148E-2</v>
      </c>
      <c r="AM123" s="437">
        <f>'Pseudo-load coefficients'!AM538</f>
        <v>0</v>
      </c>
      <c r="AN123" s="437">
        <f>'Pseudo-load coefficients'!AN538</f>
        <v>0</v>
      </c>
      <c r="AO123" s="437">
        <f>'Pseudo-load coefficients'!AO538</f>
        <v>7.7248170481398148E-2</v>
      </c>
      <c r="AP123" s="437">
        <f>'Pseudo-load coefficients'!AP538</f>
        <v>7.7248170481398148E-2</v>
      </c>
      <c r="BH123" s="136"/>
    </row>
    <row r="124" spans="5:60" x14ac:dyDescent="0.25">
      <c r="E124" s="74"/>
      <c r="F124" s="140" t="s">
        <v>50</v>
      </c>
      <c r="G124" s="168" t="s">
        <v>636</v>
      </c>
      <c r="H124" s="140"/>
      <c r="I124" s="140"/>
      <c r="J124" s="440">
        <f>'Pseudo-load coefficients'!J539</f>
        <v>0</v>
      </c>
      <c r="K124" s="440">
        <f>'Pseudo-load coefficients'!K539</f>
        <v>0</v>
      </c>
      <c r="L124" s="440">
        <f>'Pseudo-load coefficients'!L539</f>
        <v>0</v>
      </c>
      <c r="M124" s="440">
        <f>'Pseudo-load coefficients'!M539</f>
        <v>0</v>
      </c>
      <c r="N124" s="440">
        <f>'Pseudo-load coefficients'!N539</f>
        <v>0</v>
      </c>
      <c r="O124" s="440">
        <f>'Pseudo-load coefficients'!O539</f>
        <v>0</v>
      </c>
      <c r="P124" s="440">
        <f>'Pseudo-load coefficients'!P539</f>
        <v>0</v>
      </c>
      <c r="Q124" s="440">
        <f>'Pseudo-load coefficients'!Q539</f>
        <v>0</v>
      </c>
      <c r="R124" s="440">
        <f>'Pseudo-load coefficients'!R539</f>
        <v>0</v>
      </c>
      <c r="S124" s="440">
        <f>'Pseudo-load coefficients'!S539</f>
        <v>0.11661995498397386</v>
      </c>
      <c r="T124" s="440">
        <f>'Pseudo-load coefficients'!T539</f>
        <v>0.12313514505468563</v>
      </c>
      <c r="U124" s="440">
        <f>'Pseudo-load coefficients'!U539</f>
        <v>9.2086292837554012E-2</v>
      </c>
      <c r="V124" s="440">
        <f>'Pseudo-load coefficients'!V539</f>
        <v>8.904541582774364E-2</v>
      </c>
      <c r="W124" s="440">
        <f>'Pseudo-load coefficients'!W539</f>
        <v>8.1002652098020184E-2</v>
      </c>
      <c r="X124" s="440">
        <f>'Pseudo-load coefficients'!X539</f>
        <v>0</v>
      </c>
      <c r="Y124" s="440">
        <f>'Pseudo-load coefficients'!Y539</f>
        <v>0</v>
      </c>
      <c r="Z124" s="440">
        <f>'Pseudo-load coefficients'!Z539</f>
        <v>0</v>
      </c>
      <c r="AA124" s="440">
        <f>'Pseudo-load coefficients'!AA539</f>
        <v>0</v>
      </c>
      <c r="AB124" s="440">
        <f>'Pseudo-load coefficients'!AB539</f>
        <v>7.1986886933253599E-2</v>
      </c>
      <c r="AC124" s="440">
        <f>'Pseudo-load coefficients'!AC539</f>
        <v>0</v>
      </c>
      <c r="AD124" s="440">
        <f>'Pseudo-load coefficients'!AD539</f>
        <v>0</v>
      </c>
      <c r="AE124" s="440">
        <f>'Pseudo-load coefficients'!AE539</f>
        <v>0</v>
      </c>
      <c r="AF124" s="440">
        <f>'Pseudo-load coefficients'!AF539</f>
        <v>0</v>
      </c>
      <c r="AG124" s="440">
        <f>'Pseudo-load coefficients'!AG539</f>
        <v>7.7248170481398148E-2</v>
      </c>
      <c r="AH124" s="440">
        <f>'Pseudo-load coefficients'!AH539</f>
        <v>7.7248170481398148E-2</v>
      </c>
      <c r="AI124" s="440">
        <f>'Pseudo-load coefficients'!AI539</f>
        <v>0</v>
      </c>
      <c r="AJ124" s="440">
        <f>'Pseudo-load coefficients'!AJ539</f>
        <v>0</v>
      </c>
      <c r="AK124" s="440">
        <f>'Pseudo-load coefficients'!AK539</f>
        <v>7.7248170481398148E-2</v>
      </c>
      <c r="AL124" s="440">
        <f>'Pseudo-load coefficients'!AL539</f>
        <v>7.7248170481398148E-2</v>
      </c>
      <c r="AM124" s="440">
        <f>'Pseudo-load coefficients'!AM539</f>
        <v>0</v>
      </c>
      <c r="AN124" s="440">
        <f>'Pseudo-load coefficients'!AN539</f>
        <v>0</v>
      </c>
      <c r="AO124" s="440">
        <f>'Pseudo-load coefficients'!AO539</f>
        <v>7.7248170481398148E-2</v>
      </c>
      <c r="AP124" s="440">
        <f>'Pseudo-load coefficients'!AP539</f>
        <v>7.7248170481398148E-2</v>
      </c>
      <c r="BH124" s="136"/>
    </row>
    <row r="125" spans="5:60" x14ac:dyDescent="0.25">
      <c r="E125" s="74"/>
      <c r="F125" s="139"/>
      <c r="G125" s="139"/>
      <c r="H125" s="139"/>
      <c r="I125" s="139"/>
      <c r="J125" s="435"/>
      <c r="K125" s="435"/>
      <c r="L125" s="435"/>
      <c r="M125" s="435"/>
      <c r="N125" s="435"/>
      <c r="O125" s="435"/>
      <c r="P125" s="416"/>
      <c r="Q125" s="416"/>
      <c r="R125" s="416"/>
      <c r="S125" s="416"/>
      <c r="T125" s="416"/>
      <c r="U125" s="416"/>
      <c r="V125" s="416"/>
      <c r="W125" s="416"/>
      <c r="X125" s="416"/>
      <c r="Y125" s="416"/>
      <c r="Z125" s="416"/>
      <c r="AA125" s="416"/>
      <c r="AB125" s="416"/>
      <c r="AC125" s="416"/>
      <c r="AD125" s="416"/>
      <c r="AE125" s="416"/>
      <c r="AF125" s="416"/>
      <c r="AG125" s="416"/>
      <c r="AH125" s="416"/>
      <c r="AI125" s="416"/>
      <c r="AJ125" s="416"/>
      <c r="AK125" s="416"/>
      <c r="AL125" s="416"/>
      <c r="AM125" s="416"/>
      <c r="AN125" s="416"/>
      <c r="AO125" s="416"/>
      <c r="AP125" s="416"/>
      <c r="BH125" s="136"/>
    </row>
    <row r="126" spans="5:60" x14ac:dyDescent="0.25">
      <c r="E126" s="74" t="s">
        <v>741</v>
      </c>
      <c r="F126" s="139"/>
      <c r="G126" s="139"/>
      <c r="H126" s="139"/>
      <c r="I126" s="139"/>
      <c r="J126" s="435"/>
      <c r="K126" s="435"/>
      <c r="L126" s="435"/>
      <c r="M126" s="435"/>
      <c r="N126" s="435"/>
      <c r="O126" s="435"/>
      <c r="P126" s="416"/>
      <c r="Q126" s="416"/>
      <c r="R126" s="416"/>
      <c r="S126" s="416"/>
      <c r="T126" s="416"/>
      <c r="U126" s="416"/>
      <c r="V126" s="416"/>
      <c r="W126" s="416"/>
      <c r="X126" s="416"/>
      <c r="Y126" s="416"/>
      <c r="Z126" s="416"/>
      <c r="AA126" s="416"/>
      <c r="AB126" s="416"/>
      <c r="AC126" s="416"/>
      <c r="AD126" s="416"/>
      <c r="AE126" s="416"/>
      <c r="AF126" s="416"/>
      <c r="AG126" s="416"/>
      <c r="AH126" s="416"/>
      <c r="AI126" s="416"/>
      <c r="AJ126" s="416"/>
      <c r="AK126" s="416"/>
      <c r="AL126" s="416"/>
      <c r="AM126" s="416"/>
      <c r="AN126" s="416"/>
      <c r="AO126" s="416"/>
      <c r="AP126" s="416"/>
      <c r="BH126" s="136"/>
    </row>
    <row r="127" spans="5:60" s="160" customFormat="1" x14ac:dyDescent="0.25">
      <c r="E127" s="152" t="s">
        <v>513</v>
      </c>
      <c r="F127" s="167"/>
      <c r="G127" s="167"/>
      <c r="H127" s="167"/>
      <c r="I127" s="167"/>
      <c r="J127" s="435"/>
      <c r="K127" s="435"/>
      <c r="L127" s="435"/>
      <c r="M127" s="435"/>
      <c r="N127" s="435"/>
      <c r="O127" s="435"/>
      <c r="P127" s="435"/>
      <c r="Q127" s="435"/>
      <c r="R127" s="435"/>
      <c r="S127" s="435"/>
      <c r="T127" s="435"/>
      <c r="U127" s="435"/>
      <c r="V127" s="435"/>
      <c r="W127" s="435"/>
      <c r="X127" s="435"/>
      <c r="Y127" s="435"/>
      <c r="Z127" s="435"/>
      <c r="AA127" s="435"/>
      <c r="AB127" s="435"/>
      <c r="AC127" s="435"/>
      <c r="AD127" s="435"/>
      <c r="AE127" s="435"/>
      <c r="AF127" s="435"/>
      <c r="AG127" s="435"/>
      <c r="AH127" s="435"/>
      <c r="AI127" s="435"/>
      <c r="AJ127" s="435"/>
      <c r="AK127" s="435"/>
      <c r="AL127" s="435"/>
      <c r="AM127" s="435"/>
      <c r="AN127" s="435"/>
      <c r="AO127" s="435"/>
      <c r="AP127" s="435"/>
      <c r="BH127" s="163"/>
    </row>
    <row r="128" spans="5:60" x14ac:dyDescent="0.25">
      <c r="E128" s="74"/>
      <c r="F128" s="137" t="s">
        <v>43</v>
      </c>
      <c r="G128" s="137" t="s">
        <v>119</v>
      </c>
      <c r="H128" s="137"/>
      <c r="I128" s="137"/>
      <c r="J128" s="443">
        <f t="shared" ref="J128:AP128" si="19">J$58 * J34 * J116 / hours_in_year / $H45</f>
        <v>0</v>
      </c>
      <c r="K128" s="443">
        <f t="shared" si="19"/>
        <v>0</v>
      </c>
      <c r="L128" s="443">
        <f t="shared" si="19"/>
        <v>0</v>
      </c>
      <c r="M128" s="443">
        <f t="shared" si="19"/>
        <v>0</v>
      </c>
      <c r="N128" s="443">
        <f t="shared" si="19"/>
        <v>0</v>
      </c>
      <c r="O128" s="443">
        <f t="shared" si="19"/>
        <v>0</v>
      </c>
      <c r="P128" s="443">
        <f t="shared" si="19"/>
        <v>0</v>
      </c>
      <c r="Q128" s="443">
        <f t="shared" si="19"/>
        <v>0</v>
      </c>
      <c r="R128" s="443">
        <f t="shared" si="19"/>
        <v>0</v>
      </c>
      <c r="S128" s="443">
        <f t="shared" si="19"/>
        <v>0</v>
      </c>
      <c r="T128" s="443">
        <f t="shared" si="19"/>
        <v>0</v>
      </c>
      <c r="U128" s="443">
        <f t="shared" si="19"/>
        <v>0</v>
      </c>
      <c r="V128" s="443">
        <f t="shared" si="19"/>
        <v>0</v>
      </c>
      <c r="W128" s="443">
        <f t="shared" si="19"/>
        <v>0</v>
      </c>
      <c r="X128" s="443">
        <f t="shared" si="19"/>
        <v>0</v>
      </c>
      <c r="Y128" s="443">
        <f t="shared" si="19"/>
        <v>0</v>
      </c>
      <c r="Z128" s="443">
        <f t="shared" si="19"/>
        <v>0</v>
      </c>
      <c r="AA128" s="443">
        <f t="shared" si="19"/>
        <v>0</v>
      </c>
      <c r="AB128" s="443">
        <f t="shared" si="19"/>
        <v>0</v>
      </c>
      <c r="AC128" s="443">
        <f t="shared" si="19"/>
        <v>0</v>
      </c>
      <c r="AD128" s="443">
        <f t="shared" si="19"/>
        <v>0</v>
      </c>
      <c r="AE128" s="443">
        <f t="shared" si="19"/>
        <v>0</v>
      </c>
      <c r="AF128" s="443">
        <f t="shared" si="19"/>
        <v>0</v>
      </c>
      <c r="AG128" s="443">
        <f t="shared" si="19"/>
        <v>0</v>
      </c>
      <c r="AH128" s="443">
        <f t="shared" si="19"/>
        <v>0</v>
      </c>
      <c r="AI128" s="443">
        <f t="shared" si="19"/>
        <v>0</v>
      </c>
      <c r="AJ128" s="443">
        <f t="shared" si="19"/>
        <v>0</v>
      </c>
      <c r="AK128" s="443">
        <f t="shared" si="19"/>
        <v>0</v>
      </c>
      <c r="AL128" s="443">
        <f t="shared" si="19"/>
        <v>0</v>
      </c>
      <c r="AM128" s="443">
        <f t="shared" si="19"/>
        <v>0</v>
      </c>
      <c r="AN128" s="443">
        <f t="shared" si="19"/>
        <v>0</v>
      </c>
      <c r="AO128" s="443">
        <f t="shared" si="19"/>
        <v>0</v>
      </c>
      <c r="AP128" s="443">
        <f t="shared" si="19"/>
        <v>0</v>
      </c>
      <c r="BH128" s="136"/>
    </row>
    <row r="129" spans="3:60" x14ac:dyDescent="0.25">
      <c r="E129" s="74"/>
      <c r="F129" s="139" t="s">
        <v>44</v>
      </c>
      <c r="G129" s="139" t="s">
        <v>119</v>
      </c>
      <c r="H129" s="139"/>
      <c r="I129" s="139"/>
      <c r="J129" s="435">
        <f t="shared" ref="J129:AP129" si="20">J$58 * J35 * J117 / hours_in_year / $H46</f>
        <v>0</v>
      </c>
      <c r="K129" s="435">
        <f t="shared" si="20"/>
        <v>0</v>
      </c>
      <c r="L129" s="435">
        <f t="shared" si="20"/>
        <v>0</v>
      </c>
      <c r="M129" s="435">
        <f t="shared" si="20"/>
        <v>0</v>
      </c>
      <c r="N129" s="435">
        <f t="shared" si="20"/>
        <v>0</v>
      </c>
      <c r="O129" s="435">
        <f t="shared" si="20"/>
        <v>0</v>
      </c>
      <c r="P129" s="435">
        <f t="shared" si="20"/>
        <v>0</v>
      </c>
      <c r="Q129" s="435">
        <f t="shared" si="20"/>
        <v>0</v>
      </c>
      <c r="R129" s="435">
        <f t="shared" si="20"/>
        <v>0</v>
      </c>
      <c r="S129" s="435">
        <f t="shared" si="20"/>
        <v>1.7228540067448419E-2</v>
      </c>
      <c r="T129" s="435">
        <f t="shared" si="20"/>
        <v>0.10449410144839937</v>
      </c>
      <c r="U129" s="435">
        <f t="shared" si="20"/>
        <v>1.7195533013790301</v>
      </c>
      <c r="V129" s="435">
        <f t="shared" si="20"/>
        <v>0.11465413733936575</v>
      </c>
      <c r="W129" s="435">
        <f t="shared" si="20"/>
        <v>1.3403400530199998</v>
      </c>
      <c r="X129" s="435">
        <f t="shared" si="20"/>
        <v>0</v>
      </c>
      <c r="Y129" s="435">
        <f t="shared" si="20"/>
        <v>0</v>
      </c>
      <c r="Z129" s="435">
        <f t="shared" si="20"/>
        <v>0</v>
      </c>
      <c r="AA129" s="435">
        <f t="shared" si="20"/>
        <v>0</v>
      </c>
      <c r="AB129" s="435">
        <f t="shared" si="20"/>
        <v>9.7381036451284791E-2</v>
      </c>
      <c r="AC129" s="435">
        <f t="shared" si="20"/>
        <v>0</v>
      </c>
      <c r="AD129" s="435">
        <f t="shared" si="20"/>
        <v>0</v>
      </c>
      <c r="AE129" s="435">
        <f t="shared" si="20"/>
        <v>0</v>
      </c>
      <c r="AF129" s="435">
        <f t="shared" si="20"/>
        <v>0</v>
      </c>
      <c r="AG129" s="435">
        <f t="shared" si="20"/>
        <v>-8.5642007756984023E-3</v>
      </c>
      <c r="AH129" s="435">
        <f t="shared" si="20"/>
        <v>0</v>
      </c>
      <c r="AI129" s="435">
        <f t="shared" si="20"/>
        <v>0</v>
      </c>
      <c r="AJ129" s="435">
        <f t="shared" si="20"/>
        <v>0</v>
      </c>
      <c r="AK129" s="435">
        <f t="shared" si="20"/>
        <v>0</v>
      </c>
      <c r="AL129" s="435">
        <f t="shared" si="20"/>
        <v>0</v>
      </c>
      <c r="AM129" s="435">
        <f t="shared" si="20"/>
        <v>0</v>
      </c>
      <c r="AN129" s="435">
        <f t="shared" si="20"/>
        <v>0</v>
      </c>
      <c r="AO129" s="435">
        <f t="shared" si="20"/>
        <v>-0.16678548399003876</v>
      </c>
      <c r="AP129" s="435">
        <f t="shared" si="20"/>
        <v>0</v>
      </c>
      <c r="BH129" s="136"/>
    </row>
    <row r="130" spans="3:60" x14ac:dyDescent="0.25">
      <c r="E130" s="74"/>
      <c r="F130" s="139" t="s">
        <v>45</v>
      </c>
      <c r="G130" s="139" t="s">
        <v>119</v>
      </c>
      <c r="H130" s="139"/>
      <c r="I130" s="139"/>
      <c r="J130" s="435">
        <f t="shared" ref="J130:AP130" si="21">J$58 * J36 * J118 / hours_in_year / $H47</f>
        <v>0</v>
      </c>
      <c r="K130" s="435">
        <f t="shared" si="21"/>
        <v>0</v>
      </c>
      <c r="L130" s="435">
        <f t="shared" si="21"/>
        <v>0</v>
      </c>
      <c r="M130" s="435">
        <f t="shared" si="21"/>
        <v>0</v>
      </c>
      <c r="N130" s="435">
        <f t="shared" si="21"/>
        <v>0</v>
      </c>
      <c r="O130" s="435">
        <f t="shared" si="21"/>
        <v>0</v>
      </c>
      <c r="P130" s="435">
        <f t="shared" si="21"/>
        <v>0</v>
      </c>
      <c r="Q130" s="435">
        <f t="shared" si="21"/>
        <v>0</v>
      </c>
      <c r="R130" s="435">
        <f t="shared" si="21"/>
        <v>0</v>
      </c>
      <c r="S130" s="435">
        <f t="shared" si="21"/>
        <v>1.717726465058101E-2</v>
      </c>
      <c r="T130" s="435">
        <f t="shared" si="21"/>
        <v>0.10418310709885054</v>
      </c>
      <c r="U130" s="435">
        <f t="shared" si="21"/>
        <v>1.7144355832201639</v>
      </c>
      <c r="V130" s="435">
        <f t="shared" si="21"/>
        <v>0.11431290478776047</v>
      </c>
      <c r="W130" s="435">
        <f t="shared" si="21"/>
        <v>1.3363509457193448</v>
      </c>
      <c r="X130" s="435">
        <f t="shared" si="21"/>
        <v>0</v>
      </c>
      <c r="Y130" s="435">
        <f t="shared" si="21"/>
        <v>0</v>
      </c>
      <c r="Z130" s="435">
        <f t="shared" si="21"/>
        <v>0</v>
      </c>
      <c r="AA130" s="435">
        <f t="shared" si="21"/>
        <v>0</v>
      </c>
      <c r="AB130" s="435">
        <f t="shared" si="21"/>
        <v>9.7091211938036909E-2</v>
      </c>
      <c r="AC130" s="435">
        <f t="shared" si="21"/>
        <v>0</v>
      </c>
      <c r="AD130" s="435">
        <f t="shared" si="21"/>
        <v>0</v>
      </c>
      <c r="AE130" s="435">
        <f t="shared" si="21"/>
        <v>0</v>
      </c>
      <c r="AF130" s="435">
        <f t="shared" si="21"/>
        <v>0</v>
      </c>
      <c r="AG130" s="435">
        <f t="shared" si="21"/>
        <v>-8.5387120829135844E-3</v>
      </c>
      <c r="AH130" s="435">
        <f t="shared" si="21"/>
        <v>0</v>
      </c>
      <c r="AI130" s="435">
        <f t="shared" si="21"/>
        <v>0</v>
      </c>
      <c r="AJ130" s="435">
        <f t="shared" si="21"/>
        <v>0</v>
      </c>
      <c r="AK130" s="435">
        <f t="shared" si="21"/>
        <v>0</v>
      </c>
      <c r="AL130" s="435">
        <f t="shared" si="21"/>
        <v>0</v>
      </c>
      <c r="AM130" s="435">
        <f t="shared" si="21"/>
        <v>0</v>
      </c>
      <c r="AN130" s="435">
        <f t="shared" si="21"/>
        <v>0</v>
      </c>
      <c r="AO130" s="435">
        <f t="shared" si="21"/>
        <v>-0.16628909862102076</v>
      </c>
      <c r="AP130" s="435">
        <f t="shared" si="21"/>
        <v>0</v>
      </c>
      <c r="BH130" s="136"/>
    </row>
    <row r="131" spans="3:60" x14ac:dyDescent="0.25">
      <c r="E131" s="74"/>
      <c r="F131" s="139" t="s">
        <v>46</v>
      </c>
      <c r="G131" s="139" t="s">
        <v>119</v>
      </c>
      <c r="H131" s="139"/>
      <c r="I131" s="139"/>
      <c r="J131" s="435">
        <f t="shared" ref="J131:AP131" si="22">J$58 * J37 * J119 / hours_in_year / $H48</f>
        <v>0</v>
      </c>
      <c r="K131" s="435">
        <f t="shared" si="22"/>
        <v>0</v>
      </c>
      <c r="L131" s="435">
        <f t="shared" si="22"/>
        <v>0</v>
      </c>
      <c r="M131" s="435">
        <f t="shared" si="22"/>
        <v>0</v>
      </c>
      <c r="N131" s="435">
        <f t="shared" si="22"/>
        <v>0</v>
      </c>
      <c r="O131" s="435">
        <f t="shared" si="22"/>
        <v>0</v>
      </c>
      <c r="P131" s="435">
        <f t="shared" si="22"/>
        <v>0</v>
      </c>
      <c r="Q131" s="435">
        <f t="shared" si="22"/>
        <v>0</v>
      </c>
      <c r="R131" s="435">
        <f t="shared" si="22"/>
        <v>0</v>
      </c>
      <c r="S131" s="435">
        <f t="shared" si="22"/>
        <v>9.6696711947201724E-2</v>
      </c>
      <c r="T131" s="435">
        <f t="shared" si="22"/>
        <v>0.58658676089279882</v>
      </c>
      <c r="U131" s="435">
        <f t="shared" si="22"/>
        <v>9.6557500318136764</v>
      </c>
      <c r="V131" s="435">
        <f t="shared" si="22"/>
        <v>0.64381353539568231</v>
      </c>
      <c r="W131" s="435">
        <f t="shared" si="22"/>
        <v>7.5263665855602859</v>
      </c>
      <c r="X131" s="435">
        <f t="shared" si="22"/>
        <v>0</v>
      </c>
      <c r="Y131" s="435">
        <f t="shared" si="22"/>
        <v>0</v>
      </c>
      <c r="Z131" s="435">
        <f t="shared" si="22"/>
        <v>0</v>
      </c>
      <c r="AA131" s="435">
        <f t="shared" si="22"/>
        <v>0</v>
      </c>
      <c r="AB131" s="435">
        <f t="shared" si="22"/>
        <v>0.546820470792304</v>
      </c>
      <c r="AC131" s="435">
        <f t="shared" si="22"/>
        <v>0</v>
      </c>
      <c r="AD131" s="435">
        <f t="shared" si="22"/>
        <v>0</v>
      </c>
      <c r="AE131" s="435">
        <f t="shared" si="22"/>
        <v>0</v>
      </c>
      <c r="AF131" s="435">
        <f t="shared" si="22"/>
        <v>0</v>
      </c>
      <c r="AG131" s="435">
        <f t="shared" si="22"/>
        <v>-4.8090269633451116E-2</v>
      </c>
      <c r="AH131" s="435">
        <f t="shared" si="22"/>
        <v>0</v>
      </c>
      <c r="AI131" s="435">
        <f t="shared" si="22"/>
        <v>0</v>
      </c>
      <c r="AJ131" s="435">
        <f t="shared" si="22"/>
        <v>0</v>
      </c>
      <c r="AK131" s="435">
        <f t="shared" si="22"/>
        <v>0</v>
      </c>
      <c r="AL131" s="435">
        <f t="shared" si="22"/>
        <v>0</v>
      </c>
      <c r="AM131" s="435">
        <f t="shared" si="22"/>
        <v>0</v>
      </c>
      <c r="AN131" s="435">
        <f t="shared" si="22"/>
        <v>0</v>
      </c>
      <c r="AO131" s="435">
        <f t="shared" si="22"/>
        <v>-0.93654493934637129</v>
      </c>
      <c r="AP131" s="435">
        <f t="shared" si="22"/>
        <v>0</v>
      </c>
      <c r="BH131" s="136"/>
    </row>
    <row r="132" spans="3:60" x14ac:dyDescent="0.25">
      <c r="E132" s="74"/>
      <c r="F132" s="139" t="s">
        <v>47</v>
      </c>
      <c r="G132" s="139" t="s">
        <v>119</v>
      </c>
      <c r="H132" s="139"/>
      <c r="I132" s="139"/>
      <c r="J132" s="435">
        <f t="shared" ref="J132:AP132" si="23">J$58 * J38 * J120 / hours_in_year / $H49</f>
        <v>0</v>
      </c>
      <c r="K132" s="435">
        <f t="shared" si="23"/>
        <v>0</v>
      </c>
      <c r="L132" s="435">
        <f t="shared" si="23"/>
        <v>0</v>
      </c>
      <c r="M132" s="435">
        <f t="shared" si="23"/>
        <v>0</v>
      </c>
      <c r="N132" s="435">
        <f t="shared" si="23"/>
        <v>0</v>
      </c>
      <c r="O132" s="435">
        <f t="shared" si="23"/>
        <v>0</v>
      </c>
      <c r="P132" s="435">
        <f t="shared" si="23"/>
        <v>0</v>
      </c>
      <c r="Q132" s="435">
        <f t="shared" si="23"/>
        <v>0</v>
      </c>
      <c r="R132" s="435">
        <f t="shared" si="23"/>
        <v>0</v>
      </c>
      <c r="S132" s="435">
        <f t="shared" si="23"/>
        <v>9.6223172711417199E-2</v>
      </c>
      <c r="T132" s="435">
        <f t="shared" si="23"/>
        <v>0.58371415187765296</v>
      </c>
      <c r="U132" s="435">
        <f t="shared" si="23"/>
        <v>9.6084642823924558</v>
      </c>
      <c r="V132" s="435">
        <f t="shared" si="23"/>
        <v>0.64066067772968982</v>
      </c>
      <c r="W132" s="435">
        <f t="shared" si="23"/>
        <v>7.4895087668259066</v>
      </c>
      <c r="X132" s="435">
        <f t="shared" si="23"/>
        <v>0</v>
      </c>
      <c r="Y132" s="435">
        <f t="shared" si="23"/>
        <v>0</v>
      </c>
      <c r="Z132" s="435">
        <f t="shared" si="23"/>
        <v>0</v>
      </c>
      <c r="AA132" s="435">
        <f t="shared" si="23"/>
        <v>0</v>
      </c>
      <c r="AB132" s="435">
        <f t="shared" si="23"/>
        <v>0.54414260364836531</v>
      </c>
      <c r="AC132" s="435">
        <f t="shared" si="23"/>
        <v>0</v>
      </c>
      <c r="AD132" s="435">
        <f t="shared" si="23"/>
        <v>0</v>
      </c>
      <c r="AE132" s="435">
        <f t="shared" si="23"/>
        <v>0</v>
      </c>
      <c r="AF132" s="435">
        <f t="shared" si="23"/>
        <v>0</v>
      </c>
      <c r="AG132" s="435">
        <f t="shared" si="23"/>
        <v>-4.7854763905569385E-2</v>
      </c>
      <c r="AH132" s="435">
        <f t="shared" si="23"/>
        <v>0</v>
      </c>
      <c r="AI132" s="435">
        <f t="shared" si="23"/>
        <v>0</v>
      </c>
      <c r="AJ132" s="435">
        <f t="shared" si="23"/>
        <v>0</v>
      </c>
      <c r="AK132" s="435">
        <f t="shared" si="23"/>
        <v>0</v>
      </c>
      <c r="AL132" s="435">
        <f t="shared" si="23"/>
        <v>0</v>
      </c>
      <c r="AM132" s="435">
        <f t="shared" si="23"/>
        <v>0</v>
      </c>
      <c r="AN132" s="435">
        <f t="shared" si="23"/>
        <v>0</v>
      </c>
      <c r="AO132" s="435">
        <f t="shared" si="23"/>
        <v>-0.93195852926142342</v>
      </c>
      <c r="AP132" s="435">
        <f t="shared" si="23"/>
        <v>0</v>
      </c>
      <c r="BH132" s="136"/>
    </row>
    <row r="133" spans="3:60" x14ac:dyDescent="0.25">
      <c r="E133" s="74"/>
      <c r="F133" s="139" t="s">
        <v>51</v>
      </c>
      <c r="G133" s="139" t="s">
        <v>119</v>
      </c>
      <c r="H133" s="139"/>
      <c r="I133" s="139"/>
      <c r="J133" s="435">
        <f t="shared" ref="J133:AP133" si="24">J$58 * J39 * J121 / hours_in_year / $H50</f>
        <v>0</v>
      </c>
      <c r="K133" s="435">
        <f t="shared" si="24"/>
        <v>0</v>
      </c>
      <c r="L133" s="435">
        <f t="shared" si="24"/>
        <v>0</v>
      </c>
      <c r="M133" s="435">
        <f t="shared" si="24"/>
        <v>0</v>
      </c>
      <c r="N133" s="435">
        <f t="shared" si="24"/>
        <v>0</v>
      </c>
      <c r="O133" s="435">
        <f t="shared" si="24"/>
        <v>0</v>
      </c>
      <c r="P133" s="435">
        <f t="shared" si="24"/>
        <v>0</v>
      </c>
      <c r="Q133" s="435">
        <f t="shared" si="24"/>
        <v>0</v>
      </c>
      <c r="R133" s="435">
        <f t="shared" si="24"/>
        <v>0</v>
      </c>
      <c r="S133" s="435">
        <f t="shared" si="24"/>
        <v>0</v>
      </c>
      <c r="T133" s="435">
        <f t="shared" si="24"/>
        <v>0</v>
      </c>
      <c r="U133" s="435">
        <f t="shared" si="24"/>
        <v>0</v>
      </c>
      <c r="V133" s="435">
        <f t="shared" si="24"/>
        <v>0</v>
      </c>
      <c r="W133" s="435">
        <f t="shared" si="24"/>
        <v>0</v>
      </c>
      <c r="X133" s="435">
        <f t="shared" si="24"/>
        <v>0</v>
      </c>
      <c r="Y133" s="435">
        <f t="shared" si="24"/>
        <v>0</v>
      </c>
      <c r="Z133" s="435">
        <f t="shared" si="24"/>
        <v>0</v>
      </c>
      <c r="AA133" s="435">
        <f t="shared" si="24"/>
        <v>0</v>
      </c>
      <c r="AB133" s="435">
        <f t="shared" si="24"/>
        <v>0</v>
      </c>
      <c r="AC133" s="435">
        <f t="shared" si="24"/>
        <v>0</v>
      </c>
      <c r="AD133" s="435">
        <f t="shared" si="24"/>
        <v>0</v>
      </c>
      <c r="AE133" s="435">
        <f t="shared" si="24"/>
        <v>0</v>
      </c>
      <c r="AF133" s="435">
        <f t="shared" si="24"/>
        <v>0</v>
      </c>
      <c r="AG133" s="435">
        <f t="shared" si="24"/>
        <v>0</v>
      </c>
      <c r="AH133" s="435">
        <f t="shared" si="24"/>
        <v>0</v>
      </c>
      <c r="AI133" s="435">
        <f t="shared" si="24"/>
        <v>0</v>
      </c>
      <c r="AJ133" s="435">
        <f t="shared" si="24"/>
        <v>0</v>
      </c>
      <c r="AK133" s="435">
        <f t="shared" si="24"/>
        <v>0</v>
      </c>
      <c r="AL133" s="435">
        <f t="shared" si="24"/>
        <v>0</v>
      </c>
      <c r="AM133" s="435">
        <f t="shared" si="24"/>
        <v>0</v>
      </c>
      <c r="AN133" s="435">
        <f t="shared" si="24"/>
        <v>0</v>
      </c>
      <c r="AO133" s="435">
        <f t="shared" si="24"/>
        <v>0</v>
      </c>
      <c r="AP133" s="435">
        <f t="shared" si="24"/>
        <v>0</v>
      </c>
      <c r="BH133" s="136"/>
    </row>
    <row r="134" spans="3:60" x14ac:dyDescent="0.25">
      <c r="E134" s="74"/>
      <c r="F134" s="139" t="s">
        <v>48</v>
      </c>
      <c r="G134" s="139" t="s">
        <v>119</v>
      </c>
      <c r="H134" s="139"/>
      <c r="I134" s="139"/>
      <c r="J134" s="435">
        <f t="shared" ref="J134:AP134" si="25">J$58 * J40 * J122 / hours_in_year / $H51</f>
        <v>0</v>
      </c>
      <c r="K134" s="435">
        <f t="shared" si="25"/>
        <v>0</v>
      </c>
      <c r="L134" s="435">
        <f t="shared" si="25"/>
        <v>0</v>
      </c>
      <c r="M134" s="435">
        <f t="shared" si="25"/>
        <v>0</v>
      </c>
      <c r="N134" s="435">
        <f t="shared" si="25"/>
        <v>0</v>
      </c>
      <c r="O134" s="435">
        <f t="shared" si="25"/>
        <v>0</v>
      </c>
      <c r="P134" s="435">
        <f t="shared" si="25"/>
        <v>0</v>
      </c>
      <c r="Q134" s="435">
        <f t="shared" si="25"/>
        <v>0</v>
      </c>
      <c r="R134" s="435">
        <f t="shared" si="25"/>
        <v>0</v>
      </c>
      <c r="S134" s="435">
        <f t="shared" si="25"/>
        <v>0.20743041261980696</v>
      </c>
      <c r="T134" s="435">
        <f t="shared" si="25"/>
        <v>1.2587249376593697</v>
      </c>
      <c r="U134" s="435">
        <f t="shared" si="25"/>
        <v>20.727356100284947</v>
      </c>
      <c r="V134" s="435">
        <f t="shared" si="25"/>
        <v>1.3820316771211147</v>
      </c>
      <c r="W134" s="435">
        <f t="shared" si="25"/>
        <v>16.156350345255508</v>
      </c>
      <c r="X134" s="435">
        <f t="shared" si="25"/>
        <v>0</v>
      </c>
      <c r="Y134" s="435">
        <f t="shared" si="25"/>
        <v>0</v>
      </c>
      <c r="Z134" s="435">
        <f t="shared" si="25"/>
        <v>0</v>
      </c>
      <c r="AA134" s="435">
        <f t="shared" si="25"/>
        <v>0</v>
      </c>
      <c r="AB134" s="435">
        <f t="shared" si="25"/>
        <v>1.1738231192495581</v>
      </c>
      <c r="AC134" s="435">
        <f t="shared" si="25"/>
        <v>0</v>
      </c>
      <c r="AD134" s="435">
        <f t="shared" si="25"/>
        <v>0</v>
      </c>
      <c r="AE134" s="435">
        <f t="shared" si="25"/>
        <v>0</v>
      </c>
      <c r="AF134" s="435">
        <f t="shared" si="25"/>
        <v>0</v>
      </c>
      <c r="AG134" s="435">
        <f t="shared" si="25"/>
        <v>-0.10323218189856463</v>
      </c>
      <c r="AH134" s="435">
        <f t="shared" si="25"/>
        <v>0</v>
      </c>
      <c r="AI134" s="435">
        <f t="shared" si="25"/>
        <v>0</v>
      </c>
      <c r="AJ134" s="435">
        <f t="shared" si="25"/>
        <v>0</v>
      </c>
      <c r="AK134" s="435">
        <f t="shared" si="25"/>
        <v>0</v>
      </c>
      <c r="AL134" s="435">
        <f t="shared" si="25"/>
        <v>0</v>
      </c>
      <c r="AM134" s="435">
        <f t="shared" si="25"/>
        <v>0</v>
      </c>
      <c r="AN134" s="435">
        <f t="shared" si="25"/>
        <v>0</v>
      </c>
      <c r="AO134" s="435">
        <f t="shared" si="25"/>
        <v>0</v>
      </c>
      <c r="AP134" s="435">
        <f t="shared" si="25"/>
        <v>0</v>
      </c>
      <c r="BH134" s="136"/>
    </row>
    <row r="135" spans="3:60" x14ac:dyDescent="0.25">
      <c r="E135" s="74"/>
      <c r="F135" s="139" t="s">
        <v>49</v>
      </c>
      <c r="G135" s="139" t="s">
        <v>119</v>
      </c>
      <c r="H135" s="139"/>
      <c r="I135" s="139"/>
      <c r="J135" s="435">
        <f t="shared" ref="J135:AP135" si="26">J$58 * J41 * J123 / hours_in_year / $H52</f>
        <v>0</v>
      </c>
      <c r="K135" s="435">
        <f t="shared" si="26"/>
        <v>0</v>
      </c>
      <c r="L135" s="435">
        <f t="shared" si="26"/>
        <v>0</v>
      </c>
      <c r="M135" s="435">
        <f t="shared" si="26"/>
        <v>0</v>
      </c>
      <c r="N135" s="435">
        <f t="shared" si="26"/>
        <v>0</v>
      </c>
      <c r="O135" s="435">
        <f t="shared" si="26"/>
        <v>0</v>
      </c>
      <c r="P135" s="435">
        <f t="shared" si="26"/>
        <v>0</v>
      </c>
      <c r="Q135" s="435">
        <f t="shared" si="26"/>
        <v>0</v>
      </c>
      <c r="R135" s="435">
        <f t="shared" si="26"/>
        <v>0</v>
      </c>
      <c r="S135" s="435">
        <f t="shared" si="26"/>
        <v>0.2044557891118747</v>
      </c>
      <c r="T135" s="435">
        <f t="shared" si="26"/>
        <v>1.2406743888401626</v>
      </c>
      <c r="U135" s="435">
        <f t="shared" si="26"/>
        <v>20.430118680108773</v>
      </c>
      <c r="V135" s="435">
        <f t="shared" si="26"/>
        <v>1.3622128672197602</v>
      </c>
      <c r="W135" s="435">
        <f t="shared" si="26"/>
        <v>0</v>
      </c>
      <c r="X135" s="435">
        <f t="shared" si="26"/>
        <v>0</v>
      </c>
      <c r="Y135" s="435">
        <f t="shared" si="26"/>
        <v>0</v>
      </c>
      <c r="Z135" s="435">
        <f t="shared" si="26"/>
        <v>0</v>
      </c>
      <c r="AA135" s="435">
        <f t="shared" si="26"/>
        <v>0</v>
      </c>
      <c r="AB135" s="435">
        <f t="shared" si="26"/>
        <v>1.1569900917268587</v>
      </c>
      <c r="AC135" s="435">
        <f t="shared" si="26"/>
        <v>0</v>
      </c>
      <c r="AD135" s="435">
        <f t="shared" si="26"/>
        <v>0</v>
      </c>
      <c r="AE135" s="435">
        <f t="shared" si="26"/>
        <v>0</v>
      </c>
      <c r="AF135" s="435">
        <f t="shared" si="26"/>
        <v>0</v>
      </c>
      <c r="AG135" s="435">
        <f t="shared" si="26"/>
        <v>-0.10175179688089878</v>
      </c>
      <c r="AH135" s="435">
        <f t="shared" si="26"/>
        <v>0</v>
      </c>
      <c r="AI135" s="435">
        <f t="shared" si="26"/>
        <v>0</v>
      </c>
      <c r="AJ135" s="435">
        <f t="shared" si="26"/>
        <v>0</v>
      </c>
      <c r="AK135" s="435">
        <f t="shared" si="26"/>
        <v>0</v>
      </c>
      <c r="AL135" s="435">
        <f t="shared" si="26"/>
        <v>0</v>
      </c>
      <c r="AM135" s="435">
        <f t="shared" si="26"/>
        <v>0</v>
      </c>
      <c r="AN135" s="435">
        <f t="shared" si="26"/>
        <v>0</v>
      </c>
      <c r="AO135" s="435">
        <f t="shared" si="26"/>
        <v>0</v>
      </c>
      <c r="AP135" s="435">
        <f t="shared" si="26"/>
        <v>0</v>
      </c>
      <c r="BH135" s="136"/>
    </row>
    <row r="136" spans="3:60" x14ac:dyDescent="0.25">
      <c r="E136" s="74"/>
      <c r="F136" s="140" t="s">
        <v>50</v>
      </c>
      <c r="G136" s="140" t="s">
        <v>119</v>
      </c>
      <c r="H136" s="140"/>
      <c r="I136" s="140"/>
      <c r="J136" s="436">
        <f t="shared" ref="J136:AP136" si="27">J$58 * J42 * J124 / hours_in_year / $H53</f>
        <v>0</v>
      </c>
      <c r="K136" s="436">
        <f t="shared" si="27"/>
        <v>0</v>
      </c>
      <c r="L136" s="436">
        <f t="shared" si="27"/>
        <v>0</v>
      </c>
      <c r="M136" s="436">
        <f t="shared" si="27"/>
        <v>0</v>
      </c>
      <c r="N136" s="436">
        <f t="shared" si="27"/>
        <v>0</v>
      </c>
      <c r="O136" s="436">
        <f t="shared" si="27"/>
        <v>0</v>
      </c>
      <c r="P136" s="436">
        <f t="shared" si="27"/>
        <v>0</v>
      </c>
      <c r="Q136" s="436">
        <f t="shared" si="27"/>
        <v>0</v>
      </c>
      <c r="R136" s="436">
        <f t="shared" si="27"/>
        <v>0</v>
      </c>
      <c r="S136" s="436">
        <f t="shared" si="27"/>
        <v>0.19638269551057938</v>
      </c>
      <c r="T136" s="436">
        <f t="shared" si="27"/>
        <v>1.1916854092991829</v>
      </c>
      <c r="U136" s="436">
        <f t="shared" si="27"/>
        <v>19.623419779057649</v>
      </c>
      <c r="V136" s="436">
        <f t="shared" si="27"/>
        <v>0</v>
      </c>
      <c r="W136" s="436">
        <f t="shared" si="27"/>
        <v>0</v>
      </c>
      <c r="X136" s="436">
        <f t="shared" si="27"/>
        <v>0</v>
      </c>
      <c r="Y136" s="436">
        <f t="shared" si="27"/>
        <v>0</v>
      </c>
      <c r="Z136" s="436">
        <f t="shared" si="27"/>
        <v>0</v>
      </c>
      <c r="AA136" s="436">
        <f t="shared" si="27"/>
        <v>0</v>
      </c>
      <c r="AB136" s="436">
        <f t="shared" si="27"/>
        <v>1.1113054508230433</v>
      </c>
      <c r="AC136" s="436">
        <f t="shared" si="27"/>
        <v>0</v>
      </c>
      <c r="AD136" s="436">
        <f t="shared" si="27"/>
        <v>0</v>
      </c>
      <c r="AE136" s="436">
        <f t="shared" si="27"/>
        <v>0</v>
      </c>
      <c r="AF136" s="436">
        <f t="shared" si="27"/>
        <v>0</v>
      </c>
      <c r="AG136" s="436">
        <f t="shared" si="27"/>
        <v>0</v>
      </c>
      <c r="AH136" s="436">
        <f t="shared" si="27"/>
        <v>0</v>
      </c>
      <c r="AI136" s="436">
        <f t="shared" si="27"/>
        <v>0</v>
      </c>
      <c r="AJ136" s="436">
        <f t="shared" si="27"/>
        <v>0</v>
      </c>
      <c r="AK136" s="436">
        <f t="shared" si="27"/>
        <v>0</v>
      </c>
      <c r="AL136" s="436">
        <f t="shared" si="27"/>
        <v>0</v>
      </c>
      <c r="AM136" s="436">
        <f t="shared" si="27"/>
        <v>0</v>
      </c>
      <c r="AN136" s="436">
        <f t="shared" si="27"/>
        <v>0</v>
      </c>
      <c r="AO136" s="436">
        <f t="shared" si="27"/>
        <v>0</v>
      </c>
      <c r="AP136" s="436">
        <f t="shared" si="27"/>
        <v>0</v>
      </c>
      <c r="BH136" s="136"/>
    </row>
    <row r="137" spans="3:60" x14ac:dyDescent="0.25">
      <c r="D137" s="74"/>
      <c r="E137" s="139"/>
      <c r="F137" s="167"/>
      <c r="G137" s="139"/>
      <c r="H137" s="139"/>
      <c r="I137" s="139"/>
      <c r="J137" s="435"/>
      <c r="K137" s="435"/>
      <c r="L137" s="435"/>
      <c r="M137" s="435"/>
      <c r="N137" s="435"/>
      <c r="O137" s="435"/>
      <c r="P137" s="416"/>
      <c r="Q137" s="416"/>
      <c r="R137" s="416"/>
      <c r="S137" s="416"/>
      <c r="T137" s="416"/>
      <c r="U137" s="416"/>
      <c r="V137" s="416"/>
      <c r="W137" s="416"/>
      <c r="X137" s="416"/>
      <c r="Y137" s="416"/>
      <c r="Z137" s="416"/>
      <c r="AA137" s="416"/>
      <c r="AB137" s="416"/>
      <c r="AC137" s="416"/>
      <c r="AD137" s="416"/>
      <c r="AE137" s="416"/>
      <c r="AF137" s="416"/>
      <c r="AG137" s="416"/>
      <c r="AH137" s="416"/>
      <c r="AI137" s="416"/>
      <c r="AJ137" s="416"/>
      <c r="AK137" s="416"/>
      <c r="AL137" s="416"/>
      <c r="AM137" s="416"/>
      <c r="AN137" s="416"/>
      <c r="AO137" s="416"/>
      <c r="AP137" s="416"/>
      <c r="BH137" s="136"/>
    </row>
    <row r="138" spans="3:60" s="338" customFormat="1" x14ac:dyDescent="0.25">
      <c r="C138" s="22" t="str">
        <f ca="1">INDEX('Version control'!$H$34:$H$59,MATCH($A$1,'Version control'!$F$34:$F$59,0),1)&amp;"-C: System peak load, all unit rates"</f>
        <v>Section 509-C: System peak load, all unit rates</v>
      </c>
      <c r="D138" s="119"/>
      <c r="E138" s="119"/>
      <c r="F138" s="119"/>
      <c r="G138" s="119"/>
      <c r="H138" s="119"/>
      <c r="I138" s="119"/>
      <c r="J138" s="452"/>
      <c r="K138" s="452"/>
      <c r="L138" s="452"/>
      <c r="M138" s="452"/>
      <c r="N138" s="452"/>
      <c r="O138" s="452"/>
      <c r="P138" s="406"/>
      <c r="Q138" s="406"/>
      <c r="R138" s="406"/>
      <c r="S138" s="406"/>
      <c r="T138" s="406"/>
      <c r="U138" s="406"/>
      <c r="V138" s="406"/>
      <c r="W138" s="406"/>
      <c r="X138" s="406"/>
      <c r="Y138" s="406"/>
      <c r="Z138" s="406"/>
      <c r="AA138" s="406"/>
      <c r="AB138" s="406"/>
      <c r="AC138" s="406"/>
      <c r="AD138" s="406"/>
      <c r="AE138" s="406"/>
      <c r="AF138" s="406"/>
      <c r="AG138" s="406"/>
      <c r="AH138" s="406"/>
      <c r="AI138" s="406"/>
      <c r="AJ138" s="406"/>
      <c r="AK138" s="406"/>
      <c r="AL138" s="406"/>
      <c r="AM138" s="406"/>
      <c r="AN138" s="406"/>
      <c r="AO138" s="406"/>
      <c r="AP138" s="406"/>
      <c r="AQ138" s="22"/>
      <c r="AR138" s="22"/>
      <c r="BH138" s="163"/>
    </row>
    <row r="139" spans="3:60" s="338" customFormat="1" x14ac:dyDescent="0.25">
      <c r="H139" s="165"/>
      <c r="J139" s="416"/>
      <c r="K139" s="416"/>
      <c r="L139" s="416"/>
      <c r="M139" s="416"/>
      <c r="N139" s="416"/>
      <c r="O139" s="416"/>
      <c r="P139" s="416"/>
      <c r="Q139" s="416"/>
      <c r="R139" s="416"/>
      <c r="S139" s="416"/>
      <c r="T139" s="416"/>
      <c r="U139" s="416"/>
      <c r="V139" s="416"/>
      <c r="W139" s="416"/>
      <c r="X139" s="416"/>
      <c r="Y139" s="416"/>
      <c r="Z139" s="416"/>
      <c r="AA139" s="416"/>
      <c r="AB139" s="416"/>
      <c r="AC139" s="416"/>
      <c r="AD139" s="416"/>
      <c r="AE139" s="416"/>
      <c r="AF139" s="416"/>
      <c r="AG139" s="416"/>
      <c r="AH139" s="416"/>
      <c r="AI139" s="416"/>
      <c r="AJ139" s="416"/>
      <c r="AK139" s="416"/>
      <c r="AL139" s="416"/>
      <c r="AM139" s="416"/>
      <c r="AN139" s="416"/>
      <c r="AO139" s="416"/>
      <c r="AP139" s="416"/>
    </row>
    <row r="140" spans="3:60" x14ac:dyDescent="0.25">
      <c r="E140" s="74" t="s">
        <v>913</v>
      </c>
      <c r="F140" s="139"/>
      <c r="G140" s="139"/>
      <c r="H140" s="139"/>
      <c r="I140" s="139"/>
      <c r="J140" s="435"/>
      <c r="K140" s="435"/>
      <c r="L140" s="435"/>
      <c r="M140" s="435"/>
      <c r="N140" s="435"/>
      <c r="O140" s="435"/>
      <c r="P140" s="416"/>
      <c r="Q140" s="416"/>
      <c r="R140" s="416"/>
      <c r="S140" s="416"/>
      <c r="T140" s="416"/>
      <c r="U140" s="416"/>
      <c r="V140" s="416"/>
      <c r="W140" s="416"/>
      <c r="X140" s="416"/>
      <c r="Y140" s="416"/>
      <c r="Z140" s="416"/>
      <c r="AA140" s="416"/>
      <c r="AB140" s="416"/>
      <c r="AC140" s="416"/>
      <c r="AD140" s="416"/>
      <c r="AE140" s="416"/>
      <c r="AF140" s="416"/>
      <c r="AG140" s="416"/>
      <c r="AH140" s="416"/>
      <c r="AI140" s="416"/>
      <c r="AJ140" s="416"/>
      <c r="AK140" s="416"/>
      <c r="AL140" s="416"/>
      <c r="AM140" s="416"/>
      <c r="AN140" s="416"/>
      <c r="AO140" s="416"/>
      <c r="AP140" s="416"/>
      <c r="BH140" s="136"/>
    </row>
    <row r="141" spans="3:60" s="160" customFormat="1" x14ac:dyDescent="0.25">
      <c r="E141" s="152" t="s">
        <v>512</v>
      </c>
      <c r="F141" s="167"/>
      <c r="G141" s="167"/>
      <c r="H141" s="167"/>
      <c r="I141" s="167"/>
      <c r="J141" s="435"/>
      <c r="K141" s="435"/>
      <c r="L141" s="435"/>
      <c r="M141" s="435"/>
      <c r="N141" s="435"/>
      <c r="O141" s="435"/>
      <c r="P141" s="435"/>
      <c r="Q141" s="435"/>
      <c r="R141" s="435"/>
      <c r="S141" s="435"/>
      <c r="T141" s="435"/>
      <c r="U141" s="435"/>
      <c r="V141" s="435"/>
      <c r="W141" s="435"/>
      <c r="X141" s="435"/>
      <c r="Y141" s="435"/>
      <c r="Z141" s="435"/>
      <c r="AA141" s="435"/>
      <c r="AB141" s="435"/>
      <c r="AC141" s="435"/>
      <c r="AD141" s="435"/>
      <c r="AE141" s="435"/>
      <c r="AF141" s="435"/>
      <c r="AG141" s="435"/>
      <c r="AH141" s="435"/>
      <c r="AI141" s="435"/>
      <c r="AJ141" s="435"/>
      <c r="AK141" s="435"/>
      <c r="AL141" s="435"/>
      <c r="AM141" s="435"/>
      <c r="AN141" s="435"/>
      <c r="AO141" s="435"/>
      <c r="AP141" s="435"/>
      <c r="BH141" s="163"/>
    </row>
    <row r="142" spans="3:60" x14ac:dyDescent="0.25">
      <c r="C142" s="74"/>
      <c r="E142" s="131"/>
      <c r="F142" s="137" t="s">
        <v>43</v>
      </c>
      <c r="G142" s="137" t="s">
        <v>119</v>
      </c>
      <c r="H142" s="137"/>
      <c r="I142" s="137"/>
      <c r="J142" s="443">
        <f t="shared" ref="J142:AP142" si="28">J82 + J105 + J128</f>
        <v>2555.0513653002795</v>
      </c>
      <c r="K142" s="443">
        <f t="shared" si="28"/>
        <v>292.7655338679574</v>
      </c>
      <c r="L142" s="443">
        <f t="shared" si="28"/>
        <v>2.4261760847325813</v>
      </c>
      <c r="M142" s="443">
        <f t="shared" si="28"/>
        <v>591.31556363701156</v>
      </c>
      <c r="N142" s="443">
        <f t="shared" si="28"/>
        <v>166.3402584091038</v>
      </c>
      <c r="O142" s="443">
        <f t="shared" si="28"/>
        <v>1.7310435670871602</v>
      </c>
      <c r="P142" s="443">
        <f t="shared" si="28"/>
        <v>18.730783670571455</v>
      </c>
      <c r="Q142" s="443">
        <f t="shared" si="28"/>
        <v>0</v>
      </c>
      <c r="R142" s="443">
        <f t="shared" si="28"/>
        <v>4.9244298278820431E-2</v>
      </c>
      <c r="S142" s="443">
        <f t="shared" si="28"/>
        <v>15.650807343481727</v>
      </c>
      <c r="T142" s="443">
        <f t="shared" si="28"/>
        <v>69.370757148578846</v>
      </c>
      <c r="U142" s="443">
        <f t="shared" si="28"/>
        <v>1039.1367249747414</v>
      </c>
      <c r="V142" s="443">
        <f t="shared" si="28"/>
        <v>59.429999060109573</v>
      </c>
      <c r="W142" s="443">
        <f t="shared" si="28"/>
        <v>625.19041178176349</v>
      </c>
      <c r="X142" s="443">
        <f t="shared" si="28"/>
        <v>2.8576611849991154</v>
      </c>
      <c r="Y142" s="443">
        <f t="shared" si="28"/>
        <v>2.152709330307466</v>
      </c>
      <c r="Z142" s="443">
        <f t="shared" si="28"/>
        <v>0.20421536490828651</v>
      </c>
      <c r="AA142" s="443">
        <f t="shared" si="28"/>
        <v>1.6093759776064382E-2</v>
      </c>
      <c r="AB142" s="443">
        <f t="shared" si="28"/>
        <v>31.205844626946178</v>
      </c>
      <c r="AC142" s="443">
        <f t="shared" si="28"/>
        <v>-0.55694943872271452</v>
      </c>
      <c r="AD142" s="443">
        <f t="shared" si="28"/>
        <v>-3.1406912342453408E-2</v>
      </c>
      <c r="AE142" s="443">
        <f t="shared" si="28"/>
        <v>-4.4718749070817854</v>
      </c>
      <c r="AF142" s="443">
        <f t="shared" si="28"/>
        <v>0</v>
      </c>
      <c r="AG142" s="443">
        <f t="shared" si="28"/>
        <v>-3.7855172170661544</v>
      </c>
      <c r="AH142" s="443">
        <f t="shared" si="28"/>
        <v>0</v>
      </c>
      <c r="AI142" s="443">
        <f t="shared" si="28"/>
        <v>0</v>
      </c>
      <c r="AJ142" s="443">
        <f t="shared" si="28"/>
        <v>0</v>
      </c>
      <c r="AK142" s="443">
        <f t="shared" si="28"/>
        <v>0</v>
      </c>
      <c r="AL142" s="443">
        <f t="shared" si="28"/>
        <v>0</v>
      </c>
      <c r="AM142" s="443">
        <f t="shared" si="28"/>
        <v>-55.163950360535068</v>
      </c>
      <c r="AN142" s="443">
        <f t="shared" si="28"/>
        <v>0</v>
      </c>
      <c r="AO142" s="443">
        <f t="shared" si="28"/>
        <v>-75.827754822434883</v>
      </c>
      <c r="AP142" s="443">
        <f t="shared" si="28"/>
        <v>0</v>
      </c>
      <c r="BH142" s="136"/>
    </row>
    <row r="143" spans="3:60" x14ac:dyDescent="0.25">
      <c r="C143" s="74"/>
      <c r="E143" s="131"/>
      <c r="F143" s="139" t="s">
        <v>44</v>
      </c>
      <c r="G143" s="139" t="s">
        <v>119</v>
      </c>
      <c r="H143" s="139"/>
      <c r="I143" s="139"/>
      <c r="J143" s="435">
        <f t="shared" ref="J143:AP143" si="29">J83 + J106 + J129</f>
        <v>2506.4743396071235</v>
      </c>
      <c r="K143" s="435">
        <f t="shared" si="29"/>
        <v>287.919021589473</v>
      </c>
      <c r="L143" s="435">
        <f t="shared" si="29"/>
        <v>3.3171440116737139</v>
      </c>
      <c r="M143" s="435">
        <f t="shared" si="29"/>
        <v>593.7945283891188</v>
      </c>
      <c r="N143" s="435">
        <f t="shared" si="29"/>
        <v>166.1175085476811</v>
      </c>
      <c r="O143" s="435">
        <f t="shared" si="29"/>
        <v>1.8234715210020476</v>
      </c>
      <c r="P143" s="435">
        <f t="shared" si="29"/>
        <v>18.666642265254939</v>
      </c>
      <c r="Q143" s="435">
        <f t="shared" si="29"/>
        <v>0</v>
      </c>
      <c r="R143" s="435">
        <f t="shared" si="29"/>
        <v>4.9205036473604413E-2</v>
      </c>
      <c r="S143" s="435">
        <f t="shared" si="29"/>
        <v>15.11225002398989</v>
      </c>
      <c r="T143" s="435">
        <f t="shared" si="29"/>
        <v>69.017867556904676</v>
      </c>
      <c r="U143" s="435">
        <f t="shared" si="29"/>
        <v>1033.7539817865875</v>
      </c>
      <c r="V143" s="435">
        <f t="shared" si="29"/>
        <v>59.202212149197663</v>
      </c>
      <c r="W143" s="435">
        <f t="shared" si="29"/>
        <v>622.00188475107404</v>
      </c>
      <c r="X143" s="435">
        <f t="shared" si="29"/>
        <v>2.8454635513049831</v>
      </c>
      <c r="Y143" s="435">
        <f t="shared" si="29"/>
        <v>2.3206644550687701</v>
      </c>
      <c r="Z143" s="435">
        <f t="shared" si="29"/>
        <v>0.21934827556548181</v>
      </c>
      <c r="AA143" s="435">
        <f t="shared" si="29"/>
        <v>1.4620051765039308E-2</v>
      </c>
      <c r="AB143" s="435">
        <f t="shared" si="29"/>
        <v>33.088892177801114</v>
      </c>
      <c r="AC143" s="435">
        <f t="shared" si="29"/>
        <v>-0.55417854599275107</v>
      </c>
      <c r="AD143" s="435">
        <f t="shared" si="29"/>
        <v>-3.1250659047217341E-2</v>
      </c>
      <c r="AE143" s="435">
        <f t="shared" si="29"/>
        <v>-4.4496267732157087</v>
      </c>
      <c r="AF143" s="435">
        <f t="shared" si="29"/>
        <v>0</v>
      </c>
      <c r="AG143" s="435">
        <f t="shared" si="29"/>
        <v>-3.7627512702483492</v>
      </c>
      <c r="AH143" s="435">
        <f t="shared" si="29"/>
        <v>0</v>
      </c>
      <c r="AI143" s="435">
        <f t="shared" si="29"/>
        <v>0</v>
      </c>
      <c r="AJ143" s="435">
        <f t="shared" si="29"/>
        <v>0</v>
      </c>
      <c r="AK143" s="435">
        <f t="shared" si="29"/>
        <v>0</v>
      </c>
      <c r="AL143" s="435">
        <f t="shared" si="29"/>
        <v>0</v>
      </c>
      <c r="AM143" s="435">
        <f t="shared" si="29"/>
        <v>-54.889502846303579</v>
      </c>
      <c r="AN143" s="435">
        <f t="shared" si="29"/>
        <v>0</v>
      </c>
      <c r="AO143" s="435">
        <f t="shared" si="29"/>
        <v>-75.193130744530222</v>
      </c>
      <c r="AP143" s="435">
        <f t="shared" si="29"/>
        <v>0</v>
      </c>
      <c r="BH143" s="136"/>
    </row>
    <row r="144" spans="3:60" x14ac:dyDescent="0.25">
      <c r="C144" s="74"/>
      <c r="E144" s="131"/>
      <c r="F144" s="139" t="s">
        <v>45</v>
      </c>
      <c r="G144" s="139" t="s">
        <v>119</v>
      </c>
      <c r="H144" s="139"/>
      <c r="I144" s="139"/>
      <c r="J144" s="435">
        <f t="shared" ref="J144:AP144" si="30">J84 + J107 + J130</f>
        <v>2499.0145945487684</v>
      </c>
      <c r="K144" s="435">
        <f t="shared" si="30"/>
        <v>287.06211973950428</v>
      </c>
      <c r="L144" s="435">
        <f t="shared" si="30"/>
        <v>3.3072715592580177</v>
      </c>
      <c r="M144" s="435">
        <f t="shared" si="30"/>
        <v>592.0272827689131</v>
      </c>
      <c r="N144" s="435">
        <f t="shared" si="30"/>
        <v>165.62311120081299</v>
      </c>
      <c r="O144" s="435">
        <f t="shared" si="30"/>
        <v>1.8180445224276365</v>
      </c>
      <c r="P144" s="435">
        <f t="shared" si="30"/>
        <v>18.61108678232263</v>
      </c>
      <c r="Q144" s="435">
        <f t="shared" si="30"/>
        <v>0</v>
      </c>
      <c r="R144" s="435">
        <f t="shared" si="30"/>
        <v>4.9058592912671062E-2</v>
      </c>
      <c r="S144" s="435">
        <f t="shared" si="30"/>
        <v>15.067273089394682</v>
      </c>
      <c r="T144" s="435">
        <f t="shared" si="30"/>
        <v>68.812457236794842</v>
      </c>
      <c r="U144" s="435">
        <f t="shared" si="30"/>
        <v>1030.6773330312701</v>
      </c>
      <c r="V144" s="435">
        <f t="shared" si="30"/>
        <v>59.026015089229809</v>
      </c>
      <c r="W144" s="435">
        <f t="shared" si="30"/>
        <v>620.15068866550519</v>
      </c>
      <c r="X144" s="435">
        <f t="shared" si="30"/>
        <v>2.8369949097832419</v>
      </c>
      <c r="Y144" s="435">
        <f t="shared" si="30"/>
        <v>2.3137577156191607</v>
      </c>
      <c r="Z144" s="435">
        <f t="shared" si="30"/>
        <v>0.21869545331677501</v>
      </c>
      <c r="AA144" s="435">
        <f t="shared" si="30"/>
        <v>1.4576539706214786E-2</v>
      </c>
      <c r="AB144" s="435">
        <f t="shared" si="30"/>
        <v>32.990413332033846</v>
      </c>
      <c r="AC144" s="435">
        <f t="shared" si="30"/>
        <v>-0.55252920508205827</v>
      </c>
      <c r="AD144" s="435">
        <f t="shared" si="30"/>
        <v>-3.1157651133386331E-2</v>
      </c>
      <c r="AE144" s="435">
        <f t="shared" si="30"/>
        <v>-4.4363838363906618</v>
      </c>
      <c r="AF144" s="435">
        <f t="shared" si="30"/>
        <v>0</v>
      </c>
      <c r="AG144" s="435">
        <f t="shared" si="30"/>
        <v>-3.7515526057535622</v>
      </c>
      <c r="AH144" s="435">
        <f t="shared" si="30"/>
        <v>0</v>
      </c>
      <c r="AI144" s="435">
        <f t="shared" si="30"/>
        <v>0</v>
      </c>
      <c r="AJ144" s="435">
        <f t="shared" si="30"/>
        <v>0</v>
      </c>
      <c r="AK144" s="435">
        <f t="shared" si="30"/>
        <v>0</v>
      </c>
      <c r="AL144" s="435">
        <f t="shared" si="30"/>
        <v>0</v>
      </c>
      <c r="AM144" s="435">
        <f t="shared" si="30"/>
        <v>-54.726141230689571</v>
      </c>
      <c r="AN144" s="435">
        <f t="shared" si="30"/>
        <v>0</v>
      </c>
      <c r="AO144" s="435">
        <f t="shared" si="30"/>
        <v>-74.969341664933395</v>
      </c>
      <c r="AP144" s="435">
        <f t="shared" si="30"/>
        <v>0</v>
      </c>
      <c r="BH144" s="136"/>
    </row>
    <row r="145" spans="3:60" x14ac:dyDescent="0.25">
      <c r="C145" s="74"/>
      <c r="E145" s="131"/>
      <c r="F145" s="139" t="s">
        <v>46</v>
      </c>
      <c r="G145" s="139" t="s">
        <v>119</v>
      </c>
      <c r="H145" s="139"/>
      <c r="I145" s="139"/>
      <c r="J145" s="435">
        <f t="shared" ref="J145:AP145" si="31">J85 + J108 + J131</f>
        <v>2381.652728836109</v>
      </c>
      <c r="K145" s="435">
        <f t="shared" si="31"/>
        <v>276.82372529626468</v>
      </c>
      <c r="L145" s="435">
        <f t="shared" si="31"/>
        <v>5.7851780258294188</v>
      </c>
      <c r="M145" s="435">
        <f t="shared" si="31"/>
        <v>599.57504201135339</v>
      </c>
      <c r="N145" s="435">
        <f t="shared" si="31"/>
        <v>165.78982926662798</v>
      </c>
      <c r="O145" s="435">
        <f t="shared" si="31"/>
        <v>2.09716318335161</v>
      </c>
      <c r="P145" s="435">
        <f t="shared" si="31"/>
        <v>18.498643116007084</v>
      </c>
      <c r="Q145" s="435">
        <f t="shared" si="31"/>
        <v>0</v>
      </c>
      <c r="R145" s="435">
        <f t="shared" si="31"/>
        <v>4.9088126122292824E-2</v>
      </c>
      <c r="S145" s="435">
        <f t="shared" si="31"/>
        <v>13.735258917841465</v>
      </c>
      <c r="T145" s="435">
        <f t="shared" si="31"/>
        <v>68.101636304291276</v>
      </c>
      <c r="U145" s="435">
        <f t="shared" si="31"/>
        <v>1020.0688506214456</v>
      </c>
      <c r="V145" s="435">
        <f t="shared" si="31"/>
        <v>58.655474845759343</v>
      </c>
      <c r="W145" s="435">
        <f t="shared" si="31"/>
        <v>614.53487851920272</v>
      </c>
      <c r="X145" s="435">
        <f t="shared" si="31"/>
        <v>2.8113886197584517</v>
      </c>
      <c r="Y145" s="435">
        <f t="shared" si="31"/>
        <v>2.0450105568656478</v>
      </c>
      <c r="Z145" s="435">
        <f t="shared" si="31"/>
        <v>0.1912421121029147</v>
      </c>
      <c r="AA145" s="435">
        <f t="shared" si="31"/>
        <v>1.6364023568594475E-2</v>
      </c>
      <c r="AB145" s="435">
        <f t="shared" si="31"/>
        <v>29.785768997565519</v>
      </c>
      <c r="AC145" s="435">
        <f t="shared" si="31"/>
        <v>-0.54817858141999476</v>
      </c>
      <c r="AD145" s="435">
        <f t="shared" si="31"/>
        <v>-3.0912315297690368E-2</v>
      </c>
      <c r="AE145" s="435">
        <f t="shared" si="31"/>
        <v>-4.4014516801986083</v>
      </c>
      <c r="AF145" s="435">
        <f t="shared" si="31"/>
        <v>0</v>
      </c>
      <c r="AG145" s="435">
        <f t="shared" si="31"/>
        <v>-3.7097598274132659</v>
      </c>
      <c r="AH145" s="435">
        <f t="shared" si="31"/>
        <v>0</v>
      </c>
      <c r="AI145" s="435">
        <f t="shared" si="31"/>
        <v>0</v>
      </c>
      <c r="AJ145" s="435">
        <f t="shared" si="31"/>
        <v>0</v>
      </c>
      <c r="AK145" s="435">
        <f t="shared" si="31"/>
        <v>0</v>
      </c>
      <c r="AL145" s="435">
        <f t="shared" si="31"/>
        <v>0</v>
      </c>
      <c r="AM145" s="435">
        <f t="shared" si="31"/>
        <v>-54.295226732810114</v>
      </c>
      <c r="AN145" s="435">
        <f t="shared" si="31"/>
        <v>0</v>
      </c>
      <c r="AO145" s="435">
        <f t="shared" si="31"/>
        <v>-73.671578269176194</v>
      </c>
      <c r="AP145" s="435">
        <f t="shared" si="31"/>
        <v>0</v>
      </c>
      <c r="BH145" s="136"/>
    </row>
    <row r="146" spans="3:60" x14ac:dyDescent="0.25">
      <c r="C146" s="74"/>
      <c r="E146" s="131"/>
      <c r="F146" s="139" t="s">
        <v>47</v>
      </c>
      <c r="G146" s="139" t="s">
        <v>119</v>
      </c>
      <c r="H146" s="139"/>
      <c r="I146" s="139"/>
      <c r="J146" s="435">
        <f t="shared" ref="J146:AP146" si="32">J86 + J109 + J132</f>
        <v>2369.9893951983222</v>
      </c>
      <c r="K146" s="435">
        <f t="shared" si="32"/>
        <v>275.46807531929966</v>
      </c>
      <c r="L146" s="435">
        <f t="shared" si="32"/>
        <v>5.7568470854482765</v>
      </c>
      <c r="M146" s="435">
        <f t="shared" si="32"/>
        <v>596.63882731002457</v>
      </c>
      <c r="N146" s="435">
        <f t="shared" si="32"/>
        <v>164.97793000479339</v>
      </c>
      <c r="O146" s="435">
        <f t="shared" si="32"/>
        <v>2.0868930404360784</v>
      </c>
      <c r="P146" s="435">
        <f t="shared" si="32"/>
        <v>18.408052307407637</v>
      </c>
      <c r="Q146" s="435">
        <f t="shared" si="32"/>
        <v>0</v>
      </c>
      <c r="R146" s="435">
        <f t="shared" si="32"/>
        <v>4.8847733731880033E-2</v>
      </c>
      <c r="S146" s="435">
        <f t="shared" si="32"/>
        <v>13.667995162122361</v>
      </c>
      <c r="T146" s="435">
        <f t="shared" si="32"/>
        <v>67.768131719059696</v>
      </c>
      <c r="U146" s="435">
        <f t="shared" si="32"/>
        <v>1015.073410608608</v>
      </c>
      <c r="V146" s="435">
        <f t="shared" si="32"/>
        <v>58.368229621245341</v>
      </c>
      <c r="W146" s="435">
        <f t="shared" si="32"/>
        <v>611.52540311019595</v>
      </c>
      <c r="X146" s="435">
        <f t="shared" si="32"/>
        <v>2.7976208008565986</v>
      </c>
      <c r="Y146" s="435">
        <f t="shared" si="32"/>
        <v>2.0349958136880493</v>
      </c>
      <c r="Z146" s="435">
        <f t="shared" si="32"/>
        <v>0.19030556894863992</v>
      </c>
      <c r="AA146" s="435">
        <f t="shared" si="32"/>
        <v>1.6283886332705177E-2</v>
      </c>
      <c r="AB146" s="435">
        <f t="shared" si="32"/>
        <v>29.639903331563726</v>
      </c>
      <c r="AC146" s="435">
        <f t="shared" si="32"/>
        <v>-0.54549406339149331</v>
      </c>
      <c r="AD146" s="435">
        <f t="shared" si="32"/>
        <v>-3.0760932754606677E-2</v>
      </c>
      <c r="AE146" s="435">
        <f t="shared" si="32"/>
        <v>-4.3798970686403393</v>
      </c>
      <c r="AF146" s="435">
        <f t="shared" si="32"/>
        <v>0</v>
      </c>
      <c r="AG146" s="435">
        <f t="shared" si="32"/>
        <v>-3.6915925412848956</v>
      </c>
      <c r="AH146" s="435">
        <f t="shared" si="32"/>
        <v>0</v>
      </c>
      <c r="AI146" s="435">
        <f t="shared" si="32"/>
        <v>0</v>
      </c>
      <c r="AJ146" s="435">
        <f t="shared" si="32"/>
        <v>0</v>
      </c>
      <c r="AK146" s="435">
        <f t="shared" si="32"/>
        <v>0</v>
      </c>
      <c r="AL146" s="435">
        <f t="shared" si="32"/>
        <v>0</v>
      </c>
      <c r="AM146" s="435">
        <f t="shared" si="32"/>
        <v>-54.029334339407519</v>
      </c>
      <c r="AN146" s="435">
        <f t="shared" si="32"/>
        <v>0</v>
      </c>
      <c r="AO146" s="435">
        <f t="shared" si="32"/>
        <v>-73.310796788915795</v>
      </c>
      <c r="AP146" s="435">
        <f t="shared" si="32"/>
        <v>0</v>
      </c>
      <c r="BH146" s="136"/>
    </row>
    <row r="147" spans="3:60" x14ac:dyDescent="0.25">
      <c r="C147" s="74"/>
      <c r="E147" s="131"/>
      <c r="F147" s="139" t="s">
        <v>51</v>
      </c>
      <c r="G147" s="139" t="s">
        <v>119</v>
      </c>
      <c r="H147" s="170"/>
      <c r="I147" s="139"/>
      <c r="J147" s="435">
        <f t="shared" ref="J147:AP147" si="33">J87 + J110 + J133</f>
        <v>0</v>
      </c>
      <c r="K147" s="435">
        <f t="shared" si="33"/>
        <v>0</v>
      </c>
      <c r="L147" s="435">
        <f t="shared" si="33"/>
        <v>0</v>
      </c>
      <c r="M147" s="435">
        <f t="shared" si="33"/>
        <v>0</v>
      </c>
      <c r="N147" s="435">
        <f t="shared" si="33"/>
        <v>0</v>
      </c>
      <c r="O147" s="435">
        <f t="shared" si="33"/>
        <v>0</v>
      </c>
      <c r="P147" s="435">
        <f t="shared" si="33"/>
        <v>0</v>
      </c>
      <c r="Q147" s="435">
        <f t="shared" si="33"/>
        <v>0</v>
      </c>
      <c r="R147" s="435">
        <f t="shared" si="33"/>
        <v>0</v>
      </c>
      <c r="S147" s="435">
        <f t="shared" si="33"/>
        <v>0</v>
      </c>
      <c r="T147" s="435">
        <f t="shared" si="33"/>
        <v>0</v>
      </c>
      <c r="U147" s="435">
        <f t="shared" si="33"/>
        <v>0</v>
      </c>
      <c r="V147" s="435">
        <f t="shared" si="33"/>
        <v>0</v>
      </c>
      <c r="W147" s="435">
        <f t="shared" si="33"/>
        <v>0</v>
      </c>
      <c r="X147" s="435">
        <f t="shared" si="33"/>
        <v>0</v>
      </c>
      <c r="Y147" s="435">
        <f t="shared" si="33"/>
        <v>0</v>
      </c>
      <c r="Z147" s="435">
        <f t="shared" si="33"/>
        <v>0</v>
      </c>
      <c r="AA147" s="435">
        <f t="shared" si="33"/>
        <v>0</v>
      </c>
      <c r="AB147" s="435">
        <f t="shared" si="33"/>
        <v>0</v>
      </c>
      <c r="AC147" s="435">
        <f t="shared" si="33"/>
        <v>0</v>
      </c>
      <c r="AD147" s="435">
        <f t="shared" si="33"/>
        <v>0</v>
      </c>
      <c r="AE147" s="435">
        <f t="shared" si="33"/>
        <v>0</v>
      </c>
      <c r="AF147" s="435">
        <f t="shared" si="33"/>
        <v>0</v>
      </c>
      <c r="AG147" s="435">
        <f t="shared" si="33"/>
        <v>0</v>
      </c>
      <c r="AH147" s="435">
        <f t="shared" si="33"/>
        <v>0</v>
      </c>
      <c r="AI147" s="435">
        <f t="shared" si="33"/>
        <v>0</v>
      </c>
      <c r="AJ147" s="435">
        <f t="shared" si="33"/>
        <v>0</v>
      </c>
      <c r="AK147" s="435">
        <f t="shared" si="33"/>
        <v>0</v>
      </c>
      <c r="AL147" s="435">
        <f t="shared" si="33"/>
        <v>0</v>
      </c>
      <c r="AM147" s="435">
        <f t="shared" si="33"/>
        <v>0</v>
      </c>
      <c r="AN147" s="435">
        <f t="shared" si="33"/>
        <v>0</v>
      </c>
      <c r="AO147" s="435">
        <f t="shared" si="33"/>
        <v>0</v>
      </c>
      <c r="AP147" s="435">
        <f t="shared" si="33"/>
        <v>0</v>
      </c>
      <c r="BH147" s="136"/>
    </row>
    <row r="148" spans="3:60" x14ac:dyDescent="0.25">
      <c r="C148" s="74"/>
      <c r="E148" s="131"/>
      <c r="F148" s="139" t="s">
        <v>48</v>
      </c>
      <c r="G148" s="139" t="s">
        <v>119</v>
      </c>
      <c r="H148" s="139"/>
      <c r="I148" s="139"/>
      <c r="J148" s="435">
        <f t="shared" ref="J148:AP148" si="34">J88 + J111 + J134</f>
        <v>2219.7547977012619</v>
      </c>
      <c r="K148" s="435">
        <f t="shared" si="34"/>
        <v>262.72931330499011</v>
      </c>
      <c r="L148" s="435">
        <f t="shared" si="34"/>
        <v>8.9739301282483499</v>
      </c>
      <c r="M148" s="435">
        <f t="shared" si="34"/>
        <v>606.0924101878652</v>
      </c>
      <c r="N148" s="435">
        <f t="shared" si="34"/>
        <v>165.2467698085068</v>
      </c>
      <c r="O148" s="435">
        <f t="shared" si="34"/>
        <v>2.4537880597705044</v>
      </c>
      <c r="P148" s="435">
        <f t="shared" si="34"/>
        <v>18.262232946583914</v>
      </c>
      <c r="Q148" s="435">
        <f t="shared" si="34"/>
        <v>0</v>
      </c>
      <c r="R148" s="435">
        <f t="shared" si="34"/>
        <v>4.8878059094608087E-2</v>
      </c>
      <c r="S148" s="435">
        <f t="shared" si="34"/>
        <v>11.966495879974588</v>
      </c>
      <c r="T148" s="435">
        <f t="shared" si="34"/>
        <v>66.853221637804452</v>
      </c>
      <c r="U148" s="435">
        <f t="shared" si="34"/>
        <v>1001.4835423451311</v>
      </c>
      <c r="V148" s="435">
        <f t="shared" si="34"/>
        <v>57.901292880110404</v>
      </c>
      <c r="W148" s="435">
        <f t="shared" si="34"/>
        <v>604.50445968444251</v>
      </c>
      <c r="X148" s="435">
        <f t="shared" si="34"/>
        <v>2.764542885918523</v>
      </c>
      <c r="Y148" s="435">
        <f t="shared" si="34"/>
        <v>1.5479452078919729</v>
      </c>
      <c r="Z148" s="435">
        <f t="shared" si="34"/>
        <v>0.14154275036961866</v>
      </c>
      <c r="AA148" s="435">
        <f t="shared" si="34"/>
        <v>1.9692407844238129E-2</v>
      </c>
      <c r="AB148" s="435">
        <f t="shared" si="34"/>
        <v>23.889654573527846</v>
      </c>
      <c r="AC148" s="435">
        <f t="shared" si="34"/>
        <v>-0.54020314134113934</v>
      </c>
      <c r="AD148" s="435">
        <f t="shared" si="34"/>
        <v>-3.0462572592098367E-2</v>
      </c>
      <c r="AE148" s="435">
        <f t="shared" si="34"/>
        <v>-4.3374150408164756</v>
      </c>
      <c r="AF148" s="435">
        <f t="shared" si="34"/>
        <v>0</v>
      </c>
      <c r="AG148" s="435">
        <f t="shared" si="34"/>
        <v>-3.6394247930578261</v>
      </c>
      <c r="AH148" s="435">
        <f t="shared" si="34"/>
        <v>0</v>
      </c>
      <c r="AI148" s="435">
        <f t="shared" si="34"/>
        <v>0</v>
      </c>
      <c r="AJ148" s="435">
        <f t="shared" si="34"/>
        <v>0</v>
      </c>
      <c r="AK148" s="435">
        <f t="shared" si="34"/>
        <v>0</v>
      </c>
      <c r="AL148" s="435">
        <f t="shared" si="34"/>
        <v>0</v>
      </c>
      <c r="AM148" s="435">
        <f t="shared" si="34"/>
        <v>0</v>
      </c>
      <c r="AN148" s="435">
        <f t="shared" si="34"/>
        <v>0</v>
      </c>
      <c r="AO148" s="435">
        <f t="shared" si="34"/>
        <v>0</v>
      </c>
      <c r="AP148" s="435">
        <f t="shared" si="34"/>
        <v>0</v>
      </c>
      <c r="BH148" s="136"/>
    </row>
    <row r="149" spans="3:60" x14ac:dyDescent="0.25">
      <c r="C149" s="74"/>
      <c r="E149" s="131"/>
      <c r="F149" s="139" t="s">
        <v>49</v>
      </c>
      <c r="G149" s="139" t="s">
        <v>119</v>
      </c>
      <c r="H149" s="139"/>
      <c r="I149" s="139"/>
      <c r="J149" s="435">
        <f t="shared" ref="J149:AP149" si="35">J89 + J112 + J135</f>
        <v>2187.9227499330791</v>
      </c>
      <c r="K149" s="435">
        <f t="shared" si="35"/>
        <v>258.96168452910592</v>
      </c>
      <c r="L149" s="435">
        <f t="shared" si="35"/>
        <v>8.8452408816673493</v>
      </c>
      <c r="M149" s="435">
        <f t="shared" si="35"/>
        <v>597.40083642800096</v>
      </c>
      <c r="N149" s="435">
        <f t="shared" si="35"/>
        <v>162.87707425675956</v>
      </c>
      <c r="O149" s="435">
        <f t="shared" si="35"/>
        <v>2.4185998944774281</v>
      </c>
      <c r="P149" s="435">
        <f t="shared" si="35"/>
        <v>18.000346240848963</v>
      </c>
      <c r="Q149" s="435">
        <f t="shared" si="35"/>
        <v>0</v>
      </c>
      <c r="R149" s="435">
        <f t="shared" si="35"/>
        <v>0</v>
      </c>
      <c r="S149" s="435">
        <f t="shared" si="35"/>
        <v>11.794892210567683</v>
      </c>
      <c r="T149" s="435">
        <f t="shared" si="35"/>
        <v>65.894523430761367</v>
      </c>
      <c r="U149" s="435">
        <f t="shared" si="35"/>
        <v>987.12192366905356</v>
      </c>
      <c r="V149" s="435">
        <f t="shared" si="35"/>
        <v>57.070968412422395</v>
      </c>
      <c r="W149" s="435">
        <f t="shared" si="35"/>
        <v>0</v>
      </c>
      <c r="X149" s="435">
        <f t="shared" si="35"/>
        <v>2.7248983894665364</v>
      </c>
      <c r="Y149" s="435">
        <f t="shared" si="35"/>
        <v>1.525747140857193</v>
      </c>
      <c r="Z149" s="435">
        <f t="shared" si="35"/>
        <v>0.1395129786147962</v>
      </c>
      <c r="AA149" s="435">
        <f t="shared" si="35"/>
        <v>1.9410011938250007E-2</v>
      </c>
      <c r="AB149" s="435">
        <f t="shared" si="35"/>
        <v>23.547068704882602</v>
      </c>
      <c r="AC149" s="435">
        <f t="shared" si="35"/>
        <v>-0.53245644237353218</v>
      </c>
      <c r="AD149" s="435">
        <f t="shared" si="35"/>
        <v>0</v>
      </c>
      <c r="AE149" s="435">
        <f t="shared" si="35"/>
        <v>-4.2752150163305798</v>
      </c>
      <c r="AF149" s="435">
        <f t="shared" si="35"/>
        <v>0</v>
      </c>
      <c r="AG149" s="435">
        <f t="shared" si="35"/>
        <v>-3.5872341889508781</v>
      </c>
      <c r="AH149" s="435">
        <f t="shared" si="35"/>
        <v>0</v>
      </c>
      <c r="AI149" s="435">
        <f t="shared" si="35"/>
        <v>0</v>
      </c>
      <c r="AJ149" s="435">
        <f t="shared" si="35"/>
        <v>0</v>
      </c>
      <c r="AK149" s="435">
        <f t="shared" si="35"/>
        <v>0</v>
      </c>
      <c r="AL149" s="435">
        <f t="shared" si="35"/>
        <v>0</v>
      </c>
      <c r="AM149" s="435">
        <f t="shared" si="35"/>
        <v>0</v>
      </c>
      <c r="AN149" s="435">
        <f t="shared" si="35"/>
        <v>0</v>
      </c>
      <c r="AO149" s="435">
        <f t="shared" si="35"/>
        <v>0</v>
      </c>
      <c r="AP149" s="435">
        <f t="shared" si="35"/>
        <v>0</v>
      </c>
      <c r="BH149" s="136"/>
    </row>
    <row r="150" spans="3:60" x14ac:dyDescent="0.25">
      <c r="C150" s="74"/>
      <c r="E150" s="131"/>
      <c r="F150" s="140" t="s">
        <v>50</v>
      </c>
      <c r="G150" s="140" t="s">
        <v>119</v>
      </c>
      <c r="H150" s="140"/>
      <c r="I150" s="140"/>
      <c r="J150" s="436">
        <f t="shared" ref="J150:AP150" si="36">J90 + J113 + J136</f>
        <v>2101.5309425436189</v>
      </c>
      <c r="K150" s="436">
        <f t="shared" si="36"/>
        <v>248.73638385440296</v>
      </c>
      <c r="L150" s="436">
        <f t="shared" si="36"/>
        <v>8.4959797632911371</v>
      </c>
      <c r="M150" s="436">
        <f t="shared" si="36"/>
        <v>573.81200633947572</v>
      </c>
      <c r="N150" s="436">
        <f t="shared" si="36"/>
        <v>156.44574809235124</v>
      </c>
      <c r="O150" s="436">
        <f t="shared" si="36"/>
        <v>2.323099623161974</v>
      </c>
      <c r="P150" s="436">
        <f t="shared" si="36"/>
        <v>17.289588767610667</v>
      </c>
      <c r="Q150" s="436">
        <f t="shared" si="36"/>
        <v>0</v>
      </c>
      <c r="R150" s="436">
        <f t="shared" si="36"/>
        <v>0</v>
      </c>
      <c r="S150" s="436">
        <f t="shared" si="36"/>
        <v>11.329161847799631</v>
      </c>
      <c r="T150" s="436">
        <f t="shared" si="36"/>
        <v>63.292627647912212</v>
      </c>
      <c r="U150" s="436">
        <f t="shared" si="36"/>
        <v>948.14465762886141</v>
      </c>
      <c r="V150" s="436">
        <f t="shared" si="36"/>
        <v>0</v>
      </c>
      <c r="W150" s="436">
        <f t="shared" si="36"/>
        <v>0</v>
      </c>
      <c r="X150" s="436">
        <f t="shared" si="36"/>
        <v>2.6173036872194646</v>
      </c>
      <c r="Y150" s="436">
        <f t="shared" si="36"/>
        <v>1.4655018451208668</v>
      </c>
      <c r="Z150" s="436">
        <f t="shared" si="36"/>
        <v>0.1340042016814296</v>
      </c>
      <c r="AA150" s="436">
        <f t="shared" si="36"/>
        <v>1.8643592734076685E-2</v>
      </c>
      <c r="AB150" s="436">
        <f t="shared" si="36"/>
        <v>22.617294642155375</v>
      </c>
      <c r="AC150" s="436">
        <f t="shared" si="36"/>
        <v>0</v>
      </c>
      <c r="AD150" s="436">
        <f t="shared" si="36"/>
        <v>0</v>
      </c>
      <c r="AE150" s="436">
        <f t="shared" si="36"/>
        <v>0</v>
      </c>
      <c r="AF150" s="436">
        <f t="shared" si="36"/>
        <v>0</v>
      </c>
      <c r="AG150" s="436">
        <f t="shared" si="36"/>
        <v>0</v>
      </c>
      <c r="AH150" s="436">
        <f t="shared" si="36"/>
        <v>0</v>
      </c>
      <c r="AI150" s="436">
        <f t="shared" si="36"/>
        <v>0</v>
      </c>
      <c r="AJ150" s="436">
        <f t="shared" si="36"/>
        <v>0</v>
      </c>
      <c r="AK150" s="436">
        <f t="shared" si="36"/>
        <v>0</v>
      </c>
      <c r="AL150" s="436">
        <f t="shared" si="36"/>
        <v>0</v>
      </c>
      <c r="AM150" s="436">
        <f t="shared" si="36"/>
        <v>0</v>
      </c>
      <c r="AN150" s="436">
        <f t="shared" si="36"/>
        <v>0</v>
      </c>
      <c r="AO150" s="436">
        <f t="shared" si="36"/>
        <v>0</v>
      </c>
      <c r="AP150" s="436">
        <f t="shared" si="36"/>
        <v>0</v>
      </c>
      <c r="BH150" s="136"/>
    </row>
    <row r="151" spans="3:60" x14ac:dyDescent="0.25">
      <c r="C151" s="74"/>
      <c r="E151" s="131"/>
      <c r="F151" s="160"/>
      <c r="G151" s="139"/>
      <c r="H151" s="139"/>
      <c r="I151" s="139"/>
      <c r="J151" s="170"/>
      <c r="K151" s="170"/>
      <c r="L151" s="170"/>
      <c r="M151" s="170"/>
      <c r="N151" s="170"/>
      <c r="O151" s="170"/>
      <c r="P151" s="165"/>
      <c r="Q151" s="165"/>
      <c r="R151" s="165"/>
      <c r="S151" s="165"/>
      <c r="T151" s="165"/>
      <c r="U151" s="165"/>
      <c r="V151" s="165"/>
      <c r="W151" s="165"/>
      <c r="X151" s="165"/>
      <c r="Y151" s="165"/>
      <c r="Z151" s="165"/>
      <c r="AA151" s="165"/>
      <c r="AB151" s="165"/>
      <c r="AC151" s="165"/>
      <c r="AD151" s="165"/>
      <c r="AE151" s="165"/>
      <c r="AF151" s="165"/>
      <c r="AG151" s="165"/>
      <c r="AH151" s="165"/>
      <c r="AI151" s="165"/>
      <c r="AJ151" s="165"/>
      <c r="AK151" s="165"/>
      <c r="AL151" s="165"/>
      <c r="AM151" s="165"/>
      <c r="AN151" s="165"/>
      <c r="AO151" s="165"/>
      <c r="AP151" s="165"/>
      <c r="BH151" s="136"/>
    </row>
    <row r="152" spans="3:60" s="338" customFormat="1" x14ac:dyDescent="0.25">
      <c r="E152" s="74" t="s">
        <v>912</v>
      </c>
      <c r="F152" s="339"/>
      <c r="G152" s="339"/>
      <c r="H152" s="339"/>
      <c r="I152" s="339"/>
      <c r="J152" s="170"/>
      <c r="K152" s="170"/>
      <c r="L152" s="170"/>
      <c r="M152" s="170"/>
      <c r="N152" s="170"/>
      <c r="O152" s="170"/>
      <c r="P152" s="165"/>
      <c r="Q152" s="165"/>
      <c r="R152" s="165"/>
      <c r="S152" s="165"/>
      <c r="BH152" s="163"/>
    </row>
    <row r="153" spans="3:60" s="338" customFormat="1" x14ac:dyDescent="0.25">
      <c r="E153" s="152" t="s">
        <v>844</v>
      </c>
      <c r="F153" s="339"/>
      <c r="G153" s="339"/>
      <c r="H153" s="339"/>
      <c r="I153" s="339"/>
      <c r="J153" s="170"/>
      <c r="K153" s="170"/>
      <c r="L153" s="170"/>
      <c r="M153" s="170"/>
      <c r="N153" s="170"/>
      <c r="O153" s="170"/>
      <c r="P153" s="170"/>
      <c r="Q153" s="170"/>
      <c r="R153" s="170"/>
      <c r="S153" s="170"/>
      <c r="T153" s="170"/>
      <c r="U153" s="170"/>
      <c r="V153" s="170"/>
      <c r="W153" s="170"/>
      <c r="X153" s="170"/>
      <c r="Y153" s="170"/>
      <c r="Z153" s="170"/>
      <c r="AA153" s="170"/>
      <c r="AB153" s="170"/>
      <c r="AC153" s="170"/>
      <c r="AD153" s="170"/>
      <c r="AE153" s="170"/>
      <c r="AF153" s="170"/>
      <c r="AG153" s="170"/>
      <c r="AH153" s="170"/>
      <c r="AI153" s="170"/>
      <c r="AJ153" s="170"/>
      <c r="AK153" s="170"/>
      <c r="AL153" s="170"/>
      <c r="AM153" s="170"/>
      <c r="AN153" s="170"/>
      <c r="AO153" s="170"/>
      <c r="AP153" s="170"/>
      <c r="BH153" s="163"/>
    </row>
    <row r="154" spans="3:60" s="338" customFormat="1" x14ac:dyDescent="0.25">
      <c r="C154" s="74"/>
      <c r="F154" s="166" t="s">
        <v>43</v>
      </c>
      <c r="G154" s="166" t="s">
        <v>130</v>
      </c>
      <c r="H154" s="418">
        <f t="shared" ref="H154:H162" si="37">SUM(J142:AP142) * thousand</f>
        <v>5333787.739752451</v>
      </c>
      <c r="I154" s="339"/>
      <c r="J154" s="170"/>
      <c r="K154" s="170"/>
      <c r="L154" s="170"/>
      <c r="M154" s="170"/>
      <c r="N154" s="170"/>
      <c r="O154" s="170"/>
      <c r="P154" s="170"/>
      <c r="Q154" s="170"/>
      <c r="R154" s="170"/>
      <c r="S154" s="170"/>
      <c r="T154" s="170"/>
      <c r="U154" s="170"/>
      <c r="V154" s="170"/>
      <c r="W154" s="170"/>
      <c r="X154" s="170"/>
      <c r="Y154" s="170"/>
      <c r="Z154" s="170"/>
      <c r="AA154" s="170"/>
      <c r="AB154" s="170"/>
      <c r="AC154" s="170"/>
      <c r="AD154" s="170"/>
      <c r="AE154" s="170"/>
      <c r="AF154" s="170"/>
      <c r="AG154" s="170"/>
      <c r="AH154" s="170"/>
      <c r="AI154" s="170"/>
      <c r="AJ154" s="170"/>
      <c r="AK154" s="170"/>
      <c r="AL154" s="170"/>
      <c r="AM154" s="170"/>
      <c r="AN154" s="170"/>
      <c r="AO154" s="170"/>
      <c r="AP154" s="170"/>
      <c r="BH154" s="163"/>
    </row>
    <row r="155" spans="3:60" s="338" customFormat="1" x14ac:dyDescent="0.25">
      <c r="C155" s="74"/>
      <c r="F155" s="339" t="s">
        <v>44</v>
      </c>
      <c r="G155" s="339" t="s">
        <v>130</v>
      </c>
      <c r="H155" s="420">
        <f t="shared" si="37"/>
        <v>5276858.6049077222</v>
      </c>
      <c r="I155" s="339"/>
      <c r="J155" s="170"/>
      <c r="K155" s="170"/>
      <c r="L155" s="170"/>
      <c r="M155" s="170"/>
      <c r="N155" s="170"/>
      <c r="O155" s="170"/>
      <c r="P155" s="170"/>
      <c r="Q155" s="170"/>
      <c r="R155" s="170"/>
      <c r="S155" s="170"/>
      <c r="T155" s="170"/>
      <c r="U155" s="170"/>
      <c r="V155" s="170"/>
      <c r="W155" s="170"/>
      <c r="X155" s="170"/>
      <c r="Y155" s="170"/>
      <c r="Z155" s="170"/>
      <c r="AA155" s="170"/>
      <c r="AB155" s="170"/>
      <c r="AC155" s="170"/>
      <c r="AD155" s="170"/>
      <c r="AE155" s="170"/>
      <c r="AF155" s="170"/>
      <c r="AG155" s="170"/>
      <c r="AH155" s="170"/>
      <c r="AI155" s="170"/>
      <c r="AJ155" s="170"/>
      <c r="AK155" s="170"/>
      <c r="AL155" s="170"/>
      <c r="AM155" s="170"/>
      <c r="AN155" s="170"/>
      <c r="AO155" s="170"/>
      <c r="AP155" s="170"/>
      <c r="BH155" s="163"/>
    </row>
    <row r="156" spans="3:60" s="338" customFormat="1" x14ac:dyDescent="0.25">
      <c r="C156" s="74"/>
      <c r="F156" s="339" t="s">
        <v>45</v>
      </c>
      <c r="G156" s="339" t="s">
        <v>130</v>
      </c>
      <c r="H156" s="420">
        <f t="shared" si="37"/>
        <v>5261153.6685835924</v>
      </c>
      <c r="I156" s="339"/>
      <c r="J156" s="170"/>
      <c r="K156" s="170"/>
      <c r="L156" s="170"/>
      <c r="M156" s="170"/>
      <c r="N156" s="170"/>
      <c r="O156" s="170"/>
      <c r="P156" s="170"/>
      <c r="Q156" s="170"/>
      <c r="R156" s="170"/>
      <c r="S156" s="170"/>
      <c r="T156" s="170"/>
      <c r="U156" s="170"/>
      <c r="V156" s="170"/>
      <c r="W156" s="170"/>
      <c r="X156" s="170"/>
      <c r="Y156" s="170"/>
      <c r="Z156" s="170"/>
      <c r="AA156" s="170"/>
      <c r="AB156" s="170"/>
      <c r="AC156" s="170"/>
      <c r="AD156" s="170"/>
      <c r="AE156" s="170"/>
      <c r="AF156" s="170"/>
      <c r="AG156" s="170"/>
      <c r="AH156" s="170"/>
      <c r="AI156" s="170"/>
      <c r="AJ156" s="170"/>
      <c r="AK156" s="170"/>
      <c r="AL156" s="170"/>
      <c r="AM156" s="170"/>
      <c r="AN156" s="170"/>
      <c r="AO156" s="170"/>
      <c r="AP156" s="170"/>
      <c r="BH156" s="163"/>
    </row>
    <row r="157" spans="3:60" s="338" customFormat="1" x14ac:dyDescent="0.25">
      <c r="C157" s="74"/>
      <c r="F157" s="339" t="s">
        <v>46</v>
      </c>
      <c r="G157" s="339" t="s">
        <v>130</v>
      </c>
      <c r="H157" s="420">
        <f t="shared" si="37"/>
        <v>5123560.1639737505</v>
      </c>
      <c r="I157" s="339"/>
      <c r="J157" s="170"/>
      <c r="K157" s="170"/>
      <c r="L157" s="170"/>
      <c r="M157" s="170"/>
      <c r="N157" s="170"/>
      <c r="O157" s="170"/>
      <c r="P157" s="170"/>
      <c r="Q157" s="170"/>
      <c r="R157" s="170"/>
      <c r="S157" s="170"/>
      <c r="T157" s="170"/>
      <c r="U157" s="170"/>
      <c r="V157" s="170"/>
      <c r="W157" s="170"/>
      <c r="X157" s="170"/>
      <c r="Y157" s="170"/>
      <c r="Z157" s="170"/>
      <c r="AA157" s="170"/>
      <c r="AB157" s="170"/>
      <c r="AC157" s="170"/>
      <c r="AD157" s="170"/>
      <c r="AE157" s="170"/>
      <c r="AF157" s="170"/>
      <c r="AG157" s="170"/>
      <c r="AH157" s="170"/>
      <c r="AI157" s="170"/>
      <c r="AJ157" s="170"/>
      <c r="AK157" s="170"/>
      <c r="AL157" s="170"/>
      <c r="AM157" s="170"/>
      <c r="AN157" s="170"/>
      <c r="AO157" s="170"/>
      <c r="AP157" s="170"/>
      <c r="BH157" s="163"/>
    </row>
    <row r="158" spans="3:60" s="338" customFormat="1" x14ac:dyDescent="0.25">
      <c r="C158" s="74"/>
      <c r="F158" s="339" t="s">
        <v>47</v>
      </c>
      <c r="G158" s="339" t="s">
        <v>130</v>
      </c>
      <c r="H158" s="420">
        <f t="shared" si="37"/>
        <v>5098469.2718876908</v>
      </c>
      <c r="I158" s="339"/>
      <c r="J158" s="170"/>
      <c r="K158" s="170"/>
      <c r="L158" s="170"/>
      <c r="M158" s="170"/>
      <c r="N158" s="170"/>
      <c r="O158" s="170"/>
      <c r="P158" s="170"/>
      <c r="Q158" s="170"/>
      <c r="R158" s="170"/>
      <c r="S158" s="170"/>
      <c r="T158" s="170"/>
      <c r="U158" s="170"/>
      <c r="V158" s="170"/>
      <c r="W158" s="170"/>
      <c r="X158" s="170"/>
      <c r="Y158" s="170"/>
      <c r="Z158" s="170"/>
      <c r="AA158" s="170"/>
      <c r="AB158" s="170"/>
      <c r="AC158" s="170"/>
      <c r="AD158" s="170"/>
      <c r="AE158" s="170"/>
      <c r="AF158" s="170"/>
      <c r="AG158" s="170"/>
      <c r="AH158" s="170"/>
      <c r="AI158" s="170"/>
      <c r="AJ158" s="170"/>
      <c r="AK158" s="170"/>
      <c r="AL158" s="170"/>
      <c r="AM158" s="170"/>
      <c r="AN158" s="170"/>
      <c r="AO158" s="170"/>
      <c r="AP158" s="170"/>
      <c r="BH158" s="163"/>
    </row>
    <row r="159" spans="3:60" s="338" customFormat="1" x14ac:dyDescent="0.25">
      <c r="C159" s="74"/>
      <c r="F159" s="339" t="s">
        <v>51</v>
      </c>
      <c r="G159" s="339" t="s">
        <v>130</v>
      </c>
      <c r="H159" s="420">
        <f t="shared" si="37"/>
        <v>0</v>
      </c>
      <c r="I159" s="339"/>
      <c r="J159" s="170"/>
      <c r="K159" s="170"/>
      <c r="L159" s="170"/>
      <c r="M159" s="170"/>
      <c r="N159" s="170"/>
      <c r="O159" s="170"/>
      <c r="P159" s="170"/>
      <c r="Q159" s="170"/>
      <c r="R159" s="170"/>
      <c r="S159" s="170"/>
      <c r="T159" s="170"/>
      <c r="U159" s="170"/>
      <c r="V159" s="170"/>
      <c r="W159" s="170"/>
      <c r="X159" s="170"/>
      <c r="Y159" s="170"/>
      <c r="Z159" s="170"/>
      <c r="AA159" s="170"/>
      <c r="AB159" s="170"/>
      <c r="AC159" s="170"/>
      <c r="AD159" s="170"/>
      <c r="AE159" s="170"/>
      <c r="AF159" s="170"/>
      <c r="AG159" s="170"/>
      <c r="AH159" s="170"/>
      <c r="AI159" s="170"/>
      <c r="AJ159" s="170"/>
      <c r="AK159" s="170"/>
      <c r="AL159" s="170"/>
      <c r="AM159" s="170"/>
      <c r="AN159" s="170"/>
      <c r="AO159" s="170"/>
      <c r="AP159" s="170"/>
      <c r="BH159" s="163"/>
    </row>
    <row r="160" spans="3:60" s="338" customFormat="1" x14ac:dyDescent="0.25">
      <c r="C160" s="74"/>
      <c r="F160" s="339" t="s">
        <v>48</v>
      </c>
      <c r="G160" s="339" t="s">
        <v>130</v>
      </c>
      <c r="H160" s="420">
        <f t="shared" si="37"/>
        <v>5046087.0049015302</v>
      </c>
      <c r="I160" s="339"/>
      <c r="J160" s="170"/>
      <c r="K160" s="170"/>
      <c r="L160" s="170"/>
      <c r="M160" s="170"/>
      <c r="N160" s="170"/>
      <c r="O160" s="170"/>
      <c r="P160" s="170"/>
      <c r="Q160" s="170"/>
      <c r="R160" s="170"/>
      <c r="S160" s="170"/>
      <c r="T160" s="170"/>
      <c r="U160" s="170"/>
      <c r="V160" s="170"/>
      <c r="W160" s="170"/>
      <c r="X160" s="170"/>
      <c r="Y160" s="170"/>
      <c r="Z160" s="170"/>
      <c r="AA160" s="170"/>
      <c r="AB160" s="170"/>
      <c r="AC160" s="170"/>
      <c r="AD160" s="170"/>
      <c r="AE160" s="170"/>
      <c r="AF160" s="170"/>
      <c r="AG160" s="170"/>
      <c r="AH160" s="170"/>
      <c r="AI160" s="170"/>
      <c r="AJ160" s="170"/>
      <c r="AK160" s="170"/>
      <c r="AL160" s="170"/>
      <c r="AM160" s="170"/>
      <c r="AN160" s="170"/>
      <c r="AO160" s="170"/>
      <c r="AP160" s="170"/>
      <c r="BH160" s="163"/>
    </row>
    <row r="161" spans="3:60" s="338" customFormat="1" x14ac:dyDescent="0.25">
      <c r="C161" s="74"/>
      <c r="F161" s="339" t="s">
        <v>49</v>
      </c>
      <c r="G161" s="339" t="s">
        <v>130</v>
      </c>
      <c r="H161" s="420">
        <f t="shared" si="37"/>
        <v>4377870.5714648478</v>
      </c>
      <c r="I161" s="339"/>
      <c r="J161" s="170"/>
      <c r="K161" s="170"/>
      <c r="L161" s="170"/>
      <c r="M161" s="170"/>
      <c r="N161" s="170"/>
      <c r="O161" s="170"/>
      <c r="P161" s="170"/>
      <c r="Q161" s="170"/>
      <c r="R161" s="170"/>
      <c r="S161" s="170"/>
      <c r="T161" s="170"/>
      <c r="U161" s="170"/>
      <c r="V161" s="170"/>
      <c r="W161" s="170"/>
      <c r="X161" s="170"/>
      <c r="Y161" s="170"/>
      <c r="Z161" s="170"/>
      <c r="AA161" s="170"/>
      <c r="AB161" s="170"/>
      <c r="AC161" s="170"/>
      <c r="AD161" s="170"/>
      <c r="AE161" s="170"/>
      <c r="AF161" s="170"/>
      <c r="AG161" s="170"/>
      <c r="AH161" s="170"/>
      <c r="AI161" s="170"/>
      <c r="AJ161" s="170"/>
      <c r="AK161" s="170"/>
      <c r="AL161" s="170"/>
      <c r="AM161" s="170"/>
      <c r="AN161" s="170"/>
      <c r="AO161" s="170"/>
      <c r="AP161" s="170"/>
      <c r="BH161" s="163"/>
    </row>
    <row r="162" spans="3:60" s="338" customFormat="1" x14ac:dyDescent="0.25">
      <c r="C162" s="74"/>
      <c r="F162" s="168" t="s">
        <v>50</v>
      </c>
      <c r="G162" s="168" t="s">
        <v>130</v>
      </c>
      <c r="H162" s="422">
        <f t="shared" si="37"/>
        <v>4158252.9440773986</v>
      </c>
      <c r="I162" s="339"/>
      <c r="J162" s="170"/>
      <c r="K162" s="170"/>
      <c r="L162" s="170"/>
      <c r="M162" s="170"/>
      <c r="N162" s="170"/>
      <c r="O162" s="170"/>
      <c r="P162" s="170"/>
      <c r="Q162" s="170"/>
      <c r="R162" s="170"/>
      <c r="S162" s="170"/>
      <c r="T162" s="170"/>
      <c r="U162" s="170"/>
      <c r="V162" s="170"/>
      <c r="W162" s="170"/>
      <c r="X162" s="170"/>
      <c r="Y162" s="170"/>
      <c r="Z162" s="170"/>
      <c r="AA162" s="170"/>
      <c r="AB162" s="170"/>
      <c r="AC162" s="170"/>
      <c r="AD162" s="170"/>
      <c r="AE162" s="170"/>
      <c r="AF162" s="170"/>
      <c r="AG162" s="170"/>
      <c r="AH162" s="170"/>
      <c r="AI162" s="170"/>
      <c r="AJ162" s="170"/>
      <c r="AK162" s="170"/>
      <c r="AL162" s="170"/>
      <c r="AM162" s="170"/>
      <c r="AN162" s="170"/>
      <c r="AO162" s="170"/>
      <c r="AP162" s="170"/>
      <c r="BH162" s="163"/>
    </row>
    <row r="163" spans="3:60" s="338" customFormat="1" x14ac:dyDescent="0.25">
      <c r="C163" s="74"/>
      <c r="F163" s="339"/>
      <c r="G163" s="339"/>
      <c r="H163" s="339"/>
      <c r="I163" s="339"/>
      <c r="J163" s="170"/>
      <c r="K163" s="170"/>
      <c r="L163" s="170"/>
      <c r="M163" s="170"/>
      <c r="N163" s="170"/>
      <c r="O163" s="170"/>
      <c r="P163" s="170"/>
      <c r="Q163" s="170"/>
      <c r="R163" s="170"/>
      <c r="S163" s="170"/>
      <c r="T163" s="170"/>
      <c r="U163" s="170"/>
      <c r="V163" s="170"/>
      <c r="W163" s="170"/>
      <c r="X163" s="170"/>
      <c r="Y163" s="170"/>
      <c r="Z163" s="170"/>
      <c r="AA163" s="170"/>
      <c r="AB163" s="170"/>
      <c r="AC163" s="170"/>
      <c r="AD163" s="170"/>
      <c r="AE163" s="170"/>
      <c r="AF163" s="170"/>
      <c r="AG163" s="170"/>
      <c r="AH163" s="170"/>
      <c r="AI163" s="170"/>
      <c r="AJ163" s="170"/>
      <c r="AK163" s="170"/>
      <c r="AL163" s="170"/>
      <c r="AM163" s="170"/>
      <c r="AN163" s="170"/>
      <c r="AO163" s="170"/>
      <c r="AP163" s="170"/>
      <c r="BH163" s="163"/>
    </row>
    <row r="164" spans="3:60" x14ac:dyDescent="0.25">
      <c r="C164" s="22" t="str">
        <f ca="1">INDEX('Version control'!$H$34:$H$59,MATCH($A$1,'Version control'!$F$34:$F$59,0),1)&amp;"-D: Unit rate contributions to chargeable peak load"</f>
        <v>Section 509-D: Unit rate contributions to chargeable peak load</v>
      </c>
      <c r="D164" s="119"/>
      <c r="E164" s="119"/>
      <c r="F164" s="119"/>
      <c r="G164" s="119"/>
      <c r="H164" s="119"/>
      <c r="I164" s="119"/>
      <c r="J164" s="119"/>
      <c r="K164" s="119"/>
      <c r="L164" s="119"/>
      <c r="M164" s="119"/>
      <c r="N164" s="119"/>
      <c r="O164" s="119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BH164" s="136"/>
    </row>
    <row r="165" spans="3:60" x14ac:dyDescent="0.25">
      <c r="H165" s="165"/>
      <c r="J165" s="165"/>
      <c r="K165" s="165"/>
      <c r="L165" s="165"/>
      <c r="M165" s="165"/>
      <c r="N165" s="165"/>
      <c r="O165" s="165"/>
      <c r="P165" s="165"/>
      <c r="Q165" s="165"/>
      <c r="R165" s="165"/>
      <c r="S165" s="165"/>
      <c r="T165" s="165"/>
      <c r="U165" s="165"/>
      <c r="V165" s="165"/>
      <c r="W165" s="165"/>
      <c r="X165" s="165"/>
      <c r="Y165" s="165"/>
      <c r="Z165" s="165"/>
      <c r="AA165" s="165"/>
      <c r="AB165" s="165"/>
      <c r="AC165" s="165"/>
      <c r="AD165" s="165"/>
      <c r="AE165" s="165"/>
      <c r="AF165" s="165"/>
      <c r="AG165" s="165"/>
      <c r="AH165" s="165"/>
      <c r="AI165" s="165"/>
      <c r="AJ165" s="165"/>
      <c r="AK165" s="165"/>
      <c r="AL165" s="165"/>
      <c r="AM165" s="165"/>
      <c r="AN165" s="165"/>
      <c r="AO165" s="165"/>
      <c r="AP165" s="165"/>
    </row>
    <row r="166" spans="3:60" s="474" customFormat="1" x14ac:dyDescent="0.25">
      <c r="E166" s="74" t="s">
        <v>1068</v>
      </c>
      <c r="H166" s="165"/>
      <c r="J166" s="165"/>
      <c r="K166" s="165"/>
      <c r="L166" s="165"/>
      <c r="M166" s="165"/>
      <c r="N166" s="165"/>
      <c r="O166" s="165"/>
      <c r="P166" s="165"/>
      <c r="Q166" s="165"/>
      <c r="R166" s="165"/>
      <c r="S166" s="165"/>
      <c r="T166" s="165"/>
      <c r="U166" s="165"/>
      <c r="V166" s="165"/>
      <c r="W166" s="165"/>
      <c r="X166" s="165"/>
      <c r="Y166" s="165"/>
      <c r="Z166" s="165"/>
      <c r="AA166" s="165"/>
      <c r="AB166" s="165"/>
      <c r="AC166" s="165"/>
      <c r="AD166" s="165"/>
      <c r="AE166" s="165"/>
      <c r="AF166" s="165"/>
      <c r="AG166" s="165"/>
      <c r="AH166" s="165"/>
      <c r="AI166" s="165"/>
      <c r="AJ166" s="165"/>
      <c r="AK166" s="165"/>
      <c r="AL166" s="165"/>
      <c r="AM166" s="165"/>
      <c r="AN166" s="165"/>
      <c r="AO166" s="165"/>
      <c r="AP166" s="165"/>
    </row>
    <row r="167" spans="3:60" s="160" customFormat="1" x14ac:dyDescent="0.25">
      <c r="E167" s="152" t="s">
        <v>742</v>
      </c>
      <c r="F167" s="152"/>
      <c r="G167" s="167"/>
      <c r="H167" s="167"/>
      <c r="I167" s="167"/>
      <c r="J167" s="170"/>
      <c r="K167" s="170"/>
      <c r="L167" s="170"/>
      <c r="M167" s="170"/>
      <c r="N167" s="170"/>
      <c r="O167" s="170"/>
      <c r="P167" s="170"/>
      <c r="Q167" s="170"/>
      <c r="R167" s="170"/>
      <c r="S167" s="170"/>
      <c r="T167" s="170"/>
      <c r="U167" s="170"/>
      <c r="V167" s="170"/>
      <c r="W167" s="170"/>
      <c r="X167" s="170"/>
      <c r="Y167" s="170"/>
      <c r="Z167" s="170"/>
      <c r="AA167" s="170"/>
      <c r="AB167" s="170"/>
      <c r="AC167" s="170"/>
      <c r="AD167" s="170"/>
      <c r="AE167" s="170"/>
      <c r="AF167" s="170"/>
      <c r="AG167" s="170"/>
      <c r="AH167" s="170"/>
      <c r="AI167" s="170"/>
      <c r="AJ167" s="170"/>
      <c r="AK167" s="170"/>
      <c r="AL167" s="170"/>
      <c r="AM167" s="170"/>
      <c r="AN167" s="170"/>
      <c r="AO167" s="170"/>
      <c r="AP167" s="170"/>
      <c r="BH167" s="163"/>
    </row>
    <row r="168" spans="3:60" x14ac:dyDescent="0.25">
      <c r="C168" s="74"/>
      <c r="E168" s="131"/>
      <c r="F168" s="137" t="s">
        <v>43</v>
      </c>
      <c r="G168" s="137" t="s">
        <v>119</v>
      </c>
      <c r="H168" s="141"/>
      <c r="I168" s="137"/>
      <c r="J168" s="443">
        <f t="shared" ref="J168:AP168" si="38">J142 * (1 - J23)</f>
        <v>2555.0513653002795</v>
      </c>
      <c r="K168" s="443">
        <f t="shared" si="38"/>
        <v>292.7655338679574</v>
      </c>
      <c r="L168" s="443">
        <f t="shared" si="38"/>
        <v>2.4261760847325813</v>
      </c>
      <c r="M168" s="443">
        <f t="shared" si="38"/>
        <v>591.31556363701156</v>
      </c>
      <c r="N168" s="443">
        <f t="shared" si="38"/>
        <v>166.3402584091038</v>
      </c>
      <c r="O168" s="443">
        <f t="shared" si="38"/>
        <v>1.7310435670871602</v>
      </c>
      <c r="P168" s="443">
        <f t="shared" si="38"/>
        <v>18.730783670571455</v>
      </c>
      <c r="Q168" s="443">
        <f t="shared" si="38"/>
        <v>0</v>
      </c>
      <c r="R168" s="443">
        <f t="shared" si="38"/>
        <v>4.9244298278820431E-2</v>
      </c>
      <c r="S168" s="443">
        <f t="shared" si="38"/>
        <v>15.650807343481727</v>
      </c>
      <c r="T168" s="443">
        <f t="shared" si="38"/>
        <v>69.370757148578846</v>
      </c>
      <c r="U168" s="443">
        <f t="shared" si="38"/>
        <v>1039.1367249747414</v>
      </c>
      <c r="V168" s="443">
        <f t="shared" si="38"/>
        <v>59.429999060109573</v>
      </c>
      <c r="W168" s="443">
        <f t="shared" si="38"/>
        <v>625.19041178176349</v>
      </c>
      <c r="X168" s="443">
        <f t="shared" si="38"/>
        <v>2.8576611849991154</v>
      </c>
      <c r="Y168" s="443">
        <f t="shared" si="38"/>
        <v>2.152709330307466</v>
      </c>
      <c r="Z168" s="443">
        <f t="shared" si="38"/>
        <v>0.20421536490828651</v>
      </c>
      <c r="AA168" s="443">
        <f t="shared" si="38"/>
        <v>1.6093759776064382E-2</v>
      </c>
      <c r="AB168" s="443">
        <f t="shared" si="38"/>
        <v>31.205844626946178</v>
      </c>
      <c r="AC168" s="443">
        <f t="shared" si="38"/>
        <v>-0.55694943872271452</v>
      </c>
      <c r="AD168" s="443">
        <f t="shared" si="38"/>
        <v>-3.1406912342453408E-2</v>
      </c>
      <c r="AE168" s="443">
        <f t="shared" si="38"/>
        <v>-4.4718749070817854</v>
      </c>
      <c r="AF168" s="443">
        <f t="shared" si="38"/>
        <v>0</v>
      </c>
      <c r="AG168" s="443">
        <f t="shared" si="38"/>
        <v>-3.7855172170661544</v>
      </c>
      <c r="AH168" s="443">
        <f t="shared" si="38"/>
        <v>0</v>
      </c>
      <c r="AI168" s="443">
        <f t="shared" si="38"/>
        <v>0</v>
      </c>
      <c r="AJ168" s="443">
        <f t="shared" si="38"/>
        <v>0</v>
      </c>
      <c r="AK168" s="443">
        <f t="shared" si="38"/>
        <v>0</v>
      </c>
      <c r="AL168" s="443">
        <f t="shared" si="38"/>
        <v>0</v>
      </c>
      <c r="AM168" s="443">
        <f t="shared" si="38"/>
        <v>-55.163950360535068</v>
      </c>
      <c r="AN168" s="443">
        <f t="shared" si="38"/>
        <v>0</v>
      </c>
      <c r="AO168" s="443">
        <f t="shared" si="38"/>
        <v>-75.827754822434883</v>
      </c>
      <c r="AP168" s="443">
        <f t="shared" si="38"/>
        <v>0</v>
      </c>
      <c r="BH168" s="136"/>
    </row>
    <row r="169" spans="3:60" x14ac:dyDescent="0.25">
      <c r="C169" s="74"/>
      <c r="E169" s="131"/>
      <c r="F169" s="139" t="s">
        <v>44</v>
      </c>
      <c r="G169" s="139" t="s">
        <v>119</v>
      </c>
      <c r="H169" s="142"/>
      <c r="I169" s="139"/>
      <c r="J169" s="435">
        <f t="shared" ref="J169:AP169" si="39">J143 * (1 - J24)</f>
        <v>2506.4743396071235</v>
      </c>
      <c r="K169" s="435">
        <f t="shared" si="39"/>
        <v>287.919021589473</v>
      </c>
      <c r="L169" s="435">
        <f t="shared" si="39"/>
        <v>3.3171440116737139</v>
      </c>
      <c r="M169" s="435">
        <f t="shared" si="39"/>
        <v>593.7945283891188</v>
      </c>
      <c r="N169" s="435">
        <f t="shared" si="39"/>
        <v>166.1175085476811</v>
      </c>
      <c r="O169" s="435">
        <f t="shared" si="39"/>
        <v>1.8234715210020476</v>
      </c>
      <c r="P169" s="435">
        <f t="shared" si="39"/>
        <v>18.666642265254939</v>
      </c>
      <c r="Q169" s="435">
        <f t="shared" si="39"/>
        <v>0</v>
      </c>
      <c r="R169" s="435">
        <f t="shared" si="39"/>
        <v>4.9205036473604413E-2</v>
      </c>
      <c r="S169" s="435">
        <f t="shared" si="39"/>
        <v>15.11225002398989</v>
      </c>
      <c r="T169" s="435">
        <f t="shared" si="39"/>
        <v>69.017867556904676</v>
      </c>
      <c r="U169" s="435">
        <f t="shared" si="39"/>
        <v>1033.7539817865875</v>
      </c>
      <c r="V169" s="435">
        <f t="shared" si="39"/>
        <v>59.202212149197663</v>
      </c>
      <c r="W169" s="435">
        <f t="shared" si="39"/>
        <v>622.00188475107404</v>
      </c>
      <c r="X169" s="435">
        <f t="shared" si="39"/>
        <v>2.8454635513049831</v>
      </c>
      <c r="Y169" s="435">
        <f t="shared" si="39"/>
        <v>2.3206644550687701</v>
      </c>
      <c r="Z169" s="435">
        <f t="shared" si="39"/>
        <v>0.21934827556548181</v>
      </c>
      <c r="AA169" s="435">
        <f t="shared" si="39"/>
        <v>1.4620051765039308E-2</v>
      </c>
      <c r="AB169" s="435">
        <f t="shared" si="39"/>
        <v>33.088892177801114</v>
      </c>
      <c r="AC169" s="435">
        <f t="shared" si="39"/>
        <v>-0.55417854599275107</v>
      </c>
      <c r="AD169" s="435">
        <f t="shared" si="39"/>
        <v>-3.1250659047217341E-2</v>
      </c>
      <c r="AE169" s="435">
        <f t="shared" si="39"/>
        <v>-4.4496267732157087</v>
      </c>
      <c r="AF169" s="435">
        <f t="shared" si="39"/>
        <v>0</v>
      </c>
      <c r="AG169" s="435">
        <f t="shared" si="39"/>
        <v>-3.7627512702483492</v>
      </c>
      <c r="AH169" s="435">
        <f t="shared" si="39"/>
        <v>0</v>
      </c>
      <c r="AI169" s="435">
        <f t="shared" si="39"/>
        <v>0</v>
      </c>
      <c r="AJ169" s="435">
        <f t="shared" si="39"/>
        <v>0</v>
      </c>
      <c r="AK169" s="435">
        <f t="shared" si="39"/>
        <v>0</v>
      </c>
      <c r="AL169" s="435">
        <f t="shared" si="39"/>
        <v>0</v>
      </c>
      <c r="AM169" s="435">
        <f t="shared" si="39"/>
        <v>-54.889502846303579</v>
      </c>
      <c r="AN169" s="435">
        <f t="shared" si="39"/>
        <v>0</v>
      </c>
      <c r="AO169" s="435">
        <f t="shared" si="39"/>
        <v>-75.193130744530222</v>
      </c>
      <c r="AP169" s="435">
        <f t="shared" si="39"/>
        <v>0</v>
      </c>
      <c r="BH169" s="136"/>
    </row>
    <row r="170" spans="3:60" x14ac:dyDescent="0.25">
      <c r="C170" s="74"/>
      <c r="E170" s="131"/>
      <c r="F170" s="139" t="s">
        <v>45</v>
      </c>
      <c r="G170" s="139" t="s">
        <v>119</v>
      </c>
      <c r="H170" s="142"/>
      <c r="I170" s="139"/>
      <c r="J170" s="435">
        <f t="shared" ref="J170:AP170" si="40">J144 * (1 - J25)</f>
        <v>2499.0145945487684</v>
      </c>
      <c r="K170" s="435">
        <f t="shared" si="40"/>
        <v>287.06211973950428</v>
      </c>
      <c r="L170" s="435">
        <f t="shared" si="40"/>
        <v>3.3072715592580177</v>
      </c>
      <c r="M170" s="435">
        <f t="shared" si="40"/>
        <v>592.0272827689131</v>
      </c>
      <c r="N170" s="435">
        <f t="shared" si="40"/>
        <v>165.62311120081299</v>
      </c>
      <c r="O170" s="435">
        <f t="shared" si="40"/>
        <v>1.8180445224276365</v>
      </c>
      <c r="P170" s="435">
        <f t="shared" si="40"/>
        <v>18.61108678232263</v>
      </c>
      <c r="Q170" s="435">
        <f t="shared" si="40"/>
        <v>0</v>
      </c>
      <c r="R170" s="435">
        <f t="shared" si="40"/>
        <v>4.9058592912671062E-2</v>
      </c>
      <c r="S170" s="435">
        <f t="shared" si="40"/>
        <v>15.067273089394682</v>
      </c>
      <c r="T170" s="435">
        <f t="shared" si="40"/>
        <v>68.812457236794842</v>
      </c>
      <c r="U170" s="435">
        <f t="shared" si="40"/>
        <v>1030.6773330312701</v>
      </c>
      <c r="V170" s="435">
        <f t="shared" si="40"/>
        <v>59.026015089229809</v>
      </c>
      <c r="W170" s="435">
        <f t="shared" si="40"/>
        <v>620.15068866550519</v>
      </c>
      <c r="X170" s="435">
        <f t="shared" si="40"/>
        <v>2.8369949097832419</v>
      </c>
      <c r="Y170" s="435">
        <f t="shared" si="40"/>
        <v>2.3137577156191607</v>
      </c>
      <c r="Z170" s="435">
        <f t="shared" si="40"/>
        <v>0.21869545331677501</v>
      </c>
      <c r="AA170" s="435">
        <f t="shared" si="40"/>
        <v>1.4576539706214786E-2</v>
      </c>
      <c r="AB170" s="435">
        <f t="shared" si="40"/>
        <v>32.990413332033846</v>
      </c>
      <c r="AC170" s="435">
        <f t="shared" si="40"/>
        <v>-0.55252920508205827</v>
      </c>
      <c r="AD170" s="435">
        <f t="shared" si="40"/>
        <v>-3.1157651133386331E-2</v>
      </c>
      <c r="AE170" s="435">
        <f t="shared" si="40"/>
        <v>-4.4363838363906618</v>
      </c>
      <c r="AF170" s="435">
        <f t="shared" si="40"/>
        <v>0</v>
      </c>
      <c r="AG170" s="435">
        <f t="shared" si="40"/>
        <v>-3.7515526057535622</v>
      </c>
      <c r="AH170" s="435">
        <f t="shared" si="40"/>
        <v>0</v>
      </c>
      <c r="AI170" s="435">
        <f t="shared" si="40"/>
        <v>0</v>
      </c>
      <c r="AJ170" s="435">
        <f t="shared" si="40"/>
        <v>0</v>
      </c>
      <c r="AK170" s="435">
        <f t="shared" si="40"/>
        <v>0</v>
      </c>
      <c r="AL170" s="435">
        <f t="shared" si="40"/>
        <v>0</v>
      </c>
      <c r="AM170" s="435">
        <f t="shared" si="40"/>
        <v>-54.726141230689571</v>
      </c>
      <c r="AN170" s="435">
        <f t="shared" si="40"/>
        <v>0</v>
      </c>
      <c r="AO170" s="435">
        <f t="shared" si="40"/>
        <v>-74.969341664933395</v>
      </c>
      <c r="AP170" s="435">
        <f t="shared" si="40"/>
        <v>0</v>
      </c>
      <c r="BH170" s="136"/>
    </row>
    <row r="171" spans="3:60" x14ac:dyDescent="0.25">
      <c r="C171" s="74"/>
      <c r="E171" s="131"/>
      <c r="F171" s="139" t="s">
        <v>46</v>
      </c>
      <c r="G171" s="139" t="s">
        <v>119</v>
      </c>
      <c r="H171" s="142"/>
      <c r="I171" s="139"/>
      <c r="J171" s="435">
        <f t="shared" ref="J171:AP171" si="41">J145 * (1 - J26)</f>
        <v>2381.652728836109</v>
      </c>
      <c r="K171" s="435">
        <f t="shared" si="41"/>
        <v>276.82372529626468</v>
      </c>
      <c r="L171" s="435">
        <f t="shared" si="41"/>
        <v>5.7851780258294188</v>
      </c>
      <c r="M171" s="435">
        <f t="shared" si="41"/>
        <v>599.57504201135339</v>
      </c>
      <c r="N171" s="435">
        <f t="shared" si="41"/>
        <v>165.78982926662798</v>
      </c>
      <c r="O171" s="435">
        <f t="shared" si="41"/>
        <v>2.09716318335161</v>
      </c>
      <c r="P171" s="435">
        <f t="shared" si="41"/>
        <v>18.498643116007084</v>
      </c>
      <c r="Q171" s="435">
        <f t="shared" si="41"/>
        <v>0</v>
      </c>
      <c r="R171" s="435">
        <f t="shared" si="41"/>
        <v>3.9270500897834265E-2</v>
      </c>
      <c r="S171" s="435">
        <f t="shared" si="41"/>
        <v>13.735258917841465</v>
      </c>
      <c r="T171" s="435">
        <f t="shared" si="41"/>
        <v>68.101636304291276</v>
      </c>
      <c r="U171" s="435">
        <f t="shared" si="41"/>
        <v>1020.0688506214456</v>
      </c>
      <c r="V171" s="435">
        <f t="shared" si="41"/>
        <v>58.655474845759343</v>
      </c>
      <c r="W171" s="435">
        <f t="shared" si="41"/>
        <v>491.62790281536218</v>
      </c>
      <c r="X171" s="435">
        <f t="shared" si="41"/>
        <v>2.8113886197584517</v>
      </c>
      <c r="Y171" s="435">
        <f t="shared" si="41"/>
        <v>2.0450105568656478</v>
      </c>
      <c r="Z171" s="435">
        <f t="shared" si="41"/>
        <v>0.1912421121029147</v>
      </c>
      <c r="AA171" s="435">
        <f t="shared" si="41"/>
        <v>1.6364023568594475E-2</v>
      </c>
      <c r="AB171" s="435">
        <f t="shared" si="41"/>
        <v>29.785768997565519</v>
      </c>
      <c r="AC171" s="435">
        <f t="shared" si="41"/>
        <v>-0.54817858141999476</v>
      </c>
      <c r="AD171" s="435">
        <f t="shared" si="41"/>
        <v>-3.0912315297690368E-2</v>
      </c>
      <c r="AE171" s="435">
        <f t="shared" si="41"/>
        <v>-4.4014516801986083</v>
      </c>
      <c r="AF171" s="435">
        <f t="shared" si="41"/>
        <v>0</v>
      </c>
      <c r="AG171" s="435">
        <f t="shared" si="41"/>
        <v>-3.7097598274132659</v>
      </c>
      <c r="AH171" s="435">
        <f t="shared" si="41"/>
        <v>0</v>
      </c>
      <c r="AI171" s="435">
        <f t="shared" si="41"/>
        <v>0</v>
      </c>
      <c r="AJ171" s="435">
        <f t="shared" si="41"/>
        <v>0</v>
      </c>
      <c r="AK171" s="435">
        <f t="shared" si="41"/>
        <v>0</v>
      </c>
      <c r="AL171" s="435">
        <f t="shared" si="41"/>
        <v>0</v>
      </c>
      <c r="AM171" s="435">
        <f t="shared" si="41"/>
        <v>-54.295226732810114</v>
      </c>
      <c r="AN171" s="435">
        <f t="shared" si="41"/>
        <v>0</v>
      </c>
      <c r="AO171" s="435">
        <f t="shared" si="41"/>
        <v>-73.671578269176194</v>
      </c>
      <c r="AP171" s="435">
        <f t="shared" si="41"/>
        <v>0</v>
      </c>
      <c r="BH171" s="136"/>
    </row>
    <row r="172" spans="3:60" x14ac:dyDescent="0.25">
      <c r="C172" s="74"/>
      <c r="E172" s="131"/>
      <c r="F172" s="139" t="s">
        <v>47</v>
      </c>
      <c r="G172" s="139" t="s">
        <v>119</v>
      </c>
      <c r="H172" s="142"/>
      <c r="I172" s="139"/>
      <c r="J172" s="435">
        <f t="shared" ref="J172:AP172" si="42">J146 * (1 - J27)</f>
        <v>2369.9893951983222</v>
      </c>
      <c r="K172" s="435">
        <f t="shared" si="42"/>
        <v>275.46807531929966</v>
      </c>
      <c r="L172" s="435">
        <f t="shared" si="42"/>
        <v>5.7568470854482765</v>
      </c>
      <c r="M172" s="435">
        <f t="shared" si="42"/>
        <v>596.63882731002457</v>
      </c>
      <c r="N172" s="435">
        <f t="shared" si="42"/>
        <v>164.97793000479339</v>
      </c>
      <c r="O172" s="435">
        <f t="shared" si="42"/>
        <v>2.0868930404360784</v>
      </c>
      <c r="P172" s="435">
        <f t="shared" si="42"/>
        <v>18.408052307407637</v>
      </c>
      <c r="Q172" s="435">
        <f t="shared" si="42"/>
        <v>0</v>
      </c>
      <c r="R172" s="435">
        <f t="shared" si="42"/>
        <v>0</v>
      </c>
      <c r="S172" s="435">
        <f t="shared" si="42"/>
        <v>13.667995162122361</v>
      </c>
      <c r="T172" s="435">
        <f t="shared" si="42"/>
        <v>67.768131719059696</v>
      </c>
      <c r="U172" s="435">
        <f t="shared" si="42"/>
        <v>1015.073410608608</v>
      </c>
      <c r="V172" s="435">
        <f t="shared" si="42"/>
        <v>58.368229621245341</v>
      </c>
      <c r="W172" s="435">
        <f t="shared" si="42"/>
        <v>0</v>
      </c>
      <c r="X172" s="435">
        <f t="shared" si="42"/>
        <v>2.7976208008565986</v>
      </c>
      <c r="Y172" s="435">
        <f t="shared" si="42"/>
        <v>2.0349958136880493</v>
      </c>
      <c r="Z172" s="435">
        <f t="shared" si="42"/>
        <v>0.19030556894863992</v>
      </c>
      <c r="AA172" s="435">
        <f t="shared" si="42"/>
        <v>1.6283886332705177E-2</v>
      </c>
      <c r="AB172" s="435">
        <f t="shared" si="42"/>
        <v>29.639903331563726</v>
      </c>
      <c r="AC172" s="435">
        <f t="shared" si="42"/>
        <v>-0.54549406339149331</v>
      </c>
      <c r="AD172" s="435">
        <f t="shared" si="42"/>
        <v>-3.0760932754606677E-2</v>
      </c>
      <c r="AE172" s="435">
        <f t="shared" si="42"/>
        <v>-4.3798970686403393</v>
      </c>
      <c r="AF172" s="435">
        <f t="shared" si="42"/>
        <v>0</v>
      </c>
      <c r="AG172" s="435">
        <f t="shared" si="42"/>
        <v>-3.6915925412848956</v>
      </c>
      <c r="AH172" s="435">
        <f t="shared" si="42"/>
        <v>0</v>
      </c>
      <c r="AI172" s="435">
        <f t="shared" si="42"/>
        <v>0</v>
      </c>
      <c r="AJ172" s="435">
        <f t="shared" si="42"/>
        <v>0</v>
      </c>
      <c r="AK172" s="435">
        <f t="shared" si="42"/>
        <v>0</v>
      </c>
      <c r="AL172" s="435">
        <f t="shared" si="42"/>
        <v>0</v>
      </c>
      <c r="AM172" s="435">
        <f t="shared" si="42"/>
        <v>-54.029334339407519</v>
      </c>
      <c r="AN172" s="435">
        <f t="shared" si="42"/>
        <v>0</v>
      </c>
      <c r="AO172" s="435">
        <f t="shared" si="42"/>
        <v>-73.310796788915795</v>
      </c>
      <c r="AP172" s="435">
        <f t="shared" si="42"/>
        <v>0</v>
      </c>
      <c r="BH172" s="136"/>
    </row>
    <row r="173" spans="3:60" x14ac:dyDescent="0.25">
      <c r="C173" s="74"/>
      <c r="E173" s="131"/>
      <c r="F173" s="139" t="s">
        <v>51</v>
      </c>
      <c r="G173" s="139" t="s">
        <v>119</v>
      </c>
      <c r="H173" s="142"/>
      <c r="I173" s="139"/>
      <c r="J173" s="435">
        <f t="shared" ref="J173:AP173" si="43">J147 * (1 - J28)</f>
        <v>0</v>
      </c>
      <c r="K173" s="435">
        <f t="shared" si="43"/>
        <v>0</v>
      </c>
      <c r="L173" s="435">
        <f t="shared" si="43"/>
        <v>0</v>
      </c>
      <c r="M173" s="435">
        <f t="shared" si="43"/>
        <v>0</v>
      </c>
      <c r="N173" s="435">
        <f t="shared" si="43"/>
        <v>0</v>
      </c>
      <c r="O173" s="435">
        <f t="shared" si="43"/>
        <v>0</v>
      </c>
      <c r="P173" s="435">
        <f t="shared" si="43"/>
        <v>0</v>
      </c>
      <c r="Q173" s="435">
        <f t="shared" si="43"/>
        <v>0</v>
      </c>
      <c r="R173" s="435">
        <f t="shared" si="43"/>
        <v>0</v>
      </c>
      <c r="S173" s="435">
        <f t="shared" si="43"/>
        <v>0</v>
      </c>
      <c r="T173" s="435">
        <f t="shared" si="43"/>
        <v>0</v>
      </c>
      <c r="U173" s="435">
        <f t="shared" si="43"/>
        <v>0</v>
      </c>
      <c r="V173" s="435">
        <f t="shared" si="43"/>
        <v>0</v>
      </c>
      <c r="W173" s="435">
        <f t="shared" si="43"/>
        <v>0</v>
      </c>
      <c r="X173" s="435">
        <f t="shared" si="43"/>
        <v>0</v>
      </c>
      <c r="Y173" s="435">
        <f t="shared" si="43"/>
        <v>0</v>
      </c>
      <c r="Z173" s="435">
        <f t="shared" si="43"/>
        <v>0</v>
      </c>
      <c r="AA173" s="435">
        <f t="shared" si="43"/>
        <v>0</v>
      </c>
      <c r="AB173" s="435">
        <f t="shared" si="43"/>
        <v>0</v>
      </c>
      <c r="AC173" s="435">
        <f t="shared" si="43"/>
        <v>0</v>
      </c>
      <c r="AD173" s="435">
        <f t="shared" si="43"/>
        <v>0</v>
      </c>
      <c r="AE173" s="435">
        <f t="shared" si="43"/>
        <v>0</v>
      </c>
      <c r="AF173" s="435">
        <f t="shared" si="43"/>
        <v>0</v>
      </c>
      <c r="AG173" s="435">
        <f t="shared" si="43"/>
        <v>0</v>
      </c>
      <c r="AH173" s="435">
        <f t="shared" si="43"/>
        <v>0</v>
      </c>
      <c r="AI173" s="435">
        <f t="shared" si="43"/>
        <v>0</v>
      </c>
      <c r="AJ173" s="435">
        <f t="shared" si="43"/>
        <v>0</v>
      </c>
      <c r="AK173" s="435">
        <f t="shared" si="43"/>
        <v>0</v>
      </c>
      <c r="AL173" s="435">
        <f t="shared" si="43"/>
        <v>0</v>
      </c>
      <c r="AM173" s="435">
        <f t="shared" si="43"/>
        <v>0</v>
      </c>
      <c r="AN173" s="435">
        <f t="shared" si="43"/>
        <v>0</v>
      </c>
      <c r="AO173" s="435">
        <f t="shared" si="43"/>
        <v>0</v>
      </c>
      <c r="AP173" s="435">
        <f t="shared" si="43"/>
        <v>0</v>
      </c>
      <c r="BH173" s="136"/>
    </row>
    <row r="174" spans="3:60" x14ac:dyDescent="0.25">
      <c r="C174" s="74"/>
      <c r="E174" s="131"/>
      <c r="F174" s="139" t="s">
        <v>48</v>
      </c>
      <c r="G174" s="139" t="s">
        <v>119</v>
      </c>
      <c r="H174" s="142"/>
      <c r="I174" s="139"/>
      <c r="J174" s="435">
        <f t="shared" ref="J174:AP174" si="44">J148 * (1 - J29)</f>
        <v>2219.7547977012619</v>
      </c>
      <c r="K174" s="435">
        <f t="shared" si="44"/>
        <v>262.72931330499011</v>
      </c>
      <c r="L174" s="435">
        <f t="shared" si="44"/>
        <v>8.9739301282483499</v>
      </c>
      <c r="M174" s="435">
        <f t="shared" si="44"/>
        <v>606.0924101878652</v>
      </c>
      <c r="N174" s="435">
        <f t="shared" si="44"/>
        <v>165.2467698085068</v>
      </c>
      <c r="O174" s="435">
        <f t="shared" si="44"/>
        <v>2.4537880597705044</v>
      </c>
      <c r="P174" s="435">
        <f t="shared" si="44"/>
        <v>18.262232946583914</v>
      </c>
      <c r="Q174" s="435">
        <f t="shared" si="44"/>
        <v>0</v>
      </c>
      <c r="R174" s="435">
        <f t="shared" si="44"/>
        <v>0</v>
      </c>
      <c r="S174" s="435">
        <f t="shared" si="44"/>
        <v>11.966495879974588</v>
      </c>
      <c r="T174" s="435">
        <f t="shared" si="44"/>
        <v>66.853221637804452</v>
      </c>
      <c r="U174" s="435">
        <f t="shared" si="44"/>
        <v>801.18683387610497</v>
      </c>
      <c r="V174" s="435">
        <f t="shared" si="44"/>
        <v>0</v>
      </c>
      <c r="W174" s="435">
        <f t="shared" si="44"/>
        <v>0</v>
      </c>
      <c r="X174" s="435">
        <f t="shared" si="44"/>
        <v>2.764542885918523</v>
      </c>
      <c r="Y174" s="435">
        <f t="shared" si="44"/>
        <v>1.5479452078919729</v>
      </c>
      <c r="Z174" s="435">
        <f t="shared" si="44"/>
        <v>0.14154275036961866</v>
      </c>
      <c r="AA174" s="435">
        <f t="shared" si="44"/>
        <v>1.9692407844238129E-2</v>
      </c>
      <c r="AB174" s="435">
        <f t="shared" si="44"/>
        <v>23.889654573527846</v>
      </c>
      <c r="AC174" s="435">
        <f t="shared" si="44"/>
        <v>-0.54020314134113934</v>
      </c>
      <c r="AD174" s="435">
        <f t="shared" si="44"/>
        <v>-3.0462572592098367E-2</v>
      </c>
      <c r="AE174" s="435">
        <f t="shared" si="44"/>
        <v>-4.3374150408164756</v>
      </c>
      <c r="AF174" s="435">
        <f t="shared" si="44"/>
        <v>0</v>
      </c>
      <c r="AG174" s="435">
        <f t="shared" si="44"/>
        <v>-3.6394247930578261</v>
      </c>
      <c r="AH174" s="435">
        <f t="shared" si="44"/>
        <v>0</v>
      </c>
      <c r="AI174" s="435">
        <f t="shared" si="44"/>
        <v>0</v>
      </c>
      <c r="AJ174" s="435">
        <f t="shared" si="44"/>
        <v>0</v>
      </c>
      <c r="AK174" s="435">
        <f t="shared" si="44"/>
        <v>0</v>
      </c>
      <c r="AL174" s="435">
        <f t="shared" si="44"/>
        <v>0</v>
      </c>
      <c r="AM174" s="435">
        <f t="shared" si="44"/>
        <v>0</v>
      </c>
      <c r="AN174" s="435">
        <f t="shared" si="44"/>
        <v>0</v>
      </c>
      <c r="AO174" s="435">
        <f t="shared" si="44"/>
        <v>0</v>
      </c>
      <c r="AP174" s="435">
        <f t="shared" si="44"/>
        <v>0</v>
      </c>
      <c r="BH174" s="136"/>
    </row>
    <row r="175" spans="3:60" x14ac:dyDescent="0.25">
      <c r="C175" s="74"/>
      <c r="E175" s="131"/>
      <c r="F175" s="139" t="s">
        <v>49</v>
      </c>
      <c r="G175" s="139" t="s">
        <v>119</v>
      </c>
      <c r="H175" s="142"/>
      <c r="I175" s="139"/>
      <c r="J175" s="435">
        <f t="shared" ref="J175:AP175" si="45">J149 * (1 - J30)</f>
        <v>2187.9227499330791</v>
      </c>
      <c r="K175" s="435">
        <f t="shared" si="45"/>
        <v>258.96168452910592</v>
      </c>
      <c r="L175" s="435">
        <f t="shared" si="45"/>
        <v>8.8452408816673493</v>
      </c>
      <c r="M175" s="435">
        <f t="shared" si="45"/>
        <v>597.40083642800096</v>
      </c>
      <c r="N175" s="435">
        <f t="shared" si="45"/>
        <v>162.87707425675956</v>
      </c>
      <c r="O175" s="435">
        <f t="shared" si="45"/>
        <v>2.4185998944774281</v>
      </c>
      <c r="P175" s="435">
        <f t="shared" si="45"/>
        <v>18.000346240848963</v>
      </c>
      <c r="Q175" s="435">
        <f t="shared" si="45"/>
        <v>0</v>
      </c>
      <c r="R175" s="435">
        <f t="shared" si="45"/>
        <v>0</v>
      </c>
      <c r="S175" s="435">
        <f t="shared" si="45"/>
        <v>11.794892210567683</v>
      </c>
      <c r="T175" s="435">
        <f t="shared" si="45"/>
        <v>65.894523430761367</v>
      </c>
      <c r="U175" s="435">
        <f t="shared" si="45"/>
        <v>0</v>
      </c>
      <c r="V175" s="435">
        <f t="shared" si="45"/>
        <v>0</v>
      </c>
      <c r="W175" s="435">
        <f t="shared" si="45"/>
        <v>0</v>
      </c>
      <c r="X175" s="435">
        <f t="shared" si="45"/>
        <v>2.7248983894665364</v>
      </c>
      <c r="Y175" s="435">
        <f t="shared" si="45"/>
        <v>1.525747140857193</v>
      </c>
      <c r="Z175" s="435">
        <f t="shared" si="45"/>
        <v>0.1395129786147962</v>
      </c>
      <c r="AA175" s="435">
        <f t="shared" si="45"/>
        <v>1.9410011938250007E-2</v>
      </c>
      <c r="AB175" s="435">
        <f t="shared" si="45"/>
        <v>23.547068704882602</v>
      </c>
      <c r="AC175" s="435">
        <f t="shared" si="45"/>
        <v>-0.53245644237353218</v>
      </c>
      <c r="AD175" s="435">
        <f t="shared" si="45"/>
        <v>0</v>
      </c>
      <c r="AE175" s="435">
        <f t="shared" si="45"/>
        <v>-4.2752150163305798</v>
      </c>
      <c r="AF175" s="435">
        <f t="shared" si="45"/>
        <v>0</v>
      </c>
      <c r="AG175" s="435">
        <f t="shared" si="45"/>
        <v>-3.5872341889508781</v>
      </c>
      <c r="AH175" s="435">
        <f t="shared" si="45"/>
        <v>0</v>
      </c>
      <c r="AI175" s="435">
        <f t="shared" si="45"/>
        <v>0</v>
      </c>
      <c r="AJ175" s="435">
        <f t="shared" si="45"/>
        <v>0</v>
      </c>
      <c r="AK175" s="435">
        <f t="shared" si="45"/>
        <v>0</v>
      </c>
      <c r="AL175" s="435">
        <f t="shared" si="45"/>
        <v>0</v>
      </c>
      <c r="AM175" s="435">
        <f t="shared" si="45"/>
        <v>0</v>
      </c>
      <c r="AN175" s="435">
        <f t="shared" si="45"/>
        <v>0</v>
      </c>
      <c r="AO175" s="435">
        <f t="shared" si="45"/>
        <v>0</v>
      </c>
      <c r="AP175" s="435">
        <f t="shared" si="45"/>
        <v>0</v>
      </c>
      <c r="BH175" s="136"/>
    </row>
    <row r="176" spans="3:60" x14ac:dyDescent="0.25">
      <c r="C176" s="74"/>
      <c r="E176" s="131"/>
      <c r="F176" s="140" t="s">
        <v>50</v>
      </c>
      <c r="G176" s="140" t="s">
        <v>119</v>
      </c>
      <c r="H176" s="20"/>
      <c r="I176" s="140"/>
      <c r="J176" s="436">
        <f t="shared" ref="J176:AP176" si="46">J150 * (1 - J31)</f>
        <v>0</v>
      </c>
      <c r="K176" s="436">
        <f t="shared" si="46"/>
        <v>0</v>
      </c>
      <c r="L176" s="436">
        <f t="shared" si="46"/>
        <v>0</v>
      </c>
      <c r="M176" s="436">
        <f t="shared" si="46"/>
        <v>0</v>
      </c>
      <c r="N176" s="436">
        <f t="shared" si="46"/>
        <v>0</v>
      </c>
      <c r="O176" s="436">
        <f t="shared" si="46"/>
        <v>0</v>
      </c>
      <c r="P176" s="436">
        <f t="shared" si="46"/>
        <v>0</v>
      </c>
      <c r="Q176" s="436">
        <f t="shared" si="46"/>
        <v>0</v>
      </c>
      <c r="R176" s="436">
        <f t="shared" si="46"/>
        <v>0</v>
      </c>
      <c r="S176" s="436">
        <f t="shared" si="46"/>
        <v>0</v>
      </c>
      <c r="T176" s="436">
        <f t="shared" si="46"/>
        <v>0</v>
      </c>
      <c r="U176" s="436">
        <f t="shared" si="46"/>
        <v>0</v>
      </c>
      <c r="V176" s="436">
        <f t="shared" si="46"/>
        <v>0</v>
      </c>
      <c r="W176" s="436">
        <f t="shared" si="46"/>
        <v>0</v>
      </c>
      <c r="X176" s="436">
        <f t="shared" si="46"/>
        <v>2.6173036872194646</v>
      </c>
      <c r="Y176" s="436">
        <f t="shared" si="46"/>
        <v>1.4655018451208668</v>
      </c>
      <c r="Z176" s="436">
        <f t="shared" si="46"/>
        <v>0.1340042016814296</v>
      </c>
      <c r="AA176" s="436">
        <f t="shared" si="46"/>
        <v>1.8643592734076685E-2</v>
      </c>
      <c r="AB176" s="436">
        <f t="shared" si="46"/>
        <v>22.617294642155375</v>
      </c>
      <c r="AC176" s="436">
        <f t="shared" si="46"/>
        <v>0</v>
      </c>
      <c r="AD176" s="436">
        <f t="shared" si="46"/>
        <v>0</v>
      </c>
      <c r="AE176" s="436">
        <f t="shared" si="46"/>
        <v>0</v>
      </c>
      <c r="AF176" s="436">
        <f t="shared" si="46"/>
        <v>0</v>
      </c>
      <c r="AG176" s="436">
        <f t="shared" si="46"/>
        <v>0</v>
      </c>
      <c r="AH176" s="436">
        <f t="shared" si="46"/>
        <v>0</v>
      </c>
      <c r="AI176" s="436">
        <f t="shared" si="46"/>
        <v>0</v>
      </c>
      <c r="AJ176" s="436">
        <f t="shared" si="46"/>
        <v>0</v>
      </c>
      <c r="AK176" s="436">
        <f t="shared" si="46"/>
        <v>0</v>
      </c>
      <c r="AL176" s="436">
        <f t="shared" si="46"/>
        <v>0</v>
      </c>
      <c r="AM176" s="436">
        <f t="shared" si="46"/>
        <v>0</v>
      </c>
      <c r="AN176" s="436">
        <f t="shared" si="46"/>
        <v>0</v>
      </c>
      <c r="AO176" s="436">
        <f t="shared" si="46"/>
        <v>0</v>
      </c>
      <c r="AP176" s="436">
        <f t="shared" si="46"/>
        <v>0</v>
      </c>
      <c r="BH176" s="136"/>
    </row>
    <row r="177" spans="2:60" x14ac:dyDescent="0.25">
      <c r="C177" s="74"/>
      <c r="E177" s="131"/>
      <c r="F177" s="154" t="s">
        <v>128</v>
      </c>
      <c r="G177" s="154" t="s">
        <v>119</v>
      </c>
      <c r="H177" s="130"/>
      <c r="I177" s="138"/>
      <c r="J177" s="451">
        <f t="shared" ref="J177:AP177" si="47">SUM(J168:J176)</f>
        <v>16719.859971124941</v>
      </c>
      <c r="K177" s="451">
        <f t="shared" si="47"/>
        <v>1941.7294736465954</v>
      </c>
      <c r="L177" s="451">
        <f t="shared" si="47"/>
        <v>38.411787776857707</v>
      </c>
      <c r="M177" s="451">
        <f t="shared" si="47"/>
        <v>4176.8444907322873</v>
      </c>
      <c r="N177" s="451">
        <f t="shared" si="47"/>
        <v>1156.9724814942856</v>
      </c>
      <c r="O177" s="451">
        <f t="shared" si="47"/>
        <v>14.429003788552466</v>
      </c>
      <c r="P177" s="451">
        <f t="shared" si="47"/>
        <v>129.1777873289966</v>
      </c>
      <c r="Q177" s="451">
        <f t="shared" si="47"/>
        <v>0</v>
      </c>
      <c r="R177" s="451">
        <f t="shared" si="47"/>
        <v>0.18677842856293017</v>
      </c>
      <c r="S177" s="451">
        <f t="shared" si="47"/>
        <v>96.994972627372391</v>
      </c>
      <c r="T177" s="451">
        <f t="shared" si="47"/>
        <v>475.81859503419508</v>
      </c>
      <c r="U177" s="451">
        <f t="shared" si="47"/>
        <v>5939.8971348987579</v>
      </c>
      <c r="V177" s="451">
        <f t="shared" si="47"/>
        <v>294.68193076554172</v>
      </c>
      <c r="W177" s="451">
        <f t="shared" si="47"/>
        <v>2358.970888013705</v>
      </c>
      <c r="X177" s="451">
        <f t="shared" si="47"/>
        <v>22.255874029306916</v>
      </c>
      <c r="Y177" s="451">
        <f t="shared" si="47"/>
        <v>15.406332065419127</v>
      </c>
      <c r="Z177" s="451">
        <f t="shared" si="47"/>
        <v>1.4388667055079425</v>
      </c>
      <c r="AA177" s="451">
        <f t="shared" si="47"/>
        <v>0.13568427366518296</v>
      </c>
      <c r="AB177" s="451">
        <f t="shared" si="47"/>
        <v>226.76484038647621</v>
      </c>
      <c r="AC177" s="451">
        <f t="shared" si="47"/>
        <v>-3.8299894183236831</v>
      </c>
      <c r="AD177" s="451">
        <f t="shared" si="47"/>
        <v>-0.18595104316745248</v>
      </c>
      <c r="AE177" s="451">
        <f t="shared" si="47"/>
        <v>-30.751864322674162</v>
      </c>
      <c r="AF177" s="451">
        <f t="shared" si="47"/>
        <v>0</v>
      </c>
      <c r="AG177" s="451">
        <f t="shared" si="47"/>
        <v>-25.927832443774928</v>
      </c>
      <c r="AH177" s="451">
        <f t="shared" si="47"/>
        <v>0</v>
      </c>
      <c r="AI177" s="451">
        <f t="shared" si="47"/>
        <v>0</v>
      </c>
      <c r="AJ177" s="451">
        <f t="shared" si="47"/>
        <v>0</v>
      </c>
      <c r="AK177" s="451">
        <f t="shared" si="47"/>
        <v>0</v>
      </c>
      <c r="AL177" s="451">
        <f t="shared" si="47"/>
        <v>0</v>
      </c>
      <c r="AM177" s="451">
        <f t="shared" si="47"/>
        <v>-273.10415550974585</v>
      </c>
      <c r="AN177" s="451">
        <f t="shared" si="47"/>
        <v>0</v>
      </c>
      <c r="AO177" s="451">
        <f t="shared" si="47"/>
        <v>-372.9726022899905</v>
      </c>
      <c r="AP177" s="451">
        <f t="shared" si="47"/>
        <v>0</v>
      </c>
      <c r="BH177" s="136"/>
    </row>
    <row r="178" spans="2:60" x14ac:dyDescent="0.25">
      <c r="H178" s="153"/>
    </row>
    <row r="179" spans="2:60" x14ac:dyDescent="0.25">
      <c r="B179" s="34" t="s">
        <v>435</v>
      </c>
      <c r="C179" s="34"/>
      <c r="D179" s="34"/>
      <c r="E179" s="171"/>
      <c r="F179" s="120"/>
      <c r="G179" s="120"/>
      <c r="H179" s="120"/>
      <c r="I179" s="120"/>
      <c r="J179" s="118"/>
      <c r="K179" s="118"/>
      <c r="L179" s="118"/>
      <c r="M179" s="118"/>
      <c r="N179" s="118"/>
      <c r="O179" s="118"/>
      <c r="P179" s="60"/>
      <c r="Q179" s="60"/>
      <c r="R179" s="60"/>
      <c r="S179" s="60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  <c r="AM179" s="34"/>
      <c r="AN179" s="34"/>
      <c r="AO179" s="34"/>
      <c r="AP179" s="34"/>
      <c r="AQ179" s="171"/>
      <c r="AR179" s="171"/>
      <c r="BH179" s="136"/>
    </row>
    <row r="180" spans="2:60" s="160" customFormat="1" x14ac:dyDescent="0.25">
      <c r="C180" s="74"/>
      <c r="F180" s="167"/>
      <c r="G180" s="167"/>
      <c r="H180" s="167"/>
      <c r="I180" s="167"/>
      <c r="J180" s="170"/>
      <c r="K180" s="170"/>
      <c r="L180" s="170"/>
      <c r="M180" s="170"/>
      <c r="N180" s="170"/>
      <c r="O180" s="170"/>
      <c r="P180" s="165"/>
      <c r="Q180" s="165"/>
      <c r="R180" s="165"/>
      <c r="S180" s="165"/>
      <c r="BH180" s="163"/>
    </row>
    <row r="181" spans="2:60" x14ac:dyDescent="0.25">
      <c r="C181" s="152" t="s">
        <v>516</v>
      </c>
      <c r="F181" s="139"/>
      <c r="G181" s="139"/>
      <c r="H181" s="139"/>
      <c r="I181" s="139"/>
      <c r="J181" s="142"/>
      <c r="K181" s="142"/>
      <c r="L181" s="142"/>
      <c r="M181" s="142"/>
      <c r="N181" s="142"/>
      <c r="O181" s="142"/>
      <c r="P181" s="33"/>
      <c r="Q181" s="33"/>
      <c r="R181" s="33"/>
      <c r="S181" s="33"/>
      <c r="BH181" s="136"/>
    </row>
    <row r="182" spans="2:60" s="160" customFormat="1" x14ac:dyDescent="0.25">
      <c r="C182" s="152" t="s">
        <v>968</v>
      </c>
      <c r="F182" s="167"/>
      <c r="G182" s="167"/>
      <c r="H182" s="167"/>
      <c r="I182" s="167"/>
      <c r="J182" s="170"/>
      <c r="K182" s="170"/>
      <c r="L182" s="170"/>
      <c r="M182" s="170"/>
      <c r="N182" s="170"/>
      <c r="O182" s="170"/>
      <c r="P182" s="165"/>
      <c r="Q182" s="165"/>
      <c r="R182" s="165"/>
      <c r="S182" s="165"/>
      <c r="BH182" s="163"/>
    </row>
    <row r="183" spans="2:60" s="160" customFormat="1" x14ac:dyDescent="0.25">
      <c r="C183" s="74"/>
      <c r="F183" s="167"/>
      <c r="G183" s="167"/>
      <c r="H183" s="167"/>
      <c r="I183" s="167"/>
      <c r="J183" s="170"/>
      <c r="K183" s="170"/>
      <c r="L183" s="170"/>
      <c r="M183" s="170"/>
      <c r="N183" s="170"/>
      <c r="O183" s="170"/>
      <c r="P183" s="165"/>
      <c r="Q183" s="165"/>
      <c r="R183" s="165"/>
      <c r="S183" s="165"/>
      <c r="BH183" s="163"/>
    </row>
    <row r="184" spans="2:60" x14ac:dyDescent="0.25">
      <c r="C184" s="22" t="str">
        <f ca="1">INDEX('Version control'!$H$34:$H$59,MATCH($A$1,'Version control'!$F$34:$F$59,0),1)&amp;"-E: Adjustment of import and exceeded capacity"</f>
        <v>Section 509-E: Adjustment of import and exceeded capacity</v>
      </c>
      <c r="D184" s="119"/>
      <c r="E184" s="119"/>
      <c r="F184" s="119"/>
      <c r="G184" s="119"/>
      <c r="H184" s="119"/>
      <c r="I184" s="119"/>
      <c r="J184" s="119"/>
      <c r="K184" s="119"/>
      <c r="L184" s="119"/>
      <c r="M184" s="119"/>
      <c r="N184" s="119"/>
      <c r="O184" s="119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BH184" s="136"/>
    </row>
    <row r="185" spans="2:60" x14ac:dyDescent="0.25">
      <c r="C185" s="74"/>
      <c r="F185" s="139"/>
      <c r="G185" s="139"/>
      <c r="H185" s="139"/>
      <c r="I185" s="139"/>
      <c r="J185" s="142"/>
      <c r="K185" s="142"/>
      <c r="L185" s="142"/>
      <c r="M185" s="142"/>
      <c r="N185" s="142"/>
      <c r="O185" s="142"/>
      <c r="P185" s="33"/>
      <c r="Q185" s="33"/>
      <c r="R185" s="33"/>
      <c r="S185" s="33"/>
      <c r="BH185" s="136"/>
    </row>
    <row r="186" spans="2:60" s="160" customFormat="1" x14ac:dyDescent="0.25">
      <c r="D186" s="152" t="s">
        <v>517</v>
      </c>
      <c r="E186" s="152"/>
      <c r="F186" s="167"/>
      <c r="G186" s="167"/>
      <c r="H186" s="167"/>
      <c r="I186" s="167"/>
      <c r="J186" s="170"/>
      <c r="K186" s="170"/>
      <c r="L186" s="170"/>
      <c r="M186" s="170"/>
      <c r="N186" s="170"/>
      <c r="O186" s="170"/>
      <c r="P186" s="165"/>
      <c r="Q186" s="165"/>
      <c r="R186" s="165"/>
      <c r="S186" s="165"/>
      <c r="BH186" s="163"/>
    </row>
    <row r="187" spans="2:60" x14ac:dyDescent="0.25">
      <c r="D187" s="474"/>
      <c r="F187" s="139"/>
      <c r="G187" s="139"/>
      <c r="H187" s="139"/>
      <c r="I187" s="139"/>
      <c r="J187" s="142"/>
      <c r="K187" s="142"/>
      <c r="L187" s="142"/>
      <c r="M187" s="142"/>
      <c r="N187" s="142"/>
      <c r="O187" s="142"/>
      <c r="P187" s="33"/>
      <c r="Q187" s="33"/>
      <c r="R187" s="33"/>
      <c r="S187" s="33"/>
      <c r="BH187" s="136"/>
    </row>
    <row r="188" spans="2:60" x14ac:dyDescent="0.25">
      <c r="C188" s="74"/>
      <c r="E188" s="167" t="s">
        <v>330</v>
      </c>
      <c r="F188" s="167"/>
      <c r="G188" s="167" t="s">
        <v>186</v>
      </c>
      <c r="H188" s="167"/>
      <c r="I188" s="167"/>
      <c r="J188" s="437">
        <f>'Volume adjustments'!J114</f>
        <v>0</v>
      </c>
      <c r="K188" s="437">
        <f>'Volume adjustments'!K114</f>
        <v>0</v>
      </c>
      <c r="L188" s="437">
        <f>'Volume adjustments'!L114</f>
        <v>0</v>
      </c>
      <c r="M188" s="437">
        <f>'Volume adjustments'!M114</f>
        <v>0</v>
      </c>
      <c r="N188" s="437">
        <f>'Volume adjustments'!N114</f>
        <v>0</v>
      </c>
      <c r="O188" s="437">
        <f>'Volume adjustments'!O114</f>
        <v>0</v>
      </c>
      <c r="P188" s="437">
        <f>'Volume adjustments'!P114</f>
        <v>0</v>
      </c>
      <c r="Q188" s="437">
        <f>'Volume adjustments'!Q114</f>
        <v>0</v>
      </c>
      <c r="R188" s="437">
        <f>'Volume adjustments'!R114</f>
        <v>0</v>
      </c>
      <c r="S188" s="437">
        <f>'Volume adjustments'!S114</f>
        <v>0</v>
      </c>
      <c r="T188" s="437">
        <f>'Volume adjustments'!T114</f>
        <v>0</v>
      </c>
      <c r="U188" s="437">
        <f>'Volume adjustments'!U114</f>
        <v>3277495.6057215333</v>
      </c>
      <c r="V188" s="437">
        <f>'Volume adjustments'!V114</f>
        <v>155122.59076448457</v>
      </c>
      <c r="W188" s="437">
        <f>'Volume adjustments'!W114</f>
        <v>2037852.7534836482</v>
      </c>
      <c r="X188" s="437">
        <f>'Volume adjustments'!X114</f>
        <v>0</v>
      </c>
      <c r="Y188" s="437">
        <f>'Volume adjustments'!Y114</f>
        <v>0</v>
      </c>
      <c r="Z188" s="437">
        <f>'Volume adjustments'!Z114</f>
        <v>0</v>
      </c>
      <c r="AA188" s="437">
        <f>'Volume adjustments'!AA114</f>
        <v>0</v>
      </c>
      <c r="AB188" s="437">
        <f>'Volume adjustments'!AB114</f>
        <v>0</v>
      </c>
      <c r="AC188" s="437">
        <f>'Volume adjustments'!AC114</f>
        <v>0</v>
      </c>
      <c r="AD188" s="437">
        <f>'Volume adjustments'!AD114</f>
        <v>0</v>
      </c>
      <c r="AE188" s="437">
        <f>'Volume adjustments'!AE114</f>
        <v>0</v>
      </c>
      <c r="AF188" s="437">
        <f>'Volume adjustments'!AF114</f>
        <v>0</v>
      </c>
      <c r="AG188" s="437">
        <f>'Volume adjustments'!AG114</f>
        <v>0</v>
      </c>
      <c r="AH188" s="437">
        <f>'Volume adjustments'!AH114</f>
        <v>0</v>
      </c>
      <c r="AI188" s="437">
        <f>'Volume adjustments'!AI114</f>
        <v>0</v>
      </c>
      <c r="AJ188" s="437">
        <f>'Volume adjustments'!AJ114</f>
        <v>0</v>
      </c>
      <c r="AK188" s="437">
        <f>'Volume adjustments'!AK114</f>
        <v>0</v>
      </c>
      <c r="AL188" s="437">
        <f>'Volume adjustments'!AL114</f>
        <v>0</v>
      </c>
      <c r="AM188" s="437">
        <f>'Volume adjustments'!AM114</f>
        <v>0</v>
      </c>
      <c r="AN188" s="437">
        <f>'Volume adjustments'!AN114</f>
        <v>0</v>
      </c>
      <c r="AO188" s="437">
        <f>'Volume adjustments'!AO114</f>
        <v>0</v>
      </c>
      <c r="AP188" s="437">
        <f>'Volume adjustments'!AP114</f>
        <v>0</v>
      </c>
      <c r="BH188" s="136"/>
    </row>
    <row r="189" spans="2:60" x14ac:dyDescent="0.25">
      <c r="C189" s="74"/>
      <c r="E189" s="167" t="s">
        <v>331</v>
      </c>
      <c r="F189" s="167"/>
      <c r="G189" s="167" t="s">
        <v>186</v>
      </c>
      <c r="H189" s="167"/>
      <c r="I189" s="167"/>
      <c r="J189" s="437">
        <f>'Volume adjustments'!J125</f>
        <v>0</v>
      </c>
      <c r="K189" s="437">
        <f>'Volume adjustments'!K125</f>
        <v>0</v>
      </c>
      <c r="L189" s="437">
        <f>'Volume adjustments'!L125</f>
        <v>0</v>
      </c>
      <c r="M189" s="437">
        <f>'Volume adjustments'!M125</f>
        <v>0</v>
      </c>
      <c r="N189" s="437">
        <f>'Volume adjustments'!N125</f>
        <v>0</v>
      </c>
      <c r="O189" s="437">
        <f>'Volume adjustments'!O125</f>
        <v>0</v>
      </c>
      <c r="P189" s="437">
        <f>'Volume adjustments'!P125</f>
        <v>0</v>
      </c>
      <c r="Q189" s="437">
        <f>'Volume adjustments'!Q125</f>
        <v>0</v>
      </c>
      <c r="R189" s="437">
        <f>'Volume adjustments'!R125</f>
        <v>0</v>
      </c>
      <c r="S189" s="437">
        <f>'Volume adjustments'!S125</f>
        <v>0</v>
      </c>
      <c r="T189" s="437">
        <f>'Volume adjustments'!T125</f>
        <v>0</v>
      </c>
      <c r="U189" s="437">
        <f>'Volume adjustments'!U125</f>
        <v>60177.553129042964</v>
      </c>
      <c r="V189" s="437">
        <f>'Volume adjustments'!V125</f>
        <v>1898.8027415114705</v>
      </c>
      <c r="W189" s="437">
        <f>'Volume adjustments'!W125</f>
        <v>28310.579478142176</v>
      </c>
      <c r="X189" s="437">
        <f>'Volume adjustments'!X125</f>
        <v>0</v>
      </c>
      <c r="Y189" s="437">
        <f>'Volume adjustments'!Y125</f>
        <v>0</v>
      </c>
      <c r="Z189" s="437">
        <f>'Volume adjustments'!Z125</f>
        <v>0</v>
      </c>
      <c r="AA189" s="437">
        <f>'Volume adjustments'!AA125</f>
        <v>0</v>
      </c>
      <c r="AB189" s="437">
        <f>'Volume adjustments'!AB125</f>
        <v>0</v>
      </c>
      <c r="AC189" s="437">
        <f>'Volume adjustments'!AC125</f>
        <v>0</v>
      </c>
      <c r="AD189" s="437">
        <f>'Volume adjustments'!AD125</f>
        <v>0</v>
      </c>
      <c r="AE189" s="437">
        <f>'Volume adjustments'!AE125</f>
        <v>0</v>
      </c>
      <c r="AF189" s="437">
        <f>'Volume adjustments'!AF125</f>
        <v>0</v>
      </c>
      <c r="AG189" s="437">
        <f>'Volume adjustments'!AG125</f>
        <v>0</v>
      </c>
      <c r="AH189" s="437">
        <f>'Volume adjustments'!AH125</f>
        <v>0</v>
      </c>
      <c r="AI189" s="437">
        <f>'Volume adjustments'!AI125</f>
        <v>0</v>
      </c>
      <c r="AJ189" s="437">
        <f>'Volume adjustments'!AJ125</f>
        <v>0</v>
      </c>
      <c r="AK189" s="437">
        <f>'Volume adjustments'!AK125</f>
        <v>0</v>
      </c>
      <c r="AL189" s="437">
        <f>'Volume adjustments'!AL125</f>
        <v>0</v>
      </c>
      <c r="AM189" s="437">
        <f>'Volume adjustments'!AM125</f>
        <v>0</v>
      </c>
      <c r="AN189" s="437">
        <f>'Volume adjustments'!AN125</f>
        <v>0</v>
      </c>
      <c r="AO189" s="437">
        <f>'Volume adjustments'!AO125</f>
        <v>0</v>
      </c>
      <c r="AP189" s="437">
        <f>'Volume adjustments'!AP125</f>
        <v>0</v>
      </c>
      <c r="BH189" s="136"/>
    </row>
    <row r="190" spans="2:60" s="160" customFormat="1" x14ac:dyDescent="0.25">
      <c r="C190" s="74"/>
      <c r="E190" s="167"/>
      <c r="F190" s="167"/>
      <c r="G190" s="167"/>
      <c r="H190" s="167"/>
      <c r="I190" s="167"/>
      <c r="J190" s="437"/>
      <c r="K190" s="437"/>
      <c r="L190" s="437"/>
      <c r="M190" s="437"/>
      <c r="N190" s="437"/>
      <c r="O190" s="437"/>
      <c r="P190" s="437"/>
      <c r="Q190" s="437"/>
      <c r="R190" s="437"/>
      <c r="S190" s="437"/>
      <c r="T190" s="437"/>
      <c r="U190" s="437"/>
      <c r="V190" s="437"/>
      <c r="W190" s="437"/>
      <c r="X190" s="437"/>
      <c r="Y190" s="437"/>
      <c r="Z190" s="437"/>
      <c r="AA190" s="437"/>
      <c r="AB190" s="437"/>
      <c r="AC190" s="437"/>
      <c r="AD190" s="437"/>
      <c r="AE190" s="437"/>
      <c r="AF190" s="437"/>
      <c r="AG190" s="437"/>
      <c r="AH190" s="437"/>
      <c r="AI190" s="437"/>
      <c r="AJ190" s="437"/>
      <c r="AK190" s="437"/>
      <c r="AL190" s="437"/>
      <c r="AM190" s="437"/>
      <c r="AN190" s="437"/>
      <c r="AO190" s="437"/>
      <c r="AP190" s="437"/>
      <c r="BH190" s="163"/>
    </row>
    <row r="191" spans="2:60" x14ac:dyDescent="0.25">
      <c r="C191" s="74"/>
      <c r="E191" s="151" t="s">
        <v>394</v>
      </c>
      <c r="F191" s="167"/>
      <c r="G191" s="167" t="s">
        <v>186</v>
      </c>
      <c r="H191" s="167"/>
      <c r="I191" s="167"/>
      <c r="J191" s="435">
        <f>SUM(J188:J189)</f>
        <v>0</v>
      </c>
      <c r="K191" s="435">
        <f t="shared" ref="K191:AP191" si="48">SUM(K188:K189)</f>
        <v>0</v>
      </c>
      <c r="L191" s="435">
        <f t="shared" si="48"/>
        <v>0</v>
      </c>
      <c r="M191" s="435">
        <f t="shared" si="48"/>
        <v>0</v>
      </c>
      <c r="N191" s="435">
        <f t="shared" si="48"/>
        <v>0</v>
      </c>
      <c r="O191" s="435">
        <f t="shared" si="48"/>
        <v>0</v>
      </c>
      <c r="P191" s="435">
        <f t="shared" si="48"/>
        <v>0</v>
      </c>
      <c r="Q191" s="435">
        <f t="shared" si="48"/>
        <v>0</v>
      </c>
      <c r="R191" s="435">
        <f t="shared" si="48"/>
        <v>0</v>
      </c>
      <c r="S191" s="435">
        <f t="shared" si="48"/>
        <v>0</v>
      </c>
      <c r="T191" s="435">
        <f t="shared" si="48"/>
        <v>0</v>
      </c>
      <c r="U191" s="435">
        <f t="shared" si="48"/>
        <v>3337673.1588505763</v>
      </c>
      <c r="V191" s="435">
        <f t="shared" si="48"/>
        <v>157021.39350599603</v>
      </c>
      <c r="W191" s="435">
        <f t="shared" si="48"/>
        <v>2066163.3329617903</v>
      </c>
      <c r="X191" s="435">
        <f t="shared" si="48"/>
        <v>0</v>
      </c>
      <c r="Y191" s="435">
        <f t="shared" si="48"/>
        <v>0</v>
      </c>
      <c r="Z191" s="435">
        <f t="shared" si="48"/>
        <v>0</v>
      </c>
      <c r="AA191" s="435">
        <f t="shared" si="48"/>
        <v>0</v>
      </c>
      <c r="AB191" s="435">
        <f t="shared" si="48"/>
        <v>0</v>
      </c>
      <c r="AC191" s="435">
        <f t="shared" si="48"/>
        <v>0</v>
      </c>
      <c r="AD191" s="435">
        <f t="shared" si="48"/>
        <v>0</v>
      </c>
      <c r="AE191" s="435">
        <f t="shared" si="48"/>
        <v>0</v>
      </c>
      <c r="AF191" s="435">
        <f t="shared" si="48"/>
        <v>0</v>
      </c>
      <c r="AG191" s="435">
        <f t="shared" si="48"/>
        <v>0</v>
      </c>
      <c r="AH191" s="435">
        <f t="shared" si="48"/>
        <v>0</v>
      </c>
      <c r="AI191" s="435">
        <f t="shared" si="48"/>
        <v>0</v>
      </c>
      <c r="AJ191" s="435">
        <f t="shared" si="48"/>
        <v>0</v>
      </c>
      <c r="AK191" s="435">
        <f t="shared" si="48"/>
        <v>0</v>
      </c>
      <c r="AL191" s="435">
        <f t="shared" si="48"/>
        <v>0</v>
      </c>
      <c r="AM191" s="435">
        <f t="shared" si="48"/>
        <v>0</v>
      </c>
      <c r="AN191" s="435">
        <f t="shared" si="48"/>
        <v>0</v>
      </c>
      <c r="AO191" s="435">
        <f t="shared" si="48"/>
        <v>0</v>
      </c>
      <c r="AP191" s="435">
        <f t="shared" si="48"/>
        <v>0</v>
      </c>
      <c r="BH191" s="136"/>
    </row>
    <row r="192" spans="2:60" x14ac:dyDescent="0.25">
      <c r="C192" s="74"/>
      <c r="E192" s="167" t="s">
        <v>395</v>
      </c>
      <c r="F192" s="167"/>
      <c r="G192" s="167" t="s">
        <v>119</v>
      </c>
      <c r="H192" s="167"/>
      <c r="I192" s="167"/>
      <c r="J192" s="435">
        <f t="shared" ref="J192:AP192" si="49">J191 * PowerFactor / thousand</f>
        <v>0</v>
      </c>
      <c r="K192" s="435">
        <f t="shared" si="49"/>
        <v>0</v>
      </c>
      <c r="L192" s="435">
        <f t="shared" si="49"/>
        <v>0</v>
      </c>
      <c r="M192" s="435">
        <f t="shared" si="49"/>
        <v>0</v>
      </c>
      <c r="N192" s="435">
        <f t="shared" si="49"/>
        <v>0</v>
      </c>
      <c r="O192" s="435">
        <f t="shared" si="49"/>
        <v>0</v>
      </c>
      <c r="P192" s="435">
        <f t="shared" si="49"/>
        <v>0</v>
      </c>
      <c r="Q192" s="435">
        <f t="shared" si="49"/>
        <v>0</v>
      </c>
      <c r="R192" s="435">
        <f t="shared" si="49"/>
        <v>0</v>
      </c>
      <c r="S192" s="435">
        <f t="shared" si="49"/>
        <v>0</v>
      </c>
      <c r="T192" s="435">
        <f t="shared" si="49"/>
        <v>0</v>
      </c>
      <c r="U192" s="435">
        <f t="shared" si="49"/>
        <v>3170.7895009080476</v>
      </c>
      <c r="V192" s="435">
        <f t="shared" si="49"/>
        <v>149.17032383069622</v>
      </c>
      <c r="W192" s="435">
        <f t="shared" si="49"/>
        <v>1962.8551663137007</v>
      </c>
      <c r="X192" s="435">
        <f t="shared" si="49"/>
        <v>0</v>
      </c>
      <c r="Y192" s="435">
        <f t="shared" si="49"/>
        <v>0</v>
      </c>
      <c r="Z192" s="435">
        <f t="shared" si="49"/>
        <v>0</v>
      </c>
      <c r="AA192" s="435">
        <f t="shared" si="49"/>
        <v>0</v>
      </c>
      <c r="AB192" s="435">
        <f t="shared" si="49"/>
        <v>0</v>
      </c>
      <c r="AC192" s="435">
        <f t="shared" si="49"/>
        <v>0</v>
      </c>
      <c r="AD192" s="435">
        <f t="shared" si="49"/>
        <v>0</v>
      </c>
      <c r="AE192" s="435">
        <f t="shared" si="49"/>
        <v>0</v>
      </c>
      <c r="AF192" s="435">
        <f t="shared" si="49"/>
        <v>0</v>
      </c>
      <c r="AG192" s="435">
        <f t="shared" si="49"/>
        <v>0</v>
      </c>
      <c r="AH192" s="435">
        <f t="shared" si="49"/>
        <v>0</v>
      </c>
      <c r="AI192" s="435">
        <f t="shared" si="49"/>
        <v>0</v>
      </c>
      <c r="AJ192" s="435">
        <f t="shared" si="49"/>
        <v>0</v>
      </c>
      <c r="AK192" s="435">
        <f t="shared" si="49"/>
        <v>0</v>
      </c>
      <c r="AL192" s="435">
        <f t="shared" si="49"/>
        <v>0</v>
      </c>
      <c r="AM192" s="435">
        <f t="shared" si="49"/>
        <v>0</v>
      </c>
      <c r="AN192" s="435">
        <f t="shared" si="49"/>
        <v>0</v>
      </c>
      <c r="AO192" s="435">
        <f t="shared" si="49"/>
        <v>0</v>
      </c>
      <c r="AP192" s="435">
        <f t="shared" si="49"/>
        <v>0</v>
      </c>
      <c r="BH192" s="136"/>
    </row>
    <row r="193" spans="1:60" x14ac:dyDescent="0.25">
      <c r="C193" s="74"/>
      <c r="F193" s="139"/>
      <c r="G193" s="139"/>
      <c r="H193" s="139"/>
      <c r="I193" s="139"/>
      <c r="J193" s="142"/>
      <c r="K193" s="142"/>
      <c r="L193" s="142"/>
      <c r="M193" s="142"/>
      <c r="N193" s="142"/>
      <c r="O193" s="142"/>
      <c r="P193" s="33"/>
      <c r="Q193" s="33"/>
      <c r="R193" s="33"/>
      <c r="S193" s="33"/>
      <c r="BH193" s="136"/>
    </row>
    <row r="194" spans="1:60" x14ac:dyDescent="0.25">
      <c r="C194" s="22" t="str">
        <f ca="1">INDEX('Version control'!$H$34:$H$59,MATCH($A$1,'Version control'!$F$34:$F$59,0),1)&amp;"-F: Calculation of LV circuit diversity factor"</f>
        <v>Section 509-F: Calculation of LV circuit diversity factor</v>
      </c>
      <c r="D194" s="119"/>
      <c r="E194" s="119"/>
      <c r="F194" s="119"/>
      <c r="G194" s="119"/>
      <c r="H194" s="119"/>
      <c r="I194" s="119"/>
      <c r="J194" s="119"/>
      <c r="K194" s="119"/>
      <c r="L194" s="119"/>
      <c r="M194" s="119"/>
      <c r="N194" s="119"/>
      <c r="O194" s="119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BH194" s="136"/>
    </row>
    <row r="195" spans="1:60" x14ac:dyDescent="0.25">
      <c r="C195" s="74"/>
      <c r="F195" s="139"/>
      <c r="G195" s="139"/>
      <c r="H195" s="139"/>
      <c r="I195" s="139"/>
      <c r="J195" s="142"/>
      <c r="K195" s="142"/>
      <c r="L195" s="142"/>
      <c r="M195" s="142"/>
      <c r="N195" s="142"/>
      <c r="O195" s="142"/>
      <c r="P195" s="142"/>
      <c r="Q195" s="142"/>
      <c r="R195" s="142"/>
      <c r="S195" s="142"/>
      <c r="T195" s="142"/>
      <c r="U195" s="142"/>
      <c r="V195" s="142"/>
      <c r="W195" s="142"/>
      <c r="X195" s="142"/>
      <c r="Y195" s="142"/>
      <c r="Z195" s="142"/>
      <c r="AA195" s="142"/>
      <c r="AB195" s="142"/>
      <c r="AC195" s="142"/>
      <c r="AD195" s="142"/>
      <c r="AE195" s="142"/>
      <c r="AF195" s="142"/>
      <c r="AG195" s="142"/>
      <c r="AH195" s="142"/>
      <c r="AI195" s="142"/>
      <c r="AJ195" s="142"/>
      <c r="AK195" s="142"/>
      <c r="AL195" s="142"/>
      <c r="AM195" s="142"/>
      <c r="AN195" s="142"/>
      <c r="AO195" s="142"/>
      <c r="AP195" s="142"/>
      <c r="BH195" s="136"/>
    </row>
    <row r="196" spans="1:60" s="160" customFormat="1" x14ac:dyDescent="0.25">
      <c r="C196" s="74"/>
      <c r="D196" s="152" t="s">
        <v>969</v>
      </c>
      <c r="F196" s="167"/>
      <c r="G196" s="167"/>
      <c r="H196" s="167"/>
      <c r="I196" s="167"/>
      <c r="J196" s="170"/>
      <c r="K196" s="170"/>
      <c r="L196" s="170"/>
      <c r="M196" s="170"/>
      <c r="N196" s="170"/>
      <c r="O196" s="170"/>
      <c r="P196" s="170"/>
      <c r="Q196" s="170"/>
      <c r="R196" s="170"/>
      <c r="S196" s="170"/>
      <c r="T196" s="170"/>
      <c r="U196" s="170"/>
      <c r="V196" s="170"/>
      <c r="W196" s="170"/>
      <c r="X196" s="170"/>
      <c r="Y196" s="170"/>
      <c r="Z196" s="170"/>
      <c r="AA196" s="170"/>
      <c r="AB196" s="170"/>
      <c r="AC196" s="170"/>
      <c r="AD196" s="170"/>
      <c r="AE196" s="170"/>
      <c r="AF196" s="170"/>
      <c r="AG196" s="170"/>
      <c r="AH196" s="170"/>
      <c r="AI196" s="170"/>
      <c r="AJ196" s="170"/>
      <c r="AK196" s="170"/>
      <c r="AL196" s="170"/>
      <c r="AM196" s="170"/>
      <c r="AN196" s="170"/>
      <c r="AO196" s="170"/>
      <c r="AP196" s="170"/>
      <c r="BH196" s="163"/>
    </row>
    <row r="197" spans="1:60" x14ac:dyDescent="0.25">
      <c r="B197" s="160"/>
      <c r="D197" s="144"/>
      <c r="F197" s="139"/>
      <c r="G197" s="139"/>
      <c r="H197" s="139"/>
      <c r="J197" s="142"/>
      <c r="K197" s="142"/>
      <c r="L197" s="142"/>
      <c r="M197" s="142"/>
      <c r="N197" s="142"/>
      <c r="O197" s="142"/>
      <c r="P197" s="142"/>
      <c r="Q197" s="142"/>
      <c r="R197" s="142"/>
      <c r="S197" s="142"/>
      <c r="T197" s="142"/>
      <c r="U197" s="142"/>
      <c r="V197" s="142"/>
      <c r="W197" s="142"/>
      <c r="X197" s="142"/>
      <c r="Y197" s="142"/>
      <c r="Z197" s="142"/>
      <c r="AA197" s="142"/>
      <c r="AB197" s="142"/>
      <c r="AC197" s="142"/>
      <c r="AD197" s="142"/>
      <c r="AE197" s="142"/>
      <c r="AF197" s="142"/>
      <c r="AG197" s="142"/>
      <c r="AH197" s="142"/>
      <c r="AI197" s="142"/>
      <c r="AJ197" s="142"/>
      <c r="AK197" s="142"/>
      <c r="AL197" s="142"/>
      <c r="AM197" s="142"/>
      <c r="AN197" s="142"/>
      <c r="AO197" s="142"/>
      <c r="AP197" s="142"/>
      <c r="BH197" s="136"/>
    </row>
    <row r="198" spans="1:60" x14ac:dyDescent="0.25">
      <c r="B198" s="160"/>
      <c r="E198" s="167" t="s">
        <v>663</v>
      </c>
      <c r="F198" s="167"/>
      <c r="G198" s="167" t="s">
        <v>192</v>
      </c>
      <c r="H198" s="199"/>
      <c r="I198" s="160" t="s">
        <v>525</v>
      </c>
      <c r="J198" s="156" t="b">
        <f>'Fixed inputs'!J136</f>
        <v>1</v>
      </c>
      <c r="K198" s="156" t="b">
        <f>'Fixed inputs'!K136</f>
        <v>1</v>
      </c>
      <c r="L198" s="156" t="b">
        <f>'Fixed inputs'!L136</f>
        <v>0</v>
      </c>
      <c r="M198" s="156" t="b">
        <f>'Fixed inputs'!M136</f>
        <v>1</v>
      </c>
      <c r="N198" s="156" t="b">
        <f>'Fixed inputs'!N136</f>
        <v>1</v>
      </c>
      <c r="O198" s="156" t="b">
        <f>'Fixed inputs'!O136</f>
        <v>0</v>
      </c>
      <c r="P198" s="156" t="b">
        <f>'Fixed inputs'!P136</f>
        <v>1</v>
      </c>
      <c r="Q198" s="156" t="b">
        <f>'Fixed inputs'!Q136</f>
        <v>1</v>
      </c>
      <c r="R198" s="156" t="b">
        <f>'Fixed inputs'!R136</f>
        <v>1</v>
      </c>
      <c r="S198" s="156" t="b">
        <f>'Fixed inputs'!S136</f>
        <v>1</v>
      </c>
      <c r="T198" s="156" t="b">
        <f>'Fixed inputs'!T136</f>
        <v>1</v>
      </c>
      <c r="U198" s="156" t="b">
        <f>'Fixed inputs'!U136</f>
        <v>1</v>
      </c>
      <c r="V198" s="156" t="b">
        <f>'Fixed inputs'!V136</f>
        <v>1</v>
      </c>
      <c r="W198" s="156" t="b">
        <f>'Fixed inputs'!W136</f>
        <v>1</v>
      </c>
      <c r="X198" s="156" t="b">
        <f>'Fixed inputs'!X136</f>
        <v>1</v>
      </c>
      <c r="Y198" s="156" t="b">
        <f>'Fixed inputs'!Y136</f>
        <v>1</v>
      </c>
      <c r="Z198" s="156" t="b">
        <f>'Fixed inputs'!Z136</f>
        <v>1</v>
      </c>
      <c r="AA198" s="156" t="b">
        <f>'Fixed inputs'!AA136</f>
        <v>1</v>
      </c>
      <c r="AB198" s="156" t="b">
        <f>'Fixed inputs'!AB136</f>
        <v>1</v>
      </c>
      <c r="AC198" s="156" t="b">
        <f>'Fixed inputs'!AC136</f>
        <v>1</v>
      </c>
      <c r="AD198" s="156" t="b">
        <f>'Fixed inputs'!AD136</f>
        <v>1</v>
      </c>
      <c r="AE198" s="156" t="b">
        <f>'Fixed inputs'!AE136</f>
        <v>1</v>
      </c>
      <c r="AF198" s="156" t="b">
        <f>'Fixed inputs'!AF136</f>
        <v>1</v>
      </c>
      <c r="AG198" s="156" t="b">
        <f>'Fixed inputs'!AG136</f>
        <v>1</v>
      </c>
      <c r="AH198" s="156" t="b">
        <f>'Fixed inputs'!AH136</f>
        <v>1</v>
      </c>
      <c r="AI198" s="156" t="b">
        <f>'Fixed inputs'!AI136</f>
        <v>1</v>
      </c>
      <c r="AJ198" s="156" t="b">
        <f>'Fixed inputs'!AJ136</f>
        <v>1</v>
      </c>
      <c r="AK198" s="156" t="b">
        <f>'Fixed inputs'!AK136</f>
        <v>1</v>
      </c>
      <c r="AL198" s="156" t="b">
        <f>'Fixed inputs'!AL136</f>
        <v>1</v>
      </c>
      <c r="AM198" s="156" t="b">
        <f>'Fixed inputs'!AM136</f>
        <v>1</v>
      </c>
      <c r="AN198" s="156" t="b">
        <f>'Fixed inputs'!AN136</f>
        <v>1</v>
      </c>
      <c r="AO198" s="156" t="b">
        <f>'Fixed inputs'!AO136</f>
        <v>1</v>
      </c>
      <c r="AP198" s="156" t="b">
        <f>'Fixed inputs'!AP136</f>
        <v>1</v>
      </c>
      <c r="AR198" s="131" t="s">
        <v>970</v>
      </c>
    </row>
    <row r="199" spans="1:60" x14ac:dyDescent="0.25">
      <c r="D199" s="144"/>
      <c r="F199" s="139"/>
      <c r="G199" s="139"/>
      <c r="H199" s="122"/>
      <c r="J199" s="142"/>
      <c r="K199" s="142"/>
      <c r="L199" s="142"/>
      <c r="M199" s="142"/>
      <c r="N199" s="142"/>
      <c r="O199" s="142"/>
      <c r="P199" s="33"/>
      <c r="Q199" s="33"/>
      <c r="R199" s="33"/>
      <c r="S199" s="33"/>
      <c r="BH199" s="136"/>
    </row>
    <row r="200" spans="1:60" x14ac:dyDescent="0.25">
      <c r="C200" s="74"/>
      <c r="E200" s="151" t="s">
        <v>488</v>
      </c>
      <c r="F200" s="167"/>
      <c r="G200" s="151" t="s">
        <v>119</v>
      </c>
      <c r="H200" s="170"/>
      <c r="I200" s="160" t="s">
        <v>525</v>
      </c>
      <c r="J200" s="420">
        <f t="shared" ref="J200:AB200" si="50">J59 / (hours_in_year * J61)</f>
        <v>2725.46935016422</v>
      </c>
      <c r="K200" s="420">
        <f t="shared" si="50"/>
        <v>711.68555758403261</v>
      </c>
      <c r="L200" s="420">
        <f t="shared" si="50"/>
        <v>216.30542050005502</v>
      </c>
      <c r="M200" s="420">
        <f t="shared" si="50"/>
        <v>857.75111944829678</v>
      </c>
      <c r="N200" s="420">
        <f t="shared" si="50"/>
        <v>191.07275707795239</v>
      </c>
      <c r="O200" s="420">
        <f t="shared" si="50"/>
        <v>21.570897279144404</v>
      </c>
      <c r="P200" s="420">
        <f t="shared" si="50"/>
        <v>25.12736383699545</v>
      </c>
      <c r="Q200" s="420">
        <f t="shared" si="50"/>
        <v>0</v>
      </c>
      <c r="R200" s="420">
        <f t="shared" si="50"/>
        <v>0.10166981479782894</v>
      </c>
      <c r="S200" s="420">
        <f t="shared" si="50"/>
        <v>22.587453252341597</v>
      </c>
      <c r="T200" s="420">
        <f t="shared" si="50"/>
        <v>87.069862357247359</v>
      </c>
      <c r="U200" s="420">
        <f t="shared" si="50"/>
        <v>1181.0038649987612</v>
      </c>
      <c r="V200" s="420">
        <f t="shared" si="50"/>
        <v>69.900492391912593</v>
      </c>
      <c r="W200" s="420">
        <f t="shared" si="50"/>
        <v>778.11764274342045</v>
      </c>
      <c r="X200" s="420">
        <f t="shared" si="50"/>
        <v>2.8008482714512599</v>
      </c>
      <c r="Y200" s="420">
        <f t="shared" si="50"/>
        <v>3.7694147636634692</v>
      </c>
      <c r="Z200" s="420">
        <f t="shared" si="50"/>
        <v>0.3454000841580116</v>
      </c>
      <c r="AA200" s="420">
        <f t="shared" si="50"/>
        <v>3.2534525092150587E-2</v>
      </c>
      <c r="AB200" s="420">
        <f t="shared" si="50"/>
        <v>53.54575328686029</v>
      </c>
      <c r="AC200" s="82"/>
      <c r="AD200" s="82"/>
      <c r="AE200" s="82"/>
      <c r="AF200" s="82"/>
      <c r="AG200" s="82"/>
      <c r="AH200" s="82"/>
      <c r="AI200" s="82"/>
      <c r="AJ200" s="82"/>
      <c r="AK200" s="82"/>
      <c r="AL200" s="82"/>
      <c r="AM200" s="82"/>
      <c r="AN200" s="82"/>
      <c r="AO200" s="82"/>
      <c r="AP200" s="82"/>
      <c r="AR200" s="160" t="s">
        <v>970</v>
      </c>
      <c r="BH200" s="136"/>
    </row>
    <row r="201" spans="1:60" x14ac:dyDescent="0.25">
      <c r="C201" s="74"/>
      <c r="F201" s="151"/>
      <c r="G201" s="151"/>
      <c r="H201" s="170"/>
      <c r="I201" s="167"/>
      <c r="J201" s="435"/>
      <c r="K201" s="435"/>
      <c r="L201" s="435"/>
      <c r="M201" s="435"/>
      <c r="N201" s="435"/>
      <c r="O201" s="435"/>
      <c r="P201" s="435"/>
      <c r="Q201" s="435"/>
      <c r="R201" s="435"/>
      <c r="S201" s="435"/>
      <c r="T201" s="435"/>
      <c r="U201" s="435"/>
      <c r="V201" s="435"/>
      <c r="W201" s="435"/>
      <c r="X201" s="435"/>
      <c r="Y201" s="435"/>
      <c r="Z201" s="435"/>
      <c r="AA201" s="435"/>
      <c r="AB201" s="435"/>
      <c r="AC201" s="170"/>
      <c r="AD201" s="170"/>
      <c r="AE201" s="170"/>
      <c r="AF201" s="170"/>
      <c r="AG201" s="170"/>
      <c r="AH201" s="170"/>
      <c r="AI201" s="170"/>
      <c r="AJ201" s="170"/>
      <c r="AK201" s="170"/>
      <c r="AL201" s="170"/>
      <c r="AM201" s="170"/>
      <c r="AN201" s="170"/>
      <c r="AO201" s="170"/>
      <c r="AP201" s="170"/>
      <c r="BH201" s="136"/>
    </row>
    <row r="202" spans="1:60" x14ac:dyDescent="0.25">
      <c r="A202" s="160"/>
      <c r="B202" s="160"/>
      <c r="E202" s="339" t="s">
        <v>459</v>
      </c>
      <c r="F202" s="339"/>
      <c r="G202" s="339" t="s">
        <v>119</v>
      </c>
      <c r="H202" s="170"/>
      <c r="I202" s="339" t="s">
        <v>525</v>
      </c>
      <c r="J202" s="435">
        <f t="shared" ref="J202:AP202" si="51">J192 * J42 / $H53</f>
        <v>0</v>
      </c>
      <c r="K202" s="435">
        <f t="shared" si="51"/>
        <v>0</v>
      </c>
      <c r="L202" s="435">
        <f t="shared" si="51"/>
        <v>0</v>
      </c>
      <c r="M202" s="435">
        <f t="shared" si="51"/>
        <v>0</v>
      </c>
      <c r="N202" s="435">
        <f t="shared" si="51"/>
        <v>0</v>
      </c>
      <c r="O202" s="435">
        <f t="shared" si="51"/>
        <v>0</v>
      </c>
      <c r="P202" s="435">
        <f t="shared" si="51"/>
        <v>0</v>
      </c>
      <c r="Q202" s="435">
        <f t="shared" si="51"/>
        <v>0</v>
      </c>
      <c r="R202" s="435">
        <f t="shared" si="51"/>
        <v>0</v>
      </c>
      <c r="S202" s="435">
        <f t="shared" si="51"/>
        <v>0</v>
      </c>
      <c r="T202" s="435">
        <f t="shared" si="51"/>
        <v>0</v>
      </c>
      <c r="U202" s="435">
        <f t="shared" si="51"/>
        <v>3170.7895009080476</v>
      </c>
      <c r="V202" s="435">
        <f t="shared" si="51"/>
        <v>0</v>
      </c>
      <c r="W202" s="435">
        <f t="shared" si="51"/>
        <v>0</v>
      </c>
      <c r="X202" s="435">
        <f t="shared" si="51"/>
        <v>0</v>
      </c>
      <c r="Y202" s="435">
        <f t="shared" si="51"/>
        <v>0</v>
      </c>
      <c r="Z202" s="435">
        <f t="shared" si="51"/>
        <v>0</v>
      </c>
      <c r="AA202" s="435">
        <f t="shared" si="51"/>
        <v>0</v>
      </c>
      <c r="AB202" s="435">
        <f t="shared" si="51"/>
        <v>0</v>
      </c>
      <c r="AC202" s="170">
        <f t="shared" si="51"/>
        <v>0</v>
      </c>
      <c r="AD202" s="170">
        <f t="shared" si="51"/>
        <v>0</v>
      </c>
      <c r="AE202" s="170">
        <f t="shared" si="51"/>
        <v>0</v>
      </c>
      <c r="AF202" s="170">
        <f t="shared" si="51"/>
        <v>0</v>
      </c>
      <c r="AG202" s="170">
        <f t="shared" si="51"/>
        <v>0</v>
      </c>
      <c r="AH202" s="170">
        <f t="shared" si="51"/>
        <v>0</v>
      </c>
      <c r="AI202" s="170">
        <f t="shared" si="51"/>
        <v>0</v>
      </c>
      <c r="AJ202" s="170">
        <f t="shared" si="51"/>
        <v>0</v>
      </c>
      <c r="AK202" s="170">
        <f t="shared" si="51"/>
        <v>0</v>
      </c>
      <c r="AL202" s="170">
        <f t="shared" si="51"/>
        <v>0</v>
      </c>
      <c r="AM202" s="170">
        <f t="shared" si="51"/>
        <v>0</v>
      </c>
      <c r="AN202" s="170">
        <f t="shared" si="51"/>
        <v>0</v>
      </c>
      <c r="AO202" s="170">
        <f t="shared" si="51"/>
        <v>0</v>
      </c>
      <c r="AP202" s="170">
        <f t="shared" si="51"/>
        <v>0</v>
      </c>
      <c r="AR202" s="474" t="s">
        <v>970</v>
      </c>
    </row>
    <row r="203" spans="1:60" s="474" customFormat="1" x14ac:dyDescent="0.25">
      <c r="E203" s="339"/>
      <c r="F203" s="339"/>
      <c r="G203" s="339"/>
      <c r="H203" s="170"/>
      <c r="I203" s="339"/>
      <c r="J203" s="435"/>
      <c r="K203" s="435"/>
      <c r="L203" s="435"/>
      <c r="M203" s="435"/>
      <c r="N203" s="435"/>
      <c r="O203" s="435"/>
      <c r="P203" s="435"/>
      <c r="Q203" s="435"/>
      <c r="R203" s="435"/>
      <c r="S203" s="435"/>
      <c r="T203" s="435"/>
      <c r="U203" s="435"/>
      <c r="V203" s="435"/>
      <c r="W203" s="435"/>
      <c r="X203" s="435"/>
      <c r="Y203" s="435"/>
      <c r="Z203" s="435"/>
      <c r="AA203" s="435"/>
      <c r="AB203" s="435"/>
      <c r="AC203" s="170"/>
      <c r="AD203" s="170"/>
      <c r="AE203" s="170"/>
      <c r="AF203" s="170"/>
      <c r="AG203" s="170"/>
      <c r="AH203" s="170"/>
      <c r="AI203" s="170"/>
      <c r="AJ203" s="170"/>
      <c r="AK203" s="170"/>
      <c r="AL203" s="170"/>
      <c r="AM203" s="170"/>
      <c r="AN203" s="170"/>
      <c r="AO203" s="170"/>
      <c r="AP203" s="170"/>
    </row>
    <row r="204" spans="1:60" s="160" customFormat="1" x14ac:dyDescent="0.25">
      <c r="A204" s="338"/>
      <c r="E204" s="339" t="s">
        <v>662</v>
      </c>
      <c r="F204" s="339"/>
      <c r="G204" s="339" t="s">
        <v>119</v>
      </c>
      <c r="H204" s="170"/>
      <c r="I204" s="339"/>
      <c r="J204" s="435">
        <f t="shared" ref="J204:AP204" si="52">IF(J198, J$200 * J42 / $H53, 0)</f>
        <v>2725.46935016422</v>
      </c>
      <c r="K204" s="435">
        <f t="shared" si="52"/>
        <v>711.68555758403261</v>
      </c>
      <c r="L204" s="435">
        <f t="shared" si="52"/>
        <v>0</v>
      </c>
      <c r="M204" s="435">
        <f t="shared" si="52"/>
        <v>857.75111944829678</v>
      </c>
      <c r="N204" s="435">
        <f t="shared" si="52"/>
        <v>191.07275707795239</v>
      </c>
      <c r="O204" s="435">
        <f t="shared" si="52"/>
        <v>0</v>
      </c>
      <c r="P204" s="435">
        <f t="shared" si="52"/>
        <v>25.12736383699545</v>
      </c>
      <c r="Q204" s="435">
        <f t="shared" si="52"/>
        <v>0</v>
      </c>
      <c r="R204" s="435">
        <f t="shared" si="52"/>
        <v>0</v>
      </c>
      <c r="S204" s="435">
        <f t="shared" si="52"/>
        <v>22.587453252341597</v>
      </c>
      <c r="T204" s="435">
        <f t="shared" si="52"/>
        <v>87.069862357247359</v>
      </c>
      <c r="U204" s="435">
        <f t="shared" si="52"/>
        <v>1181.0038649987612</v>
      </c>
      <c r="V204" s="435">
        <f t="shared" si="52"/>
        <v>0</v>
      </c>
      <c r="W204" s="435">
        <f t="shared" si="52"/>
        <v>0</v>
      </c>
      <c r="X204" s="435">
        <f t="shared" si="52"/>
        <v>2.8008482714512599</v>
      </c>
      <c r="Y204" s="435">
        <f t="shared" si="52"/>
        <v>3.7694147636634687</v>
      </c>
      <c r="Z204" s="435">
        <f t="shared" si="52"/>
        <v>0.3454000841580116</v>
      </c>
      <c r="AA204" s="435">
        <f t="shared" si="52"/>
        <v>3.2534525092150587E-2</v>
      </c>
      <c r="AB204" s="435">
        <f t="shared" si="52"/>
        <v>53.54575328686029</v>
      </c>
      <c r="AC204" s="170">
        <f t="shared" si="52"/>
        <v>0</v>
      </c>
      <c r="AD204" s="170">
        <f t="shared" si="52"/>
        <v>0</v>
      </c>
      <c r="AE204" s="170">
        <f t="shared" si="52"/>
        <v>0</v>
      </c>
      <c r="AF204" s="170">
        <f t="shared" si="52"/>
        <v>0</v>
      </c>
      <c r="AG204" s="170">
        <f t="shared" si="52"/>
        <v>0</v>
      </c>
      <c r="AH204" s="170">
        <f t="shared" si="52"/>
        <v>0</v>
      </c>
      <c r="AI204" s="170">
        <f t="shared" si="52"/>
        <v>0</v>
      </c>
      <c r="AJ204" s="170">
        <f t="shared" si="52"/>
        <v>0</v>
      </c>
      <c r="AK204" s="170">
        <f t="shared" si="52"/>
        <v>0</v>
      </c>
      <c r="AL204" s="170">
        <f t="shared" si="52"/>
        <v>0</v>
      </c>
      <c r="AM204" s="170">
        <f t="shared" si="52"/>
        <v>0</v>
      </c>
      <c r="AN204" s="170">
        <f t="shared" si="52"/>
        <v>0</v>
      </c>
      <c r="AO204" s="170">
        <f t="shared" si="52"/>
        <v>0</v>
      </c>
      <c r="AP204" s="170">
        <f t="shared" si="52"/>
        <v>0</v>
      </c>
    </row>
    <row r="205" spans="1:60" s="474" customFormat="1" x14ac:dyDescent="0.25">
      <c r="E205" s="339"/>
      <c r="F205" s="339"/>
      <c r="G205" s="339"/>
      <c r="H205" s="170"/>
      <c r="I205" s="339"/>
      <c r="J205" s="435"/>
      <c r="K205" s="435"/>
      <c r="L205" s="435"/>
      <c r="M205" s="435"/>
      <c r="N205" s="435"/>
      <c r="O205" s="435"/>
      <c r="P205" s="435"/>
      <c r="Q205" s="435"/>
      <c r="R205" s="435"/>
      <c r="S205" s="435"/>
      <c r="T205" s="435"/>
      <c r="U205" s="435"/>
      <c r="V205" s="435"/>
      <c r="W205" s="435"/>
      <c r="X205" s="435"/>
      <c r="Y205" s="435"/>
      <c r="Z205" s="435"/>
      <c r="AA205" s="435"/>
      <c r="AB205" s="435"/>
      <c r="AC205" s="170"/>
      <c r="AD205" s="170"/>
      <c r="AE205" s="170"/>
      <c r="AF205" s="170"/>
      <c r="AG205" s="170"/>
      <c r="AH205" s="170"/>
      <c r="AI205" s="170"/>
      <c r="AJ205" s="170"/>
      <c r="AK205" s="170"/>
      <c r="AL205" s="170"/>
      <c r="AM205" s="170"/>
      <c r="AN205" s="170"/>
      <c r="AO205" s="170"/>
      <c r="AP205" s="170"/>
    </row>
    <row r="206" spans="1:60" s="160" customFormat="1" x14ac:dyDescent="0.25">
      <c r="A206" s="338"/>
      <c r="E206" s="339" t="s">
        <v>666</v>
      </c>
      <c r="F206" s="339"/>
      <c r="G206" s="339" t="s">
        <v>119</v>
      </c>
      <c r="H206" s="170"/>
      <c r="I206" s="339"/>
      <c r="J206" s="435">
        <f t="shared" ref="J206:AP206" si="53">IF(J202 = 0, J204, J202)</f>
        <v>2725.46935016422</v>
      </c>
      <c r="K206" s="435">
        <f t="shared" si="53"/>
        <v>711.68555758403261</v>
      </c>
      <c r="L206" s="435">
        <f t="shared" si="53"/>
        <v>0</v>
      </c>
      <c r="M206" s="435">
        <f t="shared" si="53"/>
        <v>857.75111944829678</v>
      </c>
      <c r="N206" s="435">
        <f t="shared" si="53"/>
        <v>191.07275707795239</v>
      </c>
      <c r="O206" s="435">
        <f t="shared" si="53"/>
        <v>0</v>
      </c>
      <c r="P206" s="435">
        <f t="shared" si="53"/>
        <v>25.12736383699545</v>
      </c>
      <c r="Q206" s="435">
        <f t="shared" si="53"/>
        <v>0</v>
      </c>
      <c r="R206" s="435">
        <f t="shared" si="53"/>
        <v>0</v>
      </c>
      <c r="S206" s="435">
        <f t="shared" si="53"/>
        <v>22.587453252341597</v>
      </c>
      <c r="T206" s="435">
        <f t="shared" si="53"/>
        <v>87.069862357247359</v>
      </c>
      <c r="U206" s="435">
        <f t="shared" si="53"/>
        <v>3170.7895009080476</v>
      </c>
      <c r="V206" s="435">
        <f t="shared" si="53"/>
        <v>0</v>
      </c>
      <c r="W206" s="435">
        <f t="shared" si="53"/>
        <v>0</v>
      </c>
      <c r="X206" s="435">
        <f t="shared" si="53"/>
        <v>2.8008482714512599</v>
      </c>
      <c r="Y206" s="435">
        <f t="shared" si="53"/>
        <v>3.7694147636634687</v>
      </c>
      <c r="Z206" s="435">
        <f t="shared" si="53"/>
        <v>0.3454000841580116</v>
      </c>
      <c r="AA206" s="435">
        <f t="shared" si="53"/>
        <v>3.2534525092150587E-2</v>
      </c>
      <c r="AB206" s="435">
        <f t="shared" si="53"/>
        <v>53.54575328686029</v>
      </c>
      <c r="AC206" s="170">
        <f t="shared" si="53"/>
        <v>0</v>
      </c>
      <c r="AD206" s="170">
        <f t="shared" si="53"/>
        <v>0</v>
      </c>
      <c r="AE206" s="170">
        <f t="shared" si="53"/>
        <v>0</v>
      </c>
      <c r="AF206" s="170">
        <f t="shared" si="53"/>
        <v>0</v>
      </c>
      <c r="AG206" s="170">
        <f t="shared" si="53"/>
        <v>0</v>
      </c>
      <c r="AH206" s="170">
        <f t="shared" si="53"/>
        <v>0</v>
      </c>
      <c r="AI206" s="170">
        <f t="shared" si="53"/>
        <v>0</v>
      </c>
      <c r="AJ206" s="170">
        <f t="shared" si="53"/>
        <v>0</v>
      </c>
      <c r="AK206" s="170">
        <f t="shared" si="53"/>
        <v>0</v>
      </c>
      <c r="AL206" s="170">
        <f t="shared" si="53"/>
        <v>0</v>
      </c>
      <c r="AM206" s="170">
        <f t="shared" si="53"/>
        <v>0</v>
      </c>
      <c r="AN206" s="170">
        <f t="shared" si="53"/>
        <v>0</v>
      </c>
      <c r="AO206" s="170">
        <f t="shared" si="53"/>
        <v>0</v>
      </c>
      <c r="AP206" s="170">
        <f t="shared" si="53"/>
        <v>0</v>
      </c>
    </row>
    <row r="207" spans="1:60" s="160" customFormat="1" x14ac:dyDescent="0.25">
      <c r="A207" s="338"/>
      <c r="E207" s="167"/>
      <c r="F207" s="167"/>
      <c r="G207" s="167"/>
      <c r="H207" s="170"/>
      <c r="I207" s="167"/>
      <c r="J207" s="435"/>
      <c r="K207" s="435"/>
      <c r="L207" s="435"/>
      <c r="M207" s="435"/>
      <c r="N207" s="435"/>
      <c r="O207" s="435"/>
      <c r="P207" s="435"/>
      <c r="Q207" s="435"/>
      <c r="R207" s="435"/>
      <c r="S207" s="435"/>
      <c r="T207" s="435"/>
      <c r="U207" s="435"/>
      <c r="V207" s="435"/>
      <c r="W207" s="435"/>
      <c r="X207" s="435"/>
      <c r="Y207" s="435"/>
      <c r="Z207" s="435"/>
      <c r="AA207" s="435"/>
      <c r="AB207" s="435"/>
      <c r="AC207" s="170"/>
      <c r="AD207" s="170"/>
      <c r="AE207" s="170"/>
      <c r="AF207" s="170"/>
      <c r="AG207" s="170"/>
      <c r="AH207" s="170"/>
      <c r="AI207" s="170"/>
      <c r="AJ207" s="170"/>
      <c r="AK207" s="170"/>
      <c r="AL207" s="170"/>
      <c r="AM207" s="170"/>
      <c r="AN207" s="170"/>
      <c r="AO207" s="170"/>
      <c r="AP207" s="170"/>
    </row>
    <row r="208" spans="1:60" s="160" customFormat="1" x14ac:dyDescent="0.25">
      <c r="A208" s="338"/>
      <c r="E208" s="151" t="s">
        <v>664</v>
      </c>
      <c r="F208" s="339"/>
      <c r="G208" s="339" t="s">
        <v>119</v>
      </c>
      <c r="H208" s="170"/>
      <c r="I208" s="167" t="s">
        <v>525</v>
      </c>
      <c r="J208" s="435">
        <f t="shared" ref="J208:AP208" si="54">J150</f>
        <v>2101.5309425436189</v>
      </c>
      <c r="K208" s="435">
        <f t="shared" si="54"/>
        <v>248.73638385440296</v>
      </c>
      <c r="L208" s="435">
        <f t="shared" si="54"/>
        <v>8.4959797632911371</v>
      </c>
      <c r="M208" s="435">
        <f t="shared" si="54"/>
        <v>573.81200633947572</v>
      </c>
      <c r="N208" s="435">
        <f t="shared" si="54"/>
        <v>156.44574809235124</v>
      </c>
      <c r="O208" s="435">
        <f t="shared" si="54"/>
        <v>2.323099623161974</v>
      </c>
      <c r="P208" s="435">
        <f t="shared" si="54"/>
        <v>17.289588767610667</v>
      </c>
      <c r="Q208" s="435">
        <f t="shared" si="54"/>
        <v>0</v>
      </c>
      <c r="R208" s="435">
        <f t="shared" si="54"/>
        <v>0</v>
      </c>
      <c r="S208" s="435">
        <f t="shared" si="54"/>
        <v>11.329161847799631</v>
      </c>
      <c r="T208" s="435">
        <f t="shared" si="54"/>
        <v>63.292627647912212</v>
      </c>
      <c r="U208" s="435">
        <f t="shared" si="54"/>
        <v>948.14465762886141</v>
      </c>
      <c r="V208" s="435">
        <f t="shared" si="54"/>
        <v>0</v>
      </c>
      <c r="W208" s="435">
        <f t="shared" si="54"/>
        <v>0</v>
      </c>
      <c r="X208" s="435">
        <f t="shared" si="54"/>
        <v>2.6173036872194646</v>
      </c>
      <c r="Y208" s="435">
        <f t="shared" si="54"/>
        <v>1.4655018451208668</v>
      </c>
      <c r="Z208" s="435">
        <f t="shared" si="54"/>
        <v>0.1340042016814296</v>
      </c>
      <c r="AA208" s="435">
        <f t="shared" si="54"/>
        <v>1.8643592734076685E-2</v>
      </c>
      <c r="AB208" s="435">
        <f t="shared" si="54"/>
        <v>22.617294642155375</v>
      </c>
      <c r="AC208" s="170">
        <f t="shared" si="54"/>
        <v>0</v>
      </c>
      <c r="AD208" s="170">
        <f t="shared" si="54"/>
        <v>0</v>
      </c>
      <c r="AE208" s="170">
        <f t="shared" si="54"/>
        <v>0</v>
      </c>
      <c r="AF208" s="170">
        <f t="shared" si="54"/>
        <v>0</v>
      </c>
      <c r="AG208" s="170">
        <f t="shared" si="54"/>
        <v>0</v>
      </c>
      <c r="AH208" s="170">
        <f t="shared" si="54"/>
        <v>0</v>
      </c>
      <c r="AI208" s="170">
        <f t="shared" si="54"/>
        <v>0</v>
      </c>
      <c r="AJ208" s="170">
        <f t="shared" si="54"/>
        <v>0</v>
      </c>
      <c r="AK208" s="170">
        <f t="shared" si="54"/>
        <v>0</v>
      </c>
      <c r="AL208" s="170">
        <f t="shared" si="54"/>
        <v>0</v>
      </c>
      <c r="AM208" s="170">
        <f t="shared" si="54"/>
        <v>0</v>
      </c>
      <c r="AN208" s="170">
        <f t="shared" si="54"/>
        <v>0</v>
      </c>
      <c r="AO208" s="170">
        <f t="shared" si="54"/>
        <v>0</v>
      </c>
      <c r="AP208" s="170">
        <f t="shared" si="54"/>
        <v>0</v>
      </c>
      <c r="AR208" s="160" t="s">
        <v>970</v>
      </c>
    </row>
    <row r="209" spans="1:60" s="160" customFormat="1" x14ac:dyDescent="0.25">
      <c r="A209" s="338"/>
      <c r="E209" s="167"/>
      <c r="F209" s="167"/>
      <c r="G209" s="167"/>
      <c r="H209" s="170"/>
      <c r="I209" s="167"/>
      <c r="J209" s="170"/>
      <c r="K209" s="170"/>
      <c r="L209" s="170"/>
      <c r="M209" s="170"/>
      <c r="N209" s="170"/>
      <c r="O209" s="170"/>
      <c r="P209" s="170"/>
      <c r="Q209" s="170"/>
      <c r="R209" s="170"/>
      <c r="S209" s="170"/>
      <c r="T209" s="170"/>
      <c r="U209" s="170"/>
      <c r="V209" s="170"/>
      <c r="W209" s="170"/>
      <c r="X209" s="170"/>
      <c r="Y209" s="170"/>
      <c r="Z209" s="170"/>
      <c r="AA209" s="170"/>
      <c r="AB209" s="170"/>
      <c r="AC209" s="170"/>
      <c r="AD209" s="170"/>
      <c r="AE209" s="170"/>
      <c r="AF209" s="170"/>
      <c r="AG209" s="170"/>
      <c r="AH209" s="170"/>
      <c r="AI209" s="170"/>
      <c r="AJ209" s="170"/>
      <c r="AK209" s="170"/>
      <c r="AL209" s="170"/>
      <c r="AM209" s="170"/>
      <c r="AN209" s="170"/>
      <c r="AO209" s="170"/>
      <c r="AP209" s="170"/>
    </row>
    <row r="210" spans="1:60" s="160" customFormat="1" x14ac:dyDescent="0.25">
      <c r="E210" s="167" t="s">
        <v>665</v>
      </c>
      <c r="F210" s="167"/>
      <c r="G210" s="167" t="s">
        <v>111</v>
      </c>
      <c r="H210" s="191">
        <f>SUM(J206:AP206) / SUM(J208:AP208) - 1</f>
        <v>0.88830430018549822</v>
      </c>
      <c r="I210" s="167"/>
      <c r="J210" s="170"/>
      <c r="K210" s="170"/>
      <c r="L210" s="170"/>
      <c r="M210" s="170"/>
      <c r="N210" s="170"/>
      <c r="O210" s="170"/>
      <c r="P210" s="170"/>
      <c r="Q210" s="170"/>
      <c r="R210" s="170"/>
      <c r="S210" s="170"/>
      <c r="T210" s="170"/>
      <c r="U210" s="170"/>
      <c r="V210" s="170"/>
      <c r="W210" s="170"/>
      <c r="X210" s="170"/>
      <c r="Y210" s="170"/>
      <c r="Z210" s="170"/>
      <c r="AA210" s="170"/>
      <c r="AB210" s="170"/>
      <c r="AC210" s="170"/>
      <c r="AD210" s="170"/>
      <c r="AE210" s="170"/>
      <c r="AF210" s="170"/>
      <c r="AG210" s="170"/>
      <c r="AH210" s="170"/>
      <c r="AI210" s="170"/>
      <c r="AJ210" s="170"/>
      <c r="AK210" s="170"/>
      <c r="AL210" s="170"/>
      <c r="AM210" s="170"/>
      <c r="AN210" s="170"/>
      <c r="AO210" s="170"/>
      <c r="AP210" s="170"/>
    </row>
    <row r="211" spans="1:60" x14ac:dyDescent="0.25">
      <c r="H211" s="153"/>
    </row>
    <row r="212" spans="1:60" x14ac:dyDescent="0.25">
      <c r="E212" s="74" t="s">
        <v>474</v>
      </c>
      <c r="F212" s="160"/>
      <c r="G212" s="139"/>
      <c r="H212" s="139"/>
      <c r="I212" s="139"/>
      <c r="J212" s="142"/>
      <c r="K212" s="142"/>
      <c r="L212" s="142"/>
      <c r="M212" s="142"/>
      <c r="N212" s="142"/>
      <c r="O212" s="142"/>
      <c r="P212" s="33"/>
      <c r="Q212" s="33"/>
      <c r="R212" s="33"/>
      <c r="S212" s="33"/>
      <c r="AR212" s="160" t="s">
        <v>970</v>
      </c>
      <c r="BH212" s="136"/>
    </row>
    <row r="213" spans="1:60" s="160" customFormat="1" x14ac:dyDescent="0.25">
      <c r="E213" s="152" t="s">
        <v>519</v>
      </c>
      <c r="F213" s="152"/>
      <c r="G213" s="167"/>
      <c r="H213" s="167"/>
      <c r="I213" s="167"/>
      <c r="J213" s="170"/>
      <c r="K213" s="170"/>
      <c r="L213" s="170"/>
      <c r="M213" s="170"/>
      <c r="N213" s="170"/>
      <c r="O213" s="170"/>
      <c r="P213" s="165"/>
      <c r="Q213" s="165"/>
      <c r="R213" s="165"/>
      <c r="S213" s="165"/>
      <c r="BH213" s="163"/>
    </row>
    <row r="214" spans="1:60" x14ac:dyDescent="0.25">
      <c r="E214" s="74"/>
      <c r="F214" s="137" t="s">
        <v>43</v>
      </c>
      <c r="G214" s="137" t="s">
        <v>111</v>
      </c>
      <c r="H214" s="187">
        <f t="array" ref="H214:H222">TRANSPOSE('Load &amp; loss characteristics'!K23:S23)</f>
        <v>2.7451056800206652E-2</v>
      </c>
      <c r="I214" s="139"/>
      <c r="J214" s="142"/>
      <c r="K214" s="142"/>
      <c r="L214" s="142"/>
      <c r="M214" s="142"/>
      <c r="N214" s="142"/>
      <c r="O214" s="142"/>
      <c r="P214" s="33"/>
      <c r="Q214" s="33"/>
      <c r="R214" s="33"/>
      <c r="S214" s="33"/>
      <c r="T214" s="164"/>
      <c r="BH214" s="136"/>
    </row>
    <row r="215" spans="1:60" x14ac:dyDescent="0.25">
      <c r="E215" s="74"/>
      <c r="F215" s="139" t="s">
        <v>44</v>
      </c>
      <c r="G215" s="139" t="s">
        <v>111</v>
      </c>
      <c r="H215" s="181">
        <v>6.4098310030310079E-2</v>
      </c>
      <c r="I215" s="139"/>
      <c r="J215" s="142"/>
      <c r="K215" s="142"/>
      <c r="L215" s="142"/>
      <c r="M215" s="142"/>
      <c r="N215" s="142"/>
      <c r="O215" s="142"/>
      <c r="P215" s="33"/>
      <c r="Q215" s="33"/>
      <c r="R215" s="33"/>
      <c r="S215" s="33"/>
      <c r="BH215" s="136"/>
    </row>
    <row r="216" spans="1:60" x14ac:dyDescent="0.25">
      <c r="E216" s="74"/>
      <c r="F216" s="139" t="s">
        <v>45</v>
      </c>
      <c r="G216" s="139" t="s">
        <v>111</v>
      </c>
      <c r="H216" s="181">
        <v>6.4098310030310079E-2</v>
      </c>
      <c r="I216" s="139"/>
      <c r="J216" s="142"/>
      <c r="K216" s="142"/>
      <c r="L216" s="142"/>
      <c r="M216" s="142"/>
      <c r="N216" s="142"/>
      <c r="O216" s="142"/>
      <c r="P216" s="33"/>
      <c r="Q216" s="33"/>
      <c r="R216" s="33"/>
      <c r="S216" s="33"/>
      <c r="BH216" s="136"/>
    </row>
    <row r="217" spans="1:60" x14ac:dyDescent="0.25">
      <c r="E217" s="74"/>
      <c r="F217" s="139" t="s">
        <v>46</v>
      </c>
      <c r="G217" s="139" t="s">
        <v>111</v>
      </c>
      <c r="H217" s="181">
        <v>0.13362193228495589</v>
      </c>
      <c r="I217" s="139"/>
      <c r="J217" s="142"/>
      <c r="K217" s="142"/>
      <c r="L217" s="142"/>
      <c r="M217" s="142"/>
      <c r="N217" s="142"/>
      <c r="O217" s="142"/>
      <c r="P217" s="33"/>
      <c r="Q217" s="33"/>
      <c r="R217" s="33"/>
      <c r="S217" s="33"/>
      <c r="BH217" s="136"/>
    </row>
    <row r="218" spans="1:60" x14ac:dyDescent="0.25">
      <c r="E218" s="74"/>
      <c r="F218" s="139" t="s">
        <v>47</v>
      </c>
      <c r="G218" s="139" t="s">
        <v>111</v>
      </c>
      <c r="H218" s="181">
        <v>0.13362193228495589</v>
      </c>
      <c r="I218" s="139"/>
      <c r="J218" s="142"/>
      <c r="K218" s="142"/>
      <c r="L218" s="142"/>
      <c r="M218" s="142"/>
      <c r="N218" s="142"/>
      <c r="O218" s="142"/>
      <c r="P218" s="33"/>
      <c r="Q218" s="33"/>
      <c r="R218" s="33"/>
      <c r="S218" s="33"/>
      <c r="BH218" s="136"/>
    </row>
    <row r="219" spans="1:60" x14ac:dyDescent="0.25">
      <c r="E219" s="74"/>
      <c r="F219" s="139" t="s">
        <v>51</v>
      </c>
      <c r="G219" s="139" t="s">
        <v>111</v>
      </c>
      <c r="H219" s="181">
        <v>6.4098310030310079E-2</v>
      </c>
      <c r="I219" s="139"/>
      <c r="J219" s="142"/>
      <c r="K219" s="142"/>
      <c r="L219" s="142"/>
      <c r="M219" s="142"/>
      <c r="N219" s="142"/>
      <c r="O219" s="142"/>
      <c r="P219" s="33"/>
      <c r="Q219" s="33"/>
      <c r="R219" s="33"/>
      <c r="S219" s="33"/>
      <c r="BH219" s="136"/>
    </row>
    <row r="220" spans="1:60" x14ac:dyDescent="0.25">
      <c r="E220" s="74"/>
      <c r="F220" s="139" t="s">
        <v>48</v>
      </c>
      <c r="G220" s="139" t="s">
        <v>111</v>
      </c>
      <c r="H220" s="181">
        <v>0.55306204723038976</v>
      </c>
      <c r="I220" s="139"/>
      <c r="J220" s="142"/>
      <c r="K220" s="142"/>
      <c r="L220" s="142"/>
      <c r="M220" s="142"/>
      <c r="N220" s="142"/>
      <c r="O220" s="142"/>
      <c r="P220" s="33"/>
      <c r="Q220" s="33"/>
      <c r="R220" s="33"/>
      <c r="S220" s="33"/>
      <c r="BH220" s="136"/>
    </row>
    <row r="221" spans="1:60" x14ac:dyDescent="0.25">
      <c r="E221" s="74"/>
      <c r="F221" s="139" t="s">
        <v>49</v>
      </c>
      <c r="G221" s="139" t="s">
        <v>111</v>
      </c>
      <c r="H221" s="181">
        <v>0.55306204723038976</v>
      </c>
      <c r="I221" s="139"/>
      <c r="J221" s="142"/>
      <c r="K221" s="142"/>
      <c r="L221" s="142"/>
      <c r="M221" s="142"/>
      <c r="N221" s="142"/>
      <c r="O221" s="142"/>
      <c r="P221" s="33"/>
      <c r="Q221" s="33"/>
      <c r="R221" s="33"/>
      <c r="S221" s="33"/>
      <c r="BH221" s="136"/>
    </row>
    <row r="222" spans="1:60" x14ac:dyDescent="0.25">
      <c r="E222" s="74"/>
      <c r="F222" s="140" t="s">
        <v>50</v>
      </c>
      <c r="G222" s="140" t="s">
        <v>111</v>
      </c>
      <c r="H222" s="182">
        <v>0.55306204723038976</v>
      </c>
      <c r="I222" s="139"/>
      <c r="J222" s="142"/>
      <c r="K222" s="142"/>
      <c r="L222" s="142"/>
      <c r="M222" s="142"/>
      <c r="N222" s="142"/>
      <c r="O222" s="142"/>
      <c r="P222" s="33"/>
      <c r="Q222" s="33"/>
      <c r="R222" s="33"/>
      <c r="S222" s="33"/>
      <c r="BH222" s="136"/>
    </row>
    <row r="223" spans="1:60" x14ac:dyDescent="0.25">
      <c r="E223" s="131"/>
      <c r="F223" s="160"/>
      <c r="H223" s="153"/>
    </row>
    <row r="224" spans="1:60" x14ac:dyDescent="0.25">
      <c r="E224" s="74" t="s">
        <v>436</v>
      </c>
      <c r="F224" s="160"/>
      <c r="G224" s="139"/>
      <c r="H224" s="139"/>
      <c r="I224" s="139"/>
      <c r="J224" s="142"/>
      <c r="K224" s="142"/>
      <c r="L224" s="142"/>
      <c r="M224" s="142"/>
      <c r="N224" s="142"/>
      <c r="O224" s="142"/>
      <c r="P224" s="33"/>
      <c r="Q224" s="33"/>
      <c r="R224" s="33"/>
      <c r="S224" s="33"/>
      <c r="AR224" s="160" t="s">
        <v>970</v>
      </c>
      <c r="BH224" s="136"/>
    </row>
    <row r="225" spans="3:60" s="160" customFormat="1" x14ac:dyDescent="0.25">
      <c r="E225" s="152" t="s">
        <v>518</v>
      </c>
      <c r="F225" s="152"/>
      <c r="G225" s="167"/>
      <c r="H225" s="167"/>
      <c r="I225" s="167"/>
      <c r="J225" s="170"/>
      <c r="K225" s="170"/>
      <c r="L225" s="170"/>
      <c r="M225" s="170"/>
      <c r="N225" s="170"/>
      <c r="O225" s="170"/>
      <c r="P225" s="165"/>
      <c r="Q225" s="165"/>
      <c r="R225" s="165"/>
      <c r="S225" s="165"/>
      <c r="BH225" s="163"/>
    </row>
    <row r="226" spans="3:60" x14ac:dyDescent="0.25">
      <c r="C226" s="74"/>
      <c r="E226" s="131"/>
      <c r="F226" s="137" t="s">
        <v>43</v>
      </c>
      <c r="G226" s="137" t="s">
        <v>111</v>
      </c>
      <c r="H226" s="309">
        <f t="shared" ref="H226:H234" si="55">IF(F226 = $F$234, $H$210, H214)</f>
        <v>2.7451056800206652E-2</v>
      </c>
      <c r="I226" s="139"/>
      <c r="J226" s="142"/>
      <c r="K226" s="142"/>
      <c r="L226" s="142"/>
      <c r="M226" s="142"/>
      <c r="N226" s="142"/>
      <c r="O226" s="142"/>
      <c r="P226" s="33"/>
      <c r="Q226" s="33"/>
      <c r="R226" s="33"/>
      <c r="S226" s="33"/>
      <c r="BH226" s="136"/>
    </row>
    <row r="227" spans="3:60" x14ac:dyDescent="0.25">
      <c r="C227" s="74"/>
      <c r="E227" s="131"/>
      <c r="F227" s="139" t="s">
        <v>44</v>
      </c>
      <c r="G227" s="139" t="s">
        <v>111</v>
      </c>
      <c r="H227" s="41">
        <f t="shared" si="55"/>
        <v>6.4098310030310079E-2</v>
      </c>
      <c r="I227" s="139"/>
      <c r="J227" s="142"/>
      <c r="K227" s="142"/>
      <c r="L227" s="142"/>
      <c r="M227" s="142"/>
      <c r="N227" s="142"/>
      <c r="O227" s="142"/>
      <c r="P227" s="33"/>
      <c r="Q227" s="33"/>
      <c r="R227" s="33"/>
      <c r="S227" s="33"/>
      <c r="BH227" s="136"/>
    </row>
    <row r="228" spans="3:60" x14ac:dyDescent="0.25">
      <c r="C228" s="74"/>
      <c r="E228" s="131"/>
      <c r="F228" s="139" t="s">
        <v>45</v>
      </c>
      <c r="G228" s="139" t="s">
        <v>111</v>
      </c>
      <c r="H228" s="41">
        <f t="shared" si="55"/>
        <v>6.4098310030310079E-2</v>
      </c>
      <c r="I228" s="139"/>
      <c r="J228" s="142"/>
      <c r="K228" s="142"/>
      <c r="L228" s="142"/>
      <c r="M228" s="142"/>
      <c r="N228" s="142"/>
      <c r="O228" s="142"/>
      <c r="P228" s="33"/>
      <c r="Q228" s="33"/>
      <c r="R228" s="33"/>
      <c r="S228" s="33"/>
      <c r="BH228" s="136"/>
    </row>
    <row r="229" spans="3:60" x14ac:dyDescent="0.25">
      <c r="C229" s="74"/>
      <c r="E229" s="131"/>
      <c r="F229" s="139" t="s">
        <v>46</v>
      </c>
      <c r="G229" s="139" t="s">
        <v>111</v>
      </c>
      <c r="H229" s="41">
        <f t="shared" si="55"/>
        <v>0.13362193228495589</v>
      </c>
      <c r="I229" s="139"/>
      <c r="J229" s="142"/>
      <c r="K229" s="142"/>
      <c r="L229" s="142"/>
      <c r="M229" s="142"/>
      <c r="N229" s="142"/>
      <c r="O229" s="142"/>
      <c r="P229" s="33"/>
      <c r="Q229" s="33"/>
      <c r="R229" s="33"/>
      <c r="S229" s="33"/>
      <c r="BH229" s="136"/>
    </row>
    <row r="230" spans="3:60" x14ac:dyDescent="0.25">
      <c r="C230" s="74"/>
      <c r="E230" s="131"/>
      <c r="F230" s="139" t="s">
        <v>47</v>
      </c>
      <c r="G230" s="139" t="s">
        <v>111</v>
      </c>
      <c r="H230" s="41">
        <f t="shared" si="55"/>
        <v>0.13362193228495589</v>
      </c>
      <c r="I230" s="139"/>
      <c r="J230" s="142"/>
      <c r="K230" s="142"/>
      <c r="L230" s="142"/>
      <c r="M230" s="142"/>
      <c r="N230" s="142"/>
      <c r="O230" s="142"/>
      <c r="P230" s="33"/>
      <c r="Q230" s="33"/>
      <c r="R230" s="33"/>
      <c r="S230" s="33"/>
      <c r="BH230" s="136"/>
    </row>
    <row r="231" spans="3:60" x14ac:dyDescent="0.25">
      <c r="C231" s="74"/>
      <c r="E231" s="131"/>
      <c r="F231" s="139" t="s">
        <v>51</v>
      </c>
      <c r="G231" s="139" t="s">
        <v>111</v>
      </c>
      <c r="H231" s="41">
        <f t="shared" si="55"/>
        <v>6.4098310030310079E-2</v>
      </c>
      <c r="I231" s="139"/>
      <c r="J231" s="142"/>
      <c r="K231" s="142"/>
      <c r="L231" s="142"/>
      <c r="M231" s="142"/>
      <c r="N231" s="142"/>
      <c r="O231" s="142"/>
      <c r="P231" s="33"/>
      <c r="Q231" s="33"/>
      <c r="R231" s="33"/>
      <c r="S231" s="33"/>
      <c r="BH231" s="136"/>
    </row>
    <row r="232" spans="3:60" x14ac:dyDescent="0.25">
      <c r="C232" s="74"/>
      <c r="E232" s="131"/>
      <c r="F232" s="139" t="s">
        <v>48</v>
      </c>
      <c r="G232" s="139" t="s">
        <v>111</v>
      </c>
      <c r="H232" s="41">
        <f t="shared" si="55"/>
        <v>0.55306204723038976</v>
      </c>
      <c r="I232" s="139"/>
      <c r="J232" s="142"/>
      <c r="K232" s="142"/>
      <c r="L232" s="142"/>
      <c r="M232" s="142"/>
      <c r="N232" s="142"/>
      <c r="O232" s="142"/>
      <c r="P232" s="33"/>
      <c r="Q232" s="33"/>
      <c r="R232" s="33"/>
      <c r="S232" s="33"/>
      <c r="BH232" s="136"/>
    </row>
    <row r="233" spans="3:60" x14ac:dyDescent="0.25">
      <c r="C233" s="74"/>
      <c r="E233" s="131"/>
      <c r="F233" s="139" t="s">
        <v>49</v>
      </c>
      <c r="G233" s="139" t="s">
        <v>111</v>
      </c>
      <c r="H233" s="41">
        <f t="shared" si="55"/>
        <v>0.55306204723038976</v>
      </c>
      <c r="I233" s="139"/>
      <c r="J233" s="142"/>
      <c r="K233" s="142"/>
      <c r="L233" s="142"/>
      <c r="M233" s="142"/>
      <c r="N233" s="142"/>
      <c r="O233" s="142"/>
      <c r="P233" s="33"/>
      <c r="Q233" s="33"/>
      <c r="R233" s="33"/>
      <c r="S233" s="33"/>
      <c r="BH233" s="136"/>
    </row>
    <row r="234" spans="3:60" x14ac:dyDescent="0.25">
      <c r="C234" s="74"/>
      <c r="E234" s="131"/>
      <c r="F234" s="140" t="s">
        <v>50</v>
      </c>
      <c r="G234" s="140" t="s">
        <v>111</v>
      </c>
      <c r="H234" s="42">
        <f t="shared" si="55"/>
        <v>0.88830430018549822</v>
      </c>
      <c r="I234" s="139"/>
      <c r="J234" s="142"/>
      <c r="K234" s="142"/>
      <c r="L234" s="142"/>
      <c r="M234" s="142"/>
      <c r="N234" s="142"/>
      <c r="O234" s="142"/>
      <c r="P234" s="33"/>
      <c r="Q234" s="33"/>
      <c r="R234" s="33"/>
      <c r="S234" s="33"/>
      <c r="BH234" s="136"/>
    </row>
    <row r="235" spans="3:60" x14ac:dyDescent="0.25">
      <c r="H235" s="153"/>
    </row>
    <row r="236" spans="3:60" x14ac:dyDescent="0.25">
      <c r="C236" s="22" t="str">
        <f ca="1">INDEX('Version control'!$H$34:$H$59,MATCH($A$1,'Version control'!$F$34:$F$59,0),1)&amp;"-G: Import/exceeded capacity contribution to system peak"</f>
        <v>Section 509-G: Import/exceeded capacity contribution to system peak</v>
      </c>
      <c r="D236" s="119"/>
      <c r="E236" s="119"/>
      <c r="F236" s="119"/>
      <c r="G236" s="119"/>
      <c r="H236" s="119"/>
      <c r="I236" s="119"/>
      <c r="J236" s="119"/>
      <c r="K236" s="119"/>
      <c r="L236" s="119"/>
      <c r="M236" s="119"/>
      <c r="N236" s="119"/>
      <c r="O236" s="119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BH236" s="136"/>
    </row>
    <row r="237" spans="3:60" s="160" customFormat="1" x14ac:dyDescent="0.25">
      <c r="H237" s="153"/>
    </row>
    <row r="238" spans="3:60" x14ac:dyDescent="0.25">
      <c r="E238" s="172" t="s">
        <v>520</v>
      </c>
      <c r="F238" s="152"/>
      <c r="H238" s="308"/>
    </row>
    <row r="239" spans="3:60" x14ac:dyDescent="0.25">
      <c r="C239" s="74"/>
      <c r="E239" s="131"/>
      <c r="F239" s="137" t="s">
        <v>43</v>
      </c>
      <c r="G239" s="137" t="s">
        <v>119</v>
      </c>
      <c r="H239" s="141"/>
      <c r="I239" s="137"/>
      <c r="J239" s="443">
        <f t="shared" ref="J239:AP239" si="56">J$192 * J23 * J34 / (1 + $H226) / $H45</f>
        <v>0</v>
      </c>
      <c r="K239" s="443">
        <f t="shared" si="56"/>
        <v>0</v>
      </c>
      <c r="L239" s="443">
        <f t="shared" si="56"/>
        <v>0</v>
      </c>
      <c r="M239" s="443">
        <f t="shared" si="56"/>
        <v>0</v>
      </c>
      <c r="N239" s="443">
        <f t="shared" si="56"/>
        <v>0</v>
      </c>
      <c r="O239" s="443">
        <f t="shared" si="56"/>
        <v>0</v>
      </c>
      <c r="P239" s="443">
        <f t="shared" si="56"/>
        <v>0</v>
      </c>
      <c r="Q239" s="443">
        <f t="shared" si="56"/>
        <v>0</v>
      </c>
      <c r="R239" s="443">
        <f t="shared" si="56"/>
        <v>0</v>
      </c>
      <c r="S239" s="443">
        <f t="shared" si="56"/>
        <v>0</v>
      </c>
      <c r="T239" s="443">
        <f t="shared" si="56"/>
        <v>0</v>
      </c>
      <c r="U239" s="443">
        <f t="shared" si="56"/>
        <v>0</v>
      </c>
      <c r="V239" s="443">
        <f t="shared" si="56"/>
        <v>0</v>
      </c>
      <c r="W239" s="443">
        <f t="shared" si="56"/>
        <v>0</v>
      </c>
      <c r="X239" s="443">
        <f t="shared" si="56"/>
        <v>0</v>
      </c>
      <c r="Y239" s="443">
        <f t="shared" si="56"/>
        <v>0</v>
      </c>
      <c r="Z239" s="443">
        <f t="shared" si="56"/>
        <v>0</v>
      </c>
      <c r="AA239" s="443">
        <f t="shared" si="56"/>
        <v>0</v>
      </c>
      <c r="AB239" s="443">
        <f t="shared" si="56"/>
        <v>0</v>
      </c>
      <c r="AC239" s="443">
        <f t="shared" si="56"/>
        <v>0</v>
      </c>
      <c r="AD239" s="443">
        <f t="shared" si="56"/>
        <v>0</v>
      </c>
      <c r="AE239" s="443">
        <f t="shared" si="56"/>
        <v>0</v>
      </c>
      <c r="AF239" s="443">
        <f t="shared" si="56"/>
        <v>0</v>
      </c>
      <c r="AG239" s="443">
        <f t="shared" si="56"/>
        <v>0</v>
      </c>
      <c r="AH239" s="443">
        <f t="shared" si="56"/>
        <v>0</v>
      </c>
      <c r="AI239" s="443">
        <f t="shared" si="56"/>
        <v>0</v>
      </c>
      <c r="AJ239" s="443">
        <f t="shared" si="56"/>
        <v>0</v>
      </c>
      <c r="AK239" s="443">
        <f t="shared" si="56"/>
        <v>0</v>
      </c>
      <c r="AL239" s="443">
        <f t="shared" si="56"/>
        <v>0</v>
      </c>
      <c r="AM239" s="443">
        <f t="shared" si="56"/>
        <v>0</v>
      </c>
      <c r="AN239" s="443">
        <f t="shared" si="56"/>
        <v>0</v>
      </c>
      <c r="AO239" s="443">
        <f t="shared" si="56"/>
        <v>0</v>
      </c>
      <c r="AP239" s="443">
        <f t="shared" si="56"/>
        <v>0</v>
      </c>
      <c r="BH239" s="136"/>
    </row>
    <row r="240" spans="3:60" x14ac:dyDescent="0.25">
      <c r="C240" s="74"/>
      <c r="E240" s="131"/>
      <c r="F240" s="139" t="s">
        <v>44</v>
      </c>
      <c r="G240" s="139" t="s">
        <v>119</v>
      </c>
      <c r="H240" s="142"/>
      <c r="I240" s="139"/>
      <c r="J240" s="435">
        <f t="shared" ref="J240:AP240" si="57">J$192 * J24 * J35 / (1 + $H227) / $H46</f>
        <v>0</v>
      </c>
      <c r="K240" s="435">
        <f t="shared" si="57"/>
        <v>0</v>
      </c>
      <c r="L240" s="435">
        <f t="shared" si="57"/>
        <v>0</v>
      </c>
      <c r="M240" s="435">
        <f t="shared" si="57"/>
        <v>0</v>
      </c>
      <c r="N240" s="435">
        <f t="shared" si="57"/>
        <v>0</v>
      </c>
      <c r="O240" s="435">
        <f t="shared" si="57"/>
        <v>0</v>
      </c>
      <c r="P240" s="435">
        <f t="shared" si="57"/>
        <v>0</v>
      </c>
      <c r="Q240" s="435">
        <f t="shared" si="57"/>
        <v>0</v>
      </c>
      <c r="R240" s="435">
        <f t="shared" si="57"/>
        <v>0</v>
      </c>
      <c r="S240" s="435">
        <f t="shared" si="57"/>
        <v>0</v>
      </c>
      <c r="T240" s="435">
        <f t="shared" si="57"/>
        <v>0</v>
      </c>
      <c r="U240" s="435">
        <f t="shared" si="57"/>
        <v>0</v>
      </c>
      <c r="V240" s="435">
        <f t="shared" si="57"/>
        <v>0</v>
      </c>
      <c r="W240" s="435">
        <f t="shared" si="57"/>
        <v>0</v>
      </c>
      <c r="X240" s="435">
        <f t="shared" si="57"/>
        <v>0</v>
      </c>
      <c r="Y240" s="435">
        <f t="shared" si="57"/>
        <v>0</v>
      </c>
      <c r="Z240" s="435">
        <f t="shared" si="57"/>
        <v>0</v>
      </c>
      <c r="AA240" s="435">
        <f t="shared" si="57"/>
        <v>0</v>
      </c>
      <c r="AB240" s="435">
        <f t="shared" si="57"/>
        <v>0</v>
      </c>
      <c r="AC240" s="435">
        <f t="shared" si="57"/>
        <v>0</v>
      </c>
      <c r="AD240" s="435">
        <f t="shared" si="57"/>
        <v>0</v>
      </c>
      <c r="AE240" s="435">
        <f t="shared" si="57"/>
        <v>0</v>
      </c>
      <c r="AF240" s="435">
        <f t="shared" si="57"/>
        <v>0</v>
      </c>
      <c r="AG240" s="435">
        <f t="shared" si="57"/>
        <v>0</v>
      </c>
      <c r="AH240" s="435">
        <f t="shared" si="57"/>
        <v>0</v>
      </c>
      <c r="AI240" s="435">
        <f t="shared" si="57"/>
        <v>0</v>
      </c>
      <c r="AJ240" s="435">
        <f t="shared" si="57"/>
        <v>0</v>
      </c>
      <c r="AK240" s="435">
        <f t="shared" si="57"/>
        <v>0</v>
      </c>
      <c r="AL240" s="435">
        <f t="shared" si="57"/>
        <v>0</v>
      </c>
      <c r="AM240" s="435">
        <f t="shared" si="57"/>
        <v>0</v>
      </c>
      <c r="AN240" s="435">
        <f t="shared" si="57"/>
        <v>0</v>
      </c>
      <c r="AO240" s="435">
        <f t="shared" si="57"/>
        <v>0</v>
      </c>
      <c r="AP240" s="435">
        <f t="shared" si="57"/>
        <v>0</v>
      </c>
      <c r="BH240" s="136"/>
    </row>
    <row r="241" spans="3:60" x14ac:dyDescent="0.25">
      <c r="C241" s="74"/>
      <c r="E241" s="131"/>
      <c r="F241" s="139" t="s">
        <v>45</v>
      </c>
      <c r="G241" s="139" t="s">
        <v>119</v>
      </c>
      <c r="H241" s="142"/>
      <c r="I241" s="139"/>
      <c r="J241" s="435">
        <f t="shared" ref="J241:AP241" si="58">J$192 * J25 * J36 / (1 + $H228) / $H47</f>
        <v>0</v>
      </c>
      <c r="K241" s="435">
        <f t="shared" si="58"/>
        <v>0</v>
      </c>
      <c r="L241" s="435">
        <f t="shared" si="58"/>
        <v>0</v>
      </c>
      <c r="M241" s="435">
        <f t="shared" si="58"/>
        <v>0</v>
      </c>
      <c r="N241" s="435">
        <f t="shared" si="58"/>
        <v>0</v>
      </c>
      <c r="O241" s="435">
        <f t="shared" si="58"/>
        <v>0</v>
      </c>
      <c r="P241" s="435">
        <f t="shared" si="58"/>
        <v>0</v>
      </c>
      <c r="Q241" s="435">
        <f t="shared" si="58"/>
        <v>0</v>
      </c>
      <c r="R241" s="435">
        <f t="shared" si="58"/>
        <v>0</v>
      </c>
      <c r="S241" s="435">
        <f t="shared" si="58"/>
        <v>0</v>
      </c>
      <c r="T241" s="435">
        <f t="shared" si="58"/>
        <v>0</v>
      </c>
      <c r="U241" s="435">
        <f t="shared" si="58"/>
        <v>0</v>
      </c>
      <c r="V241" s="435">
        <f t="shared" si="58"/>
        <v>0</v>
      </c>
      <c r="W241" s="435">
        <f t="shared" si="58"/>
        <v>0</v>
      </c>
      <c r="X241" s="435">
        <f t="shared" si="58"/>
        <v>0</v>
      </c>
      <c r="Y241" s="435">
        <f t="shared" si="58"/>
        <v>0</v>
      </c>
      <c r="Z241" s="435">
        <f t="shared" si="58"/>
        <v>0</v>
      </c>
      <c r="AA241" s="435">
        <f t="shared" si="58"/>
        <v>0</v>
      </c>
      <c r="AB241" s="435">
        <f t="shared" si="58"/>
        <v>0</v>
      </c>
      <c r="AC241" s="435">
        <f t="shared" si="58"/>
        <v>0</v>
      </c>
      <c r="AD241" s="435">
        <f t="shared" si="58"/>
        <v>0</v>
      </c>
      <c r="AE241" s="435">
        <f t="shared" si="58"/>
        <v>0</v>
      </c>
      <c r="AF241" s="435">
        <f t="shared" si="58"/>
        <v>0</v>
      </c>
      <c r="AG241" s="435">
        <f t="shared" si="58"/>
        <v>0</v>
      </c>
      <c r="AH241" s="435">
        <f t="shared" si="58"/>
        <v>0</v>
      </c>
      <c r="AI241" s="435">
        <f t="shared" si="58"/>
        <v>0</v>
      </c>
      <c r="AJ241" s="435">
        <f t="shared" si="58"/>
        <v>0</v>
      </c>
      <c r="AK241" s="435">
        <f t="shared" si="58"/>
        <v>0</v>
      </c>
      <c r="AL241" s="435">
        <f t="shared" si="58"/>
        <v>0</v>
      </c>
      <c r="AM241" s="435">
        <f t="shared" si="58"/>
        <v>0</v>
      </c>
      <c r="AN241" s="435">
        <f t="shared" si="58"/>
        <v>0</v>
      </c>
      <c r="AO241" s="435">
        <f t="shared" si="58"/>
        <v>0</v>
      </c>
      <c r="AP241" s="435">
        <f t="shared" si="58"/>
        <v>0</v>
      </c>
      <c r="BH241" s="136"/>
    </row>
    <row r="242" spans="3:60" x14ac:dyDescent="0.25">
      <c r="C242" s="74"/>
      <c r="E242" s="131"/>
      <c r="F242" s="139" t="s">
        <v>46</v>
      </c>
      <c r="G242" s="139" t="s">
        <v>119</v>
      </c>
      <c r="H242" s="142"/>
      <c r="I242" s="139"/>
      <c r="J242" s="435">
        <f t="shared" ref="J242:AP242" si="59">J$192 * J26 * J37 / (1 + $H229) / $H48</f>
        <v>0</v>
      </c>
      <c r="K242" s="435">
        <f t="shared" si="59"/>
        <v>0</v>
      </c>
      <c r="L242" s="435">
        <f t="shared" si="59"/>
        <v>0</v>
      </c>
      <c r="M242" s="435">
        <f t="shared" si="59"/>
        <v>0</v>
      </c>
      <c r="N242" s="435">
        <f t="shared" si="59"/>
        <v>0</v>
      </c>
      <c r="O242" s="435">
        <f t="shared" si="59"/>
        <v>0</v>
      </c>
      <c r="P242" s="435">
        <f t="shared" si="59"/>
        <v>0</v>
      </c>
      <c r="Q242" s="435">
        <f t="shared" si="59"/>
        <v>0</v>
      </c>
      <c r="R242" s="435">
        <f t="shared" si="59"/>
        <v>0</v>
      </c>
      <c r="S242" s="435">
        <f t="shared" si="59"/>
        <v>0</v>
      </c>
      <c r="T242" s="435">
        <f t="shared" si="59"/>
        <v>0</v>
      </c>
      <c r="U242" s="435">
        <f t="shared" si="59"/>
        <v>0</v>
      </c>
      <c r="V242" s="435">
        <f t="shared" si="59"/>
        <v>0</v>
      </c>
      <c r="W242" s="435">
        <f t="shared" si="59"/>
        <v>351.41069002059567</v>
      </c>
      <c r="X242" s="435">
        <f t="shared" si="59"/>
        <v>0</v>
      </c>
      <c r="Y242" s="435">
        <f t="shared" si="59"/>
        <v>0</v>
      </c>
      <c r="Z242" s="435">
        <f t="shared" si="59"/>
        <v>0</v>
      </c>
      <c r="AA242" s="435">
        <f t="shared" si="59"/>
        <v>0</v>
      </c>
      <c r="AB242" s="435">
        <f t="shared" si="59"/>
        <v>0</v>
      </c>
      <c r="AC242" s="435">
        <f t="shared" si="59"/>
        <v>0</v>
      </c>
      <c r="AD242" s="435">
        <f t="shared" si="59"/>
        <v>0</v>
      </c>
      <c r="AE242" s="435">
        <f t="shared" si="59"/>
        <v>0</v>
      </c>
      <c r="AF242" s="435">
        <f t="shared" si="59"/>
        <v>0</v>
      </c>
      <c r="AG242" s="435">
        <f t="shared" si="59"/>
        <v>0</v>
      </c>
      <c r="AH242" s="435">
        <f t="shared" si="59"/>
        <v>0</v>
      </c>
      <c r="AI242" s="435">
        <f t="shared" si="59"/>
        <v>0</v>
      </c>
      <c r="AJ242" s="435">
        <f t="shared" si="59"/>
        <v>0</v>
      </c>
      <c r="AK242" s="435">
        <f t="shared" si="59"/>
        <v>0</v>
      </c>
      <c r="AL242" s="435">
        <f t="shared" si="59"/>
        <v>0</v>
      </c>
      <c r="AM242" s="435">
        <f t="shared" si="59"/>
        <v>0</v>
      </c>
      <c r="AN242" s="435">
        <f t="shared" si="59"/>
        <v>0</v>
      </c>
      <c r="AO242" s="435">
        <f t="shared" si="59"/>
        <v>0</v>
      </c>
      <c r="AP242" s="435">
        <f t="shared" si="59"/>
        <v>0</v>
      </c>
      <c r="BH242" s="136"/>
    </row>
    <row r="243" spans="3:60" x14ac:dyDescent="0.25">
      <c r="C243" s="74"/>
      <c r="E243" s="131"/>
      <c r="F243" s="139" t="s">
        <v>47</v>
      </c>
      <c r="G243" s="139" t="s">
        <v>119</v>
      </c>
      <c r="H243" s="142"/>
      <c r="I243" s="139"/>
      <c r="J243" s="435">
        <f t="shared" ref="J243:AP243" si="60">J$192 * J27 * J38 / (1 + $H230) / $H49</f>
        <v>0</v>
      </c>
      <c r="K243" s="435">
        <f t="shared" si="60"/>
        <v>0</v>
      </c>
      <c r="L243" s="435">
        <f t="shared" si="60"/>
        <v>0</v>
      </c>
      <c r="M243" s="435">
        <f t="shared" si="60"/>
        <v>0</v>
      </c>
      <c r="N243" s="435">
        <f t="shared" si="60"/>
        <v>0</v>
      </c>
      <c r="O243" s="435">
        <f t="shared" si="60"/>
        <v>0</v>
      </c>
      <c r="P243" s="435">
        <f t="shared" si="60"/>
        <v>0</v>
      </c>
      <c r="Q243" s="435">
        <f t="shared" si="60"/>
        <v>0</v>
      </c>
      <c r="R243" s="435">
        <f t="shared" si="60"/>
        <v>0</v>
      </c>
      <c r="S243" s="435">
        <f t="shared" si="60"/>
        <v>0</v>
      </c>
      <c r="T243" s="435">
        <f t="shared" si="60"/>
        <v>0</v>
      </c>
      <c r="U243" s="435">
        <f t="shared" si="60"/>
        <v>0</v>
      </c>
      <c r="V243" s="435">
        <f t="shared" si="60"/>
        <v>0</v>
      </c>
      <c r="W243" s="435">
        <f t="shared" si="60"/>
        <v>1748.4488788488011</v>
      </c>
      <c r="X243" s="435">
        <f t="shared" si="60"/>
        <v>0</v>
      </c>
      <c r="Y243" s="435">
        <f t="shared" si="60"/>
        <v>0</v>
      </c>
      <c r="Z243" s="435">
        <f t="shared" si="60"/>
        <v>0</v>
      </c>
      <c r="AA243" s="435">
        <f t="shared" si="60"/>
        <v>0</v>
      </c>
      <c r="AB243" s="435">
        <f t="shared" si="60"/>
        <v>0</v>
      </c>
      <c r="AC243" s="435">
        <f t="shared" si="60"/>
        <v>0</v>
      </c>
      <c r="AD243" s="435">
        <f t="shared" si="60"/>
        <v>0</v>
      </c>
      <c r="AE243" s="435">
        <f t="shared" si="60"/>
        <v>0</v>
      </c>
      <c r="AF243" s="435">
        <f t="shared" si="60"/>
        <v>0</v>
      </c>
      <c r="AG243" s="435">
        <f t="shared" si="60"/>
        <v>0</v>
      </c>
      <c r="AH243" s="435">
        <f t="shared" si="60"/>
        <v>0</v>
      </c>
      <c r="AI243" s="435">
        <f t="shared" si="60"/>
        <v>0</v>
      </c>
      <c r="AJ243" s="435">
        <f t="shared" si="60"/>
        <v>0</v>
      </c>
      <c r="AK243" s="435">
        <f t="shared" si="60"/>
        <v>0</v>
      </c>
      <c r="AL243" s="435">
        <f t="shared" si="60"/>
        <v>0</v>
      </c>
      <c r="AM243" s="435">
        <f t="shared" si="60"/>
        <v>0</v>
      </c>
      <c r="AN243" s="435">
        <f t="shared" si="60"/>
        <v>0</v>
      </c>
      <c r="AO243" s="435">
        <f t="shared" si="60"/>
        <v>0</v>
      </c>
      <c r="AP243" s="435">
        <f t="shared" si="60"/>
        <v>0</v>
      </c>
      <c r="BH243" s="136"/>
    </row>
    <row r="244" spans="3:60" x14ac:dyDescent="0.25">
      <c r="C244" s="74"/>
      <c r="E244" s="131"/>
      <c r="F244" s="139" t="s">
        <v>51</v>
      </c>
      <c r="G244" s="139" t="s">
        <v>119</v>
      </c>
      <c r="H244" s="142"/>
      <c r="I244" s="139"/>
      <c r="J244" s="435">
        <f t="shared" ref="J244:AP244" si="61">J$192 * J28 * J39 / (1 + $H231) / $H50</f>
        <v>0</v>
      </c>
      <c r="K244" s="435">
        <f t="shared" si="61"/>
        <v>0</v>
      </c>
      <c r="L244" s="435">
        <f t="shared" si="61"/>
        <v>0</v>
      </c>
      <c r="M244" s="435">
        <f t="shared" si="61"/>
        <v>0</v>
      </c>
      <c r="N244" s="435">
        <f t="shared" si="61"/>
        <v>0</v>
      </c>
      <c r="O244" s="435">
        <f t="shared" si="61"/>
        <v>0</v>
      </c>
      <c r="P244" s="435">
        <f t="shared" si="61"/>
        <v>0</v>
      </c>
      <c r="Q244" s="435">
        <f t="shared" si="61"/>
        <v>0</v>
      </c>
      <c r="R244" s="435">
        <f t="shared" si="61"/>
        <v>0</v>
      </c>
      <c r="S244" s="435">
        <f t="shared" si="61"/>
        <v>0</v>
      </c>
      <c r="T244" s="435">
        <f t="shared" si="61"/>
        <v>0</v>
      </c>
      <c r="U244" s="435">
        <f t="shared" si="61"/>
        <v>0</v>
      </c>
      <c r="V244" s="435">
        <f t="shared" si="61"/>
        <v>0</v>
      </c>
      <c r="W244" s="435">
        <f t="shared" si="61"/>
        <v>0</v>
      </c>
      <c r="X244" s="435">
        <f t="shared" si="61"/>
        <v>0</v>
      </c>
      <c r="Y244" s="435">
        <f t="shared" si="61"/>
        <v>0</v>
      </c>
      <c r="Z244" s="435">
        <f t="shared" si="61"/>
        <v>0</v>
      </c>
      <c r="AA244" s="435">
        <f t="shared" si="61"/>
        <v>0</v>
      </c>
      <c r="AB244" s="435">
        <f t="shared" si="61"/>
        <v>0</v>
      </c>
      <c r="AC244" s="435">
        <f t="shared" si="61"/>
        <v>0</v>
      </c>
      <c r="AD244" s="435">
        <f t="shared" si="61"/>
        <v>0</v>
      </c>
      <c r="AE244" s="435">
        <f t="shared" si="61"/>
        <v>0</v>
      </c>
      <c r="AF244" s="435">
        <f t="shared" si="61"/>
        <v>0</v>
      </c>
      <c r="AG244" s="435">
        <f t="shared" si="61"/>
        <v>0</v>
      </c>
      <c r="AH244" s="435">
        <f t="shared" si="61"/>
        <v>0</v>
      </c>
      <c r="AI244" s="435">
        <f t="shared" si="61"/>
        <v>0</v>
      </c>
      <c r="AJ244" s="435">
        <f t="shared" si="61"/>
        <v>0</v>
      </c>
      <c r="AK244" s="435">
        <f t="shared" si="61"/>
        <v>0</v>
      </c>
      <c r="AL244" s="435">
        <f t="shared" si="61"/>
        <v>0</v>
      </c>
      <c r="AM244" s="435">
        <f t="shared" si="61"/>
        <v>0</v>
      </c>
      <c r="AN244" s="435">
        <f t="shared" si="61"/>
        <v>0</v>
      </c>
      <c r="AO244" s="435">
        <f t="shared" si="61"/>
        <v>0</v>
      </c>
      <c r="AP244" s="435">
        <f t="shared" si="61"/>
        <v>0</v>
      </c>
      <c r="BH244" s="136"/>
    </row>
    <row r="245" spans="3:60" x14ac:dyDescent="0.25">
      <c r="C245" s="74"/>
      <c r="E245" s="131"/>
      <c r="F245" s="139" t="s">
        <v>48</v>
      </c>
      <c r="G245" s="139" t="s">
        <v>119</v>
      </c>
      <c r="H245" s="142"/>
      <c r="I245" s="139"/>
      <c r="J245" s="435">
        <f t="shared" ref="J245:AP245" si="62">J$192 * J29 * J40 / (1 + $H232) / $H51</f>
        <v>0</v>
      </c>
      <c r="K245" s="435">
        <f t="shared" si="62"/>
        <v>0</v>
      </c>
      <c r="L245" s="435">
        <f t="shared" si="62"/>
        <v>0</v>
      </c>
      <c r="M245" s="435">
        <f t="shared" si="62"/>
        <v>0</v>
      </c>
      <c r="N245" s="435">
        <f t="shared" si="62"/>
        <v>0</v>
      </c>
      <c r="O245" s="435">
        <f t="shared" si="62"/>
        <v>0</v>
      </c>
      <c r="P245" s="435">
        <f t="shared" si="62"/>
        <v>0</v>
      </c>
      <c r="Q245" s="435">
        <f t="shared" si="62"/>
        <v>0</v>
      </c>
      <c r="R245" s="435">
        <f t="shared" si="62"/>
        <v>0</v>
      </c>
      <c r="S245" s="435">
        <f t="shared" si="62"/>
        <v>0</v>
      </c>
      <c r="T245" s="435">
        <f t="shared" si="62"/>
        <v>0</v>
      </c>
      <c r="U245" s="435">
        <f t="shared" si="62"/>
        <v>431.29836800437005</v>
      </c>
      <c r="V245" s="435">
        <f t="shared" si="62"/>
        <v>97.446589718022835</v>
      </c>
      <c r="W245" s="435">
        <f t="shared" si="62"/>
        <v>1263.8613955019403</v>
      </c>
      <c r="X245" s="435">
        <f t="shared" si="62"/>
        <v>0</v>
      </c>
      <c r="Y245" s="435">
        <f t="shared" si="62"/>
        <v>0</v>
      </c>
      <c r="Z245" s="435">
        <f t="shared" si="62"/>
        <v>0</v>
      </c>
      <c r="AA245" s="435">
        <f t="shared" si="62"/>
        <v>0</v>
      </c>
      <c r="AB245" s="435">
        <f t="shared" si="62"/>
        <v>0</v>
      </c>
      <c r="AC245" s="435">
        <f t="shared" si="62"/>
        <v>0</v>
      </c>
      <c r="AD245" s="435">
        <f t="shared" si="62"/>
        <v>0</v>
      </c>
      <c r="AE245" s="435">
        <f t="shared" si="62"/>
        <v>0</v>
      </c>
      <c r="AF245" s="435">
        <f t="shared" si="62"/>
        <v>0</v>
      </c>
      <c r="AG245" s="435">
        <f t="shared" si="62"/>
        <v>0</v>
      </c>
      <c r="AH245" s="435">
        <f t="shared" si="62"/>
        <v>0</v>
      </c>
      <c r="AI245" s="435">
        <f t="shared" si="62"/>
        <v>0</v>
      </c>
      <c r="AJ245" s="435">
        <f t="shared" si="62"/>
        <v>0</v>
      </c>
      <c r="AK245" s="435">
        <f t="shared" si="62"/>
        <v>0</v>
      </c>
      <c r="AL245" s="435">
        <f t="shared" si="62"/>
        <v>0</v>
      </c>
      <c r="AM245" s="435">
        <f t="shared" si="62"/>
        <v>0</v>
      </c>
      <c r="AN245" s="435">
        <f t="shared" si="62"/>
        <v>0</v>
      </c>
      <c r="AO245" s="435">
        <f t="shared" si="62"/>
        <v>0</v>
      </c>
      <c r="AP245" s="435">
        <f t="shared" si="62"/>
        <v>0</v>
      </c>
      <c r="BH245" s="136"/>
    </row>
    <row r="246" spans="3:60" x14ac:dyDescent="0.25">
      <c r="C246" s="74"/>
      <c r="E246" s="131"/>
      <c r="F246" s="139" t="s">
        <v>49</v>
      </c>
      <c r="G246" s="139" t="s">
        <v>119</v>
      </c>
      <c r="H246" s="142"/>
      <c r="I246" s="139"/>
      <c r="J246" s="435">
        <f t="shared" ref="J246:AP246" si="63">J$192 * J30 * J41 / (1 + $H233) / $H52</f>
        <v>0</v>
      </c>
      <c r="K246" s="435">
        <f t="shared" si="63"/>
        <v>0</v>
      </c>
      <c r="L246" s="435">
        <f t="shared" si="63"/>
        <v>0</v>
      </c>
      <c r="M246" s="435">
        <f t="shared" si="63"/>
        <v>0</v>
      </c>
      <c r="N246" s="435">
        <f t="shared" si="63"/>
        <v>0</v>
      </c>
      <c r="O246" s="435">
        <f t="shared" si="63"/>
        <v>0</v>
      </c>
      <c r="P246" s="435">
        <f t="shared" si="63"/>
        <v>0</v>
      </c>
      <c r="Q246" s="435">
        <f t="shared" si="63"/>
        <v>0</v>
      </c>
      <c r="R246" s="435">
        <f t="shared" si="63"/>
        <v>0</v>
      </c>
      <c r="S246" s="435">
        <f t="shared" si="63"/>
        <v>0</v>
      </c>
      <c r="T246" s="435">
        <f t="shared" si="63"/>
        <v>0</v>
      </c>
      <c r="U246" s="435">
        <f t="shared" si="63"/>
        <v>2125.5670048398924</v>
      </c>
      <c r="V246" s="435">
        <f t="shared" si="63"/>
        <v>96.049172083443153</v>
      </c>
      <c r="W246" s="435">
        <f t="shared" si="63"/>
        <v>0</v>
      </c>
      <c r="X246" s="435">
        <f t="shared" si="63"/>
        <v>0</v>
      </c>
      <c r="Y246" s="435">
        <f t="shared" si="63"/>
        <v>0</v>
      </c>
      <c r="Z246" s="435">
        <f t="shared" si="63"/>
        <v>0</v>
      </c>
      <c r="AA246" s="435">
        <f t="shared" si="63"/>
        <v>0</v>
      </c>
      <c r="AB246" s="435">
        <f t="shared" si="63"/>
        <v>0</v>
      </c>
      <c r="AC246" s="435">
        <f t="shared" si="63"/>
        <v>0</v>
      </c>
      <c r="AD246" s="435">
        <f t="shared" si="63"/>
        <v>0</v>
      </c>
      <c r="AE246" s="435">
        <f t="shared" si="63"/>
        <v>0</v>
      </c>
      <c r="AF246" s="435">
        <f t="shared" si="63"/>
        <v>0</v>
      </c>
      <c r="AG246" s="435">
        <f t="shared" si="63"/>
        <v>0</v>
      </c>
      <c r="AH246" s="435">
        <f t="shared" si="63"/>
        <v>0</v>
      </c>
      <c r="AI246" s="435">
        <f t="shared" si="63"/>
        <v>0</v>
      </c>
      <c r="AJ246" s="435">
        <f t="shared" si="63"/>
        <v>0</v>
      </c>
      <c r="AK246" s="435">
        <f t="shared" si="63"/>
        <v>0</v>
      </c>
      <c r="AL246" s="435">
        <f t="shared" si="63"/>
        <v>0</v>
      </c>
      <c r="AM246" s="435">
        <f t="shared" si="63"/>
        <v>0</v>
      </c>
      <c r="AN246" s="435">
        <f t="shared" si="63"/>
        <v>0</v>
      </c>
      <c r="AO246" s="435">
        <f t="shared" si="63"/>
        <v>0</v>
      </c>
      <c r="AP246" s="435">
        <f t="shared" si="63"/>
        <v>0</v>
      </c>
      <c r="BH246" s="136"/>
    </row>
    <row r="247" spans="3:60" x14ac:dyDescent="0.25">
      <c r="C247" s="74"/>
      <c r="E247" s="131"/>
      <c r="F247" s="140" t="s">
        <v>50</v>
      </c>
      <c r="G247" s="140" t="s">
        <v>119</v>
      </c>
      <c r="H247" s="20"/>
      <c r="I247" s="140"/>
      <c r="J247" s="436">
        <f t="shared" ref="J247:AP247" si="64">J$192 * J31 * J42 / (1 + $H234) / $H53</f>
        <v>0</v>
      </c>
      <c r="K247" s="436">
        <f t="shared" si="64"/>
        <v>0</v>
      </c>
      <c r="L247" s="436">
        <f t="shared" si="64"/>
        <v>0</v>
      </c>
      <c r="M247" s="436">
        <f t="shared" si="64"/>
        <v>0</v>
      </c>
      <c r="N247" s="436">
        <f t="shared" si="64"/>
        <v>0</v>
      </c>
      <c r="O247" s="436">
        <f t="shared" si="64"/>
        <v>0</v>
      </c>
      <c r="P247" s="436">
        <f t="shared" si="64"/>
        <v>0</v>
      </c>
      <c r="Q247" s="436">
        <f t="shared" si="64"/>
        <v>0</v>
      </c>
      <c r="R247" s="436">
        <f t="shared" si="64"/>
        <v>0</v>
      </c>
      <c r="S247" s="436">
        <f t="shared" si="64"/>
        <v>0</v>
      </c>
      <c r="T247" s="436">
        <f t="shared" si="64"/>
        <v>0</v>
      </c>
      <c r="U247" s="436">
        <f t="shared" si="64"/>
        <v>1679.172949294541</v>
      </c>
      <c r="V247" s="436">
        <f t="shared" si="64"/>
        <v>0</v>
      </c>
      <c r="W247" s="436">
        <f t="shared" si="64"/>
        <v>0</v>
      </c>
      <c r="X247" s="436">
        <f t="shared" si="64"/>
        <v>0</v>
      </c>
      <c r="Y247" s="436">
        <f t="shared" si="64"/>
        <v>0</v>
      </c>
      <c r="Z247" s="436">
        <f t="shared" si="64"/>
        <v>0</v>
      </c>
      <c r="AA247" s="436">
        <f t="shared" si="64"/>
        <v>0</v>
      </c>
      <c r="AB247" s="436">
        <f t="shared" si="64"/>
        <v>0</v>
      </c>
      <c r="AC247" s="436">
        <f t="shared" si="64"/>
        <v>0</v>
      </c>
      <c r="AD247" s="436">
        <f t="shared" si="64"/>
        <v>0</v>
      </c>
      <c r="AE247" s="436">
        <f t="shared" si="64"/>
        <v>0</v>
      </c>
      <c r="AF247" s="436">
        <f t="shared" si="64"/>
        <v>0</v>
      </c>
      <c r="AG247" s="436">
        <f t="shared" si="64"/>
        <v>0</v>
      </c>
      <c r="AH247" s="436">
        <f t="shared" si="64"/>
        <v>0</v>
      </c>
      <c r="AI247" s="436">
        <f t="shared" si="64"/>
        <v>0</v>
      </c>
      <c r="AJ247" s="436">
        <f t="shared" si="64"/>
        <v>0</v>
      </c>
      <c r="AK247" s="436">
        <f t="shared" si="64"/>
        <v>0</v>
      </c>
      <c r="AL247" s="436">
        <f t="shared" si="64"/>
        <v>0</v>
      </c>
      <c r="AM247" s="436">
        <f t="shared" si="64"/>
        <v>0</v>
      </c>
      <c r="AN247" s="436">
        <f t="shared" si="64"/>
        <v>0</v>
      </c>
      <c r="AO247" s="436">
        <f t="shared" si="64"/>
        <v>0</v>
      </c>
      <c r="AP247" s="436">
        <f t="shared" si="64"/>
        <v>0</v>
      </c>
      <c r="BH247" s="136"/>
    </row>
    <row r="248" spans="3:60" x14ac:dyDescent="0.25">
      <c r="H248" s="153"/>
      <c r="J248" s="416"/>
      <c r="K248" s="416"/>
      <c r="L248" s="416"/>
      <c r="M248" s="416"/>
      <c r="N248" s="416"/>
      <c r="O248" s="416"/>
      <c r="P248" s="416"/>
      <c r="Q248" s="416"/>
      <c r="R248" s="416"/>
      <c r="S248" s="416"/>
      <c r="T248" s="416"/>
      <c r="U248" s="416"/>
      <c r="V248" s="416"/>
      <c r="W248" s="416"/>
      <c r="X248" s="416"/>
      <c r="Y248" s="416"/>
      <c r="Z248" s="416"/>
      <c r="AA248" s="416"/>
      <c r="AB248" s="416"/>
      <c r="AC248" s="416"/>
      <c r="AD248" s="416"/>
      <c r="AE248" s="416"/>
      <c r="AF248" s="416"/>
      <c r="AG248" s="416"/>
      <c r="AH248" s="416"/>
      <c r="AI248" s="416"/>
      <c r="AJ248" s="416"/>
      <c r="AK248" s="416"/>
      <c r="AL248" s="416"/>
      <c r="AM248" s="416"/>
      <c r="AN248" s="416"/>
      <c r="AO248" s="416"/>
      <c r="AP248" s="416"/>
    </row>
    <row r="249" spans="3:60" x14ac:dyDescent="0.25">
      <c r="C249" s="22" t="str">
        <f ca="1">INDEX('Version control'!$H$34:$H$59,MATCH($A$1,'Version control'!$F$34:$F$59,0),1)&amp;"-H: Estimated capacity contribution to system peak"</f>
        <v>Section 509-H: Estimated capacity contribution to system peak</v>
      </c>
      <c r="D249" s="119"/>
      <c r="E249" s="119"/>
      <c r="F249" s="119"/>
      <c r="G249" s="119"/>
      <c r="H249" s="119"/>
      <c r="I249" s="119"/>
      <c r="J249" s="452"/>
      <c r="K249" s="452"/>
      <c r="L249" s="452"/>
      <c r="M249" s="452"/>
      <c r="N249" s="452"/>
      <c r="O249" s="452"/>
      <c r="P249" s="406"/>
      <c r="Q249" s="406"/>
      <c r="R249" s="406"/>
      <c r="S249" s="406"/>
      <c r="T249" s="406"/>
      <c r="U249" s="406"/>
      <c r="V249" s="406"/>
      <c r="W249" s="406"/>
      <c r="X249" s="406"/>
      <c r="Y249" s="406"/>
      <c r="Z249" s="406"/>
      <c r="AA249" s="406"/>
      <c r="AB249" s="406"/>
      <c r="AC249" s="406"/>
      <c r="AD249" s="406"/>
      <c r="AE249" s="406"/>
      <c r="AF249" s="406"/>
      <c r="AG249" s="406"/>
      <c r="AH249" s="406"/>
      <c r="AI249" s="406"/>
      <c r="AJ249" s="406"/>
      <c r="AK249" s="406"/>
      <c r="AL249" s="406"/>
      <c r="AM249" s="406"/>
      <c r="AN249" s="406"/>
      <c r="AO249" s="406"/>
      <c r="AP249" s="406"/>
      <c r="AQ249" s="22"/>
      <c r="AR249" s="22"/>
      <c r="BH249" s="136"/>
    </row>
    <row r="250" spans="3:60" x14ac:dyDescent="0.25">
      <c r="H250" s="153"/>
      <c r="J250" s="416"/>
      <c r="K250" s="416"/>
      <c r="L250" s="416"/>
      <c r="M250" s="416"/>
      <c r="N250" s="416"/>
      <c r="O250" s="416"/>
      <c r="P250" s="416"/>
      <c r="Q250" s="416"/>
      <c r="R250" s="416"/>
      <c r="S250" s="416"/>
      <c r="T250" s="416"/>
      <c r="U250" s="416"/>
      <c r="V250" s="416"/>
      <c r="W250" s="416"/>
      <c r="X250" s="416"/>
      <c r="Y250" s="416"/>
      <c r="Z250" s="416"/>
      <c r="AA250" s="416"/>
      <c r="AB250" s="416"/>
      <c r="AC250" s="416"/>
      <c r="AD250" s="416"/>
      <c r="AE250" s="416"/>
      <c r="AF250" s="416"/>
      <c r="AG250" s="416"/>
      <c r="AH250" s="416"/>
      <c r="AI250" s="416"/>
      <c r="AJ250" s="416"/>
      <c r="AK250" s="416"/>
      <c r="AL250" s="416"/>
      <c r="AM250" s="416"/>
      <c r="AN250" s="416"/>
      <c r="AO250" s="416"/>
      <c r="AP250" s="416"/>
    </row>
    <row r="251" spans="3:60" s="160" customFormat="1" x14ac:dyDescent="0.25">
      <c r="E251" s="172" t="s">
        <v>521</v>
      </c>
      <c r="F251" s="152"/>
      <c r="H251" s="153"/>
      <c r="J251" s="416"/>
      <c r="K251" s="416"/>
      <c r="L251" s="416"/>
      <c r="M251" s="416"/>
      <c r="N251" s="416"/>
      <c r="O251" s="416"/>
      <c r="P251" s="416"/>
      <c r="Q251" s="416"/>
      <c r="R251" s="416"/>
      <c r="S251" s="416"/>
      <c r="T251" s="416"/>
      <c r="U251" s="416"/>
      <c r="V251" s="416"/>
      <c r="W251" s="416"/>
      <c r="X251" s="416"/>
      <c r="Y251" s="416"/>
      <c r="Z251" s="416"/>
      <c r="AA251" s="416"/>
      <c r="AB251" s="416"/>
      <c r="AC251" s="416"/>
      <c r="AD251" s="416"/>
      <c r="AE251" s="416"/>
      <c r="AF251" s="416"/>
      <c r="AG251" s="416"/>
      <c r="AH251" s="416"/>
      <c r="AI251" s="416"/>
      <c r="AJ251" s="416"/>
      <c r="AK251" s="416"/>
      <c r="AL251" s="416"/>
      <c r="AM251" s="416"/>
      <c r="AN251" s="416"/>
      <c r="AO251" s="416"/>
      <c r="AP251" s="416"/>
    </row>
    <row r="252" spans="3:60" x14ac:dyDescent="0.25">
      <c r="C252" s="74"/>
      <c r="E252" s="131"/>
      <c r="F252" s="137" t="s">
        <v>43</v>
      </c>
      <c r="G252" s="141" t="s">
        <v>119</v>
      </c>
      <c r="H252" s="141"/>
      <c r="I252" s="137"/>
      <c r="J252" s="443">
        <f t="shared" ref="J252:AP252" si="65">IF(AND(J$192 = 0, J$198), J$200 * J23 * J34 / (1 + $H226) / $H45, 0)</f>
        <v>0</v>
      </c>
      <c r="K252" s="443">
        <f t="shared" si="65"/>
        <v>0</v>
      </c>
      <c r="L252" s="443">
        <f t="shared" si="65"/>
        <v>0</v>
      </c>
      <c r="M252" s="443">
        <f t="shared" si="65"/>
        <v>0</v>
      </c>
      <c r="N252" s="443">
        <f t="shared" si="65"/>
        <v>0</v>
      </c>
      <c r="O252" s="443">
        <f t="shared" si="65"/>
        <v>0</v>
      </c>
      <c r="P252" s="443">
        <f t="shared" si="65"/>
        <v>0</v>
      </c>
      <c r="Q252" s="443">
        <f t="shared" si="65"/>
        <v>0</v>
      </c>
      <c r="R252" s="443">
        <f t="shared" si="65"/>
        <v>0</v>
      </c>
      <c r="S252" s="443">
        <f t="shared" si="65"/>
        <v>0</v>
      </c>
      <c r="T252" s="443">
        <f t="shared" si="65"/>
        <v>0</v>
      </c>
      <c r="U252" s="443">
        <f t="shared" si="65"/>
        <v>0</v>
      </c>
      <c r="V252" s="443">
        <f t="shared" si="65"/>
        <v>0</v>
      </c>
      <c r="W252" s="443">
        <f t="shared" si="65"/>
        <v>0</v>
      </c>
      <c r="X252" s="443">
        <f t="shared" si="65"/>
        <v>0</v>
      </c>
      <c r="Y252" s="443">
        <f t="shared" si="65"/>
        <v>0</v>
      </c>
      <c r="Z252" s="443">
        <f t="shared" si="65"/>
        <v>0</v>
      </c>
      <c r="AA252" s="443">
        <f t="shared" si="65"/>
        <v>0</v>
      </c>
      <c r="AB252" s="443">
        <f t="shared" si="65"/>
        <v>0</v>
      </c>
      <c r="AC252" s="443">
        <f t="shared" si="65"/>
        <v>0</v>
      </c>
      <c r="AD252" s="443">
        <f t="shared" si="65"/>
        <v>0</v>
      </c>
      <c r="AE252" s="443">
        <f t="shared" si="65"/>
        <v>0</v>
      </c>
      <c r="AF252" s="443">
        <f t="shared" si="65"/>
        <v>0</v>
      </c>
      <c r="AG252" s="443">
        <f t="shared" si="65"/>
        <v>0</v>
      </c>
      <c r="AH252" s="443">
        <f t="shared" si="65"/>
        <v>0</v>
      </c>
      <c r="AI252" s="443">
        <f t="shared" si="65"/>
        <v>0</v>
      </c>
      <c r="AJ252" s="443">
        <f t="shared" si="65"/>
        <v>0</v>
      </c>
      <c r="AK252" s="443">
        <f t="shared" si="65"/>
        <v>0</v>
      </c>
      <c r="AL252" s="443">
        <f t="shared" si="65"/>
        <v>0</v>
      </c>
      <c r="AM252" s="443">
        <f t="shared" si="65"/>
        <v>0</v>
      </c>
      <c r="AN252" s="443">
        <f t="shared" si="65"/>
        <v>0</v>
      </c>
      <c r="AO252" s="443">
        <f t="shared" si="65"/>
        <v>0</v>
      </c>
      <c r="AP252" s="443">
        <f t="shared" si="65"/>
        <v>0</v>
      </c>
      <c r="BH252" s="136"/>
    </row>
    <row r="253" spans="3:60" x14ac:dyDescent="0.25">
      <c r="C253" s="74"/>
      <c r="E253" s="131"/>
      <c r="F253" s="139" t="s">
        <v>44</v>
      </c>
      <c r="G253" s="142" t="s">
        <v>119</v>
      </c>
      <c r="H253" s="142"/>
      <c r="I253" s="139"/>
      <c r="J253" s="435">
        <f t="shared" ref="J253:AP253" si="66">IF(AND(J$192 = 0, J$198), J$200 * J24 * J35 / (1 + $H227) / $H46, 0)</f>
        <v>0</v>
      </c>
      <c r="K253" s="435">
        <f t="shared" si="66"/>
        <v>0</v>
      </c>
      <c r="L253" s="435">
        <f t="shared" si="66"/>
        <v>0</v>
      </c>
      <c r="M253" s="435">
        <f t="shared" si="66"/>
        <v>0</v>
      </c>
      <c r="N253" s="435">
        <f t="shared" si="66"/>
        <v>0</v>
      </c>
      <c r="O253" s="435">
        <f t="shared" si="66"/>
        <v>0</v>
      </c>
      <c r="P253" s="435">
        <f t="shared" si="66"/>
        <v>0</v>
      </c>
      <c r="Q253" s="435">
        <f t="shared" si="66"/>
        <v>0</v>
      </c>
      <c r="R253" s="435">
        <f t="shared" si="66"/>
        <v>0</v>
      </c>
      <c r="S253" s="435">
        <f t="shared" si="66"/>
        <v>0</v>
      </c>
      <c r="T253" s="435">
        <f t="shared" si="66"/>
        <v>0</v>
      </c>
      <c r="U253" s="435">
        <f t="shared" si="66"/>
        <v>0</v>
      </c>
      <c r="V253" s="435">
        <f t="shared" si="66"/>
        <v>0</v>
      </c>
      <c r="W253" s="435">
        <f t="shared" si="66"/>
        <v>0</v>
      </c>
      <c r="X253" s="435">
        <f t="shared" si="66"/>
        <v>0</v>
      </c>
      <c r="Y253" s="435">
        <f t="shared" si="66"/>
        <v>0</v>
      </c>
      <c r="Z253" s="435">
        <f t="shared" si="66"/>
        <v>0</v>
      </c>
      <c r="AA253" s="435">
        <f t="shared" si="66"/>
        <v>0</v>
      </c>
      <c r="AB253" s="435">
        <f t="shared" si="66"/>
        <v>0</v>
      </c>
      <c r="AC253" s="435">
        <f t="shared" si="66"/>
        <v>0</v>
      </c>
      <c r="AD253" s="435">
        <f t="shared" si="66"/>
        <v>0</v>
      </c>
      <c r="AE253" s="435">
        <f t="shared" si="66"/>
        <v>0</v>
      </c>
      <c r="AF253" s="435">
        <f t="shared" si="66"/>
        <v>0</v>
      </c>
      <c r="AG253" s="435">
        <f t="shared" si="66"/>
        <v>0</v>
      </c>
      <c r="AH253" s="435">
        <f t="shared" si="66"/>
        <v>0</v>
      </c>
      <c r="AI253" s="435">
        <f t="shared" si="66"/>
        <v>0</v>
      </c>
      <c r="AJ253" s="435">
        <f t="shared" si="66"/>
        <v>0</v>
      </c>
      <c r="AK253" s="435">
        <f t="shared" si="66"/>
        <v>0</v>
      </c>
      <c r="AL253" s="435">
        <f t="shared" si="66"/>
        <v>0</v>
      </c>
      <c r="AM253" s="435">
        <f t="shared" si="66"/>
        <v>0</v>
      </c>
      <c r="AN253" s="435">
        <f t="shared" si="66"/>
        <v>0</v>
      </c>
      <c r="AO253" s="435">
        <f t="shared" si="66"/>
        <v>0</v>
      </c>
      <c r="AP253" s="435">
        <f t="shared" si="66"/>
        <v>0</v>
      </c>
      <c r="BH253" s="136"/>
    </row>
    <row r="254" spans="3:60" x14ac:dyDescent="0.25">
      <c r="C254" s="74"/>
      <c r="E254" s="131"/>
      <c r="F254" s="139" t="s">
        <v>45</v>
      </c>
      <c r="G254" s="142" t="s">
        <v>119</v>
      </c>
      <c r="H254" s="142"/>
      <c r="I254" s="139"/>
      <c r="J254" s="435">
        <f t="shared" ref="J254:AP254" si="67">IF(AND(J$192 = 0, J$198), J$200 * J25 * J36 / (1 + $H228) / $H47, 0)</f>
        <v>0</v>
      </c>
      <c r="K254" s="435">
        <f t="shared" si="67"/>
        <v>0</v>
      </c>
      <c r="L254" s="435">
        <f t="shared" si="67"/>
        <v>0</v>
      </c>
      <c r="M254" s="435">
        <f t="shared" si="67"/>
        <v>0</v>
      </c>
      <c r="N254" s="435">
        <f t="shared" si="67"/>
        <v>0</v>
      </c>
      <c r="O254" s="435">
        <f t="shared" si="67"/>
        <v>0</v>
      </c>
      <c r="P254" s="435">
        <f t="shared" si="67"/>
        <v>0</v>
      </c>
      <c r="Q254" s="435">
        <f t="shared" si="67"/>
        <v>0</v>
      </c>
      <c r="R254" s="435">
        <f t="shared" si="67"/>
        <v>0</v>
      </c>
      <c r="S254" s="435">
        <f t="shared" si="67"/>
        <v>0</v>
      </c>
      <c r="T254" s="435">
        <f t="shared" si="67"/>
        <v>0</v>
      </c>
      <c r="U254" s="435">
        <f t="shared" si="67"/>
        <v>0</v>
      </c>
      <c r="V254" s="435">
        <f t="shared" si="67"/>
        <v>0</v>
      </c>
      <c r="W254" s="435">
        <f t="shared" si="67"/>
        <v>0</v>
      </c>
      <c r="X254" s="435">
        <f t="shared" si="67"/>
        <v>0</v>
      </c>
      <c r="Y254" s="435">
        <f t="shared" si="67"/>
        <v>0</v>
      </c>
      <c r="Z254" s="435">
        <f t="shared" si="67"/>
        <v>0</v>
      </c>
      <c r="AA254" s="435">
        <f t="shared" si="67"/>
        <v>0</v>
      </c>
      <c r="AB254" s="435">
        <f t="shared" si="67"/>
        <v>0</v>
      </c>
      <c r="AC254" s="435">
        <f t="shared" si="67"/>
        <v>0</v>
      </c>
      <c r="AD254" s="435">
        <f t="shared" si="67"/>
        <v>0</v>
      </c>
      <c r="AE254" s="435">
        <f t="shared" si="67"/>
        <v>0</v>
      </c>
      <c r="AF254" s="435">
        <f t="shared" si="67"/>
        <v>0</v>
      </c>
      <c r="AG254" s="435">
        <f t="shared" si="67"/>
        <v>0</v>
      </c>
      <c r="AH254" s="435">
        <f t="shared" si="67"/>
        <v>0</v>
      </c>
      <c r="AI254" s="435">
        <f t="shared" si="67"/>
        <v>0</v>
      </c>
      <c r="AJ254" s="435">
        <f t="shared" si="67"/>
        <v>0</v>
      </c>
      <c r="AK254" s="435">
        <f t="shared" si="67"/>
        <v>0</v>
      </c>
      <c r="AL254" s="435">
        <f t="shared" si="67"/>
        <v>0</v>
      </c>
      <c r="AM254" s="435">
        <f t="shared" si="67"/>
        <v>0</v>
      </c>
      <c r="AN254" s="435">
        <f t="shared" si="67"/>
        <v>0</v>
      </c>
      <c r="AO254" s="435">
        <f t="shared" si="67"/>
        <v>0</v>
      </c>
      <c r="AP254" s="435">
        <f t="shared" si="67"/>
        <v>0</v>
      </c>
      <c r="BH254" s="136"/>
    </row>
    <row r="255" spans="3:60" x14ac:dyDescent="0.25">
      <c r="C255" s="74"/>
      <c r="E255" s="131"/>
      <c r="F255" s="139" t="s">
        <v>46</v>
      </c>
      <c r="G255" s="142" t="s">
        <v>119</v>
      </c>
      <c r="H255" s="142"/>
      <c r="I255" s="139"/>
      <c r="J255" s="435">
        <f t="shared" ref="J255:AP255" si="68">IF(AND(J$192 = 0, J$198), J$200 * J26 * J37 / (1 + $H229) / $H48, 0)</f>
        <v>0</v>
      </c>
      <c r="K255" s="435">
        <f t="shared" si="68"/>
        <v>0</v>
      </c>
      <c r="L255" s="435">
        <f t="shared" si="68"/>
        <v>0</v>
      </c>
      <c r="M255" s="435">
        <f t="shared" si="68"/>
        <v>0</v>
      </c>
      <c r="N255" s="435">
        <f t="shared" si="68"/>
        <v>0</v>
      </c>
      <c r="O255" s="435">
        <f t="shared" si="68"/>
        <v>0</v>
      </c>
      <c r="P255" s="435">
        <f t="shared" si="68"/>
        <v>0</v>
      </c>
      <c r="Q255" s="435">
        <f t="shared" si="68"/>
        <v>0</v>
      </c>
      <c r="R255" s="435">
        <f t="shared" si="68"/>
        <v>1.8201984734038831E-2</v>
      </c>
      <c r="S255" s="435">
        <f t="shared" si="68"/>
        <v>0</v>
      </c>
      <c r="T255" s="435">
        <f t="shared" si="68"/>
        <v>0</v>
      </c>
      <c r="U255" s="435">
        <f t="shared" si="68"/>
        <v>0</v>
      </c>
      <c r="V255" s="435">
        <f t="shared" si="68"/>
        <v>0</v>
      </c>
      <c r="W255" s="435">
        <f t="shared" si="68"/>
        <v>0</v>
      </c>
      <c r="X255" s="435">
        <f t="shared" si="68"/>
        <v>0</v>
      </c>
      <c r="Y255" s="435">
        <f t="shared" si="68"/>
        <v>0</v>
      </c>
      <c r="Z255" s="435">
        <f t="shared" si="68"/>
        <v>0</v>
      </c>
      <c r="AA255" s="435">
        <f t="shared" si="68"/>
        <v>0</v>
      </c>
      <c r="AB255" s="435">
        <f t="shared" si="68"/>
        <v>0</v>
      </c>
      <c r="AC255" s="435">
        <f t="shared" si="68"/>
        <v>0</v>
      </c>
      <c r="AD255" s="435">
        <f t="shared" si="68"/>
        <v>0</v>
      </c>
      <c r="AE255" s="435">
        <f t="shared" si="68"/>
        <v>0</v>
      </c>
      <c r="AF255" s="435">
        <f t="shared" si="68"/>
        <v>0</v>
      </c>
      <c r="AG255" s="435">
        <f t="shared" si="68"/>
        <v>0</v>
      </c>
      <c r="AH255" s="435">
        <f t="shared" si="68"/>
        <v>0</v>
      </c>
      <c r="AI255" s="435">
        <f t="shared" si="68"/>
        <v>0</v>
      </c>
      <c r="AJ255" s="435">
        <f t="shared" si="68"/>
        <v>0</v>
      </c>
      <c r="AK255" s="435">
        <f t="shared" si="68"/>
        <v>0</v>
      </c>
      <c r="AL255" s="435">
        <f t="shared" si="68"/>
        <v>0</v>
      </c>
      <c r="AM255" s="435">
        <f t="shared" si="68"/>
        <v>0</v>
      </c>
      <c r="AN255" s="435">
        <f t="shared" si="68"/>
        <v>0</v>
      </c>
      <c r="AO255" s="435">
        <f t="shared" si="68"/>
        <v>0</v>
      </c>
      <c r="AP255" s="435">
        <f t="shared" si="68"/>
        <v>0</v>
      </c>
      <c r="BH255" s="136"/>
    </row>
    <row r="256" spans="3:60" x14ac:dyDescent="0.25">
      <c r="C256" s="74"/>
      <c r="E256" s="131"/>
      <c r="F256" s="139" t="s">
        <v>47</v>
      </c>
      <c r="G256" s="142" t="s">
        <v>119</v>
      </c>
      <c r="H256" s="142"/>
      <c r="I256" s="139"/>
      <c r="J256" s="435">
        <f t="shared" ref="J256:AP256" si="69">IF(AND(J$192 = 0, J$198), J$200 * J27 * J38 / (1 + $H230) / $H49, 0)</f>
        <v>0</v>
      </c>
      <c r="K256" s="435">
        <f t="shared" si="69"/>
        <v>0</v>
      </c>
      <c r="L256" s="435">
        <f t="shared" si="69"/>
        <v>0</v>
      </c>
      <c r="M256" s="435">
        <f t="shared" si="69"/>
        <v>0</v>
      </c>
      <c r="N256" s="435">
        <f t="shared" si="69"/>
        <v>0</v>
      </c>
      <c r="O256" s="435">
        <f t="shared" si="69"/>
        <v>0</v>
      </c>
      <c r="P256" s="435">
        <f t="shared" si="69"/>
        <v>0</v>
      </c>
      <c r="Q256" s="435">
        <f t="shared" si="69"/>
        <v>0</v>
      </c>
      <c r="R256" s="435">
        <f t="shared" si="69"/>
        <v>9.0564233544483119E-2</v>
      </c>
      <c r="S256" s="435">
        <f t="shared" si="69"/>
        <v>0</v>
      </c>
      <c r="T256" s="435">
        <f t="shared" si="69"/>
        <v>0</v>
      </c>
      <c r="U256" s="435">
        <f t="shared" si="69"/>
        <v>0</v>
      </c>
      <c r="V256" s="435">
        <f t="shared" si="69"/>
        <v>0</v>
      </c>
      <c r="W256" s="435">
        <f t="shared" si="69"/>
        <v>0</v>
      </c>
      <c r="X256" s="435">
        <f t="shared" si="69"/>
        <v>0</v>
      </c>
      <c r="Y256" s="435">
        <f t="shared" si="69"/>
        <v>0</v>
      </c>
      <c r="Z256" s="435">
        <f t="shared" si="69"/>
        <v>0</v>
      </c>
      <c r="AA256" s="435">
        <f t="shared" si="69"/>
        <v>0</v>
      </c>
      <c r="AB256" s="435">
        <f t="shared" si="69"/>
        <v>0</v>
      </c>
      <c r="AC256" s="435">
        <f t="shared" si="69"/>
        <v>0</v>
      </c>
      <c r="AD256" s="435">
        <f t="shared" si="69"/>
        <v>0</v>
      </c>
      <c r="AE256" s="435">
        <f t="shared" si="69"/>
        <v>0</v>
      </c>
      <c r="AF256" s="435">
        <f t="shared" si="69"/>
        <v>0</v>
      </c>
      <c r="AG256" s="435">
        <f t="shared" si="69"/>
        <v>0</v>
      </c>
      <c r="AH256" s="435">
        <f t="shared" si="69"/>
        <v>0</v>
      </c>
      <c r="AI256" s="435">
        <f t="shared" si="69"/>
        <v>0</v>
      </c>
      <c r="AJ256" s="435">
        <f t="shared" si="69"/>
        <v>0</v>
      </c>
      <c r="AK256" s="435">
        <f t="shared" si="69"/>
        <v>0</v>
      </c>
      <c r="AL256" s="435">
        <f t="shared" si="69"/>
        <v>0</v>
      </c>
      <c r="AM256" s="435">
        <f t="shared" si="69"/>
        <v>0</v>
      </c>
      <c r="AN256" s="435">
        <f t="shared" si="69"/>
        <v>0</v>
      </c>
      <c r="AO256" s="435">
        <f t="shared" si="69"/>
        <v>0</v>
      </c>
      <c r="AP256" s="435">
        <f t="shared" si="69"/>
        <v>0</v>
      </c>
      <c r="BH256" s="136"/>
    </row>
    <row r="257" spans="2:60" x14ac:dyDescent="0.25">
      <c r="C257" s="74"/>
      <c r="E257" s="131"/>
      <c r="F257" s="139" t="s">
        <v>51</v>
      </c>
      <c r="G257" s="142" t="s">
        <v>119</v>
      </c>
      <c r="H257" s="142"/>
      <c r="I257" s="139"/>
      <c r="J257" s="435">
        <f t="shared" ref="J257:AP257" si="70">IF(AND(J$192 = 0, J$198), J$200 * J28 * J39 / (1 + $H231) / $H50, 0)</f>
        <v>0</v>
      </c>
      <c r="K257" s="435">
        <f t="shared" si="70"/>
        <v>0</v>
      </c>
      <c r="L257" s="435">
        <f t="shared" si="70"/>
        <v>0</v>
      </c>
      <c r="M257" s="435">
        <f t="shared" si="70"/>
        <v>0</v>
      </c>
      <c r="N257" s="435">
        <f t="shared" si="70"/>
        <v>0</v>
      </c>
      <c r="O257" s="435">
        <f t="shared" si="70"/>
        <v>0</v>
      </c>
      <c r="P257" s="435">
        <f t="shared" si="70"/>
        <v>0</v>
      </c>
      <c r="Q257" s="435">
        <f t="shared" si="70"/>
        <v>0</v>
      </c>
      <c r="R257" s="435">
        <f t="shared" si="70"/>
        <v>0</v>
      </c>
      <c r="S257" s="435">
        <f t="shared" si="70"/>
        <v>0</v>
      </c>
      <c r="T257" s="435">
        <f t="shared" si="70"/>
        <v>0</v>
      </c>
      <c r="U257" s="435">
        <f t="shared" si="70"/>
        <v>0</v>
      </c>
      <c r="V257" s="435">
        <f t="shared" si="70"/>
        <v>0</v>
      </c>
      <c r="W257" s="435">
        <f t="shared" si="70"/>
        <v>0</v>
      </c>
      <c r="X257" s="435">
        <f t="shared" si="70"/>
        <v>0</v>
      </c>
      <c r="Y257" s="435">
        <f t="shared" si="70"/>
        <v>0</v>
      </c>
      <c r="Z257" s="435">
        <f t="shared" si="70"/>
        <v>0</v>
      </c>
      <c r="AA257" s="435">
        <f t="shared" si="70"/>
        <v>0</v>
      </c>
      <c r="AB257" s="435">
        <f t="shared" si="70"/>
        <v>0</v>
      </c>
      <c r="AC257" s="435">
        <f t="shared" si="70"/>
        <v>0</v>
      </c>
      <c r="AD257" s="435">
        <f t="shared" si="70"/>
        <v>0</v>
      </c>
      <c r="AE257" s="435">
        <f t="shared" si="70"/>
        <v>0</v>
      </c>
      <c r="AF257" s="435">
        <f t="shared" si="70"/>
        <v>0</v>
      </c>
      <c r="AG257" s="435">
        <f t="shared" si="70"/>
        <v>0</v>
      </c>
      <c r="AH257" s="435">
        <f t="shared" si="70"/>
        <v>0</v>
      </c>
      <c r="AI257" s="435">
        <f t="shared" si="70"/>
        <v>0</v>
      </c>
      <c r="AJ257" s="435">
        <f t="shared" si="70"/>
        <v>0</v>
      </c>
      <c r="AK257" s="435">
        <f t="shared" si="70"/>
        <v>0</v>
      </c>
      <c r="AL257" s="435">
        <f t="shared" si="70"/>
        <v>0</v>
      </c>
      <c r="AM257" s="435">
        <f t="shared" si="70"/>
        <v>0</v>
      </c>
      <c r="AN257" s="435">
        <f t="shared" si="70"/>
        <v>0</v>
      </c>
      <c r="AO257" s="435">
        <f t="shared" si="70"/>
        <v>0</v>
      </c>
      <c r="AP257" s="435">
        <f t="shared" si="70"/>
        <v>0</v>
      </c>
      <c r="BH257" s="136"/>
    </row>
    <row r="258" spans="2:60" x14ac:dyDescent="0.25">
      <c r="C258" s="74"/>
      <c r="E258" s="131"/>
      <c r="F258" s="139" t="s">
        <v>48</v>
      </c>
      <c r="G258" s="142" t="s">
        <v>119</v>
      </c>
      <c r="H258" s="142"/>
      <c r="I258" s="139"/>
      <c r="J258" s="435">
        <f t="shared" ref="J258:AP258" si="71">IF(AND(J$192 = 0, J$198), J$200 * J29 * J40 / (1 + $H232) / $H51, 0)</f>
        <v>0</v>
      </c>
      <c r="K258" s="435">
        <f t="shared" si="71"/>
        <v>0</v>
      </c>
      <c r="L258" s="435">
        <f t="shared" si="71"/>
        <v>0</v>
      </c>
      <c r="M258" s="435">
        <f t="shared" si="71"/>
        <v>0</v>
      </c>
      <c r="N258" s="435">
        <f t="shared" si="71"/>
        <v>0</v>
      </c>
      <c r="O258" s="435">
        <f t="shared" si="71"/>
        <v>0</v>
      </c>
      <c r="P258" s="435">
        <f t="shared" si="71"/>
        <v>0</v>
      </c>
      <c r="Q258" s="435">
        <f t="shared" si="71"/>
        <v>0</v>
      </c>
      <c r="R258" s="435">
        <f t="shared" si="71"/>
        <v>6.5464103626213133E-2</v>
      </c>
      <c r="S258" s="435">
        <f t="shared" si="71"/>
        <v>0</v>
      </c>
      <c r="T258" s="435">
        <f t="shared" si="71"/>
        <v>0</v>
      </c>
      <c r="U258" s="435">
        <f t="shared" si="71"/>
        <v>0</v>
      </c>
      <c r="V258" s="435">
        <f t="shared" si="71"/>
        <v>0</v>
      </c>
      <c r="W258" s="435">
        <f t="shared" si="71"/>
        <v>0</v>
      </c>
      <c r="X258" s="435">
        <f t="shared" si="71"/>
        <v>0</v>
      </c>
      <c r="Y258" s="435">
        <f t="shared" si="71"/>
        <v>0</v>
      </c>
      <c r="Z258" s="435">
        <f t="shared" si="71"/>
        <v>0</v>
      </c>
      <c r="AA258" s="435">
        <f t="shared" si="71"/>
        <v>0</v>
      </c>
      <c r="AB258" s="435">
        <f t="shared" si="71"/>
        <v>0</v>
      </c>
      <c r="AC258" s="435">
        <f t="shared" si="71"/>
        <v>0</v>
      </c>
      <c r="AD258" s="435">
        <f t="shared" si="71"/>
        <v>0</v>
      </c>
      <c r="AE258" s="435">
        <f t="shared" si="71"/>
        <v>0</v>
      </c>
      <c r="AF258" s="435">
        <f t="shared" si="71"/>
        <v>0</v>
      </c>
      <c r="AG258" s="435">
        <f t="shared" si="71"/>
        <v>0</v>
      </c>
      <c r="AH258" s="435">
        <f t="shared" si="71"/>
        <v>0</v>
      </c>
      <c r="AI258" s="435">
        <f t="shared" si="71"/>
        <v>0</v>
      </c>
      <c r="AJ258" s="435">
        <f t="shared" si="71"/>
        <v>0</v>
      </c>
      <c r="AK258" s="435">
        <f t="shared" si="71"/>
        <v>0</v>
      </c>
      <c r="AL258" s="435">
        <f t="shared" si="71"/>
        <v>0</v>
      </c>
      <c r="AM258" s="435">
        <f t="shared" si="71"/>
        <v>0</v>
      </c>
      <c r="AN258" s="435">
        <f t="shared" si="71"/>
        <v>0</v>
      </c>
      <c r="AO258" s="435">
        <f t="shared" si="71"/>
        <v>0</v>
      </c>
      <c r="AP258" s="435">
        <f t="shared" si="71"/>
        <v>0</v>
      </c>
      <c r="BH258" s="136"/>
    </row>
    <row r="259" spans="2:60" x14ac:dyDescent="0.25">
      <c r="C259" s="74"/>
      <c r="E259" s="131"/>
      <c r="F259" s="139" t="s">
        <v>49</v>
      </c>
      <c r="G259" s="142" t="s">
        <v>119</v>
      </c>
      <c r="H259" s="142"/>
      <c r="I259" s="139"/>
      <c r="J259" s="435">
        <f t="shared" ref="J259:AP259" si="72">IF(AND(J$192 = 0, J$198), J$200 * J30 * J41 / (1 + $H233) / $H52, 0)</f>
        <v>0</v>
      </c>
      <c r="K259" s="435">
        <f t="shared" si="72"/>
        <v>0</v>
      </c>
      <c r="L259" s="435">
        <f t="shared" si="72"/>
        <v>0</v>
      </c>
      <c r="M259" s="435">
        <f t="shared" si="72"/>
        <v>0</v>
      </c>
      <c r="N259" s="435">
        <f t="shared" si="72"/>
        <v>0</v>
      </c>
      <c r="O259" s="435">
        <f t="shared" si="72"/>
        <v>0</v>
      </c>
      <c r="P259" s="435">
        <f t="shared" si="72"/>
        <v>0</v>
      </c>
      <c r="Q259" s="435">
        <f t="shared" si="72"/>
        <v>0</v>
      </c>
      <c r="R259" s="435">
        <f t="shared" si="72"/>
        <v>0</v>
      </c>
      <c r="S259" s="435">
        <f t="shared" si="72"/>
        <v>0</v>
      </c>
      <c r="T259" s="435">
        <f t="shared" si="72"/>
        <v>0</v>
      </c>
      <c r="U259" s="435">
        <f t="shared" si="72"/>
        <v>0</v>
      </c>
      <c r="V259" s="435">
        <f t="shared" si="72"/>
        <v>0</v>
      </c>
      <c r="W259" s="435">
        <f t="shared" si="72"/>
        <v>0</v>
      </c>
      <c r="X259" s="435">
        <f t="shared" si="72"/>
        <v>0</v>
      </c>
      <c r="Y259" s="435">
        <f t="shared" si="72"/>
        <v>0</v>
      </c>
      <c r="Z259" s="435">
        <f t="shared" si="72"/>
        <v>0</v>
      </c>
      <c r="AA259" s="435">
        <f t="shared" si="72"/>
        <v>0</v>
      </c>
      <c r="AB259" s="435">
        <f t="shared" si="72"/>
        <v>0</v>
      </c>
      <c r="AC259" s="435">
        <f t="shared" si="72"/>
        <v>0</v>
      </c>
      <c r="AD259" s="435">
        <f t="shared" si="72"/>
        <v>0</v>
      </c>
      <c r="AE259" s="435">
        <f t="shared" si="72"/>
        <v>0</v>
      </c>
      <c r="AF259" s="435">
        <f t="shared" si="72"/>
        <v>0</v>
      </c>
      <c r="AG259" s="435">
        <f t="shared" si="72"/>
        <v>0</v>
      </c>
      <c r="AH259" s="435">
        <f t="shared" si="72"/>
        <v>0</v>
      </c>
      <c r="AI259" s="435">
        <f t="shared" si="72"/>
        <v>0</v>
      </c>
      <c r="AJ259" s="435">
        <f t="shared" si="72"/>
        <v>0</v>
      </c>
      <c r="AK259" s="435">
        <f t="shared" si="72"/>
        <v>0</v>
      </c>
      <c r="AL259" s="435">
        <f t="shared" si="72"/>
        <v>0</v>
      </c>
      <c r="AM259" s="435">
        <f t="shared" si="72"/>
        <v>0</v>
      </c>
      <c r="AN259" s="435">
        <f t="shared" si="72"/>
        <v>0</v>
      </c>
      <c r="AO259" s="435">
        <f t="shared" si="72"/>
        <v>0</v>
      </c>
      <c r="AP259" s="435">
        <f t="shared" si="72"/>
        <v>0</v>
      </c>
      <c r="BH259" s="136"/>
    </row>
    <row r="260" spans="2:60" x14ac:dyDescent="0.25">
      <c r="C260" s="74"/>
      <c r="E260" s="131"/>
      <c r="F260" s="140" t="s">
        <v>50</v>
      </c>
      <c r="G260" s="20" t="s">
        <v>119</v>
      </c>
      <c r="H260" s="20"/>
      <c r="I260" s="140"/>
      <c r="J260" s="436">
        <f t="shared" ref="J260:AP260" si="73">IF(AND(J$192 = 0, J$198), J$200 * J31 * J42 / (1 + $H234) / $H53, 0)</f>
        <v>1443.3422356219189</v>
      </c>
      <c r="K260" s="436">
        <f t="shared" si="73"/>
        <v>376.89135035815991</v>
      </c>
      <c r="L260" s="436">
        <f t="shared" si="73"/>
        <v>0</v>
      </c>
      <c r="M260" s="436">
        <f t="shared" si="73"/>
        <v>454.24411699112017</v>
      </c>
      <c r="N260" s="436">
        <f t="shared" si="73"/>
        <v>101.18748183710765</v>
      </c>
      <c r="O260" s="436">
        <f t="shared" si="73"/>
        <v>0</v>
      </c>
      <c r="P260" s="436">
        <f t="shared" si="73"/>
        <v>13.306840340578082</v>
      </c>
      <c r="Q260" s="436">
        <f t="shared" si="73"/>
        <v>0</v>
      </c>
      <c r="R260" s="436">
        <f t="shared" si="73"/>
        <v>0</v>
      </c>
      <c r="S260" s="436">
        <f t="shared" si="73"/>
        <v>11.9617655110581</v>
      </c>
      <c r="T260" s="436">
        <f t="shared" si="73"/>
        <v>46.110080006010698</v>
      </c>
      <c r="U260" s="436">
        <f t="shared" si="73"/>
        <v>0</v>
      </c>
      <c r="V260" s="436">
        <f t="shared" si="73"/>
        <v>0</v>
      </c>
      <c r="W260" s="436">
        <f t="shared" si="73"/>
        <v>0</v>
      </c>
      <c r="X260" s="436">
        <f t="shared" si="73"/>
        <v>0</v>
      </c>
      <c r="Y260" s="436">
        <f t="shared" si="73"/>
        <v>0</v>
      </c>
      <c r="Z260" s="436">
        <f t="shared" si="73"/>
        <v>0</v>
      </c>
      <c r="AA260" s="436">
        <f t="shared" si="73"/>
        <v>0</v>
      </c>
      <c r="AB260" s="436">
        <f t="shared" si="73"/>
        <v>0</v>
      </c>
      <c r="AC260" s="436">
        <f t="shared" si="73"/>
        <v>0</v>
      </c>
      <c r="AD260" s="436">
        <f t="shared" si="73"/>
        <v>0</v>
      </c>
      <c r="AE260" s="436">
        <f t="shared" si="73"/>
        <v>0</v>
      </c>
      <c r="AF260" s="436">
        <f t="shared" si="73"/>
        <v>0</v>
      </c>
      <c r="AG260" s="436">
        <f t="shared" si="73"/>
        <v>0</v>
      </c>
      <c r="AH260" s="436">
        <f t="shared" si="73"/>
        <v>0</v>
      </c>
      <c r="AI260" s="436">
        <f t="shared" si="73"/>
        <v>0</v>
      </c>
      <c r="AJ260" s="436">
        <f t="shared" si="73"/>
        <v>0</v>
      </c>
      <c r="AK260" s="436">
        <f t="shared" si="73"/>
        <v>0</v>
      </c>
      <c r="AL260" s="436">
        <f t="shared" si="73"/>
        <v>0</v>
      </c>
      <c r="AM260" s="436">
        <f t="shared" si="73"/>
        <v>0</v>
      </c>
      <c r="AN260" s="436">
        <f t="shared" si="73"/>
        <v>0</v>
      </c>
      <c r="AO260" s="436">
        <f t="shared" si="73"/>
        <v>0</v>
      </c>
      <c r="AP260" s="436">
        <f t="shared" si="73"/>
        <v>0</v>
      </c>
      <c r="BH260" s="136"/>
    </row>
    <row r="261" spans="2:60" x14ac:dyDescent="0.25">
      <c r="H261" s="153"/>
    </row>
    <row r="262" spans="2:60" x14ac:dyDescent="0.25">
      <c r="B262" s="34" t="s">
        <v>431</v>
      </c>
      <c r="C262" s="34"/>
      <c r="D262" s="120"/>
      <c r="E262" s="120"/>
      <c r="F262" s="120"/>
      <c r="G262" s="120"/>
      <c r="H262" s="120"/>
      <c r="I262" s="120"/>
      <c r="J262" s="120"/>
      <c r="K262" s="120"/>
      <c r="L262" s="120"/>
      <c r="M262" s="120"/>
      <c r="N262" s="120"/>
      <c r="O262" s="120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171"/>
      <c r="AR262" s="171"/>
      <c r="BH262" s="136"/>
    </row>
    <row r="263" spans="2:60" s="160" customFormat="1" x14ac:dyDescent="0.25">
      <c r="H263" s="153"/>
      <c r="J263" s="165"/>
      <c r="K263" s="165"/>
      <c r="L263" s="165"/>
      <c r="M263" s="165"/>
      <c r="N263" s="165"/>
      <c r="O263" s="165"/>
      <c r="P263" s="165"/>
      <c r="Q263" s="165"/>
      <c r="R263" s="165"/>
      <c r="S263" s="165"/>
      <c r="T263" s="165"/>
      <c r="U263" s="165"/>
      <c r="V263" s="165"/>
      <c r="W263" s="165"/>
      <c r="X263" s="165"/>
      <c r="Y263" s="165"/>
      <c r="Z263" s="165"/>
      <c r="AA263" s="165"/>
      <c r="AB263" s="165"/>
      <c r="AC263" s="165"/>
      <c r="AD263" s="165"/>
      <c r="AE263" s="165"/>
      <c r="AF263" s="165"/>
      <c r="AG263" s="165"/>
      <c r="AH263" s="165"/>
      <c r="AI263" s="165"/>
      <c r="AJ263" s="165"/>
      <c r="AK263" s="165"/>
      <c r="AL263" s="165"/>
      <c r="AM263" s="165"/>
      <c r="AN263" s="165"/>
      <c r="AO263" s="165"/>
      <c r="AP263" s="165"/>
    </row>
    <row r="264" spans="2:60" x14ac:dyDescent="0.25">
      <c r="C264" s="152" t="s">
        <v>522</v>
      </c>
      <c r="H264" s="153"/>
      <c r="J264" s="165"/>
      <c r="K264" s="165"/>
      <c r="L264" s="165"/>
      <c r="M264" s="165"/>
      <c r="N264" s="165"/>
      <c r="O264" s="165"/>
      <c r="P264" s="165"/>
      <c r="Q264" s="165"/>
      <c r="R264" s="165"/>
      <c r="S264" s="165"/>
      <c r="T264" s="165"/>
      <c r="U264" s="165"/>
      <c r="V264" s="165"/>
      <c r="W264" s="165"/>
      <c r="X264" s="165"/>
      <c r="Y264" s="165"/>
      <c r="Z264" s="165"/>
      <c r="AA264" s="165"/>
      <c r="AB264" s="165"/>
      <c r="AC264" s="165"/>
      <c r="AD264" s="165"/>
      <c r="AE264" s="165"/>
      <c r="AF264" s="165"/>
      <c r="AG264" s="165"/>
      <c r="AH264" s="165"/>
      <c r="AI264" s="165"/>
      <c r="AJ264" s="165"/>
      <c r="AK264" s="165"/>
      <c r="AL264" s="165"/>
      <c r="AM264" s="165"/>
      <c r="AN264" s="165"/>
      <c r="AO264" s="165"/>
      <c r="AP264" s="165"/>
    </row>
    <row r="265" spans="2:60" s="160" customFormat="1" x14ac:dyDescent="0.25">
      <c r="H265" s="153"/>
      <c r="J265" s="165"/>
      <c r="K265" s="165"/>
      <c r="L265" s="165"/>
      <c r="M265" s="165"/>
      <c r="N265" s="165"/>
      <c r="O265" s="165"/>
      <c r="P265" s="165"/>
      <c r="Q265" s="165"/>
      <c r="R265" s="165"/>
      <c r="S265" s="165"/>
      <c r="T265" s="165"/>
      <c r="U265" s="165"/>
      <c r="V265" s="165"/>
      <c r="W265" s="165"/>
      <c r="X265" s="165"/>
      <c r="Y265" s="165"/>
      <c r="Z265" s="165"/>
      <c r="AA265" s="165"/>
      <c r="AB265" s="165"/>
      <c r="AC265" s="165"/>
      <c r="AD265" s="165"/>
      <c r="AE265" s="165"/>
      <c r="AF265" s="165"/>
      <c r="AG265" s="165"/>
      <c r="AH265" s="165"/>
      <c r="AI265" s="165"/>
      <c r="AJ265" s="165"/>
      <c r="AK265" s="165"/>
      <c r="AL265" s="165"/>
      <c r="AM265" s="165"/>
      <c r="AN265" s="165"/>
      <c r="AO265" s="165"/>
      <c r="AP265" s="165"/>
    </row>
    <row r="266" spans="2:60" s="338" customFormat="1" x14ac:dyDescent="0.25">
      <c r="C266" s="22" t="str">
        <f ca="1">INDEX('Version control'!$H$34:$H$59,MATCH($A$1,'Version control'!$F$34:$F$59,0),1)&amp;"-I: System peak based on chargeable load"</f>
        <v>Section 509-I: System peak based on chargeable load</v>
      </c>
      <c r="D266" s="119"/>
      <c r="E266" s="119"/>
      <c r="F266" s="119"/>
      <c r="G266" s="119"/>
      <c r="H266" s="119"/>
      <c r="I266" s="119"/>
      <c r="J266" s="119"/>
      <c r="K266" s="119"/>
      <c r="L266" s="119"/>
      <c r="M266" s="119"/>
      <c r="N266" s="119"/>
      <c r="O266" s="119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  <c r="AP266" s="22"/>
      <c r="AQ266" s="22"/>
      <c r="AR266" s="22"/>
      <c r="BH266" s="163"/>
    </row>
    <row r="267" spans="2:60" s="338" customFormat="1" x14ac:dyDescent="0.25">
      <c r="H267" s="153"/>
    </row>
    <row r="268" spans="2:60" s="160" customFormat="1" x14ac:dyDescent="0.25">
      <c r="E268" s="172" t="s">
        <v>523</v>
      </c>
      <c r="F268" s="152"/>
      <c r="H268" s="308" t="s">
        <v>345</v>
      </c>
      <c r="J268" s="165"/>
      <c r="K268" s="165"/>
      <c r="L268" s="165"/>
      <c r="M268" s="165"/>
      <c r="N268" s="165"/>
      <c r="O268" s="165"/>
      <c r="P268" s="165"/>
      <c r="Q268" s="165"/>
      <c r="R268" s="165"/>
      <c r="S268" s="165"/>
      <c r="T268" s="165"/>
      <c r="U268" s="165"/>
      <c r="V268" s="165"/>
      <c r="W268" s="165"/>
      <c r="X268" s="165"/>
      <c r="Y268" s="165"/>
      <c r="Z268" s="165"/>
      <c r="AA268" s="165"/>
      <c r="AB268" s="165"/>
      <c r="AC268" s="165"/>
      <c r="AD268" s="165"/>
      <c r="AE268" s="165"/>
      <c r="AF268" s="165"/>
      <c r="AG268" s="165"/>
      <c r="AH268" s="165"/>
      <c r="AI268" s="165"/>
      <c r="AJ268" s="165"/>
      <c r="AK268" s="165"/>
      <c r="AL268" s="165"/>
      <c r="AM268" s="165"/>
      <c r="AN268" s="165"/>
      <c r="AO268" s="165"/>
      <c r="AP268" s="165"/>
    </row>
    <row r="269" spans="2:60" x14ac:dyDescent="0.25">
      <c r="C269" s="74"/>
      <c r="E269" s="131"/>
      <c r="F269" s="137" t="s">
        <v>43</v>
      </c>
      <c r="G269" s="137" t="s">
        <v>119</v>
      </c>
      <c r="H269" s="418">
        <f t="shared" ref="H269:H277" si="74">SUM(J269:AP269)</f>
        <v>5333.7877397524508</v>
      </c>
      <c r="I269" s="443"/>
      <c r="J269" s="443">
        <f t="shared" ref="J269:AP269" si="75">J239 + J252 + J168</f>
        <v>2555.0513653002795</v>
      </c>
      <c r="K269" s="443">
        <f t="shared" si="75"/>
        <v>292.7655338679574</v>
      </c>
      <c r="L269" s="443">
        <f t="shared" si="75"/>
        <v>2.4261760847325813</v>
      </c>
      <c r="M269" s="443">
        <f t="shared" si="75"/>
        <v>591.31556363701156</v>
      </c>
      <c r="N269" s="443">
        <f t="shared" si="75"/>
        <v>166.3402584091038</v>
      </c>
      <c r="O269" s="443">
        <f t="shared" si="75"/>
        <v>1.7310435670871602</v>
      </c>
      <c r="P269" s="443">
        <f t="shared" si="75"/>
        <v>18.730783670571455</v>
      </c>
      <c r="Q269" s="443">
        <f t="shared" si="75"/>
        <v>0</v>
      </c>
      <c r="R269" s="443">
        <f t="shared" si="75"/>
        <v>4.9244298278820431E-2</v>
      </c>
      <c r="S269" s="443">
        <f t="shared" si="75"/>
        <v>15.650807343481727</v>
      </c>
      <c r="T269" s="443">
        <f t="shared" si="75"/>
        <v>69.370757148578846</v>
      </c>
      <c r="U269" s="443">
        <f t="shared" si="75"/>
        <v>1039.1367249747414</v>
      </c>
      <c r="V269" s="443">
        <f t="shared" si="75"/>
        <v>59.429999060109573</v>
      </c>
      <c r="W269" s="443">
        <f t="shared" si="75"/>
        <v>625.19041178176349</v>
      </c>
      <c r="X269" s="443">
        <f t="shared" si="75"/>
        <v>2.8576611849991154</v>
      </c>
      <c r="Y269" s="443">
        <f t="shared" si="75"/>
        <v>2.152709330307466</v>
      </c>
      <c r="Z269" s="443">
        <f t="shared" si="75"/>
        <v>0.20421536490828651</v>
      </c>
      <c r="AA269" s="443">
        <f t="shared" si="75"/>
        <v>1.6093759776064382E-2</v>
      </c>
      <c r="AB269" s="443">
        <f t="shared" si="75"/>
        <v>31.205844626946178</v>
      </c>
      <c r="AC269" s="443">
        <f t="shared" si="75"/>
        <v>-0.55694943872271452</v>
      </c>
      <c r="AD269" s="443">
        <f t="shared" si="75"/>
        <v>-3.1406912342453408E-2</v>
      </c>
      <c r="AE269" s="443">
        <f t="shared" si="75"/>
        <v>-4.4718749070817854</v>
      </c>
      <c r="AF269" s="443">
        <f t="shared" si="75"/>
        <v>0</v>
      </c>
      <c r="AG269" s="443">
        <f t="shared" si="75"/>
        <v>-3.7855172170661544</v>
      </c>
      <c r="AH269" s="443">
        <f t="shared" si="75"/>
        <v>0</v>
      </c>
      <c r="AI269" s="443">
        <f t="shared" si="75"/>
        <v>0</v>
      </c>
      <c r="AJ269" s="443">
        <f t="shared" si="75"/>
        <v>0</v>
      </c>
      <c r="AK269" s="443">
        <f t="shared" si="75"/>
        <v>0</v>
      </c>
      <c r="AL269" s="443">
        <f t="shared" si="75"/>
        <v>0</v>
      </c>
      <c r="AM269" s="443">
        <f t="shared" si="75"/>
        <v>-55.163950360535068</v>
      </c>
      <c r="AN269" s="443">
        <f t="shared" si="75"/>
        <v>0</v>
      </c>
      <c r="AO269" s="443">
        <f t="shared" si="75"/>
        <v>-75.827754822434883</v>
      </c>
      <c r="AP269" s="443">
        <f t="shared" si="75"/>
        <v>0</v>
      </c>
      <c r="BH269" s="136"/>
    </row>
    <row r="270" spans="2:60" x14ac:dyDescent="0.25">
      <c r="C270" s="74"/>
      <c r="E270" s="131"/>
      <c r="F270" s="139" t="s">
        <v>44</v>
      </c>
      <c r="G270" s="139" t="s">
        <v>119</v>
      </c>
      <c r="H270" s="420">
        <f t="shared" si="74"/>
        <v>5276.8586049077221</v>
      </c>
      <c r="I270" s="435"/>
      <c r="J270" s="435">
        <f t="shared" ref="J270:AP270" si="76">J240 + J253 + J169</f>
        <v>2506.4743396071235</v>
      </c>
      <c r="K270" s="435">
        <f t="shared" si="76"/>
        <v>287.919021589473</v>
      </c>
      <c r="L270" s="435">
        <f t="shared" si="76"/>
        <v>3.3171440116737139</v>
      </c>
      <c r="M270" s="435">
        <f t="shared" si="76"/>
        <v>593.7945283891188</v>
      </c>
      <c r="N270" s="435">
        <f t="shared" si="76"/>
        <v>166.1175085476811</v>
      </c>
      <c r="O270" s="435">
        <f t="shared" si="76"/>
        <v>1.8234715210020476</v>
      </c>
      <c r="P270" s="435">
        <f t="shared" si="76"/>
        <v>18.666642265254939</v>
      </c>
      <c r="Q270" s="435">
        <f t="shared" si="76"/>
        <v>0</v>
      </c>
      <c r="R270" s="435">
        <f t="shared" si="76"/>
        <v>4.9205036473604413E-2</v>
      </c>
      <c r="S270" s="435">
        <f t="shared" si="76"/>
        <v>15.11225002398989</v>
      </c>
      <c r="T270" s="435">
        <f t="shared" si="76"/>
        <v>69.017867556904676</v>
      </c>
      <c r="U270" s="435">
        <f t="shared" si="76"/>
        <v>1033.7539817865875</v>
      </c>
      <c r="V270" s="435">
        <f t="shared" si="76"/>
        <v>59.202212149197663</v>
      </c>
      <c r="W270" s="435">
        <f t="shared" si="76"/>
        <v>622.00188475107404</v>
      </c>
      <c r="X270" s="435">
        <f t="shared" si="76"/>
        <v>2.8454635513049831</v>
      </c>
      <c r="Y270" s="435">
        <f t="shared" si="76"/>
        <v>2.3206644550687701</v>
      </c>
      <c r="Z270" s="435">
        <f t="shared" si="76"/>
        <v>0.21934827556548181</v>
      </c>
      <c r="AA270" s="435">
        <f t="shared" si="76"/>
        <v>1.4620051765039308E-2</v>
      </c>
      <c r="AB270" s="435">
        <f t="shared" si="76"/>
        <v>33.088892177801114</v>
      </c>
      <c r="AC270" s="435">
        <f t="shared" si="76"/>
        <v>-0.55417854599275107</v>
      </c>
      <c r="AD270" s="435">
        <f t="shared" si="76"/>
        <v>-3.1250659047217341E-2</v>
      </c>
      <c r="AE270" s="435">
        <f t="shared" si="76"/>
        <v>-4.4496267732157087</v>
      </c>
      <c r="AF270" s="435">
        <f t="shared" si="76"/>
        <v>0</v>
      </c>
      <c r="AG270" s="435">
        <f t="shared" si="76"/>
        <v>-3.7627512702483492</v>
      </c>
      <c r="AH270" s="435">
        <f t="shared" si="76"/>
        <v>0</v>
      </c>
      <c r="AI270" s="435">
        <f t="shared" si="76"/>
        <v>0</v>
      </c>
      <c r="AJ270" s="435">
        <f t="shared" si="76"/>
        <v>0</v>
      </c>
      <c r="AK270" s="435">
        <f t="shared" si="76"/>
        <v>0</v>
      </c>
      <c r="AL270" s="435">
        <f t="shared" si="76"/>
        <v>0</v>
      </c>
      <c r="AM270" s="435">
        <f t="shared" si="76"/>
        <v>-54.889502846303579</v>
      </c>
      <c r="AN270" s="435">
        <f t="shared" si="76"/>
        <v>0</v>
      </c>
      <c r="AO270" s="435">
        <f t="shared" si="76"/>
        <v>-75.193130744530222</v>
      </c>
      <c r="AP270" s="435">
        <f t="shared" si="76"/>
        <v>0</v>
      </c>
      <c r="BH270" s="136"/>
    </row>
    <row r="271" spans="2:60" x14ac:dyDescent="0.25">
      <c r="C271" s="74"/>
      <c r="E271" s="131"/>
      <c r="F271" s="139" t="s">
        <v>45</v>
      </c>
      <c r="G271" s="139" t="s">
        <v>119</v>
      </c>
      <c r="H271" s="420">
        <f t="shared" si="74"/>
        <v>5261.1536685835927</v>
      </c>
      <c r="I271" s="435"/>
      <c r="J271" s="435">
        <f t="shared" ref="J271:AP271" si="77">J241 + J254 + J170</f>
        <v>2499.0145945487684</v>
      </c>
      <c r="K271" s="435">
        <f t="shared" si="77"/>
        <v>287.06211973950428</v>
      </c>
      <c r="L271" s="435">
        <f t="shared" si="77"/>
        <v>3.3072715592580177</v>
      </c>
      <c r="M271" s="435">
        <f t="shared" si="77"/>
        <v>592.0272827689131</v>
      </c>
      <c r="N271" s="435">
        <f t="shared" si="77"/>
        <v>165.62311120081299</v>
      </c>
      <c r="O271" s="435">
        <f t="shared" si="77"/>
        <v>1.8180445224276365</v>
      </c>
      <c r="P271" s="435">
        <f t="shared" si="77"/>
        <v>18.61108678232263</v>
      </c>
      <c r="Q271" s="435">
        <f t="shared" si="77"/>
        <v>0</v>
      </c>
      <c r="R271" s="435">
        <f t="shared" si="77"/>
        <v>4.9058592912671062E-2</v>
      </c>
      <c r="S271" s="435">
        <f t="shared" si="77"/>
        <v>15.067273089394682</v>
      </c>
      <c r="T271" s="435">
        <f t="shared" si="77"/>
        <v>68.812457236794842</v>
      </c>
      <c r="U271" s="435">
        <f t="shared" si="77"/>
        <v>1030.6773330312701</v>
      </c>
      <c r="V271" s="435">
        <f t="shared" si="77"/>
        <v>59.026015089229809</v>
      </c>
      <c r="W271" s="435">
        <f t="shared" si="77"/>
        <v>620.15068866550519</v>
      </c>
      <c r="X271" s="435">
        <f t="shared" si="77"/>
        <v>2.8369949097832419</v>
      </c>
      <c r="Y271" s="435">
        <f t="shared" si="77"/>
        <v>2.3137577156191607</v>
      </c>
      <c r="Z271" s="435">
        <f t="shared" si="77"/>
        <v>0.21869545331677501</v>
      </c>
      <c r="AA271" s="435">
        <f t="shared" si="77"/>
        <v>1.4576539706214786E-2</v>
      </c>
      <c r="AB271" s="435">
        <f t="shared" si="77"/>
        <v>32.990413332033846</v>
      </c>
      <c r="AC271" s="435">
        <f t="shared" si="77"/>
        <v>-0.55252920508205827</v>
      </c>
      <c r="AD271" s="435">
        <f t="shared" si="77"/>
        <v>-3.1157651133386331E-2</v>
      </c>
      <c r="AE271" s="435">
        <f t="shared" si="77"/>
        <v>-4.4363838363906618</v>
      </c>
      <c r="AF271" s="435">
        <f t="shared" si="77"/>
        <v>0</v>
      </c>
      <c r="AG271" s="435">
        <f t="shared" si="77"/>
        <v>-3.7515526057535622</v>
      </c>
      <c r="AH271" s="435">
        <f t="shared" si="77"/>
        <v>0</v>
      </c>
      <c r="AI271" s="435">
        <f t="shared" si="77"/>
        <v>0</v>
      </c>
      <c r="AJ271" s="435">
        <f t="shared" si="77"/>
        <v>0</v>
      </c>
      <c r="AK271" s="435">
        <f t="shared" si="77"/>
        <v>0</v>
      </c>
      <c r="AL271" s="435">
        <f t="shared" si="77"/>
        <v>0</v>
      </c>
      <c r="AM271" s="435">
        <f t="shared" si="77"/>
        <v>-54.726141230689571</v>
      </c>
      <c r="AN271" s="435">
        <f t="shared" si="77"/>
        <v>0</v>
      </c>
      <c r="AO271" s="435">
        <f t="shared" si="77"/>
        <v>-74.969341664933395</v>
      </c>
      <c r="AP271" s="435">
        <f t="shared" si="77"/>
        <v>0</v>
      </c>
      <c r="BH271" s="136"/>
    </row>
    <row r="272" spans="2:60" x14ac:dyDescent="0.25">
      <c r="C272" s="74"/>
      <c r="E272" s="131"/>
      <c r="F272" s="139" t="s">
        <v>46</v>
      </c>
      <c r="G272" s="139" t="s">
        <v>119</v>
      </c>
      <c r="H272" s="420">
        <f t="shared" si="74"/>
        <v>5352.0722626500155</v>
      </c>
      <c r="I272" s="435"/>
      <c r="J272" s="435">
        <f t="shared" ref="J272:AP272" si="78">J242 + J255 + J171</f>
        <v>2381.652728836109</v>
      </c>
      <c r="K272" s="435">
        <f t="shared" si="78"/>
        <v>276.82372529626468</v>
      </c>
      <c r="L272" s="435">
        <f t="shared" si="78"/>
        <v>5.7851780258294188</v>
      </c>
      <c r="M272" s="435">
        <f t="shared" si="78"/>
        <v>599.57504201135339</v>
      </c>
      <c r="N272" s="435">
        <f t="shared" si="78"/>
        <v>165.78982926662798</v>
      </c>
      <c r="O272" s="435">
        <f t="shared" si="78"/>
        <v>2.09716318335161</v>
      </c>
      <c r="P272" s="435">
        <f t="shared" si="78"/>
        <v>18.498643116007084</v>
      </c>
      <c r="Q272" s="435">
        <f t="shared" si="78"/>
        <v>0</v>
      </c>
      <c r="R272" s="435">
        <f t="shared" si="78"/>
        <v>5.7472485631873099E-2</v>
      </c>
      <c r="S272" s="435">
        <f t="shared" si="78"/>
        <v>13.735258917841465</v>
      </c>
      <c r="T272" s="435">
        <f t="shared" si="78"/>
        <v>68.101636304291276</v>
      </c>
      <c r="U272" s="435">
        <f t="shared" si="78"/>
        <v>1020.0688506214456</v>
      </c>
      <c r="V272" s="435">
        <f t="shared" si="78"/>
        <v>58.655474845759343</v>
      </c>
      <c r="W272" s="435">
        <f t="shared" si="78"/>
        <v>843.03859283595784</v>
      </c>
      <c r="X272" s="435">
        <f t="shared" si="78"/>
        <v>2.8113886197584517</v>
      </c>
      <c r="Y272" s="435">
        <f t="shared" si="78"/>
        <v>2.0450105568656478</v>
      </c>
      <c r="Z272" s="435">
        <f t="shared" si="78"/>
        <v>0.1912421121029147</v>
      </c>
      <c r="AA272" s="435">
        <f t="shared" si="78"/>
        <v>1.6364023568594475E-2</v>
      </c>
      <c r="AB272" s="435">
        <f t="shared" si="78"/>
        <v>29.785768997565519</v>
      </c>
      <c r="AC272" s="435">
        <f t="shared" si="78"/>
        <v>-0.54817858141999476</v>
      </c>
      <c r="AD272" s="435">
        <f t="shared" si="78"/>
        <v>-3.0912315297690368E-2</v>
      </c>
      <c r="AE272" s="435">
        <f t="shared" si="78"/>
        <v>-4.4014516801986083</v>
      </c>
      <c r="AF272" s="435">
        <f t="shared" si="78"/>
        <v>0</v>
      </c>
      <c r="AG272" s="435">
        <f t="shared" si="78"/>
        <v>-3.7097598274132659</v>
      </c>
      <c r="AH272" s="435">
        <f t="shared" si="78"/>
        <v>0</v>
      </c>
      <c r="AI272" s="435">
        <f t="shared" si="78"/>
        <v>0</v>
      </c>
      <c r="AJ272" s="435">
        <f t="shared" si="78"/>
        <v>0</v>
      </c>
      <c r="AK272" s="435">
        <f t="shared" si="78"/>
        <v>0</v>
      </c>
      <c r="AL272" s="435">
        <f t="shared" si="78"/>
        <v>0</v>
      </c>
      <c r="AM272" s="435">
        <f t="shared" si="78"/>
        <v>-54.295226732810114</v>
      </c>
      <c r="AN272" s="435">
        <f t="shared" si="78"/>
        <v>0</v>
      </c>
      <c r="AO272" s="435">
        <f t="shared" si="78"/>
        <v>-73.671578269176194</v>
      </c>
      <c r="AP272" s="435">
        <f t="shared" si="78"/>
        <v>0</v>
      </c>
      <c r="BH272" s="136"/>
    </row>
    <row r="273" spans="2:60" x14ac:dyDescent="0.25">
      <c r="C273" s="74"/>
      <c r="E273" s="131"/>
      <c r="F273" s="139" t="s">
        <v>47</v>
      </c>
      <c r="G273" s="139" t="s">
        <v>119</v>
      </c>
      <c r="H273" s="420">
        <f t="shared" si="74"/>
        <v>6235.4344641261077</v>
      </c>
      <c r="I273" s="435"/>
      <c r="J273" s="435">
        <f t="shared" ref="J273:AP273" si="79">J243 + J256 + J172</f>
        <v>2369.9893951983222</v>
      </c>
      <c r="K273" s="435">
        <f t="shared" si="79"/>
        <v>275.46807531929966</v>
      </c>
      <c r="L273" s="435">
        <f t="shared" si="79"/>
        <v>5.7568470854482765</v>
      </c>
      <c r="M273" s="435">
        <f t="shared" si="79"/>
        <v>596.63882731002457</v>
      </c>
      <c r="N273" s="435">
        <f t="shared" si="79"/>
        <v>164.97793000479339</v>
      </c>
      <c r="O273" s="435">
        <f t="shared" si="79"/>
        <v>2.0868930404360784</v>
      </c>
      <c r="P273" s="435">
        <f t="shared" si="79"/>
        <v>18.408052307407637</v>
      </c>
      <c r="Q273" s="435">
        <f t="shared" si="79"/>
        <v>0</v>
      </c>
      <c r="R273" s="435">
        <f t="shared" si="79"/>
        <v>9.0564233544483119E-2</v>
      </c>
      <c r="S273" s="435">
        <f t="shared" si="79"/>
        <v>13.667995162122361</v>
      </c>
      <c r="T273" s="435">
        <f t="shared" si="79"/>
        <v>67.768131719059696</v>
      </c>
      <c r="U273" s="435">
        <f t="shared" si="79"/>
        <v>1015.073410608608</v>
      </c>
      <c r="V273" s="435">
        <f t="shared" si="79"/>
        <v>58.368229621245341</v>
      </c>
      <c r="W273" s="435">
        <f t="shared" si="79"/>
        <v>1748.4488788488011</v>
      </c>
      <c r="X273" s="435">
        <f t="shared" si="79"/>
        <v>2.7976208008565986</v>
      </c>
      <c r="Y273" s="435">
        <f t="shared" si="79"/>
        <v>2.0349958136880493</v>
      </c>
      <c r="Z273" s="435">
        <f t="shared" si="79"/>
        <v>0.19030556894863992</v>
      </c>
      <c r="AA273" s="435">
        <f t="shared" si="79"/>
        <v>1.6283886332705177E-2</v>
      </c>
      <c r="AB273" s="435">
        <f t="shared" si="79"/>
        <v>29.639903331563726</v>
      </c>
      <c r="AC273" s="435">
        <f t="shared" si="79"/>
        <v>-0.54549406339149331</v>
      </c>
      <c r="AD273" s="435">
        <f t="shared" si="79"/>
        <v>-3.0760932754606677E-2</v>
      </c>
      <c r="AE273" s="435">
        <f t="shared" si="79"/>
        <v>-4.3798970686403393</v>
      </c>
      <c r="AF273" s="435">
        <f t="shared" si="79"/>
        <v>0</v>
      </c>
      <c r="AG273" s="435">
        <f t="shared" si="79"/>
        <v>-3.6915925412848956</v>
      </c>
      <c r="AH273" s="435">
        <f t="shared" si="79"/>
        <v>0</v>
      </c>
      <c r="AI273" s="435">
        <f t="shared" si="79"/>
        <v>0</v>
      </c>
      <c r="AJ273" s="435">
        <f t="shared" si="79"/>
        <v>0</v>
      </c>
      <c r="AK273" s="435">
        <f t="shared" si="79"/>
        <v>0</v>
      </c>
      <c r="AL273" s="435">
        <f t="shared" si="79"/>
        <v>0</v>
      </c>
      <c r="AM273" s="435">
        <f t="shared" si="79"/>
        <v>-54.029334339407519</v>
      </c>
      <c r="AN273" s="435">
        <f t="shared" si="79"/>
        <v>0</v>
      </c>
      <c r="AO273" s="435">
        <f t="shared" si="79"/>
        <v>-73.310796788915795</v>
      </c>
      <c r="AP273" s="435">
        <f t="shared" si="79"/>
        <v>0</v>
      </c>
      <c r="BH273" s="136"/>
    </row>
    <row r="274" spans="2:60" x14ac:dyDescent="0.25">
      <c r="C274" s="74"/>
      <c r="E274" s="131"/>
      <c r="F274" s="139" t="s">
        <v>51</v>
      </c>
      <c r="G274" s="139" t="s">
        <v>119</v>
      </c>
      <c r="H274" s="420">
        <f t="shared" si="74"/>
        <v>0</v>
      </c>
      <c r="I274" s="435"/>
      <c r="J274" s="435">
        <f t="shared" ref="J274:AP274" si="80">J244 + J257 + J173</f>
        <v>0</v>
      </c>
      <c r="K274" s="435">
        <f t="shared" si="80"/>
        <v>0</v>
      </c>
      <c r="L274" s="435">
        <f t="shared" si="80"/>
        <v>0</v>
      </c>
      <c r="M274" s="435">
        <f t="shared" si="80"/>
        <v>0</v>
      </c>
      <c r="N274" s="435">
        <f t="shared" si="80"/>
        <v>0</v>
      </c>
      <c r="O274" s="435">
        <f t="shared" si="80"/>
        <v>0</v>
      </c>
      <c r="P274" s="435">
        <f t="shared" si="80"/>
        <v>0</v>
      </c>
      <c r="Q274" s="435">
        <f t="shared" si="80"/>
        <v>0</v>
      </c>
      <c r="R274" s="435">
        <f t="shared" si="80"/>
        <v>0</v>
      </c>
      <c r="S274" s="435">
        <f t="shared" si="80"/>
        <v>0</v>
      </c>
      <c r="T274" s="435">
        <f t="shared" si="80"/>
        <v>0</v>
      </c>
      <c r="U274" s="435">
        <f t="shared" si="80"/>
        <v>0</v>
      </c>
      <c r="V274" s="435">
        <f t="shared" si="80"/>
        <v>0</v>
      </c>
      <c r="W274" s="435">
        <f t="shared" si="80"/>
        <v>0</v>
      </c>
      <c r="X274" s="435">
        <f t="shared" si="80"/>
        <v>0</v>
      </c>
      <c r="Y274" s="435">
        <f t="shared" si="80"/>
        <v>0</v>
      </c>
      <c r="Z274" s="435">
        <f t="shared" si="80"/>
        <v>0</v>
      </c>
      <c r="AA274" s="435">
        <f t="shared" si="80"/>
        <v>0</v>
      </c>
      <c r="AB274" s="435">
        <f t="shared" si="80"/>
        <v>0</v>
      </c>
      <c r="AC274" s="435">
        <f t="shared" si="80"/>
        <v>0</v>
      </c>
      <c r="AD274" s="435">
        <f t="shared" si="80"/>
        <v>0</v>
      </c>
      <c r="AE274" s="435">
        <f t="shared" si="80"/>
        <v>0</v>
      </c>
      <c r="AF274" s="435">
        <f t="shared" si="80"/>
        <v>0</v>
      </c>
      <c r="AG274" s="435">
        <f t="shared" si="80"/>
        <v>0</v>
      </c>
      <c r="AH274" s="435">
        <f t="shared" si="80"/>
        <v>0</v>
      </c>
      <c r="AI274" s="435">
        <f t="shared" si="80"/>
        <v>0</v>
      </c>
      <c r="AJ274" s="435">
        <f t="shared" si="80"/>
        <v>0</v>
      </c>
      <c r="AK274" s="435">
        <f t="shared" si="80"/>
        <v>0</v>
      </c>
      <c r="AL274" s="435">
        <f t="shared" si="80"/>
        <v>0</v>
      </c>
      <c r="AM274" s="435">
        <f t="shared" si="80"/>
        <v>0</v>
      </c>
      <c r="AN274" s="435">
        <f t="shared" si="80"/>
        <v>0</v>
      </c>
      <c r="AO274" s="435">
        <f t="shared" si="80"/>
        <v>0</v>
      </c>
      <c r="AP274" s="435">
        <f t="shared" si="80"/>
        <v>0</v>
      </c>
      <c r="BH274" s="136"/>
    </row>
    <row r="275" spans="2:60" x14ac:dyDescent="0.25">
      <c r="C275" s="74"/>
      <c r="E275" s="131"/>
      <c r="F275" s="139" t="s">
        <v>48</v>
      </c>
      <c r="G275" s="139" t="s">
        <v>119</v>
      </c>
      <c r="H275" s="420">
        <f t="shared" si="74"/>
        <v>5976.0074831368156</v>
      </c>
      <c r="I275" s="435"/>
      <c r="J275" s="435">
        <f t="shared" ref="J275:AP275" si="81">J245 + J258 + J174</f>
        <v>2219.7547977012619</v>
      </c>
      <c r="K275" s="435">
        <f t="shared" si="81"/>
        <v>262.72931330499011</v>
      </c>
      <c r="L275" s="435">
        <f t="shared" si="81"/>
        <v>8.9739301282483499</v>
      </c>
      <c r="M275" s="435">
        <f t="shared" si="81"/>
        <v>606.0924101878652</v>
      </c>
      <c r="N275" s="435">
        <f t="shared" si="81"/>
        <v>165.2467698085068</v>
      </c>
      <c r="O275" s="435">
        <f t="shared" si="81"/>
        <v>2.4537880597705044</v>
      </c>
      <c r="P275" s="435">
        <f t="shared" si="81"/>
        <v>18.262232946583914</v>
      </c>
      <c r="Q275" s="435">
        <f t="shared" si="81"/>
        <v>0</v>
      </c>
      <c r="R275" s="435">
        <f t="shared" si="81"/>
        <v>6.5464103626213133E-2</v>
      </c>
      <c r="S275" s="435">
        <f t="shared" si="81"/>
        <v>11.966495879974588</v>
      </c>
      <c r="T275" s="435">
        <f t="shared" si="81"/>
        <v>66.853221637804452</v>
      </c>
      <c r="U275" s="435">
        <f t="shared" si="81"/>
        <v>1232.485201880475</v>
      </c>
      <c r="V275" s="435">
        <f t="shared" si="81"/>
        <v>97.446589718022835</v>
      </c>
      <c r="W275" s="435">
        <f t="shared" si="81"/>
        <v>1263.8613955019403</v>
      </c>
      <c r="X275" s="435">
        <f t="shared" si="81"/>
        <v>2.764542885918523</v>
      </c>
      <c r="Y275" s="435">
        <f t="shared" si="81"/>
        <v>1.5479452078919729</v>
      </c>
      <c r="Z275" s="435">
        <f t="shared" si="81"/>
        <v>0.14154275036961866</v>
      </c>
      <c r="AA275" s="435">
        <f t="shared" si="81"/>
        <v>1.9692407844238129E-2</v>
      </c>
      <c r="AB275" s="435">
        <f t="shared" si="81"/>
        <v>23.889654573527846</v>
      </c>
      <c r="AC275" s="435">
        <f t="shared" si="81"/>
        <v>-0.54020314134113934</v>
      </c>
      <c r="AD275" s="435">
        <f t="shared" si="81"/>
        <v>-3.0462572592098367E-2</v>
      </c>
      <c r="AE275" s="435">
        <f t="shared" si="81"/>
        <v>-4.3374150408164756</v>
      </c>
      <c r="AF275" s="435">
        <f t="shared" si="81"/>
        <v>0</v>
      </c>
      <c r="AG275" s="435">
        <f t="shared" si="81"/>
        <v>-3.6394247930578261</v>
      </c>
      <c r="AH275" s="435">
        <f t="shared" si="81"/>
        <v>0</v>
      </c>
      <c r="AI275" s="435">
        <f t="shared" si="81"/>
        <v>0</v>
      </c>
      <c r="AJ275" s="435">
        <f t="shared" si="81"/>
        <v>0</v>
      </c>
      <c r="AK275" s="435">
        <f t="shared" si="81"/>
        <v>0</v>
      </c>
      <c r="AL275" s="435">
        <f t="shared" si="81"/>
        <v>0</v>
      </c>
      <c r="AM275" s="435">
        <f t="shared" si="81"/>
        <v>0</v>
      </c>
      <c r="AN275" s="435">
        <f t="shared" si="81"/>
        <v>0</v>
      </c>
      <c r="AO275" s="435">
        <f t="shared" si="81"/>
        <v>0</v>
      </c>
      <c r="AP275" s="435">
        <f t="shared" si="81"/>
        <v>0</v>
      </c>
      <c r="BH275" s="136"/>
    </row>
    <row r="276" spans="2:60" x14ac:dyDescent="0.25">
      <c r="C276" s="74"/>
      <c r="E276" s="131"/>
      <c r="F276" s="139" t="s">
        <v>49</v>
      </c>
      <c r="G276" s="139" t="s">
        <v>119</v>
      </c>
      <c r="H276" s="420">
        <f t="shared" si="74"/>
        <v>5555.2938563067082</v>
      </c>
      <c r="I276" s="435"/>
      <c r="J276" s="435">
        <f t="shared" ref="J276:AP276" si="82">J246 + J259 + J175</f>
        <v>2187.9227499330791</v>
      </c>
      <c r="K276" s="435">
        <f t="shared" si="82"/>
        <v>258.96168452910592</v>
      </c>
      <c r="L276" s="435">
        <f t="shared" si="82"/>
        <v>8.8452408816673493</v>
      </c>
      <c r="M276" s="435">
        <f t="shared" si="82"/>
        <v>597.40083642800096</v>
      </c>
      <c r="N276" s="435">
        <f t="shared" si="82"/>
        <v>162.87707425675956</v>
      </c>
      <c r="O276" s="435">
        <f t="shared" si="82"/>
        <v>2.4185998944774281</v>
      </c>
      <c r="P276" s="435">
        <f t="shared" si="82"/>
        <v>18.000346240848963</v>
      </c>
      <c r="Q276" s="435">
        <f t="shared" si="82"/>
        <v>0</v>
      </c>
      <c r="R276" s="435">
        <f t="shared" si="82"/>
        <v>0</v>
      </c>
      <c r="S276" s="435">
        <f t="shared" si="82"/>
        <v>11.794892210567683</v>
      </c>
      <c r="T276" s="435">
        <f t="shared" si="82"/>
        <v>65.894523430761367</v>
      </c>
      <c r="U276" s="435">
        <f t="shared" si="82"/>
        <v>2125.5670048398924</v>
      </c>
      <c r="V276" s="435">
        <f t="shared" si="82"/>
        <v>96.049172083443153</v>
      </c>
      <c r="W276" s="435">
        <f t="shared" si="82"/>
        <v>0</v>
      </c>
      <c r="X276" s="435">
        <f t="shared" si="82"/>
        <v>2.7248983894665364</v>
      </c>
      <c r="Y276" s="435">
        <f t="shared" si="82"/>
        <v>1.525747140857193</v>
      </c>
      <c r="Z276" s="435">
        <f t="shared" si="82"/>
        <v>0.1395129786147962</v>
      </c>
      <c r="AA276" s="435">
        <f t="shared" si="82"/>
        <v>1.9410011938250007E-2</v>
      </c>
      <c r="AB276" s="435">
        <f t="shared" si="82"/>
        <v>23.547068704882602</v>
      </c>
      <c r="AC276" s="435">
        <f t="shared" si="82"/>
        <v>-0.53245644237353218</v>
      </c>
      <c r="AD276" s="435">
        <f t="shared" si="82"/>
        <v>0</v>
      </c>
      <c r="AE276" s="435">
        <f t="shared" si="82"/>
        <v>-4.2752150163305798</v>
      </c>
      <c r="AF276" s="435">
        <f t="shared" si="82"/>
        <v>0</v>
      </c>
      <c r="AG276" s="435">
        <f t="shared" si="82"/>
        <v>-3.5872341889508781</v>
      </c>
      <c r="AH276" s="435">
        <f t="shared" si="82"/>
        <v>0</v>
      </c>
      <c r="AI276" s="435">
        <f t="shared" si="82"/>
        <v>0</v>
      </c>
      <c r="AJ276" s="435">
        <f t="shared" si="82"/>
        <v>0</v>
      </c>
      <c r="AK276" s="435">
        <f t="shared" si="82"/>
        <v>0</v>
      </c>
      <c r="AL276" s="435">
        <f t="shared" si="82"/>
        <v>0</v>
      </c>
      <c r="AM276" s="435">
        <f t="shared" si="82"/>
        <v>0</v>
      </c>
      <c r="AN276" s="435">
        <f t="shared" si="82"/>
        <v>0</v>
      </c>
      <c r="AO276" s="435">
        <f t="shared" si="82"/>
        <v>0</v>
      </c>
      <c r="AP276" s="435">
        <f t="shared" si="82"/>
        <v>0</v>
      </c>
      <c r="BH276" s="136"/>
    </row>
    <row r="277" spans="2:60" x14ac:dyDescent="0.25">
      <c r="C277" s="74"/>
      <c r="E277" s="131"/>
      <c r="F277" s="140" t="s">
        <v>50</v>
      </c>
      <c r="G277" s="140" t="s">
        <v>119</v>
      </c>
      <c r="H277" s="422">
        <f t="shared" si="74"/>
        <v>4153.0695679294076</v>
      </c>
      <c r="I277" s="436"/>
      <c r="J277" s="436">
        <f t="shared" ref="J277:AP277" si="83">J247 + J260 + J176</f>
        <v>1443.3422356219189</v>
      </c>
      <c r="K277" s="436">
        <f t="shared" si="83"/>
        <v>376.89135035815991</v>
      </c>
      <c r="L277" s="436">
        <f t="shared" si="83"/>
        <v>0</v>
      </c>
      <c r="M277" s="436">
        <f t="shared" si="83"/>
        <v>454.24411699112017</v>
      </c>
      <c r="N277" s="436">
        <f t="shared" si="83"/>
        <v>101.18748183710765</v>
      </c>
      <c r="O277" s="436">
        <f t="shared" si="83"/>
        <v>0</v>
      </c>
      <c r="P277" s="436">
        <f t="shared" si="83"/>
        <v>13.306840340578082</v>
      </c>
      <c r="Q277" s="436">
        <f t="shared" si="83"/>
        <v>0</v>
      </c>
      <c r="R277" s="436">
        <f t="shared" si="83"/>
        <v>0</v>
      </c>
      <c r="S277" s="436">
        <f t="shared" si="83"/>
        <v>11.9617655110581</v>
      </c>
      <c r="T277" s="436">
        <f t="shared" si="83"/>
        <v>46.110080006010698</v>
      </c>
      <c r="U277" s="436">
        <f t="shared" si="83"/>
        <v>1679.172949294541</v>
      </c>
      <c r="V277" s="436">
        <f t="shared" si="83"/>
        <v>0</v>
      </c>
      <c r="W277" s="436">
        <f t="shared" si="83"/>
        <v>0</v>
      </c>
      <c r="X277" s="436">
        <f t="shared" si="83"/>
        <v>2.6173036872194646</v>
      </c>
      <c r="Y277" s="436">
        <f t="shared" si="83"/>
        <v>1.4655018451208668</v>
      </c>
      <c r="Z277" s="436">
        <f t="shared" si="83"/>
        <v>0.1340042016814296</v>
      </c>
      <c r="AA277" s="436">
        <f t="shared" si="83"/>
        <v>1.8643592734076685E-2</v>
      </c>
      <c r="AB277" s="436">
        <f t="shared" si="83"/>
        <v>22.617294642155375</v>
      </c>
      <c r="AC277" s="436">
        <f t="shared" si="83"/>
        <v>0</v>
      </c>
      <c r="AD277" s="436">
        <f t="shared" si="83"/>
        <v>0</v>
      </c>
      <c r="AE277" s="436">
        <f t="shared" si="83"/>
        <v>0</v>
      </c>
      <c r="AF277" s="436">
        <f t="shared" si="83"/>
        <v>0</v>
      </c>
      <c r="AG277" s="436">
        <f t="shared" si="83"/>
        <v>0</v>
      </c>
      <c r="AH277" s="436">
        <f t="shared" si="83"/>
        <v>0</v>
      </c>
      <c r="AI277" s="436">
        <f t="shared" si="83"/>
        <v>0</v>
      </c>
      <c r="AJ277" s="436">
        <f t="shared" si="83"/>
        <v>0</v>
      </c>
      <c r="AK277" s="436">
        <f t="shared" si="83"/>
        <v>0</v>
      </c>
      <c r="AL277" s="436">
        <f t="shared" si="83"/>
        <v>0</v>
      </c>
      <c r="AM277" s="436">
        <f t="shared" si="83"/>
        <v>0</v>
      </c>
      <c r="AN277" s="436">
        <f t="shared" si="83"/>
        <v>0</v>
      </c>
      <c r="AO277" s="436">
        <f t="shared" si="83"/>
        <v>0</v>
      </c>
      <c r="AP277" s="436">
        <f t="shared" si="83"/>
        <v>0</v>
      </c>
      <c r="BH277" s="136"/>
    </row>
    <row r="278" spans="2:60" x14ac:dyDescent="0.25">
      <c r="H278" s="153"/>
    </row>
    <row r="279" spans="2:60" s="160" customFormat="1" x14ac:dyDescent="0.25">
      <c r="B279" s="171" t="s">
        <v>126</v>
      </c>
      <c r="C279" s="171"/>
      <c r="D279" s="171"/>
      <c r="E279" s="171"/>
      <c r="F279" s="171"/>
      <c r="G279" s="171"/>
      <c r="H279" s="171"/>
      <c r="I279" s="171"/>
      <c r="J279" s="171"/>
      <c r="K279" s="171"/>
      <c r="L279" s="171"/>
      <c r="M279" s="171"/>
      <c r="N279" s="171"/>
      <c r="O279" s="171"/>
      <c r="P279" s="171"/>
      <c r="Q279" s="171"/>
      <c r="R279" s="171"/>
      <c r="S279" s="171"/>
      <c r="T279" s="171"/>
      <c r="U279" s="171"/>
      <c r="V279" s="171"/>
      <c r="W279" s="171"/>
      <c r="X279" s="171"/>
      <c r="Y279" s="171"/>
      <c r="Z279" s="171"/>
      <c r="AA279" s="171"/>
      <c r="AB279" s="171"/>
      <c r="AC279" s="171"/>
      <c r="AD279" s="171"/>
      <c r="AE279" s="171"/>
      <c r="AF279" s="171"/>
      <c r="AG279" s="171"/>
      <c r="AH279" s="171"/>
      <c r="AI279" s="171"/>
      <c r="AJ279" s="171"/>
      <c r="AK279" s="171"/>
      <c r="AL279" s="171"/>
      <c r="AM279" s="171"/>
      <c r="AN279" s="171"/>
      <c r="AO279" s="171"/>
      <c r="AP279" s="171"/>
      <c r="AQ279" s="171"/>
      <c r="AR279" s="171"/>
      <c r="AT279" s="171"/>
      <c r="AU279" s="171"/>
      <c r="AV279" s="171"/>
      <c r="AW279" s="171"/>
      <c r="AX279" s="171"/>
      <c r="AY279" s="171"/>
      <c r="AZ279" s="171"/>
      <c r="BA279" s="171"/>
      <c r="BB279" s="171"/>
      <c r="BC279" s="171"/>
      <c r="BD279" s="171"/>
      <c r="BE279" s="171"/>
      <c r="BF279" s="171"/>
      <c r="BH279" s="171"/>
    </row>
    <row r="280" spans="2:60" s="160" customFormat="1" x14ac:dyDescent="0.25"/>
    <row r="281" spans="2:60" s="160" customFormat="1" x14ac:dyDescent="0.25">
      <c r="E281" s="160" t="s">
        <v>622</v>
      </c>
      <c r="G281" s="111" t="s">
        <v>814</v>
      </c>
      <c r="H281" s="362">
        <f t="array" ref="H281">SUM(IF(ISERROR(H23:AP277), 1))</f>
        <v>0</v>
      </c>
    </row>
    <row r="282" spans="2:60" s="160" customFormat="1" x14ac:dyDescent="0.25"/>
    <row r="283" spans="2:60" x14ac:dyDescent="0.25">
      <c r="B283" s="34" t="s">
        <v>127</v>
      </c>
      <c r="C283" s="34"/>
      <c r="D283" s="34"/>
      <c r="E283" s="171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34"/>
      <c r="AJ283" s="34"/>
      <c r="AK283" s="34"/>
      <c r="AL283" s="34"/>
      <c r="AM283" s="34"/>
      <c r="AN283" s="34"/>
      <c r="AO283" s="34"/>
      <c r="AP283" s="34"/>
      <c r="AQ283" s="34"/>
      <c r="AR283" s="34"/>
      <c r="AS283" s="160"/>
      <c r="AT283" s="34"/>
      <c r="AU283" s="34"/>
      <c r="AV283" s="34"/>
      <c r="AW283" s="34"/>
      <c r="AX283" s="34"/>
      <c r="AY283" s="34"/>
      <c r="AZ283" s="34"/>
      <c r="BA283" s="34"/>
      <c r="BB283" s="34"/>
      <c r="BC283" s="34"/>
      <c r="BD283" s="34"/>
      <c r="BE283" s="34"/>
      <c r="BF283" s="34"/>
      <c r="BH283" s="34"/>
    </row>
    <row r="286" spans="2:60" x14ac:dyDescent="0.25">
      <c r="K286" s="160"/>
    </row>
    <row r="287" spans="2:60" x14ac:dyDescent="0.25">
      <c r="K287" s="160"/>
    </row>
    <row r="288" spans="2:60" x14ac:dyDescent="0.25">
      <c r="J288" s="165"/>
      <c r="K288" s="165"/>
      <c r="L288" s="165"/>
      <c r="M288" s="165"/>
      <c r="N288" s="165"/>
      <c r="O288" s="165"/>
      <c r="P288" s="165"/>
      <c r="Q288" s="165"/>
      <c r="R288" s="165"/>
      <c r="S288" s="165"/>
    </row>
    <row r="289" spans="10:19" x14ac:dyDescent="0.25">
      <c r="J289" s="165"/>
      <c r="K289" s="165"/>
      <c r="L289" s="165"/>
      <c r="M289" s="165"/>
      <c r="N289" s="165"/>
      <c r="O289" s="165"/>
      <c r="P289" s="165"/>
      <c r="Q289" s="165"/>
      <c r="R289" s="165"/>
      <c r="S289" s="165"/>
    </row>
    <row r="290" spans="10:19" x14ac:dyDescent="0.25">
      <c r="J290" s="165"/>
      <c r="K290" s="165"/>
      <c r="L290" s="165"/>
      <c r="M290" s="165"/>
      <c r="N290" s="165"/>
      <c r="O290" s="165"/>
      <c r="P290" s="165"/>
      <c r="Q290" s="165"/>
      <c r="R290" s="165"/>
      <c r="S290" s="165"/>
    </row>
    <row r="291" spans="10:19" x14ac:dyDescent="0.25">
      <c r="J291" s="165"/>
      <c r="K291" s="165"/>
      <c r="L291" s="165"/>
      <c r="M291" s="165"/>
      <c r="N291" s="165"/>
      <c r="O291" s="165"/>
      <c r="P291" s="165"/>
      <c r="Q291" s="165"/>
      <c r="R291" s="165"/>
      <c r="S291" s="165"/>
    </row>
    <row r="292" spans="10:19" x14ac:dyDescent="0.25">
      <c r="J292" s="165"/>
      <c r="K292" s="165"/>
      <c r="L292" s="165"/>
      <c r="M292" s="165"/>
      <c r="N292" s="165"/>
      <c r="O292" s="165"/>
      <c r="P292" s="165"/>
      <c r="Q292" s="165"/>
      <c r="R292" s="165"/>
      <c r="S292" s="165"/>
    </row>
    <row r="293" spans="10:19" x14ac:dyDescent="0.25">
      <c r="J293" s="165"/>
      <c r="K293" s="165"/>
      <c r="L293" s="165"/>
      <c r="M293" s="165"/>
      <c r="N293" s="165"/>
      <c r="O293" s="165"/>
      <c r="P293" s="165"/>
      <c r="Q293" s="165"/>
      <c r="R293" s="165"/>
      <c r="S293" s="165"/>
    </row>
    <row r="294" spans="10:19" x14ac:dyDescent="0.25">
      <c r="J294" s="165"/>
      <c r="K294" s="165"/>
      <c r="L294" s="165"/>
      <c r="M294" s="165"/>
      <c r="N294" s="165"/>
      <c r="O294" s="165"/>
      <c r="P294" s="165"/>
      <c r="Q294" s="165"/>
      <c r="R294" s="165"/>
      <c r="S294" s="165"/>
    </row>
    <row r="295" spans="10:19" x14ac:dyDescent="0.25">
      <c r="J295" s="165"/>
      <c r="K295" s="165"/>
      <c r="L295" s="165"/>
      <c r="M295" s="165"/>
      <c r="N295" s="165"/>
      <c r="O295" s="165"/>
      <c r="P295" s="165"/>
      <c r="Q295" s="165"/>
      <c r="R295" s="165"/>
      <c r="S295" s="165"/>
    </row>
    <row r="296" spans="10:19" x14ac:dyDescent="0.25">
      <c r="J296" s="165"/>
      <c r="K296" s="165"/>
      <c r="L296" s="165"/>
      <c r="M296" s="165"/>
      <c r="N296" s="165"/>
      <c r="O296" s="165"/>
      <c r="P296" s="165"/>
      <c r="Q296" s="165"/>
      <c r="R296" s="165"/>
      <c r="S296" s="165"/>
    </row>
    <row r="297" spans="10:19" x14ac:dyDescent="0.25">
      <c r="J297" s="165"/>
      <c r="K297" s="165"/>
      <c r="L297" s="165"/>
      <c r="M297" s="165"/>
      <c r="N297" s="165"/>
      <c r="O297" s="165"/>
      <c r="P297" s="165"/>
      <c r="Q297" s="165"/>
      <c r="R297" s="165"/>
      <c r="S297" s="165"/>
    </row>
    <row r="298" spans="10:19" x14ac:dyDescent="0.25">
      <c r="J298" s="165"/>
      <c r="K298" s="165"/>
      <c r="L298" s="165"/>
      <c r="M298" s="165"/>
      <c r="N298" s="165"/>
      <c r="O298" s="165"/>
      <c r="P298" s="165"/>
      <c r="Q298" s="165"/>
      <c r="R298" s="165"/>
      <c r="S298" s="165"/>
    </row>
    <row r="299" spans="10:19" x14ac:dyDescent="0.25">
      <c r="J299" s="165"/>
      <c r="K299" s="165"/>
      <c r="L299" s="165"/>
      <c r="M299" s="165"/>
      <c r="N299" s="165"/>
      <c r="O299" s="165"/>
      <c r="P299" s="165"/>
      <c r="Q299" s="165"/>
      <c r="R299" s="165"/>
      <c r="S299" s="165"/>
    </row>
    <row r="300" spans="10:19" x14ac:dyDescent="0.25">
      <c r="J300" s="165"/>
      <c r="K300" s="165"/>
      <c r="L300" s="165"/>
      <c r="M300" s="165"/>
      <c r="N300" s="165"/>
      <c r="O300" s="165"/>
      <c r="P300" s="165"/>
      <c r="Q300" s="165"/>
      <c r="R300" s="165"/>
      <c r="S300" s="165"/>
    </row>
    <row r="301" spans="10:19" x14ac:dyDescent="0.25">
      <c r="J301" s="165"/>
      <c r="K301" s="165"/>
      <c r="L301" s="165"/>
      <c r="M301" s="165"/>
      <c r="N301" s="165"/>
      <c r="O301" s="165"/>
      <c r="P301" s="165"/>
      <c r="Q301" s="165"/>
      <c r="R301" s="165"/>
      <c r="S301" s="165"/>
    </row>
    <row r="302" spans="10:19" x14ac:dyDescent="0.25">
      <c r="J302" s="165"/>
      <c r="K302" s="165"/>
      <c r="L302" s="165"/>
      <c r="M302" s="165"/>
      <c r="N302" s="165"/>
      <c r="O302" s="165"/>
      <c r="P302" s="165"/>
      <c r="Q302" s="165"/>
      <c r="R302" s="165"/>
      <c r="S302" s="165"/>
    </row>
    <row r="303" spans="10:19" x14ac:dyDescent="0.25">
      <c r="J303" s="165"/>
      <c r="K303" s="165"/>
      <c r="L303" s="165"/>
      <c r="M303" s="165"/>
      <c r="N303" s="165"/>
      <c r="O303" s="165"/>
      <c r="P303" s="165"/>
      <c r="Q303" s="165"/>
      <c r="R303" s="165"/>
      <c r="S303" s="165"/>
    </row>
    <row r="304" spans="10:19" x14ac:dyDescent="0.25">
      <c r="J304" s="165"/>
      <c r="K304" s="165"/>
      <c r="L304" s="165"/>
      <c r="M304" s="165"/>
      <c r="N304" s="165"/>
      <c r="O304" s="165"/>
      <c r="P304" s="165"/>
      <c r="Q304" s="165"/>
      <c r="R304" s="165"/>
      <c r="S304" s="165"/>
    </row>
    <row r="305" spans="10:19" x14ac:dyDescent="0.25">
      <c r="J305" s="165"/>
      <c r="K305" s="165"/>
      <c r="L305" s="165"/>
      <c r="M305" s="165"/>
      <c r="N305" s="165"/>
      <c r="O305" s="165"/>
      <c r="P305" s="165"/>
      <c r="Q305" s="165"/>
      <c r="R305" s="165"/>
      <c r="S305" s="165"/>
    </row>
    <row r="306" spans="10:19" x14ac:dyDescent="0.25">
      <c r="J306" s="165"/>
      <c r="K306" s="165"/>
      <c r="L306" s="165"/>
      <c r="M306" s="165"/>
      <c r="N306" s="165"/>
      <c r="O306" s="165"/>
      <c r="P306" s="165"/>
      <c r="Q306" s="165"/>
      <c r="R306" s="165"/>
      <c r="S306" s="165"/>
    </row>
    <row r="307" spans="10:19" x14ac:dyDescent="0.25">
      <c r="J307" s="165"/>
      <c r="K307" s="165"/>
      <c r="L307" s="165"/>
      <c r="M307" s="165"/>
      <c r="N307" s="165"/>
      <c r="O307" s="165"/>
      <c r="P307" s="165"/>
      <c r="Q307" s="165"/>
      <c r="R307" s="165"/>
      <c r="S307" s="165"/>
    </row>
    <row r="308" spans="10:19" x14ac:dyDescent="0.25">
      <c r="J308" s="165"/>
      <c r="K308" s="165"/>
      <c r="L308" s="165"/>
      <c r="M308" s="165"/>
      <c r="N308" s="165"/>
      <c r="O308" s="165"/>
      <c r="P308" s="165"/>
      <c r="Q308" s="165"/>
      <c r="R308" s="165"/>
      <c r="S308" s="165"/>
    </row>
    <row r="309" spans="10:19" x14ac:dyDescent="0.25">
      <c r="J309" s="165"/>
      <c r="K309" s="165"/>
      <c r="L309" s="165"/>
      <c r="M309" s="165"/>
      <c r="N309" s="165"/>
      <c r="O309" s="165"/>
      <c r="P309" s="165"/>
      <c r="Q309" s="165"/>
      <c r="R309" s="165"/>
      <c r="S309" s="165"/>
    </row>
    <row r="310" spans="10:19" x14ac:dyDescent="0.25">
      <c r="J310" s="165"/>
      <c r="K310" s="165"/>
      <c r="L310" s="165"/>
      <c r="M310" s="165"/>
      <c r="N310" s="165"/>
      <c r="O310" s="165"/>
      <c r="P310" s="165"/>
      <c r="Q310" s="165"/>
      <c r="R310" s="165"/>
      <c r="S310" s="165"/>
    </row>
    <row r="311" spans="10:19" x14ac:dyDescent="0.25">
      <c r="J311" s="165"/>
      <c r="K311" s="165"/>
      <c r="L311" s="165"/>
      <c r="M311" s="165"/>
      <c r="N311" s="165"/>
      <c r="O311" s="165"/>
      <c r="P311" s="165"/>
      <c r="Q311" s="165"/>
      <c r="R311" s="165"/>
      <c r="S311" s="165"/>
    </row>
    <row r="312" spans="10:19" x14ac:dyDescent="0.25">
      <c r="J312" s="165"/>
      <c r="K312" s="165"/>
      <c r="L312" s="165"/>
      <c r="M312" s="165"/>
      <c r="N312" s="165"/>
      <c r="O312" s="165"/>
      <c r="P312" s="165"/>
      <c r="Q312" s="165"/>
      <c r="R312" s="165"/>
      <c r="S312" s="165"/>
    </row>
    <row r="313" spans="10:19" x14ac:dyDescent="0.25">
      <c r="J313" s="165"/>
      <c r="K313" s="165"/>
      <c r="L313" s="165"/>
      <c r="M313" s="165"/>
      <c r="N313" s="165"/>
      <c r="O313" s="165"/>
      <c r="P313" s="165"/>
      <c r="Q313" s="165"/>
      <c r="R313" s="165"/>
      <c r="S313" s="165"/>
    </row>
    <row r="314" spans="10:19" x14ac:dyDescent="0.25">
      <c r="J314" s="165"/>
      <c r="K314" s="165"/>
      <c r="L314" s="165"/>
      <c r="M314" s="165"/>
      <c r="N314" s="165"/>
      <c r="O314" s="165"/>
      <c r="P314" s="165"/>
      <c r="Q314" s="165"/>
      <c r="R314" s="165"/>
      <c r="S314" s="165"/>
    </row>
    <row r="315" spans="10:19" x14ac:dyDescent="0.25">
      <c r="J315" s="165"/>
      <c r="K315" s="165"/>
      <c r="L315" s="165"/>
      <c r="M315" s="165"/>
      <c r="N315" s="165"/>
      <c r="O315" s="165"/>
      <c r="P315" s="165"/>
      <c r="Q315" s="165"/>
      <c r="R315" s="165"/>
      <c r="S315" s="165"/>
    </row>
    <row r="316" spans="10:19" x14ac:dyDescent="0.25">
      <c r="J316" s="165"/>
      <c r="K316" s="165"/>
      <c r="L316" s="165"/>
      <c r="M316" s="165"/>
      <c r="N316" s="165"/>
      <c r="O316" s="165"/>
      <c r="P316" s="165"/>
      <c r="Q316" s="165"/>
      <c r="R316" s="165"/>
      <c r="S316" s="165"/>
    </row>
    <row r="317" spans="10:19" x14ac:dyDescent="0.25">
      <c r="J317" s="165"/>
      <c r="K317" s="165"/>
      <c r="L317" s="165"/>
      <c r="M317" s="165"/>
      <c r="N317" s="165"/>
      <c r="O317" s="165"/>
      <c r="P317" s="165"/>
      <c r="Q317" s="165"/>
      <c r="R317" s="165"/>
      <c r="S317" s="165"/>
    </row>
    <row r="318" spans="10:19" x14ac:dyDescent="0.25">
      <c r="J318" s="165"/>
      <c r="K318" s="165"/>
      <c r="L318" s="165"/>
      <c r="M318" s="165"/>
      <c r="N318" s="165"/>
      <c r="O318" s="165"/>
      <c r="P318" s="165"/>
      <c r="Q318" s="165"/>
      <c r="R318" s="165"/>
      <c r="S318" s="165"/>
    </row>
    <row r="319" spans="10:19" x14ac:dyDescent="0.25">
      <c r="J319" s="165"/>
      <c r="K319" s="165"/>
      <c r="L319" s="165"/>
      <c r="M319" s="165"/>
      <c r="N319" s="165"/>
      <c r="O319" s="165"/>
      <c r="P319" s="165"/>
      <c r="Q319" s="165"/>
      <c r="R319" s="165"/>
      <c r="S319" s="165"/>
    </row>
    <row r="320" spans="10:19" x14ac:dyDescent="0.25">
      <c r="J320" s="165"/>
      <c r="K320" s="165"/>
      <c r="L320" s="165"/>
      <c r="M320" s="165"/>
      <c r="N320" s="165"/>
      <c r="O320" s="165"/>
      <c r="P320" s="165"/>
      <c r="Q320" s="165"/>
      <c r="R320" s="165"/>
      <c r="S320" s="165"/>
    </row>
  </sheetData>
  <sheetProtection sheet="1" objects="1" formatCells="0" formatColumns="0" formatRows="0" sort="0" autoFilter="0"/>
  <conditionalFormatting sqref="H281">
    <cfRule type="cellIs" dxfId="41" priority="2" operator="greaterThan">
      <formula>0</formula>
    </cfRule>
  </conditionalFormatting>
  <conditionalFormatting sqref="A4:XFD4">
    <cfRule type="expression" dxfId="40" priority="1">
      <formula>LEFT($A$4,1) &lt;&gt; "0"</formula>
    </cfRule>
  </conditionalFormatting>
  <hyperlinks>
    <hyperlink ref="B5:F5" location="'Model map'!A1" display="Click here to return to model map"/>
  </hyperlinks>
  <pageMargins left="0.7" right="0.7" top="0.75" bottom="0.75" header="0.3" footer="0.3"/>
  <pageSetup paperSize="9" fitToHeight="0" orientation="portrait" r:id="rId1"/>
  <headerFooter>
    <oddHeader>&amp;L&amp;A&amp;C&amp;R&amp;P of &amp;N</oddHeader>
    <oddFooter>&amp;F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theme="4" tint="0.59999389629810485"/>
    <pageSetUpPr fitToPage="1"/>
  </sheetPr>
  <dimension ref="A1:KR40"/>
  <sheetViews>
    <sheetView showGridLines="0" zoomScale="80" zoomScaleNormal="80" workbookViewId="0">
      <pane xSplit="9" ySplit="5" topLeftCell="J6" activePane="bottomRight" state="frozen"/>
      <selection activeCell="AR5" sqref="AR5"/>
      <selection pane="topRight" activeCell="AR5" sqref="AR5"/>
      <selection pane="bottomLeft" activeCell="AR5" sqref="AR5"/>
      <selection pane="bottomRight" activeCell="J6" sqref="J6"/>
    </sheetView>
  </sheetViews>
  <sheetFormatPr defaultColWidth="0" defaultRowHeight="15" x14ac:dyDescent="0.25"/>
  <cols>
    <col min="1" max="5" width="2.7109375" style="338" customWidth="1"/>
    <col min="6" max="6" width="59.5703125" style="338" customWidth="1"/>
    <col min="7" max="8" width="20.7109375" style="338" customWidth="1"/>
    <col min="9" max="9" width="2.28515625" style="338" customWidth="1"/>
    <col min="10" max="42" width="17" style="338" customWidth="1"/>
    <col min="43" max="43" width="2.28515625" style="338" customWidth="1"/>
    <col min="44" max="44" width="50.7109375" style="338" customWidth="1"/>
    <col min="45" max="45" width="2.28515625" style="338" customWidth="1"/>
    <col min="46" max="58" width="17" style="338" hidden="1" customWidth="1"/>
    <col min="59" max="59" width="3.7109375" style="338" hidden="1" customWidth="1"/>
    <col min="60" max="60" width="18.28515625" style="338" hidden="1" customWidth="1"/>
    <col min="61" max="61" width="4.28515625" style="338" hidden="1" customWidth="1"/>
    <col min="62" max="62" width="24.7109375" style="338" hidden="1" customWidth="1"/>
    <col min="63" max="63" width="3.5703125" style="338" hidden="1" customWidth="1"/>
    <col min="64" max="64" width="15.42578125" style="338" hidden="1" customWidth="1"/>
    <col min="65" max="304" width="24.7109375" style="338" hidden="1" customWidth="1"/>
    <col min="305" max="16384" width="8.85546875" style="338" hidden="1"/>
  </cols>
  <sheetData>
    <row r="1" spans="1:97" s="25" customFormat="1" x14ac:dyDescent="0.25">
      <c r="A1" s="25" t="str">
        <f ca="1">MID(CELL("filename",A1),FIND("]",CELL("filename",A1))+1,255)</f>
        <v>Service model assets</v>
      </c>
    </row>
    <row r="2" spans="1:97" s="25" customFormat="1" x14ac:dyDescent="0.25">
      <c r="A2" s="25" t="str">
        <f>Cover!D21&amp;" - "&amp;Cover!D23</f>
        <v>SEPD - Final</v>
      </c>
    </row>
    <row r="3" spans="1:97" s="97" customFormat="1" x14ac:dyDescent="0.25">
      <c r="A3" s="97" t="str">
        <f>Cover!D2&amp;" - "&amp;Cover!D8&amp;" v"&amp;Cover!D10&amp;" - "&amp;Cover!D19</f>
        <v>ARP model - Release for charge setting v3 - 2020/21</v>
      </c>
    </row>
    <row r="4" spans="1:97" x14ac:dyDescent="0.25">
      <c r="A4" s="392" t="str">
        <f>H38 &amp; IF(H38 = 1, " issue", " issues") &amp;" identified in checks on this sheet"</f>
        <v>0 issues identified in checks on this sheet</v>
      </c>
      <c r="B4" s="393"/>
      <c r="C4" s="393"/>
      <c r="D4" s="393"/>
      <c r="E4" s="393"/>
      <c r="F4" s="393"/>
      <c r="G4" s="393"/>
      <c r="H4" s="394"/>
      <c r="I4" s="394"/>
      <c r="J4" s="393"/>
      <c r="K4" s="383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3"/>
      <c r="AD4" s="383"/>
      <c r="AE4" s="383"/>
      <c r="AF4" s="383"/>
      <c r="AG4" s="383"/>
      <c r="AH4" s="383"/>
      <c r="AI4" s="383"/>
      <c r="AJ4" s="383"/>
      <c r="AK4" s="383"/>
      <c r="AL4" s="383"/>
      <c r="AM4" s="383"/>
      <c r="AN4" s="383"/>
      <c r="AO4" s="383"/>
      <c r="AP4" s="383"/>
      <c r="AQ4" s="383"/>
      <c r="AR4" s="383"/>
      <c r="AS4" s="383"/>
      <c r="AT4" s="383"/>
      <c r="AU4" s="383"/>
      <c r="AV4" s="383"/>
      <c r="AW4" s="383"/>
      <c r="AX4" s="383"/>
      <c r="AY4" s="383"/>
      <c r="AZ4" s="383"/>
      <c r="BA4" s="383"/>
      <c r="BB4" s="383"/>
      <c r="BC4" s="383"/>
      <c r="BD4" s="383"/>
      <c r="BE4" s="383"/>
      <c r="BF4" s="383"/>
      <c r="BG4" s="383"/>
      <c r="BH4" s="383"/>
      <c r="BI4" s="383"/>
      <c r="BJ4" s="383"/>
      <c r="BK4" s="383"/>
      <c r="BL4" s="383"/>
      <c r="BM4" s="383"/>
      <c r="BN4" s="383"/>
      <c r="BO4" s="383"/>
      <c r="BP4" s="383"/>
      <c r="BQ4" s="383"/>
      <c r="BR4" s="383"/>
      <c r="BS4" s="383"/>
      <c r="BT4" s="383"/>
      <c r="BU4" s="383"/>
      <c r="BV4" s="383"/>
      <c r="BW4" s="383"/>
      <c r="BX4" s="383"/>
      <c r="BY4" s="383"/>
      <c r="BZ4" s="383"/>
      <c r="CA4" s="383"/>
      <c r="CB4" s="383"/>
      <c r="CC4" s="383"/>
      <c r="CD4" s="383"/>
      <c r="CE4" s="383"/>
      <c r="CF4" s="383"/>
      <c r="CG4" s="383"/>
      <c r="CH4" s="383"/>
      <c r="CI4" s="383"/>
      <c r="CJ4" s="383"/>
      <c r="CK4" s="383"/>
      <c r="CL4" s="383"/>
      <c r="CM4" s="383"/>
      <c r="CN4" s="383"/>
      <c r="CO4" s="383"/>
      <c r="CP4" s="383"/>
      <c r="CQ4" s="383"/>
      <c r="CR4" s="383"/>
      <c r="CS4" s="383"/>
    </row>
    <row r="5" spans="1:97" ht="60" x14ac:dyDescent="0.25">
      <c r="B5" s="244" t="s">
        <v>667</v>
      </c>
      <c r="C5" s="24"/>
      <c r="D5" s="24"/>
      <c r="E5" s="24"/>
      <c r="F5" s="24"/>
      <c r="G5" s="1" t="s">
        <v>108</v>
      </c>
      <c r="H5" s="2" t="s">
        <v>109</v>
      </c>
      <c r="I5" s="200"/>
      <c r="J5" s="2" t="s">
        <v>52</v>
      </c>
      <c r="K5" s="2" t="s">
        <v>53</v>
      </c>
      <c r="L5" s="2" t="s">
        <v>84</v>
      </c>
      <c r="M5" s="2" t="s">
        <v>54</v>
      </c>
      <c r="N5" s="2" t="s">
        <v>55</v>
      </c>
      <c r="O5" s="2" t="s">
        <v>85</v>
      </c>
      <c r="P5" s="2" t="s">
        <v>56</v>
      </c>
      <c r="Q5" s="2" t="s">
        <v>57</v>
      </c>
      <c r="R5" s="2" t="s">
        <v>72</v>
      </c>
      <c r="S5" s="2" t="s">
        <v>58</v>
      </c>
      <c r="T5" s="2" t="s">
        <v>59</v>
      </c>
      <c r="U5" s="2" t="s">
        <v>60</v>
      </c>
      <c r="V5" s="2" t="s">
        <v>61</v>
      </c>
      <c r="W5" s="2" t="s">
        <v>73</v>
      </c>
      <c r="X5" s="2" t="s">
        <v>86</v>
      </c>
      <c r="Y5" s="2" t="s">
        <v>87</v>
      </c>
      <c r="Z5" s="2" t="s">
        <v>88</v>
      </c>
      <c r="AA5" s="2" t="s">
        <v>89</v>
      </c>
      <c r="AB5" s="2" t="s">
        <v>90</v>
      </c>
      <c r="AC5" s="2" t="s">
        <v>62</v>
      </c>
      <c r="AD5" s="2" t="s">
        <v>63</v>
      </c>
      <c r="AE5" s="2" t="s">
        <v>64</v>
      </c>
      <c r="AF5" s="2" t="s">
        <v>65</v>
      </c>
      <c r="AG5" s="2" t="s">
        <v>66</v>
      </c>
      <c r="AH5" s="2" t="s">
        <v>67</v>
      </c>
      <c r="AI5" s="2" t="s">
        <v>68</v>
      </c>
      <c r="AJ5" s="2" t="s">
        <v>69</v>
      </c>
      <c r="AK5" s="2" t="s">
        <v>70</v>
      </c>
      <c r="AL5" s="2" t="s">
        <v>71</v>
      </c>
      <c r="AM5" s="2" t="s">
        <v>74</v>
      </c>
      <c r="AN5" s="2" t="s">
        <v>75</v>
      </c>
      <c r="AO5" s="2" t="s">
        <v>76</v>
      </c>
      <c r="AP5" s="2" t="s">
        <v>77</v>
      </c>
      <c r="AR5" s="1" t="s">
        <v>110</v>
      </c>
    </row>
    <row r="7" spans="1:97" x14ac:dyDescent="0.25">
      <c r="B7" s="171" t="s">
        <v>107</v>
      </c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H7" s="171"/>
    </row>
    <row r="9" spans="1:97" x14ac:dyDescent="0.25">
      <c r="C9" s="152" t="s">
        <v>866</v>
      </c>
    </row>
    <row r="10" spans="1:97" x14ac:dyDescent="0.25">
      <c r="C10" s="152" t="s">
        <v>867</v>
      </c>
    </row>
    <row r="11" spans="1:97" x14ac:dyDescent="0.25">
      <c r="D11" s="172"/>
      <c r="F11" s="339"/>
      <c r="G11" s="339"/>
      <c r="H11" s="339"/>
      <c r="I11" s="339"/>
      <c r="J11" s="339"/>
      <c r="K11" s="339"/>
      <c r="L11" s="170"/>
      <c r="M11" s="170"/>
      <c r="N11" s="339"/>
      <c r="O11" s="339"/>
      <c r="BH11" s="163"/>
    </row>
    <row r="12" spans="1:97" x14ac:dyDescent="0.25">
      <c r="B12" s="171" t="s">
        <v>915</v>
      </c>
      <c r="C12" s="171"/>
      <c r="D12" s="171"/>
      <c r="E12" s="171"/>
      <c r="F12" s="171"/>
      <c r="G12" s="236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1"/>
      <c r="V12" s="171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</row>
    <row r="13" spans="1:97" x14ac:dyDescent="0.25">
      <c r="G13" s="194"/>
    </row>
    <row r="14" spans="1:97" x14ac:dyDescent="0.25">
      <c r="C14" s="22" t="str">
        <f ca="1">INDEX('Version control'!$H$34:$H$59,MATCH($A$1,'Version control'!$F$34:$F$59,0),1)&amp;"-A: Service model notional asset values"</f>
        <v>Section 510-A: Service model notional asset values</v>
      </c>
      <c r="D14" s="22"/>
      <c r="E14" s="22"/>
      <c r="F14" s="22"/>
      <c r="G14" s="297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</row>
    <row r="16" spans="1:97" x14ac:dyDescent="0.25">
      <c r="E16" s="145" t="s">
        <v>580</v>
      </c>
      <c r="G16" s="145" t="s">
        <v>91</v>
      </c>
      <c r="J16" s="437">
        <f>'Volume adjustments'!J103</f>
        <v>2647630.1830200609</v>
      </c>
      <c r="K16" s="437">
        <f>'Volume adjustments'!K103</f>
        <v>252108.44700241974</v>
      </c>
      <c r="L16" s="437">
        <f>'Volume adjustments'!L103</f>
        <v>45034.03894236849</v>
      </c>
      <c r="M16" s="437">
        <f>'Volume adjustments'!M103</f>
        <v>195910.38911922346</v>
      </c>
      <c r="N16" s="437">
        <f>'Volume adjustments'!N103</f>
        <v>30990.67618208874</v>
      </c>
      <c r="O16" s="437">
        <f>'Volume adjustments'!O103</f>
        <v>5572.2471252403921</v>
      </c>
      <c r="P16" s="437">
        <f>'Volume adjustments'!P103</f>
        <v>1430.884410963396</v>
      </c>
      <c r="Q16" s="437">
        <f>'Volume adjustments'!Q103</f>
        <v>0</v>
      </c>
      <c r="R16" s="437">
        <f>'Volume adjustments'!R103</f>
        <v>4</v>
      </c>
      <c r="S16" s="437">
        <f>'Volume adjustments'!S103</f>
        <v>9734.8642977334039</v>
      </c>
      <c r="T16" s="437">
        <f>'Volume adjustments'!T103</f>
        <v>3809.8190759493036</v>
      </c>
      <c r="U16" s="437">
        <f>'Volume adjustments'!U103</f>
        <v>21955.201332689365</v>
      </c>
      <c r="V16" s="437">
        <f>'Volume adjustments'!V103</f>
        <v>342.03860415808151</v>
      </c>
      <c r="W16" s="437">
        <f>'Volume adjustments'!W103</f>
        <v>1863.5847977832193</v>
      </c>
      <c r="X16" s="437">
        <f>'Volume adjustments'!X103</f>
        <v>2210.2727723885705</v>
      </c>
      <c r="Y16" s="437">
        <f>'Volume adjustments'!Y103</f>
        <v>1432.9835362288884</v>
      </c>
      <c r="Z16" s="437">
        <f>'Volume adjustments'!Z103</f>
        <v>138.17303991124891</v>
      </c>
      <c r="AA16" s="437">
        <f>'Volume adjustments'!AA103</f>
        <v>9.8681450806991577</v>
      </c>
      <c r="AB16" s="437">
        <f>'Volume adjustments'!AB103</f>
        <v>41.845765167948912</v>
      </c>
      <c r="AC16" s="437">
        <f>'Volume adjustments'!AC103</f>
        <v>1105.7222222222224</v>
      </c>
      <c r="AD16" s="437">
        <f>'Volume adjustments'!AD103</f>
        <v>45</v>
      </c>
      <c r="AE16" s="437">
        <f>'Volume adjustments'!AE103</f>
        <v>808.8746645937498</v>
      </c>
      <c r="AF16" s="437">
        <f>'Volume adjustments'!AF103</f>
        <v>0</v>
      </c>
      <c r="AG16" s="437">
        <f>'Volume adjustments'!AG103</f>
        <v>45</v>
      </c>
      <c r="AH16" s="437">
        <f>'Volume adjustments'!AH103</f>
        <v>0</v>
      </c>
      <c r="AI16" s="437">
        <f>'Volume adjustments'!AI103</f>
        <v>1</v>
      </c>
      <c r="AJ16" s="437">
        <f>'Volume adjustments'!AJ103</f>
        <v>0</v>
      </c>
      <c r="AK16" s="437">
        <f>'Volume adjustments'!AK103</f>
        <v>0</v>
      </c>
      <c r="AL16" s="437">
        <f>'Volume adjustments'!AL103</f>
        <v>0</v>
      </c>
      <c r="AM16" s="437">
        <f>'Volume adjustments'!AM103</f>
        <v>165</v>
      </c>
      <c r="AN16" s="437">
        <f>'Volume adjustments'!AN103</f>
        <v>0</v>
      </c>
      <c r="AO16" s="437">
        <f>'Volume adjustments'!AO103</f>
        <v>115</v>
      </c>
      <c r="AP16" s="437">
        <f>'Volume adjustments'!AP103</f>
        <v>0</v>
      </c>
    </row>
    <row r="17" spans="5:42" x14ac:dyDescent="0.25">
      <c r="E17" s="145" t="s">
        <v>858</v>
      </c>
      <c r="G17" s="145" t="s">
        <v>137</v>
      </c>
      <c r="J17" s="437">
        <f>'Volume adjustments'!J92</f>
        <v>9619584.3780239914</v>
      </c>
      <c r="K17" s="437">
        <f>'Volume adjustments'!K92</f>
        <v>1571142.7029421923</v>
      </c>
      <c r="L17" s="437">
        <f>'Volume adjustments'!L92</f>
        <v>199297.91284437623</v>
      </c>
      <c r="M17" s="437">
        <f>'Volume adjustments'!M92</f>
        <v>2706270.8612037809</v>
      </c>
      <c r="N17" s="437">
        <f>'Volume adjustments'!N92</f>
        <v>724473.22116238193</v>
      </c>
      <c r="O17" s="437">
        <f>'Volume adjustments'!O92</f>
        <v>42294.937322173275</v>
      </c>
      <c r="P17" s="437">
        <f>'Volume adjustments'!P92</f>
        <v>111111.87876924349</v>
      </c>
      <c r="Q17" s="437">
        <f>'Volume adjustments'!Q92</f>
        <v>0</v>
      </c>
      <c r="R17" s="437">
        <f>'Volume adjustments'!R92</f>
        <v>286.36392772344522</v>
      </c>
      <c r="S17" s="437">
        <f>'Volume adjustments'!S92</f>
        <v>47608.87213758428</v>
      </c>
      <c r="T17" s="437">
        <f>'Volume adjustments'!T92</f>
        <v>293550.2004512549</v>
      </c>
      <c r="U17" s="437">
        <f>'Volume adjustments'!U92</f>
        <v>6033518.7970280638</v>
      </c>
      <c r="V17" s="437">
        <f>'Volume adjustments'!V92</f>
        <v>393828.54199478409</v>
      </c>
      <c r="W17" s="437">
        <f>'Volume adjustments'!W92</f>
        <v>4742970.7795248423</v>
      </c>
      <c r="X17" s="437">
        <f>'Volume adjustments'!X92</f>
        <v>24532.632560505219</v>
      </c>
      <c r="Y17" s="437">
        <f>'Volume adjustments'!Y92</f>
        <v>15654.703404062586</v>
      </c>
      <c r="Z17" s="437">
        <f>'Volume adjustments'!Z92</f>
        <v>778.6739855590813</v>
      </c>
      <c r="AA17" s="437">
        <f>'Volume adjustments'!AA92</f>
        <v>149.6510564463434</v>
      </c>
      <c r="AB17" s="437">
        <f>'Volume adjustments'!AB92</f>
        <v>215757.18109007724</v>
      </c>
      <c r="AC17" s="437">
        <f>'Volume adjustments'!AC92</f>
        <v>4480.1442453728014</v>
      </c>
      <c r="AD17" s="437">
        <f>'Volume adjustments'!AD92</f>
        <v>263.02538443584314</v>
      </c>
      <c r="AE17" s="437">
        <f>'Volume adjustments'!AE92</f>
        <v>35972.106690575252</v>
      </c>
      <c r="AF17" s="437">
        <f>'Volume adjustments'!AF92</f>
        <v>0</v>
      </c>
      <c r="AG17" s="437">
        <f>'Volume adjustments'!AG92</f>
        <v>28870.705229336618</v>
      </c>
      <c r="AH17" s="437">
        <f>'Volume adjustments'!AH92</f>
        <v>0</v>
      </c>
      <c r="AI17" s="437">
        <f>'Volume adjustments'!AI92</f>
        <v>0</v>
      </c>
      <c r="AJ17" s="437">
        <f>'Volume adjustments'!AJ92</f>
        <v>0</v>
      </c>
      <c r="AK17" s="437">
        <f>'Volume adjustments'!AK92</f>
        <v>0</v>
      </c>
      <c r="AL17" s="437">
        <f>'Volume adjustments'!AL92</f>
        <v>0</v>
      </c>
      <c r="AM17" s="437">
        <f>'Volume adjustments'!AM92</f>
        <v>468706.30956186936</v>
      </c>
      <c r="AN17" s="437">
        <f>'Volume adjustments'!AN92</f>
        <v>0</v>
      </c>
      <c r="AO17" s="437">
        <f>'Volume adjustments'!AO92</f>
        <v>593985.31531114958</v>
      </c>
      <c r="AP17" s="437">
        <f>'Volume adjustments'!AP92</f>
        <v>0</v>
      </c>
    </row>
    <row r="18" spans="5:42" x14ac:dyDescent="0.25">
      <c r="J18" s="416"/>
      <c r="K18" s="416"/>
      <c r="L18" s="416"/>
      <c r="M18" s="416"/>
      <c r="N18" s="416"/>
      <c r="O18" s="416"/>
      <c r="P18" s="416"/>
      <c r="Q18" s="416"/>
      <c r="R18" s="416"/>
      <c r="S18" s="416"/>
      <c r="T18" s="416"/>
      <c r="U18" s="416"/>
      <c r="V18" s="416"/>
      <c r="W18" s="416"/>
      <c r="X18" s="416"/>
      <c r="Y18" s="416"/>
      <c r="Z18" s="416"/>
      <c r="AA18" s="416"/>
      <c r="AB18" s="416"/>
      <c r="AC18" s="416"/>
      <c r="AD18" s="416"/>
      <c r="AE18" s="416"/>
      <c r="AF18" s="416"/>
      <c r="AG18" s="416"/>
      <c r="AH18" s="416"/>
      <c r="AI18" s="416"/>
      <c r="AJ18" s="416"/>
      <c r="AK18" s="416"/>
      <c r="AL18" s="416"/>
      <c r="AM18" s="416"/>
      <c r="AN18" s="416"/>
      <c r="AO18" s="416"/>
      <c r="AP18" s="416"/>
    </row>
    <row r="19" spans="5:42" x14ac:dyDescent="0.25">
      <c r="E19" s="161" t="s">
        <v>860</v>
      </c>
      <c r="J19" s="416"/>
      <c r="K19" s="416"/>
      <c r="L19" s="416"/>
      <c r="M19" s="416"/>
      <c r="N19" s="416"/>
      <c r="O19" s="416"/>
      <c r="P19" s="416"/>
      <c r="Q19" s="416"/>
      <c r="R19" s="416"/>
      <c r="S19" s="416"/>
      <c r="T19" s="416"/>
      <c r="U19" s="416"/>
      <c r="V19" s="416"/>
      <c r="W19" s="416"/>
      <c r="X19" s="416"/>
      <c r="Y19" s="416"/>
      <c r="Z19" s="416"/>
      <c r="AA19" s="416"/>
      <c r="AB19" s="416"/>
      <c r="AC19" s="416"/>
      <c r="AD19" s="416"/>
      <c r="AE19" s="416"/>
      <c r="AF19" s="416"/>
      <c r="AG19" s="416"/>
      <c r="AH19" s="416"/>
      <c r="AI19" s="416"/>
      <c r="AJ19" s="416"/>
      <c r="AK19" s="416"/>
      <c r="AL19" s="416"/>
      <c r="AM19" s="416"/>
      <c r="AN19" s="416"/>
      <c r="AO19" s="416"/>
      <c r="AP19" s="416"/>
    </row>
    <row r="20" spans="5:42" x14ac:dyDescent="0.25">
      <c r="E20" s="152" t="s">
        <v>859</v>
      </c>
      <c r="J20" s="416"/>
      <c r="K20" s="416"/>
      <c r="L20" s="416"/>
      <c r="M20" s="416"/>
      <c r="N20" s="416"/>
      <c r="O20" s="416"/>
      <c r="P20" s="416"/>
      <c r="Q20" s="416"/>
      <c r="R20" s="416"/>
      <c r="S20" s="416"/>
      <c r="T20" s="416"/>
      <c r="U20" s="416"/>
      <c r="V20" s="416"/>
      <c r="W20" s="416"/>
      <c r="X20" s="416"/>
      <c r="Y20" s="416"/>
      <c r="Z20" s="416"/>
      <c r="AA20" s="416"/>
      <c r="AB20" s="416"/>
      <c r="AC20" s="416"/>
      <c r="AD20" s="416"/>
      <c r="AE20" s="416"/>
      <c r="AF20" s="416"/>
      <c r="AG20" s="416"/>
      <c r="AH20" s="416"/>
      <c r="AI20" s="416"/>
      <c r="AJ20" s="416"/>
      <c r="AK20" s="416"/>
      <c r="AL20" s="416"/>
      <c r="AM20" s="416"/>
      <c r="AN20" s="416"/>
      <c r="AO20" s="416"/>
      <c r="AP20" s="416"/>
    </row>
    <row r="21" spans="5:42" x14ac:dyDescent="0.25">
      <c r="E21" s="161"/>
      <c r="F21" s="180" t="s">
        <v>141</v>
      </c>
      <c r="G21" s="166" t="s">
        <v>725</v>
      </c>
      <c r="H21" s="253"/>
      <c r="I21" s="166"/>
      <c r="J21" s="438">
        <f>'Inputs by customer type'!J74</f>
        <v>447.91694999999993</v>
      </c>
      <c r="K21" s="438">
        <f>'Inputs by customer type'!K74</f>
        <v>447.91694999999993</v>
      </c>
      <c r="L21" s="438">
        <f>'Inputs by customer type'!L74</f>
        <v>0</v>
      </c>
      <c r="M21" s="438">
        <f>'Inputs by customer type'!M74</f>
        <v>770.2</v>
      </c>
      <c r="N21" s="438">
        <f>'Inputs by customer type'!N74</f>
        <v>770.2</v>
      </c>
      <c r="O21" s="438">
        <f>'Inputs by customer type'!O74</f>
        <v>0</v>
      </c>
      <c r="P21" s="438">
        <f>'Inputs by customer type'!P74</f>
        <v>2955.57</v>
      </c>
      <c r="Q21" s="438">
        <f>'Inputs by customer type'!Q74</f>
        <v>4756.22</v>
      </c>
      <c r="R21" s="438">
        <f>'Inputs by customer type'!R74</f>
        <v>0</v>
      </c>
      <c r="S21" s="438">
        <f>'Inputs by customer type'!S74</f>
        <v>447.91694999999993</v>
      </c>
      <c r="T21" s="438">
        <f>'Inputs by customer type'!T74</f>
        <v>770.2</v>
      </c>
      <c r="U21" s="438">
        <f>'Inputs by customer type'!U74</f>
        <v>3041.5649999999996</v>
      </c>
      <c r="V21" s="438">
        <f>'Inputs by customer type'!V74</f>
        <v>4756.22</v>
      </c>
      <c r="W21" s="438">
        <f>'Inputs by customer type'!W74</f>
        <v>0</v>
      </c>
      <c r="X21" s="402"/>
      <c r="Y21" s="402"/>
      <c r="Z21" s="402"/>
      <c r="AA21" s="402"/>
      <c r="AB21" s="402"/>
      <c r="AC21" s="438">
        <f>'Inputs by customer type'!AC74</f>
        <v>0</v>
      </c>
      <c r="AD21" s="438">
        <f>'Inputs by customer type'!AD74</f>
        <v>0</v>
      </c>
      <c r="AE21" s="438">
        <f>'Inputs by customer type'!AE74</f>
        <v>0</v>
      </c>
      <c r="AF21" s="438">
        <f>'Inputs by customer type'!AF74</f>
        <v>0</v>
      </c>
      <c r="AG21" s="438">
        <f>'Inputs by customer type'!AG74</f>
        <v>0</v>
      </c>
      <c r="AH21" s="438">
        <f>'Inputs by customer type'!AH74</f>
        <v>0</v>
      </c>
      <c r="AI21" s="438">
        <f>'Inputs by customer type'!AI74</f>
        <v>0</v>
      </c>
      <c r="AJ21" s="438">
        <f>'Inputs by customer type'!AJ74</f>
        <v>0</v>
      </c>
      <c r="AK21" s="438">
        <f>'Inputs by customer type'!AK74</f>
        <v>0</v>
      </c>
      <c r="AL21" s="438">
        <f>'Inputs by customer type'!AL74</f>
        <v>0</v>
      </c>
      <c r="AM21" s="438">
        <f>'Inputs by customer type'!AM74</f>
        <v>0</v>
      </c>
      <c r="AN21" s="438">
        <f>'Inputs by customer type'!AN74</f>
        <v>0</v>
      </c>
      <c r="AO21" s="438">
        <f>'Inputs by customer type'!AO74</f>
        <v>0</v>
      </c>
      <c r="AP21" s="438">
        <f>'Inputs by customer type'!AP74</f>
        <v>0</v>
      </c>
    </row>
    <row r="22" spans="5:42" x14ac:dyDescent="0.25">
      <c r="E22" s="161"/>
      <c r="F22" s="176" t="s">
        <v>140</v>
      </c>
      <c r="G22" s="339" t="s">
        <v>725</v>
      </c>
      <c r="H22" s="205"/>
      <c r="I22" s="339"/>
      <c r="J22" s="437">
        <f>'Inputs by customer type'!J75</f>
        <v>0</v>
      </c>
      <c r="K22" s="437">
        <f>'Inputs by customer type'!K75</f>
        <v>0</v>
      </c>
      <c r="L22" s="437">
        <f>'Inputs by customer type'!L75</f>
        <v>0</v>
      </c>
      <c r="M22" s="437">
        <f>'Inputs by customer type'!M75</f>
        <v>0</v>
      </c>
      <c r="N22" s="437">
        <f>'Inputs by customer type'!N75</f>
        <v>0</v>
      </c>
      <c r="O22" s="437">
        <f>'Inputs by customer type'!O75</f>
        <v>0</v>
      </c>
      <c r="P22" s="437">
        <f>'Inputs by customer type'!P75</f>
        <v>0</v>
      </c>
      <c r="Q22" s="437">
        <f>'Inputs by customer type'!Q75</f>
        <v>0</v>
      </c>
      <c r="R22" s="437">
        <f>'Inputs by customer type'!R75</f>
        <v>27188.11</v>
      </c>
      <c r="S22" s="437">
        <f>'Inputs by customer type'!S75</f>
        <v>0</v>
      </c>
      <c r="T22" s="437">
        <f>'Inputs by customer type'!T75</f>
        <v>0</v>
      </c>
      <c r="U22" s="437">
        <f>'Inputs by customer type'!U75</f>
        <v>0</v>
      </c>
      <c r="V22" s="437">
        <f>'Inputs by customer type'!V75</f>
        <v>0</v>
      </c>
      <c r="W22" s="437">
        <f>'Inputs by customer type'!W75</f>
        <v>27188.11</v>
      </c>
      <c r="X22" s="403"/>
      <c r="Y22" s="403"/>
      <c r="Z22" s="403"/>
      <c r="AA22" s="403"/>
      <c r="AB22" s="403"/>
      <c r="AC22" s="437">
        <f>'Inputs by customer type'!AC75</f>
        <v>0</v>
      </c>
      <c r="AD22" s="437">
        <f>'Inputs by customer type'!AD75</f>
        <v>0</v>
      </c>
      <c r="AE22" s="437">
        <f>'Inputs by customer type'!AE75</f>
        <v>0</v>
      </c>
      <c r="AF22" s="437">
        <f>'Inputs by customer type'!AF75</f>
        <v>0</v>
      </c>
      <c r="AG22" s="437">
        <f>'Inputs by customer type'!AG75</f>
        <v>0</v>
      </c>
      <c r="AH22" s="437">
        <f>'Inputs by customer type'!AH75</f>
        <v>0</v>
      </c>
      <c r="AI22" s="437">
        <f>'Inputs by customer type'!AI75</f>
        <v>0</v>
      </c>
      <c r="AJ22" s="437">
        <f>'Inputs by customer type'!AJ75</f>
        <v>0</v>
      </c>
      <c r="AK22" s="437">
        <f>'Inputs by customer type'!AK75</f>
        <v>0</v>
      </c>
      <c r="AL22" s="437">
        <f>'Inputs by customer type'!AL75</f>
        <v>0</v>
      </c>
      <c r="AM22" s="437">
        <f>'Inputs by customer type'!AM75</f>
        <v>44791.95</v>
      </c>
      <c r="AN22" s="437">
        <f>'Inputs by customer type'!AN75</f>
        <v>44791.95</v>
      </c>
      <c r="AO22" s="437">
        <f>'Inputs by customer type'!AO75</f>
        <v>44791.95</v>
      </c>
      <c r="AP22" s="437">
        <f>'Inputs by customer type'!AP75</f>
        <v>44791.95</v>
      </c>
    </row>
    <row r="23" spans="5:42" x14ac:dyDescent="0.25">
      <c r="E23" s="161"/>
      <c r="F23" s="168" t="s">
        <v>559</v>
      </c>
      <c r="G23" s="168" t="s">
        <v>401</v>
      </c>
      <c r="H23" s="168"/>
      <c r="I23" s="168"/>
      <c r="J23" s="404"/>
      <c r="K23" s="404"/>
      <c r="L23" s="404"/>
      <c r="M23" s="404"/>
      <c r="N23" s="404"/>
      <c r="O23" s="404"/>
      <c r="P23" s="404"/>
      <c r="Q23" s="404"/>
      <c r="R23" s="404"/>
      <c r="S23" s="404"/>
      <c r="T23" s="404"/>
      <c r="U23" s="404"/>
      <c r="V23" s="404"/>
      <c r="W23" s="404"/>
      <c r="X23" s="440">
        <f>'Inputs by customer type'!X77</f>
        <v>741.76333</v>
      </c>
      <c r="Y23" s="440">
        <f>'Inputs by customer type'!Y77</f>
        <v>741.76333</v>
      </c>
      <c r="Z23" s="440">
        <f>'Inputs by customer type'!Z77</f>
        <v>741.76333</v>
      </c>
      <c r="AA23" s="440">
        <f>'Inputs by customer type'!AA77</f>
        <v>741.76333</v>
      </c>
      <c r="AB23" s="440">
        <f>'Inputs by customer type'!AB77</f>
        <v>741.76333</v>
      </c>
      <c r="AC23" s="404"/>
      <c r="AD23" s="404"/>
      <c r="AE23" s="404"/>
      <c r="AF23" s="404"/>
      <c r="AG23" s="404"/>
      <c r="AH23" s="404"/>
      <c r="AI23" s="404"/>
      <c r="AJ23" s="404"/>
      <c r="AK23" s="404"/>
      <c r="AL23" s="404"/>
      <c r="AM23" s="404"/>
      <c r="AN23" s="404"/>
      <c r="AO23" s="404"/>
      <c r="AP23" s="404"/>
    </row>
    <row r="24" spans="5:42" x14ac:dyDescent="0.25">
      <c r="J24" s="416"/>
      <c r="K24" s="416"/>
      <c r="L24" s="416"/>
      <c r="M24" s="416"/>
      <c r="N24" s="416"/>
      <c r="O24" s="416"/>
      <c r="P24" s="416"/>
      <c r="Q24" s="416"/>
      <c r="R24" s="416"/>
      <c r="S24" s="416"/>
      <c r="T24" s="416"/>
      <c r="U24" s="416"/>
      <c r="V24" s="416"/>
      <c r="W24" s="416"/>
      <c r="X24" s="416"/>
      <c r="Y24" s="416"/>
      <c r="Z24" s="416"/>
      <c r="AA24" s="416"/>
      <c r="AB24" s="416"/>
      <c r="AC24" s="416"/>
      <c r="AD24" s="416"/>
      <c r="AE24" s="416"/>
      <c r="AF24" s="416"/>
      <c r="AG24" s="416"/>
      <c r="AH24" s="416"/>
      <c r="AI24" s="416"/>
      <c r="AJ24" s="416"/>
      <c r="AK24" s="416"/>
      <c r="AL24" s="416"/>
      <c r="AM24" s="416"/>
      <c r="AN24" s="416"/>
      <c r="AO24" s="416"/>
      <c r="AP24" s="416"/>
    </row>
    <row r="25" spans="5:42" x14ac:dyDescent="0.25">
      <c r="E25" s="161" t="s">
        <v>861</v>
      </c>
      <c r="J25" s="416"/>
      <c r="K25" s="416"/>
      <c r="L25" s="416"/>
      <c r="M25" s="416"/>
      <c r="N25" s="416"/>
      <c r="O25" s="416"/>
      <c r="P25" s="416"/>
      <c r="Q25" s="416"/>
      <c r="R25" s="416"/>
      <c r="S25" s="416"/>
      <c r="T25" s="416"/>
      <c r="U25" s="416"/>
      <c r="V25" s="416"/>
      <c r="W25" s="416"/>
      <c r="X25" s="416"/>
      <c r="Y25" s="416"/>
      <c r="Z25" s="416"/>
      <c r="AA25" s="416"/>
      <c r="AB25" s="416"/>
      <c r="AC25" s="416"/>
      <c r="AD25" s="416"/>
      <c r="AE25" s="416"/>
      <c r="AF25" s="416"/>
      <c r="AG25" s="416"/>
      <c r="AH25" s="416"/>
      <c r="AI25" s="416"/>
      <c r="AJ25" s="416"/>
      <c r="AK25" s="416"/>
      <c r="AL25" s="416"/>
      <c r="AM25" s="416"/>
      <c r="AN25" s="416"/>
      <c r="AO25" s="416"/>
      <c r="AP25" s="416"/>
    </row>
    <row r="26" spans="5:42" x14ac:dyDescent="0.25">
      <c r="E26" s="152" t="s">
        <v>865</v>
      </c>
      <c r="J26" s="416"/>
      <c r="K26" s="416"/>
      <c r="L26" s="416"/>
      <c r="M26" s="416"/>
      <c r="N26" s="416"/>
      <c r="O26" s="416"/>
      <c r="P26" s="416"/>
      <c r="Q26" s="416"/>
      <c r="R26" s="416"/>
      <c r="S26" s="416"/>
      <c r="T26" s="416"/>
      <c r="U26" s="416"/>
      <c r="V26" s="416"/>
      <c r="W26" s="416"/>
      <c r="X26" s="416"/>
      <c r="Y26" s="416"/>
      <c r="Z26" s="416"/>
      <c r="AA26" s="416"/>
      <c r="AB26" s="416"/>
      <c r="AC26" s="416"/>
      <c r="AD26" s="416"/>
      <c r="AE26" s="416"/>
      <c r="AF26" s="416"/>
      <c r="AG26" s="416"/>
      <c r="AH26" s="416"/>
      <c r="AI26" s="416"/>
      <c r="AJ26" s="416"/>
      <c r="AK26" s="416"/>
      <c r="AL26" s="416"/>
      <c r="AM26" s="416"/>
      <c r="AN26" s="416"/>
      <c r="AO26" s="416"/>
      <c r="AP26" s="416"/>
    </row>
    <row r="27" spans="5:42" x14ac:dyDescent="0.25">
      <c r="F27" s="180" t="s">
        <v>141</v>
      </c>
      <c r="G27" s="166" t="s">
        <v>124</v>
      </c>
      <c r="H27" s="141"/>
      <c r="I27" s="166"/>
      <c r="J27" s="431">
        <f t="shared" ref="J27:AP27" si="0">J21 * J$16</f>
        <v>1185918436.3062873</v>
      </c>
      <c r="K27" s="431">
        <f t="shared" si="0"/>
        <v>112923646.65056047</v>
      </c>
      <c r="L27" s="431">
        <f t="shared" si="0"/>
        <v>0</v>
      </c>
      <c r="M27" s="431">
        <f t="shared" si="0"/>
        <v>150890181.69962591</v>
      </c>
      <c r="N27" s="431">
        <f t="shared" si="0"/>
        <v>23869018.795444749</v>
      </c>
      <c r="O27" s="431">
        <f t="shared" si="0"/>
        <v>0</v>
      </c>
      <c r="P27" s="431">
        <f t="shared" si="0"/>
        <v>4229079.0385110844</v>
      </c>
      <c r="Q27" s="431">
        <f t="shared" si="0"/>
        <v>0</v>
      </c>
      <c r="R27" s="431">
        <f t="shared" si="0"/>
        <v>0</v>
      </c>
      <c r="S27" s="431">
        <f t="shared" si="0"/>
        <v>4360410.7249046378</v>
      </c>
      <c r="T27" s="431">
        <f t="shared" si="0"/>
        <v>2934322.6522961538</v>
      </c>
      <c r="U27" s="431">
        <f t="shared" si="0"/>
        <v>66778171.941461317</v>
      </c>
      <c r="V27" s="431">
        <f t="shared" si="0"/>
        <v>1626810.8498687504</v>
      </c>
      <c r="W27" s="431">
        <f t="shared" si="0"/>
        <v>0</v>
      </c>
      <c r="X27" s="431">
        <f t="shared" si="0"/>
        <v>0</v>
      </c>
      <c r="Y27" s="431">
        <f t="shared" si="0"/>
        <v>0</v>
      </c>
      <c r="Z27" s="431">
        <f t="shared" si="0"/>
        <v>0</v>
      </c>
      <c r="AA27" s="431">
        <f t="shared" si="0"/>
        <v>0</v>
      </c>
      <c r="AB27" s="431">
        <f t="shared" si="0"/>
        <v>0</v>
      </c>
      <c r="AC27" s="431">
        <f t="shared" si="0"/>
        <v>0</v>
      </c>
      <c r="AD27" s="431">
        <f t="shared" si="0"/>
        <v>0</v>
      </c>
      <c r="AE27" s="431">
        <f t="shared" si="0"/>
        <v>0</v>
      </c>
      <c r="AF27" s="431">
        <f t="shared" si="0"/>
        <v>0</v>
      </c>
      <c r="AG27" s="431">
        <f t="shared" si="0"/>
        <v>0</v>
      </c>
      <c r="AH27" s="431">
        <f t="shared" si="0"/>
        <v>0</v>
      </c>
      <c r="AI27" s="431">
        <f t="shared" si="0"/>
        <v>0</v>
      </c>
      <c r="AJ27" s="431">
        <f t="shared" si="0"/>
        <v>0</v>
      </c>
      <c r="AK27" s="431">
        <f t="shared" si="0"/>
        <v>0</v>
      </c>
      <c r="AL27" s="431">
        <f t="shared" si="0"/>
        <v>0</v>
      </c>
      <c r="AM27" s="431">
        <f t="shared" si="0"/>
        <v>0</v>
      </c>
      <c r="AN27" s="431">
        <f t="shared" si="0"/>
        <v>0</v>
      </c>
      <c r="AO27" s="431">
        <f t="shared" si="0"/>
        <v>0</v>
      </c>
      <c r="AP27" s="431">
        <f t="shared" si="0"/>
        <v>0</v>
      </c>
    </row>
    <row r="28" spans="5:42" x14ac:dyDescent="0.25">
      <c r="F28" s="176" t="s">
        <v>140</v>
      </c>
      <c r="G28" s="339" t="s">
        <v>124</v>
      </c>
      <c r="H28" s="170"/>
      <c r="I28" s="339"/>
      <c r="J28" s="428">
        <f t="shared" ref="J28:AP28" si="1">J22 * J$16</f>
        <v>0</v>
      </c>
      <c r="K28" s="428">
        <f t="shared" si="1"/>
        <v>0</v>
      </c>
      <c r="L28" s="428">
        <f t="shared" si="1"/>
        <v>0</v>
      </c>
      <c r="M28" s="428">
        <f t="shared" si="1"/>
        <v>0</v>
      </c>
      <c r="N28" s="428">
        <f t="shared" si="1"/>
        <v>0</v>
      </c>
      <c r="O28" s="428">
        <f t="shared" si="1"/>
        <v>0</v>
      </c>
      <c r="P28" s="428">
        <f t="shared" si="1"/>
        <v>0</v>
      </c>
      <c r="Q28" s="428">
        <f t="shared" si="1"/>
        <v>0</v>
      </c>
      <c r="R28" s="428">
        <f t="shared" si="1"/>
        <v>108752.44</v>
      </c>
      <c r="S28" s="428">
        <f t="shared" si="1"/>
        <v>0</v>
      </c>
      <c r="T28" s="428">
        <f t="shared" si="1"/>
        <v>0</v>
      </c>
      <c r="U28" s="428">
        <f t="shared" si="1"/>
        <v>0</v>
      </c>
      <c r="V28" s="428">
        <f t="shared" si="1"/>
        <v>0</v>
      </c>
      <c r="W28" s="428">
        <f t="shared" si="1"/>
        <v>50667348.476457924</v>
      </c>
      <c r="X28" s="428">
        <f t="shared" si="1"/>
        <v>0</v>
      </c>
      <c r="Y28" s="428">
        <f t="shared" si="1"/>
        <v>0</v>
      </c>
      <c r="Z28" s="428">
        <f t="shared" si="1"/>
        <v>0</v>
      </c>
      <c r="AA28" s="428">
        <f t="shared" si="1"/>
        <v>0</v>
      </c>
      <c r="AB28" s="428">
        <f t="shared" si="1"/>
        <v>0</v>
      </c>
      <c r="AC28" s="428">
        <f t="shared" si="1"/>
        <v>0</v>
      </c>
      <c r="AD28" s="428">
        <f t="shared" si="1"/>
        <v>0</v>
      </c>
      <c r="AE28" s="428">
        <f t="shared" si="1"/>
        <v>0</v>
      </c>
      <c r="AF28" s="428">
        <f t="shared" si="1"/>
        <v>0</v>
      </c>
      <c r="AG28" s="428">
        <f t="shared" si="1"/>
        <v>0</v>
      </c>
      <c r="AH28" s="428">
        <f t="shared" si="1"/>
        <v>0</v>
      </c>
      <c r="AI28" s="428">
        <f t="shared" si="1"/>
        <v>0</v>
      </c>
      <c r="AJ28" s="428">
        <f t="shared" si="1"/>
        <v>0</v>
      </c>
      <c r="AK28" s="428">
        <f t="shared" si="1"/>
        <v>0</v>
      </c>
      <c r="AL28" s="428">
        <f t="shared" si="1"/>
        <v>0</v>
      </c>
      <c r="AM28" s="428">
        <f t="shared" si="1"/>
        <v>7390671.7499999991</v>
      </c>
      <c r="AN28" s="428">
        <f t="shared" si="1"/>
        <v>0</v>
      </c>
      <c r="AO28" s="428">
        <f t="shared" si="1"/>
        <v>5151074.25</v>
      </c>
      <c r="AP28" s="428">
        <f t="shared" si="1"/>
        <v>0</v>
      </c>
    </row>
    <row r="29" spans="5:42" x14ac:dyDescent="0.25">
      <c r="F29" s="168" t="s">
        <v>559</v>
      </c>
      <c r="G29" s="168" t="s">
        <v>124</v>
      </c>
      <c r="H29" s="330"/>
      <c r="I29" s="168"/>
      <c r="J29" s="404"/>
      <c r="K29" s="404"/>
      <c r="L29" s="404"/>
      <c r="M29" s="404"/>
      <c r="N29" s="404"/>
      <c r="O29" s="404"/>
      <c r="P29" s="404"/>
      <c r="Q29" s="404"/>
      <c r="R29" s="404"/>
      <c r="S29" s="404"/>
      <c r="T29" s="404"/>
      <c r="U29" s="404"/>
      <c r="V29" s="404"/>
      <c r="W29" s="404"/>
      <c r="X29" s="432">
        <f>X23 * X$17</f>
        <v>18197407.221746776</v>
      </c>
      <c r="Y29" s="432">
        <f>Y23 * Y$17</f>
        <v>11612084.927159799</v>
      </c>
      <c r="Z29" s="432">
        <f>Z23 * Z$17</f>
        <v>577591.80851267604</v>
      </c>
      <c r="AA29" s="432">
        <f>AA23 * AA$17</f>
        <v>111005.66596765765</v>
      </c>
      <c r="AB29" s="432">
        <f>AB23 * AB$17</f>
        <v>160040765.11678872</v>
      </c>
      <c r="AC29" s="404"/>
      <c r="AD29" s="404"/>
      <c r="AE29" s="404"/>
      <c r="AF29" s="404"/>
      <c r="AG29" s="404"/>
      <c r="AH29" s="404"/>
      <c r="AI29" s="404"/>
      <c r="AJ29" s="404"/>
      <c r="AK29" s="404"/>
      <c r="AL29" s="404"/>
      <c r="AM29" s="404"/>
      <c r="AN29" s="404"/>
      <c r="AO29" s="404"/>
      <c r="AP29" s="404"/>
    </row>
    <row r="30" spans="5:42" x14ac:dyDescent="0.25">
      <c r="J30" s="416"/>
      <c r="K30" s="416"/>
      <c r="L30" s="416"/>
      <c r="M30" s="416"/>
      <c r="N30" s="416"/>
      <c r="O30" s="416"/>
      <c r="P30" s="416"/>
      <c r="Q30" s="416"/>
      <c r="R30" s="416"/>
      <c r="S30" s="416"/>
      <c r="T30" s="416"/>
      <c r="U30" s="416"/>
      <c r="V30" s="416"/>
      <c r="W30" s="416"/>
      <c r="X30" s="416"/>
      <c r="Y30" s="416"/>
      <c r="Z30" s="416"/>
      <c r="AA30" s="416"/>
      <c r="AB30" s="416"/>
      <c r="AC30" s="416"/>
      <c r="AD30" s="416"/>
      <c r="AE30" s="416"/>
      <c r="AF30" s="416"/>
      <c r="AG30" s="416"/>
      <c r="AH30" s="416"/>
      <c r="AI30" s="416"/>
      <c r="AJ30" s="416"/>
      <c r="AK30" s="416"/>
      <c r="AL30" s="416"/>
      <c r="AM30" s="416"/>
      <c r="AN30" s="416"/>
      <c r="AO30" s="416"/>
      <c r="AP30" s="416"/>
    </row>
    <row r="31" spans="5:42" s="474" customFormat="1" x14ac:dyDescent="0.25">
      <c r="E31" s="161" t="s">
        <v>1015</v>
      </c>
      <c r="J31" s="416"/>
      <c r="K31" s="416"/>
      <c r="L31" s="416"/>
      <c r="M31" s="416"/>
      <c r="N31" s="416"/>
      <c r="O31" s="416"/>
      <c r="P31" s="416"/>
      <c r="Q31" s="416"/>
      <c r="R31" s="416"/>
      <c r="S31" s="416"/>
      <c r="T31" s="416"/>
      <c r="U31" s="416"/>
      <c r="V31" s="416"/>
      <c r="W31" s="416"/>
      <c r="X31" s="416"/>
      <c r="Y31" s="416"/>
      <c r="Z31" s="416"/>
      <c r="AA31" s="416"/>
      <c r="AB31" s="416"/>
      <c r="AC31" s="416"/>
      <c r="AD31" s="416"/>
      <c r="AE31" s="416"/>
      <c r="AF31" s="416"/>
      <c r="AG31" s="416"/>
      <c r="AH31" s="416"/>
      <c r="AI31" s="416"/>
      <c r="AJ31" s="416"/>
      <c r="AK31" s="416"/>
      <c r="AL31" s="416"/>
      <c r="AM31" s="416"/>
      <c r="AN31" s="416"/>
      <c r="AO31" s="416"/>
      <c r="AP31" s="416"/>
    </row>
    <row r="32" spans="5:42" x14ac:dyDescent="0.25">
      <c r="E32" s="152" t="s">
        <v>864</v>
      </c>
      <c r="H32" s="86" t="s">
        <v>345</v>
      </c>
      <c r="J32" s="416"/>
      <c r="K32" s="416"/>
      <c r="L32" s="416"/>
      <c r="M32" s="416"/>
      <c r="N32" s="416"/>
      <c r="O32" s="416"/>
      <c r="P32" s="416"/>
      <c r="Q32" s="416"/>
      <c r="R32" s="416"/>
      <c r="S32" s="416"/>
      <c r="T32" s="416"/>
      <c r="U32" s="416"/>
      <c r="V32" s="416"/>
      <c r="W32" s="416"/>
      <c r="X32" s="416"/>
      <c r="Y32" s="416"/>
      <c r="Z32" s="416"/>
      <c r="AA32" s="416"/>
      <c r="AB32" s="416"/>
      <c r="AC32" s="416"/>
      <c r="AD32" s="416"/>
      <c r="AE32" s="416"/>
      <c r="AF32" s="416"/>
      <c r="AG32" s="416"/>
      <c r="AH32" s="416"/>
      <c r="AI32" s="416"/>
      <c r="AJ32" s="416"/>
      <c r="AK32" s="416"/>
      <c r="AL32" s="416"/>
      <c r="AM32" s="416"/>
      <c r="AN32" s="416"/>
      <c r="AO32" s="416"/>
      <c r="AP32" s="416"/>
    </row>
    <row r="33" spans="2:60" x14ac:dyDescent="0.25">
      <c r="F33" s="166" t="s">
        <v>862</v>
      </c>
      <c r="G33" s="166"/>
      <c r="H33" s="418">
        <f>SUM(J33:AP33)</f>
        <v>1744068933.3991356</v>
      </c>
      <c r="I33" s="166"/>
      <c r="J33" s="443">
        <f t="shared" ref="J33:AP33" si="2">J27 +J29</f>
        <v>1185918436.3062873</v>
      </c>
      <c r="K33" s="443">
        <f t="shared" si="2"/>
        <v>112923646.65056047</v>
      </c>
      <c r="L33" s="443">
        <f t="shared" si="2"/>
        <v>0</v>
      </c>
      <c r="M33" s="443">
        <f t="shared" si="2"/>
        <v>150890181.69962591</v>
      </c>
      <c r="N33" s="443">
        <f t="shared" si="2"/>
        <v>23869018.795444749</v>
      </c>
      <c r="O33" s="443">
        <f t="shared" si="2"/>
        <v>0</v>
      </c>
      <c r="P33" s="443">
        <f t="shared" si="2"/>
        <v>4229079.0385110844</v>
      </c>
      <c r="Q33" s="443">
        <f t="shared" si="2"/>
        <v>0</v>
      </c>
      <c r="R33" s="443">
        <f t="shared" si="2"/>
        <v>0</v>
      </c>
      <c r="S33" s="443">
        <f t="shared" si="2"/>
        <v>4360410.7249046378</v>
      </c>
      <c r="T33" s="443">
        <f t="shared" si="2"/>
        <v>2934322.6522961538</v>
      </c>
      <c r="U33" s="443">
        <f t="shared" si="2"/>
        <v>66778171.941461317</v>
      </c>
      <c r="V33" s="443">
        <f t="shared" si="2"/>
        <v>1626810.8498687504</v>
      </c>
      <c r="W33" s="443">
        <f t="shared" si="2"/>
        <v>0</v>
      </c>
      <c r="X33" s="443">
        <f t="shared" si="2"/>
        <v>18197407.221746776</v>
      </c>
      <c r="Y33" s="443">
        <f t="shared" si="2"/>
        <v>11612084.927159799</v>
      </c>
      <c r="Z33" s="443">
        <f t="shared" si="2"/>
        <v>577591.80851267604</v>
      </c>
      <c r="AA33" s="443">
        <f t="shared" si="2"/>
        <v>111005.66596765765</v>
      </c>
      <c r="AB33" s="443">
        <f t="shared" si="2"/>
        <v>160040765.11678872</v>
      </c>
      <c r="AC33" s="443">
        <f t="shared" si="2"/>
        <v>0</v>
      </c>
      <c r="AD33" s="443">
        <f t="shared" si="2"/>
        <v>0</v>
      </c>
      <c r="AE33" s="443">
        <f t="shared" si="2"/>
        <v>0</v>
      </c>
      <c r="AF33" s="443">
        <f t="shared" si="2"/>
        <v>0</v>
      </c>
      <c r="AG33" s="443">
        <f t="shared" si="2"/>
        <v>0</v>
      </c>
      <c r="AH33" s="443">
        <f t="shared" si="2"/>
        <v>0</v>
      </c>
      <c r="AI33" s="443">
        <f t="shared" si="2"/>
        <v>0</v>
      </c>
      <c r="AJ33" s="443">
        <f t="shared" si="2"/>
        <v>0</v>
      </c>
      <c r="AK33" s="443">
        <f t="shared" si="2"/>
        <v>0</v>
      </c>
      <c r="AL33" s="443">
        <f t="shared" si="2"/>
        <v>0</v>
      </c>
      <c r="AM33" s="443">
        <f t="shared" si="2"/>
        <v>0</v>
      </c>
      <c r="AN33" s="443">
        <f t="shared" si="2"/>
        <v>0</v>
      </c>
      <c r="AO33" s="443">
        <f t="shared" si="2"/>
        <v>0</v>
      </c>
      <c r="AP33" s="443">
        <f t="shared" si="2"/>
        <v>0</v>
      </c>
    </row>
    <row r="34" spans="2:60" x14ac:dyDescent="0.25">
      <c r="F34" s="168" t="s">
        <v>863</v>
      </c>
      <c r="G34" s="168"/>
      <c r="H34" s="422">
        <f>SUM(J34:AP34)</f>
        <v>63317846.916457921</v>
      </c>
      <c r="I34" s="168"/>
      <c r="J34" s="436">
        <f>J28</f>
        <v>0</v>
      </c>
      <c r="K34" s="436">
        <f t="shared" ref="K34:AP34" si="3">K28</f>
        <v>0</v>
      </c>
      <c r="L34" s="436">
        <f t="shared" si="3"/>
        <v>0</v>
      </c>
      <c r="M34" s="436">
        <f t="shared" si="3"/>
        <v>0</v>
      </c>
      <c r="N34" s="436">
        <f t="shared" si="3"/>
        <v>0</v>
      </c>
      <c r="O34" s="436">
        <f t="shared" si="3"/>
        <v>0</v>
      </c>
      <c r="P34" s="436">
        <f t="shared" si="3"/>
        <v>0</v>
      </c>
      <c r="Q34" s="436">
        <f t="shared" si="3"/>
        <v>0</v>
      </c>
      <c r="R34" s="436">
        <f t="shared" si="3"/>
        <v>108752.44</v>
      </c>
      <c r="S34" s="436">
        <f t="shared" si="3"/>
        <v>0</v>
      </c>
      <c r="T34" s="436">
        <f t="shared" si="3"/>
        <v>0</v>
      </c>
      <c r="U34" s="436">
        <f t="shared" si="3"/>
        <v>0</v>
      </c>
      <c r="V34" s="436">
        <f t="shared" si="3"/>
        <v>0</v>
      </c>
      <c r="W34" s="436">
        <f t="shared" si="3"/>
        <v>50667348.476457924</v>
      </c>
      <c r="X34" s="436">
        <f t="shared" si="3"/>
        <v>0</v>
      </c>
      <c r="Y34" s="436">
        <f t="shared" si="3"/>
        <v>0</v>
      </c>
      <c r="Z34" s="436">
        <f t="shared" si="3"/>
        <v>0</v>
      </c>
      <c r="AA34" s="436">
        <f t="shared" si="3"/>
        <v>0</v>
      </c>
      <c r="AB34" s="436">
        <f t="shared" si="3"/>
        <v>0</v>
      </c>
      <c r="AC34" s="436">
        <f t="shared" si="3"/>
        <v>0</v>
      </c>
      <c r="AD34" s="436">
        <f t="shared" si="3"/>
        <v>0</v>
      </c>
      <c r="AE34" s="436">
        <f t="shared" si="3"/>
        <v>0</v>
      </c>
      <c r="AF34" s="436">
        <f t="shared" si="3"/>
        <v>0</v>
      </c>
      <c r="AG34" s="436">
        <f t="shared" si="3"/>
        <v>0</v>
      </c>
      <c r="AH34" s="436">
        <f t="shared" si="3"/>
        <v>0</v>
      </c>
      <c r="AI34" s="436">
        <f t="shared" si="3"/>
        <v>0</v>
      </c>
      <c r="AJ34" s="436">
        <f t="shared" si="3"/>
        <v>0</v>
      </c>
      <c r="AK34" s="436">
        <f t="shared" si="3"/>
        <v>0</v>
      </c>
      <c r="AL34" s="436">
        <f t="shared" si="3"/>
        <v>0</v>
      </c>
      <c r="AM34" s="436">
        <f t="shared" si="3"/>
        <v>7390671.7499999991</v>
      </c>
      <c r="AN34" s="436">
        <f t="shared" si="3"/>
        <v>0</v>
      </c>
      <c r="AO34" s="436">
        <f t="shared" si="3"/>
        <v>5151074.25</v>
      </c>
      <c r="AP34" s="436">
        <f t="shared" si="3"/>
        <v>0</v>
      </c>
    </row>
    <row r="36" spans="2:60" x14ac:dyDescent="0.25">
      <c r="B36" s="171" t="s">
        <v>126</v>
      </c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1"/>
      <c r="U36" s="171"/>
      <c r="V36" s="171"/>
      <c r="W36" s="171"/>
      <c r="X36" s="171"/>
      <c r="Y36" s="171"/>
      <c r="Z36" s="171"/>
      <c r="AA36" s="171"/>
      <c r="AB36" s="171"/>
      <c r="AC36" s="171"/>
      <c r="AD36" s="171"/>
      <c r="AE36" s="171"/>
      <c r="AF36" s="171"/>
      <c r="AG36" s="171"/>
      <c r="AH36" s="171"/>
      <c r="AI36" s="171"/>
      <c r="AJ36" s="171"/>
      <c r="AK36" s="171"/>
      <c r="AL36" s="171"/>
      <c r="AM36" s="171"/>
      <c r="AN36" s="171"/>
      <c r="AO36" s="171"/>
      <c r="AP36" s="171"/>
      <c r="AQ36" s="171"/>
      <c r="AR36" s="171"/>
      <c r="AT36" s="171"/>
      <c r="AU36" s="171"/>
      <c r="AV36" s="171"/>
      <c r="AW36" s="171"/>
      <c r="AX36" s="171"/>
      <c r="AY36" s="171"/>
      <c r="AZ36" s="171"/>
      <c r="BA36" s="171"/>
      <c r="BB36" s="171"/>
      <c r="BC36" s="171"/>
      <c r="BD36" s="171"/>
      <c r="BE36" s="171"/>
      <c r="BF36" s="171"/>
      <c r="BH36" s="171"/>
    </row>
    <row r="38" spans="2:60" x14ac:dyDescent="0.25">
      <c r="E38" s="338" t="s">
        <v>622</v>
      </c>
      <c r="G38" s="111" t="s">
        <v>814</v>
      </c>
      <c r="H38" s="362">
        <f t="array" ref="H38">SUM(IF(ISERROR(H16:AP35), 1))</f>
        <v>0</v>
      </c>
    </row>
    <row r="40" spans="2:60" x14ac:dyDescent="0.25">
      <c r="B40" s="171" t="s">
        <v>127</v>
      </c>
      <c r="C40" s="171"/>
      <c r="D40" s="171"/>
      <c r="E40" s="171"/>
      <c r="F40" s="171"/>
      <c r="G40" s="171"/>
      <c r="H40" s="171"/>
      <c r="I40" s="171"/>
      <c r="J40" s="171"/>
      <c r="K40" s="171"/>
      <c r="L40" s="171"/>
      <c r="M40" s="171"/>
      <c r="N40" s="171"/>
      <c r="O40" s="171"/>
      <c r="P40" s="171"/>
      <c r="Q40" s="171"/>
      <c r="R40" s="171"/>
      <c r="S40" s="171"/>
      <c r="T40" s="171"/>
      <c r="U40" s="171"/>
      <c r="V40" s="171"/>
      <c r="W40" s="171"/>
      <c r="X40" s="171"/>
      <c r="Y40" s="171"/>
      <c r="Z40" s="171"/>
      <c r="AA40" s="171"/>
      <c r="AB40" s="171"/>
      <c r="AC40" s="171"/>
      <c r="AD40" s="171"/>
      <c r="AE40" s="171"/>
      <c r="AF40" s="171"/>
      <c r="AG40" s="171"/>
      <c r="AH40" s="171"/>
      <c r="AI40" s="171"/>
      <c r="AJ40" s="171"/>
      <c r="AK40" s="171"/>
      <c r="AL40" s="171"/>
      <c r="AM40" s="171"/>
      <c r="AN40" s="171"/>
      <c r="AO40" s="171"/>
      <c r="AP40" s="171"/>
      <c r="AQ40" s="171"/>
      <c r="AR40" s="171"/>
      <c r="AT40" s="171"/>
      <c r="AU40" s="171"/>
      <c r="AV40" s="171"/>
      <c r="AW40" s="171"/>
      <c r="AX40" s="171"/>
      <c r="AY40" s="171"/>
      <c r="AZ40" s="171"/>
      <c r="BA40" s="171"/>
      <c r="BB40" s="171"/>
      <c r="BC40" s="171"/>
      <c r="BD40" s="171"/>
      <c r="BE40" s="171"/>
      <c r="BF40" s="171"/>
      <c r="BH40" s="171"/>
    </row>
  </sheetData>
  <sheetProtection sheet="1" objects="1" formatCells="0" formatColumns="0" formatRows="0" sort="0" autoFilter="0"/>
  <conditionalFormatting sqref="H38">
    <cfRule type="cellIs" dxfId="39" priority="9" operator="greaterThan">
      <formula>0</formula>
    </cfRule>
  </conditionalFormatting>
  <conditionalFormatting sqref="A4:XFD4">
    <cfRule type="expression" dxfId="38" priority="1">
      <formula>LEFT($A$4,1) &lt;&gt; "0"</formula>
    </cfRule>
  </conditionalFormatting>
  <dataValidations count="2">
    <dataValidation type="decimal" operator="greaterThanOrEqual" allowBlank="1" showInputMessage="1" showErrorMessage="1" errorTitle="Invalid volume data" error="Invalid volume data (negative number or unused cell)." sqref="J21:AP23 J16:AP17 J29:W29 AC29:AP29">
      <formula1>0</formula1>
    </dataValidation>
    <dataValidation type="textLength" operator="equal" allowBlank="1" showInputMessage="1" showErrorMessage="1" error="This cell is not in use." sqref="AP23 AP29">
      <formula1>0</formula1>
    </dataValidation>
  </dataValidations>
  <hyperlinks>
    <hyperlink ref="B5:F5" location="'Model map'!A1" display="Click here to return to model map"/>
  </hyperlinks>
  <pageMargins left="0.7" right="0.7" top="0.75" bottom="0.75" header="0.3" footer="0.3"/>
  <pageSetup paperSize="9" fitToHeight="0" orientation="portrait" r:id="rId1"/>
  <headerFooter>
    <oddHeader>&amp;L&amp;A&amp;C&amp;R&amp;P of &amp;N</oddHeader>
    <oddFooter>&amp;F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4" tint="0.59999389629810485"/>
    <pageSetUpPr fitToPage="1"/>
  </sheetPr>
  <dimension ref="A1:JF133"/>
  <sheetViews>
    <sheetView showGridLines="0" zoomScale="80" zoomScaleNormal="80" workbookViewId="0">
      <pane xSplit="9" ySplit="5" topLeftCell="J6" activePane="bottomRight" state="frozen"/>
      <selection activeCell="N50" sqref="N50"/>
      <selection pane="topRight" activeCell="N50" sqref="N50"/>
      <selection pane="bottomLeft" activeCell="N50" sqref="N50"/>
      <selection pane="bottomRight" activeCell="J6" sqref="J6"/>
    </sheetView>
  </sheetViews>
  <sheetFormatPr defaultColWidth="0" defaultRowHeight="15" x14ac:dyDescent="0.25"/>
  <cols>
    <col min="1" max="4" width="2.7109375" style="131" customWidth="1"/>
    <col min="5" max="5" width="2.7109375" style="160" customWidth="1"/>
    <col min="6" max="6" width="59.5703125" style="131" customWidth="1"/>
    <col min="7" max="8" width="20.7109375" style="131" customWidth="1"/>
    <col min="9" max="9" width="2.28515625" style="131" customWidth="1"/>
    <col min="10" max="21" width="17" style="131" customWidth="1"/>
    <col min="22" max="22" width="2.28515625" style="131" customWidth="1"/>
    <col min="23" max="23" width="50.7109375" style="131" customWidth="1"/>
    <col min="24" max="24" width="2.28515625" style="131" customWidth="1"/>
    <col min="25" max="42" width="17" style="131" hidden="1" customWidth="1"/>
    <col min="43" max="43" width="2.28515625" style="131" hidden="1" customWidth="1"/>
    <col min="44" max="44" width="18.28515625" style="131" hidden="1" customWidth="1"/>
    <col min="45" max="45" width="4.28515625" style="131" hidden="1" customWidth="1"/>
    <col min="46" max="266" width="24.7109375" style="131" hidden="1" customWidth="1"/>
    <col min="267" max="16384" width="8.85546875" style="131" hidden="1"/>
  </cols>
  <sheetData>
    <row r="1" spans="1:97" s="25" customFormat="1" x14ac:dyDescent="0.25">
      <c r="A1" s="25" t="str">
        <f ca="1">MID(CELL("filename",A1),FIND("]",CELL("filename",A1))+1,255)</f>
        <v>Unit costs</v>
      </c>
    </row>
    <row r="2" spans="1:97" s="25" customFormat="1" x14ac:dyDescent="0.25">
      <c r="A2" s="25" t="str">
        <f>Cover!D21&amp;" - "&amp;Cover!D23</f>
        <v>SEPD - Final</v>
      </c>
    </row>
    <row r="3" spans="1:97" s="97" customFormat="1" x14ac:dyDescent="0.25">
      <c r="A3" s="97" t="str">
        <f>Cover!D2&amp;" - "&amp;Cover!D8&amp;" v"&amp;Cover!D10&amp;" - "&amp;Cover!D19</f>
        <v>ARP model - Release for charge setting v3 - 2020/21</v>
      </c>
    </row>
    <row r="4" spans="1:97" s="338" customFormat="1" x14ac:dyDescent="0.25">
      <c r="A4" s="392" t="str">
        <f>H131 &amp; IF(H131 = 1, " issue", " issues") &amp;" identified in checks on this sheet"</f>
        <v>0 issues identified in checks on this sheet</v>
      </c>
      <c r="B4" s="393"/>
      <c r="C4" s="393"/>
      <c r="D4" s="393"/>
      <c r="E4" s="393"/>
      <c r="F4" s="393"/>
      <c r="G4" s="393"/>
      <c r="H4" s="394"/>
      <c r="I4" s="394"/>
      <c r="J4" s="393"/>
      <c r="K4" s="383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3"/>
      <c r="AD4" s="383"/>
      <c r="AE4" s="383"/>
      <c r="AF4" s="383"/>
      <c r="AG4" s="383"/>
      <c r="AH4" s="383"/>
      <c r="AI4" s="383"/>
      <c r="AJ4" s="383"/>
      <c r="AK4" s="383"/>
      <c r="AL4" s="383"/>
      <c r="AM4" s="383"/>
      <c r="AN4" s="383"/>
      <c r="AO4" s="383"/>
      <c r="AP4" s="383"/>
      <c r="AQ4" s="383"/>
      <c r="AR4" s="383"/>
      <c r="AS4" s="383"/>
      <c r="AT4" s="383"/>
      <c r="AU4" s="383"/>
      <c r="AV4" s="383"/>
      <c r="AW4" s="383"/>
      <c r="AX4" s="383"/>
      <c r="AY4" s="383"/>
      <c r="AZ4" s="383"/>
      <c r="BA4" s="383"/>
      <c r="BB4" s="383"/>
      <c r="BC4" s="383"/>
      <c r="BD4" s="383"/>
      <c r="BE4" s="383"/>
      <c r="BF4" s="383"/>
      <c r="BG4" s="383"/>
      <c r="BH4" s="383"/>
      <c r="BI4" s="383"/>
      <c r="BJ4" s="383"/>
      <c r="BK4" s="383"/>
      <c r="BL4" s="383"/>
      <c r="BM4" s="383"/>
      <c r="BN4" s="383"/>
      <c r="BO4" s="383"/>
      <c r="BP4" s="383"/>
      <c r="BQ4" s="383"/>
      <c r="BR4" s="383"/>
      <c r="BS4" s="383"/>
      <c r="BT4" s="383"/>
      <c r="BU4" s="383"/>
      <c r="BV4" s="383"/>
      <c r="BW4" s="383"/>
      <c r="BX4" s="383"/>
      <c r="BY4" s="383"/>
      <c r="BZ4" s="383"/>
      <c r="CA4" s="383"/>
      <c r="CB4" s="383"/>
      <c r="CC4" s="383"/>
      <c r="CD4" s="383"/>
      <c r="CE4" s="383"/>
      <c r="CF4" s="383"/>
      <c r="CG4" s="383"/>
      <c r="CH4" s="383"/>
      <c r="CI4" s="383"/>
      <c r="CJ4" s="383"/>
      <c r="CK4" s="383"/>
      <c r="CL4" s="383"/>
      <c r="CM4" s="383"/>
      <c r="CN4" s="383"/>
      <c r="CO4" s="383"/>
      <c r="CP4" s="383"/>
      <c r="CQ4" s="383"/>
      <c r="CR4" s="383"/>
      <c r="CS4" s="383"/>
    </row>
    <row r="5" spans="1:97" x14ac:dyDescent="0.25">
      <c r="B5" s="244" t="s">
        <v>667</v>
      </c>
      <c r="C5" s="24"/>
      <c r="D5" s="24"/>
      <c r="E5" s="24"/>
      <c r="F5" s="24"/>
      <c r="G5" s="1" t="s">
        <v>108</v>
      </c>
      <c r="H5" s="2" t="s">
        <v>109</v>
      </c>
      <c r="I5" s="10"/>
      <c r="J5" s="23" t="s">
        <v>397</v>
      </c>
      <c r="K5" s="26" t="s">
        <v>43</v>
      </c>
      <c r="L5" s="26" t="s">
        <v>44</v>
      </c>
      <c r="M5" s="26" t="s">
        <v>45</v>
      </c>
      <c r="N5" s="26" t="s">
        <v>46</v>
      </c>
      <c r="O5" s="26" t="s">
        <v>47</v>
      </c>
      <c r="P5" s="26" t="s">
        <v>51</v>
      </c>
      <c r="Q5" s="26" t="s">
        <v>48</v>
      </c>
      <c r="R5" s="26" t="s">
        <v>49</v>
      </c>
      <c r="S5" s="26" t="s">
        <v>50</v>
      </c>
      <c r="T5" s="26" t="s">
        <v>141</v>
      </c>
      <c r="U5" s="26" t="s">
        <v>140</v>
      </c>
      <c r="W5" s="24" t="s">
        <v>110</v>
      </c>
    </row>
    <row r="6" spans="1:97" x14ac:dyDescent="0.25"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W6" s="136"/>
    </row>
    <row r="7" spans="1:97" x14ac:dyDescent="0.25">
      <c r="B7" s="34" t="s">
        <v>107</v>
      </c>
      <c r="C7" s="34"/>
      <c r="D7" s="34"/>
      <c r="E7" s="171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171"/>
      <c r="W7" s="171"/>
    </row>
    <row r="9" spans="1:97" x14ac:dyDescent="0.25">
      <c r="C9" s="152" t="s">
        <v>586</v>
      </c>
      <c r="D9" s="152"/>
    </row>
    <row r="10" spans="1:97" s="160" customFormat="1" x14ac:dyDescent="0.25">
      <c r="C10" s="152" t="s">
        <v>1179</v>
      </c>
      <c r="D10" s="152"/>
    </row>
    <row r="11" spans="1:97" x14ac:dyDescent="0.25">
      <c r="C11" s="152"/>
      <c r="D11" s="152" t="s">
        <v>930</v>
      </c>
    </row>
    <row r="12" spans="1:97" s="160" customFormat="1" x14ac:dyDescent="0.25">
      <c r="C12" s="152"/>
      <c r="D12" s="152" t="s">
        <v>524</v>
      </c>
    </row>
    <row r="13" spans="1:97" x14ac:dyDescent="0.25">
      <c r="C13" s="152" t="s">
        <v>971</v>
      </c>
      <c r="D13" s="152"/>
    </row>
    <row r="15" spans="1:97" x14ac:dyDescent="0.25">
      <c r="B15" s="34" t="s">
        <v>1185</v>
      </c>
      <c r="C15" s="34"/>
      <c r="D15" s="34"/>
      <c r="E15" s="171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171"/>
      <c r="W15" s="171"/>
    </row>
    <row r="16" spans="1:97" s="160" customFormat="1" x14ac:dyDescent="0.25"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  <c r="S16" s="163"/>
      <c r="T16" s="163"/>
      <c r="U16" s="163"/>
      <c r="W16" s="163"/>
    </row>
    <row r="17" spans="3:25" x14ac:dyDescent="0.25">
      <c r="C17" s="152" t="s">
        <v>1186</v>
      </c>
    </row>
    <row r="18" spans="3:25" s="338" customFormat="1" x14ac:dyDescent="0.25">
      <c r="H18" s="163"/>
      <c r="I18" s="163"/>
      <c r="J18" s="163"/>
      <c r="K18" s="163"/>
      <c r="L18" s="163"/>
      <c r="M18" s="163"/>
      <c r="N18" s="163"/>
      <c r="O18" s="163"/>
      <c r="P18" s="163"/>
      <c r="Q18" s="163"/>
      <c r="R18" s="163"/>
      <c r="S18" s="163"/>
      <c r="T18" s="163"/>
      <c r="U18" s="163"/>
      <c r="W18" s="163"/>
    </row>
    <row r="19" spans="3:25" x14ac:dyDescent="0.25">
      <c r="C19" s="22" t="str">
        <f ca="1">INDEX('Version control'!$H$34:$H$59,MATCH($A$1,'Version control'!$F$34:$F$59,0),1)&amp;"-A: Financial data"</f>
        <v>Section 511-A: Financial data</v>
      </c>
      <c r="D19" s="22"/>
      <c r="E19" s="22"/>
      <c r="F19" s="22"/>
      <c r="G19" s="22"/>
      <c r="H19" s="389"/>
      <c r="I19" s="389"/>
      <c r="J19" s="389"/>
      <c r="K19" s="389"/>
      <c r="L19" s="389"/>
      <c r="M19" s="389"/>
      <c r="N19" s="389"/>
      <c r="O19" s="389"/>
      <c r="P19" s="389"/>
      <c r="Q19" s="389"/>
      <c r="R19" s="389"/>
      <c r="S19" s="389"/>
      <c r="T19" s="389"/>
      <c r="U19" s="389"/>
      <c r="V19" s="22"/>
      <c r="W19" s="389"/>
    </row>
    <row r="20" spans="3:25" x14ac:dyDescent="0.25">
      <c r="H20" s="136"/>
    </row>
    <row r="21" spans="3:25" x14ac:dyDescent="0.25">
      <c r="D21" s="152" t="s">
        <v>526</v>
      </c>
      <c r="I21" s="136" t="s">
        <v>525</v>
      </c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W21" s="136" t="s">
        <v>944</v>
      </c>
    </row>
    <row r="22" spans="3:25" s="338" customFormat="1" x14ac:dyDescent="0.25">
      <c r="D22" s="152"/>
    </row>
    <row r="23" spans="3:25" x14ac:dyDescent="0.25">
      <c r="D23" s="44"/>
      <c r="E23" s="145" t="s">
        <v>846</v>
      </c>
      <c r="G23" s="145" t="s">
        <v>111</v>
      </c>
      <c r="H23" s="198">
        <f>'General inputs'!H92</f>
        <v>3.7900000000000003E-2</v>
      </c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</row>
    <row r="24" spans="3:25" x14ac:dyDescent="0.25">
      <c r="D24" s="132"/>
      <c r="E24" s="145" t="s">
        <v>112</v>
      </c>
      <c r="G24" s="145" t="s">
        <v>113</v>
      </c>
      <c r="H24" s="206">
        <f>'Fixed inputs'!H35</f>
        <v>40</v>
      </c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W24" s="136"/>
    </row>
    <row r="25" spans="3:25" x14ac:dyDescent="0.25">
      <c r="E25" s="145" t="s">
        <v>114</v>
      </c>
      <c r="G25" s="145" t="s">
        <v>111</v>
      </c>
      <c r="H25" s="324">
        <f>H23 / (1 - (1 + H23) ^ -H24)</f>
        <v>4.8955586267809562E-2</v>
      </c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W25" s="136"/>
    </row>
    <row r="26" spans="3:25" s="338" customFormat="1" x14ac:dyDescent="0.25"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3"/>
      <c r="T26" s="163"/>
      <c r="U26" s="163"/>
      <c r="W26" s="163"/>
    </row>
    <row r="27" spans="3:25" s="338" customFormat="1" x14ac:dyDescent="0.25">
      <c r="C27" s="22" t="str">
        <f ca="1">INDEX('Version control'!$H$34:$H$59,MATCH($A$1,'Version control'!$F$34:$F$59,0),1)&amp;"-B: Diversity and loss adjustment factors"</f>
        <v>Section 511-B: Diversity and loss adjustment factors</v>
      </c>
      <c r="D27" s="22"/>
      <c r="E27" s="22"/>
      <c r="F27" s="22"/>
      <c r="G27" s="22"/>
      <c r="H27" s="389"/>
      <c r="I27" s="389"/>
      <c r="J27" s="389"/>
      <c r="K27" s="389"/>
      <c r="L27" s="389"/>
      <c r="M27" s="389"/>
      <c r="N27" s="389"/>
      <c r="O27" s="389"/>
      <c r="P27" s="389"/>
      <c r="Q27" s="389"/>
      <c r="R27" s="389"/>
      <c r="S27" s="389"/>
      <c r="T27" s="389"/>
      <c r="U27" s="389"/>
      <c r="V27" s="22"/>
      <c r="W27" s="389"/>
    </row>
    <row r="28" spans="3:25" x14ac:dyDescent="0.25">
      <c r="E28" s="172"/>
      <c r="F28" s="4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</row>
    <row r="29" spans="3:25" x14ac:dyDescent="0.25">
      <c r="D29" s="152" t="s">
        <v>530</v>
      </c>
      <c r="F29" s="4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</row>
    <row r="30" spans="3:25" s="338" customFormat="1" x14ac:dyDescent="0.25">
      <c r="D30" s="152"/>
      <c r="F30" s="162"/>
      <c r="H30" s="163"/>
      <c r="I30" s="163"/>
      <c r="J30" s="163"/>
      <c r="K30" s="163"/>
      <c r="L30" s="163"/>
      <c r="M30" s="163"/>
      <c r="N30" s="163"/>
      <c r="O30" s="163"/>
      <c r="P30" s="163"/>
      <c r="Q30" s="163"/>
      <c r="R30" s="163"/>
      <c r="S30" s="163"/>
      <c r="T30" s="163"/>
      <c r="U30" s="163"/>
    </row>
    <row r="31" spans="3:25" x14ac:dyDescent="0.25">
      <c r="E31" s="160" t="s">
        <v>763</v>
      </c>
      <c r="F31" s="155"/>
      <c r="G31" s="145" t="s">
        <v>116</v>
      </c>
      <c r="H31" s="174"/>
      <c r="I31" s="174"/>
      <c r="J31" s="403"/>
      <c r="K31" s="437">
        <f>'Load &amp; loss characteristics'!K29</f>
        <v>1</v>
      </c>
      <c r="L31" s="437">
        <f>'Load &amp; loss characteristics'!L29</f>
        <v>1.0049999999999999</v>
      </c>
      <c r="M31" s="437">
        <f>'Load &amp; loss characteristics'!M29</f>
        <v>1.008</v>
      </c>
      <c r="N31" s="437">
        <f>'Load &amp; loss characteristics'!N29</f>
        <v>1.016</v>
      </c>
      <c r="O31" s="437">
        <f>'Load &amp; loss characteristics'!O29</f>
        <v>1.0209999999999999</v>
      </c>
      <c r="P31" s="437">
        <f>'Load &amp; loss characteristics'!P29</f>
        <v>1.0209999999999999</v>
      </c>
      <c r="Q31" s="437">
        <f>'Load &amp; loss characteristics'!Q29</f>
        <v>1.0309999999999999</v>
      </c>
      <c r="R31" s="437">
        <f>'Load &amp; loss characteristics'!R29</f>
        <v>1.046</v>
      </c>
      <c r="S31" s="437">
        <f>'Load &amp; loss characteristics'!S29</f>
        <v>1.089</v>
      </c>
      <c r="T31" s="403"/>
      <c r="U31" s="403"/>
    </row>
    <row r="32" spans="3:25" x14ac:dyDescent="0.25">
      <c r="E32" s="160" t="s">
        <v>169</v>
      </c>
      <c r="F32" s="188"/>
      <c r="G32" s="145" t="s">
        <v>111</v>
      </c>
      <c r="H32" s="174"/>
      <c r="I32" s="174"/>
      <c r="J32" s="256"/>
      <c r="K32" s="196">
        <f>'Load &amp; loss characteristics'!$K$23</f>
        <v>2.7451056800206652E-2</v>
      </c>
      <c r="L32" s="257"/>
      <c r="M32" s="257"/>
      <c r="N32" s="257"/>
      <c r="O32" s="257"/>
      <c r="P32" s="256"/>
      <c r="Q32" s="257"/>
      <c r="R32" s="257"/>
      <c r="S32" s="257"/>
      <c r="T32" s="256"/>
      <c r="U32" s="256"/>
      <c r="Y32" s="5"/>
    </row>
    <row r="33" spans="3:25" x14ac:dyDescent="0.25">
      <c r="E33" s="160" t="s">
        <v>168</v>
      </c>
      <c r="F33" s="155"/>
      <c r="G33" s="145" t="s">
        <v>111</v>
      </c>
      <c r="H33" s="174"/>
      <c r="I33" s="174"/>
      <c r="J33" s="81"/>
      <c r="K33" s="324">
        <f xml:space="preserve"> 1 / (1 + K32)</f>
        <v>0.97328237036837784</v>
      </c>
      <c r="L33" s="257"/>
      <c r="M33" s="257"/>
      <c r="N33" s="257"/>
      <c r="O33" s="257"/>
      <c r="P33" s="257"/>
      <c r="Q33" s="257"/>
      <c r="R33" s="257"/>
      <c r="S33" s="257"/>
      <c r="T33" s="256"/>
      <c r="U33" s="256"/>
      <c r="W33" s="136"/>
    </row>
    <row r="34" spans="3:25" s="338" customFormat="1" x14ac:dyDescent="0.25">
      <c r="F34" s="155"/>
      <c r="G34" s="145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</row>
    <row r="35" spans="3:25" s="338" customFormat="1" x14ac:dyDescent="0.25">
      <c r="C35" s="22" t="str">
        <f ca="1">INDEX('Version control'!$H$34:$H$59,MATCH($A$1,'Version control'!$F$34:$F$59,0),1)&amp;"-C: Maximum demand"</f>
        <v>Section 511-C: Maximum demand</v>
      </c>
      <c r="D35" s="22"/>
      <c r="E35" s="22"/>
      <c r="F35" s="22"/>
      <c r="G35" s="22"/>
      <c r="H35" s="389"/>
      <c r="I35" s="389"/>
      <c r="J35" s="389"/>
      <c r="K35" s="389"/>
      <c r="L35" s="389"/>
      <c r="M35" s="389"/>
      <c r="N35" s="389"/>
      <c r="O35" s="389"/>
      <c r="P35" s="389"/>
      <c r="Q35" s="389"/>
      <c r="R35" s="389"/>
      <c r="S35" s="389"/>
      <c r="T35" s="389"/>
      <c r="U35" s="389"/>
      <c r="V35" s="22"/>
      <c r="W35" s="389"/>
    </row>
    <row r="36" spans="3:25" x14ac:dyDescent="0.25">
      <c r="E36" s="172"/>
      <c r="F36" s="4"/>
      <c r="H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</row>
    <row r="37" spans="3:25" x14ac:dyDescent="0.25">
      <c r="D37" s="152" t="s">
        <v>1187</v>
      </c>
      <c r="F37" s="4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W37" s="136"/>
    </row>
    <row r="38" spans="3:25" s="338" customFormat="1" x14ac:dyDescent="0.25">
      <c r="D38" s="152"/>
      <c r="F38" s="162"/>
      <c r="H38" s="163"/>
      <c r="I38" s="163"/>
      <c r="J38" s="163"/>
      <c r="K38" s="163"/>
      <c r="L38" s="163"/>
      <c r="M38" s="163"/>
      <c r="N38" s="163"/>
      <c r="O38" s="163"/>
      <c r="P38" s="163"/>
      <c r="Q38" s="163"/>
      <c r="R38" s="163"/>
      <c r="S38" s="163"/>
      <c r="T38" s="163"/>
      <c r="U38" s="163"/>
      <c r="W38" s="163"/>
    </row>
    <row r="39" spans="3:25" x14ac:dyDescent="0.25">
      <c r="D39" s="132"/>
      <c r="E39" s="160" t="s">
        <v>118</v>
      </c>
      <c r="F39" s="155"/>
      <c r="G39" s="145" t="s">
        <v>119</v>
      </c>
      <c r="H39" s="437">
        <f>'Fixed inputs'!H41</f>
        <v>500</v>
      </c>
      <c r="I39" s="174"/>
      <c r="J39" s="403"/>
      <c r="K39" s="403"/>
      <c r="L39" s="403"/>
      <c r="M39" s="403"/>
      <c r="N39" s="403"/>
      <c r="O39" s="403"/>
      <c r="P39" s="403"/>
      <c r="Q39" s="403"/>
      <c r="R39" s="403"/>
      <c r="S39" s="403"/>
      <c r="T39" s="403"/>
      <c r="U39" s="403"/>
      <c r="W39" s="136"/>
    </row>
    <row r="40" spans="3:25" x14ac:dyDescent="0.25">
      <c r="E40" s="160" t="s">
        <v>120</v>
      </c>
      <c r="F40" s="155"/>
      <c r="G40" s="145" t="s">
        <v>119</v>
      </c>
      <c r="H40" s="174"/>
      <c r="I40" s="136" t="s">
        <v>525</v>
      </c>
      <c r="J40" s="403"/>
      <c r="K40" s="453">
        <f t="shared" ref="K40:S40" si="0">$H$39 * $K$33 / K31</f>
        <v>486.64118518418894</v>
      </c>
      <c r="L40" s="453">
        <f t="shared" si="0"/>
        <v>484.22008476038707</v>
      </c>
      <c r="M40" s="453">
        <f t="shared" si="0"/>
        <v>482.77895355574299</v>
      </c>
      <c r="N40" s="453">
        <f t="shared" si="0"/>
        <v>478.9775444726269</v>
      </c>
      <c r="O40" s="453">
        <f t="shared" si="0"/>
        <v>476.63191496982273</v>
      </c>
      <c r="P40" s="453">
        <f t="shared" si="0"/>
        <v>476.63191496982273</v>
      </c>
      <c r="Q40" s="453">
        <f t="shared" si="0"/>
        <v>472.00890900503293</v>
      </c>
      <c r="R40" s="453">
        <f t="shared" si="0"/>
        <v>465.24013879941577</v>
      </c>
      <c r="S40" s="453">
        <f t="shared" si="0"/>
        <v>446.86977519209273</v>
      </c>
      <c r="T40" s="403"/>
      <c r="U40" s="403"/>
      <c r="W40" s="163" t="s">
        <v>972</v>
      </c>
      <c r="Y40" s="133"/>
    </row>
    <row r="41" spans="3:25" s="338" customFormat="1" x14ac:dyDescent="0.25">
      <c r="F41" s="155"/>
      <c r="G41" s="145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74"/>
      <c r="W41" s="163"/>
      <c r="Y41" s="272"/>
    </row>
    <row r="42" spans="3:25" x14ac:dyDescent="0.25">
      <c r="C42" s="22" t="str">
        <f ca="1">INDEX('Version control'!$H$34:$H$59,MATCH($A$1,'Version control'!$F$34:$F$59,0),1)&amp;"-D: Rerouting matrix"</f>
        <v>Section 511-D: Rerouting matrix</v>
      </c>
      <c r="D42" s="22"/>
      <c r="E42" s="22"/>
      <c r="F42" s="22"/>
      <c r="G42" s="22"/>
      <c r="H42" s="389"/>
      <c r="I42" s="389"/>
      <c r="J42" s="389"/>
      <c r="K42" s="389"/>
      <c r="L42" s="389"/>
      <c r="M42" s="389"/>
      <c r="N42" s="389"/>
      <c r="O42" s="389"/>
      <c r="P42" s="389"/>
      <c r="Q42" s="389"/>
      <c r="R42" s="389"/>
      <c r="S42" s="389"/>
      <c r="T42" s="389"/>
      <c r="U42" s="389"/>
      <c r="V42" s="22"/>
      <c r="W42" s="389"/>
      <c r="Y42" s="133"/>
    </row>
    <row r="43" spans="3:25" x14ac:dyDescent="0.25">
      <c r="E43" s="172"/>
      <c r="F43" s="4"/>
      <c r="H43" s="136"/>
      <c r="I43" s="136"/>
      <c r="J43" s="136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W43" s="136"/>
      <c r="Y43" s="133"/>
    </row>
    <row r="44" spans="3:25" x14ac:dyDescent="0.25">
      <c r="D44" s="152" t="s">
        <v>623</v>
      </c>
      <c r="F44" s="4"/>
      <c r="H44" s="13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W44" s="136"/>
      <c r="Y44" s="133"/>
    </row>
    <row r="45" spans="3:25" s="338" customFormat="1" x14ac:dyDescent="0.25">
      <c r="D45" s="152"/>
      <c r="F45" s="162"/>
      <c r="H45" s="163"/>
      <c r="I45" s="163"/>
      <c r="J45" s="163"/>
      <c r="K45" s="163"/>
      <c r="L45" s="163"/>
      <c r="M45" s="163"/>
      <c r="N45" s="163"/>
      <c r="O45" s="163"/>
      <c r="P45" s="163"/>
      <c r="Q45" s="163"/>
      <c r="R45" s="163"/>
      <c r="S45" s="163"/>
      <c r="T45" s="163"/>
      <c r="U45" s="163"/>
      <c r="W45" s="163"/>
      <c r="Y45" s="272"/>
    </row>
    <row r="46" spans="3:25" x14ac:dyDescent="0.25">
      <c r="D46" s="132"/>
      <c r="E46" s="310" t="s">
        <v>760</v>
      </c>
      <c r="G46" s="145" t="s">
        <v>111</v>
      </c>
      <c r="H46" s="174"/>
      <c r="I46" s="174"/>
      <c r="J46" s="257"/>
      <c r="K46" s="257"/>
      <c r="L46" s="257"/>
      <c r="M46" s="257"/>
      <c r="N46" s="257"/>
      <c r="O46" s="257"/>
      <c r="P46" s="196">
        <f>'Inputs by network level'!P20</f>
        <v>0</v>
      </c>
      <c r="Q46" s="257"/>
      <c r="R46" s="257"/>
      <c r="S46" s="257"/>
      <c r="T46" s="257"/>
      <c r="U46" s="257"/>
      <c r="W46" s="136"/>
      <c r="Y46" s="133"/>
    </row>
    <row r="47" spans="3:25" x14ac:dyDescent="0.25">
      <c r="E47" s="310" t="s">
        <v>121</v>
      </c>
      <c r="G47" s="145" t="s">
        <v>111</v>
      </c>
      <c r="H47" s="174"/>
      <c r="I47" s="174"/>
      <c r="J47" s="257"/>
      <c r="K47" s="257"/>
      <c r="L47" s="257"/>
      <c r="M47" s="324">
        <f>IF(M46 = "", 1 - $P$46, M46)</f>
        <v>1</v>
      </c>
      <c r="N47" s="324">
        <f>IF(N46 = "", 1 - $P$46, N46)</f>
        <v>1</v>
      </c>
      <c r="O47" s="324">
        <f>IF(O46 = "", 1 - $P$46, O46)</f>
        <v>1</v>
      </c>
      <c r="P47" s="324">
        <f>IF(P46 = "", 1 - $P$46, P46)</f>
        <v>0</v>
      </c>
      <c r="Q47" s="257"/>
      <c r="R47" s="257"/>
      <c r="S47" s="257"/>
      <c r="T47" s="257"/>
      <c r="U47" s="257"/>
      <c r="W47" s="136"/>
    </row>
    <row r="48" spans="3:25" x14ac:dyDescent="0.25">
      <c r="E48" s="310" t="s">
        <v>122</v>
      </c>
      <c r="G48" s="145" t="s">
        <v>119</v>
      </c>
      <c r="H48" s="174"/>
      <c r="I48" s="174"/>
      <c r="J48" s="403"/>
      <c r="K48" s="428">
        <f t="shared" ref="K48:S48" si="1">IF(K47 = "", K40, K47 * K40)</f>
        <v>486.64118518418894</v>
      </c>
      <c r="L48" s="428">
        <f t="shared" si="1"/>
        <v>484.22008476038707</v>
      </c>
      <c r="M48" s="428">
        <f t="shared" si="1"/>
        <v>482.77895355574299</v>
      </c>
      <c r="N48" s="428">
        <f t="shared" si="1"/>
        <v>478.9775444726269</v>
      </c>
      <c r="O48" s="428">
        <f t="shared" si="1"/>
        <v>476.63191496982273</v>
      </c>
      <c r="P48" s="428">
        <f t="shared" si="1"/>
        <v>0</v>
      </c>
      <c r="Q48" s="428">
        <f t="shared" si="1"/>
        <v>472.00890900503293</v>
      </c>
      <c r="R48" s="428">
        <f t="shared" si="1"/>
        <v>465.24013879941577</v>
      </c>
      <c r="S48" s="428">
        <f t="shared" si="1"/>
        <v>446.86977519209273</v>
      </c>
      <c r="T48" s="403"/>
      <c r="U48" s="403"/>
      <c r="W48" s="136"/>
      <c r="Y48" s="133"/>
    </row>
    <row r="49" spans="2:25" s="338" customFormat="1" x14ac:dyDescent="0.25">
      <c r="E49" s="310"/>
      <c r="G49" s="145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63"/>
      <c r="Y49" s="272"/>
    </row>
    <row r="50" spans="2:25" x14ac:dyDescent="0.25">
      <c r="C50" s="22" t="str">
        <f ca="1">INDEX('Version control'!$H$34:$H$59,MATCH($A$1,'Version control'!$F$34:$F$59,0),1)&amp;"-E: Annuitised cost of assets"</f>
        <v>Section 511-E: Annuitised cost of assets</v>
      </c>
      <c r="D50" s="22"/>
      <c r="E50" s="22"/>
      <c r="F50" s="22"/>
      <c r="G50" s="22"/>
      <c r="H50" s="389"/>
      <c r="I50" s="389"/>
      <c r="J50" s="389"/>
      <c r="K50" s="389"/>
      <c r="L50" s="389"/>
      <c r="M50" s="389"/>
      <c r="N50" s="389"/>
      <c r="O50" s="389"/>
      <c r="P50" s="389"/>
      <c r="Q50" s="389"/>
      <c r="R50" s="389"/>
      <c r="S50" s="389"/>
      <c r="T50" s="389"/>
      <c r="U50" s="389"/>
      <c r="V50" s="22"/>
      <c r="W50" s="389"/>
      <c r="Y50" s="133"/>
    </row>
    <row r="51" spans="2:25" x14ac:dyDescent="0.25">
      <c r="E51" s="172"/>
      <c r="F51" s="4"/>
      <c r="H51" s="136"/>
      <c r="J51" s="136"/>
      <c r="K51" s="136"/>
      <c r="L51" s="10"/>
      <c r="M51" s="10"/>
      <c r="N51" s="10"/>
      <c r="O51" s="10"/>
      <c r="P51" s="10"/>
      <c r="Q51" s="10"/>
      <c r="R51" s="10"/>
      <c r="S51" s="10"/>
      <c r="T51" s="10"/>
      <c r="U51" s="9"/>
      <c r="Y51" s="133"/>
    </row>
    <row r="52" spans="2:25" x14ac:dyDescent="0.25">
      <c r="D52" s="152" t="s">
        <v>1188</v>
      </c>
      <c r="F52" s="4"/>
      <c r="H52" s="136"/>
      <c r="I52" s="136"/>
      <c r="J52" s="136"/>
      <c r="K52" s="136"/>
      <c r="L52" s="10"/>
      <c r="M52" s="10"/>
      <c r="N52" s="10"/>
      <c r="O52" s="10"/>
      <c r="P52" s="10"/>
      <c r="Q52" s="10"/>
      <c r="R52" s="10"/>
      <c r="S52" s="10"/>
      <c r="T52" s="10"/>
      <c r="U52" s="9"/>
      <c r="Y52" s="133"/>
    </row>
    <row r="53" spans="2:25" s="338" customFormat="1" x14ac:dyDescent="0.25">
      <c r="D53" s="152"/>
      <c r="F53" s="162"/>
      <c r="H53" s="163"/>
      <c r="I53" s="163"/>
      <c r="J53" s="163"/>
      <c r="K53" s="163"/>
      <c r="L53" s="10"/>
      <c r="M53" s="10"/>
      <c r="N53" s="10"/>
      <c r="O53" s="10"/>
      <c r="P53" s="10"/>
      <c r="Q53" s="10"/>
      <c r="R53" s="10"/>
      <c r="S53" s="10"/>
      <c r="T53" s="10"/>
      <c r="U53" s="9"/>
      <c r="Y53" s="272"/>
    </row>
    <row r="54" spans="2:25" x14ac:dyDescent="0.25">
      <c r="E54" s="160" t="s">
        <v>123</v>
      </c>
      <c r="F54" s="188"/>
      <c r="G54" s="145" t="s">
        <v>124</v>
      </c>
      <c r="H54" s="174"/>
      <c r="I54" s="174"/>
      <c r="J54" s="403"/>
      <c r="K54" s="403"/>
      <c r="L54" s="437">
        <f>'Inputs by network level'!L36</f>
        <v>105534557.83430843</v>
      </c>
      <c r="M54" s="437">
        <f>'Inputs by network level'!M36</f>
        <v>29370660.223999143</v>
      </c>
      <c r="N54" s="437">
        <f>'Inputs by network level'!N36</f>
        <v>70462347.874902844</v>
      </c>
      <c r="O54" s="437">
        <f>'Inputs by network level'!O36</f>
        <v>53670003.428299688</v>
      </c>
      <c r="P54" s="437">
        <f>'Inputs by network level'!P36</f>
        <v>0</v>
      </c>
      <c r="Q54" s="437">
        <f>'Inputs by network level'!Q36</f>
        <v>175477371.6944035</v>
      </c>
      <c r="R54" s="437">
        <f>'Inputs by network level'!R36</f>
        <v>57539178.727579542</v>
      </c>
      <c r="S54" s="437">
        <f>'Inputs by network level'!S36</f>
        <v>103494556.03979655</v>
      </c>
      <c r="T54" s="403"/>
      <c r="U54" s="403"/>
      <c r="W54" s="136"/>
      <c r="Y54" s="133"/>
    </row>
    <row r="55" spans="2:25" x14ac:dyDescent="0.25">
      <c r="E55" s="160" t="s">
        <v>142</v>
      </c>
      <c r="F55" s="188"/>
      <c r="G55" s="145" t="s">
        <v>1189</v>
      </c>
      <c r="H55" s="174"/>
      <c r="I55" s="174"/>
      <c r="J55" s="403"/>
      <c r="K55" s="403"/>
      <c r="L55" s="428">
        <f t="shared" ref="L55:S55" si="2">IF(L48 = 0, 0, L54 / (L48 * thousand))</f>
        <v>217.94750188136345</v>
      </c>
      <c r="M55" s="428">
        <f t="shared" si="2"/>
        <v>60.836662426312515</v>
      </c>
      <c r="N55" s="428">
        <f t="shared" si="2"/>
        <v>147.10991921862362</v>
      </c>
      <c r="O55" s="428">
        <f t="shared" si="2"/>
        <v>112.60262215487128</v>
      </c>
      <c r="P55" s="428">
        <f t="shared" si="2"/>
        <v>0</v>
      </c>
      <c r="Q55" s="428">
        <f t="shared" si="2"/>
        <v>371.76707546537523</v>
      </c>
      <c r="R55" s="428">
        <f t="shared" si="2"/>
        <v>123.67629946131336</v>
      </c>
      <c r="S55" s="428">
        <f t="shared" si="2"/>
        <v>231.59891714607028</v>
      </c>
      <c r="T55" s="403"/>
      <c r="U55" s="403"/>
      <c r="W55" s="136"/>
      <c r="Y55" s="133"/>
    </row>
    <row r="56" spans="2:25" x14ac:dyDescent="0.25">
      <c r="E56" s="160" t="s">
        <v>143</v>
      </c>
      <c r="F56" s="188"/>
      <c r="G56" s="145" t="s">
        <v>125</v>
      </c>
      <c r="H56" s="174"/>
      <c r="I56" s="136" t="s">
        <v>525</v>
      </c>
      <c r="J56" s="403"/>
      <c r="K56" s="403"/>
      <c r="L56" s="428">
        <f t="shared" ref="L56:S56" si="3">L55 * $H$25</f>
        <v>10.669747730206675</v>
      </c>
      <c r="M56" s="428">
        <f t="shared" si="3"/>
        <v>2.9782944756569507</v>
      </c>
      <c r="N56" s="428">
        <f t="shared" si="3"/>
        <v>7.2018523411578244</v>
      </c>
      <c r="O56" s="428">
        <f t="shared" si="3"/>
        <v>5.5125273828843655</v>
      </c>
      <c r="P56" s="428">
        <f t="shared" si="3"/>
        <v>0</v>
      </c>
      <c r="Q56" s="428">
        <f t="shared" si="3"/>
        <v>18.200075134476446</v>
      </c>
      <c r="R56" s="428">
        <f t="shared" si="3"/>
        <v>6.0546457475617759</v>
      </c>
      <c r="S56" s="428">
        <f t="shared" si="3"/>
        <v>11.338060767875723</v>
      </c>
      <c r="T56" s="403"/>
      <c r="U56" s="403"/>
      <c r="W56" s="163" t="s">
        <v>973</v>
      </c>
      <c r="Y56" s="133"/>
    </row>
    <row r="57" spans="2:25" x14ac:dyDescent="0.25">
      <c r="H57" s="136"/>
      <c r="I57" s="136"/>
      <c r="J57" s="442"/>
      <c r="K57" s="442"/>
      <c r="L57" s="442"/>
      <c r="M57" s="442"/>
      <c r="N57" s="442"/>
      <c r="O57" s="442"/>
      <c r="P57" s="442"/>
      <c r="Q57" s="442"/>
      <c r="R57" s="442"/>
      <c r="S57" s="442"/>
      <c r="T57" s="442"/>
      <c r="U57" s="442"/>
      <c r="W57" s="136"/>
      <c r="Y57" s="133"/>
    </row>
    <row r="58" spans="2:25" x14ac:dyDescent="0.25">
      <c r="B58" s="34" t="s">
        <v>161</v>
      </c>
      <c r="C58" s="34"/>
      <c r="D58" s="34"/>
      <c r="E58" s="171"/>
      <c r="F58" s="34"/>
      <c r="G58" s="34"/>
      <c r="H58" s="34"/>
      <c r="I58" s="34"/>
      <c r="J58" s="454"/>
      <c r="K58" s="454"/>
      <c r="L58" s="454"/>
      <c r="M58" s="454"/>
      <c r="N58" s="454"/>
      <c r="O58" s="454"/>
      <c r="P58" s="454"/>
      <c r="Q58" s="454"/>
      <c r="R58" s="454"/>
      <c r="S58" s="454"/>
      <c r="T58" s="454"/>
      <c r="U58" s="454"/>
      <c r="V58" s="171"/>
      <c r="W58" s="171"/>
    </row>
    <row r="59" spans="2:25" s="11" customFormat="1" x14ac:dyDescent="0.25">
      <c r="J59" s="444"/>
      <c r="K59" s="444"/>
      <c r="L59" s="444"/>
      <c r="M59" s="444"/>
      <c r="N59" s="444"/>
      <c r="O59" s="444"/>
      <c r="P59" s="444"/>
      <c r="Q59" s="444"/>
      <c r="R59" s="444"/>
      <c r="S59" s="444"/>
      <c r="T59" s="444"/>
      <c r="U59" s="444"/>
    </row>
    <row r="60" spans="2:25" x14ac:dyDescent="0.25">
      <c r="C60" s="152" t="s">
        <v>316</v>
      </c>
      <c r="J60" s="416"/>
      <c r="K60" s="416"/>
      <c r="L60" s="416"/>
      <c r="M60" s="416"/>
      <c r="N60" s="416"/>
      <c r="O60" s="416"/>
      <c r="P60" s="416"/>
      <c r="Q60" s="416"/>
      <c r="R60" s="416"/>
      <c r="S60" s="416"/>
      <c r="T60" s="416"/>
      <c r="U60" s="416"/>
    </row>
    <row r="61" spans="2:25" s="11" customFormat="1" x14ac:dyDescent="0.25">
      <c r="J61" s="444"/>
      <c r="K61" s="444"/>
      <c r="L61" s="444"/>
      <c r="M61" s="444"/>
      <c r="N61" s="444"/>
      <c r="O61" s="444"/>
      <c r="P61" s="444"/>
      <c r="Q61" s="444"/>
      <c r="R61" s="444"/>
      <c r="S61" s="444"/>
      <c r="T61" s="444"/>
      <c r="U61" s="444"/>
    </row>
    <row r="62" spans="2:25" s="338" customFormat="1" x14ac:dyDescent="0.25">
      <c r="C62" s="22" t="str">
        <f ca="1">INDEX('Version control'!$H$34:$H$59,MATCH($A$1,'Version control'!$F$34:$F$59,0),1)&amp;"-F: System simultaneous peak load based on charegable units"</f>
        <v>Section 511-F: System simultaneous peak load based on charegable units</v>
      </c>
      <c r="D62" s="22"/>
      <c r="E62" s="22"/>
      <c r="F62" s="22"/>
      <c r="G62" s="22"/>
      <c r="H62" s="389"/>
      <c r="I62" s="389"/>
      <c r="J62" s="455"/>
      <c r="K62" s="455"/>
      <c r="L62" s="455"/>
      <c r="M62" s="455"/>
      <c r="N62" s="455"/>
      <c r="O62" s="455"/>
      <c r="P62" s="455"/>
      <c r="Q62" s="455"/>
      <c r="R62" s="455"/>
      <c r="S62" s="455"/>
      <c r="T62" s="455"/>
      <c r="U62" s="455"/>
      <c r="V62" s="22"/>
      <c r="W62" s="389"/>
      <c r="Y62" s="272"/>
    </row>
    <row r="63" spans="2:25" s="338" customFormat="1" x14ac:dyDescent="0.25">
      <c r="D63" s="172"/>
      <c r="J63" s="416"/>
      <c r="K63" s="416"/>
      <c r="L63" s="416"/>
      <c r="M63" s="416"/>
      <c r="N63" s="416"/>
      <c r="O63" s="416"/>
      <c r="P63" s="416"/>
      <c r="Q63" s="416"/>
      <c r="R63" s="416"/>
      <c r="S63" s="416"/>
      <c r="T63" s="416"/>
      <c r="U63" s="416"/>
    </row>
    <row r="64" spans="2:25" x14ac:dyDescent="0.25">
      <c r="E64" s="167" t="s">
        <v>129</v>
      </c>
      <c r="F64" s="167"/>
      <c r="G64" s="167" t="s">
        <v>119</v>
      </c>
      <c r="H64" s="167"/>
      <c r="I64" s="167"/>
      <c r="J64" s="403"/>
      <c r="K64" s="437">
        <f t="array" ref="K64:S64">TRANSPOSE('System peak demand'!H269:H277)</f>
        <v>5333.7877397524508</v>
      </c>
      <c r="L64" s="437">
        <v>5276.8586049077221</v>
      </c>
      <c r="M64" s="437">
        <v>5261.1536685835927</v>
      </c>
      <c r="N64" s="437">
        <v>5352.0722626500155</v>
      </c>
      <c r="O64" s="437">
        <v>6235.4344641261077</v>
      </c>
      <c r="P64" s="437">
        <v>0</v>
      </c>
      <c r="Q64" s="437">
        <v>5976.0074831368156</v>
      </c>
      <c r="R64" s="437">
        <v>5555.2938563067082</v>
      </c>
      <c r="S64" s="437">
        <v>4153.0695679294076</v>
      </c>
      <c r="T64" s="403"/>
      <c r="U64" s="403"/>
    </row>
    <row r="65" spans="3:25" s="160" customFormat="1" x14ac:dyDescent="0.25">
      <c r="E65" s="145" t="s">
        <v>765</v>
      </c>
      <c r="F65" s="145"/>
      <c r="G65" s="145" t="s">
        <v>119</v>
      </c>
      <c r="H65" s="128"/>
      <c r="I65" s="151"/>
      <c r="J65" s="428">
        <f>K64</f>
        <v>5333.7877397524508</v>
      </c>
      <c r="K65" s="403"/>
      <c r="L65" s="403"/>
      <c r="M65" s="403"/>
      <c r="N65" s="403"/>
      <c r="O65" s="403"/>
      <c r="P65" s="403"/>
      <c r="Q65" s="403"/>
      <c r="R65" s="403"/>
      <c r="S65" s="403"/>
      <c r="T65" s="403"/>
      <c r="U65" s="403"/>
      <c r="W65" s="165"/>
      <c r="X65" s="165"/>
    </row>
    <row r="66" spans="3:25" s="73" customFormat="1" x14ac:dyDescent="0.25">
      <c r="J66" s="444"/>
      <c r="K66" s="444"/>
      <c r="L66" s="444"/>
      <c r="M66" s="444"/>
      <c r="N66" s="444"/>
      <c r="O66" s="444"/>
      <c r="P66" s="444"/>
      <c r="Q66" s="444"/>
      <c r="R66" s="444"/>
      <c r="S66" s="444"/>
      <c r="T66" s="444"/>
      <c r="U66" s="444"/>
      <c r="X66" s="12"/>
    </row>
    <row r="67" spans="3:25" x14ac:dyDescent="0.25">
      <c r="E67" s="145" t="s">
        <v>129</v>
      </c>
      <c r="F67" s="145"/>
      <c r="G67" s="145" t="s">
        <v>130</v>
      </c>
      <c r="H67" s="128"/>
      <c r="I67" s="151"/>
      <c r="J67" s="428">
        <f t="shared" ref="J67:S67" si="4">SUM(J64:J65) * thousand</f>
        <v>5333787.739752451</v>
      </c>
      <c r="K67" s="428">
        <f t="shared" si="4"/>
        <v>5333787.739752451</v>
      </c>
      <c r="L67" s="428">
        <f t="shared" si="4"/>
        <v>5276858.6049077222</v>
      </c>
      <c r="M67" s="428">
        <f t="shared" si="4"/>
        <v>5261153.6685835924</v>
      </c>
      <c r="N67" s="428">
        <f t="shared" si="4"/>
        <v>5352072.2626500158</v>
      </c>
      <c r="O67" s="428">
        <f t="shared" si="4"/>
        <v>6235434.4641261073</v>
      </c>
      <c r="P67" s="428">
        <f t="shared" si="4"/>
        <v>0</v>
      </c>
      <c r="Q67" s="428">
        <f t="shared" si="4"/>
        <v>5976007.483136816</v>
      </c>
      <c r="R67" s="428">
        <f t="shared" si="4"/>
        <v>5555293.8563067084</v>
      </c>
      <c r="S67" s="428">
        <f t="shared" si="4"/>
        <v>4153069.5679294076</v>
      </c>
      <c r="T67" s="403"/>
      <c r="U67" s="403"/>
      <c r="W67" s="33"/>
      <c r="X67" s="33"/>
    </row>
    <row r="68" spans="3:25" s="73" customFormat="1" x14ac:dyDescent="0.25">
      <c r="J68" s="444"/>
      <c r="K68" s="444"/>
      <c r="L68" s="444"/>
      <c r="M68" s="444"/>
      <c r="N68" s="444"/>
      <c r="O68" s="444"/>
      <c r="P68" s="444"/>
      <c r="Q68" s="444"/>
      <c r="R68" s="444"/>
      <c r="S68" s="444"/>
      <c r="T68" s="444"/>
      <c r="U68" s="444"/>
    </row>
    <row r="69" spans="3:25" s="338" customFormat="1" x14ac:dyDescent="0.25">
      <c r="C69" s="22" t="str">
        <f ca="1">INDEX('Version control'!$H$34:$H$59,MATCH($A$1,'Version control'!$F$34:$F$59,0),1)&amp;"-G: Notional asset values, by network level"</f>
        <v>Section 511-G: Notional asset values, by network level</v>
      </c>
      <c r="D69" s="22"/>
      <c r="E69" s="22"/>
      <c r="F69" s="22"/>
      <c r="G69" s="22"/>
      <c r="H69" s="389"/>
      <c r="I69" s="389"/>
      <c r="J69" s="455"/>
      <c r="K69" s="455"/>
      <c r="L69" s="455"/>
      <c r="M69" s="455"/>
      <c r="N69" s="455"/>
      <c r="O69" s="455"/>
      <c r="P69" s="455"/>
      <c r="Q69" s="455"/>
      <c r="R69" s="455"/>
      <c r="S69" s="455"/>
      <c r="T69" s="455"/>
      <c r="U69" s="455"/>
      <c r="V69" s="22"/>
      <c r="W69" s="389"/>
      <c r="Y69" s="272"/>
    </row>
    <row r="70" spans="3:25" s="11" customFormat="1" x14ac:dyDescent="0.25">
      <c r="E70" s="172"/>
      <c r="J70" s="444"/>
      <c r="K70" s="444"/>
      <c r="L70" s="444"/>
      <c r="M70" s="444"/>
      <c r="N70" s="444"/>
      <c r="O70" s="444"/>
      <c r="P70" s="444"/>
      <c r="Q70" s="444"/>
      <c r="R70" s="444"/>
      <c r="S70" s="444"/>
      <c r="T70" s="444"/>
      <c r="U70" s="444"/>
      <c r="X70" s="12"/>
    </row>
    <row r="71" spans="3:25" s="11" customFormat="1" x14ac:dyDescent="0.25">
      <c r="D71" s="152" t="s">
        <v>1069</v>
      </c>
      <c r="J71" s="444"/>
      <c r="K71" s="444"/>
      <c r="L71" s="444"/>
      <c r="M71" s="444"/>
      <c r="N71" s="444"/>
      <c r="O71" s="444"/>
      <c r="P71" s="444"/>
      <c r="Q71" s="444"/>
      <c r="R71" s="444"/>
      <c r="S71" s="444"/>
      <c r="T71" s="444"/>
      <c r="U71" s="444"/>
      <c r="X71" s="12"/>
    </row>
    <row r="72" spans="3:25" s="73" customFormat="1" x14ac:dyDescent="0.25">
      <c r="D72" s="152"/>
      <c r="J72" s="444"/>
      <c r="K72" s="444"/>
      <c r="L72" s="444"/>
      <c r="M72" s="444"/>
      <c r="N72" s="444"/>
      <c r="O72" s="444"/>
      <c r="P72" s="444"/>
      <c r="Q72" s="444"/>
      <c r="R72" s="444"/>
      <c r="S72" s="444"/>
      <c r="T72" s="444"/>
      <c r="U72" s="444"/>
      <c r="X72" s="12"/>
    </row>
    <row r="73" spans="3:25" s="11" customFormat="1" x14ac:dyDescent="0.25">
      <c r="E73" s="145" t="s">
        <v>131</v>
      </c>
      <c r="F73" s="145"/>
      <c r="G73" s="145" t="s">
        <v>124</v>
      </c>
      <c r="H73" s="151"/>
      <c r="I73" s="151"/>
      <c r="J73" s="403"/>
      <c r="K73" s="403"/>
      <c r="L73" s="428">
        <f t="shared" ref="L73:S73" si="5">L67 * L55</f>
        <v>1150078150.7208147</v>
      </c>
      <c r="M73" s="428">
        <f t="shared" si="5"/>
        <v>320071029.70857567</v>
      </c>
      <c r="N73" s="428">
        <f t="shared" si="5"/>
        <v>787342918.21067989</v>
      </c>
      <c r="O73" s="428">
        <f t="shared" si="5"/>
        <v>702126270.93545437</v>
      </c>
      <c r="P73" s="428">
        <f t="shared" si="5"/>
        <v>0</v>
      </c>
      <c r="Q73" s="428">
        <f t="shared" si="5"/>
        <v>2221682824.9649715</v>
      </c>
      <c r="R73" s="428">
        <f t="shared" si="5"/>
        <v>687058186.56818283</v>
      </c>
      <c r="S73" s="428">
        <f t="shared" si="5"/>
        <v>961846414.76474881</v>
      </c>
      <c r="T73" s="403"/>
      <c r="U73" s="403"/>
      <c r="X73" s="12"/>
    </row>
    <row r="74" spans="3:25" s="11" customFormat="1" x14ac:dyDescent="0.25">
      <c r="E74" s="145" t="s">
        <v>139</v>
      </c>
      <c r="F74" s="145"/>
      <c r="G74" s="145" t="s">
        <v>124</v>
      </c>
      <c r="H74" s="151"/>
      <c r="I74" s="151"/>
      <c r="J74" s="403"/>
      <c r="K74" s="403"/>
      <c r="L74" s="403"/>
      <c r="M74" s="403"/>
      <c r="N74" s="403"/>
      <c r="O74" s="403"/>
      <c r="P74" s="403"/>
      <c r="Q74" s="403"/>
      <c r="R74" s="403"/>
      <c r="S74" s="403"/>
      <c r="T74" s="437">
        <f>'Service model assets'!H33</f>
        <v>1744068933.3991356</v>
      </c>
      <c r="U74" s="437">
        <f>'Service model assets'!H34</f>
        <v>63317846.916457921</v>
      </c>
      <c r="X74" s="12"/>
    </row>
    <row r="75" spans="3:25" s="11" customFormat="1" x14ac:dyDescent="0.25">
      <c r="J75" s="444"/>
      <c r="K75" s="444"/>
      <c r="L75" s="444"/>
      <c r="M75" s="444"/>
      <c r="N75" s="444"/>
      <c r="O75" s="444"/>
      <c r="P75" s="444"/>
      <c r="Q75" s="444"/>
      <c r="R75" s="444"/>
      <c r="S75" s="444"/>
      <c r="T75" s="444"/>
      <c r="U75" s="444"/>
      <c r="X75" s="12"/>
    </row>
    <row r="76" spans="3:25" s="151" customFormat="1" x14ac:dyDescent="0.25">
      <c r="E76" s="145" t="s">
        <v>132</v>
      </c>
      <c r="F76" s="145"/>
      <c r="G76" s="145" t="s">
        <v>124</v>
      </c>
      <c r="I76" s="11" t="s">
        <v>525</v>
      </c>
      <c r="J76" s="403"/>
      <c r="K76" s="428">
        <f t="shared" ref="K76:U76" si="6">K73 + K74</f>
        <v>0</v>
      </c>
      <c r="L76" s="428">
        <f t="shared" si="6"/>
        <v>1150078150.7208147</v>
      </c>
      <c r="M76" s="428">
        <f t="shared" si="6"/>
        <v>320071029.70857567</v>
      </c>
      <c r="N76" s="428">
        <f t="shared" si="6"/>
        <v>787342918.21067989</v>
      </c>
      <c r="O76" s="428">
        <f t="shared" si="6"/>
        <v>702126270.93545437</v>
      </c>
      <c r="P76" s="428">
        <f t="shared" si="6"/>
        <v>0</v>
      </c>
      <c r="Q76" s="428">
        <f t="shared" si="6"/>
        <v>2221682824.9649715</v>
      </c>
      <c r="R76" s="428">
        <f t="shared" si="6"/>
        <v>687058186.56818283</v>
      </c>
      <c r="S76" s="428">
        <f t="shared" si="6"/>
        <v>961846414.76474881</v>
      </c>
      <c r="T76" s="428">
        <f t="shared" si="6"/>
        <v>1744068933.3991356</v>
      </c>
      <c r="U76" s="428">
        <f t="shared" si="6"/>
        <v>63317846.916457921</v>
      </c>
      <c r="W76" s="163" t="s">
        <v>974</v>
      </c>
      <c r="X76" s="301"/>
    </row>
    <row r="77" spans="3:25" s="11" customFormat="1" x14ac:dyDescent="0.25">
      <c r="L77" s="12"/>
      <c r="M77" s="12"/>
      <c r="N77" s="12"/>
      <c r="O77" s="12"/>
      <c r="P77" s="12"/>
      <c r="Q77" s="12"/>
      <c r="R77" s="12"/>
      <c r="S77" s="12"/>
      <c r="T77" s="12"/>
      <c r="U77" s="12"/>
      <c r="X77" s="12"/>
    </row>
    <row r="78" spans="3:25" s="151" customFormat="1" x14ac:dyDescent="0.25">
      <c r="E78" s="145" t="s">
        <v>135</v>
      </c>
      <c r="F78" s="145"/>
      <c r="G78" s="145" t="s">
        <v>111</v>
      </c>
      <c r="J78" s="257"/>
      <c r="K78" s="321">
        <f t="shared" ref="K78:U78" si="7">K76 / SUM($K$76:$U$76)</f>
        <v>0</v>
      </c>
      <c r="L78" s="321">
        <f t="shared" si="7"/>
        <v>0.13314799703463656</v>
      </c>
      <c r="M78" s="321">
        <f t="shared" si="7"/>
        <v>3.705558312519918E-2</v>
      </c>
      <c r="N78" s="321">
        <f t="shared" si="7"/>
        <v>9.1153051184785353E-2</v>
      </c>
      <c r="O78" s="321">
        <f t="shared" si="7"/>
        <v>8.1287264332307554E-2</v>
      </c>
      <c r="P78" s="321">
        <f t="shared" si="7"/>
        <v>0</v>
      </c>
      <c r="Q78" s="321">
        <f t="shared" si="7"/>
        <v>0.25721088432550226</v>
      </c>
      <c r="R78" s="321">
        <f t="shared" si="7"/>
        <v>7.9542787010141502E-2</v>
      </c>
      <c r="S78" s="321">
        <f t="shared" si="7"/>
        <v>0.11135584438379745</v>
      </c>
      <c r="T78" s="321">
        <f t="shared" si="7"/>
        <v>0.20191609155159218</v>
      </c>
      <c r="U78" s="321">
        <f t="shared" si="7"/>
        <v>7.3304970520378819E-3</v>
      </c>
      <c r="X78" s="301"/>
    </row>
    <row r="79" spans="3:25" s="73" customFormat="1" x14ac:dyDescent="0.25">
      <c r="E79" s="172"/>
      <c r="L79" s="12"/>
      <c r="M79" s="12"/>
      <c r="N79" s="12"/>
      <c r="O79" s="12"/>
      <c r="P79" s="12"/>
      <c r="Q79" s="12"/>
      <c r="R79" s="12"/>
      <c r="S79" s="12"/>
      <c r="T79" s="12"/>
      <c r="U79" s="12"/>
    </row>
    <row r="80" spans="3:25" s="338" customFormat="1" x14ac:dyDescent="0.25">
      <c r="C80" s="22" t="str">
        <f ca="1">INDEX('Version control'!$H$34:$H$59,MATCH($A$1,'Version control'!$F$34:$F$59,0),1)&amp;"-H: Other operating costs"</f>
        <v>Section 511-H: Other operating costs</v>
      </c>
      <c r="D80" s="22"/>
      <c r="E80" s="22"/>
      <c r="F80" s="22"/>
      <c r="G80" s="22"/>
      <c r="H80" s="389"/>
      <c r="I80" s="389"/>
      <c r="J80" s="389"/>
      <c r="K80" s="389"/>
      <c r="L80" s="389"/>
      <c r="M80" s="389"/>
      <c r="N80" s="389"/>
      <c r="O80" s="389"/>
      <c r="P80" s="389"/>
      <c r="Q80" s="389"/>
      <c r="R80" s="389"/>
      <c r="S80" s="389"/>
      <c r="T80" s="389"/>
      <c r="U80" s="389"/>
      <c r="V80" s="22"/>
      <c r="W80" s="389"/>
      <c r="Y80" s="272"/>
    </row>
    <row r="81" spans="3:25" s="11" customFormat="1" x14ac:dyDescent="0.25">
      <c r="E81" s="172"/>
      <c r="L81" s="12"/>
      <c r="M81" s="12"/>
      <c r="N81" s="12"/>
      <c r="O81" s="12"/>
      <c r="P81" s="12"/>
      <c r="Q81" s="12"/>
      <c r="R81" s="12"/>
      <c r="S81" s="12"/>
      <c r="T81" s="12"/>
      <c r="U81" s="12"/>
    </row>
    <row r="82" spans="3:25" s="11" customFormat="1" x14ac:dyDescent="0.25">
      <c r="D82" s="152" t="s">
        <v>527</v>
      </c>
      <c r="L82" s="12"/>
      <c r="M82" s="12"/>
      <c r="N82" s="12"/>
      <c r="O82" s="12"/>
      <c r="P82" s="12"/>
      <c r="Q82" s="12"/>
      <c r="R82" s="12"/>
      <c r="S82" s="12"/>
      <c r="T82" s="12"/>
      <c r="U82" s="12"/>
    </row>
    <row r="83" spans="3:25" s="73" customFormat="1" x14ac:dyDescent="0.25">
      <c r="D83" s="152"/>
      <c r="L83" s="12"/>
      <c r="M83" s="12"/>
      <c r="N83" s="12"/>
      <c r="O83" s="12"/>
      <c r="P83" s="12"/>
      <c r="Q83" s="12"/>
      <c r="R83" s="12"/>
      <c r="S83" s="12"/>
      <c r="T83" s="12"/>
      <c r="U83" s="12"/>
    </row>
    <row r="84" spans="3:25" s="11" customFormat="1" x14ac:dyDescent="0.25">
      <c r="E84" s="145" t="s">
        <v>95</v>
      </c>
      <c r="F84" s="145"/>
      <c r="G84" s="145" t="s">
        <v>111</v>
      </c>
      <c r="H84" s="181">
        <f>'Fixed inputs'!H39</f>
        <v>0.6</v>
      </c>
      <c r="L84" s="12"/>
      <c r="M84" s="12"/>
      <c r="N84" s="12"/>
      <c r="O84" s="12"/>
      <c r="P84" s="12"/>
      <c r="Q84" s="12"/>
      <c r="R84" s="12"/>
      <c r="S84" s="12"/>
      <c r="T84" s="12"/>
      <c r="U84" s="12"/>
    </row>
    <row r="85" spans="3:25" s="11" customFormat="1" x14ac:dyDescent="0.25">
      <c r="F85" s="145"/>
      <c r="G85" s="145"/>
      <c r="H85" s="181"/>
      <c r="L85" s="12"/>
      <c r="M85" s="12"/>
      <c r="N85" s="12"/>
      <c r="O85" s="12"/>
      <c r="P85" s="12"/>
      <c r="Q85" s="12"/>
      <c r="R85" s="12"/>
      <c r="S85" s="12"/>
      <c r="T85" s="12"/>
      <c r="U85" s="12"/>
    </row>
    <row r="86" spans="3:25" s="11" customFormat="1" x14ac:dyDescent="0.25">
      <c r="E86" s="145" t="s">
        <v>145</v>
      </c>
      <c r="F86" s="145"/>
      <c r="G86" s="145" t="s">
        <v>721</v>
      </c>
      <c r="H86" s="437">
        <f>'General inputs'!H103</f>
        <v>58771679.058511339</v>
      </c>
      <c r="L86" s="12"/>
      <c r="M86" s="12"/>
      <c r="N86" s="12"/>
      <c r="O86" s="12"/>
      <c r="P86" s="12"/>
      <c r="Q86" s="12"/>
      <c r="R86" s="12"/>
      <c r="S86" s="12"/>
      <c r="T86" s="12"/>
      <c r="U86" s="12"/>
    </row>
    <row r="87" spans="3:25" s="11" customFormat="1" x14ac:dyDescent="0.25">
      <c r="E87" s="145" t="s">
        <v>146</v>
      </c>
      <c r="F87" s="145"/>
      <c r="G87" s="145" t="s">
        <v>721</v>
      </c>
      <c r="H87" s="437">
        <f>'General inputs'!H104</f>
        <v>116853936.84700131</v>
      </c>
      <c r="L87" s="12"/>
      <c r="M87" s="12"/>
      <c r="N87" s="12"/>
      <c r="O87" s="12"/>
      <c r="P87" s="12"/>
      <c r="Q87" s="12"/>
      <c r="R87" s="12"/>
      <c r="S87" s="12"/>
      <c r="T87" s="12"/>
      <c r="U87" s="12"/>
    </row>
    <row r="88" spans="3:25" s="11" customFormat="1" x14ac:dyDescent="0.25">
      <c r="E88" s="145" t="s">
        <v>147</v>
      </c>
      <c r="F88" s="145"/>
      <c r="G88" s="145" t="s">
        <v>721</v>
      </c>
      <c r="H88" s="437">
        <f>'General inputs'!H105</f>
        <v>41998950.399999999</v>
      </c>
      <c r="J88" s="12"/>
      <c r="L88" s="12"/>
      <c r="M88" s="12"/>
      <c r="N88" s="12"/>
      <c r="O88" s="12"/>
      <c r="P88" s="12"/>
      <c r="Q88" s="12"/>
      <c r="R88" s="12"/>
      <c r="S88" s="12"/>
      <c r="T88" s="12"/>
      <c r="U88" s="12"/>
    </row>
    <row r="89" spans="3:25" s="11" customFormat="1" x14ac:dyDescent="0.25">
      <c r="E89" s="145"/>
      <c r="F89" s="145"/>
      <c r="G89" s="145"/>
      <c r="H89" s="437"/>
      <c r="J89" s="12"/>
      <c r="L89" s="12"/>
      <c r="M89" s="12"/>
      <c r="N89" s="12"/>
      <c r="O89" s="12"/>
      <c r="P89" s="12"/>
      <c r="Q89" s="12"/>
      <c r="R89" s="12"/>
      <c r="S89" s="12"/>
      <c r="T89" s="12"/>
      <c r="U89" s="12"/>
    </row>
    <row r="90" spans="3:25" s="11" customFormat="1" x14ac:dyDescent="0.25">
      <c r="E90" s="145" t="s">
        <v>148</v>
      </c>
      <c r="F90" s="145"/>
      <c r="G90" s="145" t="s">
        <v>721</v>
      </c>
      <c r="H90" s="428">
        <f>H86 + H87 * H84 + H88</f>
        <v>170882991.56671214</v>
      </c>
      <c r="L90" s="12"/>
      <c r="M90" s="12"/>
      <c r="N90" s="12"/>
      <c r="O90" s="12"/>
      <c r="P90" s="12"/>
      <c r="Q90" s="12"/>
      <c r="R90" s="12"/>
      <c r="S90" s="12"/>
      <c r="T90" s="12"/>
      <c r="U90" s="12"/>
    </row>
    <row r="91" spans="3:25" s="73" customFormat="1" x14ac:dyDescent="0.25">
      <c r="E91" s="172"/>
      <c r="L91" s="12"/>
      <c r="M91" s="12"/>
      <c r="N91" s="12"/>
      <c r="O91" s="12"/>
      <c r="P91" s="12"/>
      <c r="Q91" s="12"/>
      <c r="R91" s="12"/>
      <c r="S91" s="12"/>
      <c r="T91" s="12"/>
      <c r="U91" s="12"/>
    </row>
    <row r="92" spans="3:25" s="338" customFormat="1" x14ac:dyDescent="0.25">
      <c r="C92" s="22" t="str">
        <f ca="1">INDEX('Version control'!$H$34:$H$59,MATCH($A$1,'Version control'!$F$34:$F$59,0),1)&amp;"-I: Other operating costs by network level"</f>
        <v>Section 511-I: Other operating costs by network level</v>
      </c>
      <c r="D92" s="22"/>
      <c r="E92" s="22"/>
      <c r="F92" s="22"/>
      <c r="G92" s="22"/>
      <c r="H92" s="389"/>
      <c r="I92" s="389"/>
      <c r="J92" s="389"/>
      <c r="K92" s="389"/>
      <c r="L92" s="389"/>
      <c r="M92" s="389"/>
      <c r="N92" s="389"/>
      <c r="O92" s="389"/>
      <c r="P92" s="389"/>
      <c r="Q92" s="389"/>
      <c r="R92" s="389"/>
      <c r="S92" s="389"/>
      <c r="T92" s="389"/>
      <c r="U92" s="389"/>
      <c r="V92" s="22"/>
      <c r="W92" s="389"/>
      <c r="Y92" s="272"/>
    </row>
    <row r="93" spans="3:25" s="11" customFormat="1" x14ac:dyDescent="0.25">
      <c r="E93" s="172"/>
      <c r="H93" s="12"/>
      <c r="L93" s="12"/>
      <c r="M93" s="12"/>
      <c r="N93" s="12"/>
      <c r="O93" s="12"/>
      <c r="P93" s="12"/>
      <c r="Q93" s="12"/>
      <c r="R93" s="12"/>
      <c r="S93" s="12"/>
      <c r="T93" s="12"/>
      <c r="U93" s="12"/>
    </row>
    <row r="94" spans="3:25" s="11" customFormat="1" x14ac:dyDescent="0.25">
      <c r="D94" s="152" t="s">
        <v>528</v>
      </c>
      <c r="H94" s="12"/>
      <c r="L94" s="12"/>
      <c r="M94" s="12"/>
      <c r="N94" s="12"/>
      <c r="O94" s="12"/>
      <c r="P94" s="12"/>
      <c r="Q94" s="12"/>
      <c r="R94" s="12"/>
      <c r="S94" s="12"/>
      <c r="T94" s="12"/>
      <c r="U94" s="12"/>
    </row>
    <row r="95" spans="3:25" s="11" customFormat="1" x14ac:dyDescent="0.25">
      <c r="D95" s="152" t="s">
        <v>529</v>
      </c>
      <c r="H95" s="12"/>
      <c r="L95" s="12"/>
      <c r="M95" s="12"/>
      <c r="N95" s="12"/>
      <c r="O95" s="12"/>
      <c r="P95" s="12"/>
      <c r="Q95" s="12"/>
      <c r="R95" s="12"/>
      <c r="S95" s="12"/>
      <c r="T95" s="12"/>
      <c r="U95" s="12"/>
    </row>
    <row r="96" spans="3:25" s="73" customFormat="1" x14ac:dyDescent="0.25">
      <c r="D96" s="152"/>
      <c r="H96" s="12"/>
      <c r="L96" s="12"/>
      <c r="M96" s="12"/>
      <c r="N96" s="12"/>
      <c r="O96" s="12"/>
      <c r="P96" s="12"/>
      <c r="Q96" s="12"/>
      <c r="R96" s="12"/>
      <c r="S96" s="12"/>
      <c r="T96" s="12"/>
      <c r="U96" s="12"/>
    </row>
    <row r="97" spans="2:25" s="11" customFormat="1" x14ac:dyDescent="0.25">
      <c r="E97" s="145" t="s">
        <v>136</v>
      </c>
      <c r="F97" s="145"/>
      <c r="G97" s="145" t="s">
        <v>721</v>
      </c>
      <c r="H97" s="151"/>
      <c r="I97" s="11" t="s">
        <v>525</v>
      </c>
      <c r="J97" s="403"/>
      <c r="K97" s="428">
        <f t="shared" ref="K97:U97" si="8">K78 * $H$90</f>
        <v>0</v>
      </c>
      <c r="L97" s="428">
        <f t="shared" si="8"/>
        <v>22752728.054394413</v>
      </c>
      <c r="M97" s="428">
        <f t="shared" si="8"/>
        <v>6332168.8986830125</v>
      </c>
      <c r="N97" s="428">
        <f t="shared" si="8"/>
        <v>15576506.076889755</v>
      </c>
      <c r="O97" s="428">
        <f t="shared" si="8"/>
        <v>13890610.905378813</v>
      </c>
      <c r="P97" s="428">
        <f t="shared" si="8"/>
        <v>0</v>
      </c>
      <c r="Q97" s="428">
        <f t="shared" si="8"/>
        <v>43952965.377061374</v>
      </c>
      <c r="R97" s="428">
        <f t="shared" si="8"/>
        <v>13592509.401846791</v>
      </c>
      <c r="S97" s="428">
        <f t="shared" si="8"/>
        <v>19028819.816740569</v>
      </c>
      <c r="T97" s="428">
        <f t="shared" si="8"/>
        <v>34504025.769794203</v>
      </c>
      <c r="U97" s="428">
        <f t="shared" si="8"/>
        <v>1252657.2659231976</v>
      </c>
      <c r="W97" s="163" t="s">
        <v>975</v>
      </c>
    </row>
    <row r="98" spans="2:25" s="11" customFormat="1" x14ac:dyDescent="0.25">
      <c r="E98" s="145" t="s">
        <v>134</v>
      </c>
      <c r="F98" s="145"/>
      <c r="G98" s="145" t="s">
        <v>721</v>
      </c>
      <c r="H98" s="301"/>
      <c r="I98" s="301"/>
      <c r="J98" s="437">
        <f>'General inputs'!$H$98</f>
        <v>16472107.115543775</v>
      </c>
      <c r="K98" s="403"/>
      <c r="L98" s="403"/>
      <c r="M98" s="403"/>
      <c r="N98" s="403"/>
      <c r="O98" s="403"/>
      <c r="P98" s="403"/>
      <c r="Q98" s="403"/>
      <c r="R98" s="403"/>
      <c r="S98" s="403"/>
      <c r="T98" s="403"/>
      <c r="U98" s="403"/>
    </row>
    <row r="99" spans="2:25" s="11" customFormat="1" x14ac:dyDescent="0.25">
      <c r="E99" s="151"/>
      <c r="F99" s="151"/>
      <c r="G99" s="151"/>
      <c r="H99" s="151"/>
      <c r="I99" s="151"/>
      <c r="J99" s="456"/>
      <c r="K99" s="456"/>
      <c r="L99" s="456"/>
      <c r="M99" s="456"/>
      <c r="N99" s="456"/>
      <c r="O99" s="456"/>
      <c r="P99" s="456"/>
      <c r="Q99" s="456"/>
      <c r="R99" s="456"/>
      <c r="S99" s="456"/>
      <c r="T99" s="456"/>
      <c r="U99" s="456"/>
    </row>
    <row r="100" spans="2:25" s="11" customFormat="1" x14ac:dyDescent="0.25">
      <c r="E100" s="145" t="s">
        <v>144</v>
      </c>
      <c r="F100" s="145"/>
      <c r="G100" s="145" t="s">
        <v>1190</v>
      </c>
      <c r="H100" s="151"/>
      <c r="I100" s="151" t="s">
        <v>525</v>
      </c>
      <c r="J100" s="428">
        <f t="shared" ref="J100:S100" si="9">IF(J$67 = 0, 0, SUM(J97:J98) / J$67)</f>
        <v>3.0882569609544062</v>
      </c>
      <c r="K100" s="428">
        <f t="shared" si="9"/>
        <v>0</v>
      </c>
      <c r="L100" s="428">
        <f t="shared" si="9"/>
        <v>4.3117941483657196</v>
      </c>
      <c r="M100" s="428">
        <f t="shared" si="9"/>
        <v>1.2035704139369414</v>
      </c>
      <c r="N100" s="428">
        <f t="shared" si="9"/>
        <v>2.9103691640324061</v>
      </c>
      <c r="O100" s="428">
        <f t="shared" si="9"/>
        <v>2.2276893431074773</v>
      </c>
      <c r="P100" s="428">
        <f t="shared" si="9"/>
        <v>0</v>
      </c>
      <c r="Q100" s="428">
        <f t="shared" si="9"/>
        <v>7.3549046752515768</v>
      </c>
      <c r="R100" s="428">
        <f t="shared" si="9"/>
        <v>2.4467669494055198</v>
      </c>
      <c r="S100" s="428">
        <f t="shared" si="9"/>
        <v>4.5818687853639188</v>
      </c>
      <c r="T100" s="403"/>
      <c r="U100" s="403"/>
      <c r="W100" s="163" t="s">
        <v>976</v>
      </c>
    </row>
    <row r="101" spans="2:25" s="11" customFormat="1" x14ac:dyDescent="0.25">
      <c r="J101" s="444"/>
      <c r="K101" s="444"/>
      <c r="L101" s="444"/>
      <c r="M101" s="444"/>
      <c r="N101" s="444"/>
      <c r="O101" s="444"/>
      <c r="P101" s="444"/>
      <c r="Q101" s="444"/>
      <c r="R101" s="444"/>
      <c r="S101" s="444"/>
      <c r="T101" s="444"/>
      <c r="U101" s="444"/>
    </row>
    <row r="102" spans="2:25" x14ac:dyDescent="0.25">
      <c r="B102" s="34" t="s">
        <v>441</v>
      </c>
      <c r="C102" s="34"/>
      <c r="D102" s="34"/>
      <c r="E102" s="171"/>
      <c r="F102" s="34"/>
      <c r="G102" s="34"/>
      <c r="H102" s="34"/>
      <c r="I102" s="34"/>
      <c r="J102" s="454"/>
      <c r="K102" s="454"/>
      <c r="L102" s="454"/>
      <c r="M102" s="454"/>
      <c r="N102" s="454"/>
      <c r="O102" s="454"/>
      <c r="P102" s="454"/>
      <c r="Q102" s="454"/>
      <c r="R102" s="454"/>
      <c r="S102" s="454"/>
      <c r="T102" s="454"/>
      <c r="U102" s="454"/>
      <c r="V102" s="171"/>
      <c r="W102" s="171"/>
    </row>
    <row r="103" spans="2:25" x14ac:dyDescent="0.25">
      <c r="B103" s="152"/>
      <c r="J103" s="416"/>
      <c r="K103" s="416"/>
      <c r="L103" s="416"/>
      <c r="M103" s="416"/>
      <c r="N103" s="416"/>
      <c r="O103" s="416"/>
      <c r="P103" s="416"/>
      <c r="Q103" s="416"/>
      <c r="R103" s="416"/>
      <c r="S103" s="416"/>
      <c r="T103" s="416"/>
      <c r="U103" s="416"/>
    </row>
    <row r="104" spans="2:25" s="338" customFormat="1" x14ac:dyDescent="0.25">
      <c r="C104" s="22" t="str">
        <f ca="1">INDEX('Version control'!$H$34:$H$59,MATCH($A$1,'Version control'!$F$34:$F$59,0),1)&amp;"-J: Notional asset values by network level"</f>
        <v>Section 511-J: Notional asset values by network level</v>
      </c>
      <c r="D104" s="22"/>
      <c r="E104" s="22"/>
      <c r="F104" s="22"/>
      <c r="G104" s="22"/>
      <c r="H104" s="389"/>
      <c r="I104" s="389"/>
      <c r="J104" s="455"/>
      <c r="K104" s="455"/>
      <c r="L104" s="455"/>
      <c r="M104" s="455"/>
      <c r="N104" s="455"/>
      <c r="O104" s="455"/>
      <c r="P104" s="455"/>
      <c r="Q104" s="455"/>
      <c r="R104" s="455"/>
      <c r="S104" s="455"/>
      <c r="T104" s="455"/>
      <c r="U104" s="455"/>
      <c r="V104" s="22"/>
      <c r="W104" s="389"/>
      <c r="Y104" s="272"/>
    </row>
    <row r="105" spans="2:25" x14ac:dyDescent="0.25">
      <c r="B105" s="152"/>
      <c r="J105" s="416"/>
      <c r="K105" s="416"/>
      <c r="L105" s="416"/>
      <c r="M105" s="416"/>
      <c r="N105" s="416"/>
      <c r="O105" s="416"/>
      <c r="P105" s="416"/>
      <c r="Q105" s="416"/>
      <c r="R105" s="416"/>
      <c r="S105" s="416"/>
      <c r="T105" s="416"/>
      <c r="U105" s="416"/>
    </row>
    <row r="106" spans="2:25" x14ac:dyDescent="0.25">
      <c r="B106" s="152"/>
      <c r="D106" s="152" t="s">
        <v>471</v>
      </c>
      <c r="J106" s="416"/>
      <c r="K106" s="416"/>
      <c r="L106" s="416"/>
      <c r="M106" s="416"/>
      <c r="N106" s="416"/>
      <c r="O106" s="416"/>
      <c r="P106" s="416"/>
      <c r="Q106" s="416"/>
      <c r="R106" s="416"/>
      <c r="S106" s="416"/>
      <c r="T106" s="416"/>
      <c r="U106" s="416"/>
    </row>
    <row r="107" spans="2:25" s="474" customFormat="1" x14ac:dyDescent="0.25">
      <c r="B107" s="152"/>
      <c r="D107" s="152"/>
      <c r="J107" s="416"/>
      <c r="K107" s="416"/>
      <c r="L107" s="416"/>
      <c r="M107" s="416"/>
      <c r="N107" s="416"/>
      <c r="O107" s="416"/>
      <c r="P107" s="416"/>
      <c r="Q107" s="416"/>
      <c r="R107" s="416"/>
      <c r="S107" s="416"/>
      <c r="T107" s="416"/>
      <c r="U107" s="416"/>
    </row>
    <row r="108" spans="2:25" x14ac:dyDescent="0.25">
      <c r="B108" s="152"/>
      <c r="E108" s="145" t="s">
        <v>132</v>
      </c>
      <c r="F108" s="145"/>
      <c r="G108" s="145" t="s">
        <v>124</v>
      </c>
      <c r="H108" s="151"/>
      <c r="I108" s="151"/>
      <c r="J108" s="403"/>
      <c r="K108" s="420">
        <f t="shared" ref="K108:U108" si="10">K76</f>
        <v>0</v>
      </c>
      <c r="L108" s="420">
        <f t="shared" si="10"/>
        <v>1150078150.7208147</v>
      </c>
      <c r="M108" s="420">
        <f t="shared" si="10"/>
        <v>320071029.70857567</v>
      </c>
      <c r="N108" s="420">
        <f t="shared" si="10"/>
        <v>787342918.21067989</v>
      </c>
      <c r="O108" s="420">
        <f t="shared" si="10"/>
        <v>702126270.93545437</v>
      </c>
      <c r="P108" s="420">
        <f t="shared" si="10"/>
        <v>0</v>
      </c>
      <c r="Q108" s="420">
        <f t="shared" si="10"/>
        <v>2221682824.9649715</v>
      </c>
      <c r="R108" s="420">
        <f t="shared" si="10"/>
        <v>687058186.56818283</v>
      </c>
      <c r="S108" s="420">
        <f t="shared" si="10"/>
        <v>961846414.76474881</v>
      </c>
      <c r="T108" s="420">
        <f t="shared" si="10"/>
        <v>1744068933.3991356</v>
      </c>
      <c r="U108" s="420">
        <f t="shared" si="10"/>
        <v>63317846.916457921</v>
      </c>
    </row>
    <row r="109" spans="2:25" x14ac:dyDescent="0.25">
      <c r="B109" s="152"/>
    </row>
    <row r="110" spans="2:25" s="338" customFormat="1" x14ac:dyDescent="0.25">
      <c r="C110" s="22" t="str">
        <f ca="1">INDEX('Version control'!$H$34:$H$59,MATCH($A$1,'Version control'!$F$34:$F$59,0),1)&amp;"-K: Unit costs"</f>
        <v>Section 511-K: Unit costs</v>
      </c>
      <c r="D110" s="22"/>
      <c r="E110" s="22"/>
      <c r="F110" s="22"/>
      <c r="G110" s="22"/>
      <c r="H110" s="389"/>
      <c r="I110" s="389"/>
      <c r="J110" s="389"/>
      <c r="K110" s="389"/>
      <c r="L110" s="389"/>
      <c r="M110" s="389"/>
      <c r="N110" s="389"/>
      <c r="O110" s="389"/>
      <c r="P110" s="389"/>
      <c r="Q110" s="389"/>
      <c r="R110" s="389"/>
      <c r="S110" s="389"/>
      <c r="T110" s="389"/>
      <c r="U110" s="389"/>
      <c r="V110" s="22"/>
      <c r="W110" s="389"/>
      <c r="Y110" s="272"/>
    </row>
    <row r="111" spans="2:25" x14ac:dyDescent="0.25">
      <c r="B111" s="152"/>
    </row>
    <row r="112" spans="2:25" x14ac:dyDescent="0.25">
      <c r="B112" s="152"/>
      <c r="D112" s="152" t="s">
        <v>443</v>
      </c>
    </row>
    <row r="113" spans="2:25" s="474" customFormat="1" x14ac:dyDescent="0.25">
      <c r="B113" s="152"/>
      <c r="D113" s="152"/>
    </row>
    <row r="114" spans="2:25" s="339" customFormat="1" x14ac:dyDescent="0.25">
      <c r="E114" s="339" t="s">
        <v>143</v>
      </c>
      <c r="F114" s="188"/>
      <c r="G114" s="145" t="s">
        <v>1190</v>
      </c>
      <c r="H114" s="174"/>
      <c r="I114" s="174"/>
      <c r="J114" s="403"/>
      <c r="K114" s="403"/>
      <c r="L114" s="420">
        <f t="shared" ref="L114:S114" si="11">L56</f>
        <v>10.669747730206675</v>
      </c>
      <c r="M114" s="420">
        <f t="shared" si="11"/>
        <v>2.9782944756569507</v>
      </c>
      <c r="N114" s="420">
        <f t="shared" si="11"/>
        <v>7.2018523411578244</v>
      </c>
      <c r="O114" s="420">
        <f t="shared" si="11"/>
        <v>5.5125273828843655</v>
      </c>
      <c r="P114" s="420">
        <f t="shared" si="11"/>
        <v>0</v>
      </c>
      <c r="Q114" s="420">
        <f t="shared" si="11"/>
        <v>18.200075134476446</v>
      </c>
      <c r="R114" s="420">
        <f t="shared" si="11"/>
        <v>6.0546457475617759</v>
      </c>
      <c r="S114" s="420">
        <f t="shared" si="11"/>
        <v>11.338060767875723</v>
      </c>
      <c r="T114" s="403"/>
      <c r="U114" s="403"/>
      <c r="Y114" s="498"/>
    </row>
    <row r="115" spans="2:25" s="339" customFormat="1" x14ac:dyDescent="0.25">
      <c r="B115" s="245"/>
      <c r="E115" s="339" t="s">
        <v>144</v>
      </c>
      <c r="F115" s="145"/>
      <c r="G115" s="145" t="s">
        <v>1190</v>
      </c>
      <c r="H115" s="151"/>
      <c r="I115" s="151"/>
      <c r="J115" s="420">
        <f t="shared" ref="J115:S115" si="12">J100</f>
        <v>3.0882569609544062</v>
      </c>
      <c r="K115" s="420">
        <f t="shared" si="12"/>
        <v>0</v>
      </c>
      <c r="L115" s="420">
        <f t="shared" si="12"/>
        <v>4.3117941483657196</v>
      </c>
      <c r="M115" s="420">
        <f t="shared" si="12"/>
        <v>1.2035704139369414</v>
      </c>
      <c r="N115" s="420">
        <f t="shared" si="12"/>
        <v>2.9103691640324061</v>
      </c>
      <c r="O115" s="420">
        <f t="shared" si="12"/>
        <v>2.2276893431074773</v>
      </c>
      <c r="P115" s="420">
        <f t="shared" si="12"/>
        <v>0</v>
      </c>
      <c r="Q115" s="420">
        <f t="shared" si="12"/>
        <v>7.3549046752515768</v>
      </c>
      <c r="R115" s="420">
        <f t="shared" si="12"/>
        <v>2.4467669494055198</v>
      </c>
      <c r="S115" s="420">
        <f t="shared" si="12"/>
        <v>4.5818687853639188</v>
      </c>
      <c r="T115" s="403"/>
      <c r="U115" s="403"/>
    </row>
    <row r="116" spans="2:25" x14ac:dyDescent="0.25">
      <c r="B116" s="152"/>
    </row>
    <row r="117" spans="2:25" s="338" customFormat="1" x14ac:dyDescent="0.25">
      <c r="C117" s="22" t="str">
        <f ca="1">INDEX('Version control'!$H$34:$H$59,MATCH($A$1,'Version control'!$F$34:$F$59,0),1)&amp;"-L: Values used for allocating costs to service models"</f>
        <v>Section 511-L: Values used for allocating costs to service models</v>
      </c>
      <c r="D117" s="22"/>
      <c r="E117" s="22"/>
      <c r="F117" s="22"/>
      <c r="G117" s="22"/>
      <c r="H117" s="389"/>
      <c r="I117" s="389"/>
      <c r="J117" s="389"/>
      <c r="K117" s="389"/>
      <c r="L117" s="389"/>
      <c r="M117" s="389"/>
      <c r="N117" s="389"/>
      <c r="O117" s="389"/>
      <c r="P117" s="389"/>
      <c r="Q117" s="389"/>
      <c r="R117" s="389"/>
      <c r="S117" s="389"/>
      <c r="T117" s="389"/>
      <c r="U117" s="389"/>
      <c r="V117" s="22"/>
      <c r="W117" s="389"/>
      <c r="Y117" s="272"/>
    </row>
    <row r="118" spans="2:25" x14ac:dyDescent="0.25">
      <c r="B118" s="152"/>
    </row>
    <row r="119" spans="2:25" s="338" customFormat="1" x14ac:dyDescent="0.25">
      <c r="B119" s="152"/>
      <c r="D119" s="152" t="s">
        <v>815</v>
      </c>
    </row>
    <row r="120" spans="2:25" s="474" customFormat="1" x14ac:dyDescent="0.25">
      <c r="B120" s="152"/>
      <c r="D120" s="152"/>
    </row>
    <row r="121" spans="2:25" x14ac:dyDescent="0.25">
      <c r="B121" s="152"/>
      <c r="C121" s="144"/>
      <c r="E121" s="160" t="s">
        <v>114</v>
      </c>
      <c r="F121" s="145"/>
      <c r="G121" s="145" t="s">
        <v>111</v>
      </c>
      <c r="H121" s="197">
        <f>H25</f>
        <v>4.8955586267809562E-2</v>
      </c>
    </row>
    <row r="122" spans="2:25" x14ac:dyDescent="0.25">
      <c r="B122" s="152"/>
      <c r="C122" s="144"/>
      <c r="E122" s="160" t="s">
        <v>148</v>
      </c>
      <c r="F122" s="145"/>
      <c r="G122" s="145" t="s">
        <v>721</v>
      </c>
      <c r="H122" s="420">
        <f>H90</f>
        <v>170882991.56671214</v>
      </c>
    </row>
    <row r="123" spans="2:25" s="11" customFormat="1" x14ac:dyDescent="0.25">
      <c r="E123" s="11" t="s">
        <v>132</v>
      </c>
      <c r="F123" s="145"/>
      <c r="G123" s="145" t="s">
        <v>124</v>
      </c>
      <c r="H123" s="420">
        <f>SUM(K76:U76)</f>
        <v>8637592576.1890221</v>
      </c>
      <c r="I123" s="131"/>
      <c r="J123" s="131"/>
      <c r="K123" s="131"/>
      <c r="L123" s="131"/>
      <c r="M123" s="131"/>
      <c r="N123" s="131"/>
      <c r="O123" s="131"/>
      <c r="P123" s="131"/>
      <c r="Q123" s="131"/>
      <c r="R123" s="131"/>
      <c r="S123" s="131"/>
      <c r="T123" s="131"/>
      <c r="U123" s="131"/>
      <c r="X123" s="12"/>
    </row>
    <row r="124" spans="2:25" x14ac:dyDescent="0.25">
      <c r="B124" s="152"/>
      <c r="C124" s="144"/>
    </row>
    <row r="125" spans="2:25" s="160" customFormat="1" x14ac:dyDescent="0.25">
      <c r="B125" s="171" t="s">
        <v>126</v>
      </c>
      <c r="C125" s="171"/>
      <c r="D125" s="171"/>
      <c r="E125" s="171"/>
      <c r="F125" s="171"/>
      <c r="G125" s="171"/>
      <c r="H125" s="171"/>
      <c r="I125" s="171"/>
      <c r="J125" s="171"/>
      <c r="K125" s="171"/>
      <c r="L125" s="171"/>
      <c r="M125" s="171"/>
      <c r="N125" s="171"/>
      <c r="O125" s="171"/>
      <c r="P125" s="171"/>
      <c r="Q125" s="171"/>
      <c r="R125" s="171"/>
      <c r="S125" s="171"/>
      <c r="T125" s="171"/>
      <c r="U125" s="171"/>
      <c r="V125" s="171"/>
      <c r="W125" s="171"/>
    </row>
    <row r="126" spans="2:25" s="160" customFormat="1" x14ac:dyDescent="0.25"/>
    <row r="127" spans="2:25" s="160" customFormat="1" x14ac:dyDescent="0.25">
      <c r="E127" s="160" t="s">
        <v>622</v>
      </c>
      <c r="G127" s="111" t="s">
        <v>814</v>
      </c>
      <c r="H127" s="317">
        <f t="array" ref="H127">SUM(IF(ISERROR(H23:U123), 1))</f>
        <v>0</v>
      </c>
    </row>
    <row r="128" spans="2:25" s="160" customFormat="1" x14ac:dyDescent="0.25"/>
    <row r="129" spans="2:23" s="160" customFormat="1" x14ac:dyDescent="0.25">
      <c r="E129" s="160" t="s">
        <v>764</v>
      </c>
      <c r="G129" s="111" t="s">
        <v>814</v>
      </c>
      <c r="H129" s="317">
        <f>SUM(J129:U129)</f>
        <v>0</v>
      </c>
      <c r="J129" s="258"/>
      <c r="K129" s="258"/>
      <c r="L129" s="567"/>
      <c r="M129" s="567"/>
      <c r="N129" s="317">
        <f t="shared" ref="N129:U129" si="13">IFERROR(IF(OR(AND(N54&gt;0, N48=0), AND(N48&gt;0, N54=0)), 1, 0),1)</f>
        <v>0</v>
      </c>
      <c r="O129" s="317">
        <f t="shared" si="13"/>
        <v>0</v>
      </c>
      <c r="P129" s="317">
        <f t="shared" si="13"/>
        <v>0</v>
      </c>
      <c r="Q129" s="317">
        <f t="shared" si="13"/>
        <v>0</v>
      </c>
      <c r="R129" s="317">
        <f t="shared" si="13"/>
        <v>0</v>
      </c>
      <c r="S129" s="317">
        <f t="shared" si="13"/>
        <v>0</v>
      </c>
      <c r="T129" s="317">
        <f t="shared" si="13"/>
        <v>0</v>
      </c>
      <c r="U129" s="317">
        <f t="shared" si="13"/>
        <v>0</v>
      </c>
    </row>
    <row r="130" spans="2:23" s="160" customFormat="1" x14ac:dyDescent="0.25"/>
    <row r="131" spans="2:23" s="160" customFormat="1" x14ac:dyDescent="0.25">
      <c r="E131" s="160" t="s">
        <v>546</v>
      </c>
      <c r="G131" s="111" t="s">
        <v>814</v>
      </c>
      <c r="H131" s="378">
        <f>H127 + H129</f>
        <v>0</v>
      </c>
    </row>
    <row r="132" spans="2:23" s="160" customFormat="1" x14ac:dyDescent="0.25"/>
    <row r="133" spans="2:23" x14ac:dyDescent="0.25">
      <c r="B133" s="34" t="s">
        <v>127</v>
      </c>
      <c r="C133" s="34"/>
      <c r="D133" s="34"/>
      <c r="E133" s="171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171"/>
      <c r="W133" s="171"/>
    </row>
  </sheetData>
  <sheetProtection sheet="1" objects="1" formatCells="0" formatColumns="0" formatRows="0" sort="0" autoFilter="0"/>
  <conditionalFormatting sqref="H127">
    <cfRule type="cellIs" dxfId="37" priority="5" operator="greaterThan">
      <formula>0</formula>
    </cfRule>
  </conditionalFormatting>
  <conditionalFormatting sqref="H129">
    <cfRule type="cellIs" dxfId="36" priority="4" operator="greaterThan">
      <formula>0</formula>
    </cfRule>
  </conditionalFormatting>
  <conditionalFormatting sqref="J129:U129">
    <cfRule type="cellIs" dxfId="35" priority="3" operator="greaterThan">
      <formula>0</formula>
    </cfRule>
  </conditionalFormatting>
  <conditionalFormatting sqref="H131:H132">
    <cfRule type="cellIs" dxfId="34" priority="2" operator="greaterThan">
      <formula>0</formula>
    </cfRule>
  </conditionalFormatting>
  <conditionalFormatting sqref="A4:XFD4">
    <cfRule type="expression" dxfId="33" priority="1">
      <formula>LEFT($A$4,1) &lt;&gt; "0"</formula>
    </cfRule>
  </conditionalFormatting>
  <hyperlinks>
    <hyperlink ref="B5:F5" location="'Model map'!A1" display="Click here to return to model map"/>
  </hyperlinks>
  <pageMargins left="0.7" right="0.7" top="0.75" bottom="0.75" header="0.3" footer="0.3"/>
  <pageSetup paperSize="9" fitToHeight="0" orientation="portrait" r:id="rId1"/>
  <headerFooter>
    <oddHeader>&amp;L&amp;A&amp;C&amp;R&amp;P of &amp;N</oddHeader>
    <oddFooter>&amp;F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4" tint="0.59999389629810485"/>
    <pageSetUpPr fitToPage="1"/>
  </sheetPr>
  <dimension ref="A1:JE296"/>
  <sheetViews>
    <sheetView showGridLines="0" zoomScale="80" zoomScaleNormal="80" workbookViewId="0">
      <pane xSplit="9" ySplit="5" topLeftCell="J6" activePane="bottomRight" state="frozen"/>
      <selection activeCell="N50" sqref="N50"/>
      <selection pane="topRight" activeCell="N50" sqref="N50"/>
      <selection pane="bottomLeft" activeCell="N50" sqref="N50"/>
      <selection pane="bottomRight" activeCell="J6" sqref="J6"/>
    </sheetView>
  </sheetViews>
  <sheetFormatPr defaultColWidth="0" defaultRowHeight="15" x14ac:dyDescent="0.25"/>
  <cols>
    <col min="1" max="4" width="2.7109375" style="131" customWidth="1"/>
    <col min="5" max="5" width="2.7109375" style="160" customWidth="1"/>
    <col min="6" max="6" width="59.5703125" style="131" customWidth="1"/>
    <col min="7" max="8" width="20.7109375" style="131" customWidth="1"/>
    <col min="9" max="9" width="2.28515625" style="131" customWidth="1"/>
    <col min="10" max="42" width="17" style="131" customWidth="1"/>
    <col min="43" max="43" width="2.28515625" style="131" customWidth="1"/>
    <col min="44" max="44" width="50.7109375" style="131" customWidth="1"/>
    <col min="45" max="45" width="2.28515625" style="131" customWidth="1"/>
    <col min="46" max="265" width="24.7109375" style="131" hidden="1" customWidth="1"/>
    <col min="266" max="16384" width="8.85546875" style="131" hidden="1"/>
  </cols>
  <sheetData>
    <row r="1" spans="1:97" s="25" customFormat="1" x14ac:dyDescent="0.25">
      <c r="A1" s="25" t="str">
        <f ca="1">MID(CELL("filename",A1),FIND("]",CELL("filename",A1))+1,255)</f>
        <v>Initial unit rates</v>
      </c>
    </row>
    <row r="2" spans="1:97" s="25" customFormat="1" x14ac:dyDescent="0.25">
      <c r="A2" s="25" t="str">
        <f>Cover!D21&amp;" - "&amp;Cover!D23</f>
        <v>SEPD - Final</v>
      </c>
    </row>
    <row r="3" spans="1:97" s="97" customFormat="1" x14ac:dyDescent="0.25">
      <c r="A3" s="97" t="str">
        <f>Cover!D2&amp;" - "&amp;Cover!D8&amp;" v"&amp;Cover!D10&amp;" - "&amp;Cover!D19</f>
        <v>ARP model - Release for charge setting v3 - 2020/21</v>
      </c>
    </row>
    <row r="4" spans="1:97" s="338" customFormat="1" x14ac:dyDescent="0.25">
      <c r="A4" s="392" t="str">
        <f>H294 &amp; IF(H294 = 1, " issue", " issues") &amp;" identified in checks on this sheet"</f>
        <v>0 issues identified in checks on this sheet</v>
      </c>
      <c r="B4" s="393"/>
      <c r="C4" s="393"/>
      <c r="D4" s="393"/>
      <c r="E4" s="393"/>
      <c r="F4" s="393"/>
      <c r="G4" s="393"/>
      <c r="H4" s="394"/>
      <c r="I4" s="394"/>
      <c r="J4" s="393"/>
      <c r="K4" s="383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3"/>
      <c r="AD4" s="383"/>
      <c r="AE4" s="383"/>
      <c r="AF4" s="383"/>
      <c r="AG4" s="383"/>
      <c r="AH4" s="383"/>
      <c r="AI4" s="383"/>
      <c r="AJ4" s="383"/>
      <c r="AK4" s="383"/>
      <c r="AL4" s="383"/>
      <c r="AM4" s="383"/>
      <c r="AN4" s="383"/>
      <c r="AO4" s="383"/>
      <c r="AP4" s="383"/>
      <c r="AQ4" s="383"/>
      <c r="AR4" s="383"/>
      <c r="AS4" s="383"/>
      <c r="AT4" s="383"/>
      <c r="AU4" s="383"/>
      <c r="AV4" s="383"/>
      <c r="AW4" s="383"/>
      <c r="AX4" s="383"/>
      <c r="AY4" s="383"/>
      <c r="AZ4" s="383"/>
      <c r="BA4" s="383"/>
      <c r="BB4" s="383"/>
      <c r="BC4" s="383"/>
      <c r="BD4" s="383"/>
      <c r="BE4" s="383"/>
      <c r="BF4" s="383"/>
      <c r="BG4" s="383"/>
      <c r="BH4" s="383"/>
      <c r="BI4" s="383"/>
      <c r="BJ4" s="383"/>
      <c r="BK4" s="383"/>
      <c r="BL4" s="383"/>
      <c r="BM4" s="383"/>
      <c r="BN4" s="383"/>
      <c r="BO4" s="383"/>
      <c r="BP4" s="383"/>
      <c r="BQ4" s="383"/>
      <c r="BR4" s="383"/>
      <c r="BS4" s="383"/>
      <c r="BT4" s="383"/>
      <c r="BU4" s="383"/>
      <c r="BV4" s="383"/>
      <c r="BW4" s="383"/>
      <c r="BX4" s="383"/>
      <c r="BY4" s="383"/>
      <c r="BZ4" s="383"/>
      <c r="CA4" s="383"/>
      <c r="CB4" s="383"/>
      <c r="CC4" s="383"/>
      <c r="CD4" s="383"/>
      <c r="CE4" s="383"/>
      <c r="CF4" s="383"/>
      <c r="CG4" s="383"/>
      <c r="CH4" s="383"/>
      <c r="CI4" s="383"/>
      <c r="CJ4" s="383"/>
      <c r="CK4" s="383"/>
      <c r="CL4" s="383"/>
      <c r="CM4" s="383"/>
      <c r="CN4" s="383"/>
      <c r="CO4" s="383"/>
      <c r="CP4" s="383"/>
      <c r="CQ4" s="383"/>
      <c r="CR4" s="383"/>
      <c r="CS4" s="383"/>
    </row>
    <row r="5" spans="1:97" ht="60" x14ac:dyDescent="0.25">
      <c r="B5" s="244" t="s">
        <v>667</v>
      </c>
      <c r="C5" s="24"/>
      <c r="D5" s="24"/>
      <c r="E5" s="24"/>
      <c r="F5" s="24"/>
      <c r="G5" s="1" t="s">
        <v>108</v>
      </c>
      <c r="H5" s="2" t="s">
        <v>109</v>
      </c>
      <c r="I5" s="200"/>
      <c r="J5" s="2" t="s">
        <v>52</v>
      </c>
      <c r="K5" s="2" t="s">
        <v>53</v>
      </c>
      <c r="L5" s="2" t="s">
        <v>84</v>
      </c>
      <c r="M5" s="2" t="s">
        <v>54</v>
      </c>
      <c r="N5" s="2" t="s">
        <v>55</v>
      </c>
      <c r="O5" s="2" t="s">
        <v>85</v>
      </c>
      <c r="P5" s="2" t="s">
        <v>56</v>
      </c>
      <c r="Q5" s="2" t="s">
        <v>57</v>
      </c>
      <c r="R5" s="2" t="s">
        <v>72</v>
      </c>
      <c r="S5" s="2" t="s">
        <v>58</v>
      </c>
      <c r="T5" s="2" t="s">
        <v>59</v>
      </c>
      <c r="U5" s="2" t="s">
        <v>60</v>
      </c>
      <c r="V5" s="2" t="s">
        <v>61</v>
      </c>
      <c r="W5" s="2" t="s">
        <v>73</v>
      </c>
      <c r="X5" s="2" t="s">
        <v>86</v>
      </c>
      <c r="Y5" s="2" t="s">
        <v>87</v>
      </c>
      <c r="Z5" s="2" t="s">
        <v>88</v>
      </c>
      <c r="AA5" s="2" t="s">
        <v>89</v>
      </c>
      <c r="AB5" s="2" t="s">
        <v>90</v>
      </c>
      <c r="AC5" s="2" t="s">
        <v>62</v>
      </c>
      <c r="AD5" s="2" t="s">
        <v>63</v>
      </c>
      <c r="AE5" s="2" t="s">
        <v>64</v>
      </c>
      <c r="AF5" s="2" t="s">
        <v>65</v>
      </c>
      <c r="AG5" s="2" t="s">
        <v>66</v>
      </c>
      <c r="AH5" s="2" t="s">
        <v>67</v>
      </c>
      <c r="AI5" s="2" t="s">
        <v>68</v>
      </c>
      <c r="AJ5" s="2" t="s">
        <v>69</v>
      </c>
      <c r="AK5" s="2" t="s">
        <v>70</v>
      </c>
      <c r="AL5" s="2" t="s">
        <v>71</v>
      </c>
      <c r="AM5" s="2" t="s">
        <v>74</v>
      </c>
      <c r="AN5" s="2" t="s">
        <v>75</v>
      </c>
      <c r="AO5" s="2" t="s">
        <v>76</v>
      </c>
      <c r="AP5" s="2" t="s">
        <v>77</v>
      </c>
      <c r="AR5" s="1" t="s">
        <v>110</v>
      </c>
    </row>
    <row r="6" spans="1:97" x14ac:dyDescent="0.25"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W6" s="136"/>
    </row>
    <row r="7" spans="1:97" s="160" customFormat="1" x14ac:dyDescent="0.25">
      <c r="B7" s="171" t="s">
        <v>107</v>
      </c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</row>
    <row r="8" spans="1:97" s="160" customFormat="1" x14ac:dyDescent="0.25"/>
    <row r="9" spans="1:97" s="160" customFormat="1" x14ac:dyDescent="0.25">
      <c r="C9" s="152" t="s">
        <v>731</v>
      </c>
      <c r="E9" s="35"/>
    </row>
    <row r="10" spans="1:97" s="160" customFormat="1" x14ac:dyDescent="0.25"/>
    <row r="11" spans="1:97" x14ac:dyDescent="0.25">
      <c r="B11" s="34" t="s">
        <v>909</v>
      </c>
      <c r="C11" s="34"/>
      <c r="D11" s="34"/>
      <c r="E11" s="171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171"/>
      <c r="AR11" s="171"/>
    </row>
    <row r="12" spans="1:97" s="160" customFormat="1" x14ac:dyDescent="0.25"/>
    <row r="13" spans="1:97" s="338" customFormat="1" x14ac:dyDescent="0.25">
      <c r="C13" s="22" t="str">
        <f ca="1">INDEX('Version control'!$H$34:$H$59,MATCH($A$1,'Version control'!$F$34:$F$59,0),1)&amp;"-A: Inputs for yardstick and unit rate calculations"</f>
        <v>Section 512-A: Inputs for yardstick and unit rate calculations</v>
      </c>
      <c r="D13" s="22"/>
      <c r="E13" s="22"/>
      <c r="F13" s="22"/>
      <c r="G13" s="22"/>
      <c r="H13" s="22"/>
      <c r="I13" s="22"/>
      <c r="J13" s="296"/>
      <c r="K13" s="296"/>
      <c r="L13" s="296"/>
      <c r="M13" s="296"/>
      <c r="N13" s="296"/>
      <c r="O13" s="296"/>
      <c r="P13" s="296"/>
      <c r="Q13" s="296"/>
      <c r="R13" s="296"/>
      <c r="S13" s="296"/>
      <c r="T13" s="296"/>
      <c r="U13" s="296"/>
      <c r="V13" s="296"/>
      <c r="W13" s="296"/>
      <c r="X13" s="296"/>
      <c r="Y13" s="296"/>
      <c r="Z13" s="296"/>
      <c r="AA13" s="296"/>
      <c r="AB13" s="296"/>
      <c r="AC13" s="296"/>
      <c r="AD13" s="296"/>
      <c r="AE13" s="296"/>
      <c r="AF13" s="296"/>
      <c r="AG13" s="296"/>
      <c r="AH13" s="296"/>
      <c r="AI13" s="296"/>
      <c r="AJ13" s="296"/>
      <c r="AK13" s="296"/>
      <c r="AL13" s="296"/>
      <c r="AM13" s="296"/>
      <c r="AN13" s="296"/>
      <c r="AO13" s="296"/>
      <c r="AP13" s="296"/>
      <c r="AQ13" s="22"/>
      <c r="AR13" s="22"/>
    </row>
    <row r="14" spans="1:97" s="338" customFormat="1" x14ac:dyDescent="0.25">
      <c r="C14" s="172"/>
      <c r="D14" s="172"/>
      <c r="E14" s="172"/>
      <c r="J14" s="165"/>
      <c r="K14" s="165"/>
      <c r="L14" s="165"/>
      <c r="M14" s="165"/>
      <c r="N14" s="165"/>
      <c r="O14" s="165"/>
      <c r="P14" s="165"/>
      <c r="Q14" s="165"/>
      <c r="R14" s="165"/>
      <c r="S14" s="165"/>
    </row>
    <row r="15" spans="1:97" x14ac:dyDescent="0.25">
      <c r="D15" s="152" t="s">
        <v>549</v>
      </c>
      <c r="E15" s="131"/>
      <c r="F15" s="160"/>
    </row>
    <row r="16" spans="1:97" x14ac:dyDescent="0.25">
      <c r="E16" s="131"/>
      <c r="F16" s="160"/>
    </row>
    <row r="17" spans="5:44" x14ac:dyDescent="0.25">
      <c r="E17" s="172" t="s">
        <v>746</v>
      </c>
      <c r="F17" s="160"/>
      <c r="G17" s="145"/>
      <c r="H17" s="43"/>
      <c r="I17" s="163" t="s">
        <v>525</v>
      </c>
      <c r="J17" s="11"/>
      <c r="AR17" s="11" t="s">
        <v>977</v>
      </c>
    </row>
    <row r="18" spans="5:44" x14ac:dyDescent="0.25">
      <c r="E18" s="131"/>
      <c r="F18" s="481" t="s">
        <v>397</v>
      </c>
      <c r="G18" s="40" t="s">
        <v>125</v>
      </c>
      <c r="H18" s="402"/>
      <c r="Y18" s="133"/>
    </row>
    <row r="19" spans="5:44" x14ac:dyDescent="0.25">
      <c r="E19" s="131"/>
      <c r="F19" s="211" t="s">
        <v>43</v>
      </c>
      <c r="G19" s="145" t="s">
        <v>125</v>
      </c>
      <c r="H19" s="403"/>
      <c r="Y19" s="133"/>
    </row>
    <row r="20" spans="5:44" x14ac:dyDescent="0.25">
      <c r="E20" s="131"/>
      <c r="F20" s="211" t="s">
        <v>44</v>
      </c>
      <c r="G20" s="145" t="s">
        <v>125</v>
      </c>
      <c r="H20" s="437">
        <f t="array" ref="H20:H27">TRANSPOSE('Unit costs'!L114:S114)</f>
        <v>10.669747730206675</v>
      </c>
      <c r="Y20" s="133"/>
    </row>
    <row r="21" spans="5:44" x14ac:dyDescent="0.25">
      <c r="E21" s="131"/>
      <c r="F21" s="211" t="s">
        <v>45</v>
      </c>
      <c r="G21" s="145" t="s">
        <v>125</v>
      </c>
      <c r="H21" s="437">
        <v>2.9782944756569507</v>
      </c>
      <c r="Y21" s="133"/>
    </row>
    <row r="22" spans="5:44" x14ac:dyDescent="0.25">
      <c r="E22" s="131"/>
      <c r="F22" s="211" t="s">
        <v>46</v>
      </c>
      <c r="G22" s="145" t="s">
        <v>125</v>
      </c>
      <c r="H22" s="437">
        <v>7.2018523411578244</v>
      </c>
      <c r="Y22" s="133"/>
    </row>
    <row r="23" spans="5:44" x14ac:dyDescent="0.25">
      <c r="E23" s="131"/>
      <c r="F23" s="211" t="s">
        <v>47</v>
      </c>
      <c r="G23" s="145" t="s">
        <v>125</v>
      </c>
      <c r="H23" s="437">
        <v>5.5125273828843655</v>
      </c>
      <c r="Y23" s="133"/>
    </row>
    <row r="24" spans="5:44" x14ac:dyDescent="0.25">
      <c r="E24" s="131"/>
      <c r="F24" s="211" t="s">
        <v>51</v>
      </c>
      <c r="G24" s="145" t="s">
        <v>125</v>
      </c>
      <c r="H24" s="437">
        <v>0</v>
      </c>
      <c r="Y24" s="133"/>
    </row>
    <row r="25" spans="5:44" x14ac:dyDescent="0.25">
      <c r="E25" s="131"/>
      <c r="F25" s="211" t="s">
        <v>48</v>
      </c>
      <c r="G25" s="145" t="s">
        <v>125</v>
      </c>
      <c r="H25" s="437">
        <v>18.200075134476446</v>
      </c>
      <c r="Y25" s="133"/>
    </row>
    <row r="26" spans="5:44" x14ac:dyDescent="0.25">
      <c r="E26" s="131"/>
      <c r="F26" s="211" t="s">
        <v>49</v>
      </c>
      <c r="G26" s="145" t="s">
        <v>125</v>
      </c>
      <c r="H26" s="437">
        <v>6.0546457475617759</v>
      </c>
      <c r="Y26" s="133"/>
    </row>
    <row r="27" spans="5:44" x14ac:dyDescent="0.25">
      <c r="E27" s="131"/>
      <c r="F27" s="212" t="s">
        <v>50</v>
      </c>
      <c r="G27" s="38" t="s">
        <v>125</v>
      </c>
      <c r="H27" s="440">
        <v>11.338060767875723</v>
      </c>
      <c r="Y27" s="133"/>
    </row>
    <row r="28" spans="5:44" s="160" customFormat="1" x14ac:dyDescent="0.25">
      <c r="F28" s="211"/>
      <c r="G28" s="145"/>
      <c r="H28" s="437"/>
      <c r="Y28" s="133"/>
    </row>
    <row r="29" spans="5:44" s="11" customFormat="1" x14ac:dyDescent="0.25">
      <c r="E29" s="172" t="s">
        <v>747</v>
      </c>
      <c r="G29" s="145"/>
      <c r="H29" s="456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</row>
    <row r="30" spans="5:44" s="11" customFormat="1" x14ac:dyDescent="0.25">
      <c r="F30" s="481" t="s">
        <v>397</v>
      </c>
      <c r="G30" s="40" t="s">
        <v>1190</v>
      </c>
      <c r="H30" s="457">
        <f t="array" ref="H30:H39">TRANSPOSE('Unit costs'!J115:S115)</f>
        <v>3.0882569609544062</v>
      </c>
      <c r="I30" s="131"/>
      <c r="J30" s="131"/>
      <c r="K30" s="131"/>
      <c r="L30" s="131"/>
      <c r="M30" s="131"/>
      <c r="N30" s="131"/>
      <c r="O30" s="131"/>
      <c r="P30" s="131"/>
      <c r="Q30" s="131"/>
      <c r="R30" s="131"/>
      <c r="S30" s="131"/>
      <c r="T30" s="131"/>
      <c r="U30" s="131"/>
    </row>
    <row r="31" spans="5:44" s="11" customFormat="1" x14ac:dyDescent="0.25">
      <c r="F31" s="211" t="s">
        <v>43</v>
      </c>
      <c r="G31" s="145" t="s">
        <v>1190</v>
      </c>
      <c r="H31" s="458">
        <v>0</v>
      </c>
      <c r="I31" s="131"/>
      <c r="J31" s="131"/>
      <c r="K31" s="131"/>
      <c r="L31" s="131"/>
      <c r="M31" s="131"/>
      <c r="N31" s="131"/>
      <c r="O31" s="131"/>
      <c r="P31" s="131"/>
      <c r="Q31" s="131"/>
      <c r="R31" s="131"/>
      <c r="S31" s="131"/>
      <c r="T31" s="131"/>
      <c r="U31" s="131"/>
    </row>
    <row r="32" spans="5:44" s="11" customFormat="1" x14ac:dyDescent="0.25">
      <c r="F32" s="211" t="s">
        <v>44</v>
      </c>
      <c r="G32" s="145" t="s">
        <v>1190</v>
      </c>
      <c r="H32" s="458">
        <v>4.3117941483657196</v>
      </c>
      <c r="I32" s="131"/>
      <c r="J32" s="131"/>
      <c r="K32" s="131"/>
      <c r="L32" s="131"/>
      <c r="M32" s="131"/>
      <c r="N32" s="131"/>
      <c r="O32" s="131"/>
      <c r="P32" s="131"/>
      <c r="Q32" s="131"/>
      <c r="R32" s="131"/>
      <c r="S32" s="131"/>
      <c r="T32" s="131"/>
      <c r="U32" s="131"/>
    </row>
    <row r="33" spans="5:23" s="11" customFormat="1" x14ac:dyDescent="0.25">
      <c r="F33" s="211" t="s">
        <v>45</v>
      </c>
      <c r="G33" s="145" t="s">
        <v>1190</v>
      </c>
      <c r="H33" s="458">
        <v>1.2035704139369414</v>
      </c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spans="5:23" s="11" customFormat="1" x14ac:dyDescent="0.25">
      <c r="F34" s="211" t="s">
        <v>46</v>
      </c>
      <c r="G34" s="145" t="s">
        <v>1190</v>
      </c>
      <c r="H34" s="458">
        <v>2.9103691640324061</v>
      </c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spans="5:23" s="11" customFormat="1" x14ac:dyDescent="0.25">
      <c r="F35" s="211" t="s">
        <v>47</v>
      </c>
      <c r="G35" s="145" t="s">
        <v>1190</v>
      </c>
      <c r="H35" s="458">
        <v>2.2276893431074773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spans="5:23" s="11" customFormat="1" x14ac:dyDescent="0.25">
      <c r="F36" s="211" t="s">
        <v>51</v>
      </c>
      <c r="G36" s="145" t="s">
        <v>1190</v>
      </c>
      <c r="H36" s="458">
        <v>0</v>
      </c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spans="5:23" s="11" customFormat="1" x14ac:dyDescent="0.25">
      <c r="F37" s="211" t="s">
        <v>48</v>
      </c>
      <c r="G37" s="145" t="s">
        <v>1190</v>
      </c>
      <c r="H37" s="458">
        <v>7.3549046752515768</v>
      </c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</row>
    <row r="38" spans="5:23" s="11" customFormat="1" x14ac:dyDescent="0.25">
      <c r="F38" s="211" t="s">
        <v>49</v>
      </c>
      <c r="G38" s="145" t="s">
        <v>1190</v>
      </c>
      <c r="H38" s="458">
        <v>2.4467669494055198</v>
      </c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</row>
    <row r="39" spans="5:23" s="11" customFormat="1" x14ac:dyDescent="0.25">
      <c r="F39" s="212" t="s">
        <v>50</v>
      </c>
      <c r="G39" s="38" t="s">
        <v>1190</v>
      </c>
      <c r="H39" s="459">
        <v>4.5818687853639188</v>
      </c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</row>
    <row r="40" spans="5:23" s="11" customFormat="1" x14ac:dyDescent="0.25">
      <c r="G40" s="145"/>
      <c r="H40" s="444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</row>
    <row r="41" spans="5:23" x14ac:dyDescent="0.25">
      <c r="E41" s="144" t="s">
        <v>743</v>
      </c>
      <c r="F41" s="172"/>
      <c r="H41" s="442"/>
      <c r="I41" s="43"/>
      <c r="J41" s="136"/>
      <c r="K41" s="136"/>
      <c r="L41" s="136"/>
      <c r="M41" s="136"/>
      <c r="N41" s="136"/>
      <c r="O41" s="136"/>
      <c r="P41" s="136"/>
      <c r="Q41" s="136"/>
      <c r="R41" s="136"/>
      <c r="S41" s="12"/>
      <c r="T41" s="12"/>
      <c r="U41" s="12"/>
      <c r="V41" s="12"/>
      <c r="W41" s="136"/>
    </row>
    <row r="42" spans="5:23" x14ac:dyDescent="0.25">
      <c r="E42" s="152" t="s">
        <v>310</v>
      </c>
      <c r="F42" s="152"/>
      <c r="H42" s="442"/>
      <c r="I42" s="43"/>
      <c r="J42" s="136"/>
      <c r="K42" s="136"/>
      <c r="L42" s="136"/>
      <c r="M42" s="136"/>
      <c r="N42" s="136"/>
      <c r="O42" s="136"/>
      <c r="P42" s="136"/>
      <c r="Q42" s="136"/>
      <c r="R42" s="136"/>
      <c r="S42" s="12"/>
      <c r="T42" s="12"/>
      <c r="U42" s="12"/>
      <c r="V42" s="12"/>
      <c r="W42" s="136"/>
    </row>
    <row r="43" spans="5:23" x14ac:dyDescent="0.25">
      <c r="E43" s="131"/>
      <c r="F43" s="166" t="s">
        <v>397</v>
      </c>
      <c r="G43" s="166" t="s">
        <v>636</v>
      </c>
      <c r="H43" s="438">
        <f t="array" ref="H43:H52">TRANSPOSE('Load &amp; loss characteristics'!J29:S29)</f>
        <v>1</v>
      </c>
      <c r="I43" s="43"/>
      <c r="J43" s="93"/>
      <c r="K43" s="93"/>
      <c r="L43" s="93"/>
      <c r="M43" s="93"/>
      <c r="N43" s="93"/>
      <c r="O43" s="93"/>
      <c r="P43" s="93"/>
      <c r="Q43" s="93"/>
      <c r="R43" s="93"/>
      <c r="S43" s="12"/>
      <c r="T43" s="12"/>
      <c r="U43" s="12"/>
      <c r="V43" s="12"/>
    </row>
    <row r="44" spans="5:23" x14ac:dyDescent="0.25">
      <c r="E44" s="131"/>
      <c r="F44" s="167" t="s">
        <v>43</v>
      </c>
      <c r="G44" s="167" t="s">
        <v>636</v>
      </c>
      <c r="H44" s="437">
        <v>1</v>
      </c>
      <c r="I44" s="43"/>
      <c r="J44" s="93"/>
      <c r="K44" s="93"/>
      <c r="L44" s="93"/>
      <c r="M44" s="93"/>
      <c r="N44" s="93"/>
      <c r="O44" s="93"/>
      <c r="P44" s="93"/>
      <c r="Q44" s="93"/>
      <c r="R44" s="93"/>
      <c r="S44" s="12"/>
      <c r="T44" s="12"/>
      <c r="U44" s="12"/>
      <c r="V44" s="12"/>
    </row>
    <row r="45" spans="5:23" x14ac:dyDescent="0.25">
      <c r="E45" s="131"/>
      <c r="F45" s="167" t="s">
        <v>44</v>
      </c>
      <c r="G45" s="167" t="s">
        <v>636</v>
      </c>
      <c r="H45" s="437">
        <v>1.0049999999999999</v>
      </c>
      <c r="I45" s="43"/>
      <c r="J45" s="93"/>
      <c r="K45" s="93"/>
      <c r="L45" s="93"/>
      <c r="M45" s="93"/>
      <c r="N45" s="93"/>
      <c r="O45" s="93"/>
      <c r="P45" s="93"/>
      <c r="Q45" s="93"/>
      <c r="R45" s="93"/>
      <c r="S45" s="12"/>
      <c r="T45" s="12"/>
      <c r="U45" s="12"/>
      <c r="V45" s="12"/>
    </row>
    <row r="46" spans="5:23" x14ac:dyDescent="0.25">
      <c r="E46" s="131"/>
      <c r="F46" s="167" t="s">
        <v>45</v>
      </c>
      <c r="G46" s="167" t="s">
        <v>636</v>
      </c>
      <c r="H46" s="437">
        <v>1.008</v>
      </c>
      <c r="O46" s="93"/>
      <c r="P46" s="93"/>
      <c r="Q46" s="93"/>
      <c r="R46" s="93"/>
      <c r="S46" s="12"/>
      <c r="T46" s="12"/>
      <c r="U46" s="12"/>
      <c r="V46" s="12"/>
    </row>
    <row r="47" spans="5:23" x14ac:dyDescent="0.25">
      <c r="E47" s="131"/>
      <c r="F47" s="167" t="s">
        <v>46</v>
      </c>
      <c r="G47" s="167" t="s">
        <v>636</v>
      </c>
      <c r="H47" s="437">
        <v>1.016</v>
      </c>
      <c r="I47" s="43"/>
      <c r="J47" s="93"/>
      <c r="K47" s="93"/>
      <c r="L47" s="93"/>
      <c r="M47" s="93"/>
      <c r="N47" s="93"/>
      <c r="O47" s="93"/>
      <c r="P47" s="93"/>
      <c r="Q47" s="93"/>
      <c r="R47" s="93"/>
      <c r="S47" s="12"/>
      <c r="T47" s="12"/>
      <c r="U47" s="12"/>
      <c r="V47" s="12"/>
    </row>
    <row r="48" spans="5:23" x14ac:dyDescent="0.25">
      <c r="E48" s="131"/>
      <c r="F48" s="167" t="s">
        <v>47</v>
      </c>
      <c r="G48" s="167" t="s">
        <v>636</v>
      </c>
      <c r="H48" s="437">
        <v>1.0209999999999999</v>
      </c>
      <c r="I48" s="43"/>
      <c r="J48" s="93"/>
      <c r="K48" s="93"/>
      <c r="L48" s="93"/>
      <c r="M48" s="93"/>
      <c r="N48" s="93"/>
      <c r="O48" s="93"/>
      <c r="P48" s="93"/>
      <c r="Q48" s="93"/>
      <c r="R48" s="93"/>
      <c r="S48" s="12"/>
      <c r="T48" s="12"/>
      <c r="U48" s="12"/>
      <c r="V48" s="12"/>
    </row>
    <row r="49" spans="4:42" x14ac:dyDescent="0.25">
      <c r="E49" s="131"/>
      <c r="F49" s="167" t="s">
        <v>51</v>
      </c>
      <c r="G49" s="167" t="s">
        <v>636</v>
      </c>
      <c r="H49" s="437">
        <v>1.0209999999999999</v>
      </c>
      <c r="I49" s="43"/>
      <c r="J49" s="93"/>
      <c r="K49" s="93"/>
      <c r="L49" s="93"/>
      <c r="M49" s="93"/>
      <c r="N49" s="93"/>
      <c r="O49" s="93"/>
      <c r="P49" s="93"/>
      <c r="Q49" s="93"/>
      <c r="R49" s="93"/>
      <c r="S49" s="12"/>
      <c r="T49" s="12"/>
      <c r="U49" s="12"/>
      <c r="V49" s="12"/>
    </row>
    <row r="50" spans="4:42" x14ac:dyDescent="0.25">
      <c r="E50" s="131"/>
      <c r="F50" s="167" t="s">
        <v>48</v>
      </c>
      <c r="G50" s="167" t="s">
        <v>636</v>
      </c>
      <c r="H50" s="437">
        <v>1.0309999999999999</v>
      </c>
      <c r="K50" s="93"/>
      <c r="L50" s="93"/>
      <c r="M50" s="93"/>
      <c r="N50" s="93"/>
      <c r="O50" s="93"/>
      <c r="P50" s="93"/>
      <c r="Q50" s="93"/>
      <c r="R50" s="93"/>
      <c r="S50" s="12"/>
      <c r="T50" s="12"/>
      <c r="U50" s="12"/>
      <c r="V50" s="12"/>
    </row>
    <row r="51" spans="4:42" x14ac:dyDescent="0.25">
      <c r="E51" s="131"/>
      <c r="F51" s="167" t="s">
        <v>49</v>
      </c>
      <c r="G51" s="167" t="s">
        <v>636</v>
      </c>
      <c r="H51" s="437">
        <v>1.046</v>
      </c>
      <c r="I51" s="43"/>
      <c r="J51" s="93"/>
      <c r="K51" s="93"/>
      <c r="L51" s="93"/>
      <c r="M51" s="93"/>
      <c r="N51" s="93"/>
      <c r="O51" s="93"/>
      <c r="P51" s="93"/>
      <c r="Q51" s="93"/>
      <c r="R51" s="93"/>
      <c r="S51" s="12"/>
      <c r="T51" s="12"/>
      <c r="U51" s="12"/>
      <c r="V51" s="12"/>
    </row>
    <row r="52" spans="4:42" x14ac:dyDescent="0.25">
      <c r="E52" s="131"/>
      <c r="F52" s="168" t="s">
        <v>50</v>
      </c>
      <c r="G52" s="168" t="s">
        <v>636</v>
      </c>
      <c r="H52" s="440">
        <v>1.089</v>
      </c>
      <c r="I52" s="43"/>
      <c r="J52" s="93"/>
      <c r="K52" s="93"/>
      <c r="L52" s="93"/>
      <c r="M52" s="93"/>
      <c r="N52" s="93"/>
      <c r="O52" s="93"/>
      <c r="P52" s="93"/>
      <c r="Q52" s="93"/>
      <c r="R52" s="93"/>
      <c r="S52" s="12"/>
      <c r="T52" s="12"/>
      <c r="U52" s="12"/>
      <c r="V52" s="12"/>
    </row>
    <row r="53" spans="4:42" x14ac:dyDescent="0.25">
      <c r="E53" s="131"/>
      <c r="F53" s="160"/>
      <c r="G53" s="145"/>
      <c r="H53" s="43"/>
      <c r="I53" s="43"/>
      <c r="J53" s="93"/>
      <c r="K53" s="93"/>
      <c r="L53" s="93"/>
      <c r="M53" s="93"/>
      <c r="N53" s="93"/>
      <c r="O53" s="93"/>
      <c r="P53" s="93"/>
      <c r="Q53" s="93"/>
      <c r="R53" s="93"/>
      <c r="S53" s="12"/>
      <c r="T53" s="12"/>
      <c r="U53" s="12"/>
      <c r="V53" s="12"/>
    </row>
    <row r="54" spans="4:42" x14ac:dyDescent="0.25">
      <c r="E54" s="144" t="s">
        <v>496</v>
      </c>
      <c r="F54" s="172"/>
      <c r="J54" s="33"/>
      <c r="K54" s="33"/>
      <c r="L54" s="33"/>
      <c r="M54" s="33"/>
      <c r="N54" s="33"/>
      <c r="O54" s="33"/>
      <c r="P54" s="33"/>
      <c r="Q54" s="33"/>
      <c r="R54" s="33"/>
      <c r="S54" s="33"/>
    </row>
    <row r="55" spans="4:42" x14ac:dyDescent="0.25">
      <c r="D55" s="144"/>
      <c r="E55" s="144"/>
      <c r="F55" s="481" t="s">
        <v>397</v>
      </c>
      <c r="G55" s="166" t="s">
        <v>636</v>
      </c>
      <c r="H55" s="137"/>
      <c r="I55" s="137"/>
      <c r="J55" s="457">
        <f t="array" ref="J55:AP64">TRANSPOSE('Load &amp; loss characteristics'!J230:S262)</f>
        <v>1.089</v>
      </c>
      <c r="K55" s="457">
        <v>1.089</v>
      </c>
      <c r="L55" s="457">
        <v>1.089</v>
      </c>
      <c r="M55" s="457">
        <v>1.089</v>
      </c>
      <c r="N55" s="457">
        <v>1.089</v>
      </c>
      <c r="O55" s="457">
        <v>1.089</v>
      </c>
      <c r="P55" s="457">
        <v>1.089</v>
      </c>
      <c r="Q55" s="457">
        <v>1.046</v>
      </c>
      <c r="R55" s="457">
        <v>1.0309999999999999</v>
      </c>
      <c r="S55" s="457">
        <v>1.089</v>
      </c>
      <c r="T55" s="457">
        <v>1.089</v>
      </c>
      <c r="U55" s="457">
        <v>1.089</v>
      </c>
      <c r="V55" s="457">
        <v>1.046</v>
      </c>
      <c r="W55" s="457">
        <v>1.0309999999999999</v>
      </c>
      <c r="X55" s="457">
        <v>1.089</v>
      </c>
      <c r="Y55" s="457">
        <v>1.089</v>
      </c>
      <c r="Z55" s="457">
        <v>1.089</v>
      </c>
      <c r="AA55" s="457">
        <v>1.089</v>
      </c>
      <c r="AB55" s="457">
        <v>1.089</v>
      </c>
      <c r="AC55" s="457">
        <v>-1.089</v>
      </c>
      <c r="AD55" s="457">
        <v>-1.046</v>
      </c>
      <c r="AE55" s="457">
        <v>-1.089</v>
      </c>
      <c r="AF55" s="457">
        <v>-1.089</v>
      </c>
      <c r="AG55" s="457">
        <v>-1.089</v>
      </c>
      <c r="AH55" s="457">
        <v>-1.089</v>
      </c>
      <c r="AI55" s="457">
        <v>-1.046</v>
      </c>
      <c r="AJ55" s="457">
        <v>-1.046</v>
      </c>
      <c r="AK55" s="457">
        <v>-1.046</v>
      </c>
      <c r="AL55" s="457">
        <v>-1.046</v>
      </c>
      <c r="AM55" s="457">
        <v>-1.0309999999999999</v>
      </c>
      <c r="AN55" s="457">
        <v>-1.0309999999999999</v>
      </c>
      <c r="AO55" s="457">
        <v>-1.0309999999999999</v>
      </c>
      <c r="AP55" s="457">
        <v>-1.0309999999999999</v>
      </c>
    </row>
    <row r="56" spans="4:42" x14ac:dyDescent="0.25">
      <c r="D56" s="144"/>
      <c r="E56" s="144"/>
      <c r="F56" s="211" t="s">
        <v>43</v>
      </c>
      <c r="G56" s="167" t="s">
        <v>636</v>
      </c>
      <c r="H56" s="139"/>
      <c r="I56" s="139"/>
      <c r="J56" s="458">
        <v>1.089</v>
      </c>
      <c r="K56" s="458">
        <v>1.089</v>
      </c>
      <c r="L56" s="458">
        <v>1.089</v>
      </c>
      <c r="M56" s="458">
        <v>1.089</v>
      </c>
      <c r="N56" s="458">
        <v>1.089</v>
      </c>
      <c r="O56" s="458">
        <v>1.089</v>
      </c>
      <c r="P56" s="458">
        <v>1.089</v>
      </c>
      <c r="Q56" s="458">
        <v>1.046</v>
      </c>
      <c r="R56" s="458">
        <v>1.0309999999999999</v>
      </c>
      <c r="S56" s="458">
        <v>1.089</v>
      </c>
      <c r="T56" s="458">
        <v>1.089</v>
      </c>
      <c r="U56" s="458">
        <v>1.089</v>
      </c>
      <c r="V56" s="458">
        <v>1.046</v>
      </c>
      <c r="W56" s="458">
        <v>1.0309999999999999</v>
      </c>
      <c r="X56" s="458">
        <v>1.089</v>
      </c>
      <c r="Y56" s="458">
        <v>1.089</v>
      </c>
      <c r="Z56" s="458">
        <v>1.089</v>
      </c>
      <c r="AA56" s="458">
        <v>1.089</v>
      </c>
      <c r="AB56" s="458">
        <v>1.089</v>
      </c>
      <c r="AC56" s="458">
        <v>-1.089</v>
      </c>
      <c r="AD56" s="458">
        <v>-1.046</v>
      </c>
      <c r="AE56" s="458">
        <v>-1.089</v>
      </c>
      <c r="AF56" s="458">
        <v>-1.089</v>
      </c>
      <c r="AG56" s="458">
        <v>-1.089</v>
      </c>
      <c r="AH56" s="458">
        <v>-1.089</v>
      </c>
      <c r="AI56" s="458">
        <v>-1.046</v>
      </c>
      <c r="AJ56" s="458">
        <v>-1.046</v>
      </c>
      <c r="AK56" s="458">
        <v>-1.046</v>
      </c>
      <c r="AL56" s="458">
        <v>-1.046</v>
      </c>
      <c r="AM56" s="458">
        <v>-1.0309999999999999</v>
      </c>
      <c r="AN56" s="458">
        <v>-1.0309999999999999</v>
      </c>
      <c r="AO56" s="458">
        <v>-1.0309999999999999</v>
      </c>
      <c r="AP56" s="458">
        <v>-1.0309999999999999</v>
      </c>
    </row>
    <row r="57" spans="4:42" x14ac:dyDescent="0.25">
      <c r="D57" s="144"/>
      <c r="E57" s="144"/>
      <c r="F57" s="211" t="s">
        <v>44</v>
      </c>
      <c r="G57" s="167" t="s">
        <v>636</v>
      </c>
      <c r="H57" s="139"/>
      <c r="I57" s="139"/>
      <c r="J57" s="458">
        <v>1.089</v>
      </c>
      <c r="K57" s="458">
        <v>1.089</v>
      </c>
      <c r="L57" s="458">
        <v>1.089</v>
      </c>
      <c r="M57" s="458">
        <v>1.089</v>
      </c>
      <c r="N57" s="458">
        <v>1.089</v>
      </c>
      <c r="O57" s="458">
        <v>1.089</v>
      </c>
      <c r="P57" s="458">
        <v>1.089</v>
      </c>
      <c r="Q57" s="458">
        <v>1.046</v>
      </c>
      <c r="R57" s="458">
        <v>1.0309999999999999</v>
      </c>
      <c r="S57" s="458">
        <v>1.089</v>
      </c>
      <c r="T57" s="458">
        <v>1.089</v>
      </c>
      <c r="U57" s="458">
        <v>1.089</v>
      </c>
      <c r="V57" s="458">
        <v>1.046</v>
      </c>
      <c r="W57" s="458">
        <v>1.0309999999999999</v>
      </c>
      <c r="X57" s="458">
        <v>1.089</v>
      </c>
      <c r="Y57" s="458">
        <v>1.089</v>
      </c>
      <c r="Z57" s="458">
        <v>1.089</v>
      </c>
      <c r="AA57" s="458">
        <v>1.089</v>
      </c>
      <c r="AB57" s="458">
        <v>1.089</v>
      </c>
      <c r="AC57" s="458">
        <v>-1.089</v>
      </c>
      <c r="AD57" s="458">
        <v>-1.046</v>
      </c>
      <c r="AE57" s="458">
        <v>-1.089</v>
      </c>
      <c r="AF57" s="458">
        <v>-1.089</v>
      </c>
      <c r="AG57" s="458">
        <v>-1.089</v>
      </c>
      <c r="AH57" s="458">
        <v>-1.089</v>
      </c>
      <c r="AI57" s="458">
        <v>-1.046</v>
      </c>
      <c r="AJ57" s="458">
        <v>-1.046</v>
      </c>
      <c r="AK57" s="458">
        <v>-1.046</v>
      </c>
      <c r="AL57" s="458">
        <v>-1.046</v>
      </c>
      <c r="AM57" s="458">
        <v>-1.0309999999999999</v>
      </c>
      <c r="AN57" s="458">
        <v>-1.0309999999999999</v>
      </c>
      <c r="AO57" s="458">
        <v>-1.0309999999999999</v>
      </c>
      <c r="AP57" s="458">
        <v>-1.0309999999999999</v>
      </c>
    </row>
    <row r="58" spans="4:42" x14ac:dyDescent="0.25">
      <c r="D58" s="144"/>
      <c r="E58" s="144"/>
      <c r="F58" s="211" t="s">
        <v>45</v>
      </c>
      <c r="G58" s="167" t="s">
        <v>636</v>
      </c>
      <c r="H58" s="139"/>
      <c r="I58" s="139"/>
      <c r="J58" s="458">
        <v>1.089</v>
      </c>
      <c r="K58" s="458">
        <v>1.089</v>
      </c>
      <c r="L58" s="458">
        <v>1.089</v>
      </c>
      <c r="M58" s="458">
        <v>1.089</v>
      </c>
      <c r="N58" s="458">
        <v>1.089</v>
      </c>
      <c r="O58" s="458">
        <v>1.089</v>
      </c>
      <c r="P58" s="458">
        <v>1.089</v>
      </c>
      <c r="Q58" s="458">
        <v>1.046</v>
      </c>
      <c r="R58" s="458">
        <v>1.0309999999999999</v>
      </c>
      <c r="S58" s="458">
        <v>1.089</v>
      </c>
      <c r="T58" s="458">
        <v>1.089</v>
      </c>
      <c r="U58" s="458">
        <v>1.089</v>
      </c>
      <c r="V58" s="458">
        <v>1.046</v>
      </c>
      <c r="W58" s="458">
        <v>1.0309999999999999</v>
      </c>
      <c r="X58" s="458">
        <v>1.089</v>
      </c>
      <c r="Y58" s="458">
        <v>1.089</v>
      </c>
      <c r="Z58" s="458">
        <v>1.089</v>
      </c>
      <c r="AA58" s="458">
        <v>1.089</v>
      </c>
      <c r="AB58" s="458">
        <v>1.089</v>
      </c>
      <c r="AC58" s="458">
        <v>-1.089</v>
      </c>
      <c r="AD58" s="458">
        <v>-1.046</v>
      </c>
      <c r="AE58" s="458">
        <v>-1.089</v>
      </c>
      <c r="AF58" s="458">
        <v>-1.089</v>
      </c>
      <c r="AG58" s="458">
        <v>-1.089</v>
      </c>
      <c r="AH58" s="458">
        <v>-1.089</v>
      </c>
      <c r="AI58" s="458">
        <v>-1.046</v>
      </c>
      <c r="AJ58" s="458">
        <v>-1.046</v>
      </c>
      <c r="AK58" s="458">
        <v>-1.046</v>
      </c>
      <c r="AL58" s="458">
        <v>-1.046</v>
      </c>
      <c r="AM58" s="458">
        <v>-1.0309999999999999</v>
      </c>
      <c r="AN58" s="458">
        <v>-1.0309999999999999</v>
      </c>
      <c r="AO58" s="458">
        <v>-1.0309999999999999</v>
      </c>
      <c r="AP58" s="458">
        <v>-1.0309999999999999</v>
      </c>
    </row>
    <row r="59" spans="4:42" x14ac:dyDescent="0.25">
      <c r="D59" s="144"/>
      <c r="E59" s="144"/>
      <c r="F59" s="211" t="s">
        <v>46</v>
      </c>
      <c r="G59" s="167" t="s">
        <v>636</v>
      </c>
      <c r="H59" s="139"/>
      <c r="I59" s="139"/>
      <c r="J59" s="458">
        <v>1.089</v>
      </c>
      <c r="K59" s="458">
        <v>1.089</v>
      </c>
      <c r="L59" s="458">
        <v>1.089</v>
      </c>
      <c r="M59" s="458">
        <v>1.089</v>
      </c>
      <c r="N59" s="458">
        <v>1.089</v>
      </c>
      <c r="O59" s="458">
        <v>1.089</v>
      </c>
      <c r="P59" s="458">
        <v>1.089</v>
      </c>
      <c r="Q59" s="458">
        <v>1.046</v>
      </c>
      <c r="R59" s="458">
        <v>1.0309999999999999</v>
      </c>
      <c r="S59" s="458">
        <v>1.089</v>
      </c>
      <c r="T59" s="458">
        <v>1.089</v>
      </c>
      <c r="U59" s="458">
        <v>1.089</v>
      </c>
      <c r="V59" s="458">
        <v>1.046</v>
      </c>
      <c r="W59" s="458">
        <v>1.0309999999999999</v>
      </c>
      <c r="X59" s="458">
        <v>1.089</v>
      </c>
      <c r="Y59" s="458">
        <v>1.089</v>
      </c>
      <c r="Z59" s="458">
        <v>1.089</v>
      </c>
      <c r="AA59" s="458">
        <v>1.089</v>
      </c>
      <c r="AB59" s="458">
        <v>1.089</v>
      </c>
      <c r="AC59" s="458">
        <v>-1.089</v>
      </c>
      <c r="AD59" s="458">
        <v>-1.046</v>
      </c>
      <c r="AE59" s="458">
        <v>-1.089</v>
      </c>
      <c r="AF59" s="458">
        <v>-1.089</v>
      </c>
      <c r="AG59" s="458">
        <v>-1.089</v>
      </c>
      <c r="AH59" s="458">
        <v>-1.089</v>
      </c>
      <c r="AI59" s="458">
        <v>-1.046</v>
      </c>
      <c r="AJ59" s="458">
        <v>-1.046</v>
      </c>
      <c r="AK59" s="458">
        <v>-1.046</v>
      </c>
      <c r="AL59" s="458">
        <v>-1.046</v>
      </c>
      <c r="AM59" s="458">
        <v>-1.0309999999999999</v>
      </c>
      <c r="AN59" s="458">
        <v>-1.0309999999999999</v>
      </c>
      <c r="AO59" s="458">
        <v>-1.0309999999999999</v>
      </c>
      <c r="AP59" s="458">
        <v>-1.0309999999999999</v>
      </c>
    </row>
    <row r="60" spans="4:42" x14ac:dyDescent="0.25">
      <c r="D60" s="144"/>
      <c r="E60" s="144"/>
      <c r="F60" s="211" t="s">
        <v>47</v>
      </c>
      <c r="G60" s="167" t="s">
        <v>636</v>
      </c>
      <c r="H60" s="139"/>
      <c r="I60" s="139"/>
      <c r="J60" s="458">
        <v>1.089</v>
      </c>
      <c r="K60" s="458">
        <v>1.089</v>
      </c>
      <c r="L60" s="458">
        <v>1.089</v>
      </c>
      <c r="M60" s="458">
        <v>1.089</v>
      </c>
      <c r="N60" s="458">
        <v>1.089</v>
      </c>
      <c r="O60" s="458">
        <v>1.089</v>
      </c>
      <c r="P60" s="458">
        <v>1.089</v>
      </c>
      <c r="Q60" s="458">
        <v>1.046</v>
      </c>
      <c r="R60" s="458">
        <v>1.0309999999999999</v>
      </c>
      <c r="S60" s="458">
        <v>1.089</v>
      </c>
      <c r="T60" s="458">
        <v>1.089</v>
      </c>
      <c r="U60" s="458">
        <v>1.089</v>
      </c>
      <c r="V60" s="458">
        <v>1.046</v>
      </c>
      <c r="W60" s="458">
        <v>1.0309999999999999</v>
      </c>
      <c r="X60" s="458">
        <v>1.089</v>
      </c>
      <c r="Y60" s="458">
        <v>1.089</v>
      </c>
      <c r="Z60" s="458">
        <v>1.089</v>
      </c>
      <c r="AA60" s="458">
        <v>1.089</v>
      </c>
      <c r="AB60" s="458">
        <v>1.089</v>
      </c>
      <c r="AC60" s="458">
        <v>-1.089</v>
      </c>
      <c r="AD60" s="458">
        <v>-1.046</v>
      </c>
      <c r="AE60" s="458">
        <v>-1.089</v>
      </c>
      <c r="AF60" s="458">
        <v>-1.089</v>
      </c>
      <c r="AG60" s="458">
        <v>-1.089</v>
      </c>
      <c r="AH60" s="458">
        <v>-1.089</v>
      </c>
      <c r="AI60" s="458">
        <v>-1.046</v>
      </c>
      <c r="AJ60" s="458">
        <v>-1.046</v>
      </c>
      <c r="AK60" s="458">
        <v>-1.046</v>
      </c>
      <c r="AL60" s="458">
        <v>-1.046</v>
      </c>
      <c r="AM60" s="458">
        <v>-1.0309999999999999</v>
      </c>
      <c r="AN60" s="458">
        <v>-1.0309999999999999</v>
      </c>
      <c r="AO60" s="458">
        <v>-1.0309999999999999</v>
      </c>
      <c r="AP60" s="458">
        <v>-1.0309999999999999</v>
      </c>
    </row>
    <row r="61" spans="4:42" x14ac:dyDescent="0.25">
      <c r="D61" s="144"/>
      <c r="E61" s="144"/>
      <c r="F61" s="211" t="s">
        <v>51</v>
      </c>
      <c r="G61" s="167" t="s">
        <v>636</v>
      </c>
      <c r="H61" s="139"/>
      <c r="I61" s="139"/>
      <c r="J61" s="458">
        <v>0</v>
      </c>
      <c r="K61" s="458">
        <v>0</v>
      </c>
      <c r="L61" s="458">
        <v>0</v>
      </c>
      <c r="M61" s="458">
        <v>0</v>
      </c>
      <c r="N61" s="458">
        <v>0</v>
      </c>
      <c r="O61" s="458">
        <v>0</v>
      </c>
      <c r="P61" s="458">
        <v>0</v>
      </c>
      <c r="Q61" s="458">
        <v>0</v>
      </c>
      <c r="R61" s="458">
        <v>0</v>
      </c>
      <c r="S61" s="458">
        <v>0</v>
      </c>
      <c r="T61" s="458">
        <v>0</v>
      </c>
      <c r="U61" s="458">
        <v>0</v>
      </c>
      <c r="V61" s="458">
        <v>0</v>
      </c>
      <c r="W61" s="458">
        <v>0</v>
      </c>
      <c r="X61" s="458">
        <v>0</v>
      </c>
      <c r="Y61" s="458">
        <v>0</v>
      </c>
      <c r="Z61" s="458">
        <v>0</v>
      </c>
      <c r="AA61" s="458">
        <v>0</v>
      </c>
      <c r="AB61" s="458">
        <v>0</v>
      </c>
      <c r="AC61" s="458">
        <v>0</v>
      </c>
      <c r="AD61" s="458">
        <v>0</v>
      </c>
      <c r="AE61" s="458">
        <v>0</v>
      </c>
      <c r="AF61" s="458">
        <v>0</v>
      </c>
      <c r="AG61" s="458">
        <v>0</v>
      </c>
      <c r="AH61" s="458">
        <v>0</v>
      </c>
      <c r="AI61" s="458">
        <v>0</v>
      </c>
      <c r="AJ61" s="458">
        <v>0</v>
      </c>
      <c r="AK61" s="458">
        <v>0</v>
      </c>
      <c r="AL61" s="458">
        <v>0</v>
      </c>
      <c r="AM61" s="458">
        <v>0</v>
      </c>
      <c r="AN61" s="458">
        <v>0</v>
      </c>
      <c r="AO61" s="458">
        <v>0</v>
      </c>
      <c r="AP61" s="458">
        <v>0</v>
      </c>
    </row>
    <row r="62" spans="4:42" x14ac:dyDescent="0.25">
      <c r="D62" s="144"/>
      <c r="E62" s="144"/>
      <c r="F62" s="211" t="s">
        <v>48</v>
      </c>
      <c r="G62" s="167" t="s">
        <v>636</v>
      </c>
      <c r="H62" s="139"/>
      <c r="I62" s="139"/>
      <c r="J62" s="458">
        <v>1.089</v>
      </c>
      <c r="K62" s="458">
        <v>1.089</v>
      </c>
      <c r="L62" s="458">
        <v>1.089</v>
      </c>
      <c r="M62" s="458">
        <v>1.089</v>
      </c>
      <c r="N62" s="458">
        <v>1.089</v>
      </c>
      <c r="O62" s="458">
        <v>1.089</v>
      </c>
      <c r="P62" s="458">
        <v>1.089</v>
      </c>
      <c r="Q62" s="458">
        <v>1.046</v>
      </c>
      <c r="R62" s="458">
        <v>1.0309999999999999</v>
      </c>
      <c r="S62" s="458">
        <v>1.089</v>
      </c>
      <c r="T62" s="458">
        <v>1.089</v>
      </c>
      <c r="U62" s="458">
        <v>1.089</v>
      </c>
      <c r="V62" s="458">
        <v>1.046</v>
      </c>
      <c r="W62" s="458">
        <v>1.0309999999999999</v>
      </c>
      <c r="X62" s="458">
        <v>1.089</v>
      </c>
      <c r="Y62" s="458">
        <v>1.089</v>
      </c>
      <c r="Z62" s="458">
        <v>1.089</v>
      </c>
      <c r="AA62" s="458">
        <v>1.089</v>
      </c>
      <c r="AB62" s="458">
        <v>1.089</v>
      </c>
      <c r="AC62" s="458">
        <v>-1.089</v>
      </c>
      <c r="AD62" s="458">
        <v>-1.046</v>
      </c>
      <c r="AE62" s="458">
        <v>-1.089</v>
      </c>
      <c r="AF62" s="458">
        <v>-1.089</v>
      </c>
      <c r="AG62" s="458">
        <v>-1.089</v>
      </c>
      <c r="AH62" s="458">
        <v>-1.089</v>
      </c>
      <c r="AI62" s="458">
        <v>-1.046</v>
      </c>
      <c r="AJ62" s="458">
        <v>-1.046</v>
      </c>
      <c r="AK62" s="458">
        <v>-1.046</v>
      </c>
      <c r="AL62" s="458">
        <v>-1.046</v>
      </c>
      <c r="AM62" s="458">
        <v>0</v>
      </c>
      <c r="AN62" s="458">
        <v>0</v>
      </c>
      <c r="AO62" s="458">
        <v>0</v>
      </c>
      <c r="AP62" s="458">
        <v>0</v>
      </c>
    </row>
    <row r="63" spans="4:42" x14ac:dyDescent="0.25">
      <c r="D63" s="144"/>
      <c r="E63" s="144"/>
      <c r="F63" s="211" t="s">
        <v>49</v>
      </c>
      <c r="G63" s="167" t="s">
        <v>636</v>
      </c>
      <c r="H63" s="139"/>
      <c r="I63" s="139"/>
      <c r="J63" s="458">
        <v>1.089</v>
      </c>
      <c r="K63" s="458">
        <v>1.089</v>
      </c>
      <c r="L63" s="458">
        <v>1.089</v>
      </c>
      <c r="M63" s="458">
        <v>1.089</v>
      </c>
      <c r="N63" s="458">
        <v>1.089</v>
      </c>
      <c r="O63" s="458">
        <v>1.089</v>
      </c>
      <c r="P63" s="458">
        <v>1.089</v>
      </c>
      <c r="Q63" s="458">
        <v>1.046</v>
      </c>
      <c r="R63" s="458">
        <v>0</v>
      </c>
      <c r="S63" s="458">
        <v>1.089</v>
      </c>
      <c r="T63" s="458">
        <v>1.089</v>
      </c>
      <c r="U63" s="458">
        <v>1.089</v>
      </c>
      <c r="V63" s="458">
        <v>1.046</v>
      </c>
      <c r="W63" s="458">
        <v>0</v>
      </c>
      <c r="X63" s="458">
        <v>1.089</v>
      </c>
      <c r="Y63" s="458">
        <v>1.089</v>
      </c>
      <c r="Z63" s="458">
        <v>1.089</v>
      </c>
      <c r="AA63" s="458">
        <v>1.089</v>
      </c>
      <c r="AB63" s="458">
        <v>1.089</v>
      </c>
      <c r="AC63" s="458">
        <v>-1.089</v>
      </c>
      <c r="AD63" s="458">
        <v>0</v>
      </c>
      <c r="AE63" s="458">
        <v>-1.089</v>
      </c>
      <c r="AF63" s="458">
        <v>-1.089</v>
      </c>
      <c r="AG63" s="458">
        <v>-1.089</v>
      </c>
      <c r="AH63" s="458">
        <v>-1.089</v>
      </c>
      <c r="AI63" s="458">
        <v>0</v>
      </c>
      <c r="AJ63" s="458">
        <v>0</v>
      </c>
      <c r="AK63" s="458">
        <v>0</v>
      </c>
      <c r="AL63" s="458">
        <v>0</v>
      </c>
      <c r="AM63" s="458">
        <v>0</v>
      </c>
      <c r="AN63" s="458">
        <v>0</v>
      </c>
      <c r="AO63" s="458">
        <v>0</v>
      </c>
      <c r="AP63" s="458">
        <v>0</v>
      </c>
    </row>
    <row r="64" spans="4:42" x14ac:dyDescent="0.25">
      <c r="D64" s="144"/>
      <c r="E64" s="144"/>
      <c r="F64" s="212" t="s">
        <v>50</v>
      </c>
      <c r="G64" s="168" t="s">
        <v>636</v>
      </c>
      <c r="H64" s="140"/>
      <c r="I64" s="140"/>
      <c r="J64" s="459">
        <v>1.089</v>
      </c>
      <c r="K64" s="459">
        <v>1.089</v>
      </c>
      <c r="L64" s="459">
        <v>1.089</v>
      </c>
      <c r="M64" s="459">
        <v>1.089</v>
      </c>
      <c r="N64" s="459">
        <v>1.089</v>
      </c>
      <c r="O64" s="459">
        <v>1.089</v>
      </c>
      <c r="P64" s="459">
        <v>1.089</v>
      </c>
      <c r="Q64" s="459">
        <v>0</v>
      </c>
      <c r="R64" s="459">
        <v>0</v>
      </c>
      <c r="S64" s="459">
        <v>1.089</v>
      </c>
      <c r="T64" s="459">
        <v>1.089</v>
      </c>
      <c r="U64" s="459">
        <v>1.089</v>
      </c>
      <c r="V64" s="459">
        <v>0</v>
      </c>
      <c r="W64" s="459">
        <v>0</v>
      </c>
      <c r="X64" s="459">
        <v>1.089</v>
      </c>
      <c r="Y64" s="459">
        <v>1.089</v>
      </c>
      <c r="Z64" s="459">
        <v>1.089</v>
      </c>
      <c r="AA64" s="459">
        <v>1.089</v>
      </c>
      <c r="AB64" s="459">
        <v>1.089</v>
      </c>
      <c r="AC64" s="459">
        <v>0</v>
      </c>
      <c r="AD64" s="459">
        <v>0</v>
      </c>
      <c r="AE64" s="459">
        <v>0</v>
      </c>
      <c r="AF64" s="459">
        <v>0</v>
      </c>
      <c r="AG64" s="459">
        <v>0</v>
      </c>
      <c r="AH64" s="459">
        <v>0</v>
      </c>
      <c r="AI64" s="459">
        <v>0</v>
      </c>
      <c r="AJ64" s="459">
        <v>0</v>
      </c>
      <c r="AK64" s="459">
        <v>0</v>
      </c>
      <c r="AL64" s="459">
        <v>0</v>
      </c>
      <c r="AM64" s="459">
        <v>0</v>
      </c>
      <c r="AN64" s="459">
        <v>0</v>
      </c>
      <c r="AO64" s="459">
        <v>0</v>
      </c>
      <c r="AP64" s="459">
        <v>0</v>
      </c>
    </row>
    <row r="65" spans="3:42" x14ac:dyDescent="0.25">
      <c r="D65" s="144"/>
      <c r="E65" s="144"/>
      <c r="F65" s="213"/>
      <c r="J65" s="401"/>
      <c r="K65" s="401"/>
      <c r="L65" s="401"/>
      <c r="M65" s="401"/>
      <c r="N65" s="401"/>
      <c r="O65" s="401"/>
      <c r="P65" s="401"/>
      <c r="Q65" s="401"/>
      <c r="R65" s="401"/>
      <c r="S65" s="401"/>
      <c r="T65" s="401"/>
      <c r="U65" s="401"/>
      <c r="V65" s="401"/>
      <c r="W65" s="401"/>
      <c r="X65" s="401"/>
      <c r="Y65" s="401"/>
      <c r="Z65" s="401"/>
      <c r="AA65" s="401"/>
      <c r="AB65" s="401"/>
      <c r="AC65" s="401"/>
      <c r="AD65" s="401"/>
      <c r="AE65" s="401"/>
      <c r="AF65" s="401"/>
      <c r="AG65" s="401"/>
      <c r="AH65" s="401"/>
      <c r="AI65" s="401"/>
      <c r="AJ65" s="401"/>
      <c r="AK65" s="401"/>
      <c r="AL65" s="401"/>
      <c r="AM65" s="401"/>
      <c r="AN65" s="401"/>
      <c r="AO65" s="401"/>
      <c r="AP65" s="401"/>
    </row>
    <row r="66" spans="3:42" x14ac:dyDescent="0.25">
      <c r="E66" s="144" t="s">
        <v>737</v>
      </c>
      <c r="F66" s="213"/>
      <c r="J66" s="401"/>
      <c r="K66" s="401"/>
      <c r="L66" s="401"/>
      <c r="M66" s="401"/>
      <c r="N66" s="401"/>
      <c r="O66" s="401"/>
      <c r="P66" s="401"/>
      <c r="Q66" s="401"/>
      <c r="R66" s="401"/>
      <c r="S66" s="401"/>
      <c r="T66" s="401"/>
      <c r="U66" s="401"/>
      <c r="V66" s="401"/>
      <c r="W66" s="401"/>
      <c r="X66" s="401"/>
      <c r="Y66" s="401"/>
      <c r="Z66" s="401"/>
      <c r="AA66" s="401"/>
      <c r="AB66" s="401"/>
      <c r="AC66" s="401"/>
      <c r="AD66" s="401"/>
      <c r="AE66" s="401"/>
      <c r="AF66" s="401"/>
      <c r="AG66" s="401"/>
      <c r="AH66" s="401"/>
      <c r="AI66" s="401"/>
      <c r="AJ66" s="401"/>
      <c r="AK66" s="401"/>
      <c r="AL66" s="401"/>
      <c r="AM66" s="401"/>
      <c r="AN66" s="401"/>
      <c r="AO66" s="401"/>
      <c r="AP66" s="401"/>
    </row>
    <row r="67" spans="3:42" x14ac:dyDescent="0.25">
      <c r="D67" s="144"/>
      <c r="E67" s="144"/>
      <c r="F67" s="481" t="s">
        <v>397</v>
      </c>
      <c r="G67" s="40" t="s">
        <v>111</v>
      </c>
      <c r="H67" s="137"/>
      <c r="I67" s="137"/>
      <c r="J67" s="408"/>
      <c r="K67" s="408"/>
      <c r="L67" s="408"/>
      <c r="M67" s="408"/>
      <c r="N67" s="408"/>
      <c r="O67" s="408"/>
      <c r="P67" s="408"/>
      <c r="Q67" s="408"/>
      <c r="R67" s="408"/>
      <c r="S67" s="408"/>
      <c r="T67" s="408"/>
      <c r="U67" s="408"/>
      <c r="V67" s="408"/>
      <c r="W67" s="408"/>
      <c r="X67" s="408"/>
      <c r="Y67" s="408"/>
      <c r="Z67" s="408"/>
      <c r="AA67" s="408"/>
      <c r="AB67" s="408"/>
      <c r="AC67" s="408"/>
      <c r="AD67" s="408"/>
      <c r="AE67" s="408"/>
      <c r="AF67" s="408"/>
      <c r="AG67" s="408"/>
      <c r="AH67" s="408"/>
      <c r="AI67" s="408"/>
      <c r="AJ67" s="408"/>
      <c r="AK67" s="408"/>
      <c r="AL67" s="408"/>
      <c r="AM67" s="408"/>
      <c r="AN67" s="408"/>
      <c r="AO67" s="408"/>
      <c r="AP67" s="408"/>
    </row>
    <row r="68" spans="3:42" x14ac:dyDescent="0.25">
      <c r="D68" s="144"/>
      <c r="E68" s="144"/>
      <c r="F68" s="211" t="s">
        <v>43</v>
      </c>
      <c r="G68" s="145" t="s">
        <v>111</v>
      </c>
      <c r="H68" s="139"/>
      <c r="I68" s="139"/>
      <c r="J68" s="410"/>
      <c r="K68" s="410"/>
      <c r="L68" s="410"/>
      <c r="M68" s="410"/>
      <c r="N68" s="410"/>
      <c r="O68" s="410"/>
      <c r="P68" s="410"/>
      <c r="Q68" s="410"/>
      <c r="R68" s="410"/>
      <c r="S68" s="410"/>
      <c r="T68" s="410"/>
      <c r="U68" s="410"/>
      <c r="V68" s="410"/>
      <c r="W68" s="410"/>
      <c r="X68" s="410"/>
      <c r="Y68" s="410"/>
      <c r="Z68" s="410"/>
      <c r="AA68" s="410"/>
      <c r="AB68" s="410"/>
      <c r="AC68" s="410"/>
      <c r="AD68" s="410"/>
      <c r="AE68" s="410"/>
      <c r="AF68" s="410"/>
      <c r="AG68" s="410"/>
      <c r="AH68" s="410"/>
      <c r="AI68" s="410"/>
      <c r="AJ68" s="410"/>
      <c r="AK68" s="410"/>
      <c r="AL68" s="410"/>
      <c r="AM68" s="410"/>
      <c r="AN68" s="410"/>
      <c r="AO68" s="410"/>
      <c r="AP68" s="410"/>
    </row>
    <row r="69" spans="3:42" x14ac:dyDescent="0.25">
      <c r="D69" s="144"/>
      <c r="E69" s="144"/>
      <c r="F69" s="211" t="s">
        <v>44</v>
      </c>
      <c r="G69" s="145" t="s">
        <v>111</v>
      </c>
      <c r="H69" s="139"/>
      <c r="I69" s="139"/>
      <c r="J69" s="458">
        <f t="array" ref="J69:AP76">TRANSPOSE('Customer contributions'!L68:S100)</f>
        <v>0</v>
      </c>
      <c r="K69" s="458">
        <v>0</v>
      </c>
      <c r="L69" s="458">
        <v>0</v>
      </c>
      <c r="M69" s="458">
        <v>0</v>
      </c>
      <c r="N69" s="458">
        <v>0</v>
      </c>
      <c r="O69" s="458">
        <v>0</v>
      </c>
      <c r="P69" s="458">
        <v>0</v>
      </c>
      <c r="Q69" s="458">
        <v>0</v>
      </c>
      <c r="R69" s="458">
        <v>0</v>
      </c>
      <c r="S69" s="458">
        <v>0</v>
      </c>
      <c r="T69" s="458">
        <v>0</v>
      </c>
      <c r="U69" s="458">
        <v>0</v>
      </c>
      <c r="V69" s="458">
        <v>0</v>
      </c>
      <c r="W69" s="458">
        <v>0</v>
      </c>
      <c r="X69" s="458">
        <v>0</v>
      </c>
      <c r="Y69" s="458">
        <v>0</v>
      </c>
      <c r="Z69" s="458">
        <v>0</v>
      </c>
      <c r="AA69" s="458">
        <v>0</v>
      </c>
      <c r="AB69" s="458">
        <v>0</v>
      </c>
      <c r="AC69" s="458">
        <v>0</v>
      </c>
      <c r="AD69" s="458">
        <v>0</v>
      </c>
      <c r="AE69" s="458">
        <v>0</v>
      </c>
      <c r="AF69" s="458">
        <v>0</v>
      </c>
      <c r="AG69" s="458">
        <v>0</v>
      </c>
      <c r="AH69" s="458">
        <v>0</v>
      </c>
      <c r="AI69" s="458">
        <v>0</v>
      </c>
      <c r="AJ69" s="458">
        <v>0</v>
      </c>
      <c r="AK69" s="458">
        <v>0</v>
      </c>
      <c r="AL69" s="458">
        <v>0</v>
      </c>
      <c r="AM69" s="458">
        <v>0</v>
      </c>
      <c r="AN69" s="458">
        <v>0</v>
      </c>
      <c r="AO69" s="458">
        <v>0</v>
      </c>
      <c r="AP69" s="458">
        <v>0</v>
      </c>
    </row>
    <row r="70" spans="3:42" x14ac:dyDescent="0.25">
      <c r="D70" s="144"/>
      <c r="E70" s="144"/>
      <c r="F70" s="211" t="s">
        <v>45</v>
      </c>
      <c r="G70" s="145" t="s">
        <v>111</v>
      </c>
      <c r="H70" s="139"/>
      <c r="I70" s="139"/>
      <c r="J70" s="458">
        <v>0</v>
      </c>
      <c r="K70" s="458">
        <v>0</v>
      </c>
      <c r="L70" s="458">
        <v>0</v>
      </c>
      <c r="M70" s="458">
        <v>0</v>
      </c>
      <c r="N70" s="458">
        <v>0</v>
      </c>
      <c r="O70" s="458">
        <v>0</v>
      </c>
      <c r="P70" s="458">
        <v>0</v>
      </c>
      <c r="Q70" s="458">
        <v>0</v>
      </c>
      <c r="R70" s="458">
        <v>0</v>
      </c>
      <c r="S70" s="458">
        <v>0</v>
      </c>
      <c r="T70" s="458">
        <v>0</v>
      </c>
      <c r="U70" s="458">
        <v>0</v>
      </c>
      <c r="V70" s="458">
        <v>0</v>
      </c>
      <c r="W70" s="458">
        <v>0</v>
      </c>
      <c r="X70" s="458">
        <v>0</v>
      </c>
      <c r="Y70" s="458">
        <v>0</v>
      </c>
      <c r="Z70" s="458">
        <v>0</v>
      </c>
      <c r="AA70" s="458">
        <v>0</v>
      </c>
      <c r="AB70" s="458">
        <v>0</v>
      </c>
      <c r="AC70" s="458">
        <v>0</v>
      </c>
      <c r="AD70" s="458">
        <v>0</v>
      </c>
      <c r="AE70" s="458">
        <v>0</v>
      </c>
      <c r="AF70" s="458">
        <v>0</v>
      </c>
      <c r="AG70" s="458">
        <v>0</v>
      </c>
      <c r="AH70" s="458">
        <v>0</v>
      </c>
      <c r="AI70" s="458">
        <v>0</v>
      </c>
      <c r="AJ70" s="458">
        <v>0</v>
      </c>
      <c r="AK70" s="458">
        <v>0</v>
      </c>
      <c r="AL70" s="458">
        <v>0</v>
      </c>
      <c r="AM70" s="458">
        <v>0</v>
      </c>
      <c r="AN70" s="458">
        <v>0</v>
      </c>
      <c r="AO70" s="458">
        <v>0</v>
      </c>
      <c r="AP70" s="458">
        <v>0</v>
      </c>
    </row>
    <row r="71" spans="3:42" x14ac:dyDescent="0.25">
      <c r="D71" s="144"/>
      <c r="E71" s="144"/>
      <c r="F71" s="211" t="s">
        <v>46</v>
      </c>
      <c r="G71" s="145" t="s">
        <v>111</v>
      </c>
      <c r="H71" s="139"/>
      <c r="I71" s="139"/>
      <c r="J71" s="458">
        <v>1.2370413198693E-2</v>
      </c>
      <c r="K71" s="458">
        <v>1.2370413198693E-2</v>
      </c>
      <c r="L71" s="458">
        <v>1.2370413198693E-2</v>
      </c>
      <c r="M71" s="458">
        <v>1.2370413198693E-2</v>
      </c>
      <c r="N71" s="458">
        <v>1.2370413198693E-2</v>
      </c>
      <c r="O71" s="458">
        <v>1.2370413198693E-2</v>
      </c>
      <c r="P71" s="458">
        <v>1.2370413198693E-2</v>
      </c>
      <c r="Q71" s="458">
        <v>1.2370413198693E-2</v>
      </c>
      <c r="R71" s="458">
        <v>3.4530744799792602E-2</v>
      </c>
      <c r="S71" s="458">
        <v>1.2370413198693E-2</v>
      </c>
      <c r="T71" s="458">
        <v>1.2370413198693E-2</v>
      </c>
      <c r="U71" s="458">
        <v>1.2370413198693E-2</v>
      </c>
      <c r="V71" s="458">
        <v>1.2370413198693E-2</v>
      </c>
      <c r="W71" s="458">
        <v>3.4530744799792602E-2</v>
      </c>
      <c r="X71" s="458">
        <v>1.2370413198693E-2</v>
      </c>
      <c r="Y71" s="458">
        <v>1.2370413198693E-2</v>
      </c>
      <c r="Z71" s="458">
        <v>1.2370413198693E-2</v>
      </c>
      <c r="AA71" s="458">
        <v>1.2370413198693E-2</v>
      </c>
      <c r="AB71" s="458">
        <v>1.2370413198693E-2</v>
      </c>
      <c r="AC71" s="458">
        <v>1.2370413198693E-2</v>
      </c>
      <c r="AD71" s="458">
        <v>1.2370413198693E-2</v>
      </c>
      <c r="AE71" s="458">
        <v>1.2370413198693E-2</v>
      </c>
      <c r="AF71" s="458">
        <v>1.2370413198693E-2</v>
      </c>
      <c r="AG71" s="458">
        <v>1.2370413198693E-2</v>
      </c>
      <c r="AH71" s="458">
        <v>1.2370413198693E-2</v>
      </c>
      <c r="AI71" s="458">
        <v>1.2370413198693E-2</v>
      </c>
      <c r="AJ71" s="458">
        <v>1.2370413198693E-2</v>
      </c>
      <c r="AK71" s="458">
        <v>1.2370413198693E-2</v>
      </c>
      <c r="AL71" s="458">
        <v>1.2370413198693E-2</v>
      </c>
      <c r="AM71" s="458">
        <v>3.4530744799792602E-2</v>
      </c>
      <c r="AN71" s="458">
        <v>3.4530744799792602E-2</v>
      </c>
      <c r="AO71" s="458">
        <v>3.4530744799792602E-2</v>
      </c>
      <c r="AP71" s="458">
        <v>3.4530744799792602E-2</v>
      </c>
    </row>
    <row r="72" spans="3:42" x14ac:dyDescent="0.25">
      <c r="D72" s="144"/>
      <c r="E72" s="144"/>
      <c r="F72" s="211" t="s">
        <v>47</v>
      </c>
      <c r="G72" s="145" t="s">
        <v>111</v>
      </c>
      <c r="H72" s="139"/>
      <c r="I72" s="139"/>
      <c r="J72" s="458">
        <v>2.4400925983857801E-2</v>
      </c>
      <c r="K72" s="458">
        <v>2.4400925983857801E-2</v>
      </c>
      <c r="L72" s="458">
        <v>2.4400925983857801E-2</v>
      </c>
      <c r="M72" s="458">
        <v>2.4400925983857801E-2</v>
      </c>
      <c r="N72" s="458">
        <v>2.4400925983857801E-2</v>
      </c>
      <c r="O72" s="458">
        <v>2.4400925983857801E-2</v>
      </c>
      <c r="P72" s="458">
        <v>2.4400925983857801E-2</v>
      </c>
      <c r="Q72" s="458">
        <v>2.4400925983857801E-2</v>
      </c>
      <c r="R72" s="458">
        <v>6.6381013698021907E-2</v>
      </c>
      <c r="S72" s="458">
        <v>2.4400925983857801E-2</v>
      </c>
      <c r="T72" s="458">
        <v>2.4400925983857801E-2</v>
      </c>
      <c r="U72" s="458">
        <v>2.4400925983857801E-2</v>
      </c>
      <c r="V72" s="458">
        <v>2.4400925983857801E-2</v>
      </c>
      <c r="W72" s="458">
        <v>6.6381013698021907E-2</v>
      </c>
      <c r="X72" s="458">
        <v>2.4400925983857801E-2</v>
      </c>
      <c r="Y72" s="458">
        <v>2.4400925983857801E-2</v>
      </c>
      <c r="Z72" s="458">
        <v>2.4400925983857801E-2</v>
      </c>
      <c r="AA72" s="458">
        <v>2.4400925983857801E-2</v>
      </c>
      <c r="AB72" s="458">
        <v>2.4400925983857801E-2</v>
      </c>
      <c r="AC72" s="458">
        <v>2.4400925983857801E-2</v>
      </c>
      <c r="AD72" s="458">
        <v>2.4400925983857801E-2</v>
      </c>
      <c r="AE72" s="458">
        <v>2.4400925983857801E-2</v>
      </c>
      <c r="AF72" s="458">
        <v>2.4400925983857801E-2</v>
      </c>
      <c r="AG72" s="458">
        <v>2.4400925983857801E-2</v>
      </c>
      <c r="AH72" s="458">
        <v>2.4400925983857801E-2</v>
      </c>
      <c r="AI72" s="458">
        <v>2.4400925983857801E-2</v>
      </c>
      <c r="AJ72" s="458">
        <v>2.4400925983857801E-2</v>
      </c>
      <c r="AK72" s="458">
        <v>2.4400925983857801E-2</v>
      </c>
      <c r="AL72" s="458">
        <v>2.4400925983857801E-2</v>
      </c>
      <c r="AM72" s="458">
        <v>6.6381013698021907E-2</v>
      </c>
      <c r="AN72" s="458">
        <v>6.6381013698021907E-2</v>
      </c>
      <c r="AO72" s="458">
        <v>6.6381013698021907E-2</v>
      </c>
      <c r="AP72" s="458">
        <v>6.6381013698021907E-2</v>
      </c>
    </row>
    <row r="73" spans="3:42" x14ac:dyDescent="0.25">
      <c r="D73" s="144"/>
      <c r="E73" s="144"/>
      <c r="F73" s="211" t="s">
        <v>51</v>
      </c>
      <c r="G73" s="145" t="s">
        <v>111</v>
      </c>
      <c r="H73" s="139"/>
      <c r="I73" s="139"/>
      <c r="J73" s="458">
        <v>0</v>
      </c>
      <c r="K73" s="458">
        <v>0</v>
      </c>
      <c r="L73" s="458">
        <v>0</v>
      </c>
      <c r="M73" s="458">
        <v>0</v>
      </c>
      <c r="N73" s="458">
        <v>0</v>
      </c>
      <c r="O73" s="458">
        <v>0</v>
      </c>
      <c r="P73" s="458">
        <v>0</v>
      </c>
      <c r="Q73" s="458">
        <v>0</v>
      </c>
      <c r="R73" s="458">
        <v>0</v>
      </c>
      <c r="S73" s="458">
        <v>0</v>
      </c>
      <c r="T73" s="458">
        <v>0</v>
      </c>
      <c r="U73" s="458">
        <v>0</v>
      </c>
      <c r="V73" s="458">
        <v>0</v>
      </c>
      <c r="W73" s="458">
        <v>0</v>
      </c>
      <c r="X73" s="458">
        <v>0</v>
      </c>
      <c r="Y73" s="458">
        <v>0</v>
      </c>
      <c r="Z73" s="458">
        <v>0</v>
      </c>
      <c r="AA73" s="458">
        <v>0</v>
      </c>
      <c r="AB73" s="458">
        <v>0</v>
      </c>
      <c r="AC73" s="458">
        <v>0</v>
      </c>
      <c r="AD73" s="458">
        <v>0</v>
      </c>
      <c r="AE73" s="458">
        <v>0</v>
      </c>
      <c r="AF73" s="458">
        <v>0</v>
      </c>
      <c r="AG73" s="458">
        <v>0</v>
      </c>
      <c r="AH73" s="458">
        <v>0</v>
      </c>
      <c r="AI73" s="458">
        <v>0</v>
      </c>
      <c r="AJ73" s="458">
        <v>0</v>
      </c>
      <c r="AK73" s="458">
        <v>0</v>
      </c>
      <c r="AL73" s="458">
        <v>0</v>
      </c>
      <c r="AM73" s="458">
        <v>0</v>
      </c>
      <c r="AN73" s="458">
        <v>0</v>
      </c>
      <c r="AO73" s="458">
        <v>0</v>
      </c>
      <c r="AP73" s="458">
        <v>0</v>
      </c>
    </row>
    <row r="74" spans="3:42" x14ac:dyDescent="0.25">
      <c r="D74" s="144"/>
      <c r="E74" s="144"/>
      <c r="F74" s="211" t="s">
        <v>48</v>
      </c>
      <c r="G74" s="145" t="s">
        <v>111</v>
      </c>
      <c r="H74" s="139"/>
      <c r="I74" s="139"/>
      <c r="J74" s="458">
        <v>0.34379931777325301</v>
      </c>
      <c r="K74" s="458">
        <v>0.34379931777325301</v>
      </c>
      <c r="L74" s="458">
        <v>0.34379931777325301</v>
      </c>
      <c r="M74" s="458">
        <v>0.34379931777325301</v>
      </c>
      <c r="N74" s="458">
        <v>0.34379931777325301</v>
      </c>
      <c r="O74" s="458">
        <v>0.34379931777325301</v>
      </c>
      <c r="P74" s="458">
        <v>0.34379931777325301</v>
      </c>
      <c r="Q74" s="458">
        <v>0.34379931777325301</v>
      </c>
      <c r="R74" s="458">
        <v>0.38323267678152101</v>
      </c>
      <c r="S74" s="458">
        <v>0.34379931777325301</v>
      </c>
      <c r="T74" s="458">
        <v>0.34379931777325301</v>
      </c>
      <c r="U74" s="458">
        <v>0.34379931777325301</v>
      </c>
      <c r="V74" s="458">
        <v>0.34379931777325301</v>
      </c>
      <c r="W74" s="458">
        <v>0.38323267678152101</v>
      </c>
      <c r="X74" s="458">
        <v>0.34379931777325301</v>
      </c>
      <c r="Y74" s="458">
        <v>0.34379931777325301</v>
      </c>
      <c r="Z74" s="458">
        <v>0.34379931777325301</v>
      </c>
      <c r="AA74" s="458">
        <v>0.34379931777325301</v>
      </c>
      <c r="AB74" s="458">
        <v>0.34379931777325301</v>
      </c>
      <c r="AC74" s="458">
        <v>0.34379931777325301</v>
      </c>
      <c r="AD74" s="458">
        <v>0.34379931777325301</v>
      </c>
      <c r="AE74" s="458">
        <v>0.34379931777325301</v>
      </c>
      <c r="AF74" s="458">
        <v>0.34379931777325301</v>
      </c>
      <c r="AG74" s="458">
        <v>0.34379931777325301</v>
      </c>
      <c r="AH74" s="458">
        <v>0.34379931777325301</v>
      </c>
      <c r="AI74" s="458">
        <v>0.34379931777325301</v>
      </c>
      <c r="AJ74" s="458">
        <v>0.34379931777325301</v>
      </c>
      <c r="AK74" s="458">
        <v>0.34379931777325301</v>
      </c>
      <c r="AL74" s="458">
        <v>0.34379931777325301</v>
      </c>
      <c r="AM74" s="458">
        <v>0.38323267678152101</v>
      </c>
      <c r="AN74" s="458">
        <v>0.38323267678152101</v>
      </c>
      <c r="AO74" s="458">
        <v>0.38323267678152101</v>
      </c>
      <c r="AP74" s="458">
        <v>0.38323267678152101</v>
      </c>
    </row>
    <row r="75" spans="3:42" x14ac:dyDescent="0.25">
      <c r="D75" s="144"/>
      <c r="E75" s="144"/>
      <c r="F75" s="211" t="s">
        <v>49</v>
      </c>
      <c r="G75" s="145" t="s">
        <v>111</v>
      </c>
      <c r="H75" s="139"/>
      <c r="I75" s="139"/>
      <c r="J75" s="458">
        <v>0.42351973684210498</v>
      </c>
      <c r="K75" s="458">
        <v>0.42351973684210498</v>
      </c>
      <c r="L75" s="458">
        <v>0.42351973684210498</v>
      </c>
      <c r="M75" s="458">
        <v>0.42351973684210498</v>
      </c>
      <c r="N75" s="458">
        <v>0.42351973684210498</v>
      </c>
      <c r="O75" s="458">
        <v>0.42351973684210498</v>
      </c>
      <c r="P75" s="458">
        <v>0.42351973684210498</v>
      </c>
      <c r="Q75" s="458">
        <v>0.42351973684210498</v>
      </c>
      <c r="R75" s="458">
        <v>0</v>
      </c>
      <c r="S75" s="458">
        <v>0.42351973684210498</v>
      </c>
      <c r="T75" s="458">
        <v>0.42351973684210498</v>
      </c>
      <c r="U75" s="458">
        <v>0.42351973684210498</v>
      </c>
      <c r="V75" s="458">
        <v>0.42351973684210498</v>
      </c>
      <c r="W75" s="458">
        <v>0</v>
      </c>
      <c r="X75" s="458">
        <v>0.42351973684210498</v>
      </c>
      <c r="Y75" s="458">
        <v>0.42351973684210498</v>
      </c>
      <c r="Z75" s="458">
        <v>0.42351973684210498</v>
      </c>
      <c r="AA75" s="458">
        <v>0.42351973684210498</v>
      </c>
      <c r="AB75" s="458">
        <v>0.42351973684210498</v>
      </c>
      <c r="AC75" s="458">
        <v>0.42351973684210498</v>
      </c>
      <c r="AD75" s="458">
        <v>0.42351973684210498</v>
      </c>
      <c r="AE75" s="458">
        <v>0.42351973684210498</v>
      </c>
      <c r="AF75" s="458">
        <v>0.42351973684210498</v>
      </c>
      <c r="AG75" s="458">
        <v>0.42351973684210498</v>
      </c>
      <c r="AH75" s="458">
        <v>0.42351973684210498</v>
      </c>
      <c r="AI75" s="458">
        <v>0.42351973684210498</v>
      </c>
      <c r="AJ75" s="458">
        <v>0.42351973684210498</v>
      </c>
      <c r="AK75" s="458">
        <v>0.42351973684210498</v>
      </c>
      <c r="AL75" s="458">
        <v>0.42351973684210498</v>
      </c>
      <c r="AM75" s="458">
        <v>0</v>
      </c>
      <c r="AN75" s="458">
        <v>0</v>
      </c>
      <c r="AO75" s="458">
        <v>0</v>
      </c>
      <c r="AP75" s="458">
        <v>0</v>
      </c>
    </row>
    <row r="76" spans="3:42" x14ac:dyDescent="0.25">
      <c r="D76" s="144"/>
      <c r="E76" s="144"/>
      <c r="F76" s="212" t="s">
        <v>50</v>
      </c>
      <c r="G76" s="38" t="s">
        <v>111</v>
      </c>
      <c r="H76" s="140"/>
      <c r="I76" s="140"/>
      <c r="J76" s="459">
        <v>0.95595667870036105</v>
      </c>
      <c r="K76" s="459">
        <v>0.95595667870036105</v>
      </c>
      <c r="L76" s="459">
        <v>0.95595667870036105</v>
      </c>
      <c r="M76" s="459">
        <v>0.95595667870036105</v>
      </c>
      <c r="N76" s="459">
        <v>0.95595667870036105</v>
      </c>
      <c r="O76" s="459">
        <v>0.95595667870036105</v>
      </c>
      <c r="P76" s="459">
        <v>0.95595667870036105</v>
      </c>
      <c r="Q76" s="459">
        <v>0</v>
      </c>
      <c r="R76" s="459">
        <v>0</v>
      </c>
      <c r="S76" s="459">
        <v>0.95595667870036105</v>
      </c>
      <c r="T76" s="459">
        <v>0.95595667870036105</v>
      </c>
      <c r="U76" s="459">
        <v>0.95595667870036105</v>
      </c>
      <c r="V76" s="459">
        <v>0</v>
      </c>
      <c r="W76" s="459">
        <v>0</v>
      </c>
      <c r="X76" s="459">
        <v>0.95595667870036105</v>
      </c>
      <c r="Y76" s="459">
        <v>0.95595667870036105</v>
      </c>
      <c r="Z76" s="459">
        <v>0.95595667870036105</v>
      </c>
      <c r="AA76" s="459">
        <v>0.95595667870036105</v>
      </c>
      <c r="AB76" s="459">
        <v>0.95595667870036105</v>
      </c>
      <c r="AC76" s="459">
        <v>0.95595667870036105</v>
      </c>
      <c r="AD76" s="459">
        <v>0</v>
      </c>
      <c r="AE76" s="459">
        <v>0.95595667870036105</v>
      </c>
      <c r="AF76" s="459">
        <v>0.95595667870036105</v>
      </c>
      <c r="AG76" s="459">
        <v>0.95595667870036105</v>
      </c>
      <c r="AH76" s="459">
        <v>0.95595667870036105</v>
      </c>
      <c r="AI76" s="459">
        <v>0</v>
      </c>
      <c r="AJ76" s="459">
        <v>0</v>
      </c>
      <c r="AK76" s="459">
        <v>0</v>
      </c>
      <c r="AL76" s="459">
        <v>0</v>
      </c>
      <c r="AM76" s="459">
        <v>0</v>
      </c>
      <c r="AN76" s="459">
        <v>0</v>
      </c>
      <c r="AO76" s="459">
        <v>0</v>
      </c>
      <c r="AP76" s="459">
        <v>0</v>
      </c>
    </row>
    <row r="77" spans="3:42" x14ac:dyDescent="0.25">
      <c r="C77" s="144"/>
      <c r="D77" s="144"/>
      <c r="E77" s="213"/>
      <c r="F77" s="213"/>
      <c r="J77" s="401"/>
      <c r="K77" s="401"/>
      <c r="L77" s="401"/>
      <c r="M77" s="401"/>
      <c r="N77" s="401"/>
      <c r="O77" s="401"/>
      <c r="P77" s="401"/>
      <c r="Q77" s="401"/>
      <c r="R77" s="401"/>
      <c r="S77" s="401"/>
      <c r="T77" s="401"/>
      <c r="U77" s="401"/>
      <c r="V77" s="401"/>
      <c r="W77" s="401"/>
      <c r="X77" s="401"/>
      <c r="Y77" s="401"/>
      <c r="Z77" s="401"/>
      <c r="AA77" s="401"/>
      <c r="AB77" s="401"/>
      <c r="AC77" s="401"/>
      <c r="AD77" s="401"/>
      <c r="AE77" s="401"/>
      <c r="AF77" s="401"/>
      <c r="AG77" s="401"/>
      <c r="AH77" s="401"/>
      <c r="AI77" s="401"/>
      <c r="AJ77" s="401"/>
      <c r="AK77" s="401"/>
      <c r="AL77" s="401"/>
      <c r="AM77" s="401"/>
      <c r="AN77" s="401"/>
      <c r="AO77" s="401"/>
      <c r="AP77" s="401"/>
    </row>
    <row r="78" spans="3:42" x14ac:dyDescent="0.25">
      <c r="E78" s="310" t="s">
        <v>160</v>
      </c>
      <c r="F78" s="310"/>
      <c r="G78" s="145" t="s">
        <v>636</v>
      </c>
      <c r="H78" s="339"/>
      <c r="I78" s="339"/>
      <c r="J78" s="458">
        <f>'Pseudo-load coefficients'!J504</f>
        <v>2.1890659604598501</v>
      </c>
      <c r="K78" s="458">
        <f>'Pseudo-load coefficients'!K504</f>
        <v>1.5351885425582381</v>
      </c>
      <c r="L78" s="458">
        <f>'Pseudo-load coefficients'!L504</f>
        <v>0</v>
      </c>
      <c r="M78" s="458">
        <f>'Pseudo-load coefficients'!M504</f>
        <v>1.7403660063627993</v>
      </c>
      <c r="N78" s="458">
        <f>'Pseudo-load coefficients'!N504</f>
        <v>1.8535345329375978</v>
      </c>
      <c r="O78" s="458">
        <f>'Pseudo-load coefficients'!O504</f>
        <v>0</v>
      </c>
      <c r="P78" s="458">
        <f>'Pseudo-load coefficients'!P504</f>
        <v>1.3490647508846296</v>
      </c>
      <c r="Q78" s="458">
        <f>'Pseudo-load coefficients'!Q504</f>
        <v>1.171122523918301</v>
      </c>
      <c r="R78" s="458">
        <f>'Pseudo-load coefficients'!R504</f>
        <v>1.4458370721245499</v>
      </c>
      <c r="S78" s="458">
        <f>'Pseudo-load coefficients'!S504</f>
        <v>3.3159185887351486</v>
      </c>
      <c r="T78" s="458">
        <f>'Pseudo-load coefficients'!T504</f>
        <v>1.666085951865081</v>
      </c>
      <c r="U78" s="458">
        <f>'Pseudo-load coefficients'!U504</f>
        <v>1.3834786756026229</v>
      </c>
      <c r="V78" s="458">
        <f>'Pseudo-load coefficients'!V504</f>
        <v>1.2592887780490676</v>
      </c>
      <c r="W78" s="458">
        <f>'Pseudo-load coefficients'!W504</f>
        <v>1.1193334401253572</v>
      </c>
      <c r="X78" s="458">
        <f>'Pseudo-load coefficients'!X504</f>
        <v>1.0001140642937896</v>
      </c>
      <c r="Y78" s="458">
        <f>'Pseudo-load coefficients'!Y504</f>
        <v>1.7697168156489922</v>
      </c>
      <c r="Z78" s="458">
        <f>'Pseudo-load coefficients'!Z504</f>
        <v>3.3141582131214564</v>
      </c>
      <c r="AA78" s="458">
        <f>'Pseudo-load coefficients'!AA504</f>
        <v>0.51478777584072866</v>
      </c>
      <c r="AB78" s="458">
        <f>'Pseudo-load coefficients'!AB504</f>
        <v>1.7269517163989574</v>
      </c>
      <c r="AC78" s="458">
        <f>'Pseudo-load coefficients'!AC504</f>
        <v>1</v>
      </c>
      <c r="AD78" s="458">
        <f>'Pseudo-load coefficients'!AD504</f>
        <v>1</v>
      </c>
      <c r="AE78" s="458">
        <f>'Pseudo-load coefficients'!AE504</f>
        <v>1</v>
      </c>
      <c r="AF78" s="458">
        <f>'Pseudo-load coefficients'!AF504</f>
        <v>1</v>
      </c>
      <c r="AG78" s="458">
        <f>'Pseudo-load coefficients'!AG504</f>
        <v>1</v>
      </c>
      <c r="AH78" s="458">
        <f>'Pseudo-load coefficients'!AH504</f>
        <v>1</v>
      </c>
      <c r="AI78" s="458">
        <f>'Pseudo-load coefficients'!AI504</f>
        <v>1</v>
      </c>
      <c r="AJ78" s="458">
        <f>'Pseudo-load coefficients'!AJ504</f>
        <v>1</v>
      </c>
      <c r="AK78" s="458">
        <f>'Pseudo-load coefficients'!AK504</f>
        <v>1</v>
      </c>
      <c r="AL78" s="458">
        <f>'Pseudo-load coefficients'!AL504</f>
        <v>1</v>
      </c>
      <c r="AM78" s="458">
        <f>'Pseudo-load coefficients'!AM504</f>
        <v>1</v>
      </c>
      <c r="AN78" s="458">
        <f>'Pseudo-load coefficients'!AN504</f>
        <v>1</v>
      </c>
      <c r="AO78" s="458">
        <f>'Pseudo-load coefficients'!AO504</f>
        <v>1</v>
      </c>
      <c r="AP78" s="458">
        <f>'Pseudo-load coefficients'!AP504</f>
        <v>1</v>
      </c>
    </row>
    <row r="79" spans="3:42" x14ac:dyDescent="0.25">
      <c r="D79" s="144"/>
      <c r="E79" s="213"/>
      <c r="F79" s="213"/>
      <c r="J79" s="401"/>
      <c r="K79" s="401"/>
      <c r="L79" s="401"/>
      <c r="M79" s="401"/>
      <c r="N79" s="401"/>
      <c r="O79" s="401"/>
      <c r="P79" s="401"/>
      <c r="Q79" s="401"/>
      <c r="R79" s="401"/>
      <c r="S79" s="401"/>
      <c r="T79" s="401"/>
      <c r="U79" s="401"/>
      <c r="V79" s="401"/>
      <c r="W79" s="401"/>
      <c r="X79" s="401"/>
      <c r="Y79" s="401"/>
      <c r="Z79" s="401"/>
      <c r="AA79" s="401"/>
      <c r="AB79" s="401"/>
      <c r="AC79" s="401"/>
      <c r="AD79" s="401"/>
      <c r="AE79" s="401"/>
      <c r="AF79" s="401"/>
      <c r="AG79" s="401"/>
      <c r="AH79" s="401"/>
      <c r="AI79" s="401"/>
      <c r="AJ79" s="401"/>
      <c r="AK79" s="401"/>
      <c r="AL79" s="401"/>
      <c r="AM79" s="401"/>
      <c r="AN79" s="401"/>
      <c r="AO79" s="401"/>
      <c r="AP79" s="401"/>
    </row>
    <row r="80" spans="3:42" x14ac:dyDescent="0.25">
      <c r="E80" s="144" t="s">
        <v>378</v>
      </c>
      <c r="F80" s="213"/>
      <c r="J80" s="401"/>
      <c r="K80" s="401"/>
      <c r="L80" s="401"/>
      <c r="M80" s="401"/>
      <c r="N80" s="401"/>
      <c r="O80" s="401"/>
      <c r="P80" s="401"/>
      <c r="Q80" s="401"/>
      <c r="R80" s="401"/>
      <c r="S80" s="401"/>
      <c r="T80" s="401"/>
      <c r="U80" s="401"/>
      <c r="V80" s="401"/>
      <c r="W80" s="401"/>
      <c r="X80" s="401"/>
      <c r="Y80" s="401"/>
      <c r="Z80" s="401"/>
      <c r="AA80" s="401"/>
      <c r="AB80" s="401"/>
      <c r="AC80" s="401"/>
      <c r="AD80" s="401"/>
      <c r="AE80" s="401"/>
      <c r="AF80" s="401"/>
      <c r="AG80" s="401"/>
      <c r="AH80" s="401"/>
      <c r="AI80" s="401"/>
      <c r="AJ80" s="401"/>
      <c r="AK80" s="401"/>
      <c r="AL80" s="401"/>
      <c r="AM80" s="401"/>
      <c r="AN80" s="401"/>
      <c r="AO80" s="401"/>
      <c r="AP80" s="401"/>
    </row>
    <row r="81" spans="5:42" x14ac:dyDescent="0.25">
      <c r="E81" s="144"/>
      <c r="F81" s="481" t="s">
        <v>397</v>
      </c>
      <c r="G81" s="40" t="s">
        <v>636</v>
      </c>
      <c r="H81" s="137"/>
      <c r="I81" s="137"/>
      <c r="J81" s="457">
        <f>'Pseudo-load coefficients'!J509</f>
        <v>2.13658194144862</v>
      </c>
      <c r="K81" s="457">
        <f>'Pseudo-load coefficients'!K509</f>
        <v>2.786702182471386</v>
      </c>
      <c r="L81" s="457">
        <f>'Pseudo-load coefficients'!L509</f>
        <v>9.7925499018583773E-2</v>
      </c>
      <c r="M81" s="457">
        <f>'Pseudo-load coefficients'!M509</f>
        <v>1.7576171229579702</v>
      </c>
      <c r="N81" s="457">
        <f>'Pseudo-load coefficients'!N509</f>
        <v>2.9415666403916836</v>
      </c>
      <c r="O81" s="457">
        <f>'Pseudo-load coefficients'!O509</f>
        <v>0.32922729904060583</v>
      </c>
      <c r="P81" s="457">
        <f>'Pseudo-load coefficients'!P509</f>
        <v>1.4469019029137948</v>
      </c>
      <c r="Q81" s="457">
        <f>'Pseudo-load coefficients'!Q509</f>
        <v>1.3511937913885297</v>
      </c>
      <c r="R81" s="457">
        <f>'Pseudo-load coefficients'!R509</f>
        <v>1.4829750268438726</v>
      </c>
      <c r="S81" s="457">
        <f>'Pseudo-load coefficients'!S509</f>
        <v>14.83472280043944</v>
      </c>
      <c r="T81" s="457">
        <f>'Pseudo-load coefficients'!T509</f>
        <v>15.655108953460749</v>
      </c>
      <c r="U81" s="457">
        <f>'Pseudo-load coefficients'!U509</f>
        <v>11.698297556207121</v>
      </c>
      <c r="V81" s="457">
        <f>'Pseudo-load coefficients'!V509</f>
        <v>11.311995936319519</v>
      </c>
      <c r="W81" s="457">
        <f>'Pseudo-load coefficients'!W509</f>
        <v>10.2902733716969</v>
      </c>
      <c r="X81" s="457">
        <f>'Pseudo-load coefficients'!X509</f>
        <v>0.93700694130950746</v>
      </c>
      <c r="Y81" s="457">
        <f>'Pseudo-load coefficients'!Y509</f>
        <v>1.1061570095096109</v>
      </c>
      <c r="Z81" s="457">
        <f>'Pseudo-load coefficients'!Z509</f>
        <v>2.1096430315341204</v>
      </c>
      <c r="AA81" s="457">
        <f>'Pseudo-load coefficients'!AA509</f>
        <v>0.86507538339375201</v>
      </c>
      <c r="AB81" s="457">
        <f>'Pseudo-load coefficients'!AB509</f>
        <v>16.860085005559529</v>
      </c>
      <c r="AC81" s="457">
        <f>'Pseudo-load coefficients'!AC509</f>
        <v>0.99999999999999989</v>
      </c>
      <c r="AD81" s="457">
        <f>'Pseudo-load coefficients'!AD509</f>
        <v>0.99999999999999989</v>
      </c>
      <c r="AE81" s="457">
        <f>'Pseudo-load coefficients'!AE509</f>
        <v>0.99999999999999989</v>
      </c>
      <c r="AF81" s="457">
        <f>'Pseudo-load coefficients'!AF509</f>
        <v>0.99999999999999989</v>
      </c>
      <c r="AG81" s="457">
        <f>'Pseudo-load coefficients'!AG509</f>
        <v>9.8133180967350384</v>
      </c>
      <c r="AH81" s="457">
        <f>'Pseudo-load coefficients'!AH509</f>
        <v>9.8133180967350384</v>
      </c>
      <c r="AI81" s="457">
        <f>'Pseudo-load coefficients'!AI509</f>
        <v>0.99999999999999989</v>
      </c>
      <c r="AJ81" s="457">
        <f>'Pseudo-load coefficients'!AJ509</f>
        <v>0.99999999999999989</v>
      </c>
      <c r="AK81" s="457">
        <f>'Pseudo-load coefficients'!AK509</f>
        <v>9.8133180967350384</v>
      </c>
      <c r="AL81" s="457">
        <f>'Pseudo-load coefficients'!AL509</f>
        <v>9.8133180967350384</v>
      </c>
      <c r="AM81" s="457">
        <f>'Pseudo-load coefficients'!AM509</f>
        <v>0.99999999999999989</v>
      </c>
      <c r="AN81" s="457">
        <f>'Pseudo-load coefficients'!AN509</f>
        <v>0.99999999999999989</v>
      </c>
      <c r="AO81" s="457">
        <f>'Pseudo-load coefficients'!AO509</f>
        <v>9.8133180967350384</v>
      </c>
      <c r="AP81" s="457">
        <f>'Pseudo-load coefficients'!AP509</f>
        <v>9.8133180967350384</v>
      </c>
    </row>
    <row r="82" spans="5:42" x14ac:dyDescent="0.25">
      <c r="E82" s="144"/>
      <c r="F82" s="211" t="s">
        <v>43</v>
      </c>
      <c r="G82" s="145" t="s">
        <v>636</v>
      </c>
      <c r="H82" s="139"/>
      <c r="I82" s="139"/>
      <c r="J82" s="458">
        <f>'Pseudo-load coefficients'!J509</f>
        <v>2.13658194144862</v>
      </c>
      <c r="K82" s="458">
        <f>'Pseudo-load coefficients'!K509</f>
        <v>2.786702182471386</v>
      </c>
      <c r="L82" s="458">
        <f>'Pseudo-load coefficients'!L509</f>
        <v>9.7925499018583773E-2</v>
      </c>
      <c r="M82" s="458">
        <f>'Pseudo-load coefficients'!M509</f>
        <v>1.7576171229579702</v>
      </c>
      <c r="N82" s="458">
        <f>'Pseudo-load coefficients'!N509</f>
        <v>2.9415666403916836</v>
      </c>
      <c r="O82" s="458">
        <f>'Pseudo-load coefficients'!O509</f>
        <v>0.32922729904060583</v>
      </c>
      <c r="P82" s="458">
        <f>'Pseudo-load coefficients'!P509</f>
        <v>1.4469019029137948</v>
      </c>
      <c r="Q82" s="458">
        <f>'Pseudo-load coefficients'!Q509</f>
        <v>1.3511937913885297</v>
      </c>
      <c r="R82" s="458">
        <f>'Pseudo-load coefficients'!R509</f>
        <v>1.4829750268438726</v>
      </c>
      <c r="S82" s="458">
        <f>'Pseudo-load coefficients'!S509</f>
        <v>14.83472280043944</v>
      </c>
      <c r="T82" s="458">
        <f>'Pseudo-load coefficients'!T509</f>
        <v>15.655108953460749</v>
      </c>
      <c r="U82" s="458">
        <f>'Pseudo-load coefficients'!U509</f>
        <v>11.698297556207121</v>
      </c>
      <c r="V82" s="458">
        <f>'Pseudo-load coefficients'!V509</f>
        <v>11.311995936319519</v>
      </c>
      <c r="W82" s="458">
        <f>'Pseudo-load coefficients'!W509</f>
        <v>10.2902733716969</v>
      </c>
      <c r="X82" s="458">
        <f>'Pseudo-load coefficients'!X509</f>
        <v>0.93700694130950746</v>
      </c>
      <c r="Y82" s="458">
        <f>'Pseudo-load coefficients'!Y509</f>
        <v>1.1061570095096109</v>
      </c>
      <c r="Z82" s="458">
        <f>'Pseudo-load coefficients'!Z509</f>
        <v>2.1096430315341204</v>
      </c>
      <c r="AA82" s="458">
        <f>'Pseudo-load coefficients'!AA509</f>
        <v>0.86507538339375201</v>
      </c>
      <c r="AB82" s="458">
        <f>'Pseudo-load coefficients'!AB509</f>
        <v>16.860085005559529</v>
      </c>
      <c r="AC82" s="458">
        <f>'Pseudo-load coefficients'!AC509</f>
        <v>0.99999999999999989</v>
      </c>
      <c r="AD82" s="458">
        <f>'Pseudo-load coefficients'!AD509</f>
        <v>0.99999999999999989</v>
      </c>
      <c r="AE82" s="458">
        <f>'Pseudo-load coefficients'!AE509</f>
        <v>0.99999999999999989</v>
      </c>
      <c r="AF82" s="458">
        <f>'Pseudo-load coefficients'!AF509</f>
        <v>0.99999999999999989</v>
      </c>
      <c r="AG82" s="458">
        <f>'Pseudo-load coefficients'!AG509</f>
        <v>9.8133180967350384</v>
      </c>
      <c r="AH82" s="458">
        <f>'Pseudo-load coefficients'!AH509</f>
        <v>9.8133180967350384</v>
      </c>
      <c r="AI82" s="458">
        <f>'Pseudo-load coefficients'!AI509</f>
        <v>0.99999999999999989</v>
      </c>
      <c r="AJ82" s="458">
        <f>'Pseudo-load coefficients'!AJ509</f>
        <v>0.99999999999999989</v>
      </c>
      <c r="AK82" s="458">
        <f>'Pseudo-load coefficients'!AK509</f>
        <v>9.8133180967350384</v>
      </c>
      <c r="AL82" s="458">
        <f>'Pseudo-load coefficients'!AL509</f>
        <v>9.8133180967350384</v>
      </c>
      <c r="AM82" s="458">
        <f>'Pseudo-load coefficients'!AM509</f>
        <v>0.99999999999999989</v>
      </c>
      <c r="AN82" s="458">
        <f>'Pseudo-load coefficients'!AN509</f>
        <v>0.99999999999999989</v>
      </c>
      <c r="AO82" s="458">
        <f>'Pseudo-load coefficients'!AO509</f>
        <v>9.8133180967350384</v>
      </c>
      <c r="AP82" s="458">
        <f>'Pseudo-load coefficients'!AP509</f>
        <v>9.8133180967350384</v>
      </c>
    </row>
    <row r="83" spans="5:42" x14ac:dyDescent="0.25">
      <c r="E83" s="144"/>
      <c r="F83" s="211" t="s">
        <v>44</v>
      </c>
      <c r="G83" s="145" t="s">
        <v>636</v>
      </c>
      <c r="H83" s="139"/>
      <c r="I83" s="139"/>
      <c r="J83" s="458">
        <f>'Pseudo-load coefficients'!J510</f>
        <v>2.1064407247757848</v>
      </c>
      <c r="K83" s="458">
        <f>'Pseudo-load coefficients'!K510</f>
        <v>2.7381361193225717</v>
      </c>
      <c r="L83" s="458">
        <f>'Pseudo-load coefficients'!L510</f>
        <v>0.13455624660851292</v>
      </c>
      <c r="M83" s="458">
        <f>'Pseudo-load coefficients'!M510</f>
        <v>1.7738104867681408</v>
      </c>
      <c r="N83" s="458">
        <f>'Pseudo-load coefficients'!N510</f>
        <v>2.9193248768526838</v>
      </c>
      <c r="O83" s="458">
        <f>'Pseudo-load coefficients'!O510</f>
        <v>0.34854020905487437</v>
      </c>
      <c r="P83" s="458">
        <f>'Pseudo-load coefficients'!P510</f>
        <v>1.4478459019196326</v>
      </c>
      <c r="Q83" s="458">
        <f>'Pseudo-load coefficients'!Q510</f>
        <v>1.352977417395504</v>
      </c>
      <c r="R83" s="458">
        <f>'Pseudo-load coefficients'!R510</f>
        <v>1.4887743751659068</v>
      </c>
      <c r="S83" s="458">
        <f>'Pseudo-load coefficients'!S510</f>
        <v>13.756688977499781</v>
      </c>
      <c r="T83" s="458">
        <f>'Pseudo-load coefficients'!T510</f>
        <v>14.518039334676065</v>
      </c>
      <c r="U83" s="458">
        <f>'Pseudo-load coefficients'!U510</f>
        <v>10.850049670136503</v>
      </c>
      <c r="V83" s="458">
        <f>'Pseudo-load coefficients'!V510</f>
        <v>10.49175892370129</v>
      </c>
      <c r="W83" s="458">
        <f>'Pseudo-load coefficients'!W510</f>
        <v>9.544121840442747</v>
      </c>
      <c r="X83" s="458">
        <f>'Pseudo-load coefficients'!X510</f>
        <v>0.9376724603938239</v>
      </c>
      <c r="Y83" s="458">
        <f>'Pseudo-load coefficients'!Y510</f>
        <v>1.1984220598858641</v>
      </c>
      <c r="Z83" s="458">
        <f>'Pseudo-load coefficients'!Z510</f>
        <v>2.2773031502293315</v>
      </c>
      <c r="AA83" s="458">
        <f>'Pseudo-load coefficients'!AA510</f>
        <v>0.7897896015082424</v>
      </c>
      <c r="AB83" s="458">
        <f>'Pseudo-load coefficients'!AB510</f>
        <v>18.834395159483773</v>
      </c>
      <c r="AC83" s="458">
        <f>'Pseudo-load coefficients'!AC510</f>
        <v>1.0000000000000002</v>
      </c>
      <c r="AD83" s="458">
        <f>'Pseudo-load coefficients'!AD510</f>
        <v>1.0000000000000002</v>
      </c>
      <c r="AE83" s="458">
        <f>'Pseudo-load coefficients'!AE510</f>
        <v>1.0000000000000002</v>
      </c>
      <c r="AF83" s="458">
        <f>'Pseudo-load coefficients'!AF510</f>
        <v>1.0000000000000002</v>
      </c>
      <c r="AG83" s="458">
        <f>'Pseudo-load coefficients'!AG510</f>
        <v>9.1017507690192847</v>
      </c>
      <c r="AH83" s="458">
        <f>'Pseudo-load coefficients'!AH510</f>
        <v>9.1017507690192847</v>
      </c>
      <c r="AI83" s="458">
        <f>'Pseudo-load coefficients'!AI510</f>
        <v>1.0000000000000002</v>
      </c>
      <c r="AJ83" s="458">
        <f>'Pseudo-load coefficients'!AJ510</f>
        <v>1.0000000000000002</v>
      </c>
      <c r="AK83" s="458">
        <f>'Pseudo-load coefficients'!AK510</f>
        <v>9.1017507690192847</v>
      </c>
      <c r="AL83" s="458">
        <f>'Pseudo-load coefficients'!AL510</f>
        <v>9.1017507690192847</v>
      </c>
      <c r="AM83" s="458">
        <f>'Pseudo-load coefficients'!AM510</f>
        <v>1.0000000000000002</v>
      </c>
      <c r="AN83" s="458">
        <f>'Pseudo-load coefficients'!AN510</f>
        <v>1.0000000000000002</v>
      </c>
      <c r="AO83" s="458">
        <f>'Pseudo-load coefficients'!AO510</f>
        <v>9.1017507690192847</v>
      </c>
      <c r="AP83" s="458">
        <f>'Pseudo-load coefficients'!AP510</f>
        <v>9.1017507690192847</v>
      </c>
    </row>
    <row r="84" spans="5:42" x14ac:dyDescent="0.25">
      <c r="E84" s="144"/>
      <c r="F84" s="211" t="s">
        <v>45</v>
      </c>
      <c r="G84" s="145" t="s">
        <v>636</v>
      </c>
      <c r="H84" s="139"/>
      <c r="I84" s="139"/>
      <c r="J84" s="458">
        <f>'Pseudo-load coefficients'!J511</f>
        <v>2.1064407247757848</v>
      </c>
      <c r="K84" s="458">
        <f>'Pseudo-load coefficients'!K511</f>
        <v>2.7381361193225717</v>
      </c>
      <c r="L84" s="458">
        <f>'Pseudo-load coefficients'!L511</f>
        <v>0.13455624660851292</v>
      </c>
      <c r="M84" s="458">
        <f>'Pseudo-load coefficients'!M511</f>
        <v>1.7738104867681408</v>
      </c>
      <c r="N84" s="458">
        <f>'Pseudo-load coefficients'!N511</f>
        <v>2.9193248768526838</v>
      </c>
      <c r="O84" s="458">
        <f>'Pseudo-load coefficients'!O511</f>
        <v>0.34854020905487437</v>
      </c>
      <c r="P84" s="458">
        <f>'Pseudo-load coefficients'!P511</f>
        <v>1.4478459019196326</v>
      </c>
      <c r="Q84" s="458">
        <f>'Pseudo-load coefficients'!Q511</f>
        <v>1.352977417395504</v>
      </c>
      <c r="R84" s="458">
        <f>'Pseudo-load coefficients'!R511</f>
        <v>1.4887743751659068</v>
      </c>
      <c r="S84" s="458">
        <f>'Pseudo-load coefficients'!S511</f>
        <v>13.756688977499781</v>
      </c>
      <c r="T84" s="458">
        <f>'Pseudo-load coefficients'!T511</f>
        <v>14.518039334676065</v>
      </c>
      <c r="U84" s="458">
        <f>'Pseudo-load coefficients'!U511</f>
        <v>10.850049670136503</v>
      </c>
      <c r="V84" s="458">
        <f>'Pseudo-load coefficients'!V511</f>
        <v>10.49175892370129</v>
      </c>
      <c r="W84" s="458">
        <f>'Pseudo-load coefficients'!W511</f>
        <v>9.544121840442747</v>
      </c>
      <c r="X84" s="458">
        <f>'Pseudo-load coefficients'!X511</f>
        <v>0.9376724603938239</v>
      </c>
      <c r="Y84" s="458">
        <f>'Pseudo-load coefficients'!Y511</f>
        <v>1.1984220598858641</v>
      </c>
      <c r="Z84" s="458">
        <f>'Pseudo-load coefficients'!Z511</f>
        <v>2.2773031502293315</v>
      </c>
      <c r="AA84" s="458">
        <f>'Pseudo-load coefficients'!AA511</f>
        <v>0.7897896015082424</v>
      </c>
      <c r="AB84" s="458">
        <f>'Pseudo-load coefficients'!AB511</f>
        <v>18.834395159483773</v>
      </c>
      <c r="AC84" s="458">
        <f>'Pseudo-load coefficients'!AC511</f>
        <v>1.0000000000000002</v>
      </c>
      <c r="AD84" s="458">
        <f>'Pseudo-load coefficients'!AD511</f>
        <v>1.0000000000000002</v>
      </c>
      <c r="AE84" s="458">
        <f>'Pseudo-load coefficients'!AE511</f>
        <v>1.0000000000000002</v>
      </c>
      <c r="AF84" s="458">
        <f>'Pseudo-load coefficients'!AF511</f>
        <v>1.0000000000000002</v>
      </c>
      <c r="AG84" s="458">
        <f>'Pseudo-load coefficients'!AG511</f>
        <v>9.1017507690192847</v>
      </c>
      <c r="AH84" s="458">
        <f>'Pseudo-load coefficients'!AH511</f>
        <v>9.1017507690192847</v>
      </c>
      <c r="AI84" s="458">
        <f>'Pseudo-load coefficients'!AI511</f>
        <v>1.0000000000000002</v>
      </c>
      <c r="AJ84" s="458">
        <f>'Pseudo-load coefficients'!AJ511</f>
        <v>1.0000000000000002</v>
      </c>
      <c r="AK84" s="458">
        <f>'Pseudo-load coefficients'!AK511</f>
        <v>9.1017507690192847</v>
      </c>
      <c r="AL84" s="458">
        <f>'Pseudo-load coefficients'!AL511</f>
        <v>9.1017507690192847</v>
      </c>
      <c r="AM84" s="458">
        <f>'Pseudo-load coefficients'!AM511</f>
        <v>1.0000000000000002</v>
      </c>
      <c r="AN84" s="458">
        <f>'Pseudo-load coefficients'!AN511</f>
        <v>1.0000000000000002</v>
      </c>
      <c r="AO84" s="458">
        <f>'Pseudo-load coefficients'!AO511</f>
        <v>9.1017507690192847</v>
      </c>
      <c r="AP84" s="458">
        <f>'Pseudo-load coefficients'!AP511</f>
        <v>9.1017507690192847</v>
      </c>
    </row>
    <row r="85" spans="5:42" x14ac:dyDescent="0.25">
      <c r="E85" s="144"/>
      <c r="F85" s="211" t="s">
        <v>46</v>
      </c>
      <c r="G85" s="145" t="s">
        <v>636</v>
      </c>
      <c r="H85" s="139"/>
      <c r="I85" s="139"/>
      <c r="J85" s="458">
        <f>'Pseudo-load coefficients'!J512</f>
        <v>2.023448068726081</v>
      </c>
      <c r="K85" s="458">
        <f>'Pseudo-load coefficients'!K512</f>
        <v>2.6021873241736615</v>
      </c>
      <c r="L85" s="458">
        <f>'Pseudo-load coefficients'!L512</f>
        <v>0.23723781296590604</v>
      </c>
      <c r="M85" s="458">
        <f>'Pseudo-load coefficients'!M512</f>
        <v>1.8106821466313612</v>
      </c>
      <c r="N85" s="458">
        <f>'Pseudo-load coefficients'!N512</f>
        <v>2.8493629304145642</v>
      </c>
      <c r="O85" s="458">
        <f>'Pseudo-load coefficients'!O512</f>
        <v>0.40524136871418465</v>
      </c>
      <c r="P85" s="458">
        <f>'Pseudo-load coefficients'!P512</f>
        <v>1.4462178277371061</v>
      </c>
      <c r="Q85" s="458">
        <f>'Pseudo-load coefficients'!Q512</f>
        <v>1.3525109569741856</v>
      </c>
      <c r="R85" s="458">
        <f>'Pseudo-load coefficients'!R512</f>
        <v>1.5001810197593486</v>
      </c>
      <c r="S85" s="458">
        <f>'Pseudo-load coefficients'!S512</f>
        <v>10.919058364043636</v>
      </c>
      <c r="T85" s="458">
        <f>'Pseudo-load coefficients'!T512</f>
        <v>11.52541279864173</v>
      </c>
      <c r="U85" s="458">
        <f>'Pseudo-load coefficients'!U512</f>
        <v>8.6160882325457742</v>
      </c>
      <c r="V85" s="458">
        <f>'Pseudo-load coefficients'!V512</f>
        <v>8.3315674443426335</v>
      </c>
      <c r="W85" s="458">
        <f>'Pseudo-load coefficients'!W512</f>
        <v>7.5790432651897071</v>
      </c>
      <c r="X85" s="458">
        <f>'Pseudo-load coefficients'!X512</f>
        <v>0.93658384552539908</v>
      </c>
      <c r="Y85" s="458">
        <f>'Pseudo-load coefficients'!Y512</f>
        <v>1.0676296952091524</v>
      </c>
      <c r="Z85" s="458">
        <f>'Pseudo-load coefficients'!Z512</f>
        <v>2.0072330539086121</v>
      </c>
      <c r="AA85" s="458">
        <f>'Pseudo-load coefficients'!AA512</f>
        <v>0.89367630597148673</v>
      </c>
      <c r="AB85" s="458">
        <f>'Pseudo-load coefficients'!AB512</f>
        <v>15.57665125520071</v>
      </c>
      <c r="AC85" s="458">
        <f>'Pseudo-load coefficients'!AC512</f>
        <v>1</v>
      </c>
      <c r="AD85" s="458">
        <f>'Pseudo-load coefficients'!AD512</f>
        <v>1</v>
      </c>
      <c r="AE85" s="458">
        <f>'Pseudo-load coefficients'!AE512</f>
        <v>1</v>
      </c>
      <c r="AF85" s="458">
        <f>'Pseudo-load coefficients'!AF512</f>
        <v>1</v>
      </c>
      <c r="AG85" s="458">
        <f>'Pseudo-load coefficients'!AG512</f>
        <v>7.2277537965892922</v>
      </c>
      <c r="AH85" s="458">
        <f>'Pseudo-load coefficients'!AH512</f>
        <v>7.2277537965892922</v>
      </c>
      <c r="AI85" s="458">
        <f>'Pseudo-load coefficients'!AI512</f>
        <v>1</v>
      </c>
      <c r="AJ85" s="458">
        <f>'Pseudo-load coefficients'!AJ512</f>
        <v>1</v>
      </c>
      <c r="AK85" s="458">
        <f>'Pseudo-load coefficients'!AK512</f>
        <v>7.2277537965892922</v>
      </c>
      <c r="AL85" s="458">
        <f>'Pseudo-load coefficients'!AL512</f>
        <v>7.2277537965892922</v>
      </c>
      <c r="AM85" s="458">
        <f>'Pseudo-load coefficients'!AM512</f>
        <v>1</v>
      </c>
      <c r="AN85" s="458">
        <f>'Pseudo-load coefficients'!AN512</f>
        <v>1</v>
      </c>
      <c r="AO85" s="458">
        <f>'Pseudo-load coefficients'!AO512</f>
        <v>7.2277537965892922</v>
      </c>
      <c r="AP85" s="458">
        <f>'Pseudo-load coefficients'!AP512</f>
        <v>7.2277537965892922</v>
      </c>
    </row>
    <row r="86" spans="5:42" x14ac:dyDescent="0.25">
      <c r="E86" s="144"/>
      <c r="F86" s="211" t="s">
        <v>47</v>
      </c>
      <c r="G86" s="145" t="s">
        <v>636</v>
      </c>
      <c r="H86" s="139"/>
      <c r="I86" s="139"/>
      <c r="J86" s="458">
        <f>'Pseudo-load coefficients'!J513</f>
        <v>2.023448068726081</v>
      </c>
      <c r="K86" s="458">
        <f>'Pseudo-load coefficients'!K513</f>
        <v>2.6021873241736615</v>
      </c>
      <c r="L86" s="458">
        <f>'Pseudo-load coefficients'!L513</f>
        <v>0.23723781296590604</v>
      </c>
      <c r="M86" s="458">
        <f>'Pseudo-load coefficients'!M513</f>
        <v>1.8106821466313612</v>
      </c>
      <c r="N86" s="458">
        <f>'Pseudo-load coefficients'!N513</f>
        <v>2.8493629304145642</v>
      </c>
      <c r="O86" s="458">
        <f>'Pseudo-load coefficients'!O513</f>
        <v>0.40524136871418465</v>
      </c>
      <c r="P86" s="458">
        <f>'Pseudo-load coefficients'!P513</f>
        <v>1.4462178277371061</v>
      </c>
      <c r="Q86" s="458">
        <f>'Pseudo-load coefficients'!Q513</f>
        <v>1.3525109569741856</v>
      </c>
      <c r="R86" s="458">
        <f>'Pseudo-load coefficients'!R513</f>
        <v>1.5001810197593486</v>
      </c>
      <c r="S86" s="458">
        <f>'Pseudo-load coefficients'!S513</f>
        <v>10.919058364043636</v>
      </c>
      <c r="T86" s="458">
        <f>'Pseudo-load coefficients'!T513</f>
        <v>11.52541279864173</v>
      </c>
      <c r="U86" s="458">
        <f>'Pseudo-load coefficients'!U513</f>
        <v>8.6160882325457742</v>
      </c>
      <c r="V86" s="458">
        <f>'Pseudo-load coefficients'!V513</f>
        <v>8.3315674443426335</v>
      </c>
      <c r="W86" s="458">
        <f>'Pseudo-load coefficients'!W513</f>
        <v>7.5790432651897071</v>
      </c>
      <c r="X86" s="458">
        <f>'Pseudo-load coefficients'!X513</f>
        <v>0.93658384552539908</v>
      </c>
      <c r="Y86" s="458">
        <f>'Pseudo-load coefficients'!Y513</f>
        <v>1.0676296952091524</v>
      </c>
      <c r="Z86" s="458">
        <f>'Pseudo-load coefficients'!Z513</f>
        <v>2.0072330539086121</v>
      </c>
      <c r="AA86" s="458">
        <f>'Pseudo-load coefficients'!AA513</f>
        <v>0.89367630597148673</v>
      </c>
      <c r="AB86" s="458">
        <f>'Pseudo-load coefficients'!AB513</f>
        <v>15.57665125520071</v>
      </c>
      <c r="AC86" s="458">
        <f>'Pseudo-load coefficients'!AC513</f>
        <v>1</v>
      </c>
      <c r="AD86" s="458">
        <f>'Pseudo-load coefficients'!AD513</f>
        <v>1</v>
      </c>
      <c r="AE86" s="458">
        <f>'Pseudo-load coefficients'!AE513</f>
        <v>1</v>
      </c>
      <c r="AF86" s="458">
        <f>'Pseudo-load coefficients'!AF513</f>
        <v>1</v>
      </c>
      <c r="AG86" s="458">
        <f>'Pseudo-load coefficients'!AG513</f>
        <v>7.2277537965892922</v>
      </c>
      <c r="AH86" s="458">
        <f>'Pseudo-load coefficients'!AH513</f>
        <v>7.2277537965892922</v>
      </c>
      <c r="AI86" s="458">
        <f>'Pseudo-load coefficients'!AI513</f>
        <v>1</v>
      </c>
      <c r="AJ86" s="458">
        <f>'Pseudo-load coefficients'!AJ513</f>
        <v>1</v>
      </c>
      <c r="AK86" s="458">
        <f>'Pseudo-load coefficients'!AK513</f>
        <v>7.2277537965892922</v>
      </c>
      <c r="AL86" s="458">
        <f>'Pseudo-load coefficients'!AL513</f>
        <v>7.2277537965892922</v>
      </c>
      <c r="AM86" s="458">
        <f>'Pseudo-load coefficients'!AM513</f>
        <v>1</v>
      </c>
      <c r="AN86" s="458">
        <f>'Pseudo-load coefficients'!AN513</f>
        <v>1</v>
      </c>
      <c r="AO86" s="458">
        <f>'Pseudo-load coefficients'!AO513</f>
        <v>7.2277537965892922</v>
      </c>
      <c r="AP86" s="458">
        <f>'Pseudo-load coefficients'!AP513</f>
        <v>7.2277537965892922</v>
      </c>
    </row>
    <row r="87" spans="5:42" x14ac:dyDescent="0.25">
      <c r="E87" s="144"/>
      <c r="F87" s="211" t="s">
        <v>51</v>
      </c>
      <c r="G87" s="145" t="s">
        <v>636</v>
      </c>
      <c r="H87" s="139"/>
      <c r="I87" s="139"/>
      <c r="J87" s="458">
        <f>'Pseudo-load coefficients'!J514</f>
        <v>0</v>
      </c>
      <c r="K87" s="458">
        <f>'Pseudo-load coefficients'!K514</f>
        <v>0</v>
      </c>
      <c r="L87" s="458">
        <f>'Pseudo-load coefficients'!L514</f>
        <v>0</v>
      </c>
      <c r="M87" s="458">
        <f>'Pseudo-load coefficients'!M514</f>
        <v>0</v>
      </c>
      <c r="N87" s="458">
        <f>'Pseudo-load coefficients'!N514</f>
        <v>0</v>
      </c>
      <c r="O87" s="458">
        <f>'Pseudo-load coefficients'!O514</f>
        <v>0</v>
      </c>
      <c r="P87" s="458">
        <f>'Pseudo-load coefficients'!P514</f>
        <v>0</v>
      </c>
      <c r="Q87" s="458">
        <f>'Pseudo-load coefficients'!Q514</f>
        <v>0</v>
      </c>
      <c r="R87" s="458">
        <f>'Pseudo-load coefficients'!R514</f>
        <v>0</v>
      </c>
      <c r="S87" s="458">
        <f>'Pseudo-load coefficients'!S514</f>
        <v>0</v>
      </c>
      <c r="T87" s="458">
        <f>'Pseudo-load coefficients'!T514</f>
        <v>0</v>
      </c>
      <c r="U87" s="458">
        <f>'Pseudo-load coefficients'!U514</f>
        <v>0</v>
      </c>
      <c r="V87" s="458">
        <f>'Pseudo-load coefficients'!V514</f>
        <v>0</v>
      </c>
      <c r="W87" s="458">
        <f>'Pseudo-load coefficients'!W514</f>
        <v>0</v>
      </c>
      <c r="X87" s="458">
        <f>'Pseudo-load coefficients'!X514</f>
        <v>0</v>
      </c>
      <c r="Y87" s="458">
        <f>'Pseudo-load coefficients'!Y514</f>
        <v>0</v>
      </c>
      <c r="Z87" s="458">
        <f>'Pseudo-load coefficients'!Z514</f>
        <v>0</v>
      </c>
      <c r="AA87" s="458">
        <f>'Pseudo-load coefficients'!AA514</f>
        <v>0</v>
      </c>
      <c r="AB87" s="458">
        <f>'Pseudo-load coefficients'!AB514</f>
        <v>0</v>
      </c>
      <c r="AC87" s="458">
        <f>'Pseudo-load coefficients'!AC514</f>
        <v>0</v>
      </c>
      <c r="AD87" s="458">
        <f>'Pseudo-load coefficients'!AD514</f>
        <v>0</v>
      </c>
      <c r="AE87" s="458">
        <f>'Pseudo-load coefficients'!AE514</f>
        <v>0</v>
      </c>
      <c r="AF87" s="458">
        <f>'Pseudo-load coefficients'!AF514</f>
        <v>0</v>
      </c>
      <c r="AG87" s="458">
        <f>'Pseudo-load coefficients'!AG514</f>
        <v>0</v>
      </c>
      <c r="AH87" s="458">
        <f>'Pseudo-load coefficients'!AH514</f>
        <v>0</v>
      </c>
      <c r="AI87" s="458">
        <f>'Pseudo-load coefficients'!AI514</f>
        <v>0</v>
      </c>
      <c r="AJ87" s="458">
        <f>'Pseudo-load coefficients'!AJ514</f>
        <v>0</v>
      </c>
      <c r="AK87" s="458">
        <f>'Pseudo-load coefficients'!AK514</f>
        <v>0</v>
      </c>
      <c r="AL87" s="458">
        <f>'Pseudo-load coefficients'!AL514</f>
        <v>0</v>
      </c>
      <c r="AM87" s="458">
        <f>'Pseudo-load coefficients'!AM514</f>
        <v>0</v>
      </c>
      <c r="AN87" s="458">
        <f>'Pseudo-load coefficients'!AN514</f>
        <v>0</v>
      </c>
      <c r="AO87" s="458">
        <f>'Pseudo-load coefficients'!AO514</f>
        <v>0</v>
      </c>
      <c r="AP87" s="458">
        <f>'Pseudo-load coefficients'!AP514</f>
        <v>0</v>
      </c>
    </row>
    <row r="88" spans="5:42" x14ac:dyDescent="0.25">
      <c r="E88" s="144"/>
      <c r="F88" s="211" t="s">
        <v>48</v>
      </c>
      <c r="G88" s="145" t="s">
        <v>636</v>
      </c>
      <c r="H88" s="139"/>
      <c r="I88" s="139"/>
      <c r="J88" s="458">
        <f>'Pseudo-load coefficients'!J515</f>
        <v>1.9137428742491756</v>
      </c>
      <c r="K88" s="458">
        <f>'Pseudo-load coefficients'!K515</f>
        <v>2.4218986027307627</v>
      </c>
      <c r="L88" s="458">
        <f>'Pseudo-load coefficients'!L515</f>
        <v>0.37343483262940991</v>
      </c>
      <c r="M88" s="458">
        <f>'Pseudo-load coefficients'!M515</f>
        <v>1.8573873175791129</v>
      </c>
      <c r="N88" s="458">
        <f>'Pseudo-load coefficients'!N515</f>
        <v>2.7545029252499589</v>
      </c>
      <c r="O88" s="458">
        <f>'Pseudo-load coefficients'!O515</f>
        <v>0.48115339535519658</v>
      </c>
      <c r="P88" s="458">
        <f>'Pseudo-load coefficients'!P515</f>
        <v>1.4429512785280627</v>
      </c>
      <c r="Q88" s="458">
        <f>'Pseudo-load coefficients'!Q515</f>
        <v>1.3504766596416269</v>
      </c>
      <c r="R88" s="458">
        <f>'Pseudo-load coefficients'!R515</f>
        <v>1.5140564824817799</v>
      </c>
      <c r="S88" s="458">
        <f>'Pseudo-load coefficients'!S515</f>
        <v>7.2057946498092118</v>
      </c>
      <c r="T88" s="458">
        <f>'Pseudo-load coefficients'!T515</f>
        <v>7.6083597319212446</v>
      </c>
      <c r="U88" s="458">
        <f>'Pseudo-load coefficients'!U515</f>
        <v>5.6898917199959316</v>
      </c>
      <c r="V88" s="458">
        <f>'Pseudo-load coefficients'!V515</f>
        <v>5.5019999025875759</v>
      </c>
      <c r="W88" s="458">
        <f>'Pseudo-load coefficients'!W515</f>
        <v>5.0050480399214905</v>
      </c>
      <c r="X88" s="458">
        <f>'Pseudo-load coefficients'!X515</f>
        <v>0.93457480535347592</v>
      </c>
      <c r="Y88" s="458">
        <f>'Pseudo-load coefficients'!Y515</f>
        <v>0.82006000573139126</v>
      </c>
      <c r="Z88" s="458">
        <f>'Pseudo-load coefficients'!Z515</f>
        <v>1.507533099216728</v>
      </c>
      <c r="AA88" s="458">
        <f>'Pseudo-load coefficients'!AA515</f>
        <v>1.0913245534559157</v>
      </c>
      <c r="AB88" s="458">
        <f>'Pseudo-load coefficients'!AB515</f>
        <v>9.5731832179348917</v>
      </c>
      <c r="AC88" s="458">
        <f>'Pseudo-load coefficients'!AC515</f>
        <v>1</v>
      </c>
      <c r="AD88" s="458">
        <f>'Pseudo-load coefficients'!AD515</f>
        <v>1</v>
      </c>
      <c r="AE88" s="458">
        <f>'Pseudo-load coefficients'!AE515</f>
        <v>1</v>
      </c>
      <c r="AF88" s="458">
        <f>'Pseudo-load coefficients'!AF515</f>
        <v>1</v>
      </c>
      <c r="AG88" s="458">
        <f>'Pseudo-load coefficients'!AG515</f>
        <v>4.7730635262112946</v>
      </c>
      <c r="AH88" s="458">
        <f>'Pseudo-load coefficients'!AH515</f>
        <v>4.7730635262112946</v>
      </c>
      <c r="AI88" s="458">
        <f>'Pseudo-load coefficients'!AI515</f>
        <v>1</v>
      </c>
      <c r="AJ88" s="458">
        <f>'Pseudo-load coefficients'!AJ515</f>
        <v>1</v>
      </c>
      <c r="AK88" s="458">
        <f>'Pseudo-load coefficients'!AK515</f>
        <v>4.7730635262112946</v>
      </c>
      <c r="AL88" s="458">
        <f>'Pseudo-load coefficients'!AL515</f>
        <v>4.7730635262112946</v>
      </c>
      <c r="AM88" s="458">
        <f>'Pseudo-load coefficients'!AM515</f>
        <v>1</v>
      </c>
      <c r="AN88" s="458">
        <f>'Pseudo-load coefficients'!AN515</f>
        <v>1</v>
      </c>
      <c r="AO88" s="458">
        <f>'Pseudo-load coefficients'!AO515</f>
        <v>4.7730635262112946</v>
      </c>
      <c r="AP88" s="458">
        <f>'Pseudo-load coefficients'!AP515</f>
        <v>4.7730635262112946</v>
      </c>
    </row>
    <row r="89" spans="5:42" x14ac:dyDescent="0.25">
      <c r="E89" s="144"/>
      <c r="F89" s="211" t="s">
        <v>49</v>
      </c>
      <c r="G89" s="145" t="s">
        <v>636</v>
      </c>
      <c r="H89" s="139"/>
      <c r="I89" s="139"/>
      <c r="J89" s="458">
        <f>'Pseudo-load coefficients'!J516</f>
        <v>1.9137428742491756</v>
      </c>
      <c r="K89" s="458">
        <f>'Pseudo-load coefficients'!K516</f>
        <v>2.4218986027307627</v>
      </c>
      <c r="L89" s="458">
        <f>'Pseudo-load coefficients'!L516</f>
        <v>0.37343483262940991</v>
      </c>
      <c r="M89" s="458">
        <f>'Pseudo-load coefficients'!M516</f>
        <v>1.8573873175791129</v>
      </c>
      <c r="N89" s="458">
        <f>'Pseudo-load coefficients'!N516</f>
        <v>2.7545029252499589</v>
      </c>
      <c r="O89" s="458">
        <f>'Pseudo-load coefficients'!O516</f>
        <v>0.48115339535519658</v>
      </c>
      <c r="P89" s="458">
        <f>'Pseudo-load coefficients'!P516</f>
        <v>1.4429512785280627</v>
      </c>
      <c r="Q89" s="458">
        <f>'Pseudo-load coefficients'!Q516</f>
        <v>1.3504766596416269</v>
      </c>
      <c r="R89" s="458">
        <f>'Pseudo-load coefficients'!R516</f>
        <v>1.5140564824817799</v>
      </c>
      <c r="S89" s="458">
        <f>'Pseudo-load coefficients'!S516</f>
        <v>7.2057946498092118</v>
      </c>
      <c r="T89" s="458">
        <f>'Pseudo-load coefficients'!T516</f>
        <v>7.6083597319212446</v>
      </c>
      <c r="U89" s="458">
        <f>'Pseudo-load coefficients'!U516</f>
        <v>5.6898917199959316</v>
      </c>
      <c r="V89" s="458">
        <f>'Pseudo-load coefficients'!V516</f>
        <v>5.5019999025875759</v>
      </c>
      <c r="W89" s="458">
        <f>'Pseudo-load coefficients'!W516</f>
        <v>5.0050480399214905</v>
      </c>
      <c r="X89" s="458">
        <f>'Pseudo-load coefficients'!X516</f>
        <v>0.93457480535347592</v>
      </c>
      <c r="Y89" s="458">
        <f>'Pseudo-load coefficients'!Y516</f>
        <v>0.82006000573139126</v>
      </c>
      <c r="Z89" s="458">
        <f>'Pseudo-load coefficients'!Z516</f>
        <v>1.507533099216728</v>
      </c>
      <c r="AA89" s="458">
        <f>'Pseudo-load coefficients'!AA516</f>
        <v>1.0913245534559157</v>
      </c>
      <c r="AB89" s="458">
        <f>'Pseudo-load coefficients'!AB516</f>
        <v>9.5731832179348917</v>
      </c>
      <c r="AC89" s="458">
        <f>'Pseudo-load coefficients'!AC516</f>
        <v>1</v>
      </c>
      <c r="AD89" s="458">
        <f>'Pseudo-load coefficients'!AD516</f>
        <v>1</v>
      </c>
      <c r="AE89" s="458">
        <f>'Pseudo-load coefficients'!AE516</f>
        <v>1</v>
      </c>
      <c r="AF89" s="458">
        <f>'Pseudo-load coefficients'!AF516</f>
        <v>1</v>
      </c>
      <c r="AG89" s="458">
        <f>'Pseudo-load coefficients'!AG516</f>
        <v>4.7730635262112946</v>
      </c>
      <c r="AH89" s="458">
        <f>'Pseudo-load coefficients'!AH516</f>
        <v>4.7730635262112946</v>
      </c>
      <c r="AI89" s="458">
        <f>'Pseudo-load coefficients'!AI516</f>
        <v>1</v>
      </c>
      <c r="AJ89" s="458">
        <f>'Pseudo-load coefficients'!AJ516</f>
        <v>1</v>
      </c>
      <c r="AK89" s="458">
        <f>'Pseudo-load coefficients'!AK516</f>
        <v>4.7730635262112946</v>
      </c>
      <c r="AL89" s="458">
        <f>'Pseudo-load coefficients'!AL516</f>
        <v>4.7730635262112946</v>
      </c>
      <c r="AM89" s="458">
        <f>'Pseudo-load coefficients'!AM516</f>
        <v>1</v>
      </c>
      <c r="AN89" s="458">
        <f>'Pseudo-load coefficients'!AN516</f>
        <v>1</v>
      </c>
      <c r="AO89" s="458">
        <f>'Pseudo-load coefficients'!AO516</f>
        <v>4.7730635262112946</v>
      </c>
      <c r="AP89" s="458">
        <f>'Pseudo-load coefficients'!AP516</f>
        <v>4.7730635262112946</v>
      </c>
    </row>
    <row r="90" spans="5:42" x14ac:dyDescent="0.25">
      <c r="E90" s="144"/>
      <c r="F90" s="212" t="s">
        <v>50</v>
      </c>
      <c r="G90" s="38" t="s">
        <v>636</v>
      </c>
      <c r="H90" s="140"/>
      <c r="I90" s="140"/>
      <c r="J90" s="459">
        <f>'Pseudo-load coefficients'!J517</f>
        <v>1.9137428742491756</v>
      </c>
      <c r="K90" s="459">
        <f>'Pseudo-load coefficients'!K517</f>
        <v>2.4218986027307627</v>
      </c>
      <c r="L90" s="459">
        <f>'Pseudo-load coefficients'!L517</f>
        <v>0.37343483262940991</v>
      </c>
      <c r="M90" s="459">
        <f>'Pseudo-load coefficients'!M517</f>
        <v>1.8573873175791129</v>
      </c>
      <c r="N90" s="459">
        <f>'Pseudo-load coefficients'!N517</f>
        <v>2.7545029252499589</v>
      </c>
      <c r="O90" s="459">
        <f>'Pseudo-load coefficients'!O517</f>
        <v>0.48115339535519658</v>
      </c>
      <c r="P90" s="459">
        <f>'Pseudo-load coefficients'!P517</f>
        <v>1.4429512785280627</v>
      </c>
      <c r="Q90" s="459">
        <f>'Pseudo-load coefficients'!Q517</f>
        <v>1.3504766596416269</v>
      </c>
      <c r="R90" s="459">
        <f>'Pseudo-load coefficients'!R517</f>
        <v>1.5140564824817799</v>
      </c>
      <c r="S90" s="459">
        <f>'Pseudo-load coefficients'!S517</f>
        <v>7.2057946498092118</v>
      </c>
      <c r="T90" s="459">
        <f>'Pseudo-load coefficients'!T517</f>
        <v>7.6083597319212446</v>
      </c>
      <c r="U90" s="459">
        <f>'Pseudo-load coefficients'!U517</f>
        <v>5.6898917199959316</v>
      </c>
      <c r="V90" s="459">
        <f>'Pseudo-load coefficients'!V517</f>
        <v>5.5019999025875759</v>
      </c>
      <c r="W90" s="459">
        <f>'Pseudo-load coefficients'!W517</f>
        <v>5.0050480399214905</v>
      </c>
      <c r="X90" s="459">
        <f>'Pseudo-load coefficients'!X517</f>
        <v>0.93457480535347592</v>
      </c>
      <c r="Y90" s="459">
        <f>'Pseudo-load coefficients'!Y517</f>
        <v>0.82006000573139126</v>
      </c>
      <c r="Z90" s="459">
        <f>'Pseudo-load coefficients'!Z517</f>
        <v>1.507533099216728</v>
      </c>
      <c r="AA90" s="459">
        <f>'Pseudo-load coefficients'!AA517</f>
        <v>1.0913245534559157</v>
      </c>
      <c r="AB90" s="459">
        <f>'Pseudo-load coefficients'!AB517</f>
        <v>9.5731832179348917</v>
      </c>
      <c r="AC90" s="459">
        <f>'Pseudo-load coefficients'!AC517</f>
        <v>1</v>
      </c>
      <c r="AD90" s="459">
        <f>'Pseudo-load coefficients'!AD517</f>
        <v>1</v>
      </c>
      <c r="AE90" s="459">
        <f>'Pseudo-load coefficients'!AE517</f>
        <v>1</v>
      </c>
      <c r="AF90" s="459">
        <f>'Pseudo-load coefficients'!AF517</f>
        <v>1</v>
      </c>
      <c r="AG90" s="459">
        <f>'Pseudo-load coefficients'!AG517</f>
        <v>4.7730635262112946</v>
      </c>
      <c r="AH90" s="459">
        <f>'Pseudo-load coefficients'!AH517</f>
        <v>4.7730635262112946</v>
      </c>
      <c r="AI90" s="459">
        <f>'Pseudo-load coefficients'!AI517</f>
        <v>1</v>
      </c>
      <c r="AJ90" s="459">
        <f>'Pseudo-load coefficients'!AJ517</f>
        <v>1</v>
      </c>
      <c r="AK90" s="459">
        <f>'Pseudo-load coefficients'!AK517</f>
        <v>4.7730635262112946</v>
      </c>
      <c r="AL90" s="459">
        <f>'Pseudo-load coefficients'!AL517</f>
        <v>4.7730635262112946</v>
      </c>
      <c r="AM90" s="459">
        <f>'Pseudo-load coefficients'!AM517</f>
        <v>1</v>
      </c>
      <c r="AN90" s="459">
        <f>'Pseudo-load coefficients'!AN517</f>
        <v>1</v>
      </c>
      <c r="AO90" s="459">
        <f>'Pseudo-load coefficients'!AO517</f>
        <v>4.7730635262112946</v>
      </c>
      <c r="AP90" s="459">
        <f>'Pseudo-load coefficients'!AP517</f>
        <v>4.7730635262112946</v>
      </c>
    </row>
    <row r="91" spans="5:42" x14ac:dyDescent="0.25">
      <c r="E91" s="144"/>
      <c r="F91" s="213"/>
      <c r="J91" s="401"/>
      <c r="K91" s="401"/>
      <c r="L91" s="401"/>
      <c r="M91" s="401"/>
      <c r="N91" s="401"/>
      <c r="O91" s="401"/>
      <c r="P91" s="401"/>
      <c r="Q91" s="401"/>
      <c r="R91" s="401"/>
      <c r="S91" s="401"/>
      <c r="T91" s="401"/>
      <c r="U91" s="401"/>
      <c r="V91" s="401"/>
      <c r="W91" s="401"/>
      <c r="X91" s="401"/>
      <c r="Y91" s="401"/>
      <c r="Z91" s="401"/>
      <c r="AA91" s="401"/>
      <c r="AB91" s="401"/>
      <c r="AC91" s="401"/>
      <c r="AD91" s="401"/>
      <c r="AE91" s="401"/>
      <c r="AF91" s="401"/>
      <c r="AG91" s="401"/>
      <c r="AH91" s="401"/>
      <c r="AI91" s="401"/>
      <c r="AJ91" s="401"/>
      <c r="AK91" s="401"/>
      <c r="AL91" s="401"/>
      <c r="AM91" s="401"/>
      <c r="AN91" s="401"/>
      <c r="AO91" s="401"/>
      <c r="AP91" s="401"/>
    </row>
    <row r="92" spans="5:42" x14ac:dyDescent="0.25">
      <c r="E92" s="144" t="s">
        <v>379</v>
      </c>
      <c r="F92" s="213"/>
      <c r="J92" s="401"/>
      <c r="K92" s="401"/>
      <c r="L92" s="401"/>
      <c r="M92" s="401"/>
      <c r="N92" s="401"/>
      <c r="O92" s="401"/>
      <c r="P92" s="401"/>
      <c r="Q92" s="401"/>
      <c r="R92" s="401"/>
      <c r="S92" s="401"/>
      <c r="T92" s="401"/>
      <c r="U92" s="401"/>
      <c r="V92" s="401"/>
      <c r="W92" s="401"/>
      <c r="X92" s="401"/>
      <c r="Y92" s="401"/>
      <c r="Z92" s="401"/>
      <c r="AA92" s="401"/>
      <c r="AB92" s="401"/>
      <c r="AC92" s="401"/>
      <c r="AD92" s="401"/>
      <c r="AE92" s="401"/>
      <c r="AF92" s="401"/>
      <c r="AG92" s="401"/>
      <c r="AH92" s="401"/>
      <c r="AI92" s="401"/>
      <c r="AJ92" s="401"/>
      <c r="AK92" s="401"/>
      <c r="AL92" s="401"/>
      <c r="AM92" s="401"/>
      <c r="AN92" s="401"/>
      <c r="AO92" s="401"/>
      <c r="AP92" s="401"/>
    </row>
    <row r="93" spans="5:42" x14ac:dyDescent="0.25">
      <c r="E93" s="144"/>
      <c r="F93" s="481" t="s">
        <v>397</v>
      </c>
      <c r="G93" s="40" t="s">
        <v>636</v>
      </c>
      <c r="H93" s="137"/>
      <c r="I93" s="137"/>
      <c r="J93" s="457">
        <f>'Pseudo-load coefficients'!J520</f>
        <v>0</v>
      </c>
      <c r="K93" s="457">
        <f>'Pseudo-load coefficients'!K520</f>
        <v>3.6243659981993449E-2</v>
      </c>
      <c r="L93" s="457">
        <f>'Pseudo-load coefficients'!L520</f>
        <v>0</v>
      </c>
      <c r="M93" s="457">
        <f>'Pseudo-load coefficients'!M520</f>
        <v>0</v>
      </c>
      <c r="N93" s="457">
        <f>'Pseudo-load coefficients'!N520</f>
        <v>8.89580510718843E-2</v>
      </c>
      <c r="O93" s="457">
        <f>'Pseudo-load coefficients'!O520</f>
        <v>0</v>
      </c>
      <c r="P93" s="457">
        <f>'Pseudo-load coefficients'!P520</f>
        <v>2.5420906287747784E-2</v>
      </c>
      <c r="Q93" s="457">
        <f>'Pseudo-load coefficients'!Q520</f>
        <v>2.5346903557012294E-2</v>
      </c>
      <c r="R93" s="457">
        <f>'Pseudo-load coefficients'!R520</f>
        <v>4.2290493382837135E-2</v>
      </c>
      <c r="S93" s="457">
        <f>'Pseudo-load coefficients'!S520</f>
        <v>0.37142497995685703</v>
      </c>
      <c r="T93" s="457">
        <f>'Pseudo-load coefficients'!T520</f>
        <v>0.39196543187779181</v>
      </c>
      <c r="U93" s="457">
        <f>'Pseudo-load coefficients'!U520</f>
        <v>0.29289660439188447</v>
      </c>
      <c r="V93" s="457">
        <f>'Pseudo-load coefficients'!V520</f>
        <v>0.28322456175554994</v>
      </c>
      <c r="W93" s="457">
        <f>'Pseudo-load coefficients'!W520</f>
        <v>0.25764314117954951</v>
      </c>
      <c r="X93" s="457">
        <f>'Pseudo-load coefficients'!X520</f>
        <v>0</v>
      </c>
      <c r="Y93" s="457">
        <f>'Pseudo-load coefficients'!Y520</f>
        <v>0</v>
      </c>
      <c r="Z93" s="457">
        <f>'Pseudo-load coefficients'!Z520</f>
        <v>0</v>
      </c>
      <c r="AA93" s="457">
        <f>'Pseudo-load coefficients'!AA520</f>
        <v>0</v>
      </c>
      <c r="AB93" s="457">
        <f>'Pseudo-load coefficients'!AB520</f>
        <v>0.78729520276771325</v>
      </c>
      <c r="AC93" s="457">
        <f>'Pseudo-load coefficients'!AC520</f>
        <v>0</v>
      </c>
      <c r="AD93" s="457">
        <f>'Pseudo-load coefficients'!AD520</f>
        <v>0</v>
      </c>
      <c r="AE93" s="457">
        <f>'Pseudo-load coefficients'!AE520</f>
        <v>0</v>
      </c>
      <c r="AF93" s="457">
        <f>'Pseudo-load coefficients'!AF520</f>
        <v>0</v>
      </c>
      <c r="AG93" s="457">
        <f>'Pseudo-load coefficients'!AG520</f>
        <v>0.24570135393983247</v>
      </c>
      <c r="AH93" s="457">
        <f>'Pseudo-load coefficients'!AH520</f>
        <v>0.24570135393983247</v>
      </c>
      <c r="AI93" s="457">
        <f>'Pseudo-load coefficients'!AI520</f>
        <v>0</v>
      </c>
      <c r="AJ93" s="457">
        <f>'Pseudo-load coefficients'!AJ520</f>
        <v>0</v>
      </c>
      <c r="AK93" s="457">
        <f>'Pseudo-load coefficients'!AK520</f>
        <v>0.24570135393983247</v>
      </c>
      <c r="AL93" s="457">
        <f>'Pseudo-load coefficients'!AL520</f>
        <v>0.24570135393983247</v>
      </c>
      <c r="AM93" s="457">
        <f>'Pseudo-load coefficients'!AM520</f>
        <v>0</v>
      </c>
      <c r="AN93" s="457">
        <f>'Pseudo-load coefficients'!AN520</f>
        <v>0</v>
      </c>
      <c r="AO93" s="457">
        <f>'Pseudo-load coefficients'!AO520</f>
        <v>0.24570135393983247</v>
      </c>
      <c r="AP93" s="457">
        <f>'Pseudo-load coefficients'!AP520</f>
        <v>0.24570135393983247</v>
      </c>
    </row>
    <row r="94" spans="5:42" x14ac:dyDescent="0.25">
      <c r="E94" s="144"/>
      <c r="F94" s="211" t="s">
        <v>43</v>
      </c>
      <c r="G94" s="145" t="s">
        <v>636</v>
      </c>
      <c r="H94" s="139"/>
      <c r="I94" s="139"/>
      <c r="J94" s="458">
        <f>'Pseudo-load coefficients'!J520</f>
        <v>0</v>
      </c>
      <c r="K94" s="458">
        <f>'Pseudo-load coefficients'!K520</f>
        <v>3.6243659981993449E-2</v>
      </c>
      <c r="L94" s="458">
        <f>'Pseudo-load coefficients'!L520</f>
        <v>0</v>
      </c>
      <c r="M94" s="458">
        <f>'Pseudo-load coefficients'!M520</f>
        <v>0</v>
      </c>
      <c r="N94" s="458">
        <f>'Pseudo-load coefficients'!N520</f>
        <v>8.89580510718843E-2</v>
      </c>
      <c r="O94" s="458">
        <f>'Pseudo-load coefficients'!O520</f>
        <v>0</v>
      </c>
      <c r="P94" s="458">
        <f>'Pseudo-load coefficients'!P520</f>
        <v>2.5420906287747784E-2</v>
      </c>
      <c r="Q94" s="458">
        <f>'Pseudo-load coefficients'!Q520</f>
        <v>2.5346903557012294E-2</v>
      </c>
      <c r="R94" s="458">
        <f>'Pseudo-load coefficients'!R520</f>
        <v>4.2290493382837135E-2</v>
      </c>
      <c r="S94" s="458">
        <f>'Pseudo-load coefficients'!S520</f>
        <v>0.37142497995685703</v>
      </c>
      <c r="T94" s="458">
        <f>'Pseudo-load coefficients'!T520</f>
        <v>0.39196543187779181</v>
      </c>
      <c r="U94" s="458">
        <f>'Pseudo-load coefficients'!U520</f>
        <v>0.29289660439188447</v>
      </c>
      <c r="V94" s="458">
        <f>'Pseudo-load coefficients'!V520</f>
        <v>0.28322456175554994</v>
      </c>
      <c r="W94" s="458">
        <f>'Pseudo-load coefficients'!W520</f>
        <v>0.25764314117954951</v>
      </c>
      <c r="X94" s="458">
        <f>'Pseudo-load coefficients'!X520</f>
        <v>0</v>
      </c>
      <c r="Y94" s="458">
        <f>'Pseudo-load coefficients'!Y520</f>
        <v>0</v>
      </c>
      <c r="Z94" s="458">
        <f>'Pseudo-load coefficients'!Z520</f>
        <v>0</v>
      </c>
      <c r="AA94" s="458">
        <f>'Pseudo-load coefficients'!AA520</f>
        <v>0</v>
      </c>
      <c r="AB94" s="458">
        <f>'Pseudo-load coefficients'!AB520</f>
        <v>0.78729520276771325</v>
      </c>
      <c r="AC94" s="458">
        <f>'Pseudo-load coefficients'!AC520</f>
        <v>0</v>
      </c>
      <c r="AD94" s="458">
        <f>'Pseudo-load coefficients'!AD520</f>
        <v>0</v>
      </c>
      <c r="AE94" s="458">
        <f>'Pseudo-load coefficients'!AE520</f>
        <v>0</v>
      </c>
      <c r="AF94" s="458">
        <f>'Pseudo-load coefficients'!AF520</f>
        <v>0</v>
      </c>
      <c r="AG94" s="458">
        <f>'Pseudo-load coefficients'!AG520</f>
        <v>0.24570135393983247</v>
      </c>
      <c r="AH94" s="458">
        <f>'Pseudo-load coefficients'!AH520</f>
        <v>0.24570135393983247</v>
      </c>
      <c r="AI94" s="458">
        <f>'Pseudo-load coefficients'!AI520</f>
        <v>0</v>
      </c>
      <c r="AJ94" s="458">
        <f>'Pseudo-load coefficients'!AJ520</f>
        <v>0</v>
      </c>
      <c r="AK94" s="458">
        <f>'Pseudo-load coefficients'!AK520</f>
        <v>0.24570135393983247</v>
      </c>
      <c r="AL94" s="458">
        <f>'Pseudo-load coefficients'!AL520</f>
        <v>0.24570135393983247</v>
      </c>
      <c r="AM94" s="458">
        <f>'Pseudo-load coefficients'!AM520</f>
        <v>0</v>
      </c>
      <c r="AN94" s="458">
        <f>'Pseudo-load coefficients'!AN520</f>
        <v>0</v>
      </c>
      <c r="AO94" s="458">
        <f>'Pseudo-load coefficients'!AO520</f>
        <v>0.24570135393983247</v>
      </c>
      <c r="AP94" s="458">
        <f>'Pseudo-load coefficients'!AP520</f>
        <v>0.24570135393983247</v>
      </c>
    </row>
    <row r="95" spans="5:42" x14ac:dyDescent="0.25">
      <c r="E95" s="144"/>
      <c r="F95" s="211" t="s">
        <v>44</v>
      </c>
      <c r="G95" s="145" t="s">
        <v>636</v>
      </c>
      <c r="H95" s="139"/>
      <c r="I95" s="139"/>
      <c r="J95" s="458">
        <f>'Pseudo-load coefficients'!J521</f>
        <v>0</v>
      </c>
      <c r="K95" s="458">
        <f>'Pseudo-load coefficients'!K521</f>
        <v>5.4150844483141621E-2</v>
      </c>
      <c r="L95" s="458">
        <f>'Pseudo-load coefficients'!L521</f>
        <v>0</v>
      </c>
      <c r="M95" s="458">
        <f>'Pseudo-load coefficients'!M521</f>
        <v>0</v>
      </c>
      <c r="N95" s="458">
        <f>'Pseudo-load coefficients'!N521</f>
        <v>0.14226615992691255</v>
      </c>
      <c r="O95" s="458">
        <f>'Pseudo-load coefficients'!O521</f>
        <v>0</v>
      </c>
      <c r="P95" s="458">
        <f>'Pseudo-load coefficients'!P521</f>
        <v>4.4658601120804629E-2</v>
      </c>
      <c r="Q95" s="458">
        <f>'Pseudo-load coefficients'!Q521</f>
        <v>4.3542796154771399E-2</v>
      </c>
      <c r="R95" s="458">
        <f>'Pseudo-load coefficients'!R521</f>
        <v>7.0193615685965577E-2</v>
      </c>
      <c r="S95" s="458">
        <f>'Pseudo-load coefficients'!S521</f>
        <v>0.55586889287989016</v>
      </c>
      <c r="T95" s="458">
        <f>'Pseudo-load coefficients'!T521</f>
        <v>0.58663290744978325</v>
      </c>
      <c r="U95" s="458">
        <f>'Pseudo-load coefficients'!U521</f>
        <v>0.43841981945620329</v>
      </c>
      <c r="V95" s="458">
        <f>'Pseudo-load coefficients'!V521</f>
        <v>0.42394230376359748</v>
      </c>
      <c r="W95" s="458">
        <f>'Pseudo-load coefficients'!W521</f>
        <v>0.38565096947637045</v>
      </c>
      <c r="X95" s="458">
        <f>'Pseudo-load coefficients'!X521</f>
        <v>0</v>
      </c>
      <c r="Y95" s="458">
        <f>'Pseudo-load coefficients'!Y521</f>
        <v>0</v>
      </c>
      <c r="Z95" s="458">
        <f>'Pseudo-load coefficients'!Z521</f>
        <v>0</v>
      </c>
      <c r="AA95" s="458">
        <f>'Pseudo-load coefficients'!AA521</f>
        <v>0</v>
      </c>
      <c r="AB95" s="458">
        <f>'Pseudo-load coefficients'!AB521</f>
        <v>0.68045149656284321</v>
      </c>
      <c r="AC95" s="458">
        <f>'Pseudo-load coefficients'!AC521</f>
        <v>0</v>
      </c>
      <c r="AD95" s="458">
        <f>'Pseudo-load coefficients'!AD521</f>
        <v>0</v>
      </c>
      <c r="AE95" s="458">
        <f>'Pseudo-load coefficients'!AE521</f>
        <v>0</v>
      </c>
      <c r="AF95" s="458">
        <f>'Pseudo-load coefficients'!AF521</f>
        <v>0</v>
      </c>
      <c r="AG95" s="458">
        <f>'Pseudo-load coefficients'!AG521</f>
        <v>0.36777600565939084</v>
      </c>
      <c r="AH95" s="458">
        <f>'Pseudo-load coefficients'!AH521</f>
        <v>0.36777600565939084</v>
      </c>
      <c r="AI95" s="458">
        <f>'Pseudo-load coefficients'!AI521</f>
        <v>0</v>
      </c>
      <c r="AJ95" s="458">
        <f>'Pseudo-load coefficients'!AJ521</f>
        <v>0</v>
      </c>
      <c r="AK95" s="458">
        <f>'Pseudo-load coefficients'!AK521</f>
        <v>0.36777600565939084</v>
      </c>
      <c r="AL95" s="458">
        <f>'Pseudo-load coefficients'!AL521</f>
        <v>0.36777600565939084</v>
      </c>
      <c r="AM95" s="458">
        <f>'Pseudo-load coefficients'!AM521</f>
        <v>0</v>
      </c>
      <c r="AN95" s="458">
        <f>'Pseudo-load coefficients'!AN521</f>
        <v>0</v>
      </c>
      <c r="AO95" s="458">
        <f>'Pseudo-load coefficients'!AO521</f>
        <v>0.36777600565939084</v>
      </c>
      <c r="AP95" s="458">
        <f>'Pseudo-load coefficients'!AP521</f>
        <v>0.36777600565939084</v>
      </c>
    </row>
    <row r="96" spans="5:42" x14ac:dyDescent="0.25">
      <c r="E96" s="144"/>
      <c r="F96" s="211" t="s">
        <v>45</v>
      </c>
      <c r="G96" s="145" t="s">
        <v>636</v>
      </c>
      <c r="H96" s="139"/>
      <c r="I96" s="139"/>
      <c r="J96" s="458">
        <f>'Pseudo-load coefficients'!J522</f>
        <v>0</v>
      </c>
      <c r="K96" s="458">
        <f>'Pseudo-load coefficients'!K522</f>
        <v>5.4150844483141621E-2</v>
      </c>
      <c r="L96" s="458">
        <f>'Pseudo-load coefficients'!L522</f>
        <v>0</v>
      </c>
      <c r="M96" s="458">
        <f>'Pseudo-load coefficients'!M522</f>
        <v>0</v>
      </c>
      <c r="N96" s="458">
        <f>'Pseudo-load coefficients'!N522</f>
        <v>0.14226615992691255</v>
      </c>
      <c r="O96" s="458">
        <f>'Pseudo-load coefficients'!O522</f>
        <v>0</v>
      </c>
      <c r="P96" s="458">
        <f>'Pseudo-load coefficients'!P522</f>
        <v>4.4658601120804629E-2</v>
      </c>
      <c r="Q96" s="458">
        <f>'Pseudo-load coefficients'!Q522</f>
        <v>4.3542796154771399E-2</v>
      </c>
      <c r="R96" s="458">
        <f>'Pseudo-load coefficients'!R522</f>
        <v>7.0193615685965577E-2</v>
      </c>
      <c r="S96" s="458">
        <f>'Pseudo-load coefficients'!S522</f>
        <v>0.55586889287989016</v>
      </c>
      <c r="T96" s="458">
        <f>'Pseudo-load coefficients'!T522</f>
        <v>0.58663290744978325</v>
      </c>
      <c r="U96" s="458">
        <f>'Pseudo-load coefficients'!U522</f>
        <v>0.43841981945620329</v>
      </c>
      <c r="V96" s="458">
        <f>'Pseudo-load coefficients'!V522</f>
        <v>0.42394230376359748</v>
      </c>
      <c r="W96" s="458">
        <f>'Pseudo-load coefficients'!W522</f>
        <v>0.38565096947637045</v>
      </c>
      <c r="X96" s="458">
        <f>'Pseudo-load coefficients'!X522</f>
        <v>0</v>
      </c>
      <c r="Y96" s="458">
        <f>'Pseudo-load coefficients'!Y522</f>
        <v>0</v>
      </c>
      <c r="Z96" s="458">
        <f>'Pseudo-load coefficients'!Z522</f>
        <v>0</v>
      </c>
      <c r="AA96" s="458">
        <f>'Pseudo-load coefficients'!AA522</f>
        <v>0</v>
      </c>
      <c r="AB96" s="458">
        <f>'Pseudo-load coefficients'!AB522</f>
        <v>0.68045149656284321</v>
      </c>
      <c r="AC96" s="458">
        <f>'Pseudo-load coefficients'!AC522</f>
        <v>0</v>
      </c>
      <c r="AD96" s="458">
        <f>'Pseudo-load coefficients'!AD522</f>
        <v>0</v>
      </c>
      <c r="AE96" s="458">
        <f>'Pseudo-load coefficients'!AE522</f>
        <v>0</v>
      </c>
      <c r="AF96" s="458">
        <f>'Pseudo-load coefficients'!AF522</f>
        <v>0</v>
      </c>
      <c r="AG96" s="458">
        <f>'Pseudo-load coefficients'!AG522</f>
        <v>0.36777600565939084</v>
      </c>
      <c r="AH96" s="458">
        <f>'Pseudo-load coefficients'!AH522</f>
        <v>0.36777600565939084</v>
      </c>
      <c r="AI96" s="458">
        <f>'Pseudo-load coefficients'!AI522</f>
        <v>0</v>
      </c>
      <c r="AJ96" s="458">
        <f>'Pseudo-load coefficients'!AJ522</f>
        <v>0</v>
      </c>
      <c r="AK96" s="458">
        <f>'Pseudo-load coefficients'!AK522</f>
        <v>0.36777600565939084</v>
      </c>
      <c r="AL96" s="458">
        <f>'Pseudo-load coefficients'!AL522</f>
        <v>0.36777600565939084</v>
      </c>
      <c r="AM96" s="458">
        <f>'Pseudo-load coefficients'!AM522</f>
        <v>0</v>
      </c>
      <c r="AN96" s="458">
        <f>'Pseudo-load coefficients'!AN522</f>
        <v>0</v>
      </c>
      <c r="AO96" s="458">
        <f>'Pseudo-load coefficients'!AO522</f>
        <v>0.36777600565939084</v>
      </c>
      <c r="AP96" s="458">
        <f>'Pseudo-load coefficients'!AP522</f>
        <v>0.36777600565939084</v>
      </c>
    </row>
    <row r="97" spans="3:42" x14ac:dyDescent="0.25">
      <c r="E97" s="144"/>
      <c r="F97" s="211" t="s">
        <v>46</v>
      </c>
      <c r="G97" s="145" t="s">
        <v>636</v>
      </c>
      <c r="H97" s="139"/>
      <c r="I97" s="139"/>
      <c r="J97" s="458">
        <f>'Pseudo-load coefficients'!J523</f>
        <v>0</v>
      </c>
      <c r="K97" s="458">
        <f>'Pseudo-load coefficients'!K523</f>
        <v>0.11992714650021423</v>
      </c>
      <c r="L97" s="458">
        <f>'Pseudo-load coefficients'!L523</f>
        <v>0</v>
      </c>
      <c r="M97" s="458">
        <f>'Pseudo-load coefficients'!M523</f>
        <v>0</v>
      </c>
      <c r="N97" s="458">
        <f>'Pseudo-load coefficients'!N523</f>
        <v>0.29786471110145424</v>
      </c>
      <c r="O97" s="458">
        <f>'Pseudo-load coefficients'!O523</f>
        <v>0</v>
      </c>
      <c r="P97" s="458">
        <f>'Pseudo-load coefficients'!P523</f>
        <v>0.10773880835268247</v>
      </c>
      <c r="Q97" s="458">
        <f>'Pseudo-load coefficients'!Q523</f>
        <v>0.1018290558189891</v>
      </c>
      <c r="R97" s="458">
        <f>'Pseudo-load coefficients'!R523</f>
        <v>0.15595567214982345</v>
      </c>
      <c r="S97" s="458">
        <f>'Pseudo-load coefficients'!S523</f>
        <v>1.025460413360668</v>
      </c>
      <c r="T97" s="458">
        <f>'Pseudo-load coefficients'!T523</f>
        <v>1.0824060261063233</v>
      </c>
      <c r="U97" s="458">
        <f>'Pseudo-load coefficients'!U523</f>
        <v>0.80917759626539421</v>
      </c>
      <c r="V97" s="458">
        <f>'Pseudo-load coefficients'!V523</f>
        <v>0.78245690338575224</v>
      </c>
      <c r="W97" s="458">
        <f>'Pseudo-load coefficients'!W523</f>
        <v>0.71178379860968433</v>
      </c>
      <c r="X97" s="458">
        <f>'Pseudo-load coefficients'!X523</f>
        <v>0</v>
      </c>
      <c r="Y97" s="458">
        <f>'Pseudo-load coefficients'!Y523</f>
        <v>0</v>
      </c>
      <c r="Z97" s="458">
        <f>'Pseudo-load coefficients'!Z523</f>
        <v>0</v>
      </c>
      <c r="AA97" s="458">
        <f>'Pseudo-load coefficients'!AA523</f>
        <v>0</v>
      </c>
      <c r="AB97" s="458">
        <f>'Pseudo-load coefficients'!AB523</f>
        <v>0.82975770434246265</v>
      </c>
      <c r="AC97" s="458">
        <f>'Pseudo-load coefficients'!AC523</f>
        <v>0</v>
      </c>
      <c r="AD97" s="458">
        <f>'Pseudo-load coefficients'!AD523</f>
        <v>0</v>
      </c>
      <c r="AE97" s="458">
        <f>'Pseudo-load coefficients'!AE523</f>
        <v>0</v>
      </c>
      <c r="AF97" s="458">
        <f>'Pseudo-load coefficients'!AF523</f>
        <v>0</v>
      </c>
      <c r="AG97" s="458">
        <f>'Pseudo-load coefficients'!AG523</f>
        <v>0.67879254316713844</v>
      </c>
      <c r="AH97" s="458">
        <f>'Pseudo-load coefficients'!AH523</f>
        <v>0.67879254316713844</v>
      </c>
      <c r="AI97" s="458">
        <f>'Pseudo-load coefficients'!AI523</f>
        <v>0</v>
      </c>
      <c r="AJ97" s="458">
        <f>'Pseudo-load coefficients'!AJ523</f>
        <v>0</v>
      </c>
      <c r="AK97" s="458">
        <f>'Pseudo-load coefficients'!AK523</f>
        <v>0.67879254316713844</v>
      </c>
      <c r="AL97" s="458">
        <f>'Pseudo-load coefficients'!AL523</f>
        <v>0.67879254316713844</v>
      </c>
      <c r="AM97" s="458">
        <f>'Pseudo-load coefficients'!AM523</f>
        <v>0</v>
      </c>
      <c r="AN97" s="458">
        <f>'Pseudo-load coefficients'!AN523</f>
        <v>0</v>
      </c>
      <c r="AO97" s="458">
        <f>'Pseudo-load coefficients'!AO523</f>
        <v>0.67879254316713844</v>
      </c>
      <c r="AP97" s="458">
        <f>'Pseudo-load coefficients'!AP523</f>
        <v>0.67879254316713844</v>
      </c>
    </row>
    <row r="98" spans="3:42" x14ac:dyDescent="0.25">
      <c r="E98" s="144"/>
      <c r="F98" s="211" t="s">
        <v>47</v>
      </c>
      <c r="G98" s="145" t="s">
        <v>636</v>
      </c>
      <c r="H98" s="139"/>
      <c r="I98" s="139"/>
      <c r="J98" s="458">
        <f>'Pseudo-load coefficients'!J524</f>
        <v>0</v>
      </c>
      <c r="K98" s="458">
        <f>'Pseudo-load coefficients'!K524</f>
        <v>0.11992714650021423</v>
      </c>
      <c r="L98" s="458">
        <f>'Pseudo-load coefficients'!L524</f>
        <v>0</v>
      </c>
      <c r="M98" s="458">
        <f>'Pseudo-load coefficients'!M524</f>
        <v>0</v>
      </c>
      <c r="N98" s="458">
        <f>'Pseudo-load coefficients'!N524</f>
        <v>0.29786471110145424</v>
      </c>
      <c r="O98" s="458">
        <f>'Pseudo-load coefficients'!O524</f>
        <v>0</v>
      </c>
      <c r="P98" s="458">
        <f>'Pseudo-load coefficients'!P524</f>
        <v>0.10773880835268247</v>
      </c>
      <c r="Q98" s="458">
        <f>'Pseudo-load coefficients'!Q524</f>
        <v>0.1018290558189891</v>
      </c>
      <c r="R98" s="458">
        <f>'Pseudo-load coefficients'!R524</f>
        <v>0.15595567214982345</v>
      </c>
      <c r="S98" s="458">
        <f>'Pseudo-load coefficients'!S524</f>
        <v>1.025460413360668</v>
      </c>
      <c r="T98" s="458">
        <f>'Pseudo-load coefficients'!T524</f>
        <v>1.0824060261063233</v>
      </c>
      <c r="U98" s="458">
        <f>'Pseudo-load coefficients'!U524</f>
        <v>0.80917759626539421</v>
      </c>
      <c r="V98" s="458">
        <f>'Pseudo-load coefficients'!V524</f>
        <v>0.78245690338575224</v>
      </c>
      <c r="W98" s="458">
        <f>'Pseudo-load coefficients'!W524</f>
        <v>0.71178379860968433</v>
      </c>
      <c r="X98" s="458">
        <f>'Pseudo-load coefficients'!X524</f>
        <v>0</v>
      </c>
      <c r="Y98" s="458">
        <f>'Pseudo-load coefficients'!Y524</f>
        <v>0</v>
      </c>
      <c r="Z98" s="458">
        <f>'Pseudo-load coefficients'!Z524</f>
        <v>0</v>
      </c>
      <c r="AA98" s="458">
        <f>'Pseudo-load coefficients'!AA524</f>
        <v>0</v>
      </c>
      <c r="AB98" s="458">
        <f>'Pseudo-load coefficients'!AB524</f>
        <v>0.82975770434246265</v>
      </c>
      <c r="AC98" s="458">
        <f>'Pseudo-load coefficients'!AC524</f>
        <v>0</v>
      </c>
      <c r="AD98" s="458">
        <f>'Pseudo-load coefficients'!AD524</f>
        <v>0</v>
      </c>
      <c r="AE98" s="458">
        <f>'Pseudo-load coefficients'!AE524</f>
        <v>0</v>
      </c>
      <c r="AF98" s="458">
        <f>'Pseudo-load coefficients'!AF524</f>
        <v>0</v>
      </c>
      <c r="AG98" s="458">
        <f>'Pseudo-load coefficients'!AG524</f>
        <v>0.67879254316713844</v>
      </c>
      <c r="AH98" s="458">
        <f>'Pseudo-load coefficients'!AH524</f>
        <v>0.67879254316713844</v>
      </c>
      <c r="AI98" s="458">
        <f>'Pseudo-load coefficients'!AI524</f>
        <v>0</v>
      </c>
      <c r="AJ98" s="458">
        <f>'Pseudo-load coefficients'!AJ524</f>
        <v>0</v>
      </c>
      <c r="AK98" s="458">
        <f>'Pseudo-load coefficients'!AK524</f>
        <v>0.67879254316713844</v>
      </c>
      <c r="AL98" s="458">
        <f>'Pseudo-load coefficients'!AL524</f>
        <v>0.67879254316713844</v>
      </c>
      <c r="AM98" s="458">
        <f>'Pseudo-load coefficients'!AM524</f>
        <v>0</v>
      </c>
      <c r="AN98" s="458">
        <f>'Pseudo-load coefficients'!AN524</f>
        <v>0</v>
      </c>
      <c r="AO98" s="458">
        <f>'Pseudo-load coefficients'!AO524</f>
        <v>0.67879254316713844</v>
      </c>
      <c r="AP98" s="458">
        <f>'Pseudo-load coefficients'!AP524</f>
        <v>0.67879254316713844</v>
      </c>
    </row>
    <row r="99" spans="3:42" x14ac:dyDescent="0.25">
      <c r="E99" s="144"/>
      <c r="F99" s="211" t="s">
        <v>51</v>
      </c>
      <c r="G99" s="145" t="s">
        <v>636</v>
      </c>
      <c r="H99" s="139"/>
      <c r="I99" s="139"/>
      <c r="J99" s="458">
        <f>'Pseudo-load coefficients'!J525</f>
        <v>0</v>
      </c>
      <c r="K99" s="458">
        <f>'Pseudo-load coefficients'!K525</f>
        <v>0</v>
      </c>
      <c r="L99" s="458">
        <f>'Pseudo-load coefficients'!L525</f>
        <v>0</v>
      </c>
      <c r="M99" s="458">
        <f>'Pseudo-load coefficients'!M525</f>
        <v>0</v>
      </c>
      <c r="N99" s="458">
        <f>'Pseudo-load coefficients'!N525</f>
        <v>0</v>
      </c>
      <c r="O99" s="458">
        <f>'Pseudo-load coefficients'!O525</f>
        <v>0</v>
      </c>
      <c r="P99" s="458">
        <f>'Pseudo-load coefficients'!P525</f>
        <v>0</v>
      </c>
      <c r="Q99" s="458">
        <f>'Pseudo-load coefficients'!Q525</f>
        <v>0</v>
      </c>
      <c r="R99" s="458">
        <f>'Pseudo-load coefficients'!R525</f>
        <v>0</v>
      </c>
      <c r="S99" s="458">
        <f>'Pseudo-load coefficients'!S525</f>
        <v>0</v>
      </c>
      <c r="T99" s="458">
        <f>'Pseudo-load coefficients'!T525</f>
        <v>0</v>
      </c>
      <c r="U99" s="458">
        <f>'Pseudo-load coefficients'!U525</f>
        <v>0</v>
      </c>
      <c r="V99" s="458">
        <f>'Pseudo-load coefficients'!V525</f>
        <v>0</v>
      </c>
      <c r="W99" s="458">
        <f>'Pseudo-load coefficients'!W525</f>
        <v>0</v>
      </c>
      <c r="X99" s="458">
        <f>'Pseudo-load coefficients'!X525</f>
        <v>0</v>
      </c>
      <c r="Y99" s="458">
        <f>'Pseudo-load coefficients'!Y525</f>
        <v>0</v>
      </c>
      <c r="Z99" s="458">
        <f>'Pseudo-load coefficients'!Z525</f>
        <v>0</v>
      </c>
      <c r="AA99" s="458">
        <f>'Pseudo-load coefficients'!AA525</f>
        <v>0</v>
      </c>
      <c r="AB99" s="458">
        <f>'Pseudo-load coefficients'!AB525</f>
        <v>0</v>
      </c>
      <c r="AC99" s="458">
        <f>'Pseudo-load coefficients'!AC525</f>
        <v>0</v>
      </c>
      <c r="AD99" s="458">
        <f>'Pseudo-load coefficients'!AD525</f>
        <v>0</v>
      </c>
      <c r="AE99" s="458">
        <f>'Pseudo-load coefficients'!AE525</f>
        <v>0</v>
      </c>
      <c r="AF99" s="458">
        <f>'Pseudo-load coefficients'!AF525</f>
        <v>0</v>
      </c>
      <c r="AG99" s="458">
        <f>'Pseudo-load coefficients'!AG525</f>
        <v>0</v>
      </c>
      <c r="AH99" s="458">
        <f>'Pseudo-load coefficients'!AH525</f>
        <v>0</v>
      </c>
      <c r="AI99" s="458">
        <f>'Pseudo-load coefficients'!AI525</f>
        <v>0</v>
      </c>
      <c r="AJ99" s="458">
        <f>'Pseudo-load coefficients'!AJ525</f>
        <v>0</v>
      </c>
      <c r="AK99" s="458">
        <f>'Pseudo-load coefficients'!AK525</f>
        <v>0</v>
      </c>
      <c r="AL99" s="458">
        <f>'Pseudo-load coefficients'!AL525</f>
        <v>0</v>
      </c>
      <c r="AM99" s="458">
        <f>'Pseudo-load coefficients'!AM525</f>
        <v>0</v>
      </c>
      <c r="AN99" s="458">
        <f>'Pseudo-load coefficients'!AN525</f>
        <v>0</v>
      </c>
      <c r="AO99" s="458">
        <f>'Pseudo-load coefficients'!AO525</f>
        <v>0</v>
      </c>
      <c r="AP99" s="458">
        <f>'Pseudo-load coefficients'!AP525</f>
        <v>0</v>
      </c>
    </row>
    <row r="100" spans="3:42" x14ac:dyDescent="0.25">
      <c r="E100" s="144"/>
      <c r="F100" s="211" t="s">
        <v>48</v>
      </c>
      <c r="G100" s="145" t="s">
        <v>636</v>
      </c>
      <c r="H100" s="139"/>
      <c r="I100" s="139"/>
      <c r="J100" s="458">
        <f>'Pseudo-load coefficients'!J526</f>
        <v>0</v>
      </c>
      <c r="K100" s="458">
        <f>'Pseudo-load coefficients'!K526</f>
        <v>0.21120711007169812</v>
      </c>
      <c r="L100" s="458">
        <f>'Pseudo-load coefficients'!L526</f>
        <v>0</v>
      </c>
      <c r="M100" s="458">
        <f>'Pseudo-load coefficients'!M526</f>
        <v>0</v>
      </c>
      <c r="N100" s="458">
        <f>'Pseudo-load coefficients'!N526</f>
        <v>0.50596631844083284</v>
      </c>
      <c r="O100" s="458">
        <f>'Pseudo-load coefficients'!O526</f>
        <v>0</v>
      </c>
      <c r="P100" s="458">
        <f>'Pseudo-load coefficients'!P526</f>
        <v>0.19378763858628878</v>
      </c>
      <c r="Q100" s="458">
        <f>'Pseudo-load coefficients'!Q526</f>
        <v>0.18103334311496919</v>
      </c>
      <c r="R100" s="458">
        <f>'Pseudo-load coefficients'!R526</f>
        <v>0.27167627775635395</v>
      </c>
      <c r="S100" s="458">
        <f>'Pseudo-load coefficients'!S526</f>
        <v>1.6354270464969127</v>
      </c>
      <c r="T100" s="458">
        <f>'Pseudo-load coefficients'!T526</f>
        <v>1.7267932115428042</v>
      </c>
      <c r="U100" s="458">
        <f>'Pseudo-load coefficients'!U526</f>
        <v>1.2913777401034547</v>
      </c>
      <c r="V100" s="458">
        <f>'Pseudo-load coefficients'!V526</f>
        <v>1.2487338160203254</v>
      </c>
      <c r="W100" s="458">
        <f>'Pseudo-load coefficients'!W526</f>
        <v>1.1359456286643821</v>
      </c>
      <c r="X100" s="458">
        <f>'Pseudo-load coefficients'!X526</f>
        <v>0</v>
      </c>
      <c r="Y100" s="458">
        <f>'Pseudo-load coefficients'!Y526</f>
        <v>0</v>
      </c>
      <c r="Z100" s="458">
        <f>'Pseudo-load coefficients'!Z526</f>
        <v>0</v>
      </c>
      <c r="AA100" s="458">
        <f>'Pseudo-load coefficients'!AA526</f>
        <v>0</v>
      </c>
      <c r="AB100" s="458">
        <f>'Pseudo-load coefficients'!AB526</f>
        <v>1.1131352849896714</v>
      </c>
      <c r="AC100" s="458">
        <f>'Pseudo-load coefficients'!AC526</f>
        <v>0</v>
      </c>
      <c r="AD100" s="458">
        <f>'Pseudo-load coefficients'!AD526</f>
        <v>0</v>
      </c>
      <c r="AE100" s="458">
        <f>'Pseudo-load coefficients'!AE526</f>
        <v>0</v>
      </c>
      <c r="AF100" s="458">
        <f>'Pseudo-load coefficients'!AF526</f>
        <v>0</v>
      </c>
      <c r="AG100" s="458">
        <f>'Pseudo-load coefficients'!AG526</f>
        <v>1.0832944268846958</v>
      </c>
      <c r="AH100" s="458">
        <f>'Pseudo-load coefficients'!AH526</f>
        <v>1.0832944268846958</v>
      </c>
      <c r="AI100" s="458">
        <f>'Pseudo-load coefficients'!AI526</f>
        <v>0</v>
      </c>
      <c r="AJ100" s="458">
        <f>'Pseudo-load coefficients'!AJ526</f>
        <v>0</v>
      </c>
      <c r="AK100" s="458">
        <f>'Pseudo-load coefficients'!AK526</f>
        <v>1.0832944268846958</v>
      </c>
      <c r="AL100" s="458">
        <f>'Pseudo-load coefficients'!AL526</f>
        <v>1.0832944268846958</v>
      </c>
      <c r="AM100" s="458">
        <f>'Pseudo-load coefficients'!AM526</f>
        <v>0</v>
      </c>
      <c r="AN100" s="458">
        <f>'Pseudo-load coefficients'!AN526</f>
        <v>0</v>
      </c>
      <c r="AO100" s="458">
        <f>'Pseudo-load coefficients'!AO526</f>
        <v>1.0832944268846958</v>
      </c>
      <c r="AP100" s="458">
        <f>'Pseudo-load coefficients'!AP526</f>
        <v>1.0832944268846958</v>
      </c>
    </row>
    <row r="101" spans="3:42" x14ac:dyDescent="0.25">
      <c r="E101" s="144"/>
      <c r="F101" s="211" t="s">
        <v>49</v>
      </c>
      <c r="G101" s="145" t="s">
        <v>636</v>
      </c>
      <c r="H101" s="139"/>
      <c r="I101" s="139"/>
      <c r="J101" s="458">
        <f>'Pseudo-load coefficients'!J527</f>
        <v>0</v>
      </c>
      <c r="K101" s="458">
        <f>'Pseudo-load coefficients'!K527</f>
        <v>0.21120711007169812</v>
      </c>
      <c r="L101" s="458">
        <f>'Pseudo-load coefficients'!L527</f>
        <v>0</v>
      </c>
      <c r="M101" s="458">
        <f>'Pseudo-load coefficients'!M527</f>
        <v>0</v>
      </c>
      <c r="N101" s="458">
        <f>'Pseudo-load coefficients'!N527</f>
        <v>0.50596631844083284</v>
      </c>
      <c r="O101" s="458">
        <f>'Pseudo-load coefficients'!O527</f>
        <v>0</v>
      </c>
      <c r="P101" s="458">
        <f>'Pseudo-load coefficients'!P527</f>
        <v>0.19378763858628878</v>
      </c>
      <c r="Q101" s="458">
        <f>'Pseudo-load coefficients'!Q527</f>
        <v>0.18103334311496919</v>
      </c>
      <c r="R101" s="458">
        <f>'Pseudo-load coefficients'!R527</f>
        <v>0.27167627775635395</v>
      </c>
      <c r="S101" s="458">
        <f>'Pseudo-load coefficients'!S527</f>
        <v>1.6354270464969127</v>
      </c>
      <c r="T101" s="458">
        <f>'Pseudo-load coefficients'!T527</f>
        <v>1.7267932115428042</v>
      </c>
      <c r="U101" s="458">
        <f>'Pseudo-load coefficients'!U527</f>
        <v>1.2913777401034547</v>
      </c>
      <c r="V101" s="458">
        <f>'Pseudo-load coefficients'!V527</f>
        <v>1.2487338160203254</v>
      </c>
      <c r="W101" s="458">
        <f>'Pseudo-load coefficients'!W527</f>
        <v>1.1359456286643821</v>
      </c>
      <c r="X101" s="458">
        <f>'Pseudo-load coefficients'!X527</f>
        <v>0</v>
      </c>
      <c r="Y101" s="458">
        <f>'Pseudo-load coefficients'!Y527</f>
        <v>0</v>
      </c>
      <c r="Z101" s="458">
        <f>'Pseudo-load coefficients'!Z527</f>
        <v>0</v>
      </c>
      <c r="AA101" s="458">
        <f>'Pseudo-load coefficients'!AA527</f>
        <v>0</v>
      </c>
      <c r="AB101" s="458">
        <f>'Pseudo-load coefficients'!AB527</f>
        <v>1.1131352849896714</v>
      </c>
      <c r="AC101" s="458">
        <f>'Pseudo-load coefficients'!AC527</f>
        <v>0</v>
      </c>
      <c r="AD101" s="458">
        <f>'Pseudo-load coefficients'!AD527</f>
        <v>0</v>
      </c>
      <c r="AE101" s="458">
        <f>'Pseudo-load coefficients'!AE527</f>
        <v>0</v>
      </c>
      <c r="AF101" s="458">
        <f>'Pseudo-load coefficients'!AF527</f>
        <v>0</v>
      </c>
      <c r="AG101" s="458">
        <f>'Pseudo-load coefficients'!AG527</f>
        <v>1.0832944268846958</v>
      </c>
      <c r="AH101" s="458">
        <f>'Pseudo-load coefficients'!AH527</f>
        <v>1.0832944268846958</v>
      </c>
      <c r="AI101" s="458">
        <f>'Pseudo-load coefficients'!AI527</f>
        <v>0</v>
      </c>
      <c r="AJ101" s="458">
        <f>'Pseudo-load coefficients'!AJ527</f>
        <v>0</v>
      </c>
      <c r="AK101" s="458">
        <f>'Pseudo-load coefficients'!AK527</f>
        <v>1.0832944268846958</v>
      </c>
      <c r="AL101" s="458">
        <f>'Pseudo-load coefficients'!AL527</f>
        <v>1.0832944268846958</v>
      </c>
      <c r="AM101" s="458">
        <f>'Pseudo-load coefficients'!AM527</f>
        <v>0</v>
      </c>
      <c r="AN101" s="458">
        <f>'Pseudo-load coefficients'!AN527</f>
        <v>0</v>
      </c>
      <c r="AO101" s="458">
        <f>'Pseudo-load coefficients'!AO527</f>
        <v>1.0832944268846958</v>
      </c>
      <c r="AP101" s="458">
        <f>'Pseudo-load coefficients'!AP527</f>
        <v>1.0832944268846958</v>
      </c>
    </row>
    <row r="102" spans="3:42" x14ac:dyDescent="0.25">
      <c r="E102" s="144"/>
      <c r="F102" s="212" t="s">
        <v>50</v>
      </c>
      <c r="G102" s="38" t="s">
        <v>636</v>
      </c>
      <c r="H102" s="140"/>
      <c r="I102" s="140"/>
      <c r="J102" s="459">
        <f>'Pseudo-load coefficients'!J528</f>
        <v>0</v>
      </c>
      <c r="K102" s="459">
        <f>'Pseudo-load coefficients'!K528</f>
        <v>0.21120711007169812</v>
      </c>
      <c r="L102" s="459">
        <f>'Pseudo-load coefficients'!L528</f>
        <v>0</v>
      </c>
      <c r="M102" s="459">
        <f>'Pseudo-load coefficients'!M528</f>
        <v>0</v>
      </c>
      <c r="N102" s="459">
        <f>'Pseudo-load coefficients'!N528</f>
        <v>0.50596631844083284</v>
      </c>
      <c r="O102" s="459">
        <f>'Pseudo-load coefficients'!O528</f>
        <v>0</v>
      </c>
      <c r="P102" s="459">
        <f>'Pseudo-load coefficients'!P528</f>
        <v>0.19378763858628878</v>
      </c>
      <c r="Q102" s="459">
        <f>'Pseudo-load coefficients'!Q528</f>
        <v>0.18103334311496919</v>
      </c>
      <c r="R102" s="459">
        <f>'Pseudo-load coefficients'!R528</f>
        <v>0.27167627775635395</v>
      </c>
      <c r="S102" s="459">
        <f>'Pseudo-load coefficients'!S528</f>
        <v>1.6354270464969127</v>
      </c>
      <c r="T102" s="459">
        <f>'Pseudo-load coefficients'!T528</f>
        <v>1.7267932115428042</v>
      </c>
      <c r="U102" s="459">
        <f>'Pseudo-load coefficients'!U528</f>
        <v>1.2913777401034547</v>
      </c>
      <c r="V102" s="459">
        <f>'Pseudo-load coefficients'!V528</f>
        <v>1.2487338160203254</v>
      </c>
      <c r="W102" s="459">
        <f>'Pseudo-load coefficients'!W528</f>
        <v>1.1359456286643821</v>
      </c>
      <c r="X102" s="459">
        <f>'Pseudo-load coefficients'!X528</f>
        <v>0</v>
      </c>
      <c r="Y102" s="459">
        <f>'Pseudo-load coefficients'!Y528</f>
        <v>0</v>
      </c>
      <c r="Z102" s="459">
        <f>'Pseudo-load coefficients'!Z528</f>
        <v>0</v>
      </c>
      <c r="AA102" s="459">
        <f>'Pseudo-load coefficients'!AA528</f>
        <v>0</v>
      </c>
      <c r="AB102" s="459">
        <f>'Pseudo-load coefficients'!AB528</f>
        <v>1.1131352849896714</v>
      </c>
      <c r="AC102" s="459">
        <f>'Pseudo-load coefficients'!AC528</f>
        <v>0</v>
      </c>
      <c r="AD102" s="459">
        <f>'Pseudo-load coefficients'!AD528</f>
        <v>0</v>
      </c>
      <c r="AE102" s="459">
        <f>'Pseudo-load coefficients'!AE528</f>
        <v>0</v>
      </c>
      <c r="AF102" s="459">
        <f>'Pseudo-load coefficients'!AF528</f>
        <v>0</v>
      </c>
      <c r="AG102" s="459">
        <f>'Pseudo-load coefficients'!AG528</f>
        <v>1.0832944268846958</v>
      </c>
      <c r="AH102" s="459">
        <f>'Pseudo-load coefficients'!AH528</f>
        <v>1.0832944268846958</v>
      </c>
      <c r="AI102" s="459">
        <f>'Pseudo-load coefficients'!AI528</f>
        <v>0</v>
      </c>
      <c r="AJ102" s="459">
        <f>'Pseudo-load coefficients'!AJ528</f>
        <v>0</v>
      </c>
      <c r="AK102" s="459">
        <f>'Pseudo-load coefficients'!AK528</f>
        <v>1.0832944268846958</v>
      </c>
      <c r="AL102" s="459">
        <f>'Pseudo-load coefficients'!AL528</f>
        <v>1.0832944268846958</v>
      </c>
      <c r="AM102" s="459">
        <f>'Pseudo-load coefficients'!AM528</f>
        <v>0</v>
      </c>
      <c r="AN102" s="459">
        <f>'Pseudo-load coefficients'!AN528</f>
        <v>0</v>
      </c>
      <c r="AO102" s="459">
        <f>'Pseudo-load coefficients'!AO528</f>
        <v>1.0832944268846958</v>
      </c>
      <c r="AP102" s="459">
        <f>'Pseudo-load coefficients'!AP528</f>
        <v>1.0832944268846958</v>
      </c>
    </row>
    <row r="103" spans="3:42" x14ac:dyDescent="0.25">
      <c r="E103" s="144"/>
      <c r="F103" s="213"/>
      <c r="J103" s="401"/>
      <c r="K103" s="401"/>
      <c r="L103" s="401"/>
      <c r="M103" s="401"/>
      <c r="N103" s="401"/>
      <c r="O103" s="401"/>
      <c r="P103" s="401"/>
      <c r="Q103" s="401"/>
      <c r="R103" s="401"/>
      <c r="S103" s="401"/>
      <c r="T103" s="401"/>
      <c r="U103" s="401"/>
      <c r="V103" s="401"/>
      <c r="W103" s="401"/>
      <c r="X103" s="401"/>
      <c r="Y103" s="401"/>
      <c r="Z103" s="401"/>
      <c r="AA103" s="401"/>
      <c r="AB103" s="401"/>
      <c r="AC103" s="401"/>
      <c r="AD103" s="401"/>
      <c r="AE103" s="401"/>
      <c r="AF103" s="401"/>
      <c r="AG103" s="401"/>
      <c r="AH103" s="401"/>
      <c r="AI103" s="401"/>
      <c r="AJ103" s="401"/>
      <c r="AK103" s="401"/>
      <c r="AL103" s="401"/>
      <c r="AM103" s="401"/>
      <c r="AN103" s="401"/>
      <c r="AO103" s="401"/>
      <c r="AP103" s="401"/>
    </row>
    <row r="104" spans="3:42" x14ac:dyDescent="0.25">
      <c r="E104" s="144" t="s">
        <v>380</v>
      </c>
      <c r="F104" s="213"/>
      <c r="J104" s="401"/>
      <c r="K104" s="401"/>
      <c r="L104" s="401"/>
      <c r="M104" s="401"/>
      <c r="N104" s="401"/>
      <c r="O104" s="401"/>
      <c r="P104" s="401"/>
      <c r="Q104" s="401"/>
      <c r="R104" s="401"/>
      <c r="S104" s="401"/>
      <c r="T104" s="401"/>
      <c r="U104" s="401"/>
      <c r="V104" s="401"/>
      <c r="W104" s="401"/>
      <c r="X104" s="401"/>
      <c r="Y104" s="401"/>
      <c r="Z104" s="401"/>
      <c r="AA104" s="401"/>
      <c r="AB104" s="401"/>
      <c r="AC104" s="401"/>
      <c r="AD104" s="401"/>
      <c r="AE104" s="401"/>
      <c r="AF104" s="401"/>
      <c r="AG104" s="401"/>
      <c r="AH104" s="401"/>
      <c r="AI104" s="401"/>
      <c r="AJ104" s="401"/>
      <c r="AK104" s="401"/>
      <c r="AL104" s="401"/>
      <c r="AM104" s="401"/>
      <c r="AN104" s="401"/>
      <c r="AO104" s="401"/>
      <c r="AP104" s="401"/>
    </row>
    <row r="105" spans="3:42" x14ac:dyDescent="0.25">
      <c r="C105" s="144"/>
      <c r="E105" s="144"/>
      <c r="F105" s="481" t="s">
        <v>397</v>
      </c>
      <c r="G105" s="40" t="s">
        <v>636</v>
      </c>
      <c r="H105" s="137"/>
      <c r="I105" s="137"/>
      <c r="J105" s="457">
        <f>'Pseudo-load coefficients'!J531</f>
        <v>0</v>
      </c>
      <c r="K105" s="457">
        <f>'Pseudo-load coefficients'!K531</f>
        <v>0</v>
      </c>
      <c r="L105" s="457">
        <f>'Pseudo-load coefficients'!L531</f>
        <v>0</v>
      </c>
      <c r="M105" s="457">
        <f>'Pseudo-load coefficients'!M531</f>
        <v>0</v>
      </c>
      <c r="N105" s="457">
        <f>'Pseudo-load coefficients'!N531</f>
        <v>0</v>
      </c>
      <c r="O105" s="457">
        <f>'Pseudo-load coefficients'!O531</f>
        <v>0</v>
      </c>
      <c r="P105" s="457">
        <f>'Pseudo-load coefficients'!P531</f>
        <v>0</v>
      </c>
      <c r="Q105" s="457">
        <f>'Pseudo-load coefficients'!Q531</f>
        <v>0</v>
      </c>
      <c r="R105" s="457">
        <f>'Pseudo-load coefficients'!R531</f>
        <v>0</v>
      </c>
      <c r="S105" s="457">
        <f>'Pseudo-load coefficients'!S531</f>
        <v>0</v>
      </c>
      <c r="T105" s="457">
        <f>'Pseudo-load coefficients'!T531</f>
        <v>0</v>
      </c>
      <c r="U105" s="457">
        <f>'Pseudo-load coefficients'!U531</f>
        <v>0</v>
      </c>
      <c r="V105" s="457">
        <f>'Pseudo-load coefficients'!V531</f>
        <v>0</v>
      </c>
      <c r="W105" s="457">
        <f>'Pseudo-load coefficients'!W531</f>
        <v>0</v>
      </c>
      <c r="X105" s="457">
        <f>'Pseudo-load coefficients'!X531</f>
        <v>0</v>
      </c>
      <c r="Y105" s="457">
        <f>'Pseudo-load coefficients'!Y531</f>
        <v>0</v>
      </c>
      <c r="Z105" s="457">
        <f>'Pseudo-load coefficients'!Z531</f>
        <v>0</v>
      </c>
      <c r="AA105" s="457">
        <f>'Pseudo-load coefficients'!AA531</f>
        <v>0</v>
      </c>
      <c r="AB105" s="457">
        <f>'Pseudo-load coefficients'!AB531</f>
        <v>0</v>
      </c>
      <c r="AC105" s="457">
        <f>'Pseudo-load coefficients'!AC531</f>
        <v>0</v>
      </c>
      <c r="AD105" s="457">
        <f>'Pseudo-load coefficients'!AD531</f>
        <v>0</v>
      </c>
      <c r="AE105" s="457">
        <f>'Pseudo-load coefficients'!AE531</f>
        <v>0</v>
      </c>
      <c r="AF105" s="457">
        <f>'Pseudo-load coefficients'!AF531</f>
        <v>0</v>
      </c>
      <c r="AG105" s="457">
        <f>'Pseudo-load coefficients'!AG531</f>
        <v>0</v>
      </c>
      <c r="AH105" s="457">
        <f>'Pseudo-load coefficients'!AH531</f>
        <v>0</v>
      </c>
      <c r="AI105" s="457">
        <f>'Pseudo-load coefficients'!AI531</f>
        <v>0</v>
      </c>
      <c r="AJ105" s="457">
        <f>'Pseudo-load coefficients'!AJ531</f>
        <v>0</v>
      </c>
      <c r="AK105" s="457">
        <f>'Pseudo-load coefficients'!AK531</f>
        <v>0</v>
      </c>
      <c r="AL105" s="457">
        <f>'Pseudo-load coefficients'!AL531</f>
        <v>0</v>
      </c>
      <c r="AM105" s="457">
        <f>'Pseudo-load coefficients'!AM531</f>
        <v>0</v>
      </c>
      <c r="AN105" s="457">
        <f>'Pseudo-load coefficients'!AN531</f>
        <v>0</v>
      </c>
      <c r="AO105" s="457">
        <f>'Pseudo-load coefficients'!AO531</f>
        <v>0</v>
      </c>
      <c r="AP105" s="457">
        <f>'Pseudo-load coefficients'!AP531</f>
        <v>0</v>
      </c>
    </row>
    <row r="106" spans="3:42" x14ac:dyDescent="0.25">
      <c r="C106" s="144"/>
      <c r="E106" s="144"/>
      <c r="F106" s="211" t="s">
        <v>43</v>
      </c>
      <c r="G106" s="145" t="s">
        <v>636</v>
      </c>
      <c r="H106" s="139"/>
      <c r="I106" s="139"/>
      <c r="J106" s="458">
        <f>'Pseudo-load coefficients'!J531</f>
        <v>0</v>
      </c>
      <c r="K106" s="458">
        <f>'Pseudo-load coefficients'!K531</f>
        <v>0</v>
      </c>
      <c r="L106" s="458">
        <f>'Pseudo-load coefficients'!L531</f>
        <v>0</v>
      </c>
      <c r="M106" s="458">
        <f>'Pseudo-load coefficients'!M531</f>
        <v>0</v>
      </c>
      <c r="N106" s="458">
        <f>'Pseudo-load coefficients'!N531</f>
        <v>0</v>
      </c>
      <c r="O106" s="458">
        <f>'Pseudo-load coefficients'!O531</f>
        <v>0</v>
      </c>
      <c r="P106" s="458">
        <f>'Pseudo-load coefficients'!P531</f>
        <v>0</v>
      </c>
      <c r="Q106" s="458">
        <f>'Pseudo-load coefficients'!Q531</f>
        <v>0</v>
      </c>
      <c r="R106" s="458">
        <f>'Pseudo-load coefficients'!R531</f>
        <v>0</v>
      </c>
      <c r="S106" s="458">
        <f>'Pseudo-load coefficients'!S531</f>
        <v>0</v>
      </c>
      <c r="T106" s="458">
        <f>'Pseudo-load coefficients'!T531</f>
        <v>0</v>
      </c>
      <c r="U106" s="458">
        <f>'Pseudo-load coefficients'!U531</f>
        <v>0</v>
      </c>
      <c r="V106" s="458">
        <f>'Pseudo-load coefficients'!V531</f>
        <v>0</v>
      </c>
      <c r="W106" s="458">
        <f>'Pseudo-load coefficients'!W531</f>
        <v>0</v>
      </c>
      <c r="X106" s="458">
        <f>'Pseudo-load coefficients'!X531</f>
        <v>0</v>
      </c>
      <c r="Y106" s="458">
        <f>'Pseudo-load coefficients'!Y531</f>
        <v>0</v>
      </c>
      <c r="Z106" s="458">
        <f>'Pseudo-load coefficients'!Z531</f>
        <v>0</v>
      </c>
      <c r="AA106" s="458">
        <f>'Pseudo-load coefficients'!AA531</f>
        <v>0</v>
      </c>
      <c r="AB106" s="458">
        <f>'Pseudo-load coefficients'!AB531</f>
        <v>0</v>
      </c>
      <c r="AC106" s="458">
        <f>'Pseudo-load coefficients'!AC531</f>
        <v>0</v>
      </c>
      <c r="AD106" s="458">
        <f>'Pseudo-load coefficients'!AD531</f>
        <v>0</v>
      </c>
      <c r="AE106" s="458">
        <f>'Pseudo-load coefficients'!AE531</f>
        <v>0</v>
      </c>
      <c r="AF106" s="458">
        <f>'Pseudo-load coefficients'!AF531</f>
        <v>0</v>
      </c>
      <c r="AG106" s="458">
        <f>'Pseudo-load coefficients'!AG531</f>
        <v>0</v>
      </c>
      <c r="AH106" s="458">
        <f>'Pseudo-load coefficients'!AH531</f>
        <v>0</v>
      </c>
      <c r="AI106" s="458">
        <f>'Pseudo-load coefficients'!AI531</f>
        <v>0</v>
      </c>
      <c r="AJ106" s="458">
        <f>'Pseudo-load coefficients'!AJ531</f>
        <v>0</v>
      </c>
      <c r="AK106" s="458">
        <f>'Pseudo-load coefficients'!AK531</f>
        <v>0</v>
      </c>
      <c r="AL106" s="458">
        <f>'Pseudo-load coefficients'!AL531</f>
        <v>0</v>
      </c>
      <c r="AM106" s="458">
        <f>'Pseudo-load coefficients'!AM531</f>
        <v>0</v>
      </c>
      <c r="AN106" s="458">
        <f>'Pseudo-load coefficients'!AN531</f>
        <v>0</v>
      </c>
      <c r="AO106" s="458">
        <f>'Pseudo-load coefficients'!AO531</f>
        <v>0</v>
      </c>
      <c r="AP106" s="458">
        <f>'Pseudo-load coefficients'!AP531</f>
        <v>0</v>
      </c>
    </row>
    <row r="107" spans="3:42" x14ac:dyDescent="0.25">
      <c r="C107" s="144"/>
      <c r="E107" s="144"/>
      <c r="F107" s="211" t="s">
        <v>44</v>
      </c>
      <c r="G107" s="145" t="s">
        <v>636</v>
      </c>
      <c r="H107" s="139"/>
      <c r="I107" s="139"/>
      <c r="J107" s="458">
        <f>'Pseudo-load coefficients'!J532</f>
        <v>0</v>
      </c>
      <c r="K107" s="458">
        <f>'Pseudo-load coefficients'!K532</f>
        <v>0</v>
      </c>
      <c r="L107" s="458">
        <f>'Pseudo-load coefficients'!L532</f>
        <v>0</v>
      </c>
      <c r="M107" s="458">
        <f>'Pseudo-load coefficients'!M532</f>
        <v>0</v>
      </c>
      <c r="N107" s="458">
        <f>'Pseudo-load coefficients'!N532</f>
        <v>0</v>
      </c>
      <c r="O107" s="458">
        <f>'Pseudo-load coefficients'!O532</f>
        <v>0</v>
      </c>
      <c r="P107" s="458">
        <f>'Pseudo-load coefficients'!P532</f>
        <v>0</v>
      </c>
      <c r="Q107" s="458">
        <f>'Pseudo-load coefficients'!Q532</f>
        <v>0</v>
      </c>
      <c r="R107" s="458">
        <f>'Pseudo-load coefficients'!R532</f>
        <v>0</v>
      </c>
      <c r="S107" s="458">
        <f>'Pseudo-load coefficients'!S532</f>
        <v>9.4418329396628205E-3</v>
      </c>
      <c r="T107" s="458">
        <f>'Pseudo-load coefficients'!T532</f>
        <v>9.964381853341725E-3</v>
      </c>
      <c r="U107" s="458">
        <f>'Pseudo-load coefficients'!U532</f>
        <v>7.446875955400961E-3</v>
      </c>
      <c r="V107" s="458">
        <f>'Pseudo-load coefficients'!V532</f>
        <v>7.2009649387892302E-3</v>
      </c>
      <c r="W107" s="458">
        <f>'Pseudo-load coefficients'!W532</f>
        <v>6.5505590858844507E-3</v>
      </c>
      <c r="X107" s="458">
        <f>'Pseudo-load coefficients'!X532</f>
        <v>0</v>
      </c>
      <c r="Y107" s="458">
        <f>'Pseudo-load coefficients'!Y532</f>
        <v>0</v>
      </c>
      <c r="Z107" s="458">
        <f>'Pseudo-load coefficients'!Z532</f>
        <v>0</v>
      </c>
      <c r="AA107" s="458">
        <f>'Pseudo-load coefficients'!AA532</f>
        <v>0</v>
      </c>
      <c r="AB107" s="458">
        <f>'Pseudo-load coefficients'!AB532</f>
        <v>5.8214681131000465E-3</v>
      </c>
      <c r="AC107" s="458">
        <f>'Pseudo-load coefficients'!AC532</f>
        <v>0</v>
      </c>
      <c r="AD107" s="458">
        <f>'Pseudo-load coefficients'!AD532</f>
        <v>0</v>
      </c>
      <c r="AE107" s="458">
        <f>'Pseudo-load coefficients'!AE532</f>
        <v>0</v>
      </c>
      <c r="AF107" s="458">
        <f>'Pseudo-load coefficients'!AF532</f>
        <v>0</v>
      </c>
      <c r="AG107" s="458">
        <f>'Pseudo-load coefficients'!AG532</f>
        <v>6.2469399693549227E-3</v>
      </c>
      <c r="AH107" s="458">
        <f>'Pseudo-load coefficients'!AH532</f>
        <v>6.2469399693549227E-3</v>
      </c>
      <c r="AI107" s="458">
        <f>'Pseudo-load coefficients'!AI532</f>
        <v>0</v>
      </c>
      <c r="AJ107" s="458">
        <f>'Pseudo-load coefficients'!AJ532</f>
        <v>0</v>
      </c>
      <c r="AK107" s="458">
        <f>'Pseudo-load coefficients'!AK532</f>
        <v>6.2469399693549227E-3</v>
      </c>
      <c r="AL107" s="458">
        <f>'Pseudo-load coefficients'!AL532</f>
        <v>6.2469399693549227E-3</v>
      </c>
      <c r="AM107" s="458">
        <f>'Pseudo-load coefficients'!AM532</f>
        <v>0</v>
      </c>
      <c r="AN107" s="458">
        <f>'Pseudo-load coefficients'!AN532</f>
        <v>0</v>
      </c>
      <c r="AO107" s="458">
        <f>'Pseudo-load coefficients'!AO532</f>
        <v>6.2469399693549227E-3</v>
      </c>
      <c r="AP107" s="458">
        <f>'Pseudo-load coefficients'!AP532</f>
        <v>6.2469399693549227E-3</v>
      </c>
    </row>
    <row r="108" spans="3:42" x14ac:dyDescent="0.25">
      <c r="C108" s="144"/>
      <c r="E108" s="144"/>
      <c r="F108" s="211" t="s">
        <v>45</v>
      </c>
      <c r="G108" s="145" t="s">
        <v>636</v>
      </c>
      <c r="H108" s="139"/>
      <c r="I108" s="139"/>
      <c r="J108" s="458">
        <f>'Pseudo-load coefficients'!J533</f>
        <v>0</v>
      </c>
      <c r="K108" s="458">
        <f>'Pseudo-load coefficients'!K533</f>
        <v>0</v>
      </c>
      <c r="L108" s="458">
        <f>'Pseudo-load coefficients'!L533</f>
        <v>0</v>
      </c>
      <c r="M108" s="458">
        <f>'Pseudo-load coefficients'!M533</f>
        <v>0</v>
      </c>
      <c r="N108" s="458">
        <f>'Pseudo-load coefficients'!N533</f>
        <v>0</v>
      </c>
      <c r="O108" s="458">
        <f>'Pseudo-load coefficients'!O533</f>
        <v>0</v>
      </c>
      <c r="P108" s="458">
        <f>'Pseudo-load coefficients'!P533</f>
        <v>0</v>
      </c>
      <c r="Q108" s="458">
        <f>'Pseudo-load coefficients'!Q533</f>
        <v>0</v>
      </c>
      <c r="R108" s="458">
        <f>'Pseudo-load coefficients'!R533</f>
        <v>0</v>
      </c>
      <c r="S108" s="458">
        <f>'Pseudo-load coefficients'!S533</f>
        <v>9.4418329396628205E-3</v>
      </c>
      <c r="T108" s="458">
        <f>'Pseudo-load coefficients'!T533</f>
        <v>9.964381853341725E-3</v>
      </c>
      <c r="U108" s="458">
        <f>'Pseudo-load coefficients'!U533</f>
        <v>7.446875955400961E-3</v>
      </c>
      <c r="V108" s="458">
        <f>'Pseudo-load coefficients'!V533</f>
        <v>7.2009649387892302E-3</v>
      </c>
      <c r="W108" s="458">
        <f>'Pseudo-load coefficients'!W533</f>
        <v>6.5505590858844507E-3</v>
      </c>
      <c r="X108" s="458">
        <f>'Pseudo-load coefficients'!X533</f>
        <v>0</v>
      </c>
      <c r="Y108" s="458">
        <f>'Pseudo-load coefficients'!Y533</f>
        <v>0</v>
      </c>
      <c r="Z108" s="458">
        <f>'Pseudo-load coefficients'!Z533</f>
        <v>0</v>
      </c>
      <c r="AA108" s="458">
        <f>'Pseudo-load coefficients'!AA533</f>
        <v>0</v>
      </c>
      <c r="AB108" s="458">
        <f>'Pseudo-load coefficients'!AB533</f>
        <v>5.8214681131000465E-3</v>
      </c>
      <c r="AC108" s="458">
        <f>'Pseudo-load coefficients'!AC533</f>
        <v>0</v>
      </c>
      <c r="AD108" s="458">
        <f>'Pseudo-load coefficients'!AD533</f>
        <v>0</v>
      </c>
      <c r="AE108" s="458">
        <f>'Pseudo-load coefficients'!AE533</f>
        <v>0</v>
      </c>
      <c r="AF108" s="458">
        <f>'Pseudo-load coefficients'!AF533</f>
        <v>0</v>
      </c>
      <c r="AG108" s="458">
        <f>'Pseudo-load coefficients'!AG533</f>
        <v>6.2469399693549227E-3</v>
      </c>
      <c r="AH108" s="458">
        <f>'Pseudo-load coefficients'!AH533</f>
        <v>6.2469399693549227E-3</v>
      </c>
      <c r="AI108" s="458">
        <f>'Pseudo-load coefficients'!AI533</f>
        <v>0</v>
      </c>
      <c r="AJ108" s="458">
        <f>'Pseudo-load coefficients'!AJ533</f>
        <v>0</v>
      </c>
      <c r="AK108" s="458">
        <f>'Pseudo-load coefficients'!AK533</f>
        <v>6.2469399693549227E-3</v>
      </c>
      <c r="AL108" s="458">
        <f>'Pseudo-load coefficients'!AL533</f>
        <v>6.2469399693549227E-3</v>
      </c>
      <c r="AM108" s="458">
        <f>'Pseudo-load coefficients'!AM533</f>
        <v>0</v>
      </c>
      <c r="AN108" s="458">
        <f>'Pseudo-load coefficients'!AN533</f>
        <v>0</v>
      </c>
      <c r="AO108" s="458">
        <f>'Pseudo-load coefficients'!AO533</f>
        <v>6.2469399693549227E-3</v>
      </c>
      <c r="AP108" s="458">
        <f>'Pseudo-load coefficients'!AP533</f>
        <v>6.2469399693549227E-3</v>
      </c>
    </row>
    <row r="109" spans="3:42" x14ac:dyDescent="0.25">
      <c r="C109" s="144"/>
      <c r="E109" s="144"/>
      <c r="F109" s="211" t="s">
        <v>46</v>
      </c>
      <c r="G109" s="145" t="s">
        <v>636</v>
      </c>
      <c r="H109" s="139"/>
      <c r="I109" s="139"/>
      <c r="J109" s="458">
        <f>'Pseudo-load coefficients'!J534</f>
        <v>0</v>
      </c>
      <c r="K109" s="458">
        <f>'Pseudo-load coefficients'!K534</f>
        <v>0</v>
      </c>
      <c r="L109" s="458">
        <f>'Pseudo-load coefficients'!L534</f>
        <v>0</v>
      </c>
      <c r="M109" s="458">
        <f>'Pseudo-load coefficients'!M534</f>
        <v>0</v>
      </c>
      <c r="N109" s="458">
        <f>'Pseudo-load coefficients'!N534</f>
        <v>0</v>
      </c>
      <c r="O109" s="458">
        <f>'Pseudo-load coefficients'!O534</f>
        <v>0</v>
      </c>
      <c r="P109" s="458">
        <f>'Pseudo-load coefficients'!P534</f>
        <v>0</v>
      </c>
      <c r="Q109" s="458">
        <f>'Pseudo-load coefficients'!Q534</f>
        <v>0</v>
      </c>
      <c r="R109" s="458">
        <f>'Pseudo-load coefficients'!R534</f>
        <v>0</v>
      </c>
      <c r="S109" s="458">
        <f>'Pseudo-load coefficients'!S534</f>
        <v>5.3573150583291269E-2</v>
      </c>
      <c r="T109" s="458">
        <f>'Pseudo-load coefficients'!T534</f>
        <v>5.6548161463216659E-2</v>
      </c>
      <c r="U109" s="458">
        <f>'Pseudo-load coefficients'!U534</f>
        <v>4.2273882685810504E-2</v>
      </c>
      <c r="V109" s="458">
        <f>'Pseudo-load coefficients'!V534</f>
        <v>4.0877912949017305E-2</v>
      </c>
      <c r="W109" s="458">
        <f>'Pseudo-load coefficients'!W534</f>
        <v>3.7185736405654868E-2</v>
      </c>
      <c r="X109" s="458">
        <f>'Pseudo-load coefficients'!X534</f>
        <v>0</v>
      </c>
      <c r="Y109" s="458">
        <f>'Pseudo-load coefficients'!Y534</f>
        <v>0</v>
      </c>
      <c r="Z109" s="458">
        <f>'Pseudo-load coefficients'!Z534</f>
        <v>0</v>
      </c>
      <c r="AA109" s="458">
        <f>'Pseudo-load coefficients'!AA534</f>
        <v>0</v>
      </c>
      <c r="AB109" s="458">
        <f>'Pseudo-load coefficients'!AB534</f>
        <v>3.3046885908431585E-2</v>
      </c>
      <c r="AC109" s="458">
        <f>'Pseudo-load coefficients'!AC534</f>
        <v>0</v>
      </c>
      <c r="AD109" s="458">
        <f>'Pseudo-load coefficients'!AD534</f>
        <v>0</v>
      </c>
      <c r="AE109" s="458">
        <f>'Pseudo-load coefficients'!AE534</f>
        <v>0</v>
      </c>
      <c r="AF109" s="458">
        <f>'Pseudo-load coefficients'!AF534</f>
        <v>0</v>
      </c>
      <c r="AG109" s="458">
        <f>'Pseudo-load coefficients'!AG534</f>
        <v>3.5462173533088177E-2</v>
      </c>
      <c r="AH109" s="458">
        <f>'Pseudo-load coefficients'!AH534</f>
        <v>3.5462173533088177E-2</v>
      </c>
      <c r="AI109" s="458">
        <f>'Pseudo-load coefficients'!AI534</f>
        <v>0</v>
      </c>
      <c r="AJ109" s="458">
        <f>'Pseudo-load coefficients'!AJ534</f>
        <v>0</v>
      </c>
      <c r="AK109" s="458">
        <f>'Pseudo-load coefficients'!AK534</f>
        <v>3.5462173533088177E-2</v>
      </c>
      <c r="AL109" s="458">
        <f>'Pseudo-load coefficients'!AL534</f>
        <v>3.5462173533088177E-2</v>
      </c>
      <c r="AM109" s="458">
        <f>'Pseudo-load coefficients'!AM534</f>
        <v>0</v>
      </c>
      <c r="AN109" s="458">
        <f>'Pseudo-load coefficients'!AN534</f>
        <v>0</v>
      </c>
      <c r="AO109" s="458">
        <f>'Pseudo-load coefficients'!AO534</f>
        <v>3.5462173533088177E-2</v>
      </c>
      <c r="AP109" s="458">
        <f>'Pseudo-load coefficients'!AP534</f>
        <v>3.5462173533088177E-2</v>
      </c>
    </row>
    <row r="110" spans="3:42" x14ac:dyDescent="0.25">
      <c r="C110" s="144"/>
      <c r="E110" s="144"/>
      <c r="F110" s="211" t="s">
        <v>47</v>
      </c>
      <c r="G110" s="145" t="s">
        <v>636</v>
      </c>
      <c r="H110" s="139"/>
      <c r="I110" s="139"/>
      <c r="J110" s="458">
        <f>'Pseudo-load coefficients'!J535</f>
        <v>0</v>
      </c>
      <c r="K110" s="458">
        <f>'Pseudo-load coefficients'!K535</f>
        <v>0</v>
      </c>
      <c r="L110" s="458">
        <f>'Pseudo-load coefficients'!L535</f>
        <v>0</v>
      </c>
      <c r="M110" s="458">
        <f>'Pseudo-load coefficients'!M535</f>
        <v>0</v>
      </c>
      <c r="N110" s="458">
        <f>'Pseudo-load coefficients'!N535</f>
        <v>0</v>
      </c>
      <c r="O110" s="458">
        <f>'Pseudo-load coefficients'!O535</f>
        <v>0</v>
      </c>
      <c r="P110" s="458">
        <f>'Pseudo-load coefficients'!P535</f>
        <v>0</v>
      </c>
      <c r="Q110" s="458">
        <f>'Pseudo-load coefficients'!Q535</f>
        <v>0</v>
      </c>
      <c r="R110" s="458">
        <f>'Pseudo-load coefficients'!R535</f>
        <v>0</v>
      </c>
      <c r="S110" s="458">
        <f>'Pseudo-load coefficients'!S535</f>
        <v>5.3573150583291269E-2</v>
      </c>
      <c r="T110" s="458">
        <f>'Pseudo-load coefficients'!T535</f>
        <v>5.6548161463216659E-2</v>
      </c>
      <c r="U110" s="458">
        <f>'Pseudo-load coefficients'!U535</f>
        <v>4.2273882685810504E-2</v>
      </c>
      <c r="V110" s="458">
        <f>'Pseudo-load coefficients'!V535</f>
        <v>4.0877912949017305E-2</v>
      </c>
      <c r="W110" s="458">
        <f>'Pseudo-load coefficients'!W535</f>
        <v>3.7185736405654868E-2</v>
      </c>
      <c r="X110" s="458">
        <f>'Pseudo-load coefficients'!X535</f>
        <v>0</v>
      </c>
      <c r="Y110" s="458">
        <f>'Pseudo-load coefficients'!Y535</f>
        <v>0</v>
      </c>
      <c r="Z110" s="458">
        <f>'Pseudo-load coefficients'!Z535</f>
        <v>0</v>
      </c>
      <c r="AA110" s="458">
        <f>'Pseudo-load coefficients'!AA535</f>
        <v>0</v>
      </c>
      <c r="AB110" s="458">
        <f>'Pseudo-load coefficients'!AB535</f>
        <v>3.3046885908431585E-2</v>
      </c>
      <c r="AC110" s="458">
        <f>'Pseudo-load coefficients'!AC535</f>
        <v>0</v>
      </c>
      <c r="AD110" s="458">
        <f>'Pseudo-load coefficients'!AD535</f>
        <v>0</v>
      </c>
      <c r="AE110" s="458">
        <f>'Pseudo-load coefficients'!AE535</f>
        <v>0</v>
      </c>
      <c r="AF110" s="458">
        <f>'Pseudo-load coefficients'!AF535</f>
        <v>0</v>
      </c>
      <c r="AG110" s="458">
        <f>'Pseudo-load coefficients'!AG535</f>
        <v>3.5462173533088177E-2</v>
      </c>
      <c r="AH110" s="458">
        <f>'Pseudo-load coefficients'!AH535</f>
        <v>3.5462173533088177E-2</v>
      </c>
      <c r="AI110" s="458">
        <f>'Pseudo-load coefficients'!AI535</f>
        <v>0</v>
      </c>
      <c r="AJ110" s="458">
        <f>'Pseudo-load coefficients'!AJ535</f>
        <v>0</v>
      </c>
      <c r="AK110" s="458">
        <f>'Pseudo-load coefficients'!AK535</f>
        <v>3.5462173533088177E-2</v>
      </c>
      <c r="AL110" s="458">
        <f>'Pseudo-load coefficients'!AL535</f>
        <v>3.5462173533088177E-2</v>
      </c>
      <c r="AM110" s="458">
        <f>'Pseudo-load coefficients'!AM535</f>
        <v>0</v>
      </c>
      <c r="AN110" s="458">
        <f>'Pseudo-load coefficients'!AN535</f>
        <v>0</v>
      </c>
      <c r="AO110" s="458">
        <f>'Pseudo-load coefficients'!AO535</f>
        <v>3.5462173533088177E-2</v>
      </c>
      <c r="AP110" s="458">
        <f>'Pseudo-load coefficients'!AP535</f>
        <v>3.5462173533088177E-2</v>
      </c>
    </row>
    <row r="111" spans="3:42" x14ac:dyDescent="0.25">
      <c r="C111" s="144"/>
      <c r="E111" s="144"/>
      <c r="F111" s="211" t="s">
        <v>51</v>
      </c>
      <c r="G111" s="145" t="s">
        <v>636</v>
      </c>
      <c r="H111" s="139"/>
      <c r="I111" s="139"/>
      <c r="J111" s="458">
        <f>'Pseudo-load coefficients'!J536</f>
        <v>0</v>
      </c>
      <c r="K111" s="458">
        <f>'Pseudo-load coefficients'!K536</f>
        <v>0</v>
      </c>
      <c r="L111" s="458">
        <f>'Pseudo-load coefficients'!L536</f>
        <v>0</v>
      </c>
      <c r="M111" s="458">
        <f>'Pseudo-load coefficients'!M536</f>
        <v>0</v>
      </c>
      <c r="N111" s="458">
        <f>'Pseudo-load coefficients'!N536</f>
        <v>0</v>
      </c>
      <c r="O111" s="458">
        <f>'Pseudo-load coefficients'!O536</f>
        <v>0</v>
      </c>
      <c r="P111" s="458">
        <f>'Pseudo-load coefficients'!P536</f>
        <v>0</v>
      </c>
      <c r="Q111" s="458">
        <f>'Pseudo-load coefficients'!Q536</f>
        <v>0</v>
      </c>
      <c r="R111" s="458">
        <f>'Pseudo-load coefficients'!R536</f>
        <v>0</v>
      </c>
      <c r="S111" s="458">
        <f>'Pseudo-load coefficients'!S536</f>
        <v>0</v>
      </c>
      <c r="T111" s="458">
        <f>'Pseudo-load coefficients'!T536</f>
        <v>0</v>
      </c>
      <c r="U111" s="458">
        <f>'Pseudo-load coefficients'!U536</f>
        <v>0</v>
      </c>
      <c r="V111" s="458">
        <f>'Pseudo-load coefficients'!V536</f>
        <v>0</v>
      </c>
      <c r="W111" s="458">
        <f>'Pseudo-load coefficients'!W536</f>
        <v>0</v>
      </c>
      <c r="X111" s="458">
        <f>'Pseudo-load coefficients'!X536</f>
        <v>0</v>
      </c>
      <c r="Y111" s="458">
        <f>'Pseudo-load coefficients'!Y536</f>
        <v>0</v>
      </c>
      <c r="Z111" s="458">
        <f>'Pseudo-load coefficients'!Z536</f>
        <v>0</v>
      </c>
      <c r="AA111" s="458">
        <f>'Pseudo-load coefficients'!AA536</f>
        <v>0</v>
      </c>
      <c r="AB111" s="458">
        <f>'Pseudo-load coefficients'!AB536</f>
        <v>0</v>
      </c>
      <c r="AC111" s="458">
        <f>'Pseudo-load coefficients'!AC536</f>
        <v>0</v>
      </c>
      <c r="AD111" s="458">
        <f>'Pseudo-load coefficients'!AD536</f>
        <v>0</v>
      </c>
      <c r="AE111" s="458">
        <f>'Pseudo-load coefficients'!AE536</f>
        <v>0</v>
      </c>
      <c r="AF111" s="458">
        <f>'Pseudo-load coefficients'!AF536</f>
        <v>0</v>
      </c>
      <c r="AG111" s="458">
        <f>'Pseudo-load coefficients'!AG536</f>
        <v>0</v>
      </c>
      <c r="AH111" s="458">
        <f>'Pseudo-load coefficients'!AH536</f>
        <v>0</v>
      </c>
      <c r="AI111" s="458">
        <f>'Pseudo-load coefficients'!AI536</f>
        <v>0</v>
      </c>
      <c r="AJ111" s="458">
        <f>'Pseudo-load coefficients'!AJ536</f>
        <v>0</v>
      </c>
      <c r="AK111" s="458">
        <f>'Pseudo-load coefficients'!AK536</f>
        <v>0</v>
      </c>
      <c r="AL111" s="458">
        <f>'Pseudo-load coefficients'!AL536</f>
        <v>0</v>
      </c>
      <c r="AM111" s="458">
        <f>'Pseudo-load coefficients'!AM536</f>
        <v>0</v>
      </c>
      <c r="AN111" s="458">
        <f>'Pseudo-load coefficients'!AN536</f>
        <v>0</v>
      </c>
      <c r="AO111" s="458">
        <f>'Pseudo-load coefficients'!AO536</f>
        <v>0</v>
      </c>
      <c r="AP111" s="458">
        <f>'Pseudo-load coefficients'!AP536</f>
        <v>0</v>
      </c>
    </row>
    <row r="112" spans="3:42" x14ac:dyDescent="0.25">
      <c r="C112" s="144"/>
      <c r="E112" s="144"/>
      <c r="F112" s="211" t="s">
        <v>48</v>
      </c>
      <c r="G112" s="145" t="s">
        <v>636</v>
      </c>
      <c r="H112" s="139"/>
      <c r="I112" s="139"/>
      <c r="J112" s="458">
        <f>'Pseudo-load coefficients'!J537</f>
        <v>0</v>
      </c>
      <c r="K112" s="458">
        <f>'Pseudo-load coefficients'!K537</f>
        <v>0</v>
      </c>
      <c r="L112" s="458">
        <f>'Pseudo-load coefficients'!L537</f>
        <v>0</v>
      </c>
      <c r="M112" s="458">
        <f>'Pseudo-load coefficients'!M537</f>
        <v>0</v>
      </c>
      <c r="N112" s="458">
        <f>'Pseudo-load coefficients'!N537</f>
        <v>0</v>
      </c>
      <c r="O112" s="458">
        <f>'Pseudo-load coefficients'!O537</f>
        <v>0</v>
      </c>
      <c r="P112" s="458">
        <f>'Pseudo-load coefficients'!P537</f>
        <v>0</v>
      </c>
      <c r="Q112" s="458">
        <f>'Pseudo-load coefficients'!Q537</f>
        <v>0</v>
      </c>
      <c r="R112" s="458">
        <f>'Pseudo-load coefficients'!R537</f>
        <v>0</v>
      </c>
      <c r="S112" s="458">
        <f>'Pseudo-load coefficients'!S537</f>
        <v>0.11661995498397386</v>
      </c>
      <c r="T112" s="458">
        <f>'Pseudo-load coefficients'!T537</f>
        <v>0.12313514505468563</v>
      </c>
      <c r="U112" s="458">
        <f>'Pseudo-load coefficients'!U537</f>
        <v>9.2086292837554012E-2</v>
      </c>
      <c r="V112" s="458">
        <f>'Pseudo-load coefficients'!V537</f>
        <v>8.904541582774364E-2</v>
      </c>
      <c r="W112" s="458">
        <f>'Pseudo-load coefficients'!W537</f>
        <v>8.1002652098020184E-2</v>
      </c>
      <c r="X112" s="458">
        <f>'Pseudo-load coefficients'!X537</f>
        <v>0</v>
      </c>
      <c r="Y112" s="458">
        <f>'Pseudo-load coefficients'!Y537</f>
        <v>0</v>
      </c>
      <c r="Z112" s="458">
        <f>'Pseudo-load coefficients'!Z537</f>
        <v>0</v>
      </c>
      <c r="AA112" s="458">
        <f>'Pseudo-load coefficients'!AA537</f>
        <v>0</v>
      </c>
      <c r="AB112" s="458">
        <f>'Pseudo-load coefficients'!AB537</f>
        <v>7.1986886933253599E-2</v>
      </c>
      <c r="AC112" s="458">
        <f>'Pseudo-load coefficients'!AC537</f>
        <v>0</v>
      </c>
      <c r="AD112" s="458">
        <f>'Pseudo-load coefficients'!AD537</f>
        <v>0</v>
      </c>
      <c r="AE112" s="458">
        <f>'Pseudo-load coefficients'!AE537</f>
        <v>0</v>
      </c>
      <c r="AF112" s="458">
        <f>'Pseudo-load coefficients'!AF537</f>
        <v>0</v>
      </c>
      <c r="AG112" s="458">
        <f>'Pseudo-load coefficients'!AG537</f>
        <v>7.7248170481398148E-2</v>
      </c>
      <c r="AH112" s="458">
        <f>'Pseudo-load coefficients'!AH537</f>
        <v>7.7248170481398148E-2</v>
      </c>
      <c r="AI112" s="458">
        <f>'Pseudo-load coefficients'!AI537</f>
        <v>0</v>
      </c>
      <c r="AJ112" s="458">
        <f>'Pseudo-load coefficients'!AJ537</f>
        <v>0</v>
      </c>
      <c r="AK112" s="458">
        <f>'Pseudo-load coefficients'!AK537</f>
        <v>7.7248170481398148E-2</v>
      </c>
      <c r="AL112" s="458">
        <f>'Pseudo-load coefficients'!AL537</f>
        <v>7.7248170481398148E-2</v>
      </c>
      <c r="AM112" s="458">
        <f>'Pseudo-load coefficients'!AM537</f>
        <v>0</v>
      </c>
      <c r="AN112" s="458">
        <f>'Pseudo-load coefficients'!AN537</f>
        <v>0</v>
      </c>
      <c r="AO112" s="458">
        <f>'Pseudo-load coefficients'!AO537</f>
        <v>7.7248170481398148E-2</v>
      </c>
      <c r="AP112" s="458">
        <f>'Pseudo-load coefficients'!AP537</f>
        <v>7.7248170481398148E-2</v>
      </c>
    </row>
    <row r="113" spans="2:44" x14ac:dyDescent="0.25">
      <c r="C113" s="144"/>
      <c r="E113" s="144"/>
      <c r="F113" s="211" t="s">
        <v>49</v>
      </c>
      <c r="G113" s="145" t="s">
        <v>636</v>
      </c>
      <c r="H113" s="139"/>
      <c r="I113" s="139"/>
      <c r="J113" s="458">
        <f>'Pseudo-load coefficients'!J538</f>
        <v>0</v>
      </c>
      <c r="K113" s="458">
        <f>'Pseudo-load coefficients'!K538</f>
        <v>0</v>
      </c>
      <c r="L113" s="458">
        <f>'Pseudo-load coefficients'!L538</f>
        <v>0</v>
      </c>
      <c r="M113" s="458">
        <f>'Pseudo-load coefficients'!M538</f>
        <v>0</v>
      </c>
      <c r="N113" s="458">
        <f>'Pseudo-load coefficients'!N538</f>
        <v>0</v>
      </c>
      <c r="O113" s="458">
        <f>'Pseudo-load coefficients'!O538</f>
        <v>0</v>
      </c>
      <c r="P113" s="458">
        <f>'Pseudo-load coefficients'!P538</f>
        <v>0</v>
      </c>
      <c r="Q113" s="458">
        <f>'Pseudo-load coefficients'!Q538</f>
        <v>0</v>
      </c>
      <c r="R113" s="458">
        <f>'Pseudo-load coefficients'!R538</f>
        <v>0</v>
      </c>
      <c r="S113" s="458">
        <f>'Pseudo-load coefficients'!S538</f>
        <v>0.11661995498397386</v>
      </c>
      <c r="T113" s="458">
        <f>'Pseudo-load coefficients'!T538</f>
        <v>0.12313514505468563</v>
      </c>
      <c r="U113" s="458">
        <f>'Pseudo-load coefficients'!U538</f>
        <v>9.2086292837554012E-2</v>
      </c>
      <c r="V113" s="458">
        <f>'Pseudo-load coefficients'!V538</f>
        <v>8.904541582774364E-2</v>
      </c>
      <c r="W113" s="458">
        <f>'Pseudo-load coefficients'!W538</f>
        <v>8.1002652098020184E-2</v>
      </c>
      <c r="X113" s="458">
        <f>'Pseudo-load coefficients'!X538</f>
        <v>0</v>
      </c>
      <c r="Y113" s="458">
        <f>'Pseudo-load coefficients'!Y538</f>
        <v>0</v>
      </c>
      <c r="Z113" s="458">
        <f>'Pseudo-load coefficients'!Z538</f>
        <v>0</v>
      </c>
      <c r="AA113" s="458">
        <f>'Pseudo-load coefficients'!AA538</f>
        <v>0</v>
      </c>
      <c r="AB113" s="458">
        <f>'Pseudo-load coefficients'!AB538</f>
        <v>7.1986886933253599E-2</v>
      </c>
      <c r="AC113" s="458">
        <f>'Pseudo-load coefficients'!AC538</f>
        <v>0</v>
      </c>
      <c r="AD113" s="458">
        <f>'Pseudo-load coefficients'!AD538</f>
        <v>0</v>
      </c>
      <c r="AE113" s="458">
        <f>'Pseudo-load coefficients'!AE538</f>
        <v>0</v>
      </c>
      <c r="AF113" s="458">
        <f>'Pseudo-load coefficients'!AF538</f>
        <v>0</v>
      </c>
      <c r="AG113" s="458">
        <f>'Pseudo-load coefficients'!AG538</f>
        <v>7.7248170481398148E-2</v>
      </c>
      <c r="AH113" s="458">
        <f>'Pseudo-load coefficients'!AH538</f>
        <v>7.7248170481398148E-2</v>
      </c>
      <c r="AI113" s="458">
        <f>'Pseudo-load coefficients'!AI538</f>
        <v>0</v>
      </c>
      <c r="AJ113" s="458">
        <f>'Pseudo-load coefficients'!AJ538</f>
        <v>0</v>
      </c>
      <c r="AK113" s="458">
        <f>'Pseudo-load coefficients'!AK538</f>
        <v>7.7248170481398148E-2</v>
      </c>
      <c r="AL113" s="458">
        <f>'Pseudo-load coefficients'!AL538</f>
        <v>7.7248170481398148E-2</v>
      </c>
      <c r="AM113" s="458">
        <f>'Pseudo-load coefficients'!AM538</f>
        <v>0</v>
      </c>
      <c r="AN113" s="458">
        <f>'Pseudo-load coefficients'!AN538</f>
        <v>0</v>
      </c>
      <c r="AO113" s="458">
        <f>'Pseudo-load coefficients'!AO538</f>
        <v>7.7248170481398148E-2</v>
      </c>
      <c r="AP113" s="458">
        <f>'Pseudo-load coefficients'!AP538</f>
        <v>7.7248170481398148E-2</v>
      </c>
    </row>
    <row r="114" spans="2:44" x14ac:dyDescent="0.25">
      <c r="C114" s="144"/>
      <c r="E114" s="144"/>
      <c r="F114" s="212" t="s">
        <v>50</v>
      </c>
      <c r="G114" s="38" t="s">
        <v>636</v>
      </c>
      <c r="H114" s="140"/>
      <c r="I114" s="140"/>
      <c r="J114" s="459">
        <f>'Pseudo-load coefficients'!J539</f>
        <v>0</v>
      </c>
      <c r="K114" s="459">
        <f>'Pseudo-load coefficients'!K539</f>
        <v>0</v>
      </c>
      <c r="L114" s="459">
        <f>'Pseudo-load coefficients'!L539</f>
        <v>0</v>
      </c>
      <c r="M114" s="459">
        <f>'Pseudo-load coefficients'!M539</f>
        <v>0</v>
      </c>
      <c r="N114" s="459">
        <f>'Pseudo-load coefficients'!N539</f>
        <v>0</v>
      </c>
      <c r="O114" s="459">
        <f>'Pseudo-load coefficients'!O539</f>
        <v>0</v>
      </c>
      <c r="P114" s="459">
        <f>'Pseudo-load coefficients'!P539</f>
        <v>0</v>
      </c>
      <c r="Q114" s="459">
        <f>'Pseudo-load coefficients'!Q539</f>
        <v>0</v>
      </c>
      <c r="R114" s="459">
        <f>'Pseudo-load coefficients'!R539</f>
        <v>0</v>
      </c>
      <c r="S114" s="459">
        <f>'Pseudo-load coefficients'!S539</f>
        <v>0.11661995498397386</v>
      </c>
      <c r="T114" s="459">
        <f>'Pseudo-load coefficients'!T539</f>
        <v>0.12313514505468563</v>
      </c>
      <c r="U114" s="459">
        <f>'Pseudo-load coefficients'!U539</f>
        <v>9.2086292837554012E-2</v>
      </c>
      <c r="V114" s="459">
        <f>'Pseudo-load coefficients'!V539</f>
        <v>8.904541582774364E-2</v>
      </c>
      <c r="W114" s="459">
        <f>'Pseudo-load coefficients'!W539</f>
        <v>8.1002652098020184E-2</v>
      </c>
      <c r="X114" s="459">
        <f>'Pseudo-load coefficients'!X539</f>
        <v>0</v>
      </c>
      <c r="Y114" s="459">
        <f>'Pseudo-load coefficients'!Y539</f>
        <v>0</v>
      </c>
      <c r="Z114" s="459">
        <f>'Pseudo-load coefficients'!Z539</f>
        <v>0</v>
      </c>
      <c r="AA114" s="459">
        <f>'Pseudo-load coefficients'!AA539</f>
        <v>0</v>
      </c>
      <c r="AB114" s="459">
        <f>'Pseudo-load coefficients'!AB539</f>
        <v>7.1986886933253599E-2</v>
      </c>
      <c r="AC114" s="459">
        <f>'Pseudo-load coefficients'!AC539</f>
        <v>0</v>
      </c>
      <c r="AD114" s="459">
        <f>'Pseudo-load coefficients'!AD539</f>
        <v>0</v>
      </c>
      <c r="AE114" s="459">
        <f>'Pseudo-load coefficients'!AE539</f>
        <v>0</v>
      </c>
      <c r="AF114" s="459">
        <f>'Pseudo-load coefficients'!AF539</f>
        <v>0</v>
      </c>
      <c r="AG114" s="459">
        <f>'Pseudo-load coefficients'!AG539</f>
        <v>7.7248170481398148E-2</v>
      </c>
      <c r="AH114" s="459">
        <f>'Pseudo-load coefficients'!AH539</f>
        <v>7.7248170481398148E-2</v>
      </c>
      <c r="AI114" s="459">
        <f>'Pseudo-load coefficients'!AI539</f>
        <v>0</v>
      </c>
      <c r="AJ114" s="459">
        <f>'Pseudo-load coefficients'!AJ539</f>
        <v>0</v>
      </c>
      <c r="AK114" s="459">
        <f>'Pseudo-load coefficients'!AK539</f>
        <v>7.7248170481398148E-2</v>
      </c>
      <c r="AL114" s="459">
        <f>'Pseudo-load coefficients'!AL539</f>
        <v>7.7248170481398148E-2</v>
      </c>
      <c r="AM114" s="459">
        <f>'Pseudo-load coefficients'!AM539</f>
        <v>0</v>
      </c>
      <c r="AN114" s="459">
        <f>'Pseudo-load coefficients'!AN539</f>
        <v>0</v>
      </c>
      <c r="AO114" s="459">
        <f>'Pseudo-load coefficients'!AO539</f>
        <v>7.7248170481398148E-2</v>
      </c>
      <c r="AP114" s="459">
        <f>'Pseudo-load coefficients'!AP539</f>
        <v>7.7248170481398148E-2</v>
      </c>
    </row>
    <row r="115" spans="2:44" x14ac:dyDescent="0.25">
      <c r="C115" s="144"/>
      <c r="D115" s="144"/>
      <c r="E115" s="172"/>
      <c r="J115" s="401"/>
      <c r="K115" s="401"/>
      <c r="L115" s="401"/>
      <c r="M115" s="401"/>
      <c r="N115" s="401"/>
      <c r="O115" s="401"/>
      <c r="P115" s="401"/>
      <c r="Q115" s="401"/>
      <c r="R115" s="401"/>
      <c r="S115" s="401"/>
      <c r="T115" s="401"/>
      <c r="U115" s="401"/>
      <c r="V115" s="401"/>
      <c r="W115" s="401"/>
      <c r="X115" s="401"/>
      <c r="Y115" s="401"/>
      <c r="Z115" s="401"/>
      <c r="AA115" s="401"/>
      <c r="AB115" s="401"/>
      <c r="AC115" s="401"/>
      <c r="AD115" s="401"/>
      <c r="AE115" s="401"/>
      <c r="AF115" s="401"/>
      <c r="AG115" s="401"/>
      <c r="AH115" s="401"/>
      <c r="AI115" s="401"/>
      <c r="AJ115" s="401"/>
      <c r="AK115" s="401"/>
      <c r="AL115" s="401"/>
      <c r="AM115" s="401"/>
      <c r="AN115" s="401"/>
      <c r="AO115" s="401"/>
      <c r="AP115" s="401"/>
    </row>
    <row r="116" spans="2:44" s="338" customFormat="1" x14ac:dyDescent="0.25">
      <c r="B116" s="171" t="s">
        <v>910</v>
      </c>
      <c r="C116" s="171"/>
      <c r="D116" s="171"/>
      <c r="E116" s="171"/>
      <c r="F116" s="171"/>
      <c r="G116" s="171"/>
      <c r="H116" s="171"/>
      <c r="I116" s="171"/>
      <c r="J116" s="454"/>
      <c r="K116" s="454"/>
      <c r="L116" s="454"/>
      <c r="M116" s="454"/>
      <c r="N116" s="454"/>
      <c r="O116" s="454"/>
      <c r="P116" s="454"/>
      <c r="Q116" s="454"/>
      <c r="R116" s="454"/>
      <c r="S116" s="454"/>
      <c r="T116" s="454"/>
      <c r="U116" s="454"/>
      <c r="V116" s="454"/>
      <c r="W116" s="454"/>
      <c r="X116" s="454"/>
      <c r="Y116" s="454"/>
      <c r="Z116" s="454"/>
      <c r="AA116" s="454"/>
      <c r="AB116" s="454"/>
      <c r="AC116" s="454"/>
      <c r="AD116" s="454"/>
      <c r="AE116" s="454"/>
      <c r="AF116" s="454"/>
      <c r="AG116" s="454"/>
      <c r="AH116" s="454"/>
      <c r="AI116" s="454"/>
      <c r="AJ116" s="454"/>
      <c r="AK116" s="454"/>
      <c r="AL116" s="454"/>
      <c r="AM116" s="454"/>
      <c r="AN116" s="454"/>
      <c r="AO116" s="454"/>
      <c r="AP116" s="454"/>
      <c r="AQ116" s="171"/>
      <c r="AR116" s="171"/>
    </row>
    <row r="117" spans="2:44" s="338" customFormat="1" x14ac:dyDescent="0.25">
      <c r="J117" s="416"/>
      <c r="K117" s="416"/>
      <c r="L117" s="416"/>
      <c r="M117" s="416"/>
      <c r="N117" s="416"/>
      <c r="O117" s="416"/>
      <c r="P117" s="416"/>
      <c r="Q117" s="416"/>
      <c r="R117" s="416"/>
      <c r="S117" s="416"/>
      <c r="T117" s="416"/>
      <c r="U117" s="416"/>
      <c r="V117" s="416"/>
      <c r="W117" s="416"/>
      <c r="X117" s="416"/>
      <c r="Y117" s="416"/>
      <c r="Z117" s="416"/>
      <c r="AA117" s="416"/>
      <c r="AB117" s="416"/>
      <c r="AC117" s="416"/>
      <c r="AD117" s="416"/>
      <c r="AE117" s="416"/>
      <c r="AF117" s="416"/>
      <c r="AG117" s="416"/>
      <c r="AH117" s="416"/>
      <c r="AI117" s="416"/>
      <c r="AJ117" s="416"/>
      <c r="AK117" s="416"/>
      <c r="AL117" s="416"/>
      <c r="AM117" s="416"/>
      <c r="AN117" s="416"/>
      <c r="AO117" s="416"/>
      <c r="AP117" s="416"/>
    </row>
    <row r="118" spans="2:44" s="338" customFormat="1" x14ac:dyDescent="0.25">
      <c r="C118" s="22" t="str">
        <f ca="1">INDEX('Version control'!$H$34:$H$59,MATCH($A$1,'Version control'!$F$34:$F$59,0),1)&amp;"-B: Yardstick charges"</f>
        <v>Section 512-B: Yardstick charges</v>
      </c>
      <c r="D118" s="22"/>
      <c r="E118" s="22"/>
      <c r="F118" s="22"/>
      <c r="G118" s="22"/>
      <c r="H118" s="22"/>
      <c r="I118" s="22"/>
      <c r="J118" s="405"/>
      <c r="K118" s="405"/>
      <c r="L118" s="405"/>
      <c r="M118" s="405"/>
      <c r="N118" s="405"/>
      <c r="O118" s="405"/>
      <c r="P118" s="405"/>
      <c r="Q118" s="405"/>
      <c r="R118" s="405"/>
      <c r="S118" s="405"/>
      <c r="T118" s="405"/>
      <c r="U118" s="405"/>
      <c r="V118" s="405"/>
      <c r="W118" s="405"/>
      <c r="X118" s="405"/>
      <c r="Y118" s="405"/>
      <c r="Z118" s="405"/>
      <c r="AA118" s="405"/>
      <c r="AB118" s="405"/>
      <c r="AC118" s="405"/>
      <c r="AD118" s="405"/>
      <c r="AE118" s="405"/>
      <c r="AF118" s="405"/>
      <c r="AG118" s="405"/>
      <c r="AH118" s="405"/>
      <c r="AI118" s="405"/>
      <c r="AJ118" s="405"/>
      <c r="AK118" s="405"/>
      <c r="AL118" s="405"/>
      <c r="AM118" s="405"/>
      <c r="AN118" s="405"/>
      <c r="AO118" s="405"/>
      <c r="AP118" s="405"/>
      <c r="AQ118" s="22"/>
      <c r="AR118" s="22"/>
    </row>
    <row r="119" spans="2:44" x14ac:dyDescent="0.25">
      <c r="C119" s="144"/>
      <c r="D119" s="144"/>
      <c r="E119" s="172"/>
      <c r="J119" s="416"/>
      <c r="K119" s="416"/>
      <c r="L119" s="416"/>
      <c r="M119" s="416"/>
      <c r="N119" s="416"/>
      <c r="O119" s="416"/>
      <c r="P119" s="416"/>
      <c r="Q119" s="416"/>
      <c r="R119" s="416"/>
      <c r="S119" s="416"/>
      <c r="T119" s="416"/>
      <c r="U119" s="416"/>
      <c r="V119" s="416"/>
      <c r="W119" s="416"/>
      <c r="X119" s="416"/>
      <c r="Y119" s="416"/>
      <c r="Z119" s="416"/>
      <c r="AA119" s="416"/>
      <c r="AB119" s="416"/>
      <c r="AC119" s="416"/>
      <c r="AD119" s="416"/>
      <c r="AE119" s="416"/>
      <c r="AF119" s="416"/>
      <c r="AG119" s="416"/>
      <c r="AH119" s="416"/>
      <c r="AI119" s="416"/>
      <c r="AJ119" s="416"/>
      <c r="AK119" s="416"/>
      <c r="AL119" s="416"/>
      <c r="AM119" s="416"/>
      <c r="AN119" s="416"/>
      <c r="AO119" s="416"/>
      <c r="AP119" s="416"/>
    </row>
    <row r="120" spans="2:44" s="338" customFormat="1" x14ac:dyDescent="0.25">
      <c r="D120" s="152" t="s">
        <v>978</v>
      </c>
      <c r="E120" s="172"/>
      <c r="F120" s="172"/>
      <c r="J120" s="401"/>
      <c r="K120" s="401"/>
      <c r="L120" s="401"/>
      <c r="M120" s="401"/>
      <c r="N120" s="401"/>
      <c r="O120" s="401"/>
      <c r="P120" s="401"/>
      <c r="Q120" s="401"/>
      <c r="R120" s="401"/>
      <c r="S120" s="401"/>
      <c r="T120" s="401"/>
      <c r="U120" s="401"/>
      <c r="V120" s="401"/>
      <c r="W120" s="401"/>
      <c r="X120" s="401"/>
      <c r="Y120" s="401"/>
      <c r="Z120" s="401"/>
      <c r="AA120" s="401"/>
      <c r="AB120" s="401"/>
      <c r="AC120" s="401"/>
      <c r="AD120" s="401"/>
      <c r="AE120" s="401"/>
      <c r="AF120" s="401"/>
      <c r="AG120" s="401"/>
      <c r="AH120" s="401"/>
      <c r="AI120" s="401"/>
      <c r="AJ120" s="401"/>
      <c r="AK120" s="401"/>
      <c r="AL120" s="401"/>
      <c r="AM120" s="401"/>
      <c r="AN120" s="401"/>
      <c r="AO120" s="401"/>
      <c r="AP120" s="401"/>
    </row>
    <row r="121" spans="2:44" s="338" customFormat="1" x14ac:dyDescent="0.25">
      <c r="D121" s="172"/>
      <c r="E121" s="172"/>
      <c r="F121" s="172"/>
      <c r="I121" s="163" t="s">
        <v>525</v>
      </c>
      <c r="J121" s="401"/>
      <c r="K121" s="401"/>
      <c r="L121" s="401"/>
      <c r="M121" s="401"/>
      <c r="N121" s="401"/>
      <c r="O121" s="401"/>
      <c r="P121" s="401"/>
      <c r="Q121" s="401"/>
      <c r="R121" s="401"/>
      <c r="S121" s="401"/>
      <c r="T121" s="401"/>
      <c r="U121" s="401"/>
      <c r="V121" s="401"/>
      <c r="W121" s="401"/>
      <c r="X121" s="401"/>
      <c r="Y121" s="401"/>
      <c r="Z121" s="401"/>
      <c r="AA121" s="401"/>
      <c r="AB121" s="401"/>
      <c r="AC121" s="401"/>
      <c r="AD121" s="401"/>
      <c r="AE121" s="401"/>
      <c r="AF121" s="401"/>
      <c r="AG121" s="401"/>
      <c r="AH121" s="401"/>
      <c r="AI121" s="401"/>
      <c r="AJ121" s="401"/>
      <c r="AK121" s="401"/>
      <c r="AL121" s="401"/>
      <c r="AM121" s="401"/>
      <c r="AN121" s="401"/>
      <c r="AO121" s="401"/>
      <c r="AP121" s="401"/>
      <c r="AR121" s="338" t="s">
        <v>977</v>
      </c>
    </row>
    <row r="122" spans="2:44" x14ac:dyDescent="0.25">
      <c r="E122" s="172" t="s">
        <v>156</v>
      </c>
      <c r="J122" s="416"/>
      <c r="K122" s="416"/>
      <c r="L122" s="416"/>
      <c r="M122" s="416"/>
      <c r="N122" s="416"/>
      <c r="O122" s="416"/>
      <c r="P122" s="416"/>
      <c r="Q122" s="416"/>
      <c r="R122" s="416"/>
      <c r="S122" s="416"/>
      <c r="T122" s="416"/>
      <c r="U122" s="416"/>
      <c r="V122" s="416"/>
      <c r="W122" s="416"/>
      <c r="X122" s="416"/>
      <c r="Y122" s="416"/>
      <c r="Z122" s="416"/>
      <c r="AA122" s="416"/>
      <c r="AB122" s="416"/>
      <c r="AC122" s="416"/>
      <c r="AD122" s="416"/>
      <c r="AE122" s="416"/>
      <c r="AF122" s="416"/>
      <c r="AG122" s="416"/>
      <c r="AH122" s="416"/>
      <c r="AI122" s="416"/>
      <c r="AJ122" s="416"/>
      <c r="AK122" s="416"/>
      <c r="AL122" s="416"/>
      <c r="AM122" s="416"/>
      <c r="AN122" s="416"/>
      <c r="AO122" s="416"/>
      <c r="AP122" s="416"/>
    </row>
    <row r="123" spans="2:44" x14ac:dyDescent="0.25">
      <c r="E123" s="144"/>
      <c r="F123" s="481" t="s">
        <v>397</v>
      </c>
      <c r="G123" s="137" t="s">
        <v>201</v>
      </c>
      <c r="H123" s="569"/>
      <c r="I123" s="569"/>
      <c r="J123" s="570">
        <f t="shared" ref="J123:AP123" si="0">hundred * $H18 * J55 / $H43 * J$78 * (1 - J67) / hours_in_year</f>
        <v>0</v>
      </c>
      <c r="K123" s="570">
        <f t="shared" si="0"/>
        <v>0</v>
      </c>
      <c r="L123" s="570">
        <f t="shared" si="0"/>
        <v>0</v>
      </c>
      <c r="M123" s="570">
        <f t="shared" si="0"/>
        <v>0</v>
      </c>
      <c r="N123" s="570">
        <f t="shared" si="0"/>
        <v>0</v>
      </c>
      <c r="O123" s="570">
        <f t="shared" si="0"/>
        <v>0</v>
      </c>
      <c r="P123" s="570">
        <f t="shared" si="0"/>
        <v>0</v>
      </c>
      <c r="Q123" s="570">
        <f t="shared" si="0"/>
        <v>0</v>
      </c>
      <c r="R123" s="570">
        <f t="shared" si="0"/>
        <v>0</v>
      </c>
      <c r="S123" s="570">
        <f t="shared" si="0"/>
        <v>0</v>
      </c>
      <c r="T123" s="570">
        <f t="shared" si="0"/>
        <v>0</v>
      </c>
      <c r="U123" s="570">
        <f t="shared" si="0"/>
        <v>0</v>
      </c>
      <c r="V123" s="570">
        <f t="shared" si="0"/>
        <v>0</v>
      </c>
      <c r="W123" s="570">
        <f t="shared" si="0"/>
        <v>0</v>
      </c>
      <c r="X123" s="570">
        <f t="shared" si="0"/>
        <v>0</v>
      </c>
      <c r="Y123" s="570">
        <f t="shared" si="0"/>
        <v>0</v>
      </c>
      <c r="Z123" s="570">
        <f t="shared" si="0"/>
        <v>0</v>
      </c>
      <c r="AA123" s="570">
        <f t="shared" si="0"/>
        <v>0</v>
      </c>
      <c r="AB123" s="570">
        <f t="shared" si="0"/>
        <v>0</v>
      </c>
      <c r="AC123" s="570">
        <f t="shared" si="0"/>
        <v>0</v>
      </c>
      <c r="AD123" s="570">
        <f t="shared" si="0"/>
        <v>0</v>
      </c>
      <c r="AE123" s="570">
        <f t="shared" si="0"/>
        <v>0</v>
      </c>
      <c r="AF123" s="570">
        <f t="shared" si="0"/>
        <v>0</v>
      </c>
      <c r="AG123" s="570">
        <f t="shared" si="0"/>
        <v>0</v>
      </c>
      <c r="AH123" s="570">
        <f t="shared" si="0"/>
        <v>0</v>
      </c>
      <c r="AI123" s="570">
        <f t="shared" si="0"/>
        <v>0</v>
      </c>
      <c r="AJ123" s="570">
        <f t="shared" si="0"/>
        <v>0</v>
      </c>
      <c r="AK123" s="570">
        <f t="shared" si="0"/>
        <v>0</v>
      </c>
      <c r="AL123" s="570">
        <f t="shared" si="0"/>
        <v>0</v>
      </c>
      <c r="AM123" s="570">
        <f t="shared" si="0"/>
        <v>0</v>
      </c>
      <c r="AN123" s="570">
        <f t="shared" si="0"/>
        <v>0</v>
      </c>
      <c r="AO123" s="570">
        <f t="shared" si="0"/>
        <v>0</v>
      </c>
      <c r="AP123" s="570">
        <f t="shared" si="0"/>
        <v>0</v>
      </c>
      <c r="AQ123" s="571"/>
      <c r="AR123" s="571"/>
    </row>
    <row r="124" spans="2:44" x14ac:dyDescent="0.25">
      <c r="E124" s="144"/>
      <c r="F124" s="211" t="s">
        <v>43</v>
      </c>
      <c r="G124" s="139" t="s">
        <v>201</v>
      </c>
      <c r="H124" s="572"/>
      <c r="I124" s="572"/>
      <c r="J124" s="573">
        <f t="shared" ref="J124:AP124" si="1">hundred * $H19 * J56 / $H44 * J$78 * (1 - J68) / hours_in_year</f>
        <v>0</v>
      </c>
      <c r="K124" s="573">
        <f t="shared" si="1"/>
        <v>0</v>
      </c>
      <c r="L124" s="573">
        <f t="shared" si="1"/>
        <v>0</v>
      </c>
      <c r="M124" s="573">
        <f t="shared" si="1"/>
        <v>0</v>
      </c>
      <c r="N124" s="573">
        <f t="shared" si="1"/>
        <v>0</v>
      </c>
      <c r="O124" s="573">
        <f t="shared" si="1"/>
        <v>0</v>
      </c>
      <c r="P124" s="573">
        <f t="shared" si="1"/>
        <v>0</v>
      </c>
      <c r="Q124" s="573">
        <f t="shared" si="1"/>
        <v>0</v>
      </c>
      <c r="R124" s="573">
        <f t="shared" si="1"/>
        <v>0</v>
      </c>
      <c r="S124" s="573">
        <f t="shared" si="1"/>
        <v>0</v>
      </c>
      <c r="T124" s="573">
        <f t="shared" si="1"/>
        <v>0</v>
      </c>
      <c r="U124" s="573">
        <f t="shared" si="1"/>
        <v>0</v>
      </c>
      <c r="V124" s="573">
        <f t="shared" si="1"/>
        <v>0</v>
      </c>
      <c r="W124" s="573">
        <f t="shared" si="1"/>
        <v>0</v>
      </c>
      <c r="X124" s="573">
        <f t="shared" si="1"/>
        <v>0</v>
      </c>
      <c r="Y124" s="573">
        <f t="shared" si="1"/>
        <v>0</v>
      </c>
      <c r="Z124" s="573">
        <f t="shared" si="1"/>
        <v>0</v>
      </c>
      <c r="AA124" s="573">
        <f t="shared" si="1"/>
        <v>0</v>
      </c>
      <c r="AB124" s="573">
        <f t="shared" si="1"/>
        <v>0</v>
      </c>
      <c r="AC124" s="573">
        <f t="shared" si="1"/>
        <v>0</v>
      </c>
      <c r="AD124" s="573">
        <f t="shared" si="1"/>
        <v>0</v>
      </c>
      <c r="AE124" s="573">
        <f t="shared" si="1"/>
        <v>0</v>
      </c>
      <c r="AF124" s="573">
        <f t="shared" si="1"/>
        <v>0</v>
      </c>
      <c r="AG124" s="573">
        <f t="shared" si="1"/>
        <v>0</v>
      </c>
      <c r="AH124" s="573">
        <f t="shared" si="1"/>
        <v>0</v>
      </c>
      <c r="AI124" s="573">
        <f t="shared" si="1"/>
        <v>0</v>
      </c>
      <c r="AJ124" s="573">
        <f t="shared" si="1"/>
        <v>0</v>
      </c>
      <c r="AK124" s="573">
        <f t="shared" si="1"/>
        <v>0</v>
      </c>
      <c r="AL124" s="573">
        <f t="shared" si="1"/>
        <v>0</v>
      </c>
      <c r="AM124" s="573">
        <f t="shared" si="1"/>
        <v>0</v>
      </c>
      <c r="AN124" s="573">
        <f t="shared" si="1"/>
        <v>0</v>
      </c>
      <c r="AO124" s="573">
        <f t="shared" si="1"/>
        <v>0</v>
      </c>
      <c r="AP124" s="573">
        <f t="shared" si="1"/>
        <v>0</v>
      </c>
      <c r="AQ124" s="571"/>
      <c r="AR124" s="571"/>
    </row>
    <row r="125" spans="2:44" x14ac:dyDescent="0.25">
      <c r="E125" s="144"/>
      <c r="F125" s="211" t="s">
        <v>44</v>
      </c>
      <c r="G125" s="139" t="s">
        <v>201</v>
      </c>
      <c r="H125" s="572"/>
      <c r="I125" s="572"/>
      <c r="J125" s="573">
        <f t="shared" ref="J125:AP125" si="2">hundred * $H20 * J57 / $H45 * J$78 * (1 - J69) / hours_in_year</f>
        <v>0.28891541291245054</v>
      </c>
      <c r="K125" s="573">
        <f t="shared" si="2"/>
        <v>0.20261592829231309</v>
      </c>
      <c r="L125" s="573">
        <f t="shared" si="2"/>
        <v>0</v>
      </c>
      <c r="M125" s="573">
        <f t="shared" si="2"/>
        <v>0.22969548310982604</v>
      </c>
      <c r="N125" s="573">
        <f t="shared" si="2"/>
        <v>0.2446315938413561</v>
      </c>
      <c r="O125" s="573">
        <f t="shared" si="2"/>
        <v>0</v>
      </c>
      <c r="P125" s="573">
        <f t="shared" si="2"/>
        <v>0.17805109877346414</v>
      </c>
      <c r="Q125" s="573">
        <f t="shared" si="2"/>
        <v>0.14846292122009</v>
      </c>
      <c r="R125" s="573">
        <f t="shared" si="2"/>
        <v>0.1806599995447945</v>
      </c>
      <c r="S125" s="573">
        <f t="shared" si="2"/>
        <v>0.43763870324274629</v>
      </c>
      <c r="T125" s="573">
        <f t="shared" si="2"/>
        <v>0.21989191711227182</v>
      </c>
      <c r="U125" s="573">
        <f t="shared" si="2"/>
        <v>0.18259308766252824</v>
      </c>
      <c r="V125" s="573">
        <f t="shared" si="2"/>
        <v>0.15963973609125506</v>
      </c>
      <c r="W125" s="573">
        <f t="shared" si="2"/>
        <v>0.13986277062765781</v>
      </c>
      <c r="X125" s="573">
        <f t="shared" si="2"/>
        <v>0.13199619064209961</v>
      </c>
      <c r="Y125" s="573">
        <f t="shared" si="2"/>
        <v>0.23356923627094764</v>
      </c>
      <c r="Z125" s="573">
        <f t="shared" si="2"/>
        <v>0.43740636686892403</v>
      </c>
      <c r="AA125" s="573">
        <f t="shared" si="2"/>
        <v>6.7942275612409078E-2</v>
      </c>
      <c r="AB125" s="573">
        <f t="shared" si="2"/>
        <v>0.2279250498776467</v>
      </c>
      <c r="AC125" s="573">
        <f t="shared" si="2"/>
        <v>-0.13198113630699324</v>
      </c>
      <c r="AD125" s="573">
        <f t="shared" si="2"/>
        <v>-0.12676975994225431</v>
      </c>
      <c r="AE125" s="573">
        <f t="shared" si="2"/>
        <v>-0.13198113630699324</v>
      </c>
      <c r="AF125" s="573">
        <f t="shared" si="2"/>
        <v>-0.13198113630699324</v>
      </c>
      <c r="AG125" s="573">
        <f t="shared" si="2"/>
        <v>-0.13198113630699324</v>
      </c>
      <c r="AH125" s="573">
        <f t="shared" si="2"/>
        <v>-0.13198113630699324</v>
      </c>
      <c r="AI125" s="573">
        <f t="shared" si="2"/>
        <v>-0.12676975994225431</v>
      </c>
      <c r="AJ125" s="573">
        <f t="shared" si="2"/>
        <v>-0.12676975994225431</v>
      </c>
      <c r="AK125" s="573">
        <f t="shared" si="2"/>
        <v>-0.12676975994225431</v>
      </c>
      <c r="AL125" s="573">
        <f t="shared" si="2"/>
        <v>-0.12676975994225431</v>
      </c>
      <c r="AM125" s="573">
        <f t="shared" si="2"/>
        <v>-0.12495183795455464</v>
      </c>
      <c r="AN125" s="573">
        <f t="shared" si="2"/>
        <v>-0.12495183795455464</v>
      </c>
      <c r="AO125" s="573">
        <f t="shared" si="2"/>
        <v>-0.12495183795455464</v>
      </c>
      <c r="AP125" s="573">
        <f t="shared" si="2"/>
        <v>-0.12495183795455464</v>
      </c>
      <c r="AQ125" s="571"/>
      <c r="AR125" s="571"/>
    </row>
    <row r="126" spans="2:44" x14ac:dyDescent="0.25">
      <c r="E126" s="144"/>
      <c r="F126" s="211" t="s">
        <v>45</v>
      </c>
      <c r="G126" s="139" t="s">
        <v>201</v>
      </c>
      <c r="H126" s="572"/>
      <c r="I126" s="572"/>
      <c r="J126" s="573">
        <f t="shared" ref="J126:AP126" si="3">hundred * $H21 * J58 / $H46 * J$78 * (1 - J70) / hours_in_year</f>
        <v>8.0406234699449214E-2</v>
      </c>
      <c r="K126" s="573">
        <f t="shared" si="3"/>
        <v>5.6388766940084656E-2</v>
      </c>
      <c r="L126" s="573">
        <f t="shared" si="3"/>
        <v>0</v>
      </c>
      <c r="M126" s="573">
        <f t="shared" si="3"/>
        <v>6.3925107830535358E-2</v>
      </c>
      <c r="N126" s="573">
        <f t="shared" si="3"/>
        <v>6.8081883036364518E-2</v>
      </c>
      <c r="O126" s="573">
        <f t="shared" si="3"/>
        <v>0</v>
      </c>
      <c r="P126" s="573">
        <f t="shared" si="3"/>
        <v>4.9552283459561398E-2</v>
      </c>
      <c r="Q126" s="573">
        <f t="shared" si="3"/>
        <v>4.1317783525123816E-2</v>
      </c>
      <c r="R126" s="573">
        <f t="shared" si="3"/>
        <v>5.0278350254034307E-2</v>
      </c>
      <c r="S126" s="573">
        <f t="shared" si="3"/>
        <v>0.12179647991698551</v>
      </c>
      <c r="T126" s="573">
        <f t="shared" si="3"/>
        <v>6.1196738926486076E-2</v>
      </c>
      <c r="U126" s="573">
        <f t="shared" si="3"/>
        <v>5.0816335871770514E-2</v>
      </c>
      <c r="V126" s="573">
        <f t="shared" si="3"/>
        <v>4.4428332701659162E-2</v>
      </c>
      <c r="W126" s="573">
        <f t="shared" si="3"/>
        <v>3.8924329607193685E-2</v>
      </c>
      <c r="X126" s="573">
        <f t="shared" si="3"/>
        <v>3.6735031119361009E-2</v>
      </c>
      <c r="Y126" s="573">
        <f t="shared" si="3"/>
        <v>6.5003187752617111E-2</v>
      </c>
      <c r="Z126" s="573">
        <f t="shared" si="3"/>
        <v>0.12173181983944084</v>
      </c>
      <c r="AA126" s="573">
        <f t="shared" si="3"/>
        <v>1.8908588170619568E-2</v>
      </c>
      <c r="AB126" s="573">
        <f t="shared" si="3"/>
        <v>6.3432389672818182E-2</v>
      </c>
      <c r="AC126" s="573">
        <f t="shared" si="3"/>
        <v>-3.6730841441871644E-2</v>
      </c>
      <c r="AD126" s="573">
        <f t="shared" si="3"/>
        <v>-3.5280496003854675E-2</v>
      </c>
      <c r="AE126" s="573">
        <f t="shared" si="3"/>
        <v>-3.6730841441871644E-2</v>
      </c>
      <c r="AF126" s="573">
        <f t="shared" si="3"/>
        <v>-3.6730841441871644E-2</v>
      </c>
      <c r="AG126" s="573">
        <f t="shared" si="3"/>
        <v>-3.6730841441871644E-2</v>
      </c>
      <c r="AH126" s="573">
        <f t="shared" si="3"/>
        <v>-3.6730841441871644E-2</v>
      </c>
      <c r="AI126" s="573">
        <f t="shared" si="3"/>
        <v>-3.5280496003854675E-2</v>
      </c>
      <c r="AJ126" s="573">
        <f t="shared" si="3"/>
        <v>-3.5280496003854675E-2</v>
      </c>
      <c r="AK126" s="573">
        <f t="shared" si="3"/>
        <v>-3.5280496003854675E-2</v>
      </c>
      <c r="AL126" s="573">
        <f t="shared" si="3"/>
        <v>-3.5280496003854675E-2</v>
      </c>
      <c r="AM126" s="573">
        <f t="shared" si="3"/>
        <v>-3.4774561548732472E-2</v>
      </c>
      <c r="AN126" s="573">
        <f t="shared" si="3"/>
        <v>-3.4774561548732472E-2</v>
      </c>
      <c r="AO126" s="573">
        <f t="shared" si="3"/>
        <v>-3.4774561548732472E-2</v>
      </c>
      <c r="AP126" s="573">
        <f t="shared" si="3"/>
        <v>-3.4774561548732472E-2</v>
      </c>
      <c r="AQ126" s="571"/>
      <c r="AR126" s="571"/>
    </row>
    <row r="127" spans="2:44" x14ac:dyDescent="0.25">
      <c r="E127" s="144"/>
      <c r="F127" s="211" t="s">
        <v>46</v>
      </c>
      <c r="G127" s="139" t="s">
        <v>201</v>
      </c>
      <c r="H127" s="572"/>
      <c r="I127" s="572"/>
      <c r="J127" s="573">
        <f t="shared" ref="J127:AP127" si="4">hundred * $H22 * J59 / $H47 * J$78 * (1 - J71) / hours_in_year</f>
        <v>0.19051414151288595</v>
      </c>
      <c r="K127" s="573">
        <f t="shared" si="4"/>
        <v>0.13360727019137514</v>
      </c>
      <c r="L127" s="573">
        <f t="shared" si="4"/>
        <v>0</v>
      </c>
      <c r="M127" s="573">
        <f t="shared" si="4"/>
        <v>0.15146383965093857</v>
      </c>
      <c r="N127" s="573">
        <f t="shared" si="4"/>
        <v>0.16131288261086235</v>
      </c>
      <c r="O127" s="573">
        <f t="shared" si="4"/>
        <v>0</v>
      </c>
      <c r="P127" s="573">
        <f t="shared" si="4"/>
        <v>0.11740893947576164</v>
      </c>
      <c r="Q127" s="573">
        <f t="shared" si="4"/>
        <v>9.7898155372249357E-2</v>
      </c>
      <c r="R127" s="573">
        <f t="shared" si="4"/>
        <v>0.1164562680455119</v>
      </c>
      <c r="S127" s="573">
        <f t="shared" si="4"/>
        <v>0.28858398726678469</v>
      </c>
      <c r="T127" s="573">
        <f t="shared" si="4"/>
        <v>0.14499925563667226</v>
      </c>
      <c r="U127" s="573">
        <f t="shared" si="4"/>
        <v>0.12040397911465872</v>
      </c>
      <c r="V127" s="573">
        <f t="shared" si="4"/>
        <v>0.10526827546575132</v>
      </c>
      <c r="W127" s="573">
        <f t="shared" si="4"/>
        <v>9.0157734677531076E-2</v>
      </c>
      <c r="X127" s="573">
        <f t="shared" si="4"/>
        <v>8.7039804106162827E-2</v>
      </c>
      <c r="Y127" s="573">
        <f t="shared" si="4"/>
        <v>0.1540182369760392</v>
      </c>
      <c r="Z127" s="573">
        <f t="shared" si="4"/>
        <v>0.28843078199346694</v>
      </c>
      <c r="AA127" s="573">
        <f t="shared" si="4"/>
        <v>4.4801916866416505E-2</v>
      </c>
      <c r="AB127" s="573">
        <f t="shared" si="4"/>
        <v>0.15029639564393868</v>
      </c>
      <c r="AC127" s="573">
        <f t="shared" si="4"/>
        <v>-8.7029877104692288E-2</v>
      </c>
      <c r="AD127" s="573">
        <f t="shared" si="4"/>
        <v>-8.3593435676316011E-2</v>
      </c>
      <c r="AE127" s="573">
        <f t="shared" si="4"/>
        <v>-8.7029877104692288E-2</v>
      </c>
      <c r="AF127" s="573">
        <f t="shared" si="4"/>
        <v>-8.7029877104692288E-2</v>
      </c>
      <c r="AG127" s="573">
        <f t="shared" si="4"/>
        <v>-8.7029877104692288E-2</v>
      </c>
      <c r="AH127" s="573">
        <f t="shared" si="4"/>
        <v>-8.7029877104692288E-2</v>
      </c>
      <c r="AI127" s="573">
        <f t="shared" si="4"/>
        <v>-8.3593435676316011E-2</v>
      </c>
      <c r="AJ127" s="573">
        <f t="shared" si="4"/>
        <v>-8.3593435676316011E-2</v>
      </c>
      <c r="AK127" s="573">
        <f t="shared" si="4"/>
        <v>-8.3593435676316011E-2</v>
      </c>
      <c r="AL127" s="573">
        <f t="shared" si="4"/>
        <v>-8.3593435676316011E-2</v>
      </c>
      <c r="AM127" s="573">
        <f t="shared" si="4"/>
        <v>-8.054591370685224E-2</v>
      </c>
      <c r="AN127" s="573">
        <f t="shared" si="4"/>
        <v>-8.054591370685224E-2</v>
      </c>
      <c r="AO127" s="573">
        <f t="shared" si="4"/>
        <v>-8.054591370685224E-2</v>
      </c>
      <c r="AP127" s="573">
        <f t="shared" si="4"/>
        <v>-8.054591370685224E-2</v>
      </c>
      <c r="AQ127" s="571"/>
      <c r="AR127" s="571"/>
    </row>
    <row r="128" spans="2:44" x14ac:dyDescent="0.25">
      <c r="E128" s="144"/>
      <c r="F128" s="211" t="s">
        <v>47</v>
      </c>
      <c r="G128" s="139" t="s">
        <v>201</v>
      </c>
      <c r="H128" s="572"/>
      <c r="I128" s="572"/>
      <c r="J128" s="573">
        <f t="shared" ref="J128:AP128" si="5">hundred * $H23 * J60 / $H48 * J$78 * (1 - J72) / hours_in_year</f>
        <v>0.14334383474220794</v>
      </c>
      <c r="K128" s="573">
        <f t="shared" si="5"/>
        <v>0.10052680765104578</v>
      </c>
      <c r="L128" s="573">
        <f t="shared" si="5"/>
        <v>0</v>
      </c>
      <c r="M128" s="573">
        <f t="shared" si="5"/>
        <v>0.11396218374096867</v>
      </c>
      <c r="N128" s="573">
        <f t="shared" si="5"/>
        <v>0.12137265508553675</v>
      </c>
      <c r="O128" s="573">
        <f t="shared" si="5"/>
        <v>0</v>
      </c>
      <c r="P128" s="573">
        <f t="shared" si="5"/>
        <v>8.8339099049679404E-2</v>
      </c>
      <c r="Q128" s="573">
        <f t="shared" si="5"/>
        <v>7.3659083225050478E-2</v>
      </c>
      <c r="R128" s="573">
        <f t="shared" si="5"/>
        <v>8.5776556596483741E-2</v>
      </c>
      <c r="S128" s="573">
        <f t="shared" si="5"/>
        <v>0.21713209870680111</v>
      </c>
      <c r="T128" s="573">
        <f t="shared" si="5"/>
        <v>0.10909819697725945</v>
      </c>
      <c r="U128" s="573">
        <f t="shared" si="5"/>
        <v>9.0592582510986591E-2</v>
      </c>
      <c r="V128" s="573">
        <f t="shared" si="5"/>
        <v>7.9204400062550001E-2</v>
      </c>
      <c r="W128" s="573">
        <f t="shared" si="5"/>
        <v>6.6406215491601861E-2</v>
      </c>
      <c r="X128" s="573">
        <f t="shared" si="5"/>
        <v>6.5489203041360924E-2</v>
      </c>
      <c r="Y128" s="573">
        <f t="shared" si="5"/>
        <v>0.11588412562479675</v>
      </c>
      <c r="Z128" s="573">
        <f t="shared" si="5"/>
        <v>0.21701682625927726</v>
      </c>
      <c r="AA128" s="573">
        <f t="shared" si="5"/>
        <v>3.3709196159589921E-2</v>
      </c>
      <c r="AB128" s="573">
        <f t="shared" si="5"/>
        <v>0.11308379277491616</v>
      </c>
      <c r="AC128" s="573">
        <f t="shared" si="5"/>
        <v>-6.5481733913625953E-2</v>
      </c>
      <c r="AD128" s="573">
        <f t="shared" si="5"/>
        <v>-6.2896137441370764E-2</v>
      </c>
      <c r="AE128" s="573">
        <f t="shared" si="5"/>
        <v>-6.5481733913625953E-2</v>
      </c>
      <c r="AF128" s="573">
        <f t="shared" si="5"/>
        <v>-6.5481733913625953E-2</v>
      </c>
      <c r="AG128" s="573">
        <f t="shared" si="5"/>
        <v>-6.5481733913625953E-2</v>
      </c>
      <c r="AH128" s="573">
        <f t="shared" si="5"/>
        <v>-6.5481733913625953E-2</v>
      </c>
      <c r="AI128" s="573">
        <f t="shared" si="5"/>
        <v>-6.2896137441370764E-2</v>
      </c>
      <c r="AJ128" s="573">
        <f t="shared" si="5"/>
        <v>-6.2896137441370764E-2</v>
      </c>
      <c r="AK128" s="573">
        <f t="shared" si="5"/>
        <v>-6.2896137441370764E-2</v>
      </c>
      <c r="AL128" s="573">
        <f t="shared" si="5"/>
        <v>-6.2896137441370764E-2</v>
      </c>
      <c r="AM128" s="573">
        <f t="shared" si="5"/>
        <v>-5.9326571610479932E-2</v>
      </c>
      <c r="AN128" s="573">
        <f t="shared" si="5"/>
        <v>-5.9326571610479932E-2</v>
      </c>
      <c r="AO128" s="573">
        <f t="shared" si="5"/>
        <v>-5.9326571610479932E-2</v>
      </c>
      <c r="AP128" s="573">
        <f t="shared" si="5"/>
        <v>-5.9326571610479932E-2</v>
      </c>
      <c r="AQ128" s="571"/>
      <c r="AR128" s="571"/>
    </row>
    <row r="129" spans="4:44" x14ac:dyDescent="0.25">
      <c r="E129" s="144"/>
      <c r="F129" s="211" t="s">
        <v>51</v>
      </c>
      <c r="G129" s="139" t="s">
        <v>201</v>
      </c>
      <c r="H129" s="572"/>
      <c r="I129" s="572"/>
      <c r="J129" s="573">
        <f t="shared" ref="J129:AP129" si="6">hundred * $H24 * J61 / $H49 * J$78 * (1 - J73) / hours_in_year</f>
        <v>0</v>
      </c>
      <c r="K129" s="573">
        <f t="shared" si="6"/>
        <v>0</v>
      </c>
      <c r="L129" s="573">
        <f t="shared" si="6"/>
        <v>0</v>
      </c>
      <c r="M129" s="573">
        <f t="shared" si="6"/>
        <v>0</v>
      </c>
      <c r="N129" s="573">
        <f t="shared" si="6"/>
        <v>0</v>
      </c>
      <c r="O129" s="573">
        <f t="shared" si="6"/>
        <v>0</v>
      </c>
      <c r="P129" s="573">
        <f t="shared" si="6"/>
        <v>0</v>
      </c>
      <c r="Q129" s="573">
        <f t="shared" si="6"/>
        <v>0</v>
      </c>
      <c r="R129" s="573">
        <f t="shared" si="6"/>
        <v>0</v>
      </c>
      <c r="S129" s="573">
        <f t="shared" si="6"/>
        <v>0</v>
      </c>
      <c r="T129" s="573">
        <f t="shared" si="6"/>
        <v>0</v>
      </c>
      <c r="U129" s="573">
        <f t="shared" si="6"/>
        <v>0</v>
      </c>
      <c r="V129" s="573">
        <f t="shared" si="6"/>
        <v>0</v>
      </c>
      <c r="W129" s="573">
        <f t="shared" si="6"/>
        <v>0</v>
      </c>
      <c r="X129" s="573">
        <f t="shared" si="6"/>
        <v>0</v>
      </c>
      <c r="Y129" s="573">
        <f t="shared" si="6"/>
        <v>0</v>
      </c>
      <c r="Z129" s="573">
        <f t="shared" si="6"/>
        <v>0</v>
      </c>
      <c r="AA129" s="573">
        <f t="shared" si="6"/>
        <v>0</v>
      </c>
      <c r="AB129" s="573">
        <f t="shared" si="6"/>
        <v>0</v>
      </c>
      <c r="AC129" s="573">
        <f t="shared" si="6"/>
        <v>0</v>
      </c>
      <c r="AD129" s="573">
        <f t="shared" si="6"/>
        <v>0</v>
      </c>
      <c r="AE129" s="573">
        <f t="shared" si="6"/>
        <v>0</v>
      </c>
      <c r="AF129" s="573">
        <f t="shared" si="6"/>
        <v>0</v>
      </c>
      <c r="AG129" s="573">
        <f t="shared" si="6"/>
        <v>0</v>
      </c>
      <c r="AH129" s="573">
        <f t="shared" si="6"/>
        <v>0</v>
      </c>
      <c r="AI129" s="573">
        <f t="shared" si="6"/>
        <v>0</v>
      </c>
      <c r="AJ129" s="573">
        <f t="shared" si="6"/>
        <v>0</v>
      </c>
      <c r="AK129" s="573">
        <f t="shared" si="6"/>
        <v>0</v>
      </c>
      <c r="AL129" s="573">
        <f t="shared" si="6"/>
        <v>0</v>
      </c>
      <c r="AM129" s="573">
        <f t="shared" si="6"/>
        <v>0</v>
      </c>
      <c r="AN129" s="573">
        <f t="shared" si="6"/>
        <v>0</v>
      </c>
      <c r="AO129" s="573">
        <f t="shared" si="6"/>
        <v>0</v>
      </c>
      <c r="AP129" s="573">
        <f t="shared" si="6"/>
        <v>0</v>
      </c>
      <c r="AQ129" s="571"/>
      <c r="AR129" s="571"/>
    </row>
    <row r="130" spans="4:44" x14ac:dyDescent="0.25">
      <c r="E130" s="144"/>
      <c r="F130" s="211" t="s">
        <v>48</v>
      </c>
      <c r="G130" s="139" t="s">
        <v>201</v>
      </c>
      <c r="H130" s="572"/>
      <c r="I130" s="572"/>
      <c r="J130" s="573">
        <f t="shared" ref="J130:AP130" si="7">hundred * $H25 * J62 / $H50 * J$78 * (1 - J74) / hours_in_year</f>
        <v>0.31523455295112635</v>
      </c>
      <c r="K130" s="573">
        <f t="shared" si="7"/>
        <v>0.22107350013673258</v>
      </c>
      <c r="L130" s="573">
        <f t="shared" si="7"/>
        <v>0</v>
      </c>
      <c r="M130" s="573">
        <f t="shared" si="7"/>
        <v>0.25061990360119912</v>
      </c>
      <c r="N130" s="573">
        <f t="shared" si="7"/>
        <v>0.26691663952753469</v>
      </c>
      <c r="O130" s="573">
        <f t="shared" si="7"/>
        <v>0</v>
      </c>
      <c r="P130" s="573">
        <f t="shared" si="7"/>
        <v>0.19427090427092628</v>
      </c>
      <c r="Q130" s="573">
        <f t="shared" si="7"/>
        <v>0.161987351691809</v>
      </c>
      <c r="R130" s="573">
        <f t="shared" si="7"/>
        <v>0.18527199893918439</v>
      </c>
      <c r="S130" s="573">
        <f t="shared" si="7"/>
        <v>0.47750599242915137</v>
      </c>
      <c r="T130" s="573">
        <f t="shared" si="7"/>
        <v>0.23992326850855231</v>
      </c>
      <c r="U130" s="573">
        <f t="shared" si="7"/>
        <v>0.19922665177681295</v>
      </c>
      <c r="V130" s="573">
        <f t="shared" si="7"/>
        <v>0.17418233362029784</v>
      </c>
      <c r="W130" s="573">
        <f t="shared" si="7"/>
        <v>0.14343327331257846</v>
      </c>
      <c r="X130" s="573">
        <f t="shared" si="7"/>
        <v>0.144020562035307</v>
      </c>
      <c r="Y130" s="573">
        <f t="shared" si="7"/>
        <v>0.2548465415423159</v>
      </c>
      <c r="Z130" s="573">
        <f t="shared" si="7"/>
        <v>0.47725249105932888</v>
      </c>
      <c r="AA130" s="573">
        <f t="shared" si="7"/>
        <v>7.4131569040417275E-2</v>
      </c>
      <c r="AB130" s="573">
        <f t="shared" si="7"/>
        <v>0.24868819036080866</v>
      </c>
      <c r="AC130" s="573">
        <f t="shared" si="7"/>
        <v>-0.14400413630519657</v>
      </c>
      <c r="AD130" s="573">
        <f t="shared" si="7"/>
        <v>-0.13831802256679121</v>
      </c>
      <c r="AE130" s="573">
        <f t="shared" si="7"/>
        <v>-0.14400413630519657</v>
      </c>
      <c r="AF130" s="573">
        <f t="shared" si="7"/>
        <v>-0.14400413630519657</v>
      </c>
      <c r="AG130" s="573">
        <f t="shared" si="7"/>
        <v>-0.14400413630519657</v>
      </c>
      <c r="AH130" s="573">
        <f t="shared" si="7"/>
        <v>-0.14400413630519657</v>
      </c>
      <c r="AI130" s="573">
        <f t="shared" si="7"/>
        <v>-0.13831802256679121</v>
      </c>
      <c r="AJ130" s="573">
        <f t="shared" si="7"/>
        <v>-0.13831802256679121</v>
      </c>
      <c r="AK130" s="573">
        <f t="shared" si="7"/>
        <v>-0.13831802256679121</v>
      </c>
      <c r="AL130" s="573">
        <f t="shared" si="7"/>
        <v>-0.13831802256679121</v>
      </c>
      <c r="AM130" s="573">
        <f t="shared" si="7"/>
        <v>0</v>
      </c>
      <c r="AN130" s="573">
        <f t="shared" si="7"/>
        <v>0</v>
      </c>
      <c r="AO130" s="573">
        <f t="shared" si="7"/>
        <v>0</v>
      </c>
      <c r="AP130" s="573">
        <f t="shared" si="7"/>
        <v>0</v>
      </c>
      <c r="AQ130" s="571"/>
      <c r="AR130" s="571"/>
    </row>
    <row r="131" spans="4:44" x14ac:dyDescent="0.25">
      <c r="E131" s="144"/>
      <c r="F131" s="211" t="s">
        <v>49</v>
      </c>
      <c r="G131" s="139" t="s">
        <v>201</v>
      </c>
      <c r="H131" s="572"/>
      <c r="I131" s="572"/>
      <c r="J131" s="573">
        <f t="shared" ref="J131:AP131" si="8">hundred * $H26 * J63 / $H51 * J$78 * (1 - J75) / hours_in_year</f>
        <v>9.0808001516866715E-2</v>
      </c>
      <c r="K131" s="573">
        <f t="shared" si="8"/>
        <v>6.3683509779677919E-2</v>
      </c>
      <c r="L131" s="573">
        <f t="shared" si="8"/>
        <v>0</v>
      </c>
      <c r="M131" s="573">
        <f t="shared" si="8"/>
        <v>7.2194790746505214E-2</v>
      </c>
      <c r="N131" s="573">
        <f t="shared" si="8"/>
        <v>7.6889307914323732E-2</v>
      </c>
      <c r="O131" s="573">
        <f t="shared" si="8"/>
        <v>0</v>
      </c>
      <c r="P131" s="573">
        <f t="shared" si="8"/>
        <v>5.5962623400780689E-2</v>
      </c>
      <c r="Q131" s="573">
        <f t="shared" si="8"/>
        <v>4.6662865921375071E-2</v>
      </c>
      <c r="R131" s="573">
        <f t="shared" si="8"/>
        <v>0</v>
      </c>
      <c r="S131" s="573">
        <f t="shared" si="8"/>
        <v>0.13755270315034926</v>
      </c>
      <c r="T131" s="573">
        <f t="shared" si="8"/>
        <v>6.9113465915121519E-2</v>
      </c>
      <c r="U131" s="573">
        <f t="shared" si="8"/>
        <v>5.7390200177561052E-2</v>
      </c>
      <c r="V131" s="573">
        <f t="shared" si="8"/>
        <v>5.0175811844000717E-2</v>
      </c>
      <c r="W131" s="573">
        <f t="shared" si="8"/>
        <v>0</v>
      </c>
      <c r="X131" s="573">
        <f t="shared" si="8"/>
        <v>4.1487264937577428E-2</v>
      </c>
      <c r="Y131" s="573">
        <f t="shared" si="8"/>
        <v>7.3412336668978007E-2</v>
      </c>
      <c r="Z131" s="573">
        <f t="shared" si="8"/>
        <v>0.13747967831040114</v>
      </c>
      <c r="AA131" s="573">
        <f t="shared" si="8"/>
        <v>2.1354701034037995E-2</v>
      </c>
      <c r="AB131" s="573">
        <f t="shared" si="8"/>
        <v>7.1638332016897843E-2</v>
      </c>
      <c r="AC131" s="573">
        <f t="shared" si="8"/>
        <v>-4.1482533261716317E-2</v>
      </c>
      <c r="AD131" s="573">
        <f t="shared" si="8"/>
        <v>0</v>
      </c>
      <c r="AE131" s="573">
        <f t="shared" si="8"/>
        <v>-4.1482533261716317E-2</v>
      </c>
      <c r="AF131" s="573">
        <f t="shared" si="8"/>
        <v>-4.1482533261716317E-2</v>
      </c>
      <c r="AG131" s="573">
        <f t="shared" si="8"/>
        <v>-4.1482533261716317E-2</v>
      </c>
      <c r="AH131" s="573">
        <f t="shared" si="8"/>
        <v>-4.1482533261716317E-2</v>
      </c>
      <c r="AI131" s="573">
        <f t="shared" si="8"/>
        <v>0</v>
      </c>
      <c r="AJ131" s="573">
        <f t="shared" si="8"/>
        <v>0</v>
      </c>
      <c r="AK131" s="573">
        <f t="shared" si="8"/>
        <v>0</v>
      </c>
      <c r="AL131" s="573">
        <f t="shared" si="8"/>
        <v>0</v>
      </c>
      <c r="AM131" s="573">
        <f t="shared" si="8"/>
        <v>0</v>
      </c>
      <c r="AN131" s="573">
        <f t="shared" si="8"/>
        <v>0</v>
      </c>
      <c r="AO131" s="573">
        <f t="shared" si="8"/>
        <v>0</v>
      </c>
      <c r="AP131" s="573">
        <f t="shared" si="8"/>
        <v>0</v>
      </c>
      <c r="AQ131" s="571"/>
      <c r="AR131" s="571"/>
    </row>
    <row r="132" spans="4:44" x14ac:dyDescent="0.25">
      <c r="E132" s="144"/>
      <c r="F132" s="212" t="s">
        <v>50</v>
      </c>
      <c r="G132" s="140" t="s">
        <v>201</v>
      </c>
      <c r="H132" s="574"/>
      <c r="I132" s="574"/>
      <c r="J132" s="575">
        <f t="shared" ref="J132:AP132" si="9">hundred * $H27 * J64 / $H52 * J$78 * (1 - J76) / hours_in_year</f>
        <v>1.2478821818567343E-2</v>
      </c>
      <c r="K132" s="575">
        <f t="shared" si="9"/>
        <v>8.7513782711536106E-3</v>
      </c>
      <c r="L132" s="575">
        <f t="shared" si="9"/>
        <v>0</v>
      </c>
      <c r="M132" s="575">
        <f t="shared" si="9"/>
        <v>9.9209972128618904E-3</v>
      </c>
      <c r="N132" s="575">
        <f t="shared" si="9"/>
        <v>1.0566117051233529E-2</v>
      </c>
      <c r="O132" s="575">
        <f t="shared" si="9"/>
        <v>0</v>
      </c>
      <c r="P132" s="575">
        <f t="shared" si="9"/>
        <v>7.6903752340394598E-3</v>
      </c>
      <c r="Q132" s="575">
        <f t="shared" si="9"/>
        <v>0</v>
      </c>
      <c r="R132" s="575">
        <f t="shared" si="9"/>
        <v>0</v>
      </c>
      <c r="S132" s="575">
        <f t="shared" si="9"/>
        <v>1.8902471639095288E-2</v>
      </c>
      <c r="T132" s="575">
        <f t="shared" si="9"/>
        <v>9.4975620210982856E-3</v>
      </c>
      <c r="U132" s="575">
        <f t="shared" si="9"/>
        <v>7.8865526185451403E-3</v>
      </c>
      <c r="V132" s="575">
        <f t="shared" si="9"/>
        <v>0</v>
      </c>
      <c r="W132" s="575">
        <f t="shared" si="9"/>
        <v>0</v>
      </c>
      <c r="X132" s="575">
        <f t="shared" si="9"/>
        <v>5.7011736658422662E-3</v>
      </c>
      <c r="Y132" s="575">
        <f t="shared" si="9"/>
        <v>1.0088312189170881E-2</v>
      </c>
      <c r="Z132" s="575">
        <f t="shared" si="9"/>
        <v>1.8892436576646826E-2</v>
      </c>
      <c r="AA132" s="575">
        <f t="shared" si="9"/>
        <v>2.9345597826314846E-3</v>
      </c>
      <c r="AB132" s="575">
        <f t="shared" si="9"/>
        <v>9.8445287384965885E-3</v>
      </c>
      <c r="AC132" s="575">
        <f t="shared" si="9"/>
        <v>0</v>
      </c>
      <c r="AD132" s="575">
        <f t="shared" si="9"/>
        <v>0</v>
      </c>
      <c r="AE132" s="575">
        <f t="shared" si="9"/>
        <v>0</v>
      </c>
      <c r="AF132" s="575">
        <f t="shared" si="9"/>
        <v>0</v>
      </c>
      <c r="AG132" s="575">
        <f t="shared" si="9"/>
        <v>0</v>
      </c>
      <c r="AH132" s="575">
        <f t="shared" si="9"/>
        <v>0</v>
      </c>
      <c r="AI132" s="575">
        <f t="shared" si="9"/>
        <v>0</v>
      </c>
      <c r="AJ132" s="575">
        <f t="shared" si="9"/>
        <v>0</v>
      </c>
      <c r="AK132" s="575">
        <f t="shared" si="9"/>
        <v>0</v>
      </c>
      <c r="AL132" s="575">
        <f t="shared" si="9"/>
        <v>0</v>
      </c>
      <c r="AM132" s="575">
        <f t="shared" si="9"/>
        <v>0</v>
      </c>
      <c r="AN132" s="575">
        <f t="shared" si="9"/>
        <v>0</v>
      </c>
      <c r="AO132" s="575">
        <f t="shared" si="9"/>
        <v>0</v>
      </c>
      <c r="AP132" s="575">
        <f t="shared" si="9"/>
        <v>0</v>
      </c>
      <c r="AQ132" s="571"/>
      <c r="AR132" s="571"/>
    </row>
    <row r="133" spans="4:44" x14ac:dyDescent="0.25">
      <c r="E133" s="144"/>
      <c r="F133" s="211"/>
      <c r="G133" s="139"/>
      <c r="H133" s="139"/>
      <c r="I133" s="139"/>
      <c r="J133" s="435"/>
      <c r="K133" s="435"/>
      <c r="L133" s="435"/>
      <c r="M133" s="435"/>
      <c r="N133" s="435"/>
      <c r="O133" s="435"/>
      <c r="P133" s="435"/>
      <c r="Q133" s="435"/>
      <c r="R133" s="435"/>
      <c r="S133" s="435"/>
      <c r="T133" s="435"/>
      <c r="U133" s="435"/>
      <c r="V133" s="435"/>
      <c r="W133" s="435"/>
      <c r="X133" s="435"/>
      <c r="Y133" s="435"/>
      <c r="Z133" s="435"/>
      <c r="AA133" s="435"/>
      <c r="AB133" s="435"/>
      <c r="AC133" s="435"/>
      <c r="AD133" s="435"/>
      <c r="AE133" s="435"/>
      <c r="AF133" s="435"/>
      <c r="AG133" s="435"/>
      <c r="AH133" s="435"/>
      <c r="AI133" s="435"/>
      <c r="AJ133" s="435"/>
      <c r="AK133" s="435"/>
      <c r="AL133" s="435"/>
      <c r="AM133" s="435"/>
      <c r="AN133" s="435"/>
      <c r="AO133" s="435"/>
      <c r="AP133" s="435"/>
    </row>
    <row r="134" spans="4:44" x14ac:dyDescent="0.25">
      <c r="E134" s="172" t="s">
        <v>133</v>
      </c>
      <c r="F134" s="213"/>
      <c r="J134" s="416"/>
      <c r="K134" s="416"/>
      <c r="L134" s="416"/>
      <c r="M134" s="416"/>
      <c r="N134" s="416"/>
      <c r="O134" s="416"/>
      <c r="P134" s="416"/>
      <c r="Q134" s="416"/>
      <c r="R134" s="416"/>
      <c r="S134" s="416"/>
      <c r="T134" s="416"/>
      <c r="U134" s="416"/>
      <c r="V134" s="416"/>
      <c r="W134" s="416"/>
      <c r="X134" s="416"/>
      <c r="Y134" s="416"/>
      <c r="Z134" s="416"/>
      <c r="AA134" s="416"/>
      <c r="AB134" s="416"/>
      <c r="AC134" s="416"/>
      <c r="AD134" s="416"/>
      <c r="AE134" s="416"/>
      <c r="AF134" s="416"/>
      <c r="AG134" s="416"/>
      <c r="AH134" s="416"/>
      <c r="AI134" s="416"/>
      <c r="AJ134" s="416"/>
      <c r="AK134" s="416"/>
      <c r="AL134" s="416"/>
      <c r="AM134" s="416"/>
      <c r="AN134" s="416"/>
      <c r="AO134" s="416"/>
      <c r="AP134" s="416"/>
    </row>
    <row r="135" spans="4:44" x14ac:dyDescent="0.25">
      <c r="D135" s="144"/>
      <c r="E135" s="172"/>
      <c r="F135" s="481" t="s">
        <v>397</v>
      </c>
      <c r="G135" s="137" t="s">
        <v>201</v>
      </c>
      <c r="H135" s="569"/>
      <c r="I135" s="569"/>
      <c r="J135" s="576">
        <f t="shared" ref="J135:AP135" si="10">hundred * $H30 * J55 / $H43 * J$78 / hours_in_year</f>
        <v>8.4041936407787204E-2</v>
      </c>
      <c r="K135" s="576">
        <f t="shared" si="10"/>
        <v>5.8938478875501819E-2</v>
      </c>
      <c r="L135" s="576">
        <f t="shared" si="10"/>
        <v>0</v>
      </c>
      <c r="M135" s="576">
        <f t="shared" si="10"/>
        <v>6.6815587960762868E-2</v>
      </c>
      <c r="N135" s="576">
        <f t="shared" si="10"/>
        <v>7.1160318674936635E-2</v>
      </c>
      <c r="O135" s="576">
        <f t="shared" si="10"/>
        <v>0</v>
      </c>
      <c r="P135" s="576">
        <f t="shared" si="10"/>
        <v>5.1792872417611567E-2</v>
      </c>
      <c r="Q135" s="576">
        <f t="shared" si="10"/>
        <v>4.3186035865362571E-2</v>
      </c>
      <c r="R135" s="576">
        <f t="shared" si="10"/>
        <v>5.2551769530465878E-2</v>
      </c>
      <c r="S135" s="576">
        <f t="shared" si="10"/>
        <v>0.12730371044157035</v>
      </c>
      <c r="T135" s="576">
        <f t="shared" si="10"/>
        <v>6.3963851316357304E-2</v>
      </c>
      <c r="U135" s="576">
        <f t="shared" si="10"/>
        <v>5.3114081063185867E-2</v>
      </c>
      <c r="V135" s="576">
        <f t="shared" si="10"/>
        <v>4.643723369927219E-2</v>
      </c>
      <c r="W135" s="576">
        <f t="shared" si="10"/>
        <v>4.0684357945515497E-2</v>
      </c>
      <c r="X135" s="576">
        <f t="shared" si="10"/>
        <v>3.839606668327885E-2</v>
      </c>
      <c r="Y135" s="576">
        <f t="shared" si="10"/>
        <v>6.7942415060586361E-2</v>
      </c>
      <c r="Z135" s="576">
        <f t="shared" si="10"/>
        <v>0.12723612665101675</v>
      </c>
      <c r="AA135" s="576">
        <f t="shared" si="10"/>
        <v>1.9763571451097094E-2</v>
      </c>
      <c r="AB135" s="576">
        <f t="shared" si="10"/>
        <v>6.6300590731597608E-2</v>
      </c>
      <c r="AC135" s="576">
        <f t="shared" si="10"/>
        <v>-3.839168756254964E-2</v>
      </c>
      <c r="AD135" s="576">
        <f t="shared" si="10"/>
        <v>-3.6875762341989832E-2</v>
      </c>
      <c r="AE135" s="576">
        <f t="shared" si="10"/>
        <v>-3.839168756254964E-2</v>
      </c>
      <c r="AF135" s="576">
        <f t="shared" si="10"/>
        <v>-3.839168756254964E-2</v>
      </c>
      <c r="AG135" s="576">
        <f t="shared" si="10"/>
        <v>-3.839168756254964E-2</v>
      </c>
      <c r="AH135" s="576">
        <f t="shared" si="10"/>
        <v>-3.839168756254964E-2</v>
      </c>
      <c r="AI135" s="576">
        <f t="shared" si="10"/>
        <v>-3.6875762341989832E-2</v>
      </c>
      <c r="AJ135" s="576">
        <f t="shared" si="10"/>
        <v>-3.6875762341989832E-2</v>
      </c>
      <c r="AK135" s="576">
        <f t="shared" si="10"/>
        <v>-3.6875762341989832E-2</v>
      </c>
      <c r="AL135" s="576">
        <f t="shared" si="10"/>
        <v>-3.6875762341989832E-2</v>
      </c>
      <c r="AM135" s="576">
        <f t="shared" si="10"/>
        <v>-3.6346951218538724E-2</v>
      </c>
      <c r="AN135" s="576">
        <f t="shared" si="10"/>
        <v>-3.6346951218538724E-2</v>
      </c>
      <c r="AO135" s="576">
        <f t="shared" si="10"/>
        <v>-3.6346951218538724E-2</v>
      </c>
      <c r="AP135" s="576">
        <f t="shared" si="10"/>
        <v>-3.6346951218538724E-2</v>
      </c>
      <c r="AQ135" s="571"/>
      <c r="AR135" s="571"/>
    </row>
    <row r="136" spans="4:44" x14ac:dyDescent="0.25">
      <c r="D136" s="144"/>
      <c r="E136" s="172"/>
      <c r="F136" s="211" t="s">
        <v>43</v>
      </c>
      <c r="G136" s="139" t="s">
        <v>201</v>
      </c>
      <c r="H136" s="572"/>
      <c r="I136" s="572"/>
      <c r="J136" s="577">
        <f t="shared" ref="J136:AP136" si="11">hundred * $H31 * J56 / $H44 * J$78 / hours_in_year</f>
        <v>0</v>
      </c>
      <c r="K136" s="577">
        <f t="shared" si="11"/>
        <v>0</v>
      </c>
      <c r="L136" s="577">
        <f t="shared" si="11"/>
        <v>0</v>
      </c>
      <c r="M136" s="577">
        <f t="shared" si="11"/>
        <v>0</v>
      </c>
      <c r="N136" s="577">
        <f t="shared" si="11"/>
        <v>0</v>
      </c>
      <c r="O136" s="577">
        <f t="shared" si="11"/>
        <v>0</v>
      </c>
      <c r="P136" s="577">
        <f t="shared" si="11"/>
        <v>0</v>
      </c>
      <c r="Q136" s="577">
        <f t="shared" si="11"/>
        <v>0</v>
      </c>
      <c r="R136" s="577">
        <f t="shared" si="11"/>
        <v>0</v>
      </c>
      <c r="S136" s="577">
        <f t="shared" si="11"/>
        <v>0</v>
      </c>
      <c r="T136" s="577">
        <f t="shared" si="11"/>
        <v>0</v>
      </c>
      <c r="U136" s="577">
        <f t="shared" si="11"/>
        <v>0</v>
      </c>
      <c r="V136" s="577">
        <f t="shared" si="11"/>
        <v>0</v>
      </c>
      <c r="W136" s="577">
        <f t="shared" si="11"/>
        <v>0</v>
      </c>
      <c r="X136" s="577">
        <f t="shared" si="11"/>
        <v>0</v>
      </c>
      <c r="Y136" s="577">
        <f t="shared" si="11"/>
        <v>0</v>
      </c>
      <c r="Z136" s="577">
        <f t="shared" si="11"/>
        <v>0</v>
      </c>
      <c r="AA136" s="577">
        <f t="shared" si="11"/>
        <v>0</v>
      </c>
      <c r="AB136" s="577">
        <f t="shared" si="11"/>
        <v>0</v>
      </c>
      <c r="AC136" s="577">
        <f t="shared" si="11"/>
        <v>0</v>
      </c>
      <c r="AD136" s="577">
        <f t="shared" si="11"/>
        <v>0</v>
      </c>
      <c r="AE136" s="577">
        <f t="shared" si="11"/>
        <v>0</v>
      </c>
      <c r="AF136" s="577">
        <f t="shared" si="11"/>
        <v>0</v>
      </c>
      <c r="AG136" s="577">
        <f t="shared" si="11"/>
        <v>0</v>
      </c>
      <c r="AH136" s="577">
        <f t="shared" si="11"/>
        <v>0</v>
      </c>
      <c r="AI136" s="577">
        <f t="shared" si="11"/>
        <v>0</v>
      </c>
      <c r="AJ136" s="577">
        <f t="shared" si="11"/>
        <v>0</v>
      </c>
      <c r="AK136" s="577">
        <f t="shared" si="11"/>
        <v>0</v>
      </c>
      <c r="AL136" s="577">
        <f t="shared" si="11"/>
        <v>0</v>
      </c>
      <c r="AM136" s="577">
        <f t="shared" si="11"/>
        <v>0</v>
      </c>
      <c r="AN136" s="577">
        <f t="shared" si="11"/>
        <v>0</v>
      </c>
      <c r="AO136" s="577">
        <f t="shared" si="11"/>
        <v>0</v>
      </c>
      <c r="AP136" s="577">
        <f t="shared" si="11"/>
        <v>0</v>
      </c>
      <c r="AQ136" s="571"/>
      <c r="AR136" s="571"/>
    </row>
    <row r="137" spans="4:44" x14ac:dyDescent="0.25">
      <c r="D137" s="144"/>
      <c r="E137" s="172"/>
      <c r="F137" s="211" t="s">
        <v>44</v>
      </c>
      <c r="G137" s="139" t="s">
        <v>201</v>
      </c>
      <c r="H137" s="572"/>
      <c r="I137" s="572"/>
      <c r="J137" s="577">
        <f t="shared" ref="J137:AP137" si="12">hundred * $H32 * J57 / $H45 * J$78 / hours_in_year</f>
        <v>0.11675475543267033</v>
      </c>
      <c r="K137" s="577">
        <f t="shared" si="12"/>
        <v>8.187992781714637E-2</v>
      </c>
      <c r="L137" s="577">
        <f t="shared" si="12"/>
        <v>0</v>
      </c>
      <c r="M137" s="577">
        <f t="shared" si="12"/>
        <v>9.2823154307116948E-2</v>
      </c>
      <c r="N137" s="577">
        <f t="shared" si="12"/>
        <v>9.8859045359089015E-2</v>
      </c>
      <c r="O137" s="577">
        <f t="shared" si="12"/>
        <v>0</v>
      </c>
      <c r="P137" s="577">
        <f t="shared" si="12"/>
        <v>7.1952936959142011E-2</v>
      </c>
      <c r="Q137" s="577">
        <f t="shared" si="12"/>
        <v>5.9995940968106197E-2</v>
      </c>
      <c r="R137" s="577">
        <f t="shared" si="12"/>
        <v>7.3007230215546046E-2</v>
      </c>
      <c r="S137" s="577">
        <f t="shared" si="12"/>
        <v>0.17685591519640204</v>
      </c>
      <c r="T137" s="577">
        <f t="shared" si="12"/>
        <v>8.8861396300252346E-2</v>
      </c>
      <c r="U137" s="577">
        <f t="shared" si="12"/>
        <v>7.3788418135361855E-2</v>
      </c>
      <c r="V137" s="577">
        <f t="shared" si="12"/>
        <v>6.4512648033487122E-2</v>
      </c>
      <c r="W137" s="577">
        <f t="shared" si="12"/>
        <v>5.6520499942023517E-2</v>
      </c>
      <c r="X137" s="577">
        <f t="shared" si="12"/>
        <v>5.3341505048512212E-2</v>
      </c>
      <c r="Y137" s="577">
        <f t="shared" si="12"/>
        <v>9.4388592088279336E-2</v>
      </c>
      <c r="Z137" s="577">
        <f t="shared" si="12"/>
        <v>0.17676202482125636</v>
      </c>
      <c r="AA137" s="577">
        <f t="shared" si="12"/>
        <v>2.7456422946427233E-2</v>
      </c>
      <c r="AB137" s="577">
        <f t="shared" si="12"/>
        <v>9.2107697499363969E-2</v>
      </c>
      <c r="AC137" s="577">
        <f t="shared" si="12"/>
        <v>-5.3335421381338385E-2</v>
      </c>
      <c r="AD137" s="577">
        <f t="shared" si="12"/>
        <v>-5.122943137270887E-2</v>
      </c>
      <c r="AE137" s="577">
        <f t="shared" si="12"/>
        <v>-5.3335421381338385E-2</v>
      </c>
      <c r="AF137" s="577">
        <f t="shared" si="12"/>
        <v>-5.3335421381338385E-2</v>
      </c>
      <c r="AG137" s="577">
        <f t="shared" si="12"/>
        <v>-5.3335421381338385E-2</v>
      </c>
      <c r="AH137" s="577">
        <f t="shared" si="12"/>
        <v>-5.3335421381338385E-2</v>
      </c>
      <c r="AI137" s="577">
        <f t="shared" si="12"/>
        <v>-5.122943137270887E-2</v>
      </c>
      <c r="AJ137" s="577">
        <f t="shared" si="12"/>
        <v>-5.122943137270887E-2</v>
      </c>
      <c r="AK137" s="577">
        <f t="shared" si="12"/>
        <v>-5.122943137270887E-2</v>
      </c>
      <c r="AL137" s="577">
        <f t="shared" si="12"/>
        <v>-5.122943137270887E-2</v>
      </c>
      <c r="AM137" s="577">
        <f t="shared" si="12"/>
        <v>-5.049478369527996E-2</v>
      </c>
      <c r="AN137" s="577">
        <f t="shared" si="12"/>
        <v>-5.049478369527996E-2</v>
      </c>
      <c r="AO137" s="577">
        <f t="shared" si="12"/>
        <v>-5.049478369527996E-2</v>
      </c>
      <c r="AP137" s="577">
        <f t="shared" si="12"/>
        <v>-5.049478369527996E-2</v>
      </c>
      <c r="AQ137" s="571"/>
      <c r="AR137" s="571"/>
    </row>
    <row r="138" spans="4:44" x14ac:dyDescent="0.25">
      <c r="D138" s="144"/>
      <c r="E138" s="172"/>
      <c r="F138" s="211" t="s">
        <v>45</v>
      </c>
      <c r="G138" s="139" t="s">
        <v>201</v>
      </c>
      <c r="H138" s="572"/>
      <c r="I138" s="572"/>
      <c r="J138" s="577">
        <f t="shared" ref="J138:AP138" si="13">hundred * $H33 * J58 / $H46 * J$78 / hours_in_year</f>
        <v>3.2493282974975286E-2</v>
      </c>
      <c r="K138" s="577">
        <f t="shared" si="13"/>
        <v>2.2787488652377515E-2</v>
      </c>
      <c r="L138" s="577">
        <f t="shared" si="13"/>
        <v>0</v>
      </c>
      <c r="M138" s="577">
        <f t="shared" si="13"/>
        <v>2.5833029313056765E-2</v>
      </c>
      <c r="N138" s="577">
        <f t="shared" si="13"/>
        <v>2.7512840257210996E-2</v>
      </c>
      <c r="O138" s="577">
        <f t="shared" si="13"/>
        <v>0</v>
      </c>
      <c r="P138" s="577">
        <f t="shared" si="13"/>
        <v>2.0024770150302105E-2</v>
      </c>
      <c r="Q138" s="577">
        <f t="shared" si="13"/>
        <v>1.6697093664427204E-2</v>
      </c>
      <c r="R138" s="577">
        <f t="shared" si="13"/>
        <v>2.0318183887429918E-2</v>
      </c>
      <c r="S138" s="577">
        <f t="shared" si="13"/>
        <v>4.9219659421828578E-2</v>
      </c>
      <c r="T138" s="577">
        <f t="shared" si="13"/>
        <v>2.4730457314868129E-2</v>
      </c>
      <c r="U138" s="577">
        <f t="shared" si="13"/>
        <v>2.0535591392941293E-2</v>
      </c>
      <c r="V138" s="577">
        <f t="shared" si="13"/>
        <v>1.7954110051011361E-2</v>
      </c>
      <c r="W138" s="577">
        <f t="shared" si="13"/>
        <v>1.5729865491965596E-2</v>
      </c>
      <c r="X138" s="577">
        <f t="shared" si="13"/>
        <v>1.4845139381512372E-2</v>
      </c>
      <c r="Y138" s="577">
        <f t="shared" si="13"/>
        <v>2.626869647380347E-2</v>
      </c>
      <c r="Z138" s="577">
        <f t="shared" si="13"/>
        <v>4.9193529380984154E-2</v>
      </c>
      <c r="AA138" s="577">
        <f t="shared" si="13"/>
        <v>7.64122469335603E-3</v>
      </c>
      <c r="AB138" s="577">
        <f t="shared" si="13"/>
        <v>2.5633915020670656E-2</v>
      </c>
      <c r="AC138" s="577">
        <f t="shared" si="13"/>
        <v>-1.4843446274295694E-2</v>
      </c>
      <c r="AD138" s="577">
        <f t="shared" si="13"/>
        <v>-1.4257341416816617E-2</v>
      </c>
      <c r="AE138" s="577">
        <f t="shared" si="13"/>
        <v>-1.4843446274295694E-2</v>
      </c>
      <c r="AF138" s="577">
        <f t="shared" si="13"/>
        <v>-1.4843446274295694E-2</v>
      </c>
      <c r="AG138" s="577">
        <f t="shared" si="13"/>
        <v>-1.4843446274295694E-2</v>
      </c>
      <c r="AH138" s="577">
        <f t="shared" si="13"/>
        <v>-1.4843446274295694E-2</v>
      </c>
      <c r="AI138" s="577">
        <f t="shared" si="13"/>
        <v>-1.4257341416816617E-2</v>
      </c>
      <c r="AJ138" s="577">
        <f t="shared" si="13"/>
        <v>-1.4257341416816617E-2</v>
      </c>
      <c r="AK138" s="577">
        <f t="shared" si="13"/>
        <v>-1.4257341416816617E-2</v>
      </c>
      <c r="AL138" s="577">
        <f t="shared" si="13"/>
        <v>-1.4257341416816617E-2</v>
      </c>
      <c r="AM138" s="577">
        <f t="shared" si="13"/>
        <v>-1.4052886233975078E-2</v>
      </c>
      <c r="AN138" s="577">
        <f t="shared" si="13"/>
        <v>-1.4052886233975078E-2</v>
      </c>
      <c r="AO138" s="577">
        <f t="shared" si="13"/>
        <v>-1.4052886233975078E-2</v>
      </c>
      <c r="AP138" s="577">
        <f t="shared" si="13"/>
        <v>-1.4052886233975078E-2</v>
      </c>
      <c r="AQ138" s="571"/>
      <c r="AR138" s="571"/>
    </row>
    <row r="139" spans="4:44" x14ac:dyDescent="0.25">
      <c r="D139" s="144"/>
      <c r="E139" s="172"/>
      <c r="F139" s="211" t="s">
        <v>46</v>
      </c>
      <c r="G139" s="139" t="s">
        <v>201</v>
      </c>
      <c r="H139" s="572"/>
      <c r="I139" s="572"/>
      <c r="J139" s="577">
        <f t="shared" ref="J139:AP139" si="14">hundred * $H34 * J59 / $H47 * J$78 / hours_in_year</f>
        <v>7.7953746736327822E-2</v>
      </c>
      <c r="K139" s="577">
        <f t="shared" si="14"/>
        <v>5.466884095806672E-2</v>
      </c>
      <c r="L139" s="577">
        <f t="shared" si="14"/>
        <v>0</v>
      </c>
      <c r="M139" s="577">
        <f t="shared" si="14"/>
        <v>6.1975314284280672E-2</v>
      </c>
      <c r="N139" s="577">
        <f t="shared" si="14"/>
        <v>6.6005302790100764E-2</v>
      </c>
      <c r="O139" s="577">
        <f t="shared" si="14"/>
        <v>0</v>
      </c>
      <c r="P139" s="577">
        <f t="shared" si="14"/>
        <v>4.8040878539482655E-2</v>
      </c>
      <c r="Q139" s="577">
        <f t="shared" si="14"/>
        <v>4.0057540869352301E-2</v>
      </c>
      <c r="R139" s="577">
        <f t="shared" si="14"/>
        <v>4.8744799413548735E-2</v>
      </c>
      <c r="S139" s="577">
        <f t="shared" si="14"/>
        <v>0.11808153912833286</v>
      </c>
      <c r="T139" s="577">
        <f t="shared" si="14"/>
        <v>5.9330163950546834E-2</v>
      </c>
      <c r="U139" s="577">
        <f t="shared" si="14"/>
        <v>4.926637581554736E-2</v>
      </c>
      <c r="V139" s="577">
        <f t="shared" si="14"/>
        <v>4.3073214512383745E-2</v>
      </c>
      <c r="W139" s="577">
        <f t="shared" si="14"/>
        <v>3.7737090207276024E-2</v>
      </c>
      <c r="X139" s="577">
        <f t="shared" si="14"/>
        <v>3.5614567986348017E-2</v>
      </c>
      <c r="Y139" s="577">
        <f t="shared" si="14"/>
        <v>6.3020511457380704E-2</v>
      </c>
      <c r="Z139" s="577">
        <f t="shared" si="14"/>
        <v>0.11801885126180472</v>
      </c>
      <c r="AA139" s="577">
        <f t="shared" si="14"/>
        <v>1.8331853231327827E-2</v>
      </c>
      <c r="AB139" s="577">
        <f t="shared" si="14"/>
        <v>6.1497624629707939E-2</v>
      </c>
      <c r="AC139" s="577">
        <f t="shared" si="14"/>
        <v>-3.5610506099118332E-2</v>
      </c>
      <c r="AD139" s="577">
        <f t="shared" si="14"/>
        <v>-3.4204397961136619E-2</v>
      </c>
      <c r="AE139" s="577">
        <f t="shared" si="14"/>
        <v>-3.5610506099118332E-2</v>
      </c>
      <c r="AF139" s="577">
        <f t="shared" si="14"/>
        <v>-3.5610506099118332E-2</v>
      </c>
      <c r="AG139" s="577">
        <f t="shared" si="14"/>
        <v>-3.5610506099118332E-2</v>
      </c>
      <c r="AH139" s="577">
        <f t="shared" si="14"/>
        <v>-3.5610506099118332E-2</v>
      </c>
      <c r="AI139" s="577">
        <f t="shared" si="14"/>
        <v>-3.4204397961136619E-2</v>
      </c>
      <c r="AJ139" s="577">
        <f t="shared" si="14"/>
        <v>-3.4204397961136619E-2</v>
      </c>
      <c r="AK139" s="577">
        <f t="shared" si="14"/>
        <v>-3.4204397961136619E-2</v>
      </c>
      <c r="AL139" s="577">
        <f t="shared" si="14"/>
        <v>-3.4204397961136619E-2</v>
      </c>
      <c r="AM139" s="577">
        <f t="shared" si="14"/>
        <v>-3.3713895122305784E-2</v>
      </c>
      <c r="AN139" s="577">
        <f t="shared" si="14"/>
        <v>-3.3713895122305784E-2</v>
      </c>
      <c r="AO139" s="577">
        <f t="shared" si="14"/>
        <v>-3.3713895122305784E-2</v>
      </c>
      <c r="AP139" s="577">
        <f t="shared" si="14"/>
        <v>-3.3713895122305784E-2</v>
      </c>
      <c r="AQ139" s="571"/>
      <c r="AR139" s="571"/>
    </row>
    <row r="140" spans="4:44" x14ac:dyDescent="0.25">
      <c r="D140" s="144"/>
      <c r="E140" s="172"/>
      <c r="F140" s="211" t="s">
        <v>47</v>
      </c>
      <c r="G140" s="139" t="s">
        <v>201</v>
      </c>
      <c r="H140" s="572"/>
      <c r="I140" s="572"/>
      <c r="J140" s="577">
        <f t="shared" ref="J140:AP140" si="15">hundred * $H35 * J60 / $H48 * J$78 / hours_in_year</f>
        <v>5.9376077873750384E-2</v>
      </c>
      <c r="K140" s="577">
        <f t="shared" si="15"/>
        <v>4.1640350770736474E-2</v>
      </c>
      <c r="L140" s="577">
        <f t="shared" si="15"/>
        <v>0</v>
      </c>
      <c r="M140" s="577">
        <f t="shared" si="15"/>
        <v>4.7205570498624005E-2</v>
      </c>
      <c r="N140" s="577">
        <f t="shared" si="15"/>
        <v>5.0275146001662427E-2</v>
      </c>
      <c r="O140" s="577">
        <f t="shared" si="15"/>
        <v>0</v>
      </c>
      <c r="P140" s="577">
        <f t="shared" si="15"/>
        <v>3.659194156416859E-2</v>
      </c>
      <c r="Q140" s="577">
        <f t="shared" si="15"/>
        <v>3.0511165475272748E-2</v>
      </c>
      <c r="R140" s="577">
        <f t="shared" si="15"/>
        <v>3.7128106436100636E-2</v>
      </c>
      <c r="S140" s="577">
        <f t="shared" si="15"/>
        <v>8.9940752770371238E-2</v>
      </c>
      <c r="T140" s="577">
        <f t="shared" si="15"/>
        <v>4.5190803296544603E-2</v>
      </c>
      <c r="U140" s="577">
        <f t="shared" si="15"/>
        <v>3.7525382543520218E-2</v>
      </c>
      <c r="V140" s="577">
        <f t="shared" si="15"/>
        <v>3.2808154145696801E-2</v>
      </c>
      <c r="W140" s="577">
        <f t="shared" si="15"/>
        <v>2.8743716635646555E-2</v>
      </c>
      <c r="X140" s="577">
        <f t="shared" si="15"/>
        <v>2.7127026611690894E-2</v>
      </c>
      <c r="Y140" s="577">
        <f t="shared" si="15"/>
        <v>4.8001679875551366E-2</v>
      </c>
      <c r="Z140" s="577">
        <f t="shared" si="15"/>
        <v>8.9893004460629269E-2</v>
      </c>
      <c r="AA140" s="577">
        <f t="shared" si="15"/>
        <v>1.3963069006999194E-2</v>
      </c>
      <c r="AB140" s="577">
        <f t="shared" si="15"/>
        <v>4.6841722199897164E-2</v>
      </c>
      <c r="AC140" s="577">
        <f t="shared" si="15"/>
        <v>-2.7123932739458172E-2</v>
      </c>
      <c r="AD140" s="577">
        <f t="shared" si="15"/>
        <v>-2.6052923457734849E-2</v>
      </c>
      <c r="AE140" s="577">
        <f t="shared" si="15"/>
        <v>-2.7123932739458172E-2</v>
      </c>
      <c r="AF140" s="577">
        <f t="shared" si="15"/>
        <v>-2.7123932739458172E-2</v>
      </c>
      <c r="AG140" s="577">
        <f t="shared" si="15"/>
        <v>-2.7123932739458172E-2</v>
      </c>
      <c r="AH140" s="577">
        <f t="shared" si="15"/>
        <v>-2.7123932739458172E-2</v>
      </c>
      <c r="AI140" s="577">
        <f t="shared" si="15"/>
        <v>-2.6052923457734849E-2</v>
      </c>
      <c r="AJ140" s="577">
        <f t="shared" si="15"/>
        <v>-2.6052923457734849E-2</v>
      </c>
      <c r="AK140" s="577">
        <f t="shared" si="15"/>
        <v>-2.6052923457734849E-2</v>
      </c>
      <c r="AL140" s="577">
        <f t="shared" si="15"/>
        <v>-2.6052923457734849E-2</v>
      </c>
      <c r="AM140" s="577">
        <f t="shared" si="15"/>
        <v>-2.5679315568761591E-2</v>
      </c>
      <c r="AN140" s="577">
        <f t="shared" si="15"/>
        <v>-2.5679315568761591E-2</v>
      </c>
      <c r="AO140" s="577">
        <f t="shared" si="15"/>
        <v>-2.5679315568761591E-2</v>
      </c>
      <c r="AP140" s="577">
        <f t="shared" si="15"/>
        <v>-2.5679315568761591E-2</v>
      </c>
      <c r="AQ140" s="571"/>
      <c r="AR140" s="571"/>
    </row>
    <row r="141" spans="4:44" x14ac:dyDescent="0.25">
      <c r="D141" s="144"/>
      <c r="E141" s="172"/>
      <c r="F141" s="211" t="s">
        <v>51</v>
      </c>
      <c r="G141" s="139" t="s">
        <v>201</v>
      </c>
      <c r="H141" s="572"/>
      <c r="I141" s="572"/>
      <c r="J141" s="577">
        <f t="shared" ref="J141:AP141" si="16">hundred * $H36 * J61 / $H49 * J$78 / hours_in_year</f>
        <v>0</v>
      </c>
      <c r="K141" s="577">
        <f t="shared" si="16"/>
        <v>0</v>
      </c>
      <c r="L141" s="577">
        <f t="shared" si="16"/>
        <v>0</v>
      </c>
      <c r="M141" s="577">
        <f t="shared" si="16"/>
        <v>0</v>
      </c>
      <c r="N141" s="577">
        <f t="shared" si="16"/>
        <v>0</v>
      </c>
      <c r="O141" s="577">
        <f t="shared" si="16"/>
        <v>0</v>
      </c>
      <c r="P141" s="577">
        <f t="shared" si="16"/>
        <v>0</v>
      </c>
      <c r="Q141" s="577">
        <f t="shared" si="16"/>
        <v>0</v>
      </c>
      <c r="R141" s="577">
        <f t="shared" si="16"/>
        <v>0</v>
      </c>
      <c r="S141" s="577">
        <f t="shared" si="16"/>
        <v>0</v>
      </c>
      <c r="T141" s="577">
        <f t="shared" si="16"/>
        <v>0</v>
      </c>
      <c r="U141" s="577">
        <f t="shared" si="16"/>
        <v>0</v>
      </c>
      <c r="V141" s="577">
        <f t="shared" si="16"/>
        <v>0</v>
      </c>
      <c r="W141" s="577">
        <f t="shared" si="16"/>
        <v>0</v>
      </c>
      <c r="X141" s="577">
        <f t="shared" si="16"/>
        <v>0</v>
      </c>
      <c r="Y141" s="577">
        <f t="shared" si="16"/>
        <v>0</v>
      </c>
      <c r="Z141" s="577">
        <f t="shared" si="16"/>
        <v>0</v>
      </c>
      <c r="AA141" s="577">
        <f t="shared" si="16"/>
        <v>0</v>
      </c>
      <c r="AB141" s="577">
        <f t="shared" si="16"/>
        <v>0</v>
      </c>
      <c r="AC141" s="577">
        <f t="shared" si="16"/>
        <v>0</v>
      </c>
      <c r="AD141" s="577">
        <f t="shared" si="16"/>
        <v>0</v>
      </c>
      <c r="AE141" s="577">
        <f t="shared" si="16"/>
        <v>0</v>
      </c>
      <c r="AF141" s="577">
        <f t="shared" si="16"/>
        <v>0</v>
      </c>
      <c r="AG141" s="577">
        <f t="shared" si="16"/>
        <v>0</v>
      </c>
      <c r="AH141" s="577">
        <f t="shared" si="16"/>
        <v>0</v>
      </c>
      <c r="AI141" s="577">
        <f t="shared" si="16"/>
        <v>0</v>
      </c>
      <c r="AJ141" s="577">
        <f t="shared" si="16"/>
        <v>0</v>
      </c>
      <c r="AK141" s="577">
        <f t="shared" si="16"/>
        <v>0</v>
      </c>
      <c r="AL141" s="577">
        <f t="shared" si="16"/>
        <v>0</v>
      </c>
      <c r="AM141" s="577">
        <f t="shared" si="16"/>
        <v>0</v>
      </c>
      <c r="AN141" s="577">
        <f t="shared" si="16"/>
        <v>0</v>
      </c>
      <c r="AO141" s="577">
        <f t="shared" si="16"/>
        <v>0</v>
      </c>
      <c r="AP141" s="577">
        <f t="shared" si="16"/>
        <v>0</v>
      </c>
      <c r="AQ141" s="571"/>
      <c r="AR141" s="571"/>
    </row>
    <row r="142" spans="4:44" x14ac:dyDescent="0.25">
      <c r="D142" s="144"/>
      <c r="E142" s="172"/>
      <c r="F142" s="211" t="s">
        <v>48</v>
      </c>
      <c r="G142" s="139" t="s">
        <v>201</v>
      </c>
      <c r="H142" s="572"/>
      <c r="I142" s="572"/>
      <c r="J142" s="577">
        <f t="shared" ref="J142:AP142" si="17">hundred * $H37 * J62 / $H50 * J$78 / hours_in_year</f>
        <v>0.19413373246244323</v>
      </c>
      <c r="K142" s="577">
        <f t="shared" si="17"/>
        <v>0.13614568367679636</v>
      </c>
      <c r="L142" s="577">
        <f t="shared" si="17"/>
        <v>0</v>
      </c>
      <c r="M142" s="577">
        <f t="shared" si="17"/>
        <v>0.15434151129689688</v>
      </c>
      <c r="N142" s="577">
        <f t="shared" si="17"/>
        <v>0.16437767688444535</v>
      </c>
      <c r="O142" s="577">
        <f t="shared" si="17"/>
        <v>0</v>
      </c>
      <c r="P142" s="577">
        <f t="shared" si="17"/>
        <v>0.11963959978973543</v>
      </c>
      <c r="Q142" s="577">
        <f t="shared" si="17"/>
        <v>9.9758128990742018E-2</v>
      </c>
      <c r="R142" s="577">
        <f t="shared" si="17"/>
        <v>0.1213926237605126</v>
      </c>
      <c r="S142" s="577">
        <f t="shared" si="17"/>
        <v>0.2940668137919083</v>
      </c>
      <c r="T142" s="577">
        <f t="shared" si="17"/>
        <v>0.14775410621745996</v>
      </c>
      <c r="U142" s="577">
        <f t="shared" si="17"/>
        <v>0.12269154238756476</v>
      </c>
      <c r="V142" s="577">
        <f t="shared" si="17"/>
        <v>0.10726827449010493</v>
      </c>
      <c r="W142" s="577">
        <f t="shared" si="17"/>
        <v>9.3979346483372375E-2</v>
      </c>
      <c r="X142" s="577">
        <f t="shared" si="17"/>
        <v>8.8693479180842763E-2</v>
      </c>
      <c r="Y142" s="577">
        <f t="shared" si="17"/>
        <v>0.15694443978806263</v>
      </c>
      <c r="Z142" s="577">
        <f t="shared" si="17"/>
        <v>0.29391069776132955</v>
      </c>
      <c r="AA142" s="577">
        <f t="shared" si="17"/>
        <v>4.5653111489160708E-2</v>
      </c>
      <c r="AB142" s="577">
        <f t="shared" si="17"/>
        <v>0.15315188694292489</v>
      </c>
      <c r="AC142" s="577">
        <f t="shared" si="17"/>
        <v>-8.868336357560562E-2</v>
      </c>
      <c r="AD142" s="577">
        <f t="shared" si="17"/>
        <v>-8.518163296610054E-2</v>
      </c>
      <c r="AE142" s="577">
        <f t="shared" si="17"/>
        <v>-8.868336357560562E-2</v>
      </c>
      <c r="AF142" s="577">
        <f t="shared" si="17"/>
        <v>-8.868336357560562E-2</v>
      </c>
      <c r="AG142" s="577">
        <f t="shared" si="17"/>
        <v>-8.868336357560562E-2</v>
      </c>
      <c r="AH142" s="577">
        <f t="shared" si="17"/>
        <v>-8.868336357560562E-2</v>
      </c>
      <c r="AI142" s="577">
        <f t="shared" si="17"/>
        <v>-8.518163296610054E-2</v>
      </c>
      <c r="AJ142" s="577">
        <f t="shared" si="17"/>
        <v>-8.518163296610054E-2</v>
      </c>
      <c r="AK142" s="577">
        <f t="shared" si="17"/>
        <v>-8.518163296610054E-2</v>
      </c>
      <c r="AL142" s="577">
        <f t="shared" si="17"/>
        <v>-8.518163296610054E-2</v>
      </c>
      <c r="AM142" s="577">
        <f t="shared" si="17"/>
        <v>0</v>
      </c>
      <c r="AN142" s="577">
        <f t="shared" si="17"/>
        <v>0</v>
      </c>
      <c r="AO142" s="577">
        <f t="shared" si="17"/>
        <v>0</v>
      </c>
      <c r="AP142" s="577">
        <f t="shared" si="17"/>
        <v>0</v>
      </c>
      <c r="AQ142" s="571"/>
      <c r="AR142" s="571"/>
    </row>
    <row r="143" spans="4:44" x14ac:dyDescent="0.25">
      <c r="D143" s="144"/>
      <c r="E143" s="172"/>
      <c r="F143" s="211" t="s">
        <v>49</v>
      </c>
      <c r="G143" s="139" t="s">
        <v>201</v>
      </c>
      <c r="H143" s="572"/>
      <c r="I143" s="572"/>
      <c r="J143" s="577">
        <f t="shared" ref="J143:AP143" si="18">hundred * $H38 * J63 / $H51 * J$78 / hours_in_year</f>
        <v>6.3656615216814788E-2</v>
      </c>
      <c r="K143" s="577">
        <f t="shared" si="18"/>
        <v>4.4642284930675957E-2</v>
      </c>
      <c r="L143" s="577">
        <f t="shared" si="18"/>
        <v>0</v>
      </c>
      <c r="M143" s="577">
        <f t="shared" si="18"/>
        <v>5.0608712210841247E-2</v>
      </c>
      <c r="N143" s="577">
        <f t="shared" si="18"/>
        <v>5.3899579403035185E-2</v>
      </c>
      <c r="O143" s="577">
        <f t="shared" si="18"/>
        <v>0</v>
      </c>
      <c r="P143" s="577">
        <f t="shared" si="18"/>
        <v>3.9229926051013594E-2</v>
      </c>
      <c r="Q143" s="577">
        <f t="shared" si="18"/>
        <v>3.2710774945521395E-2</v>
      </c>
      <c r="R143" s="577">
        <f t="shared" si="18"/>
        <v>0</v>
      </c>
      <c r="S143" s="577">
        <f t="shared" si="18"/>
        <v>9.6424757182307988E-2</v>
      </c>
      <c r="T143" s="577">
        <f t="shared" si="18"/>
        <v>4.8448696508778075E-2</v>
      </c>
      <c r="U143" s="577">
        <f t="shared" si="18"/>
        <v>4.0230660612439753E-2</v>
      </c>
      <c r="V143" s="577">
        <f t="shared" si="18"/>
        <v>3.5173358012416917E-2</v>
      </c>
      <c r="W143" s="577">
        <f t="shared" si="18"/>
        <v>0</v>
      </c>
      <c r="X143" s="577">
        <f t="shared" si="18"/>
        <v>2.9082666906163422E-2</v>
      </c>
      <c r="Y143" s="577">
        <f t="shared" si="18"/>
        <v>5.1462214666583073E-2</v>
      </c>
      <c r="Z143" s="577">
        <f t="shared" si="18"/>
        <v>9.6373566603722441E-2</v>
      </c>
      <c r="AA143" s="577">
        <f t="shared" si="18"/>
        <v>1.4969693904577162E-2</v>
      </c>
      <c r="AB143" s="577">
        <f t="shared" si="18"/>
        <v>5.0218633378106725E-2</v>
      </c>
      <c r="AC143" s="577">
        <f t="shared" si="18"/>
        <v>-2.9079349990642878E-2</v>
      </c>
      <c r="AD143" s="577">
        <f t="shared" si="18"/>
        <v>0</v>
      </c>
      <c r="AE143" s="577">
        <f t="shared" si="18"/>
        <v>-2.9079349990642878E-2</v>
      </c>
      <c r="AF143" s="577">
        <f t="shared" si="18"/>
        <v>-2.9079349990642878E-2</v>
      </c>
      <c r="AG143" s="577">
        <f t="shared" si="18"/>
        <v>-2.9079349990642878E-2</v>
      </c>
      <c r="AH143" s="577">
        <f t="shared" si="18"/>
        <v>-2.9079349990642878E-2</v>
      </c>
      <c r="AI143" s="577">
        <f t="shared" si="18"/>
        <v>0</v>
      </c>
      <c r="AJ143" s="577">
        <f t="shared" si="18"/>
        <v>0</v>
      </c>
      <c r="AK143" s="577">
        <f t="shared" si="18"/>
        <v>0</v>
      </c>
      <c r="AL143" s="577">
        <f t="shared" si="18"/>
        <v>0</v>
      </c>
      <c r="AM143" s="577">
        <f t="shared" si="18"/>
        <v>0</v>
      </c>
      <c r="AN143" s="577">
        <f t="shared" si="18"/>
        <v>0</v>
      </c>
      <c r="AO143" s="577">
        <f t="shared" si="18"/>
        <v>0</v>
      </c>
      <c r="AP143" s="577">
        <f t="shared" si="18"/>
        <v>0</v>
      </c>
      <c r="AQ143" s="571"/>
      <c r="AR143" s="571"/>
    </row>
    <row r="144" spans="4:44" x14ac:dyDescent="0.25">
      <c r="D144" s="144"/>
      <c r="E144" s="172"/>
      <c r="F144" s="212" t="s">
        <v>50</v>
      </c>
      <c r="G144" s="140" t="s">
        <v>201</v>
      </c>
      <c r="H144" s="574"/>
      <c r="I144" s="574"/>
      <c r="J144" s="578">
        <f t="shared" ref="J144:AP144" si="19">hundred * $H39 * J64 / $H52 * J$78 / hours_in_year</f>
        <v>0.11449786522070403</v>
      </c>
      <c r="K144" s="578">
        <f t="shared" si="19"/>
        <v>8.0297174232830129E-2</v>
      </c>
      <c r="L144" s="578">
        <f t="shared" si="19"/>
        <v>0</v>
      </c>
      <c r="M144" s="578">
        <f t="shared" si="19"/>
        <v>9.1028866206189191E-2</v>
      </c>
      <c r="N144" s="578">
        <f t="shared" si="19"/>
        <v>9.6948082409370667E-2</v>
      </c>
      <c r="O144" s="578">
        <f t="shared" si="19"/>
        <v>0</v>
      </c>
      <c r="P144" s="578">
        <f t="shared" si="19"/>
        <v>7.0562073875719583E-2</v>
      </c>
      <c r="Q144" s="578">
        <f t="shared" si="19"/>
        <v>0</v>
      </c>
      <c r="R144" s="578">
        <f t="shared" si="19"/>
        <v>0</v>
      </c>
      <c r="S144" s="578">
        <f t="shared" si="19"/>
        <v>0.17343725886453831</v>
      </c>
      <c r="T144" s="578">
        <f t="shared" si="19"/>
        <v>8.7143689687031359E-2</v>
      </c>
      <c r="U144" s="578">
        <f t="shared" si="19"/>
        <v>7.2362074873975724E-2</v>
      </c>
      <c r="V144" s="578">
        <f t="shared" si="19"/>
        <v>0</v>
      </c>
      <c r="W144" s="578">
        <f t="shared" si="19"/>
        <v>0</v>
      </c>
      <c r="X144" s="578">
        <f t="shared" si="19"/>
        <v>5.2310404257889929E-2</v>
      </c>
      <c r="Y144" s="578">
        <f t="shared" si="19"/>
        <v>9.2564043796298512E-2</v>
      </c>
      <c r="Z144" s="578">
        <f t="shared" si="19"/>
        <v>0.17334518340706234</v>
      </c>
      <c r="AA144" s="578">
        <f t="shared" si="19"/>
        <v>2.6925685401958364E-2</v>
      </c>
      <c r="AB144" s="578">
        <f t="shared" si="19"/>
        <v>9.0327239305924956E-2</v>
      </c>
      <c r="AC144" s="578">
        <f t="shared" si="19"/>
        <v>0</v>
      </c>
      <c r="AD144" s="578">
        <f t="shared" si="19"/>
        <v>0</v>
      </c>
      <c r="AE144" s="578">
        <f t="shared" si="19"/>
        <v>0</v>
      </c>
      <c r="AF144" s="578">
        <f t="shared" si="19"/>
        <v>0</v>
      </c>
      <c r="AG144" s="578">
        <f t="shared" si="19"/>
        <v>0</v>
      </c>
      <c r="AH144" s="578">
        <f t="shared" si="19"/>
        <v>0</v>
      </c>
      <c r="AI144" s="578">
        <f t="shared" si="19"/>
        <v>0</v>
      </c>
      <c r="AJ144" s="578">
        <f t="shared" si="19"/>
        <v>0</v>
      </c>
      <c r="AK144" s="578">
        <f t="shared" si="19"/>
        <v>0</v>
      </c>
      <c r="AL144" s="578">
        <f t="shared" si="19"/>
        <v>0</v>
      </c>
      <c r="AM144" s="578">
        <f t="shared" si="19"/>
        <v>0</v>
      </c>
      <c r="AN144" s="578">
        <f t="shared" si="19"/>
        <v>0</v>
      </c>
      <c r="AO144" s="578">
        <f t="shared" si="19"/>
        <v>0</v>
      </c>
      <c r="AP144" s="578">
        <f t="shared" si="19"/>
        <v>0</v>
      </c>
      <c r="AQ144" s="571"/>
      <c r="AR144" s="571"/>
    </row>
    <row r="145" spans="3:44" x14ac:dyDescent="0.25">
      <c r="C145" s="144"/>
      <c r="D145" s="144"/>
      <c r="E145" s="172"/>
      <c r="J145" s="401"/>
      <c r="K145" s="401"/>
      <c r="L145" s="401"/>
      <c r="M145" s="401"/>
      <c r="N145" s="401"/>
      <c r="O145" s="401"/>
      <c r="P145" s="401"/>
      <c r="Q145" s="401"/>
      <c r="R145" s="401"/>
      <c r="S145" s="401"/>
      <c r="T145" s="401"/>
      <c r="U145" s="401"/>
      <c r="V145" s="401"/>
      <c r="W145" s="401"/>
      <c r="X145" s="401"/>
      <c r="Y145" s="401"/>
      <c r="Z145" s="401"/>
      <c r="AA145" s="401"/>
      <c r="AB145" s="401"/>
      <c r="AC145" s="401"/>
      <c r="AD145" s="401"/>
      <c r="AE145" s="401"/>
      <c r="AF145" s="401"/>
      <c r="AG145" s="401"/>
      <c r="AH145" s="401"/>
      <c r="AI145" s="401"/>
      <c r="AJ145" s="401"/>
      <c r="AK145" s="401"/>
      <c r="AL145" s="401"/>
      <c r="AM145" s="401"/>
      <c r="AN145" s="401"/>
      <c r="AO145" s="401"/>
      <c r="AP145" s="401"/>
    </row>
    <row r="146" spans="3:44" s="338" customFormat="1" x14ac:dyDescent="0.25">
      <c r="C146" s="22" t="str">
        <f ca="1">INDEX('Version control'!$H$34:$H$59,MATCH($A$1,'Version control'!$F$34:$F$59,0),1)&amp;"-C: Unit rate 1"</f>
        <v>Section 512-C: Unit rate 1</v>
      </c>
      <c r="D146" s="22"/>
      <c r="E146" s="22"/>
      <c r="F146" s="22"/>
      <c r="G146" s="22"/>
      <c r="H146" s="22"/>
      <c r="I146" s="22"/>
      <c r="J146" s="405"/>
      <c r="K146" s="405"/>
      <c r="L146" s="405"/>
      <c r="M146" s="405"/>
      <c r="N146" s="405"/>
      <c r="O146" s="405"/>
      <c r="P146" s="405"/>
      <c r="Q146" s="405"/>
      <c r="R146" s="405"/>
      <c r="S146" s="405"/>
      <c r="T146" s="405"/>
      <c r="U146" s="405"/>
      <c r="V146" s="405"/>
      <c r="W146" s="405"/>
      <c r="X146" s="405"/>
      <c r="Y146" s="405"/>
      <c r="Z146" s="405"/>
      <c r="AA146" s="405"/>
      <c r="AB146" s="405"/>
      <c r="AC146" s="405"/>
      <c r="AD146" s="405"/>
      <c r="AE146" s="405"/>
      <c r="AF146" s="405"/>
      <c r="AG146" s="405"/>
      <c r="AH146" s="405"/>
      <c r="AI146" s="405"/>
      <c r="AJ146" s="405"/>
      <c r="AK146" s="405"/>
      <c r="AL146" s="405"/>
      <c r="AM146" s="405"/>
      <c r="AN146" s="405"/>
      <c r="AO146" s="405"/>
      <c r="AP146" s="405"/>
      <c r="AQ146" s="22"/>
      <c r="AR146" s="22"/>
    </row>
    <row r="147" spans="3:44" x14ac:dyDescent="0.25">
      <c r="C147" s="144"/>
      <c r="D147" s="144"/>
      <c r="E147" s="172"/>
      <c r="J147" s="401"/>
      <c r="K147" s="401"/>
      <c r="L147" s="401"/>
      <c r="M147" s="401"/>
      <c r="N147" s="401"/>
      <c r="O147" s="401"/>
      <c r="P147" s="401"/>
      <c r="Q147" s="401"/>
      <c r="R147" s="401"/>
      <c r="S147" s="401"/>
      <c r="T147" s="401"/>
      <c r="U147" s="401"/>
      <c r="V147" s="401"/>
      <c r="W147" s="401"/>
      <c r="X147" s="401"/>
      <c r="Y147" s="401"/>
      <c r="Z147" s="401"/>
      <c r="AA147" s="401"/>
      <c r="AB147" s="401"/>
      <c r="AC147" s="401"/>
      <c r="AD147" s="401"/>
      <c r="AE147" s="401"/>
      <c r="AF147" s="401"/>
      <c r="AG147" s="401"/>
      <c r="AH147" s="401"/>
      <c r="AI147" s="401"/>
      <c r="AJ147" s="401"/>
      <c r="AK147" s="401"/>
      <c r="AL147" s="401"/>
      <c r="AM147" s="401"/>
      <c r="AN147" s="401"/>
      <c r="AO147" s="401"/>
      <c r="AP147" s="401"/>
    </row>
    <row r="148" spans="3:44" s="338" customFormat="1" x14ac:dyDescent="0.25">
      <c r="D148" s="152" t="s">
        <v>1092</v>
      </c>
      <c r="E148" s="172"/>
      <c r="F148" s="172"/>
      <c r="J148" s="401"/>
      <c r="K148" s="401"/>
      <c r="L148" s="401"/>
      <c r="M148" s="401"/>
      <c r="N148" s="401"/>
      <c r="O148" s="401"/>
      <c r="P148" s="401"/>
      <c r="Q148" s="401"/>
      <c r="R148" s="401"/>
      <c r="S148" s="401"/>
      <c r="T148" s="401"/>
      <c r="U148" s="401"/>
      <c r="V148" s="401"/>
      <c r="W148" s="401"/>
      <c r="X148" s="401"/>
      <c r="Y148" s="401"/>
      <c r="Z148" s="401"/>
      <c r="AA148" s="401"/>
      <c r="AB148" s="401"/>
      <c r="AC148" s="401"/>
      <c r="AD148" s="401"/>
      <c r="AE148" s="401"/>
      <c r="AF148" s="401"/>
      <c r="AG148" s="401"/>
      <c r="AH148" s="401"/>
      <c r="AI148" s="401"/>
      <c r="AJ148" s="401"/>
      <c r="AK148" s="401"/>
      <c r="AL148" s="401"/>
      <c r="AM148" s="401"/>
      <c r="AN148" s="401"/>
      <c r="AO148" s="401"/>
      <c r="AP148" s="401"/>
    </row>
    <row r="149" spans="3:44" s="338" customFormat="1" x14ac:dyDescent="0.25">
      <c r="D149" s="152" t="s">
        <v>548</v>
      </c>
      <c r="E149" s="172"/>
      <c r="F149" s="172"/>
      <c r="J149" s="401"/>
      <c r="K149" s="401"/>
      <c r="L149" s="401"/>
      <c r="M149" s="401"/>
      <c r="N149" s="401"/>
      <c r="O149" s="401"/>
      <c r="P149" s="401"/>
      <c r="Q149" s="401"/>
      <c r="R149" s="401"/>
      <c r="S149" s="401"/>
      <c r="T149" s="401"/>
      <c r="U149" s="401"/>
      <c r="V149" s="401"/>
      <c r="W149" s="401"/>
      <c r="X149" s="401"/>
      <c r="Y149" s="401"/>
      <c r="Z149" s="401"/>
      <c r="AA149" s="401"/>
      <c r="AB149" s="401"/>
      <c r="AC149" s="401"/>
      <c r="AD149" s="401"/>
      <c r="AE149" s="401"/>
      <c r="AF149" s="401"/>
      <c r="AG149" s="401"/>
      <c r="AH149" s="401"/>
      <c r="AI149" s="401"/>
      <c r="AJ149" s="401"/>
      <c r="AK149" s="401"/>
      <c r="AL149" s="401"/>
      <c r="AM149" s="401"/>
      <c r="AN149" s="401"/>
      <c r="AO149" s="401"/>
      <c r="AP149" s="401"/>
    </row>
    <row r="150" spans="3:44" s="338" customFormat="1" x14ac:dyDescent="0.25">
      <c r="D150" s="172"/>
      <c r="E150" s="172"/>
      <c r="F150" s="172"/>
      <c r="I150" s="163" t="s">
        <v>525</v>
      </c>
      <c r="J150" s="401"/>
      <c r="K150" s="401"/>
      <c r="L150" s="401"/>
      <c r="M150" s="401"/>
      <c r="N150" s="401"/>
      <c r="O150" s="401"/>
      <c r="P150" s="401"/>
      <c r="Q150" s="401"/>
      <c r="R150" s="401"/>
      <c r="S150" s="401"/>
      <c r="T150" s="401"/>
      <c r="U150" s="401"/>
      <c r="V150" s="401"/>
      <c r="W150" s="401"/>
      <c r="X150" s="401"/>
      <c r="Y150" s="401"/>
      <c r="Z150" s="401"/>
      <c r="AA150" s="401"/>
      <c r="AB150" s="401"/>
      <c r="AC150" s="401"/>
      <c r="AD150" s="401"/>
      <c r="AE150" s="401"/>
      <c r="AF150" s="401"/>
      <c r="AG150" s="401"/>
      <c r="AH150" s="401"/>
      <c r="AI150" s="401"/>
      <c r="AJ150" s="401"/>
      <c r="AK150" s="401"/>
      <c r="AL150" s="401"/>
      <c r="AM150" s="401"/>
      <c r="AN150" s="401"/>
      <c r="AO150" s="401"/>
      <c r="AP150" s="401"/>
      <c r="AR150" s="338" t="s">
        <v>979</v>
      </c>
    </row>
    <row r="151" spans="3:44" x14ac:dyDescent="0.25">
      <c r="E151" s="172" t="s">
        <v>156</v>
      </c>
      <c r="J151" s="401"/>
      <c r="K151" s="401"/>
      <c r="L151" s="401"/>
      <c r="M151" s="401"/>
      <c r="N151" s="401"/>
      <c r="O151" s="401"/>
      <c r="P151" s="401"/>
      <c r="Q151" s="401"/>
      <c r="R151" s="401"/>
      <c r="S151" s="401"/>
      <c r="T151" s="401"/>
      <c r="U151" s="401"/>
      <c r="V151" s="401"/>
      <c r="W151" s="401"/>
      <c r="X151" s="401"/>
      <c r="Y151" s="401"/>
      <c r="Z151" s="401"/>
      <c r="AA151" s="401"/>
      <c r="AB151" s="401"/>
      <c r="AC151" s="401"/>
      <c r="AD151" s="401"/>
      <c r="AE151" s="401"/>
      <c r="AF151" s="401"/>
      <c r="AG151" s="401"/>
      <c r="AH151" s="401"/>
      <c r="AI151" s="401"/>
      <c r="AJ151" s="401"/>
      <c r="AK151" s="401"/>
      <c r="AL151" s="401"/>
      <c r="AM151" s="401"/>
      <c r="AN151" s="401"/>
      <c r="AO151" s="401"/>
      <c r="AP151" s="401"/>
    </row>
    <row r="152" spans="3:44" x14ac:dyDescent="0.25">
      <c r="E152" s="172"/>
      <c r="F152" s="481" t="s">
        <v>397</v>
      </c>
      <c r="G152" s="137" t="s">
        <v>201</v>
      </c>
      <c r="H152" s="569"/>
      <c r="I152" s="569"/>
      <c r="J152" s="576">
        <f t="shared" ref="J152:AP152" si="20">hundred * $H18 * J55 / $H43 * J81 * (1 - J67) / hours_in_year</f>
        <v>0</v>
      </c>
      <c r="K152" s="576">
        <f t="shared" si="20"/>
        <v>0</v>
      </c>
      <c r="L152" s="576">
        <f t="shared" si="20"/>
        <v>0</v>
      </c>
      <c r="M152" s="576">
        <f t="shared" si="20"/>
        <v>0</v>
      </c>
      <c r="N152" s="576">
        <f t="shared" si="20"/>
        <v>0</v>
      </c>
      <c r="O152" s="576">
        <f t="shared" si="20"/>
        <v>0</v>
      </c>
      <c r="P152" s="576">
        <f t="shared" si="20"/>
        <v>0</v>
      </c>
      <c r="Q152" s="576">
        <f t="shared" si="20"/>
        <v>0</v>
      </c>
      <c r="R152" s="576">
        <f t="shared" si="20"/>
        <v>0</v>
      </c>
      <c r="S152" s="576">
        <f t="shared" si="20"/>
        <v>0</v>
      </c>
      <c r="T152" s="576">
        <f t="shared" si="20"/>
        <v>0</v>
      </c>
      <c r="U152" s="576">
        <f t="shared" si="20"/>
        <v>0</v>
      </c>
      <c r="V152" s="576">
        <f t="shared" si="20"/>
        <v>0</v>
      </c>
      <c r="W152" s="576">
        <f t="shared" si="20"/>
        <v>0</v>
      </c>
      <c r="X152" s="576">
        <f t="shared" si="20"/>
        <v>0</v>
      </c>
      <c r="Y152" s="576">
        <f t="shared" si="20"/>
        <v>0</v>
      </c>
      <c r="Z152" s="576">
        <f t="shared" si="20"/>
        <v>0</v>
      </c>
      <c r="AA152" s="576">
        <f t="shared" si="20"/>
        <v>0</v>
      </c>
      <c r="AB152" s="576">
        <f t="shared" si="20"/>
        <v>0</v>
      </c>
      <c r="AC152" s="576">
        <f t="shared" si="20"/>
        <v>0</v>
      </c>
      <c r="AD152" s="576">
        <f t="shared" si="20"/>
        <v>0</v>
      </c>
      <c r="AE152" s="576">
        <f t="shared" si="20"/>
        <v>0</v>
      </c>
      <c r="AF152" s="576">
        <f t="shared" si="20"/>
        <v>0</v>
      </c>
      <c r="AG152" s="576">
        <f t="shared" si="20"/>
        <v>0</v>
      </c>
      <c r="AH152" s="576">
        <f t="shared" si="20"/>
        <v>0</v>
      </c>
      <c r="AI152" s="576">
        <f t="shared" si="20"/>
        <v>0</v>
      </c>
      <c r="AJ152" s="576">
        <f t="shared" si="20"/>
        <v>0</v>
      </c>
      <c r="AK152" s="576">
        <f t="shared" si="20"/>
        <v>0</v>
      </c>
      <c r="AL152" s="576">
        <f t="shared" si="20"/>
        <v>0</v>
      </c>
      <c r="AM152" s="576">
        <f t="shared" si="20"/>
        <v>0</v>
      </c>
      <c r="AN152" s="576">
        <f t="shared" si="20"/>
        <v>0</v>
      </c>
      <c r="AO152" s="576">
        <f t="shared" si="20"/>
        <v>0</v>
      </c>
      <c r="AP152" s="576">
        <f t="shared" si="20"/>
        <v>0</v>
      </c>
      <c r="AQ152" s="571"/>
      <c r="AR152" s="571"/>
    </row>
    <row r="153" spans="3:44" x14ac:dyDescent="0.25">
      <c r="E153" s="172"/>
      <c r="F153" s="211" t="s">
        <v>43</v>
      </c>
      <c r="G153" s="139" t="s">
        <v>201</v>
      </c>
      <c r="H153" s="572"/>
      <c r="I153" s="572"/>
      <c r="J153" s="577">
        <f t="shared" ref="J153:AP153" si="21">hundred * $H19 * J56 / $H44 * J82 * (1 - J68) / hours_in_year</f>
        <v>0</v>
      </c>
      <c r="K153" s="577">
        <f t="shared" si="21"/>
        <v>0</v>
      </c>
      <c r="L153" s="577">
        <f t="shared" si="21"/>
        <v>0</v>
      </c>
      <c r="M153" s="577">
        <f t="shared" si="21"/>
        <v>0</v>
      </c>
      <c r="N153" s="577">
        <f t="shared" si="21"/>
        <v>0</v>
      </c>
      <c r="O153" s="577">
        <f t="shared" si="21"/>
        <v>0</v>
      </c>
      <c r="P153" s="577">
        <f t="shared" si="21"/>
        <v>0</v>
      </c>
      <c r="Q153" s="577">
        <f t="shared" si="21"/>
        <v>0</v>
      </c>
      <c r="R153" s="577">
        <f t="shared" si="21"/>
        <v>0</v>
      </c>
      <c r="S153" s="577">
        <f t="shared" si="21"/>
        <v>0</v>
      </c>
      <c r="T153" s="577">
        <f t="shared" si="21"/>
        <v>0</v>
      </c>
      <c r="U153" s="577">
        <f t="shared" si="21"/>
        <v>0</v>
      </c>
      <c r="V153" s="577">
        <f t="shared" si="21"/>
        <v>0</v>
      </c>
      <c r="W153" s="577">
        <f t="shared" si="21"/>
        <v>0</v>
      </c>
      <c r="X153" s="577">
        <f t="shared" si="21"/>
        <v>0</v>
      </c>
      <c r="Y153" s="577">
        <f t="shared" si="21"/>
        <v>0</v>
      </c>
      <c r="Z153" s="577">
        <f t="shared" si="21"/>
        <v>0</v>
      </c>
      <c r="AA153" s="577">
        <f t="shared" si="21"/>
        <v>0</v>
      </c>
      <c r="AB153" s="577">
        <f t="shared" si="21"/>
        <v>0</v>
      </c>
      <c r="AC153" s="577">
        <f t="shared" si="21"/>
        <v>0</v>
      </c>
      <c r="AD153" s="577">
        <f t="shared" si="21"/>
        <v>0</v>
      </c>
      <c r="AE153" s="577">
        <f t="shared" si="21"/>
        <v>0</v>
      </c>
      <c r="AF153" s="577">
        <f t="shared" si="21"/>
        <v>0</v>
      </c>
      <c r="AG153" s="577">
        <f t="shared" si="21"/>
        <v>0</v>
      </c>
      <c r="AH153" s="577">
        <f t="shared" si="21"/>
        <v>0</v>
      </c>
      <c r="AI153" s="577">
        <f t="shared" si="21"/>
        <v>0</v>
      </c>
      <c r="AJ153" s="577">
        <f t="shared" si="21"/>
        <v>0</v>
      </c>
      <c r="AK153" s="577">
        <f t="shared" si="21"/>
        <v>0</v>
      </c>
      <c r="AL153" s="577">
        <f t="shared" si="21"/>
        <v>0</v>
      </c>
      <c r="AM153" s="577">
        <f t="shared" si="21"/>
        <v>0</v>
      </c>
      <c r="AN153" s="577">
        <f t="shared" si="21"/>
        <v>0</v>
      </c>
      <c r="AO153" s="577">
        <f t="shared" si="21"/>
        <v>0</v>
      </c>
      <c r="AP153" s="577">
        <f t="shared" si="21"/>
        <v>0</v>
      </c>
      <c r="AQ153" s="571"/>
      <c r="AR153" s="571"/>
    </row>
    <row r="154" spans="3:44" x14ac:dyDescent="0.25">
      <c r="E154" s="172"/>
      <c r="F154" s="211" t="s">
        <v>44</v>
      </c>
      <c r="G154" s="139" t="s">
        <v>201</v>
      </c>
      <c r="H154" s="572"/>
      <c r="I154" s="572"/>
      <c r="J154" s="577">
        <f t="shared" ref="J154:AP154" si="22">hundred * $H20 * J57 / $H45 * J83 * (1 - J69) / hours_in_year</f>
        <v>0.27801044041923445</v>
      </c>
      <c r="K154" s="577">
        <f t="shared" si="22"/>
        <v>0.36138231639141377</v>
      </c>
      <c r="L154" s="577">
        <f t="shared" si="22"/>
        <v>1.7758886324595539E-2</v>
      </c>
      <c r="M154" s="577">
        <f t="shared" si="22"/>
        <v>0.23410952363691998</v>
      </c>
      <c r="N154" s="577">
        <f t="shared" si="22"/>
        <v>0.38529581449629025</v>
      </c>
      <c r="O154" s="577">
        <f t="shared" si="22"/>
        <v>4.6000732839739288E-2</v>
      </c>
      <c r="P154" s="577">
        <f t="shared" si="22"/>
        <v>0.19108834733277658</v>
      </c>
      <c r="Q154" s="577">
        <f t="shared" si="22"/>
        <v>0.17151662241051926</v>
      </c>
      <c r="R154" s="577">
        <f t="shared" si="22"/>
        <v>0.18602509447662371</v>
      </c>
      <c r="S154" s="577">
        <f t="shared" si="22"/>
        <v>1.8156234430723099</v>
      </c>
      <c r="T154" s="577">
        <f t="shared" si="22"/>
        <v>1.9161073283401708</v>
      </c>
      <c r="U154" s="577">
        <f t="shared" si="22"/>
        <v>1.4320018844519327</v>
      </c>
      <c r="V154" s="577">
        <f t="shared" si="22"/>
        <v>1.3300377601296169</v>
      </c>
      <c r="W154" s="577">
        <f t="shared" si="22"/>
        <v>1.192555565625528</v>
      </c>
      <c r="X154" s="577">
        <f t="shared" si="22"/>
        <v>0.12375507680655098</v>
      </c>
      <c r="Y154" s="577">
        <f t="shared" si="22"/>
        <v>0.15816910523910382</v>
      </c>
      <c r="Z154" s="577">
        <f t="shared" si="22"/>
        <v>0.30056105748276246</v>
      </c>
      <c r="AA154" s="577">
        <f t="shared" si="22"/>
        <v>0.1042373290505052</v>
      </c>
      <c r="AB154" s="577">
        <f t="shared" si="22"/>
        <v>2.4857848748036013</v>
      </c>
      <c r="AC154" s="577">
        <f t="shared" si="22"/>
        <v>-0.13198113630699326</v>
      </c>
      <c r="AD154" s="577">
        <f t="shared" si="22"/>
        <v>-0.12676975994225434</v>
      </c>
      <c r="AE154" s="577">
        <f t="shared" si="22"/>
        <v>-0.13198113630699326</v>
      </c>
      <c r="AF154" s="577">
        <f t="shared" si="22"/>
        <v>-0.13198113630699326</v>
      </c>
      <c r="AG154" s="577">
        <f t="shared" si="22"/>
        <v>-1.2012594088782145</v>
      </c>
      <c r="AH154" s="577">
        <f t="shared" si="22"/>
        <v>-1.2012594088782145</v>
      </c>
      <c r="AI154" s="577">
        <f t="shared" si="22"/>
        <v>-0.12676975994225434</v>
      </c>
      <c r="AJ154" s="577">
        <f t="shared" si="22"/>
        <v>-0.12676975994225434</v>
      </c>
      <c r="AK154" s="577">
        <f t="shared" si="22"/>
        <v>-1.1538267600428032</v>
      </c>
      <c r="AL154" s="577">
        <f t="shared" si="22"/>
        <v>-1.1538267600428032</v>
      </c>
      <c r="AM154" s="577">
        <f t="shared" si="22"/>
        <v>-0.12495183795455467</v>
      </c>
      <c r="AN154" s="577">
        <f t="shared" si="22"/>
        <v>-0.12495183795455467</v>
      </c>
      <c r="AO154" s="577">
        <f t="shared" si="22"/>
        <v>-1.1372804871932407</v>
      </c>
      <c r="AP154" s="577">
        <f t="shared" si="22"/>
        <v>-1.1372804871932407</v>
      </c>
      <c r="AQ154" s="571"/>
      <c r="AR154" s="571"/>
    </row>
    <row r="155" spans="3:44" x14ac:dyDescent="0.25">
      <c r="E155" s="172"/>
      <c r="F155" s="211" t="s">
        <v>45</v>
      </c>
      <c r="G155" s="139" t="s">
        <v>201</v>
      </c>
      <c r="H155" s="572"/>
      <c r="I155" s="572"/>
      <c r="J155" s="577">
        <f t="shared" ref="J155:AP155" si="23">hundred * $H21 * J58 / $H46 * J84 * (1 - J70) / hours_in_year</f>
        <v>7.737134026844053E-2</v>
      </c>
      <c r="K155" s="577">
        <f t="shared" si="23"/>
        <v>0.1005740436450991</v>
      </c>
      <c r="L155" s="577">
        <f t="shared" si="23"/>
        <v>4.942364159190667E-3</v>
      </c>
      <c r="M155" s="577">
        <f t="shared" si="23"/>
        <v>6.5153551737409734E-2</v>
      </c>
      <c r="N155" s="577">
        <f t="shared" si="23"/>
        <v>0.10722925916898739</v>
      </c>
      <c r="O155" s="577">
        <f t="shared" si="23"/>
        <v>1.2802175154911385E-2</v>
      </c>
      <c r="P155" s="577">
        <f t="shared" si="23"/>
        <v>5.3180598255673658E-2</v>
      </c>
      <c r="Q155" s="577">
        <f t="shared" si="23"/>
        <v>4.7733714367727692E-2</v>
      </c>
      <c r="R155" s="577">
        <f t="shared" si="23"/>
        <v>5.1771476141382548E-2</v>
      </c>
      <c r="S155" s="577">
        <f t="shared" si="23"/>
        <v>0.50529476159768771</v>
      </c>
      <c r="T155" s="577">
        <f t="shared" si="23"/>
        <v>0.53325980084884217</v>
      </c>
      <c r="U155" s="577">
        <f t="shared" si="23"/>
        <v>0.39853145407021562</v>
      </c>
      <c r="V155" s="577">
        <f t="shared" si="23"/>
        <v>0.37015445878104997</v>
      </c>
      <c r="W155" s="577">
        <f t="shared" si="23"/>
        <v>0.33189265236907811</v>
      </c>
      <c r="X155" s="577">
        <f t="shared" si="23"/>
        <v>3.4441498467135206E-2</v>
      </c>
      <c r="Y155" s="577">
        <f t="shared" si="23"/>
        <v>4.4019050662108879E-2</v>
      </c>
      <c r="Z155" s="577">
        <f t="shared" si="23"/>
        <v>8.3647260926148367E-2</v>
      </c>
      <c r="AA155" s="577">
        <f t="shared" si="23"/>
        <v>2.9009636625438241E-2</v>
      </c>
      <c r="AB155" s="577">
        <f t="shared" si="23"/>
        <v>0.69180318225655324</v>
      </c>
      <c r="AC155" s="577">
        <f t="shared" si="23"/>
        <v>-3.6730841441871644E-2</v>
      </c>
      <c r="AD155" s="577">
        <f t="shared" si="23"/>
        <v>-3.5280496003854682E-2</v>
      </c>
      <c r="AE155" s="577">
        <f t="shared" si="23"/>
        <v>-3.6730841441871644E-2</v>
      </c>
      <c r="AF155" s="577">
        <f t="shared" si="23"/>
        <v>-3.6730841441871644E-2</v>
      </c>
      <c r="AG155" s="577">
        <f t="shared" si="23"/>
        <v>-0.33431496434028057</v>
      </c>
      <c r="AH155" s="577">
        <f t="shared" si="23"/>
        <v>-0.33431496434028057</v>
      </c>
      <c r="AI155" s="577">
        <f t="shared" si="23"/>
        <v>-3.5280496003854682E-2</v>
      </c>
      <c r="AJ155" s="577">
        <f t="shared" si="23"/>
        <v>-3.5280496003854682E-2</v>
      </c>
      <c r="AK155" s="577">
        <f t="shared" si="23"/>
        <v>-0.32111428163446609</v>
      </c>
      <c r="AL155" s="577">
        <f t="shared" si="23"/>
        <v>-0.32111428163446609</v>
      </c>
      <c r="AM155" s="577">
        <f t="shared" si="23"/>
        <v>-3.4774561548732472E-2</v>
      </c>
      <c r="AN155" s="577">
        <f t="shared" si="23"/>
        <v>-3.4774561548732472E-2</v>
      </c>
      <c r="AO155" s="577">
        <f t="shared" si="23"/>
        <v>-0.31650939231848418</v>
      </c>
      <c r="AP155" s="577">
        <f t="shared" si="23"/>
        <v>-0.31650939231848418</v>
      </c>
      <c r="AQ155" s="571"/>
      <c r="AR155" s="571"/>
    </row>
    <row r="156" spans="3:44" x14ac:dyDescent="0.25">
      <c r="E156" s="172"/>
      <c r="F156" s="211" t="s">
        <v>46</v>
      </c>
      <c r="G156" s="139" t="s">
        <v>201</v>
      </c>
      <c r="H156" s="572"/>
      <c r="I156" s="572"/>
      <c r="J156" s="577">
        <f t="shared" ref="J156:AP156" si="24">hundred * $H22 * J59 / $H47 * J85 * (1 - J71) / hours_in_year</f>
        <v>0.17610043674895778</v>
      </c>
      <c r="K156" s="577">
        <f t="shared" si="24"/>
        <v>0.22646804302622184</v>
      </c>
      <c r="L156" s="577">
        <f t="shared" si="24"/>
        <v>2.0646777707008779E-2</v>
      </c>
      <c r="M156" s="577">
        <f t="shared" si="24"/>
        <v>0.15758344469698776</v>
      </c>
      <c r="N156" s="577">
        <f t="shared" si="24"/>
        <v>0.24797970566064548</v>
      </c>
      <c r="O156" s="577">
        <f t="shared" si="24"/>
        <v>3.5268106516932789E-2</v>
      </c>
      <c r="P156" s="577">
        <f t="shared" si="24"/>
        <v>0.12586415981457538</v>
      </c>
      <c r="Q156" s="577">
        <f t="shared" si="24"/>
        <v>0.11306103768333418</v>
      </c>
      <c r="R156" s="577">
        <f t="shared" si="24"/>
        <v>0.12083345096219407</v>
      </c>
      <c r="S156" s="577">
        <f t="shared" si="24"/>
        <v>0.95028430752168003</v>
      </c>
      <c r="T156" s="577">
        <f t="shared" si="24"/>
        <v>1.0030552594466375</v>
      </c>
      <c r="U156" s="577">
        <f t="shared" si="24"/>
        <v>0.74985710000164418</v>
      </c>
      <c r="V156" s="577">
        <f t="shared" si="24"/>
        <v>0.69646434724154449</v>
      </c>
      <c r="W156" s="577">
        <f t="shared" si="24"/>
        <v>0.61046096481846979</v>
      </c>
      <c r="X156" s="577">
        <f t="shared" si="24"/>
        <v>8.1510776974315594E-2</v>
      </c>
      <c r="Y156" s="577">
        <f t="shared" si="24"/>
        <v>9.2915681167372616E-2</v>
      </c>
      <c r="Z156" s="577">
        <f t="shared" si="24"/>
        <v>0.1746892460021427</v>
      </c>
      <c r="AA156" s="577">
        <f t="shared" si="24"/>
        <v>7.7776539080073884E-2</v>
      </c>
      <c r="AB156" s="577">
        <f t="shared" si="24"/>
        <v>1.3556340444427688</v>
      </c>
      <c r="AC156" s="577">
        <f t="shared" si="24"/>
        <v>-8.7029877104692288E-2</v>
      </c>
      <c r="AD156" s="577">
        <f t="shared" si="24"/>
        <v>-8.3593435676316011E-2</v>
      </c>
      <c r="AE156" s="577">
        <f t="shared" si="24"/>
        <v>-8.7029877104692288E-2</v>
      </c>
      <c r="AF156" s="577">
        <f t="shared" si="24"/>
        <v>-8.7029877104692288E-2</v>
      </c>
      <c r="AG156" s="577">
        <f t="shared" si="24"/>
        <v>-0.62903052466013931</v>
      </c>
      <c r="AH156" s="577">
        <f t="shared" si="24"/>
        <v>-0.62903052466013931</v>
      </c>
      <c r="AI156" s="577">
        <f t="shared" si="24"/>
        <v>-8.3593435676316011E-2</v>
      </c>
      <c r="AJ156" s="577">
        <f t="shared" si="24"/>
        <v>-8.3593435676316011E-2</v>
      </c>
      <c r="AK156" s="577">
        <f t="shared" si="24"/>
        <v>-0.60419277207943578</v>
      </c>
      <c r="AL156" s="577">
        <f t="shared" si="24"/>
        <v>-0.60419277207943578</v>
      </c>
      <c r="AM156" s="577">
        <f t="shared" si="24"/>
        <v>-8.054591370685224E-2</v>
      </c>
      <c r="AN156" s="577">
        <f t="shared" si="24"/>
        <v>-8.054591370685224E-2</v>
      </c>
      <c r="AO156" s="577">
        <f t="shared" si="24"/>
        <v>-0.58216603359445485</v>
      </c>
      <c r="AP156" s="577">
        <f t="shared" si="24"/>
        <v>-0.58216603359445485</v>
      </c>
      <c r="AQ156" s="571"/>
      <c r="AR156" s="571"/>
    </row>
    <row r="157" spans="3:44" x14ac:dyDescent="0.25">
      <c r="E157" s="172"/>
      <c r="F157" s="211" t="s">
        <v>47</v>
      </c>
      <c r="G157" s="139" t="s">
        <v>201</v>
      </c>
      <c r="H157" s="572"/>
      <c r="I157" s="572"/>
      <c r="J157" s="577">
        <f t="shared" ref="J157:AP157" si="25">hundred * $H23 * J60 / $H48 * J86 * (1 - J72) / hours_in_year</f>
        <v>0.13249888802436158</v>
      </c>
      <c r="K157" s="577">
        <f t="shared" si="25"/>
        <v>0.17039573795495003</v>
      </c>
      <c r="L157" s="577">
        <f t="shared" si="25"/>
        <v>1.553474334288402E-2</v>
      </c>
      <c r="M157" s="577">
        <f t="shared" si="25"/>
        <v>0.11856660652786784</v>
      </c>
      <c r="N157" s="577">
        <f t="shared" si="25"/>
        <v>0.18658122523275603</v>
      </c>
      <c r="O157" s="577">
        <f t="shared" si="25"/>
        <v>2.6535907476935825E-2</v>
      </c>
      <c r="P157" s="577">
        <f t="shared" si="25"/>
        <v>9.4700850977023313E-2</v>
      </c>
      <c r="Q157" s="577">
        <f t="shared" si="25"/>
        <v>8.5067715040808289E-2</v>
      </c>
      <c r="R157" s="577">
        <f t="shared" si="25"/>
        <v>8.9000596697435805E-2</v>
      </c>
      <c r="S157" s="577">
        <f t="shared" si="25"/>
        <v>0.71499887438165721</v>
      </c>
      <c r="T157" s="577">
        <f t="shared" si="25"/>
        <v>0.7547040141253567</v>
      </c>
      <c r="U157" s="577">
        <f t="shared" si="25"/>
        <v>0.56419639701988611</v>
      </c>
      <c r="V157" s="577">
        <f t="shared" si="25"/>
        <v>0.52402341108142447</v>
      </c>
      <c r="W157" s="577">
        <f t="shared" si="25"/>
        <v>0.44963865301120282</v>
      </c>
      <c r="X157" s="577">
        <f t="shared" si="25"/>
        <v>6.1329134160494743E-2</v>
      </c>
      <c r="Y157" s="577">
        <f t="shared" si="25"/>
        <v>6.9910243619971293E-2</v>
      </c>
      <c r="Z157" s="577">
        <f t="shared" si="25"/>
        <v>0.13143710073867854</v>
      </c>
      <c r="AA157" s="577">
        <f t="shared" si="25"/>
        <v>5.8519474072537062E-2</v>
      </c>
      <c r="AB157" s="577">
        <f t="shared" si="25"/>
        <v>1.0199861327584006</v>
      </c>
      <c r="AC157" s="577">
        <f t="shared" si="25"/>
        <v>-6.5481733913625953E-2</v>
      </c>
      <c r="AD157" s="577">
        <f t="shared" si="25"/>
        <v>-6.2896137441370764E-2</v>
      </c>
      <c r="AE157" s="577">
        <f t="shared" si="25"/>
        <v>-6.5481733913625953E-2</v>
      </c>
      <c r="AF157" s="577">
        <f t="shared" si="25"/>
        <v>-6.5481733913625953E-2</v>
      </c>
      <c r="AG157" s="577">
        <f t="shared" si="25"/>
        <v>-0.47328585090145975</v>
      </c>
      <c r="AH157" s="577">
        <f t="shared" si="25"/>
        <v>-0.47328585090145975</v>
      </c>
      <c r="AI157" s="577">
        <f t="shared" si="25"/>
        <v>-6.2896137441370764E-2</v>
      </c>
      <c r="AJ157" s="577">
        <f t="shared" si="25"/>
        <v>-6.2896137441370764E-2</v>
      </c>
      <c r="AK157" s="577">
        <f t="shared" si="25"/>
        <v>-0.45459779618266954</v>
      </c>
      <c r="AL157" s="577">
        <f t="shared" si="25"/>
        <v>-0.45459779618266954</v>
      </c>
      <c r="AM157" s="577">
        <f t="shared" si="25"/>
        <v>-5.9326571610479932E-2</v>
      </c>
      <c r="AN157" s="577">
        <f t="shared" si="25"/>
        <v>-5.9326571610479932E-2</v>
      </c>
      <c r="AO157" s="577">
        <f t="shared" si="25"/>
        <v>-0.42879785319627284</v>
      </c>
      <c r="AP157" s="577">
        <f t="shared" si="25"/>
        <v>-0.42879785319627284</v>
      </c>
      <c r="AQ157" s="571"/>
      <c r="AR157" s="571"/>
    </row>
    <row r="158" spans="3:44" x14ac:dyDescent="0.25">
      <c r="E158" s="172"/>
      <c r="F158" s="211" t="s">
        <v>51</v>
      </c>
      <c r="G158" s="139" t="s">
        <v>201</v>
      </c>
      <c r="H158" s="572"/>
      <c r="I158" s="572"/>
      <c r="J158" s="577">
        <f t="shared" ref="J158:AP158" si="26">hundred * $H24 * J61 / $H49 * J87 * (1 - J73) / hours_in_year</f>
        <v>0</v>
      </c>
      <c r="K158" s="577">
        <f t="shared" si="26"/>
        <v>0</v>
      </c>
      <c r="L158" s="577">
        <f t="shared" si="26"/>
        <v>0</v>
      </c>
      <c r="M158" s="577">
        <f t="shared" si="26"/>
        <v>0</v>
      </c>
      <c r="N158" s="577">
        <f t="shared" si="26"/>
        <v>0</v>
      </c>
      <c r="O158" s="577">
        <f t="shared" si="26"/>
        <v>0</v>
      </c>
      <c r="P158" s="577">
        <f t="shared" si="26"/>
        <v>0</v>
      </c>
      <c r="Q158" s="577">
        <f t="shared" si="26"/>
        <v>0</v>
      </c>
      <c r="R158" s="577">
        <f t="shared" si="26"/>
        <v>0</v>
      </c>
      <c r="S158" s="577">
        <f t="shared" si="26"/>
        <v>0</v>
      </c>
      <c r="T158" s="577">
        <f t="shared" si="26"/>
        <v>0</v>
      </c>
      <c r="U158" s="577">
        <f t="shared" si="26"/>
        <v>0</v>
      </c>
      <c r="V158" s="577">
        <f t="shared" si="26"/>
        <v>0</v>
      </c>
      <c r="W158" s="577">
        <f t="shared" si="26"/>
        <v>0</v>
      </c>
      <c r="X158" s="577">
        <f t="shared" si="26"/>
        <v>0</v>
      </c>
      <c r="Y158" s="577">
        <f t="shared" si="26"/>
        <v>0</v>
      </c>
      <c r="Z158" s="577">
        <f t="shared" si="26"/>
        <v>0</v>
      </c>
      <c r="AA158" s="577">
        <f t="shared" si="26"/>
        <v>0</v>
      </c>
      <c r="AB158" s="577">
        <f t="shared" si="26"/>
        <v>0</v>
      </c>
      <c r="AC158" s="577">
        <f t="shared" si="26"/>
        <v>0</v>
      </c>
      <c r="AD158" s="577">
        <f t="shared" si="26"/>
        <v>0</v>
      </c>
      <c r="AE158" s="577">
        <f t="shared" si="26"/>
        <v>0</v>
      </c>
      <c r="AF158" s="577">
        <f t="shared" si="26"/>
        <v>0</v>
      </c>
      <c r="AG158" s="577">
        <f t="shared" si="26"/>
        <v>0</v>
      </c>
      <c r="AH158" s="577">
        <f t="shared" si="26"/>
        <v>0</v>
      </c>
      <c r="AI158" s="577">
        <f t="shared" si="26"/>
        <v>0</v>
      </c>
      <c r="AJ158" s="577">
        <f t="shared" si="26"/>
        <v>0</v>
      </c>
      <c r="AK158" s="577">
        <f t="shared" si="26"/>
        <v>0</v>
      </c>
      <c r="AL158" s="577">
        <f t="shared" si="26"/>
        <v>0</v>
      </c>
      <c r="AM158" s="577">
        <f t="shared" si="26"/>
        <v>0</v>
      </c>
      <c r="AN158" s="577">
        <f t="shared" si="26"/>
        <v>0</v>
      </c>
      <c r="AO158" s="577">
        <f t="shared" si="26"/>
        <v>0</v>
      </c>
      <c r="AP158" s="577">
        <f t="shared" si="26"/>
        <v>0</v>
      </c>
      <c r="AQ158" s="571"/>
      <c r="AR158" s="571"/>
    </row>
    <row r="159" spans="3:44" x14ac:dyDescent="0.25">
      <c r="E159" s="172"/>
      <c r="F159" s="211" t="s">
        <v>48</v>
      </c>
      <c r="G159" s="139" t="s">
        <v>201</v>
      </c>
      <c r="H159" s="572"/>
      <c r="I159" s="572"/>
      <c r="J159" s="577">
        <f t="shared" ref="J159:AP159" si="27">hundred * $H25 * J62 / $H50 * J88 * (1 - J74) / hours_in_year</f>
        <v>0.27558688971647699</v>
      </c>
      <c r="K159" s="577">
        <f t="shared" si="27"/>
        <v>0.34876341650500592</v>
      </c>
      <c r="L159" s="577">
        <f t="shared" si="27"/>
        <v>5.377616053907381E-2</v>
      </c>
      <c r="M159" s="577">
        <f t="shared" si="27"/>
        <v>0.26747145645220599</v>
      </c>
      <c r="N159" s="577">
        <f t="shared" si="27"/>
        <v>0.39665981470075778</v>
      </c>
      <c r="O159" s="577">
        <f t="shared" si="27"/>
        <v>6.928807912843786E-2</v>
      </c>
      <c r="P159" s="577">
        <f t="shared" si="27"/>
        <v>0.20779095259491279</v>
      </c>
      <c r="Q159" s="577">
        <f t="shared" si="27"/>
        <v>0.18679526108423536</v>
      </c>
      <c r="R159" s="577">
        <f t="shared" si="27"/>
        <v>0.19401374914535682</v>
      </c>
      <c r="S159" s="577">
        <f t="shared" si="27"/>
        <v>1.037664234938382</v>
      </c>
      <c r="T159" s="577">
        <f t="shared" si="27"/>
        <v>1.0956352718945557</v>
      </c>
      <c r="U159" s="577">
        <f t="shared" si="27"/>
        <v>0.81936794280810354</v>
      </c>
      <c r="V159" s="577">
        <f t="shared" si="27"/>
        <v>0.76102574668859135</v>
      </c>
      <c r="W159" s="577">
        <f t="shared" si="27"/>
        <v>0.64135529031657079</v>
      </c>
      <c r="X159" s="577">
        <f t="shared" si="27"/>
        <v>0.13458263765752451</v>
      </c>
      <c r="Y159" s="577">
        <f t="shared" si="27"/>
        <v>0.11809203284378356</v>
      </c>
      <c r="Z159" s="577">
        <f t="shared" si="27"/>
        <v>0.21709100190420111</v>
      </c>
      <c r="AA159" s="577">
        <f t="shared" si="27"/>
        <v>0.15715524974907349</v>
      </c>
      <c r="AB159" s="577">
        <f t="shared" si="27"/>
        <v>1.3785779809901166</v>
      </c>
      <c r="AC159" s="577">
        <f t="shared" si="27"/>
        <v>-0.14400413630519657</v>
      </c>
      <c r="AD159" s="577">
        <f t="shared" si="27"/>
        <v>-0.13831802256679121</v>
      </c>
      <c r="AE159" s="577">
        <f t="shared" si="27"/>
        <v>-0.14400413630519657</v>
      </c>
      <c r="AF159" s="577">
        <f t="shared" si="27"/>
        <v>-0.14400413630519657</v>
      </c>
      <c r="AG159" s="577">
        <f t="shared" si="27"/>
        <v>-0.68734089062189363</v>
      </c>
      <c r="AH159" s="577">
        <f t="shared" si="27"/>
        <v>-0.68734089062189363</v>
      </c>
      <c r="AI159" s="577">
        <f t="shared" si="27"/>
        <v>-0.13831802256679121</v>
      </c>
      <c r="AJ159" s="577">
        <f t="shared" si="27"/>
        <v>-0.13831802256679121</v>
      </c>
      <c r="AK159" s="577">
        <f t="shared" si="27"/>
        <v>-0.66020070853122192</v>
      </c>
      <c r="AL159" s="577">
        <f t="shared" si="27"/>
        <v>-0.66020070853122192</v>
      </c>
      <c r="AM159" s="577">
        <f t="shared" si="27"/>
        <v>0</v>
      </c>
      <c r="AN159" s="577">
        <f t="shared" si="27"/>
        <v>0</v>
      </c>
      <c r="AO159" s="577">
        <f t="shared" si="27"/>
        <v>0</v>
      </c>
      <c r="AP159" s="577">
        <f t="shared" si="27"/>
        <v>0</v>
      </c>
      <c r="AQ159" s="571"/>
      <c r="AR159" s="571"/>
    </row>
    <row r="160" spans="3:44" x14ac:dyDescent="0.25">
      <c r="E160" s="172"/>
      <c r="F160" s="211" t="s">
        <v>49</v>
      </c>
      <c r="G160" s="139" t="s">
        <v>201</v>
      </c>
      <c r="H160" s="572"/>
      <c r="I160" s="572"/>
      <c r="J160" s="577">
        <f t="shared" ref="J160:AP160" si="28">hundred * $H26 * J63 / $H51 * J89 * (1 - J75) / hours_in_year</f>
        <v>7.9386902435414033E-2</v>
      </c>
      <c r="K160" s="577">
        <f t="shared" si="28"/>
        <v>0.10046648934428315</v>
      </c>
      <c r="L160" s="577">
        <f t="shared" si="28"/>
        <v>1.5491022865632965E-2</v>
      </c>
      <c r="M160" s="577">
        <f t="shared" si="28"/>
        <v>7.7049131181365624E-2</v>
      </c>
      <c r="N160" s="577">
        <f t="shared" si="28"/>
        <v>0.11426375921617632</v>
      </c>
      <c r="O160" s="577">
        <f t="shared" si="28"/>
        <v>1.9959461726809687E-2</v>
      </c>
      <c r="P160" s="577">
        <f t="shared" si="28"/>
        <v>5.9857274406576448E-2</v>
      </c>
      <c r="Q160" s="577">
        <f t="shared" si="28"/>
        <v>5.3809153194290263E-2</v>
      </c>
      <c r="R160" s="577">
        <f t="shared" si="28"/>
        <v>0</v>
      </c>
      <c r="S160" s="577">
        <f t="shared" si="28"/>
        <v>0.29891461623780813</v>
      </c>
      <c r="T160" s="577">
        <f t="shared" si="28"/>
        <v>0.31561403564652607</v>
      </c>
      <c r="U160" s="577">
        <f t="shared" si="28"/>
        <v>0.23603112253029551</v>
      </c>
      <c r="V160" s="577">
        <f t="shared" si="28"/>
        <v>0.21922478520426206</v>
      </c>
      <c r="W160" s="577">
        <f t="shared" si="28"/>
        <v>0</v>
      </c>
      <c r="X160" s="577">
        <f t="shared" si="28"/>
        <v>3.8768530448637623E-2</v>
      </c>
      <c r="Y160" s="577">
        <f t="shared" si="28"/>
        <v>3.4018166464355716E-2</v>
      </c>
      <c r="Z160" s="577">
        <f t="shared" si="28"/>
        <v>6.2536291931396218E-2</v>
      </c>
      <c r="AA160" s="577">
        <f t="shared" si="28"/>
        <v>4.5270907088062737E-2</v>
      </c>
      <c r="AB160" s="577">
        <f t="shared" si="28"/>
        <v>0.39711989125848868</v>
      </c>
      <c r="AC160" s="577">
        <f t="shared" si="28"/>
        <v>-4.1482533261716317E-2</v>
      </c>
      <c r="AD160" s="577">
        <f t="shared" si="28"/>
        <v>0</v>
      </c>
      <c r="AE160" s="577">
        <f t="shared" si="28"/>
        <v>-4.1482533261716317E-2</v>
      </c>
      <c r="AF160" s="577">
        <f t="shared" si="28"/>
        <v>-4.1482533261716317E-2</v>
      </c>
      <c r="AG160" s="577">
        <f t="shared" si="28"/>
        <v>-0.19799876648634504</v>
      </c>
      <c r="AH160" s="577">
        <f t="shared" si="28"/>
        <v>-0.19799876648634504</v>
      </c>
      <c r="AI160" s="577">
        <f t="shared" si="28"/>
        <v>0</v>
      </c>
      <c r="AJ160" s="577">
        <f t="shared" si="28"/>
        <v>0</v>
      </c>
      <c r="AK160" s="577">
        <f t="shared" si="28"/>
        <v>0</v>
      </c>
      <c r="AL160" s="577">
        <f t="shared" si="28"/>
        <v>0</v>
      </c>
      <c r="AM160" s="577">
        <f t="shared" si="28"/>
        <v>0</v>
      </c>
      <c r="AN160" s="577">
        <f t="shared" si="28"/>
        <v>0</v>
      </c>
      <c r="AO160" s="577">
        <f t="shared" si="28"/>
        <v>0</v>
      </c>
      <c r="AP160" s="577">
        <f t="shared" si="28"/>
        <v>0</v>
      </c>
      <c r="AQ160" s="571"/>
      <c r="AR160" s="571"/>
    </row>
    <row r="161" spans="3:44" x14ac:dyDescent="0.25">
      <c r="E161" s="172"/>
      <c r="F161" s="212" t="s">
        <v>50</v>
      </c>
      <c r="G161" s="140" t="s">
        <v>201</v>
      </c>
      <c r="H161" s="574"/>
      <c r="I161" s="574"/>
      <c r="J161" s="578">
        <f t="shared" ref="J161:AP161" si="29">hundred * $H27 * J64 / $H52 * J90 * (1 - J76) / hours_in_year</f>
        <v>1.090933611214334E-2</v>
      </c>
      <c r="K161" s="578">
        <f t="shared" si="29"/>
        <v>1.3806089753351094E-2</v>
      </c>
      <c r="L161" s="578">
        <f t="shared" si="29"/>
        <v>2.1287740165901658E-3</v>
      </c>
      <c r="M161" s="578">
        <f t="shared" si="29"/>
        <v>1.0588079940390455E-2</v>
      </c>
      <c r="N161" s="578">
        <f t="shared" si="29"/>
        <v>1.5702108490004633E-2</v>
      </c>
      <c r="O161" s="578">
        <f t="shared" si="29"/>
        <v>2.7428262082952021E-3</v>
      </c>
      <c r="P161" s="578">
        <f t="shared" si="29"/>
        <v>8.2255775855393128E-3</v>
      </c>
      <c r="Q161" s="578">
        <f t="shared" si="29"/>
        <v>0</v>
      </c>
      <c r="R161" s="578">
        <f t="shared" si="29"/>
        <v>0</v>
      </c>
      <c r="S161" s="578">
        <f t="shared" si="29"/>
        <v>4.1076801302627655E-2</v>
      </c>
      <c r="T161" s="578">
        <f t="shared" si="29"/>
        <v>4.3371632989196704E-2</v>
      </c>
      <c r="U161" s="578">
        <f t="shared" si="29"/>
        <v>3.2435361118974916E-2</v>
      </c>
      <c r="V161" s="578">
        <f t="shared" si="29"/>
        <v>0</v>
      </c>
      <c r="W161" s="578">
        <f t="shared" si="29"/>
        <v>0</v>
      </c>
      <c r="X161" s="578">
        <f t="shared" si="29"/>
        <v>5.3275655840349379E-3</v>
      </c>
      <c r="Y161" s="578">
        <f t="shared" si="29"/>
        <v>4.67477128460106E-3</v>
      </c>
      <c r="Z161" s="578">
        <f t="shared" si="29"/>
        <v>8.5937277681510903E-3</v>
      </c>
      <c r="AA161" s="578">
        <f t="shared" si="29"/>
        <v>6.2211211972539931E-3</v>
      </c>
      <c r="AB161" s="578">
        <f t="shared" si="29"/>
        <v>5.4572155326015684E-2</v>
      </c>
      <c r="AC161" s="578">
        <f t="shared" si="29"/>
        <v>0</v>
      </c>
      <c r="AD161" s="578">
        <f t="shared" si="29"/>
        <v>0</v>
      </c>
      <c r="AE161" s="578">
        <f t="shared" si="29"/>
        <v>0</v>
      </c>
      <c r="AF161" s="578">
        <f t="shared" si="29"/>
        <v>0</v>
      </c>
      <c r="AG161" s="578">
        <f t="shared" si="29"/>
        <v>0</v>
      </c>
      <c r="AH161" s="578">
        <f t="shared" si="29"/>
        <v>0</v>
      </c>
      <c r="AI161" s="578">
        <f t="shared" si="29"/>
        <v>0</v>
      </c>
      <c r="AJ161" s="578">
        <f t="shared" si="29"/>
        <v>0</v>
      </c>
      <c r="AK161" s="578">
        <f t="shared" si="29"/>
        <v>0</v>
      </c>
      <c r="AL161" s="578">
        <f t="shared" si="29"/>
        <v>0</v>
      </c>
      <c r="AM161" s="578">
        <f t="shared" si="29"/>
        <v>0</v>
      </c>
      <c r="AN161" s="578">
        <f t="shared" si="29"/>
        <v>0</v>
      </c>
      <c r="AO161" s="578">
        <f t="shared" si="29"/>
        <v>0</v>
      </c>
      <c r="AP161" s="578">
        <f t="shared" si="29"/>
        <v>0</v>
      </c>
      <c r="AQ161" s="571"/>
      <c r="AR161" s="571"/>
    </row>
    <row r="162" spans="3:44" x14ac:dyDescent="0.25">
      <c r="E162" s="172"/>
      <c r="F162" s="211"/>
      <c r="G162" s="139"/>
      <c r="H162" s="139"/>
      <c r="I162" s="139"/>
      <c r="J162" s="413"/>
      <c r="K162" s="413"/>
      <c r="L162" s="413"/>
      <c r="M162" s="413"/>
      <c r="N162" s="413"/>
      <c r="O162" s="413"/>
      <c r="P162" s="413"/>
      <c r="Q162" s="413"/>
      <c r="R162" s="413"/>
      <c r="S162" s="413"/>
      <c r="T162" s="413"/>
      <c r="U162" s="413"/>
      <c r="V162" s="413"/>
      <c r="W162" s="413"/>
      <c r="X162" s="413"/>
      <c r="Y162" s="413"/>
      <c r="Z162" s="413"/>
      <c r="AA162" s="413"/>
      <c r="AB162" s="413"/>
      <c r="AC162" s="413"/>
      <c r="AD162" s="413"/>
      <c r="AE162" s="413"/>
      <c r="AF162" s="413"/>
      <c r="AG162" s="413"/>
      <c r="AH162" s="413"/>
      <c r="AI162" s="413"/>
      <c r="AJ162" s="413"/>
      <c r="AK162" s="413"/>
      <c r="AL162" s="413"/>
      <c r="AM162" s="413"/>
      <c r="AN162" s="413"/>
      <c r="AO162" s="413"/>
      <c r="AP162" s="413"/>
    </row>
    <row r="163" spans="3:44" x14ac:dyDescent="0.25">
      <c r="E163" s="172" t="s">
        <v>133</v>
      </c>
      <c r="F163" s="213"/>
      <c r="J163" s="401"/>
      <c r="K163" s="401"/>
      <c r="L163" s="401"/>
      <c r="M163" s="401"/>
      <c r="N163" s="401"/>
      <c r="O163" s="401"/>
      <c r="P163" s="401"/>
      <c r="Q163" s="401"/>
      <c r="R163" s="401"/>
      <c r="S163" s="401"/>
      <c r="T163" s="401"/>
      <c r="U163" s="401"/>
      <c r="V163" s="401"/>
      <c r="W163" s="401"/>
      <c r="X163" s="401"/>
      <c r="Y163" s="401"/>
      <c r="Z163" s="401"/>
      <c r="AA163" s="401"/>
      <c r="AB163" s="401"/>
      <c r="AC163" s="401"/>
      <c r="AD163" s="401"/>
      <c r="AE163" s="401"/>
      <c r="AF163" s="401"/>
      <c r="AG163" s="401"/>
      <c r="AH163" s="401"/>
      <c r="AI163" s="401"/>
      <c r="AJ163" s="401"/>
      <c r="AK163" s="401"/>
      <c r="AL163" s="401"/>
      <c r="AM163" s="401"/>
      <c r="AN163" s="401"/>
      <c r="AO163" s="401"/>
      <c r="AP163" s="401"/>
    </row>
    <row r="164" spans="3:44" x14ac:dyDescent="0.25">
      <c r="D164" s="144"/>
      <c r="E164" s="172"/>
      <c r="F164" s="481" t="s">
        <v>397</v>
      </c>
      <c r="G164" s="137" t="s">
        <v>201</v>
      </c>
      <c r="H164" s="569"/>
      <c r="I164" s="569"/>
      <c r="J164" s="576">
        <f t="shared" ref="J164:AP164" si="30">hundred * $H30 * J55 / $H43 * J81 / hours_in_year</f>
        <v>8.2026986347881137E-2</v>
      </c>
      <c r="K164" s="576">
        <f t="shared" si="30"/>
        <v>0.10698619951931665</v>
      </c>
      <c r="L164" s="576">
        <f t="shared" si="30"/>
        <v>3.7595251627282299E-3</v>
      </c>
      <c r="M164" s="576">
        <f t="shared" si="30"/>
        <v>6.7477887439189782E-2</v>
      </c>
      <c r="N164" s="576">
        <f t="shared" si="30"/>
        <v>0.11293170740233632</v>
      </c>
      <c r="O164" s="576">
        <f t="shared" si="30"/>
        <v>1.2639591601829038E-2</v>
      </c>
      <c r="P164" s="576">
        <f t="shared" si="30"/>
        <v>5.5549005790324943E-2</v>
      </c>
      <c r="Q164" s="576">
        <f t="shared" si="30"/>
        <v>4.9826301129215607E-2</v>
      </c>
      <c r="R164" s="576">
        <f t="shared" si="30"/>
        <v>5.39016209590054E-2</v>
      </c>
      <c r="S164" s="576">
        <f t="shared" si="30"/>
        <v>0.56953004283150244</v>
      </c>
      <c r="T164" s="576">
        <f t="shared" si="30"/>
        <v>0.60102605169893852</v>
      </c>
      <c r="U164" s="576">
        <f t="shared" si="30"/>
        <v>0.44911738479164182</v>
      </c>
      <c r="V164" s="576">
        <f t="shared" si="30"/>
        <v>0.41713847376127333</v>
      </c>
      <c r="W164" s="576">
        <f t="shared" si="30"/>
        <v>0.3740200642664952</v>
      </c>
      <c r="X164" s="576">
        <f t="shared" si="30"/>
        <v>3.5973277734694893E-2</v>
      </c>
      <c r="Y164" s="576">
        <f t="shared" si="30"/>
        <v>4.2467234304217234E-2</v>
      </c>
      <c r="Z164" s="576">
        <f t="shared" si="30"/>
        <v>8.0992756135168001E-2</v>
      </c>
      <c r="AA164" s="576">
        <f t="shared" si="30"/>
        <v>3.3211703837305769E-2</v>
      </c>
      <c r="AB164" s="576">
        <f t="shared" si="30"/>
        <v>0.64728711581146947</v>
      </c>
      <c r="AC164" s="576">
        <f t="shared" si="30"/>
        <v>-3.8391687562549633E-2</v>
      </c>
      <c r="AD164" s="576">
        <f t="shared" si="30"/>
        <v>-3.6875762341989825E-2</v>
      </c>
      <c r="AE164" s="576">
        <f t="shared" si="30"/>
        <v>-3.8391687562549633E-2</v>
      </c>
      <c r="AF164" s="576">
        <f t="shared" si="30"/>
        <v>-3.8391687562549633E-2</v>
      </c>
      <c r="AG164" s="576">
        <f t="shared" si="30"/>
        <v>-0.37674984232176584</v>
      </c>
      <c r="AH164" s="576">
        <f t="shared" si="30"/>
        <v>-0.37674984232176584</v>
      </c>
      <c r="AI164" s="576">
        <f t="shared" si="30"/>
        <v>-3.6875762341989825E-2</v>
      </c>
      <c r="AJ164" s="576">
        <f t="shared" si="30"/>
        <v>-3.6875762341989825E-2</v>
      </c>
      <c r="AK164" s="576">
        <f t="shared" si="30"/>
        <v>-0.36187358592154922</v>
      </c>
      <c r="AL164" s="576">
        <f t="shared" si="30"/>
        <v>-0.36187358592154922</v>
      </c>
      <c r="AM164" s="576">
        <f t="shared" si="30"/>
        <v>-3.6346951218538717E-2</v>
      </c>
      <c r="AN164" s="576">
        <f t="shared" si="30"/>
        <v>-3.6346951218538717E-2</v>
      </c>
      <c r="AO164" s="576">
        <f t="shared" si="30"/>
        <v>-0.35668419415403174</v>
      </c>
      <c r="AP164" s="576">
        <f t="shared" si="30"/>
        <v>-0.35668419415403174</v>
      </c>
      <c r="AQ164" s="571"/>
      <c r="AR164" s="571"/>
    </row>
    <row r="165" spans="3:44" x14ac:dyDescent="0.25">
      <c r="D165" s="144"/>
      <c r="E165" s="172"/>
      <c r="F165" s="211" t="s">
        <v>43</v>
      </c>
      <c r="G165" s="139" t="s">
        <v>201</v>
      </c>
      <c r="H165" s="572"/>
      <c r="I165" s="572"/>
      <c r="J165" s="577">
        <f t="shared" ref="J165:AP165" si="31">hundred * $H31 * J56 / $H44 * J82 / hours_in_year</f>
        <v>0</v>
      </c>
      <c r="K165" s="577">
        <f t="shared" si="31"/>
        <v>0</v>
      </c>
      <c r="L165" s="577">
        <f t="shared" si="31"/>
        <v>0</v>
      </c>
      <c r="M165" s="577">
        <f t="shared" si="31"/>
        <v>0</v>
      </c>
      <c r="N165" s="577">
        <f t="shared" si="31"/>
        <v>0</v>
      </c>
      <c r="O165" s="577">
        <f t="shared" si="31"/>
        <v>0</v>
      </c>
      <c r="P165" s="577">
        <f t="shared" si="31"/>
        <v>0</v>
      </c>
      <c r="Q165" s="577">
        <f t="shared" si="31"/>
        <v>0</v>
      </c>
      <c r="R165" s="577">
        <f t="shared" si="31"/>
        <v>0</v>
      </c>
      <c r="S165" s="577">
        <f t="shared" si="31"/>
        <v>0</v>
      </c>
      <c r="T165" s="577">
        <f t="shared" si="31"/>
        <v>0</v>
      </c>
      <c r="U165" s="577">
        <f t="shared" si="31"/>
        <v>0</v>
      </c>
      <c r="V165" s="577">
        <f t="shared" si="31"/>
        <v>0</v>
      </c>
      <c r="W165" s="577">
        <f t="shared" si="31"/>
        <v>0</v>
      </c>
      <c r="X165" s="577">
        <f t="shared" si="31"/>
        <v>0</v>
      </c>
      <c r="Y165" s="577">
        <f t="shared" si="31"/>
        <v>0</v>
      </c>
      <c r="Z165" s="577">
        <f t="shared" si="31"/>
        <v>0</v>
      </c>
      <c r="AA165" s="577">
        <f t="shared" si="31"/>
        <v>0</v>
      </c>
      <c r="AB165" s="577">
        <f t="shared" si="31"/>
        <v>0</v>
      </c>
      <c r="AC165" s="577">
        <f t="shared" si="31"/>
        <v>0</v>
      </c>
      <c r="AD165" s="577">
        <f t="shared" si="31"/>
        <v>0</v>
      </c>
      <c r="AE165" s="577">
        <f t="shared" si="31"/>
        <v>0</v>
      </c>
      <c r="AF165" s="577">
        <f t="shared" si="31"/>
        <v>0</v>
      </c>
      <c r="AG165" s="577">
        <f t="shared" si="31"/>
        <v>0</v>
      </c>
      <c r="AH165" s="577">
        <f t="shared" si="31"/>
        <v>0</v>
      </c>
      <c r="AI165" s="577">
        <f t="shared" si="31"/>
        <v>0</v>
      </c>
      <c r="AJ165" s="577">
        <f t="shared" si="31"/>
        <v>0</v>
      </c>
      <c r="AK165" s="577">
        <f t="shared" si="31"/>
        <v>0</v>
      </c>
      <c r="AL165" s="577">
        <f t="shared" si="31"/>
        <v>0</v>
      </c>
      <c r="AM165" s="577">
        <f t="shared" si="31"/>
        <v>0</v>
      </c>
      <c r="AN165" s="577">
        <f t="shared" si="31"/>
        <v>0</v>
      </c>
      <c r="AO165" s="577">
        <f t="shared" si="31"/>
        <v>0</v>
      </c>
      <c r="AP165" s="577">
        <f t="shared" si="31"/>
        <v>0</v>
      </c>
      <c r="AQ165" s="571"/>
      <c r="AR165" s="571"/>
    </row>
    <row r="166" spans="3:44" x14ac:dyDescent="0.25">
      <c r="D166" s="144"/>
      <c r="E166" s="172"/>
      <c r="F166" s="211" t="s">
        <v>44</v>
      </c>
      <c r="G166" s="139" t="s">
        <v>201</v>
      </c>
      <c r="H166" s="572"/>
      <c r="I166" s="572"/>
      <c r="J166" s="577">
        <f t="shared" ref="J166:AP166" si="32">hundred * $H32 * J57 / $H45 * J83 / hours_in_year</f>
        <v>0.11234790367072831</v>
      </c>
      <c r="K166" s="577">
        <f t="shared" si="32"/>
        <v>0.14603964372353201</v>
      </c>
      <c r="L166" s="577">
        <f t="shared" si="32"/>
        <v>7.1766141123563209E-3</v>
      </c>
      <c r="M166" s="577">
        <f t="shared" si="32"/>
        <v>9.4606929762415734E-2</v>
      </c>
      <c r="N166" s="577">
        <f t="shared" si="32"/>
        <v>0.15570342245596167</v>
      </c>
      <c r="O166" s="577">
        <f t="shared" si="32"/>
        <v>1.8589538918281499E-2</v>
      </c>
      <c r="P166" s="577">
        <f t="shared" si="32"/>
        <v>7.7221471274127526E-2</v>
      </c>
      <c r="Q166" s="577">
        <f t="shared" si="32"/>
        <v>6.9312263753287862E-2</v>
      </c>
      <c r="R166" s="577">
        <f t="shared" si="32"/>
        <v>7.5175340045078032E-2</v>
      </c>
      <c r="S166" s="577">
        <f t="shared" si="32"/>
        <v>0.73371880342696394</v>
      </c>
      <c r="T166" s="577">
        <f t="shared" si="32"/>
        <v>0.77432574554579336</v>
      </c>
      <c r="U166" s="577">
        <f t="shared" si="32"/>
        <v>0.57869197116518201</v>
      </c>
      <c r="V166" s="577">
        <f t="shared" si="32"/>
        <v>0.53748684376076117</v>
      </c>
      <c r="W166" s="577">
        <f t="shared" si="32"/>
        <v>0.48192836789455379</v>
      </c>
      <c r="X166" s="577">
        <f t="shared" si="32"/>
        <v>5.0011155792780926E-2</v>
      </c>
      <c r="Y166" s="577">
        <f t="shared" si="32"/>
        <v>6.3918345556704101E-2</v>
      </c>
      <c r="Z166" s="577">
        <f t="shared" si="32"/>
        <v>0.12146092313053074</v>
      </c>
      <c r="AA166" s="577">
        <f t="shared" si="32"/>
        <v>4.2123761199041432E-2</v>
      </c>
      <c r="AB166" s="577">
        <f t="shared" si="32"/>
        <v>1.004540402293707</v>
      </c>
      <c r="AC166" s="577">
        <f t="shared" si="32"/>
        <v>-5.3335421381338399E-2</v>
      </c>
      <c r="AD166" s="577">
        <f t="shared" si="32"/>
        <v>-5.1229431372708883E-2</v>
      </c>
      <c r="AE166" s="577">
        <f t="shared" si="32"/>
        <v>-5.3335421381338399E-2</v>
      </c>
      <c r="AF166" s="577">
        <f t="shared" si="32"/>
        <v>-5.3335421381338399E-2</v>
      </c>
      <c r="AG166" s="577">
        <f t="shared" si="32"/>
        <v>-0.48544571257356423</v>
      </c>
      <c r="AH166" s="577">
        <f t="shared" si="32"/>
        <v>-0.48544571257356423</v>
      </c>
      <c r="AI166" s="577">
        <f t="shared" si="32"/>
        <v>-5.1229431372708883E-2</v>
      </c>
      <c r="AJ166" s="577">
        <f t="shared" si="32"/>
        <v>-5.1229431372708883E-2</v>
      </c>
      <c r="AK166" s="577">
        <f t="shared" si="32"/>
        <v>-0.46627751639297366</v>
      </c>
      <c r="AL166" s="577">
        <f t="shared" si="32"/>
        <v>-0.46627751639297366</v>
      </c>
      <c r="AM166" s="577">
        <f t="shared" si="32"/>
        <v>-5.0494783695279974E-2</v>
      </c>
      <c r="AN166" s="577">
        <f t="shared" si="32"/>
        <v>-5.0494783695279974E-2</v>
      </c>
      <c r="AO166" s="577">
        <f t="shared" si="32"/>
        <v>-0.45959093632997683</v>
      </c>
      <c r="AP166" s="577">
        <f t="shared" si="32"/>
        <v>-0.45959093632997683</v>
      </c>
      <c r="AQ166" s="571"/>
      <c r="AR166" s="571"/>
    </row>
    <row r="167" spans="3:44" x14ac:dyDescent="0.25">
      <c r="D167" s="144"/>
      <c r="E167" s="172"/>
      <c r="F167" s="211" t="s">
        <v>45</v>
      </c>
      <c r="G167" s="139" t="s">
        <v>201</v>
      </c>
      <c r="H167" s="572"/>
      <c r="I167" s="572"/>
      <c r="J167" s="577">
        <f t="shared" ref="J167:AP167" si="33">hundred * $H33 * J58 / $H46 * J84 / hours_in_year</f>
        <v>3.126683972819784E-2</v>
      </c>
      <c r="K167" s="577">
        <f t="shared" si="33"/>
        <v>4.0643376378873101E-2</v>
      </c>
      <c r="L167" s="577">
        <f t="shared" si="33"/>
        <v>1.9972784174043441E-3</v>
      </c>
      <c r="M167" s="577">
        <f t="shared" si="33"/>
        <v>2.6329460661125188E-2</v>
      </c>
      <c r="N167" s="577">
        <f t="shared" si="33"/>
        <v>4.3332841966777703E-2</v>
      </c>
      <c r="O167" s="577">
        <f t="shared" si="33"/>
        <v>5.1735378675378165E-3</v>
      </c>
      <c r="P167" s="577">
        <f t="shared" si="33"/>
        <v>2.149102285860326E-2</v>
      </c>
      <c r="Q167" s="577">
        <f t="shared" si="33"/>
        <v>1.9289860969050505E-2</v>
      </c>
      <c r="R167" s="577">
        <f t="shared" si="33"/>
        <v>2.0921576922263818E-2</v>
      </c>
      <c r="S167" s="577">
        <f t="shared" si="33"/>
        <v>0.20419667374971376</v>
      </c>
      <c r="T167" s="577">
        <f t="shared" si="33"/>
        <v>0.21549773687237575</v>
      </c>
      <c r="U167" s="577">
        <f t="shared" si="33"/>
        <v>0.16105212935211091</v>
      </c>
      <c r="V167" s="577">
        <f t="shared" si="33"/>
        <v>0.14958458903814176</v>
      </c>
      <c r="W167" s="577">
        <f t="shared" si="33"/>
        <v>0.13412245842693876</v>
      </c>
      <c r="X167" s="577">
        <f t="shared" si="33"/>
        <v>1.3918290788742382E-2</v>
      </c>
      <c r="Y167" s="577">
        <f t="shared" si="33"/>
        <v>1.7788713459846599E-2</v>
      </c>
      <c r="Z167" s="577">
        <f t="shared" si="33"/>
        <v>3.3803026960713418E-2</v>
      </c>
      <c r="AA167" s="577">
        <f t="shared" si="33"/>
        <v>1.1723199517985E-2</v>
      </c>
      <c r="AB167" s="577">
        <f t="shared" si="33"/>
        <v>0.27956733265865225</v>
      </c>
      <c r="AC167" s="577">
        <f t="shared" si="33"/>
        <v>-1.4843446274295697E-2</v>
      </c>
      <c r="AD167" s="577">
        <f t="shared" si="33"/>
        <v>-1.4257341416816621E-2</v>
      </c>
      <c r="AE167" s="577">
        <f t="shared" si="33"/>
        <v>-1.4843446274295697E-2</v>
      </c>
      <c r="AF167" s="577">
        <f t="shared" si="33"/>
        <v>-1.4843446274295697E-2</v>
      </c>
      <c r="AG167" s="577">
        <f t="shared" si="33"/>
        <v>-0.13510134854196726</v>
      </c>
      <c r="AH167" s="577">
        <f t="shared" si="33"/>
        <v>-0.13510134854196726</v>
      </c>
      <c r="AI167" s="577">
        <f t="shared" si="33"/>
        <v>-1.4257341416816621E-2</v>
      </c>
      <c r="AJ167" s="577">
        <f t="shared" si="33"/>
        <v>-1.4257341416816621E-2</v>
      </c>
      <c r="AK167" s="577">
        <f t="shared" si="33"/>
        <v>-0.12976676820468114</v>
      </c>
      <c r="AL167" s="577">
        <f t="shared" si="33"/>
        <v>-0.12976676820468114</v>
      </c>
      <c r="AM167" s="577">
        <f t="shared" si="33"/>
        <v>-1.4052886233975081E-2</v>
      </c>
      <c r="AN167" s="577">
        <f t="shared" si="33"/>
        <v>-1.4052886233975081E-2</v>
      </c>
      <c r="AO167" s="577">
        <f t="shared" si="33"/>
        <v>-0.12790586808702317</v>
      </c>
      <c r="AP167" s="577">
        <f t="shared" si="33"/>
        <v>-0.12790586808702317</v>
      </c>
      <c r="AQ167" s="571"/>
      <c r="AR167" s="571"/>
    </row>
    <row r="168" spans="3:44" x14ac:dyDescent="0.25">
      <c r="D168" s="144"/>
      <c r="E168" s="172"/>
      <c r="F168" s="211" t="s">
        <v>46</v>
      </c>
      <c r="G168" s="139" t="s">
        <v>201</v>
      </c>
      <c r="H168" s="572"/>
      <c r="I168" s="572"/>
      <c r="J168" s="577">
        <f t="shared" ref="J168:AP168" si="34">hundred * $H34 * J59 / $H47 * J85 / hours_in_year</f>
        <v>7.2056009792619308E-2</v>
      </c>
      <c r="K168" s="577">
        <f t="shared" si="34"/>
        <v>9.2665207578534581E-2</v>
      </c>
      <c r="L168" s="577">
        <f t="shared" si="34"/>
        <v>8.4481585855638898E-3</v>
      </c>
      <c r="M168" s="577">
        <f t="shared" si="34"/>
        <v>6.4479307626180746E-2</v>
      </c>
      <c r="N168" s="577">
        <f t="shared" si="34"/>
        <v>0.10146725601212951</v>
      </c>
      <c r="O168" s="577">
        <f t="shared" si="34"/>
        <v>1.4430850232211533E-2</v>
      </c>
      <c r="P168" s="577">
        <f t="shared" si="34"/>
        <v>5.1500548775285877E-2</v>
      </c>
      <c r="Q168" s="577">
        <f t="shared" si="34"/>
        <v>4.6261823019142771E-2</v>
      </c>
      <c r="R168" s="577">
        <f t="shared" si="34"/>
        <v>5.0576945564640416E-2</v>
      </c>
      <c r="S168" s="577">
        <f t="shared" si="34"/>
        <v>0.38883319446940495</v>
      </c>
      <c r="T168" s="577">
        <f t="shared" si="34"/>
        <v>0.41042578276088776</v>
      </c>
      <c r="U168" s="577">
        <f t="shared" si="34"/>
        <v>0.30682326255561299</v>
      </c>
      <c r="V168" s="577">
        <f t="shared" si="34"/>
        <v>0.2849762485063454</v>
      </c>
      <c r="W168" s="577">
        <f t="shared" si="34"/>
        <v>0.25551906977002375</v>
      </c>
      <c r="X168" s="577">
        <f t="shared" si="34"/>
        <v>3.3352224743417924E-2</v>
      </c>
      <c r="Y168" s="577">
        <f t="shared" si="34"/>
        <v>3.8018833772845366E-2</v>
      </c>
      <c r="Z168" s="577">
        <f t="shared" si="34"/>
        <v>7.1478584908564541E-2</v>
      </c>
      <c r="AA168" s="577">
        <f t="shared" si="34"/>
        <v>3.1824265544435161E-2</v>
      </c>
      <c r="AB168" s="577">
        <f t="shared" si="34"/>
        <v>0.5546924345271641</v>
      </c>
      <c r="AC168" s="577">
        <f t="shared" si="34"/>
        <v>-3.5610506099118332E-2</v>
      </c>
      <c r="AD168" s="577">
        <f t="shared" si="34"/>
        <v>-3.4204397961136619E-2</v>
      </c>
      <c r="AE168" s="577">
        <f t="shared" si="34"/>
        <v>-3.5610506099118332E-2</v>
      </c>
      <c r="AF168" s="577">
        <f t="shared" si="34"/>
        <v>-3.5610506099118332E-2</v>
      </c>
      <c r="AG168" s="577">
        <f t="shared" si="34"/>
        <v>-0.25738397065636864</v>
      </c>
      <c r="AH168" s="577">
        <f t="shared" si="34"/>
        <v>-0.25738397065636864</v>
      </c>
      <c r="AI168" s="577">
        <f t="shared" si="34"/>
        <v>-3.4204397961136619E-2</v>
      </c>
      <c r="AJ168" s="577">
        <f t="shared" si="34"/>
        <v>-3.4204397961136619E-2</v>
      </c>
      <c r="AK168" s="577">
        <f t="shared" si="34"/>
        <v>-0.24722096722365622</v>
      </c>
      <c r="AL168" s="577">
        <f t="shared" si="34"/>
        <v>-0.24722096722365622</v>
      </c>
      <c r="AM168" s="577">
        <f t="shared" si="34"/>
        <v>-3.3713895122305784E-2</v>
      </c>
      <c r="AN168" s="577">
        <f t="shared" si="34"/>
        <v>-3.3713895122305784E-2</v>
      </c>
      <c r="AO168" s="577">
        <f t="shared" si="34"/>
        <v>-0.24367573346805882</v>
      </c>
      <c r="AP168" s="577">
        <f t="shared" si="34"/>
        <v>-0.24367573346805882</v>
      </c>
      <c r="AQ168" s="571"/>
      <c r="AR168" s="571"/>
    </row>
    <row r="169" spans="3:44" x14ac:dyDescent="0.25">
      <c r="D169" s="144"/>
      <c r="E169" s="172"/>
      <c r="F169" s="211" t="s">
        <v>47</v>
      </c>
      <c r="G169" s="139" t="s">
        <v>201</v>
      </c>
      <c r="H169" s="572"/>
      <c r="I169" s="572"/>
      <c r="J169" s="577">
        <f t="shared" ref="J169:AP169" si="35">hundred * $H35 * J60 / $H48 * J86 / hours_in_year</f>
        <v>5.488386931791276E-2</v>
      </c>
      <c r="K169" s="577">
        <f t="shared" si="35"/>
        <v>7.058155395635704E-2</v>
      </c>
      <c r="L169" s="577">
        <f t="shared" si="35"/>
        <v>6.4348224821433936E-3</v>
      </c>
      <c r="M169" s="577">
        <f t="shared" si="35"/>
        <v>4.9112820757766781E-2</v>
      </c>
      <c r="N169" s="577">
        <f t="shared" si="35"/>
        <v>7.7285928474870078E-2</v>
      </c>
      <c r="O169" s="577">
        <f t="shared" si="35"/>
        <v>1.0991739628249514E-2</v>
      </c>
      <c r="P169" s="577">
        <f t="shared" si="35"/>
        <v>3.9227115086146569E-2</v>
      </c>
      <c r="Q169" s="577">
        <f t="shared" si="35"/>
        <v>3.5236864437796167E-2</v>
      </c>
      <c r="R169" s="577">
        <f t="shared" si="35"/>
        <v>3.8523621816666881E-2</v>
      </c>
      <c r="S169" s="577">
        <f t="shared" si="35"/>
        <v>0.29616780464453779</v>
      </c>
      <c r="T169" s="577">
        <f t="shared" si="35"/>
        <v>0.31261452154484864</v>
      </c>
      <c r="U169" s="577">
        <f t="shared" si="35"/>
        <v>0.23370219769680861</v>
      </c>
      <c r="V169" s="577">
        <f t="shared" si="35"/>
        <v>0.21706168891041419</v>
      </c>
      <c r="W169" s="577">
        <f t="shared" si="35"/>
        <v>0.19462464371610375</v>
      </c>
      <c r="X169" s="577">
        <f t="shared" si="35"/>
        <v>2.5403837230894011E-2</v>
      </c>
      <c r="Y169" s="577">
        <f t="shared" si="35"/>
        <v>2.895831604350128E-2</v>
      </c>
      <c r="Z169" s="577">
        <f t="shared" si="35"/>
        <v>5.4444054346634414E-2</v>
      </c>
      <c r="AA169" s="577">
        <f t="shared" si="35"/>
        <v>2.4240016014018047E-2</v>
      </c>
      <c r="AB169" s="577">
        <f t="shared" si="35"/>
        <v>0.42250004095206078</v>
      </c>
      <c r="AC169" s="577">
        <f t="shared" si="35"/>
        <v>-2.7123932739458172E-2</v>
      </c>
      <c r="AD169" s="577">
        <f t="shared" si="35"/>
        <v>-2.6052923457734849E-2</v>
      </c>
      <c r="AE169" s="577">
        <f t="shared" si="35"/>
        <v>-2.7123932739458172E-2</v>
      </c>
      <c r="AF169" s="577">
        <f t="shared" si="35"/>
        <v>-2.7123932739458172E-2</v>
      </c>
      <c r="AG169" s="577">
        <f t="shared" si="35"/>
        <v>-0.19604510783605139</v>
      </c>
      <c r="AH169" s="577">
        <f t="shared" si="35"/>
        <v>-0.19604510783605139</v>
      </c>
      <c r="AI169" s="577">
        <f t="shared" si="35"/>
        <v>-2.6052923457734849E-2</v>
      </c>
      <c r="AJ169" s="577">
        <f t="shared" si="35"/>
        <v>-2.6052923457734849E-2</v>
      </c>
      <c r="AK169" s="577">
        <f t="shared" si="35"/>
        <v>-0.18830411643389328</v>
      </c>
      <c r="AL169" s="577">
        <f t="shared" si="35"/>
        <v>-0.18830411643389328</v>
      </c>
      <c r="AM169" s="577">
        <f t="shared" si="35"/>
        <v>-2.5679315568761591E-2</v>
      </c>
      <c r="AN169" s="577">
        <f t="shared" si="35"/>
        <v>-2.5679315568761591E-2</v>
      </c>
      <c r="AO169" s="577">
        <f t="shared" si="35"/>
        <v>-0.18560377059593114</v>
      </c>
      <c r="AP169" s="577">
        <f t="shared" si="35"/>
        <v>-0.18560377059593114</v>
      </c>
      <c r="AQ169" s="571"/>
      <c r="AR169" s="571"/>
    </row>
    <row r="170" spans="3:44" x14ac:dyDescent="0.25">
      <c r="D170" s="144"/>
      <c r="E170" s="172"/>
      <c r="F170" s="211" t="s">
        <v>51</v>
      </c>
      <c r="G170" s="139" t="s">
        <v>201</v>
      </c>
      <c r="H170" s="572"/>
      <c r="I170" s="572"/>
      <c r="J170" s="577">
        <f t="shared" ref="J170:AP170" si="36">hundred * $H36 * J61 / $H49 * J87 / hours_in_year</f>
        <v>0</v>
      </c>
      <c r="K170" s="577">
        <f t="shared" si="36"/>
        <v>0</v>
      </c>
      <c r="L170" s="577">
        <f t="shared" si="36"/>
        <v>0</v>
      </c>
      <c r="M170" s="577">
        <f t="shared" si="36"/>
        <v>0</v>
      </c>
      <c r="N170" s="577">
        <f t="shared" si="36"/>
        <v>0</v>
      </c>
      <c r="O170" s="577">
        <f t="shared" si="36"/>
        <v>0</v>
      </c>
      <c r="P170" s="577">
        <f t="shared" si="36"/>
        <v>0</v>
      </c>
      <c r="Q170" s="577">
        <f t="shared" si="36"/>
        <v>0</v>
      </c>
      <c r="R170" s="577">
        <f t="shared" si="36"/>
        <v>0</v>
      </c>
      <c r="S170" s="577">
        <f t="shared" si="36"/>
        <v>0</v>
      </c>
      <c r="T170" s="577">
        <f t="shared" si="36"/>
        <v>0</v>
      </c>
      <c r="U170" s="577">
        <f t="shared" si="36"/>
        <v>0</v>
      </c>
      <c r="V170" s="577">
        <f t="shared" si="36"/>
        <v>0</v>
      </c>
      <c r="W170" s="577">
        <f t="shared" si="36"/>
        <v>0</v>
      </c>
      <c r="X170" s="577">
        <f t="shared" si="36"/>
        <v>0</v>
      </c>
      <c r="Y170" s="577">
        <f t="shared" si="36"/>
        <v>0</v>
      </c>
      <c r="Z170" s="577">
        <f t="shared" si="36"/>
        <v>0</v>
      </c>
      <c r="AA170" s="577">
        <f t="shared" si="36"/>
        <v>0</v>
      </c>
      <c r="AB170" s="577">
        <f t="shared" si="36"/>
        <v>0</v>
      </c>
      <c r="AC170" s="577">
        <f t="shared" si="36"/>
        <v>0</v>
      </c>
      <c r="AD170" s="577">
        <f t="shared" si="36"/>
        <v>0</v>
      </c>
      <c r="AE170" s="577">
        <f t="shared" si="36"/>
        <v>0</v>
      </c>
      <c r="AF170" s="577">
        <f t="shared" si="36"/>
        <v>0</v>
      </c>
      <c r="AG170" s="577">
        <f t="shared" si="36"/>
        <v>0</v>
      </c>
      <c r="AH170" s="577">
        <f t="shared" si="36"/>
        <v>0</v>
      </c>
      <c r="AI170" s="577">
        <f t="shared" si="36"/>
        <v>0</v>
      </c>
      <c r="AJ170" s="577">
        <f t="shared" si="36"/>
        <v>0</v>
      </c>
      <c r="AK170" s="577">
        <f t="shared" si="36"/>
        <v>0</v>
      </c>
      <c r="AL170" s="577">
        <f t="shared" si="36"/>
        <v>0</v>
      </c>
      <c r="AM170" s="577">
        <f t="shared" si="36"/>
        <v>0</v>
      </c>
      <c r="AN170" s="577">
        <f t="shared" si="36"/>
        <v>0</v>
      </c>
      <c r="AO170" s="577">
        <f t="shared" si="36"/>
        <v>0</v>
      </c>
      <c r="AP170" s="577">
        <f t="shared" si="36"/>
        <v>0</v>
      </c>
      <c r="AQ170" s="571"/>
      <c r="AR170" s="571"/>
    </row>
    <row r="171" spans="3:44" x14ac:dyDescent="0.25">
      <c r="D171" s="144"/>
      <c r="E171" s="172"/>
      <c r="F171" s="211" t="s">
        <v>48</v>
      </c>
      <c r="G171" s="139" t="s">
        <v>201</v>
      </c>
      <c r="H171" s="572"/>
      <c r="I171" s="572"/>
      <c r="J171" s="577">
        <f t="shared" ref="J171:AP171" si="37">hundred * $H37 * J62 / $H50 * J88 / hours_in_year</f>
        <v>0.16971715510726415</v>
      </c>
      <c r="K171" s="577">
        <f t="shared" si="37"/>
        <v>0.21478211432922348</v>
      </c>
      <c r="L171" s="577">
        <f t="shared" si="37"/>
        <v>3.3117457033869396E-2</v>
      </c>
      <c r="M171" s="577">
        <f t="shared" si="37"/>
        <v>0.16471935478558733</v>
      </c>
      <c r="N171" s="577">
        <f t="shared" si="37"/>
        <v>0.24427858439001135</v>
      </c>
      <c r="O171" s="577">
        <f t="shared" si="37"/>
        <v>4.2670301495922013E-2</v>
      </c>
      <c r="P171" s="577">
        <f t="shared" si="37"/>
        <v>0.12796577285558916</v>
      </c>
      <c r="Q171" s="577">
        <f t="shared" si="37"/>
        <v>0.11503580715087854</v>
      </c>
      <c r="R171" s="577">
        <f t="shared" si="37"/>
        <v>0.12712033221004793</v>
      </c>
      <c r="S171" s="577">
        <f t="shared" si="37"/>
        <v>0.63903410678018413</v>
      </c>
      <c r="T171" s="577">
        <f t="shared" si="37"/>
        <v>0.67473493231996917</v>
      </c>
      <c r="U171" s="577">
        <f t="shared" si="37"/>
        <v>0.50459873611022732</v>
      </c>
      <c r="V171" s="577">
        <f t="shared" si="37"/>
        <v>0.46866933628173579</v>
      </c>
      <c r="W171" s="577">
        <f t="shared" si="37"/>
        <v>0.42022432909448987</v>
      </c>
      <c r="X171" s="577">
        <f t="shared" si="37"/>
        <v>8.2881237251763176E-2</v>
      </c>
      <c r="Y171" s="577">
        <f t="shared" si="37"/>
        <v>7.2725679642090216E-2</v>
      </c>
      <c r="Z171" s="577">
        <f t="shared" si="37"/>
        <v>0.13369310594009662</v>
      </c>
      <c r="AA171" s="577">
        <f t="shared" si="37"/>
        <v>9.6782332153116435E-2</v>
      </c>
      <c r="AB171" s="577">
        <f t="shared" si="37"/>
        <v>0.84898208789200624</v>
      </c>
      <c r="AC171" s="577">
        <f t="shared" si="37"/>
        <v>-8.868336357560562E-2</v>
      </c>
      <c r="AD171" s="577">
        <f t="shared" si="37"/>
        <v>-8.518163296610054E-2</v>
      </c>
      <c r="AE171" s="577">
        <f t="shared" si="37"/>
        <v>-8.868336357560562E-2</v>
      </c>
      <c r="AF171" s="577">
        <f t="shared" si="37"/>
        <v>-8.868336357560562E-2</v>
      </c>
      <c r="AG171" s="577">
        <f t="shared" si="37"/>
        <v>-0.42329132806445846</v>
      </c>
      <c r="AH171" s="577">
        <f t="shared" si="37"/>
        <v>-0.42329132806445846</v>
      </c>
      <c r="AI171" s="577">
        <f t="shared" si="37"/>
        <v>-8.518163296610054E-2</v>
      </c>
      <c r="AJ171" s="577">
        <f t="shared" si="37"/>
        <v>-8.518163296610054E-2</v>
      </c>
      <c r="AK171" s="577">
        <f t="shared" si="37"/>
        <v>-0.40657734541361207</v>
      </c>
      <c r="AL171" s="577">
        <f t="shared" si="37"/>
        <v>-0.40657734541361207</v>
      </c>
      <c r="AM171" s="577">
        <f t="shared" si="37"/>
        <v>0</v>
      </c>
      <c r="AN171" s="577">
        <f t="shared" si="37"/>
        <v>0</v>
      </c>
      <c r="AO171" s="577">
        <f t="shared" si="37"/>
        <v>0</v>
      </c>
      <c r="AP171" s="577">
        <f t="shared" si="37"/>
        <v>0</v>
      </c>
      <c r="AQ171" s="571"/>
      <c r="AR171" s="571"/>
    </row>
    <row r="172" spans="3:44" x14ac:dyDescent="0.25">
      <c r="D172" s="144"/>
      <c r="E172" s="172"/>
      <c r="F172" s="211" t="s">
        <v>49</v>
      </c>
      <c r="G172" s="139" t="s">
        <v>201</v>
      </c>
      <c r="H172" s="572"/>
      <c r="I172" s="572"/>
      <c r="J172" s="577">
        <f t="shared" ref="J172:AP172" si="38">hundred * $H38 * J63 / $H51 * J89 / hours_in_year</f>
        <v>5.5650398832390639E-2</v>
      </c>
      <c r="K172" s="577">
        <f t="shared" si="38"/>
        <v>7.0427237110656807E-2</v>
      </c>
      <c r="L172" s="577">
        <f t="shared" si="38"/>
        <v>1.0859242196727757E-2</v>
      </c>
      <c r="M172" s="577">
        <f t="shared" si="38"/>
        <v>5.401161587606438E-2</v>
      </c>
      <c r="N172" s="577">
        <f t="shared" si="38"/>
        <v>8.0099154613593168E-2</v>
      </c>
      <c r="O172" s="577">
        <f t="shared" si="38"/>
        <v>1.3991627982719926E-2</v>
      </c>
      <c r="P172" s="577">
        <f t="shared" si="38"/>
        <v>4.1960085247763151E-2</v>
      </c>
      <c r="Q172" s="577">
        <f t="shared" si="38"/>
        <v>3.7720338547428081E-2</v>
      </c>
      <c r="R172" s="577">
        <f t="shared" si="38"/>
        <v>0</v>
      </c>
      <c r="S172" s="577">
        <f t="shared" si="38"/>
        <v>0.209539824582504</v>
      </c>
      <c r="T172" s="577">
        <f t="shared" si="38"/>
        <v>0.2212461554992517</v>
      </c>
      <c r="U172" s="577">
        <f t="shared" si="38"/>
        <v>0.16545835273462267</v>
      </c>
      <c r="V172" s="577">
        <f t="shared" si="38"/>
        <v>0.15367707211511039</v>
      </c>
      <c r="W172" s="577">
        <f t="shared" si="38"/>
        <v>0</v>
      </c>
      <c r="X172" s="577">
        <f t="shared" si="38"/>
        <v>2.7176827857310671E-2</v>
      </c>
      <c r="Y172" s="577">
        <f t="shared" si="38"/>
        <v>2.3846811919991731E-2</v>
      </c>
      <c r="Z172" s="577">
        <f t="shared" si="38"/>
        <v>4.3838082614601794E-2</v>
      </c>
      <c r="AA172" s="577">
        <f t="shared" si="38"/>
        <v>3.173500864332663E-2</v>
      </c>
      <c r="AB172" s="577">
        <f t="shared" si="38"/>
        <v>0.27838194531887756</v>
      </c>
      <c r="AC172" s="577">
        <f t="shared" si="38"/>
        <v>-2.9079349990642878E-2</v>
      </c>
      <c r="AD172" s="577">
        <f t="shared" si="38"/>
        <v>0</v>
      </c>
      <c r="AE172" s="577">
        <f t="shared" si="38"/>
        <v>-2.9079349990642878E-2</v>
      </c>
      <c r="AF172" s="577">
        <f t="shared" si="38"/>
        <v>-2.9079349990642878E-2</v>
      </c>
      <c r="AG172" s="577">
        <f t="shared" si="38"/>
        <v>-0.13879758480627027</v>
      </c>
      <c r="AH172" s="577">
        <f t="shared" si="38"/>
        <v>-0.13879758480627027</v>
      </c>
      <c r="AI172" s="577">
        <f t="shared" si="38"/>
        <v>0</v>
      </c>
      <c r="AJ172" s="577">
        <f t="shared" si="38"/>
        <v>0</v>
      </c>
      <c r="AK172" s="577">
        <f t="shared" si="38"/>
        <v>0</v>
      </c>
      <c r="AL172" s="577">
        <f t="shared" si="38"/>
        <v>0</v>
      </c>
      <c r="AM172" s="577">
        <f t="shared" si="38"/>
        <v>0</v>
      </c>
      <c r="AN172" s="577">
        <f t="shared" si="38"/>
        <v>0</v>
      </c>
      <c r="AO172" s="577">
        <f t="shared" si="38"/>
        <v>0</v>
      </c>
      <c r="AP172" s="577">
        <f t="shared" si="38"/>
        <v>0</v>
      </c>
      <c r="AQ172" s="571"/>
      <c r="AR172" s="571"/>
    </row>
    <row r="173" spans="3:44" x14ac:dyDescent="0.25">
      <c r="D173" s="144"/>
      <c r="E173" s="172"/>
      <c r="F173" s="212" t="s">
        <v>50</v>
      </c>
      <c r="G173" s="140" t="s">
        <v>201</v>
      </c>
      <c r="H173" s="574"/>
      <c r="I173" s="574"/>
      <c r="J173" s="578">
        <f t="shared" ref="J173:AP173" si="39">hundred * $H39 * J64 / $H52 * J90 / hours_in_year</f>
        <v>0.10009724587596945</v>
      </c>
      <c r="K173" s="578">
        <f t="shared" si="39"/>
        <v>0.1266760457667645</v>
      </c>
      <c r="L173" s="578">
        <f t="shared" si="39"/>
        <v>1.9532299120916582E-2</v>
      </c>
      <c r="M173" s="578">
        <f t="shared" si="39"/>
        <v>9.7149600145508649E-2</v>
      </c>
      <c r="N173" s="578">
        <f t="shared" si="39"/>
        <v>0.14407272799539259</v>
      </c>
      <c r="O173" s="578">
        <f t="shared" si="39"/>
        <v>2.5166458026824656E-2</v>
      </c>
      <c r="P173" s="578">
        <f t="shared" si="39"/>
        <v>7.5472755957633433E-2</v>
      </c>
      <c r="Q173" s="578">
        <f t="shared" si="39"/>
        <v>0</v>
      </c>
      <c r="R173" s="578">
        <f t="shared" si="39"/>
        <v>0</v>
      </c>
      <c r="S173" s="578">
        <f t="shared" si="39"/>
        <v>0.37689504086419129</v>
      </c>
      <c r="T173" s="578">
        <f t="shared" si="39"/>
        <v>0.3979509813186044</v>
      </c>
      <c r="U173" s="578">
        <f t="shared" si="39"/>
        <v>0.29760658977111848</v>
      </c>
      <c r="V173" s="578">
        <f t="shared" si="39"/>
        <v>0</v>
      </c>
      <c r="W173" s="578">
        <f t="shared" si="39"/>
        <v>0</v>
      </c>
      <c r="X173" s="578">
        <f t="shared" si="39"/>
        <v>4.8882410139687804E-2</v>
      </c>
      <c r="Y173" s="578">
        <f t="shared" si="39"/>
        <v>4.2892777881118928E-2</v>
      </c>
      <c r="Z173" s="578">
        <f t="shared" si="39"/>
        <v>7.8850671805982347E-2</v>
      </c>
      <c r="AA173" s="578">
        <f t="shared" si="39"/>
        <v>5.708111765046664E-2</v>
      </c>
      <c r="AB173" s="578">
        <f t="shared" si="39"/>
        <v>0.50071996989526935</v>
      </c>
      <c r="AC173" s="578">
        <f t="shared" si="39"/>
        <v>0</v>
      </c>
      <c r="AD173" s="578">
        <f t="shared" si="39"/>
        <v>0</v>
      </c>
      <c r="AE173" s="578">
        <f t="shared" si="39"/>
        <v>0</v>
      </c>
      <c r="AF173" s="578">
        <f t="shared" si="39"/>
        <v>0</v>
      </c>
      <c r="AG173" s="578">
        <f t="shared" si="39"/>
        <v>0</v>
      </c>
      <c r="AH173" s="578">
        <f t="shared" si="39"/>
        <v>0</v>
      </c>
      <c r="AI173" s="578">
        <f t="shared" si="39"/>
        <v>0</v>
      </c>
      <c r="AJ173" s="578">
        <f t="shared" si="39"/>
        <v>0</v>
      </c>
      <c r="AK173" s="578">
        <f t="shared" si="39"/>
        <v>0</v>
      </c>
      <c r="AL173" s="578">
        <f t="shared" si="39"/>
        <v>0</v>
      </c>
      <c r="AM173" s="578">
        <f t="shared" si="39"/>
        <v>0</v>
      </c>
      <c r="AN173" s="578">
        <f t="shared" si="39"/>
        <v>0</v>
      </c>
      <c r="AO173" s="578">
        <f t="shared" si="39"/>
        <v>0</v>
      </c>
      <c r="AP173" s="578">
        <f t="shared" si="39"/>
        <v>0</v>
      </c>
      <c r="AQ173" s="571"/>
      <c r="AR173" s="571"/>
    </row>
    <row r="174" spans="3:44" x14ac:dyDescent="0.25">
      <c r="C174" s="144"/>
      <c r="D174" s="144"/>
      <c r="E174" s="172"/>
      <c r="J174" s="401"/>
      <c r="K174" s="401"/>
      <c r="L174" s="401"/>
      <c r="M174" s="401"/>
      <c r="N174" s="401"/>
      <c r="O174" s="401"/>
      <c r="P174" s="401"/>
      <c r="Q174" s="401"/>
      <c r="R174" s="401"/>
      <c r="S174" s="401"/>
      <c r="T174" s="401"/>
      <c r="U174" s="401"/>
      <c r="V174" s="401"/>
      <c r="W174" s="401"/>
      <c r="X174" s="401"/>
      <c r="Y174" s="401"/>
      <c r="Z174" s="401"/>
      <c r="AA174" s="401"/>
      <c r="AB174" s="401"/>
      <c r="AC174" s="401"/>
      <c r="AD174" s="401"/>
      <c r="AE174" s="401"/>
      <c r="AF174" s="401"/>
      <c r="AG174" s="401"/>
      <c r="AH174" s="401"/>
      <c r="AI174" s="401"/>
      <c r="AJ174" s="401"/>
      <c r="AK174" s="401"/>
      <c r="AL174" s="401"/>
      <c r="AM174" s="401"/>
      <c r="AN174" s="401"/>
      <c r="AO174" s="401"/>
      <c r="AP174" s="401"/>
    </row>
    <row r="175" spans="3:44" s="338" customFormat="1" x14ac:dyDescent="0.25">
      <c r="C175" s="22" t="str">
        <f ca="1">INDEX('Version control'!$H$34:$H$59,MATCH($A$1,'Version control'!$F$34:$F$59,0),1)&amp;"-D: Unit rate 2"</f>
        <v>Section 512-D: Unit rate 2</v>
      </c>
      <c r="D175" s="22"/>
      <c r="E175" s="22"/>
      <c r="F175" s="22"/>
      <c r="G175" s="22"/>
      <c r="H175" s="22"/>
      <c r="I175" s="22"/>
      <c r="J175" s="405"/>
      <c r="K175" s="405"/>
      <c r="L175" s="405"/>
      <c r="M175" s="405"/>
      <c r="N175" s="405"/>
      <c r="O175" s="405"/>
      <c r="P175" s="405"/>
      <c r="Q175" s="405"/>
      <c r="R175" s="405"/>
      <c r="S175" s="405"/>
      <c r="T175" s="405"/>
      <c r="U175" s="405"/>
      <c r="V175" s="405"/>
      <c r="W175" s="405"/>
      <c r="X175" s="405"/>
      <c r="Y175" s="405"/>
      <c r="Z175" s="405"/>
      <c r="AA175" s="405"/>
      <c r="AB175" s="405"/>
      <c r="AC175" s="405"/>
      <c r="AD175" s="405"/>
      <c r="AE175" s="405"/>
      <c r="AF175" s="405"/>
      <c r="AG175" s="405"/>
      <c r="AH175" s="405"/>
      <c r="AI175" s="405"/>
      <c r="AJ175" s="405"/>
      <c r="AK175" s="405"/>
      <c r="AL175" s="405"/>
      <c r="AM175" s="405"/>
      <c r="AN175" s="405"/>
      <c r="AO175" s="405"/>
      <c r="AP175" s="405"/>
      <c r="AQ175" s="22"/>
      <c r="AR175" s="22"/>
    </row>
    <row r="176" spans="3:44" x14ac:dyDescent="0.25">
      <c r="C176" s="144"/>
      <c r="D176" s="144"/>
      <c r="E176" s="172"/>
      <c r="J176" s="401"/>
      <c r="K176" s="401"/>
      <c r="L176" s="401"/>
      <c r="M176" s="401"/>
      <c r="N176" s="401"/>
      <c r="O176" s="401"/>
      <c r="P176" s="401"/>
      <c r="Q176" s="401"/>
      <c r="R176" s="401"/>
      <c r="S176" s="401"/>
      <c r="T176" s="401"/>
      <c r="U176" s="401"/>
      <c r="V176" s="401"/>
      <c r="W176" s="401"/>
      <c r="X176" s="401"/>
      <c r="Y176" s="401"/>
      <c r="Z176" s="401"/>
      <c r="AA176" s="401"/>
      <c r="AB176" s="401"/>
      <c r="AC176" s="401"/>
      <c r="AD176" s="401"/>
      <c r="AE176" s="401"/>
      <c r="AF176" s="401"/>
      <c r="AG176" s="401"/>
      <c r="AH176" s="401"/>
      <c r="AI176" s="401"/>
      <c r="AJ176" s="401"/>
      <c r="AK176" s="401"/>
      <c r="AL176" s="401"/>
      <c r="AM176" s="401"/>
      <c r="AN176" s="401"/>
      <c r="AO176" s="401"/>
      <c r="AP176" s="401"/>
    </row>
    <row r="177" spans="4:44" s="338" customFormat="1" x14ac:dyDescent="0.25">
      <c r="D177" s="152" t="s">
        <v>980</v>
      </c>
      <c r="E177" s="172"/>
      <c r="F177" s="172"/>
      <c r="J177" s="401"/>
      <c r="K177" s="401"/>
      <c r="L177" s="401"/>
      <c r="M177" s="401"/>
      <c r="N177" s="401"/>
      <c r="O177" s="401"/>
      <c r="P177" s="401"/>
      <c r="Q177" s="401"/>
      <c r="R177" s="401"/>
      <c r="S177" s="401"/>
      <c r="T177" s="401"/>
      <c r="U177" s="401"/>
      <c r="V177" s="401"/>
      <c r="W177" s="401"/>
      <c r="X177" s="401"/>
      <c r="Y177" s="401"/>
      <c r="Z177" s="401"/>
      <c r="AA177" s="401"/>
      <c r="AB177" s="401"/>
      <c r="AC177" s="401"/>
      <c r="AD177" s="401"/>
      <c r="AE177" s="401"/>
      <c r="AF177" s="401"/>
      <c r="AG177" s="401"/>
      <c r="AH177" s="401"/>
      <c r="AI177" s="401"/>
      <c r="AJ177" s="401"/>
      <c r="AK177" s="401"/>
      <c r="AL177" s="401"/>
      <c r="AM177" s="401"/>
      <c r="AN177" s="401"/>
      <c r="AO177" s="401"/>
      <c r="AP177" s="401"/>
    </row>
    <row r="178" spans="4:44" s="338" customFormat="1" x14ac:dyDescent="0.25">
      <c r="D178" s="152" t="s">
        <v>548</v>
      </c>
      <c r="E178" s="172"/>
      <c r="F178" s="172"/>
      <c r="J178" s="401"/>
      <c r="K178" s="401"/>
      <c r="L178" s="401"/>
      <c r="M178" s="401"/>
      <c r="N178" s="401"/>
      <c r="O178" s="401"/>
      <c r="P178" s="401"/>
      <c r="Q178" s="401"/>
      <c r="R178" s="401"/>
      <c r="S178" s="401"/>
      <c r="T178" s="401"/>
      <c r="U178" s="401"/>
      <c r="V178" s="401"/>
      <c r="W178" s="401"/>
      <c r="X178" s="401"/>
      <c r="Y178" s="401"/>
      <c r="Z178" s="401"/>
      <c r="AA178" s="401"/>
      <c r="AB178" s="401"/>
      <c r="AC178" s="401"/>
      <c r="AD178" s="401"/>
      <c r="AE178" s="401"/>
      <c r="AF178" s="401"/>
      <c r="AG178" s="401"/>
      <c r="AH178" s="401"/>
      <c r="AI178" s="401"/>
      <c r="AJ178" s="401"/>
      <c r="AK178" s="401"/>
      <c r="AL178" s="401"/>
      <c r="AM178" s="401"/>
      <c r="AN178" s="401"/>
      <c r="AO178" s="401"/>
      <c r="AP178" s="401"/>
    </row>
    <row r="179" spans="4:44" s="338" customFormat="1" x14ac:dyDescent="0.25">
      <c r="D179" s="172"/>
      <c r="E179" s="172"/>
      <c r="F179" s="172"/>
      <c r="I179" s="163" t="s">
        <v>525</v>
      </c>
      <c r="J179" s="401"/>
      <c r="K179" s="401"/>
      <c r="L179" s="401"/>
      <c r="M179" s="401"/>
      <c r="N179" s="401"/>
      <c r="O179" s="401"/>
      <c r="P179" s="401"/>
      <c r="Q179" s="401"/>
      <c r="R179" s="401"/>
      <c r="S179" s="401"/>
      <c r="T179" s="401"/>
      <c r="U179" s="401"/>
      <c r="V179" s="401"/>
      <c r="W179" s="401"/>
      <c r="X179" s="401"/>
      <c r="Y179" s="401"/>
      <c r="Z179" s="401"/>
      <c r="AA179" s="401"/>
      <c r="AB179" s="401"/>
      <c r="AC179" s="401"/>
      <c r="AD179" s="401"/>
      <c r="AE179" s="401"/>
      <c r="AF179" s="401"/>
      <c r="AG179" s="401"/>
      <c r="AH179" s="401"/>
      <c r="AI179" s="401"/>
      <c r="AJ179" s="401"/>
      <c r="AK179" s="401"/>
      <c r="AL179" s="401"/>
      <c r="AM179" s="401"/>
      <c r="AN179" s="401"/>
      <c r="AO179" s="401"/>
      <c r="AP179" s="401"/>
      <c r="AR179" s="338" t="s">
        <v>979</v>
      </c>
    </row>
    <row r="180" spans="4:44" x14ac:dyDescent="0.25">
      <c r="E180" s="172" t="s">
        <v>156</v>
      </c>
      <c r="J180" s="401"/>
      <c r="K180" s="401"/>
      <c r="L180" s="401"/>
      <c r="M180" s="401"/>
      <c r="N180" s="401"/>
      <c r="O180" s="401"/>
      <c r="P180" s="401"/>
      <c r="Q180" s="401"/>
      <c r="R180" s="401"/>
      <c r="S180" s="401"/>
      <c r="T180" s="401"/>
      <c r="U180" s="401"/>
      <c r="V180" s="401"/>
      <c r="W180" s="401"/>
      <c r="X180" s="401"/>
      <c r="Y180" s="401"/>
      <c r="Z180" s="401"/>
      <c r="AA180" s="401"/>
      <c r="AB180" s="401"/>
      <c r="AC180" s="401"/>
      <c r="AD180" s="401"/>
      <c r="AE180" s="401"/>
      <c r="AF180" s="401"/>
      <c r="AG180" s="401"/>
      <c r="AH180" s="401"/>
      <c r="AI180" s="401"/>
      <c r="AJ180" s="401"/>
      <c r="AK180" s="401"/>
      <c r="AL180" s="401"/>
      <c r="AM180" s="401"/>
      <c r="AN180" s="401"/>
      <c r="AO180" s="401"/>
      <c r="AP180" s="401"/>
    </row>
    <row r="181" spans="4:44" x14ac:dyDescent="0.25">
      <c r="E181" s="172"/>
      <c r="F181" s="481" t="s">
        <v>397</v>
      </c>
      <c r="G181" s="137" t="s">
        <v>201</v>
      </c>
      <c r="H181" s="569"/>
      <c r="I181" s="569"/>
      <c r="J181" s="576">
        <f t="shared" ref="J181:AP181" si="40">hundred * $H18 * J55 / $H43 * J93 * (1 - J67) / hours_in_year</f>
        <v>0</v>
      </c>
      <c r="K181" s="576">
        <f t="shared" si="40"/>
        <v>0</v>
      </c>
      <c r="L181" s="576">
        <f t="shared" si="40"/>
        <v>0</v>
      </c>
      <c r="M181" s="576">
        <f t="shared" si="40"/>
        <v>0</v>
      </c>
      <c r="N181" s="576">
        <f t="shared" si="40"/>
        <v>0</v>
      </c>
      <c r="O181" s="576">
        <f t="shared" si="40"/>
        <v>0</v>
      </c>
      <c r="P181" s="576">
        <f t="shared" si="40"/>
        <v>0</v>
      </c>
      <c r="Q181" s="576">
        <f t="shared" si="40"/>
        <v>0</v>
      </c>
      <c r="R181" s="576">
        <f t="shared" si="40"/>
        <v>0</v>
      </c>
      <c r="S181" s="576">
        <f t="shared" si="40"/>
        <v>0</v>
      </c>
      <c r="T181" s="576">
        <f t="shared" si="40"/>
        <v>0</v>
      </c>
      <c r="U181" s="576">
        <f t="shared" si="40"/>
        <v>0</v>
      </c>
      <c r="V181" s="576">
        <f t="shared" si="40"/>
        <v>0</v>
      </c>
      <c r="W181" s="576">
        <f t="shared" si="40"/>
        <v>0</v>
      </c>
      <c r="X181" s="576">
        <f t="shared" si="40"/>
        <v>0</v>
      </c>
      <c r="Y181" s="576">
        <f t="shared" si="40"/>
        <v>0</v>
      </c>
      <c r="Z181" s="576">
        <f t="shared" si="40"/>
        <v>0</v>
      </c>
      <c r="AA181" s="576">
        <f t="shared" si="40"/>
        <v>0</v>
      </c>
      <c r="AB181" s="576">
        <f t="shared" si="40"/>
        <v>0</v>
      </c>
      <c r="AC181" s="576">
        <f t="shared" si="40"/>
        <v>0</v>
      </c>
      <c r="AD181" s="576">
        <f t="shared" si="40"/>
        <v>0</v>
      </c>
      <c r="AE181" s="576">
        <f t="shared" si="40"/>
        <v>0</v>
      </c>
      <c r="AF181" s="576">
        <f t="shared" si="40"/>
        <v>0</v>
      </c>
      <c r="AG181" s="576">
        <f t="shared" si="40"/>
        <v>0</v>
      </c>
      <c r="AH181" s="576">
        <f t="shared" si="40"/>
        <v>0</v>
      </c>
      <c r="AI181" s="576">
        <f t="shared" si="40"/>
        <v>0</v>
      </c>
      <c r="AJ181" s="576">
        <f t="shared" si="40"/>
        <v>0</v>
      </c>
      <c r="AK181" s="576">
        <f t="shared" si="40"/>
        <v>0</v>
      </c>
      <c r="AL181" s="576">
        <f t="shared" si="40"/>
        <v>0</v>
      </c>
      <c r="AM181" s="576">
        <f t="shared" si="40"/>
        <v>0</v>
      </c>
      <c r="AN181" s="576">
        <f t="shared" si="40"/>
        <v>0</v>
      </c>
      <c r="AO181" s="576">
        <f t="shared" si="40"/>
        <v>0</v>
      </c>
      <c r="AP181" s="576">
        <f t="shared" si="40"/>
        <v>0</v>
      </c>
      <c r="AQ181" s="571"/>
      <c r="AR181" s="571"/>
    </row>
    <row r="182" spans="4:44" x14ac:dyDescent="0.25">
      <c r="E182" s="172"/>
      <c r="F182" s="211" t="s">
        <v>43</v>
      </c>
      <c r="G182" s="139" t="s">
        <v>201</v>
      </c>
      <c r="H182" s="572"/>
      <c r="I182" s="572"/>
      <c r="J182" s="577">
        <f t="shared" ref="J182:AP182" si="41">hundred * $H19 * J56 / $H44 * J94 * (1 - J68) / hours_in_year</f>
        <v>0</v>
      </c>
      <c r="K182" s="577">
        <f t="shared" si="41"/>
        <v>0</v>
      </c>
      <c r="L182" s="577">
        <f t="shared" si="41"/>
        <v>0</v>
      </c>
      <c r="M182" s="577">
        <f t="shared" si="41"/>
        <v>0</v>
      </c>
      <c r="N182" s="577">
        <f t="shared" si="41"/>
        <v>0</v>
      </c>
      <c r="O182" s="577">
        <f t="shared" si="41"/>
        <v>0</v>
      </c>
      <c r="P182" s="577">
        <f t="shared" si="41"/>
        <v>0</v>
      </c>
      <c r="Q182" s="577">
        <f t="shared" si="41"/>
        <v>0</v>
      </c>
      <c r="R182" s="577">
        <f t="shared" si="41"/>
        <v>0</v>
      </c>
      <c r="S182" s="577">
        <f t="shared" si="41"/>
        <v>0</v>
      </c>
      <c r="T182" s="577">
        <f t="shared" si="41"/>
        <v>0</v>
      </c>
      <c r="U182" s="577">
        <f t="shared" si="41"/>
        <v>0</v>
      </c>
      <c r="V182" s="577">
        <f t="shared" si="41"/>
        <v>0</v>
      </c>
      <c r="W182" s="577">
        <f t="shared" si="41"/>
        <v>0</v>
      </c>
      <c r="X182" s="577">
        <f t="shared" si="41"/>
        <v>0</v>
      </c>
      <c r="Y182" s="577">
        <f t="shared" si="41"/>
        <v>0</v>
      </c>
      <c r="Z182" s="577">
        <f t="shared" si="41"/>
        <v>0</v>
      </c>
      <c r="AA182" s="577">
        <f t="shared" si="41"/>
        <v>0</v>
      </c>
      <c r="AB182" s="577">
        <f t="shared" si="41"/>
        <v>0</v>
      </c>
      <c r="AC182" s="577">
        <f t="shared" si="41"/>
        <v>0</v>
      </c>
      <c r="AD182" s="577">
        <f t="shared" si="41"/>
        <v>0</v>
      </c>
      <c r="AE182" s="577">
        <f t="shared" si="41"/>
        <v>0</v>
      </c>
      <c r="AF182" s="577">
        <f t="shared" si="41"/>
        <v>0</v>
      </c>
      <c r="AG182" s="577">
        <f t="shared" si="41"/>
        <v>0</v>
      </c>
      <c r="AH182" s="577">
        <f t="shared" si="41"/>
        <v>0</v>
      </c>
      <c r="AI182" s="577">
        <f t="shared" si="41"/>
        <v>0</v>
      </c>
      <c r="AJ182" s="577">
        <f t="shared" si="41"/>
        <v>0</v>
      </c>
      <c r="AK182" s="577">
        <f t="shared" si="41"/>
        <v>0</v>
      </c>
      <c r="AL182" s="577">
        <f t="shared" si="41"/>
        <v>0</v>
      </c>
      <c r="AM182" s="577">
        <f t="shared" si="41"/>
        <v>0</v>
      </c>
      <c r="AN182" s="577">
        <f t="shared" si="41"/>
        <v>0</v>
      </c>
      <c r="AO182" s="577">
        <f t="shared" si="41"/>
        <v>0</v>
      </c>
      <c r="AP182" s="577">
        <f t="shared" si="41"/>
        <v>0</v>
      </c>
      <c r="AQ182" s="571"/>
      <c r="AR182" s="571"/>
    </row>
    <row r="183" spans="4:44" x14ac:dyDescent="0.25">
      <c r="E183" s="172"/>
      <c r="F183" s="211" t="s">
        <v>44</v>
      </c>
      <c r="G183" s="139" t="s">
        <v>201</v>
      </c>
      <c r="H183" s="572"/>
      <c r="I183" s="572"/>
      <c r="J183" s="577">
        <f t="shared" ref="J183:AP183" si="42">hundred * $H20 * J57 / $H45 * J95 * (1 - J69) / hours_in_year</f>
        <v>0</v>
      </c>
      <c r="K183" s="577">
        <f t="shared" si="42"/>
        <v>7.1468899868683067E-3</v>
      </c>
      <c r="L183" s="577">
        <f t="shared" si="42"/>
        <v>0</v>
      </c>
      <c r="M183" s="577">
        <f t="shared" si="42"/>
        <v>0</v>
      </c>
      <c r="N183" s="577">
        <f t="shared" si="42"/>
        <v>1.8776449445186343E-2</v>
      </c>
      <c r="O183" s="577">
        <f t="shared" si="42"/>
        <v>0</v>
      </c>
      <c r="P183" s="577">
        <f t="shared" si="42"/>
        <v>5.8940929218045564E-3</v>
      </c>
      <c r="Q183" s="577">
        <f t="shared" si="42"/>
        <v>5.5199098157548837E-3</v>
      </c>
      <c r="R183" s="577">
        <f t="shared" si="42"/>
        <v>8.7708212926370568E-3</v>
      </c>
      <c r="S183" s="577">
        <f t="shared" si="42"/>
        <v>7.3364208119998192E-2</v>
      </c>
      <c r="T183" s="577">
        <f t="shared" si="42"/>
        <v>7.7424477720297577E-2</v>
      </c>
      <c r="U183" s="577">
        <f t="shared" si="42"/>
        <v>5.7863145951336521E-2</v>
      </c>
      <c r="V183" s="577">
        <f t="shared" si="42"/>
        <v>5.3743064077477511E-2</v>
      </c>
      <c r="W183" s="577">
        <f t="shared" si="42"/>
        <v>4.8187797445028338E-2</v>
      </c>
      <c r="X183" s="577">
        <f t="shared" si="42"/>
        <v>0</v>
      </c>
      <c r="Y183" s="577">
        <f t="shared" si="42"/>
        <v>0</v>
      </c>
      <c r="Z183" s="577">
        <f t="shared" si="42"/>
        <v>0</v>
      </c>
      <c r="AA183" s="577">
        <f t="shared" si="42"/>
        <v>0</v>
      </c>
      <c r="AB183" s="577">
        <f t="shared" si="42"/>
        <v>8.9806761718158143E-2</v>
      </c>
      <c r="AC183" s="577">
        <f t="shared" si="42"/>
        <v>0</v>
      </c>
      <c r="AD183" s="577">
        <f t="shared" si="42"/>
        <v>0</v>
      </c>
      <c r="AE183" s="577">
        <f t="shared" si="42"/>
        <v>0</v>
      </c>
      <c r="AF183" s="577">
        <f t="shared" si="42"/>
        <v>0</v>
      </c>
      <c r="AG183" s="577">
        <f t="shared" si="42"/>
        <v>-4.8539495133373571E-2</v>
      </c>
      <c r="AH183" s="577">
        <f t="shared" si="42"/>
        <v>-4.8539495133373571E-2</v>
      </c>
      <c r="AI183" s="577">
        <f t="shared" si="42"/>
        <v>0</v>
      </c>
      <c r="AJ183" s="577">
        <f t="shared" si="42"/>
        <v>0</v>
      </c>
      <c r="AK183" s="577">
        <f t="shared" si="42"/>
        <v>-4.6622875949962138E-2</v>
      </c>
      <c r="AL183" s="577">
        <f t="shared" si="42"/>
        <v>-4.6622875949962138E-2</v>
      </c>
      <c r="AM183" s="577">
        <f t="shared" si="42"/>
        <v>0</v>
      </c>
      <c r="AN183" s="577">
        <f t="shared" si="42"/>
        <v>0</v>
      </c>
      <c r="AO183" s="577">
        <f t="shared" si="42"/>
        <v>-4.5954287862725575E-2</v>
      </c>
      <c r="AP183" s="577">
        <f t="shared" si="42"/>
        <v>-4.5954287862725575E-2</v>
      </c>
      <c r="AQ183" s="571"/>
      <c r="AR183" s="571"/>
    </row>
    <row r="184" spans="4:44" x14ac:dyDescent="0.25">
      <c r="E184" s="172"/>
      <c r="F184" s="211" t="s">
        <v>45</v>
      </c>
      <c r="G184" s="139" t="s">
        <v>201</v>
      </c>
      <c r="H184" s="572"/>
      <c r="I184" s="572"/>
      <c r="J184" s="577">
        <f t="shared" ref="J184:AP184" si="43">hundred * $H21 * J58 / $H46 * J96 * (1 - J70) / hours_in_year</f>
        <v>0</v>
      </c>
      <c r="K184" s="577">
        <f t="shared" si="43"/>
        <v>1.9890060826537248E-3</v>
      </c>
      <c r="L184" s="577">
        <f t="shared" si="43"/>
        <v>0</v>
      </c>
      <c r="M184" s="577">
        <f t="shared" si="43"/>
        <v>0</v>
      </c>
      <c r="N184" s="577">
        <f t="shared" si="43"/>
        <v>5.2255557628193778E-3</v>
      </c>
      <c r="O184" s="577">
        <f t="shared" si="43"/>
        <v>0</v>
      </c>
      <c r="P184" s="577">
        <f t="shared" si="43"/>
        <v>1.640347996784066E-3</v>
      </c>
      <c r="Q184" s="577">
        <f t="shared" si="43"/>
        <v>1.5362114457350708E-3</v>
      </c>
      <c r="R184" s="577">
        <f t="shared" si="43"/>
        <v>2.4409522089996827E-3</v>
      </c>
      <c r="S184" s="577">
        <f t="shared" si="43"/>
        <v>2.0417532166839978E-2</v>
      </c>
      <c r="T184" s="577">
        <f t="shared" si="43"/>
        <v>2.154752030812215E-2</v>
      </c>
      <c r="U184" s="577">
        <f t="shared" si="43"/>
        <v>1.6103528873419794E-2</v>
      </c>
      <c r="V184" s="577">
        <f t="shared" si="43"/>
        <v>1.4956894753796546E-2</v>
      </c>
      <c r="W184" s="577">
        <f t="shared" si="43"/>
        <v>1.3410843374384392E-2</v>
      </c>
      <c r="X184" s="577">
        <f t="shared" si="43"/>
        <v>0</v>
      </c>
      <c r="Y184" s="577">
        <f t="shared" si="43"/>
        <v>0</v>
      </c>
      <c r="Z184" s="577">
        <f t="shared" si="43"/>
        <v>0</v>
      </c>
      <c r="AA184" s="577">
        <f t="shared" si="43"/>
        <v>0</v>
      </c>
      <c r="AB184" s="577">
        <f t="shared" si="43"/>
        <v>2.499355602913406E-2</v>
      </c>
      <c r="AC184" s="577">
        <f t="shared" si="43"/>
        <v>0</v>
      </c>
      <c r="AD184" s="577">
        <f t="shared" si="43"/>
        <v>0</v>
      </c>
      <c r="AE184" s="577">
        <f t="shared" si="43"/>
        <v>0</v>
      </c>
      <c r="AF184" s="577">
        <f t="shared" si="43"/>
        <v>0</v>
      </c>
      <c r="AG184" s="577">
        <f t="shared" si="43"/>
        <v>-1.3508722149999972E-2</v>
      </c>
      <c r="AH184" s="577">
        <f t="shared" si="43"/>
        <v>-1.3508722149999972E-2</v>
      </c>
      <c r="AI184" s="577">
        <f t="shared" si="43"/>
        <v>0</v>
      </c>
      <c r="AJ184" s="577">
        <f t="shared" si="43"/>
        <v>0</v>
      </c>
      <c r="AK184" s="577">
        <f t="shared" si="43"/>
        <v>-1.2975319897979771E-2</v>
      </c>
      <c r="AL184" s="577">
        <f t="shared" si="43"/>
        <v>-1.2975319897979771E-2</v>
      </c>
      <c r="AM184" s="577">
        <f t="shared" si="43"/>
        <v>0</v>
      </c>
      <c r="AN184" s="577">
        <f t="shared" si="43"/>
        <v>0</v>
      </c>
      <c r="AO184" s="577">
        <f t="shared" si="43"/>
        <v>-1.2789249344949467E-2</v>
      </c>
      <c r="AP184" s="577">
        <f t="shared" si="43"/>
        <v>-1.2789249344949467E-2</v>
      </c>
      <c r="AQ184" s="571"/>
      <c r="AR184" s="571"/>
    </row>
    <row r="185" spans="4:44" x14ac:dyDescent="0.25">
      <c r="E185" s="172"/>
      <c r="F185" s="211" t="s">
        <v>46</v>
      </c>
      <c r="G185" s="139" t="s">
        <v>201</v>
      </c>
      <c r="H185" s="572"/>
      <c r="I185" s="572"/>
      <c r="J185" s="577">
        <f t="shared" ref="J185:AP185" si="44">hundred * $H22 * J59 / $H47 * J97 * (1 - J71) / hours_in_year</f>
        <v>0</v>
      </c>
      <c r="K185" s="577">
        <f t="shared" si="44"/>
        <v>1.0437244821430073E-2</v>
      </c>
      <c r="L185" s="577">
        <f t="shared" si="44"/>
        <v>0</v>
      </c>
      <c r="M185" s="577">
        <f t="shared" si="44"/>
        <v>0</v>
      </c>
      <c r="N185" s="577">
        <f t="shared" si="44"/>
        <v>2.5923129200984236E-2</v>
      </c>
      <c r="O185" s="577">
        <f t="shared" si="44"/>
        <v>0</v>
      </c>
      <c r="P185" s="577">
        <f t="shared" si="44"/>
        <v>9.3764952503399505E-3</v>
      </c>
      <c r="Q185" s="577">
        <f t="shared" si="44"/>
        <v>8.5122406275846569E-3</v>
      </c>
      <c r="R185" s="577">
        <f t="shared" si="44"/>
        <v>1.2561592111073818E-2</v>
      </c>
      <c r="S185" s="577">
        <f t="shared" si="44"/>
        <v>8.9245693750505894E-2</v>
      </c>
      <c r="T185" s="577">
        <f t="shared" si="44"/>
        <v>9.4201663429411678E-2</v>
      </c>
      <c r="U185" s="577">
        <f t="shared" si="44"/>
        <v>7.0422626758847584E-2</v>
      </c>
      <c r="V185" s="577">
        <f t="shared" si="44"/>
        <v>6.5408260822666292E-2</v>
      </c>
      <c r="W185" s="577">
        <f t="shared" si="44"/>
        <v>5.7331276420751122E-2</v>
      </c>
      <c r="X185" s="577">
        <f t="shared" si="44"/>
        <v>0</v>
      </c>
      <c r="Y185" s="577">
        <f t="shared" si="44"/>
        <v>0</v>
      </c>
      <c r="Z185" s="577">
        <f t="shared" si="44"/>
        <v>0</v>
      </c>
      <c r="AA185" s="577">
        <f t="shared" si="44"/>
        <v>0</v>
      </c>
      <c r="AB185" s="577">
        <f t="shared" si="44"/>
        <v>7.2213711035596123E-2</v>
      </c>
      <c r="AC185" s="577">
        <f t="shared" si="44"/>
        <v>0</v>
      </c>
      <c r="AD185" s="577">
        <f t="shared" si="44"/>
        <v>0</v>
      </c>
      <c r="AE185" s="577">
        <f t="shared" si="44"/>
        <v>0</v>
      </c>
      <c r="AF185" s="577">
        <f t="shared" si="44"/>
        <v>0</v>
      </c>
      <c r="AG185" s="577">
        <f t="shared" si="44"/>
        <v>-5.9075231611417596E-2</v>
      </c>
      <c r="AH185" s="577">
        <f t="shared" si="44"/>
        <v>-5.9075231611417596E-2</v>
      </c>
      <c r="AI185" s="577">
        <f t="shared" si="44"/>
        <v>0</v>
      </c>
      <c r="AJ185" s="577">
        <f t="shared" si="44"/>
        <v>0</v>
      </c>
      <c r="AK185" s="577">
        <f t="shared" si="44"/>
        <v>-5.6742600794805149E-2</v>
      </c>
      <c r="AL185" s="577">
        <f t="shared" si="44"/>
        <v>-5.6742600794805149E-2</v>
      </c>
      <c r="AM185" s="577">
        <f t="shared" si="44"/>
        <v>0</v>
      </c>
      <c r="AN185" s="577">
        <f t="shared" si="44"/>
        <v>0</v>
      </c>
      <c r="AO185" s="577">
        <f t="shared" si="44"/>
        <v>-5.4673965606795112E-2</v>
      </c>
      <c r="AP185" s="577">
        <f t="shared" si="44"/>
        <v>-5.4673965606795112E-2</v>
      </c>
      <c r="AQ185" s="571"/>
      <c r="AR185" s="571"/>
    </row>
    <row r="186" spans="4:44" x14ac:dyDescent="0.25">
      <c r="E186" s="172"/>
      <c r="F186" s="211" t="s">
        <v>47</v>
      </c>
      <c r="G186" s="139" t="s">
        <v>201</v>
      </c>
      <c r="H186" s="572"/>
      <c r="I186" s="572"/>
      <c r="J186" s="577">
        <f t="shared" ref="J186:AP186" si="45">hundred * $H23 * J60 / $H48 * J98 * (1 - J72) / hours_in_year</f>
        <v>0</v>
      </c>
      <c r="K186" s="577">
        <f t="shared" si="45"/>
        <v>7.8530374961474671E-3</v>
      </c>
      <c r="L186" s="577">
        <f t="shared" si="45"/>
        <v>0</v>
      </c>
      <c r="M186" s="577">
        <f t="shared" si="45"/>
        <v>0</v>
      </c>
      <c r="N186" s="577">
        <f t="shared" si="45"/>
        <v>1.9504697754604491E-2</v>
      </c>
      <c r="O186" s="577">
        <f t="shared" si="45"/>
        <v>0</v>
      </c>
      <c r="P186" s="577">
        <f t="shared" si="45"/>
        <v>7.0549239807214947E-3</v>
      </c>
      <c r="Q186" s="577">
        <f t="shared" si="45"/>
        <v>6.4046542903161549E-3</v>
      </c>
      <c r="R186" s="577">
        <f t="shared" si="45"/>
        <v>9.2523153518570302E-3</v>
      </c>
      <c r="S186" s="577">
        <f t="shared" si="45"/>
        <v>6.7148925926640152E-2</v>
      </c>
      <c r="T186" s="577">
        <f t="shared" si="45"/>
        <v>7.0877823387999528E-2</v>
      </c>
      <c r="U186" s="577">
        <f t="shared" si="45"/>
        <v>5.298635204751799E-2</v>
      </c>
      <c r="V186" s="577">
        <f t="shared" si="45"/>
        <v>4.9213516937299646E-2</v>
      </c>
      <c r="W186" s="577">
        <f t="shared" si="45"/>
        <v>4.2227692499396861E-2</v>
      </c>
      <c r="X186" s="577">
        <f t="shared" si="45"/>
        <v>0</v>
      </c>
      <c r="Y186" s="577">
        <f t="shared" si="45"/>
        <v>0</v>
      </c>
      <c r="Z186" s="577">
        <f t="shared" si="45"/>
        <v>0</v>
      </c>
      <c r="AA186" s="577">
        <f t="shared" si="45"/>
        <v>0</v>
      </c>
      <c r="AB186" s="577">
        <f t="shared" si="45"/>
        <v>5.433397320853426E-2</v>
      </c>
      <c r="AC186" s="577">
        <f t="shared" si="45"/>
        <v>0</v>
      </c>
      <c r="AD186" s="577">
        <f t="shared" si="45"/>
        <v>0</v>
      </c>
      <c r="AE186" s="577">
        <f t="shared" si="45"/>
        <v>0</v>
      </c>
      <c r="AF186" s="577">
        <f t="shared" si="45"/>
        <v>0</v>
      </c>
      <c r="AG186" s="577">
        <f t="shared" si="45"/>
        <v>-4.4448512694224014E-2</v>
      </c>
      <c r="AH186" s="577">
        <f t="shared" si="45"/>
        <v>-4.4448512694224014E-2</v>
      </c>
      <c r="AI186" s="577">
        <f t="shared" si="45"/>
        <v>0</v>
      </c>
      <c r="AJ186" s="577">
        <f t="shared" si="45"/>
        <v>0</v>
      </c>
      <c r="AK186" s="577">
        <f t="shared" si="45"/>
        <v>-4.2693429089217944E-2</v>
      </c>
      <c r="AL186" s="577">
        <f t="shared" si="45"/>
        <v>-4.2693429089217944E-2</v>
      </c>
      <c r="AM186" s="577">
        <f t="shared" si="45"/>
        <v>0</v>
      </c>
      <c r="AN186" s="577">
        <f t="shared" si="45"/>
        <v>0</v>
      </c>
      <c r="AO186" s="577">
        <f t="shared" si="45"/>
        <v>-4.0270434420865031E-2</v>
      </c>
      <c r="AP186" s="577">
        <f t="shared" si="45"/>
        <v>-4.0270434420865031E-2</v>
      </c>
      <c r="AQ186" s="571"/>
      <c r="AR186" s="571"/>
    </row>
    <row r="187" spans="4:44" x14ac:dyDescent="0.25">
      <c r="E187" s="172"/>
      <c r="F187" s="211" t="s">
        <v>51</v>
      </c>
      <c r="G187" s="139" t="s">
        <v>201</v>
      </c>
      <c r="H187" s="572"/>
      <c r="I187" s="572"/>
      <c r="J187" s="577">
        <f t="shared" ref="J187:AP187" si="46">hundred * $H24 * J61 / $H49 * J99 * (1 - J73) / hours_in_year</f>
        <v>0</v>
      </c>
      <c r="K187" s="577">
        <f t="shared" si="46"/>
        <v>0</v>
      </c>
      <c r="L187" s="577">
        <f t="shared" si="46"/>
        <v>0</v>
      </c>
      <c r="M187" s="577">
        <f t="shared" si="46"/>
        <v>0</v>
      </c>
      <c r="N187" s="577">
        <f t="shared" si="46"/>
        <v>0</v>
      </c>
      <c r="O187" s="577">
        <f t="shared" si="46"/>
        <v>0</v>
      </c>
      <c r="P187" s="577">
        <f t="shared" si="46"/>
        <v>0</v>
      </c>
      <c r="Q187" s="577">
        <f t="shared" si="46"/>
        <v>0</v>
      </c>
      <c r="R187" s="577">
        <f t="shared" si="46"/>
        <v>0</v>
      </c>
      <c r="S187" s="577">
        <f t="shared" si="46"/>
        <v>0</v>
      </c>
      <c r="T187" s="577">
        <f t="shared" si="46"/>
        <v>0</v>
      </c>
      <c r="U187" s="577">
        <f t="shared" si="46"/>
        <v>0</v>
      </c>
      <c r="V187" s="577">
        <f t="shared" si="46"/>
        <v>0</v>
      </c>
      <c r="W187" s="577">
        <f t="shared" si="46"/>
        <v>0</v>
      </c>
      <c r="X187" s="577">
        <f t="shared" si="46"/>
        <v>0</v>
      </c>
      <c r="Y187" s="577">
        <f t="shared" si="46"/>
        <v>0</v>
      </c>
      <c r="Z187" s="577">
        <f t="shared" si="46"/>
        <v>0</v>
      </c>
      <c r="AA187" s="577">
        <f t="shared" si="46"/>
        <v>0</v>
      </c>
      <c r="AB187" s="577">
        <f t="shared" si="46"/>
        <v>0</v>
      </c>
      <c r="AC187" s="577">
        <f t="shared" si="46"/>
        <v>0</v>
      </c>
      <c r="AD187" s="577">
        <f t="shared" si="46"/>
        <v>0</v>
      </c>
      <c r="AE187" s="577">
        <f t="shared" si="46"/>
        <v>0</v>
      </c>
      <c r="AF187" s="577">
        <f t="shared" si="46"/>
        <v>0</v>
      </c>
      <c r="AG187" s="577">
        <f t="shared" si="46"/>
        <v>0</v>
      </c>
      <c r="AH187" s="577">
        <f t="shared" si="46"/>
        <v>0</v>
      </c>
      <c r="AI187" s="577">
        <f t="shared" si="46"/>
        <v>0</v>
      </c>
      <c r="AJ187" s="577">
        <f t="shared" si="46"/>
        <v>0</v>
      </c>
      <c r="AK187" s="577">
        <f t="shared" si="46"/>
        <v>0</v>
      </c>
      <c r="AL187" s="577">
        <f t="shared" si="46"/>
        <v>0</v>
      </c>
      <c r="AM187" s="577">
        <f t="shared" si="46"/>
        <v>0</v>
      </c>
      <c r="AN187" s="577">
        <f t="shared" si="46"/>
        <v>0</v>
      </c>
      <c r="AO187" s="577">
        <f t="shared" si="46"/>
        <v>0</v>
      </c>
      <c r="AP187" s="577">
        <f t="shared" si="46"/>
        <v>0</v>
      </c>
      <c r="AQ187" s="571"/>
      <c r="AR187" s="571"/>
    </row>
    <row r="188" spans="4:44" x14ac:dyDescent="0.25">
      <c r="E188" s="172"/>
      <c r="F188" s="211" t="s">
        <v>48</v>
      </c>
      <c r="G188" s="139" t="s">
        <v>201</v>
      </c>
      <c r="H188" s="572"/>
      <c r="I188" s="572"/>
      <c r="J188" s="577">
        <f t="shared" ref="J188:AP188" si="47">hundred * $H25 * J62 / $H50 * J100 * (1 - J74) / hours_in_year</f>
        <v>0</v>
      </c>
      <c r="K188" s="577">
        <f t="shared" si="47"/>
        <v>3.041469746739147E-2</v>
      </c>
      <c r="L188" s="577">
        <f t="shared" si="47"/>
        <v>0</v>
      </c>
      <c r="M188" s="577">
        <f t="shared" si="47"/>
        <v>0</v>
      </c>
      <c r="N188" s="577">
        <f t="shared" si="47"/>
        <v>7.2861242686592192E-2</v>
      </c>
      <c r="O188" s="577">
        <f t="shared" si="47"/>
        <v>0</v>
      </c>
      <c r="P188" s="577">
        <f t="shared" si="47"/>
        <v>2.79062215212421E-2</v>
      </c>
      <c r="Q188" s="577">
        <f t="shared" si="47"/>
        <v>2.5040174038317962E-2</v>
      </c>
      <c r="R188" s="577">
        <f t="shared" si="47"/>
        <v>3.4813056059155204E-2</v>
      </c>
      <c r="S188" s="577">
        <f t="shared" si="47"/>
        <v>0.23550825932094649</v>
      </c>
      <c r="T188" s="577">
        <f t="shared" si="47"/>
        <v>0.24866536500589811</v>
      </c>
      <c r="U188" s="577">
        <f t="shared" si="47"/>
        <v>0.18596373610735464</v>
      </c>
      <c r="V188" s="577">
        <f t="shared" si="47"/>
        <v>0.17272239214421467</v>
      </c>
      <c r="W188" s="577">
        <f t="shared" si="47"/>
        <v>0.1455619871467432</v>
      </c>
      <c r="X188" s="577">
        <f t="shared" si="47"/>
        <v>0</v>
      </c>
      <c r="Y188" s="577">
        <f t="shared" si="47"/>
        <v>0</v>
      </c>
      <c r="Z188" s="577">
        <f t="shared" si="47"/>
        <v>0</v>
      </c>
      <c r="AA188" s="577">
        <f t="shared" si="47"/>
        <v>0</v>
      </c>
      <c r="AB188" s="577">
        <f t="shared" si="47"/>
        <v>0.16029608530577649</v>
      </c>
      <c r="AC188" s="577">
        <f t="shared" si="47"/>
        <v>0</v>
      </c>
      <c r="AD188" s="577">
        <f t="shared" si="47"/>
        <v>0</v>
      </c>
      <c r="AE188" s="577">
        <f t="shared" si="47"/>
        <v>0</v>
      </c>
      <c r="AF188" s="577">
        <f t="shared" si="47"/>
        <v>0</v>
      </c>
      <c r="AG188" s="577">
        <f t="shared" si="47"/>
        <v>-0.15599887830776352</v>
      </c>
      <c r="AH188" s="577">
        <f t="shared" si="47"/>
        <v>-0.15599887830776352</v>
      </c>
      <c r="AI188" s="577">
        <f t="shared" si="47"/>
        <v>0</v>
      </c>
      <c r="AJ188" s="577">
        <f t="shared" si="47"/>
        <v>0</v>
      </c>
      <c r="AK188" s="577">
        <f t="shared" si="47"/>
        <v>-0.1498391429843165</v>
      </c>
      <c r="AL188" s="577">
        <f t="shared" si="47"/>
        <v>-0.1498391429843165</v>
      </c>
      <c r="AM188" s="577">
        <f t="shared" si="47"/>
        <v>0</v>
      </c>
      <c r="AN188" s="577">
        <f t="shared" si="47"/>
        <v>0</v>
      </c>
      <c r="AO188" s="577">
        <f t="shared" si="47"/>
        <v>0</v>
      </c>
      <c r="AP188" s="577">
        <f t="shared" si="47"/>
        <v>0</v>
      </c>
      <c r="AQ188" s="571"/>
      <c r="AR188" s="571"/>
    </row>
    <row r="189" spans="4:44" x14ac:dyDescent="0.25">
      <c r="E189" s="172"/>
      <c r="F189" s="211" t="s">
        <v>49</v>
      </c>
      <c r="G189" s="139" t="s">
        <v>201</v>
      </c>
      <c r="H189" s="572"/>
      <c r="I189" s="572"/>
      <c r="J189" s="577">
        <f t="shared" ref="J189:AP189" si="48">hundred * $H26 * J63 / $H51 * J101 * (1 - J75) / hours_in_year</f>
        <v>0</v>
      </c>
      <c r="K189" s="577">
        <f t="shared" si="48"/>
        <v>8.7614059686601988E-3</v>
      </c>
      <c r="L189" s="577">
        <f t="shared" si="48"/>
        <v>0</v>
      </c>
      <c r="M189" s="577">
        <f t="shared" si="48"/>
        <v>0</v>
      </c>
      <c r="N189" s="577">
        <f t="shared" si="48"/>
        <v>2.0988764634030002E-2</v>
      </c>
      <c r="O189" s="577">
        <f t="shared" si="48"/>
        <v>0</v>
      </c>
      <c r="P189" s="577">
        <f t="shared" si="48"/>
        <v>8.0388021633651854E-3</v>
      </c>
      <c r="Q189" s="577">
        <f t="shared" si="48"/>
        <v>7.213194558677455E-3</v>
      </c>
      <c r="R189" s="577">
        <f t="shared" si="48"/>
        <v>0</v>
      </c>
      <c r="S189" s="577">
        <f t="shared" si="48"/>
        <v>6.7841656853418669E-2</v>
      </c>
      <c r="T189" s="577">
        <f t="shared" si="48"/>
        <v>7.1631756833930332E-2</v>
      </c>
      <c r="U189" s="577">
        <f t="shared" si="48"/>
        <v>5.3569620057281615E-2</v>
      </c>
      <c r="V189" s="577">
        <f t="shared" si="48"/>
        <v>4.9755253987847012E-2</v>
      </c>
      <c r="W189" s="577">
        <f t="shared" si="48"/>
        <v>0</v>
      </c>
      <c r="X189" s="577">
        <f t="shared" si="48"/>
        <v>0</v>
      </c>
      <c r="Y189" s="577">
        <f t="shared" si="48"/>
        <v>0</v>
      </c>
      <c r="Z189" s="577">
        <f t="shared" si="48"/>
        <v>0</v>
      </c>
      <c r="AA189" s="577">
        <f t="shared" si="48"/>
        <v>0</v>
      </c>
      <c r="AB189" s="577">
        <f t="shared" si="48"/>
        <v>4.6175671484374126E-2</v>
      </c>
      <c r="AC189" s="577">
        <f t="shared" si="48"/>
        <v>0</v>
      </c>
      <c r="AD189" s="577">
        <f t="shared" si="48"/>
        <v>0</v>
      </c>
      <c r="AE189" s="577">
        <f t="shared" si="48"/>
        <v>0</v>
      </c>
      <c r="AF189" s="577">
        <f t="shared" si="48"/>
        <v>0</v>
      </c>
      <c r="AG189" s="577">
        <f t="shared" si="48"/>
        <v>-4.4937797095476309E-2</v>
      </c>
      <c r="AH189" s="577">
        <f t="shared" si="48"/>
        <v>-4.4937797095476309E-2</v>
      </c>
      <c r="AI189" s="577">
        <f t="shared" si="48"/>
        <v>0</v>
      </c>
      <c r="AJ189" s="577">
        <f t="shared" si="48"/>
        <v>0</v>
      </c>
      <c r="AK189" s="577">
        <f t="shared" si="48"/>
        <v>0</v>
      </c>
      <c r="AL189" s="577">
        <f t="shared" si="48"/>
        <v>0</v>
      </c>
      <c r="AM189" s="577">
        <f t="shared" si="48"/>
        <v>0</v>
      </c>
      <c r="AN189" s="577">
        <f t="shared" si="48"/>
        <v>0</v>
      </c>
      <c r="AO189" s="577">
        <f t="shared" si="48"/>
        <v>0</v>
      </c>
      <c r="AP189" s="577">
        <f t="shared" si="48"/>
        <v>0</v>
      </c>
      <c r="AQ189" s="571"/>
      <c r="AR189" s="571"/>
    </row>
    <row r="190" spans="4:44" x14ac:dyDescent="0.25">
      <c r="E190" s="172"/>
      <c r="F190" s="212" t="s">
        <v>50</v>
      </c>
      <c r="G190" s="140" t="s">
        <v>201</v>
      </c>
      <c r="H190" s="574"/>
      <c r="I190" s="574"/>
      <c r="J190" s="578">
        <f t="shared" ref="J190:AP190" si="49">hundred * $H27 * J64 / $H52 * J102 * (1 - J76) / hours_in_year</f>
        <v>0</v>
      </c>
      <c r="K190" s="578">
        <f t="shared" si="49"/>
        <v>1.2039910815869639E-3</v>
      </c>
      <c r="L190" s="578">
        <f t="shared" si="49"/>
        <v>0</v>
      </c>
      <c r="M190" s="578">
        <f t="shared" si="49"/>
        <v>0</v>
      </c>
      <c r="N190" s="578">
        <f t="shared" si="49"/>
        <v>2.8842728579513994E-3</v>
      </c>
      <c r="O190" s="578">
        <f t="shared" si="49"/>
        <v>0</v>
      </c>
      <c r="P190" s="578">
        <f t="shared" si="49"/>
        <v>1.1046909760778661E-3</v>
      </c>
      <c r="Q190" s="578">
        <f t="shared" si="49"/>
        <v>0</v>
      </c>
      <c r="R190" s="578">
        <f t="shared" si="49"/>
        <v>0</v>
      </c>
      <c r="S190" s="578">
        <f t="shared" si="49"/>
        <v>9.3227902124126648E-3</v>
      </c>
      <c r="T190" s="578">
        <f t="shared" si="49"/>
        <v>9.8436251778487877E-3</v>
      </c>
      <c r="U190" s="578">
        <f t="shared" si="49"/>
        <v>7.3615290769173444E-3</v>
      </c>
      <c r="V190" s="578">
        <f t="shared" si="49"/>
        <v>0</v>
      </c>
      <c r="W190" s="578">
        <f t="shared" si="49"/>
        <v>0</v>
      </c>
      <c r="X190" s="578">
        <f t="shared" si="49"/>
        <v>0</v>
      </c>
      <c r="Y190" s="578">
        <f t="shared" si="49"/>
        <v>0</v>
      </c>
      <c r="Z190" s="578">
        <f t="shared" si="49"/>
        <v>0</v>
      </c>
      <c r="AA190" s="578">
        <f t="shared" si="49"/>
        <v>0</v>
      </c>
      <c r="AB190" s="578">
        <f t="shared" si="49"/>
        <v>6.3454537835983399E-3</v>
      </c>
      <c r="AC190" s="578">
        <f t="shared" si="49"/>
        <v>0</v>
      </c>
      <c r="AD190" s="578">
        <f t="shared" si="49"/>
        <v>0</v>
      </c>
      <c r="AE190" s="578">
        <f t="shared" si="49"/>
        <v>0</v>
      </c>
      <c r="AF190" s="578">
        <f t="shared" si="49"/>
        <v>0</v>
      </c>
      <c r="AG190" s="578">
        <f t="shared" si="49"/>
        <v>0</v>
      </c>
      <c r="AH190" s="578">
        <f t="shared" si="49"/>
        <v>0</v>
      </c>
      <c r="AI190" s="578">
        <f t="shared" si="49"/>
        <v>0</v>
      </c>
      <c r="AJ190" s="578">
        <f t="shared" si="49"/>
        <v>0</v>
      </c>
      <c r="AK190" s="578">
        <f t="shared" si="49"/>
        <v>0</v>
      </c>
      <c r="AL190" s="578">
        <f t="shared" si="49"/>
        <v>0</v>
      </c>
      <c r="AM190" s="578">
        <f t="shared" si="49"/>
        <v>0</v>
      </c>
      <c r="AN190" s="578">
        <f t="shared" si="49"/>
        <v>0</v>
      </c>
      <c r="AO190" s="578">
        <f t="shared" si="49"/>
        <v>0</v>
      </c>
      <c r="AP190" s="578">
        <f t="shared" si="49"/>
        <v>0</v>
      </c>
      <c r="AQ190" s="571"/>
      <c r="AR190" s="571"/>
    </row>
    <row r="191" spans="4:44" x14ac:dyDescent="0.25">
      <c r="E191" s="172"/>
      <c r="F191" s="211"/>
      <c r="G191" s="139"/>
      <c r="H191" s="139"/>
      <c r="I191" s="139"/>
      <c r="J191" s="413"/>
      <c r="K191" s="413"/>
      <c r="L191" s="413"/>
      <c r="M191" s="413"/>
      <c r="N191" s="413"/>
      <c r="O191" s="413"/>
      <c r="P191" s="413"/>
      <c r="Q191" s="413"/>
      <c r="R191" s="413"/>
      <c r="S191" s="413"/>
      <c r="T191" s="413"/>
      <c r="U191" s="413"/>
      <c r="V191" s="413"/>
      <c r="W191" s="413"/>
      <c r="X191" s="413"/>
      <c r="Y191" s="413"/>
      <c r="Z191" s="413"/>
      <c r="AA191" s="413"/>
      <c r="AB191" s="413"/>
      <c r="AC191" s="413"/>
      <c r="AD191" s="413"/>
      <c r="AE191" s="413"/>
      <c r="AF191" s="413"/>
      <c r="AG191" s="413"/>
      <c r="AH191" s="413"/>
      <c r="AI191" s="413"/>
      <c r="AJ191" s="413"/>
      <c r="AK191" s="413"/>
      <c r="AL191" s="413"/>
      <c r="AM191" s="413"/>
      <c r="AN191" s="413"/>
      <c r="AO191" s="413"/>
      <c r="AP191" s="413"/>
    </row>
    <row r="192" spans="4:44" x14ac:dyDescent="0.25">
      <c r="E192" s="172" t="s">
        <v>133</v>
      </c>
      <c r="F192" s="213"/>
      <c r="J192" s="401"/>
      <c r="K192" s="401"/>
      <c r="L192" s="401"/>
      <c r="M192" s="401"/>
      <c r="N192" s="401"/>
      <c r="O192" s="401"/>
      <c r="P192" s="401"/>
      <c r="Q192" s="401"/>
      <c r="R192" s="401"/>
      <c r="S192" s="401"/>
      <c r="T192" s="401"/>
      <c r="U192" s="401"/>
      <c r="V192" s="401"/>
      <c r="W192" s="401"/>
      <c r="X192" s="401"/>
      <c r="Y192" s="401"/>
      <c r="Z192" s="401"/>
      <c r="AA192" s="401"/>
      <c r="AB192" s="401"/>
      <c r="AC192" s="401"/>
      <c r="AD192" s="401"/>
      <c r="AE192" s="401"/>
      <c r="AF192" s="401"/>
      <c r="AG192" s="401"/>
      <c r="AH192" s="401"/>
      <c r="AI192" s="401"/>
      <c r="AJ192" s="401"/>
      <c r="AK192" s="401"/>
      <c r="AL192" s="401"/>
      <c r="AM192" s="401"/>
      <c r="AN192" s="401"/>
      <c r="AO192" s="401"/>
      <c r="AP192" s="401"/>
    </row>
    <row r="193" spans="3:44" x14ac:dyDescent="0.25">
      <c r="D193" s="144"/>
      <c r="E193" s="172"/>
      <c r="F193" s="481" t="s">
        <v>397</v>
      </c>
      <c r="G193" s="137" t="s">
        <v>201</v>
      </c>
      <c r="H193" s="569"/>
      <c r="I193" s="569"/>
      <c r="J193" s="576">
        <f t="shared" ref="J193:AP193" si="50">hundred * $H30 * J55 / $H43 * J93 / hours_in_year</f>
        <v>0</v>
      </c>
      <c r="K193" s="576">
        <f t="shared" si="50"/>
        <v>1.3914552701519759E-3</v>
      </c>
      <c r="L193" s="576">
        <f t="shared" si="50"/>
        <v>0</v>
      </c>
      <c r="M193" s="576">
        <f t="shared" si="50"/>
        <v>0</v>
      </c>
      <c r="N193" s="576">
        <f t="shared" si="50"/>
        <v>3.4152497029251157E-3</v>
      </c>
      <c r="O193" s="576">
        <f t="shared" si="50"/>
        <v>0</v>
      </c>
      <c r="P193" s="576">
        <f t="shared" si="50"/>
        <v>9.7595149175606639E-4</v>
      </c>
      <c r="Q193" s="576">
        <f t="shared" si="50"/>
        <v>9.346863916737221E-4</v>
      </c>
      <c r="R193" s="576">
        <f t="shared" si="50"/>
        <v>1.5371304999939163E-3</v>
      </c>
      <c r="S193" s="576">
        <f t="shared" si="50"/>
        <v>1.4259631783429916E-2</v>
      </c>
      <c r="T193" s="576">
        <f t="shared" si="50"/>
        <v>1.5048214395972016E-2</v>
      </c>
      <c r="U193" s="576">
        <f t="shared" si="50"/>
        <v>1.1244794923944933E-2</v>
      </c>
      <c r="V193" s="576">
        <f t="shared" si="50"/>
        <v>1.0444121628711882E-2</v>
      </c>
      <c r="W193" s="576">
        <f t="shared" si="50"/>
        <v>9.3645426842441735E-3</v>
      </c>
      <c r="X193" s="576">
        <f t="shared" si="50"/>
        <v>0</v>
      </c>
      <c r="Y193" s="576">
        <f t="shared" si="50"/>
        <v>0</v>
      </c>
      <c r="Z193" s="576">
        <f t="shared" si="50"/>
        <v>0</v>
      </c>
      <c r="AA193" s="576">
        <f t="shared" si="50"/>
        <v>0</v>
      </c>
      <c r="AB193" s="576">
        <f t="shared" si="50"/>
        <v>3.0225591444152215E-2</v>
      </c>
      <c r="AC193" s="576">
        <f t="shared" si="50"/>
        <v>0</v>
      </c>
      <c r="AD193" s="576">
        <f t="shared" si="50"/>
        <v>0</v>
      </c>
      <c r="AE193" s="576">
        <f t="shared" si="50"/>
        <v>0</v>
      </c>
      <c r="AF193" s="576">
        <f t="shared" si="50"/>
        <v>0</v>
      </c>
      <c r="AG193" s="576">
        <f t="shared" si="50"/>
        <v>-9.4328896141534727E-3</v>
      </c>
      <c r="AH193" s="576">
        <f t="shared" si="50"/>
        <v>-9.4328896141534727E-3</v>
      </c>
      <c r="AI193" s="576">
        <f t="shared" si="50"/>
        <v>0</v>
      </c>
      <c r="AJ193" s="576">
        <f t="shared" si="50"/>
        <v>0</v>
      </c>
      <c r="AK193" s="576">
        <f t="shared" si="50"/>
        <v>-9.0604247349903889E-3</v>
      </c>
      <c r="AL193" s="576">
        <f t="shared" si="50"/>
        <v>-9.0604247349903889E-3</v>
      </c>
      <c r="AM193" s="576">
        <f t="shared" si="50"/>
        <v>0</v>
      </c>
      <c r="AN193" s="576">
        <f t="shared" si="50"/>
        <v>0</v>
      </c>
      <c r="AO193" s="576">
        <f t="shared" si="50"/>
        <v>-8.9304951259800078E-3</v>
      </c>
      <c r="AP193" s="576">
        <f t="shared" si="50"/>
        <v>-8.9304951259800078E-3</v>
      </c>
      <c r="AQ193" s="571"/>
      <c r="AR193" s="571"/>
    </row>
    <row r="194" spans="3:44" x14ac:dyDescent="0.25">
      <c r="D194" s="144"/>
      <c r="E194" s="172"/>
      <c r="F194" s="211" t="s">
        <v>43</v>
      </c>
      <c r="G194" s="139" t="s">
        <v>201</v>
      </c>
      <c r="H194" s="572"/>
      <c r="I194" s="572"/>
      <c r="J194" s="577">
        <f t="shared" ref="J194:AP194" si="51">hundred * $H31 * J56 / $H44 * J94 / hours_in_year</f>
        <v>0</v>
      </c>
      <c r="K194" s="577">
        <f t="shared" si="51"/>
        <v>0</v>
      </c>
      <c r="L194" s="577">
        <f t="shared" si="51"/>
        <v>0</v>
      </c>
      <c r="M194" s="577">
        <f t="shared" si="51"/>
        <v>0</v>
      </c>
      <c r="N194" s="577">
        <f t="shared" si="51"/>
        <v>0</v>
      </c>
      <c r="O194" s="577">
        <f t="shared" si="51"/>
        <v>0</v>
      </c>
      <c r="P194" s="577">
        <f t="shared" si="51"/>
        <v>0</v>
      </c>
      <c r="Q194" s="577">
        <f t="shared" si="51"/>
        <v>0</v>
      </c>
      <c r="R194" s="577">
        <f t="shared" si="51"/>
        <v>0</v>
      </c>
      <c r="S194" s="577">
        <f t="shared" si="51"/>
        <v>0</v>
      </c>
      <c r="T194" s="577">
        <f t="shared" si="51"/>
        <v>0</v>
      </c>
      <c r="U194" s="577">
        <f t="shared" si="51"/>
        <v>0</v>
      </c>
      <c r="V194" s="577">
        <f t="shared" si="51"/>
        <v>0</v>
      </c>
      <c r="W194" s="577">
        <f t="shared" si="51"/>
        <v>0</v>
      </c>
      <c r="X194" s="577">
        <f t="shared" si="51"/>
        <v>0</v>
      </c>
      <c r="Y194" s="577">
        <f t="shared" si="51"/>
        <v>0</v>
      </c>
      <c r="Z194" s="577">
        <f t="shared" si="51"/>
        <v>0</v>
      </c>
      <c r="AA194" s="577">
        <f t="shared" si="51"/>
        <v>0</v>
      </c>
      <c r="AB194" s="577">
        <f t="shared" si="51"/>
        <v>0</v>
      </c>
      <c r="AC194" s="577">
        <f t="shared" si="51"/>
        <v>0</v>
      </c>
      <c r="AD194" s="577">
        <f t="shared" si="51"/>
        <v>0</v>
      </c>
      <c r="AE194" s="577">
        <f t="shared" si="51"/>
        <v>0</v>
      </c>
      <c r="AF194" s="577">
        <f t="shared" si="51"/>
        <v>0</v>
      </c>
      <c r="AG194" s="577">
        <f t="shared" si="51"/>
        <v>0</v>
      </c>
      <c r="AH194" s="577">
        <f t="shared" si="51"/>
        <v>0</v>
      </c>
      <c r="AI194" s="577">
        <f t="shared" si="51"/>
        <v>0</v>
      </c>
      <c r="AJ194" s="577">
        <f t="shared" si="51"/>
        <v>0</v>
      </c>
      <c r="AK194" s="577">
        <f t="shared" si="51"/>
        <v>0</v>
      </c>
      <c r="AL194" s="577">
        <f t="shared" si="51"/>
        <v>0</v>
      </c>
      <c r="AM194" s="577">
        <f t="shared" si="51"/>
        <v>0</v>
      </c>
      <c r="AN194" s="577">
        <f t="shared" si="51"/>
        <v>0</v>
      </c>
      <c r="AO194" s="577">
        <f t="shared" si="51"/>
        <v>0</v>
      </c>
      <c r="AP194" s="577">
        <f t="shared" si="51"/>
        <v>0</v>
      </c>
      <c r="AQ194" s="571"/>
      <c r="AR194" s="571"/>
    </row>
    <row r="195" spans="3:44" x14ac:dyDescent="0.25">
      <c r="D195" s="144"/>
      <c r="E195" s="172"/>
      <c r="F195" s="211" t="s">
        <v>44</v>
      </c>
      <c r="G195" s="139" t="s">
        <v>201</v>
      </c>
      <c r="H195" s="572"/>
      <c r="I195" s="572"/>
      <c r="J195" s="577">
        <f t="shared" ref="J195:AP195" si="52">hundred * $H32 * J57 / $H45 * J95 / hours_in_year</f>
        <v>0</v>
      </c>
      <c r="K195" s="577">
        <f t="shared" si="52"/>
        <v>2.888158108663681E-3</v>
      </c>
      <c r="L195" s="577">
        <f t="shared" si="52"/>
        <v>0</v>
      </c>
      <c r="M195" s="577">
        <f t="shared" si="52"/>
        <v>0</v>
      </c>
      <c r="N195" s="577">
        <f t="shared" si="52"/>
        <v>7.5878255880067582E-3</v>
      </c>
      <c r="O195" s="577">
        <f t="shared" si="52"/>
        <v>0</v>
      </c>
      <c r="P195" s="577">
        <f t="shared" si="52"/>
        <v>2.3818853090792256E-3</v>
      </c>
      <c r="Q195" s="577">
        <f t="shared" si="52"/>
        <v>2.230672687386713E-3</v>
      </c>
      <c r="R195" s="577">
        <f t="shared" si="52"/>
        <v>3.5444114408524421E-3</v>
      </c>
      <c r="S195" s="577">
        <f t="shared" si="52"/>
        <v>2.964750163452699E-2</v>
      </c>
      <c r="T195" s="577">
        <f t="shared" si="52"/>
        <v>3.1288313314993869E-2</v>
      </c>
      <c r="U195" s="577">
        <f t="shared" si="52"/>
        <v>2.3383305812626896E-2</v>
      </c>
      <c r="V195" s="577">
        <f t="shared" si="52"/>
        <v>2.1718323156645316E-2</v>
      </c>
      <c r="W195" s="577">
        <f t="shared" si="52"/>
        <v>1.9473362285584342E-2</v>
      </c>
      <c r="X195" s="577">
        <f t="shared" si="52"/>
        <v>0</v>
      </c>
      <c r="Y195" s="577">
        <f t="shared" si="52"/>
        <v>0</v>
      </c>
      <c r="Z195" s="577">
        <f t="shared" si="52"/>
        <v>0</v>
      </c>
      <c r="AA195" s="577">
        <f t="shared" si="52"/>
        <v>0</v>
      </c>
      <c r="AB195" s="577">
        <f t="shared" si="52"/>
        <v>3.6292167298741573E-2</v>
      </c>
      <c r="AC195" s="577">
        <f t="shared" si="52"/>
        <v>0</v>
      </c>
      <c r="AD195" s="577">
        <f t="shared" si="52"/>
        <v>0</v>
      </c>
      <c r="AE195" s="577">
        <f t="shared" si="52"/>
        <v>0</v>
      </c>
      <c r="AF195" s="577">
        <f t="shared" si="52"/>
        <v>0</v>
      </c>
      <c r="AG195" s="577">
        <f t="shared" si="52"/>
        <v>-1.96154882357891E-2</v>
      </c>
      <c r="AH195" s="577">
        <f t="shared" si="52"/>
        <v>-1.96154882357891E-2</v>
      </c>
      <c r="AI195" s="577">
        <f t="shared" si="52"/>
        <v>0</v>
      </c>
      <c r="AJ195" s="577">
        <f t="shared" si="52"/>
        <v>0</v>
      </c>
      <c r="AK195" s="577">
        <f t="shared" si="52"/>
        <v>-1.8840955642456754E-2</v>
      </c>
      <c r="AL195" s="577">
        <f t="shared" si="52"/>
        <v>-1.8840955642456754E-2</v>
      </c>
      <c r="AM195" s="577">
        <f t="shared" si="52"/>
        <v>0</v>
      </c>
      <c r="AN195" s="577">
        <f t="shared" si="52"/>
        <v>0</v>
      </c>
      <c r="AO195" s="577">
        <f t="shared" si="52"/>
        <v>-1.8570769854085001E-2</v>
      </c>
      <c r="AP195" s="577">
        <f t="shared" si="52"/>
        <v>-1.8570769854085001E-2</v>
      </c>
      <c r="AQ195" s="571"/>
      <c r="AR195" s="571"/>
    </row>
    <row r="196" spans="3:44" x14ac:dyDescent="0.25">
      <c r="D196" s="144"/>
      <c r="E196" s="172"/>
      <c r="F196" s="211" t="s">
        <v>45</v>
      </c>
      <c r="G196" s="139" t="s">
        <v>201</v>
      </c>
      <c r="H196" s="572"/>
      <c r="I196" s="572"/>
      <c r="J196" s="577">
        <f t="shared" ref="J196:AP196" si="53">hundred * $H33 * J58 / $H46 * J96 / hours_in_year</f>
        <v>0</v>
      </c>
      <c r="K196" s="577">
        <f t="shared" si="53"/>
        <v>8.0378515079325397E-4</v>
      </c>
      <c r="L196" s="577">
        <f t="shared" si="53"/>
        <v>0</v>
      </c>
      <c r="M196" s="577">
        <f t="shared" si="53"/>
        <v>0</v>
      </c>
      <c r="N196" s="577">
        <f t="shared" si="53"/>
        <v>2.1117201015254856E-3</v>
      </c>
      <c r="O196" s="577">
        <f t="shared" si="53"/>
        <v>0</v>
      </c>
      <c r="P196" s="577">
        <f t="shared" si="53"/>
        <v>6.6288754642186492E-4</v>
      </c>
      <c r="Q196" s="577">
        <f t="shared" si="53"/>
        <v>6.2080451102142567E-4</v>
      </c>
      <c r="R196" s="577">
        <f t="shared" si="53"/>
        <v>9.8642289558624279E-4</v>
      </c>
      <c r="S196" s="577">
        <f t="shared" si="53"/>
        <v>8.2510100470148777E-3</v>
      </c>
      <c r="T196" s="577">
        <f t="shared" si="53"/>
        <v>8.7076540444647344E-3</v>
      </c>
      <c r="U196" s="577">
        <f t="shared" si="53"/>
        <v>6.5076610356845713E-3</v>
      </c>
      <c r="V196" s="577">
        <f t="shared" si="53"/>
        <v>6.0442901657893899E-3</v>
      </c>
      <c r="W196" s="577">
        <f t="shared" si="53"/>
        <v>5.419509200073629E-3</v>
      </c>
      <c r="X196" s="577">
        <f t="shared" si="53"/>
        <v>0</v>
      </c>
      <c r="Y196" s="577">
        <f t="shared" si="53"/>
        <v>0</v>
      </c>
      <c r="Z196" s="577">
        <f t="shared" si="53"/>
        <v>0</v>
      </c>
      <c r="AA196" s="577">
        <f t="shared" si="53"/>
        <v>0</v>
      </c>
      <c r="AB196" s="577">
        <f t="shared" si="53"/>
        <v>1.0100245231494664E-2</v>
      </c>
      <c r="AC196" s="577">
        <f t="shared" si="53"/>
        <v>0</v>
      </c>
      <c r="AD196" s="577">
        <f t="shared" si="53"/>
        <v>0</v>
      </c>
      <c r="AE196" s="577">
        <f t="shared" si="53"/>
        <v>0</v>
      </c>
      <c r="AF196" s="577">
        <f t="shared" si="53"/>
        <v>0</v>
      </c>
      <c r="AG196" s="577">
        <f t="shared" si="53"/>
        <v>-5.4590633809802362E-3</v>
      </c>
      <c r="AH196" s="577">
        <f t="shared" si="53"/>
        <v>-5.4590633809802362E-3</v>
      </c>
      <c r="AI196" s="577">
        <f t="shared" si="53"/>
        <v>0</v>
      </c>
      <c r="AJ196" s="577">
        <f t="shared" si="53"/>
        <v>0</v>
      </c>
      <c r="AK196" s="577">
        <f t="shared" si="53"/>
        <v>-5.2435080775990158E-3</v>
      </c>
      <c r="AL196" s="577">
        <f t="shared" si="53"/>
        <v>-5.2435080775990158E-3</v>
      </c>
      <c r="AM196" s="577">
        <f t="shared" si="53"/>
        <v>0</v>
      </c>
      <c r="AN196" s="577">
        <f t="shared" si="53"/>
        <v>0</v>
      </c>
      <c r="AO196" s="577">
        <f t="shared" si="53"/>
        <v>-5.1683143671171937E-3</v>
      </c>
      <c r="AP196" s="577">
        <f t="shared" si="53"/>
        <v>-5.1683143671171937E-3</v>
      </c>
      <c r="AQ196" s="571"/>
      <c r="AR196" s="571"/>
    </row>
    <row r="197" spans="3:44" x14ac:dyDescent="0.25">
      <c r="D197" s="144"/>
      <c r="E197" s="172"/>
      <c r="F197" s="211" t="s">
        <v>46</v>
      </c>
      <c r="G197" s="139" t="s">
        <v>201</v>
      </c>
      <c r="H197" s="572"/>
      <c r="I197" s="572"/>
      <c r="J197" s="577">
        <f t="shared" ref="J197:AP197" si="54">hundred * $H34 * J59 / $H47 * J97 / hours_in_year</f>
        <v>0</v>
      </c>
      <c r="K197" s="577">
        <f t="shared" si="54"/>
        <v>4.2706663818957366E-3</v>
      </c>
      <c r="L197" s="577">
        <f t="shared" si="54"/>
        <v>0</v>
      </c>
      <c r="M197" s="577">
        <f t="shared" si="54"/>
        <v>0</v>
      </c>
      <c r="N197" s="577">
        <f t="shared" si="54"/>
        <v>1.0607113111390455E-2</v>
      </c>
      <c r="O197" s="577">
        <f t="shared" si="54"/>
        <v>0</v>
      </c>
      <c r="P197" s="577">
        <f t="shared" si="54"/>
        <v>3.8366334919549398E-3</v>
      </c>
      <c r="Q197" s="577">
        <f t="shared" si="54"/>
        <v>3.4830015492394975E-3</v>
      </c>
      <c r="R197" s="577">
        <f t="shared" si="54"/>
        <v>5.2578731745878526E-3</v>
      </c>
      <c r="S197" s="577">
        <f t="shared" si="54"/>
        <v>3.6517164304384467E-2</v>
      </c>
      <c r="T197" s="577">
        <f t="shared" si="54"/>
        <v>3.8545026394381662E-2</v>
      </c>
      <c r="U197" s="577">
        <f t="shared" si="54"/>
        <v>2.8815223727078728E-2</v>
      </c>
      <c r="V197" s="577">
        <f t="shared" si="54"/>
        <v>2.6763467310844898E-2</v>
      </c>
      <c r="W197" s="577">
        <f t="shared" si="54"/>
        <v>2.3997004336083316E-2</v>
      </c>
      <c r="X197" s="577">
        <f t="shared" si="54"/>
        <v>0</v>
      </c>
      <c r="Y197" s="577">
        <f t="shared" si="54"/>
        <v>0</v>
      </c>
      <c r="Z197" s="577">
        <f t="shared" si="54"/>
        <v>0</v>
      </c>
      <c r="AA197" s="577">
        <f t="shared" si="54"/>
        <v>0</v>
      </c>
      <c r="AB197" s="577">
        <f t="shared" si="54"/>
        <v>2.9548091791277691E-2</v>
      </c>
      <c r="AC197" s="577">
        <f t="shared" si="54"/>
        <v>0</v>
      </c>
      <c r="AD197" s="577">
        <f t="shared" si="54"/>
        <v>0</v>
      </c>
      <c r="AE197" s="577">
        <f t="shared" si="54"/>
        <v>0</v>
      </c>
      <c r="AF197" s="577">
        <f t="shared" si="54"/>
        <v>0</v>
      </c>
      <c r="AG197" s="577">
        <f t="shared" si="54"/>
        <v>-2.4172145998489426E-2</v>
      </c>
      <c r="AH197" s="577">
        <f t="shared" si="54"/>
        <v>-2.4172145998489426E-2</v>
      </c>
      <c r="AI197" s="577">
        <f t="shared" si="54"/>
        <v>0</v>
      </c>
      <c r="AJ197" s="577">
        <f t="shared" si="54"/>
        <v>0</v>
      </c>
      <c r="AK197" s="577">
        <f t="shared" si="54"/>
        <v>-2.321769027954081E-2</v>
      </c>
      <c r="AL197" s="577">
        <f t="shared" si="54"/>
        <v>-2.321769027954081E-2</v>
      </c>
      <c r="AM197" s="577">
        <f t="shared" si="54"/>
        <v>0</v>
      </c>
      <c r="AN197" s="577">
        <f t="shared" si="54"/>
        <v>0</v>
      </c>
      <c r="AO197" s="577">
        <f t="shared" si="54"/>
        <v>-2.2884740610140127E-2</v>
      </c>
      <c r="AP197" s="577">
        <f t="shared" si="54"/>
        <v>-2.2884740610140127E-2</v>
      </c>
      <c r="AQ197" s="571"/>
      <c r="AR197" s="571"/>
    </row>
    <row r="198" spans="3:44" x14ac:dyDescent="0.25">
      <c r="D198" s="144"/>
      <c r="E198" s="172"/>
      <c r="F198" s="211" t="s">
        <v>47</v>
      </c>
      <c r="G198" s="139" t="s">
        <v>201</v>
      </c>
      <c r="H198" s="572"/>
      <c r="I198" s="572"/>
      <c r="J198" s="577">
        <f t="shared" ref="J198:AP198" si="55">hundred * $H35 * J60 / $H48 * J98 / hours_in_year</f>
        <v>0</v>
      </c>
      <c r="K198" s="577">
        <f t="shared" si="55"/>
        <v>3.2528958553069576E-3</v>
      </c>
      <c r="L198" s="577">
        <f t="shared" si="55"/>
        <v>0</v>
      </c>
      <c r="M198" s="577">
        <f t="shared" si="55"/>
        <v>0</v>
      </c>
      <c r="N198" s="577">
        <f t="shared" si="55"/>
        <v>8.0792623893739847E-3</v>
      </c>
      <c r="O198" s="577">
        <f t="shared" si="55"/>
        <v>0</v>
      </c>
      <c r="P198" s="577">
        <f t="shared" si="55"/>
        <v>2.9223001911875338E-3</v>
      </c>
      <c r="Q198" s="577">
        <f t="shared" si="55"/>
        <v>2.6529445970255323E-3</v>
      </c>
      <c r="R198" s="577">
        <f t="shared" si="55"/>
        <v>4.0048349198736405E-3</v>
      </c>
      <c r="S198" s="577">
        <f t="shared" si="55"/>
        <v>2.7814519278971734E-2</v>
      </c>
      <c r="T198" s="577">
        <f t="shared" si="55"/>
        <v>2.9359108248892124E-2</v>
      </c>
      <c r="U198" s="577">
        <f t="shared" si="55"/>
        <v>2.1948078695378993E-2</v>
      </c>
      <c r="V198" s="577">
        <f t="shared" si="55"/>
        <v>2.0385289812885236E-2</v>
      </c>
      <c r="W198" s="577">
        <f t="shared" si="55"/>
        <v>1.8278120781229933E-2</v>
      </c>
      <c r="X198" s="577">
        <f t="shared" si="55"/>
        <v>0</v>
      </c>
      <c r="Y198" s="577">
        <f t="shared" si="55"/>
        <v>0</v>
      </c>
      <c r="Z198" s="577">
        <f t="shared" si="55"/>
        <v>0</v>
      </c>
      <c r="AA198" s="577">
        <f t="shared" si="55"/>
        <v>0</v>
      </c>
      <c r="AB198" s="577">
        <f t="shared" si="55"/>
        <v>2.2506292162632179E-2</v>
      </c>
      <c r="AC198" s="577">
        <f t="shared" si="55"/>
        <v>0</v>
      </c>
      <c r="AD198" s="577">
        <f t="shared" si="55"/>
        <v>0</v>
      </c>
      <c r="AE198" s="577">
        <f t="shared" si="55"/>
        <v>0</v>
      </c>
      <c r="AF198" s="577">
        <f t="shared" si="55"/>
        <v>0</v>
      </c>
      <c r="AG198" s="577">
        <f t="shared" si="55"/>
        <v>-1.8411523284911222E-2</v>
      </c>
      <c r="AH198" s="577">
        <f t="shared" si="55"/>
        <v>-1.8411523284911222E-2</v>
      </c>
      <c r="AI198" s="577">
        <f t="shared" si="55"/>
        <v>0</v>
      </c>
      <c r="AJ198" s="577">
        <f t="shared" si="55"/>
        <v>0</v>
      </c>
      <c r="AK198" s="577">
        <f t="shared" si="55"/>
        <v>-1.7684530170814637E-2</v>
      </c>
      <c r="AL198" s="577">
        <f t="shared" si="55"/>
        <v>-1.7684530170814637E-2</v>
      </c>
      <c r="AM198" s="577">
        <f t="shared" si="55"/>
        <v>0</v>
      </c>
      <c r="AN198" s="577">
        <f t="shared" si="55"/>
        <v>0</v>
      </c>
      <c r="AO198" s="577">
        <f t="shared" si="55"/>
        <v>-1.7430927921711175E-2</v>
      </c>
      <c r="AP198" s="577">
        <f t="shared" si="55"/>
        <v>-1.7430927921711175E-2</v>
      </c>
      <c r="AQ198" s="571"/>
      <c r="AR198" s="571"/>
    </row>
    <row r="199" spans="3:44" x14ac:dyDescent="0.25">
      <c r="D199" s="144"/>
      <c r="E199" s="172"/>
      <c r="F199" s="211" t="s">
        <v>51</v>
      </c>
      <c r="G199" s="139" t="s">
        <v>201</v>
      </c>
      <c r="H199" s="572"/>
      <c r="I199" s="572"/>
      <c r="J199" s="577">
        <f t="shared" ref="J199:AP199" si="56">hundred * $H36 * J61 / $H49 * J99 / hours_in_year</f>
        <v>0</v>
      </c>
      <c r="K199" s="577">
        <f t="shared" si="56"/>
        <v>0</v>
      </c>
      <c r="L199" s="577">
        <f t="shared" si="56"/>
        <v>0</v>
      </c>
      <c r="M199" s="577">
        <f t="shared" si="56"/>
        <v>0</v>
      </c>
      <c r="N199" s="577">
        <f t="shared" si="56"/>
        <v>0</v>
      </c>
      <c r="O199" s="577">
        <f t="shared" si="56"/>
        <v>0</v>
      </c>
      <c r="P199" s="577">
        <f t="shared" si="56"/>
        <v>0</v>
      </c>
      <c r="Q199" s="577">
        <f t="shared" si="56"/>
        <v>0</v>
      </c>
      <c r="R199" s="577">
        <f t="shared" si="56"/>
        <v>0</v>
      </c>
      <c r="S199" s="577">
        <f t="shared" si="56"/>
        <v>0</v>
      </c>
      <c r="T199" s="577">
        <f t="shared" si="56"/>
        <v>0</v>
      </c>
      <c r="U199" s="577">
        <f t="shared" si="56"/>
        <v>0</v>
      </c>
      <c r="V199" s="577">
        <f t="shared" si="56"/>
        <v>0</v>
      </c>
      <c r="W199" s="577">
        <f t="shared" si="56"/>
        <v>0</v>
      </c>
      <c r="X199" s="577">
        <f t="shared" si="56"/>
        <v>0</v>
      </c>
      <c r="Y199" s="577">
        <f t="shared" si="56"/>
        <v>0</v>
      </c>
      <c r="Z199" s="577">
        <f t="shared" si="56"/>
        <v>0</v>
      </c>
      <c r="AA199" s="577">
        <f t="shared" si="56"/>
        <v>0</v>
      </c>
      <c r="AB199" s="577">
        <f t="shared" si="56"/>
        <v>0</v>
      </c>
      <c r="AC199" s="577">
        <f t="shared" si="56"/>
        <v>0</v>
      </c>
      <c r="AD199" s="577">
        <f t="shared" si="56"/>
        <v>0</v>
      </c>
      <c r="AE199" s="577">
        <f t="shared" si="56"/>
        <v>0</v>
      </c>
      <c r="AF199" s="577">
        <f t="shared" si="56"/>
        <v>0</v>
      </c>
      <c r="AG199" s="577">
        <f t="shared" si="56"/>
        <v>0</v>
      </c>
      <c r="AH199" s="577">
        <f t="shared" si="56"/>
        <v>0</v>
      </c>
      <c r="AI199" s="577">
        <f t="shared" si="56"/>
        <v>0</v>
      </c>
      <c r="AJ199" s="577">
        <f t="shared" si="56"/>
        <v>0</v>
      </c>
      <c r="AK199" s="577">
        <f t="shared" si="56"/>
        <v>0</v>
      </c>
      <c r="AL199" s="577">
        <f t="shared" si="56"/>
        <v>0</v>
      </c>
      <c r="AM199" s="577">
        <f t="shared" si="56"/>
        <v>0</v>
      </c>
      <c r="AN199" s="577">
        <f t="shared" si="56"/>
        <v>0</v>
      </c>
      <c r="AO199" s="577">
        <f t="shared" si="56"/>
        <v>0</v>
      </c>
      <c r="AP199" s="577">
        <f t="shared" si="56"/>
        <v>0</v>
      </c>
      <c r="AQ199" s="571"/>
      <c r="AR199" s="571"/>
    </row>
    <row r="200" spans="3:44" x14ac:dyDescent="0.25">
      <c r="D200" s="144"/>
      <c r="E200" s="172"/>
      <c r="F200" s="211" t="s">
        <v>48</v>
      </c>
      <c r="G200" s="139" t="s">
        <v>201</v>
      </c>
      <c r="H200" s="572"/>
      <c r="I200" s="572"/>
      <c r="J200" s="577">
        <f t="shared" ref="J200:AP200" si="57">hundred * $H37 * J62 / $H50 * J100 / hours_in_year</f>
        <v>0</v>
      </c>
      <c r="K200" s="577">
        <f t="shared" si="57"/>
        <v>1.8730556932241363E-2</v>
      </c>
      <c r="L200" s="577">
        <f t="shared" si="57"/>
        <v>0</v>
      </c>
      <c r="M200" s="577">
        <f t="shared" si="57"/>
        <v>0</v>
      </c>
      <c r="N200" s="577">
        <f t="shared" si="57"/>
        <v>4.4870794975299035E-2</v>
      </c>
      <c r="O200" s="577">
        <f t="shared" si="57"/>
        <v>0</v>
      </c>
      <c r="P200" s="577">
        <f t="shared" si="57"/>
        <v>1.718573960920591E-2</v>
      </c>
      <c r="Q200" s="577">
        <f t="shared" si="57"/>
        <v>1.5420715787845448E-2</v>
      </c>
      <c r="R200" s="577">
        <f t="shared" si="57"/>
        <v>2.2809967185218646E-2</v>
      </c>
      <c r="S200" s="577">
        <f t="shared" si="57"/>
        <v>0.14503517136586458</v>
      </c>
      <c r="T200" s="577">
        <f t="shared" si="57"/>
        <v>0.15313783019913818</v>
      </c>
      <c r="U200" s="577">
        <f t="shared" si="57"/>
        <v>0.11452372163903864</v>
      </c>
      <c r="V200" s="577">
        <f t="shared" si="57"/>
        <v>0.10636918558860148</v>
      </c>
      <c r="W200" s="577">
        <f t="shared" si="57"/>
        <v>9.5374107478256337E-2</v>
      </c>
      <c r="X200" s="577">
        <f t="shared" si="57"/>
        <v>0</v>
      </c>
      <c r="Y200" s="577">
        <f t="shared" si="57"/>
        <v>0</v>
      </c>
      <c r="Z200" s="577">
        <f t="shared" si="57"/>
        <v>0</v>
      </c>
      <c r="AA200" s="577">
        <f t="shared" si="57"/>
        <v>0</v>
      </c>
      <c r="AB200" s="577">
        <f t="shared" si="57"/>
        <v>9.8716581187574412E-2</v>
      </c>
      <c r="AC200" s="577">
        <f t="shared" si="57"/>
        <v>0</v>
      </c>
      <c r="AD200" s="577">
        <f t="shared" si="57"/>
        <v>0</v>
      </c>
      <c r="AE200" s="577">
        <f t="shared" si="57"/>
        <v>0</v>
      </c>
      <c r="AF200" s="577">
        <f t="shared" si="57"/>
        <v>0</v>
      </c>
      <c r="AG200" s="577">
        <f t="shared" si="57"/>
        <v>-9.60701935188428E-2</v>
      </c>
      <c r="AH200" s="577">
        <f t="shared" si="57"/>
        <v>-9.60701935188428E-2</v>
      </c>
      <c r="AI200" s="577">
        <f t="shared" si="57"/>
        <v>0</v>
      </c>
      <c r="AJ200" s="577">
        <f t="shared" si="57"/>
        <v>0</v>
      </c>
      <c r="AK200" s="577">
        <f t="shared" si="57"/>
        <v>-9.2276788265114401E-2</v>
      </c>
      <c r="AL200" s="577">
        <f t="shared" si="57"/>
        <v>-9.2276788265114401E-2</v>
      </c>
      <c r="AM200" s="577">
        <f t="shared" si="57"/>
        <v>0</v>
      </c>
      <c r="AN200" s="577">
        <f t="shared" si="57"/>
        <v>0</v>
      </c>
      <c r="AO200" s="577">
        <f t="shared" si="57"/>
        <v>0</v>
      </c>
      <c r="AP200" s="577">
        <f t="shared" si="57"/>
        <v>0</v>
      </c>
      <c r="AQ200" s="571"/>
      <c r="AR200" s="571"/>
    </row>
    <row r="201" spans="3:44" x14ac:dyDescent="0.25">
      <c r="D201" s="144"/>
      <c r="E201" s="172"/>
      <c r="F201" s="211" t="s">
        <v>49</v>
      </c>
      <c r="G201" s="139" t="s">
        <v>201</v>
      </c>
      <c r="H201" s="572"/>
      <c r="I201" s="572"/>
      <c r="J201" s="577">
        <f t="shared" ref="J201:AP201" si="58">hundred * $H38 * J63 / $H51 * J101 / hours_in_year</f>
        <v>0</v>
      </c>
      <c r="K201" s="577">
        <f t="shared" si="58"/>
        <v>6.1417654742871447E-3</v>
      </c>
      <c r="L201" s="577">
        <f t="shared" si="58"/>
        <v>0</v>
      </c>
      <c r="M201" s="577">
        <f t="shared" si="58"/>
        <v>0</v>
      </c>
      <c r="N201" s="577">
        <f t="shared" si="58"/>
        <v>1.4713171657418046E-2</v>
      </c>
      <c r="O201" s="577">
        <f t="shared" si="58"/>
        <v>0</v>
      </c>
      <c r="P201" s="577">
        <f t="shared" si="58"/>
        <v>5.6352185663109027E-3</v>
      </c>
      <c r="Q201" s="577">
        <f t="shared" si="58"/>
        <v>5.0564657611198169E-3</v>
      </c>
      <c r="R201" s="577">
        <f t="shared" si="58"/>
        <v>0</v>
      </c>
      <c r="S201" s="577">
        <f t="shared" si="58"/>
        <v>4.755715546924711E-2</v>
      </c>
      <c r="T201" s="577">
        <f t="shared" si="58"/>
        <v>5.0214024159919435E-2</v>
      </c>
      <c r="U201" s="577">
        <f t="shared" si="58"/>
        <v>3.7552425274593813E-2</v>
      </c>
      <c r="V201" s="577">
        <f t="shared" si="58"/>
        <v>3.4878546000497321E-2</v>
      </c>
      <c r="W201" s="577">
        <f t="shared" si="58"/>
        <v>0</v>
      </c>
      <c r="X201" s="577">
        <f t="shared" si="58"/>
        <v>0</v>
      </c>
      <c r="Y201" s="577">
        <f t="shared" si="58"/>
        <v>0</v>
      </c>
      <c r="Z201" s="577">
        <f t="shared" si="58"/>
        <v>0</v>
      </c>
      <c r="AA201" s="577">
        <f t="shared" si="58"/>
        <v>0</v>
      </c>
      <c r="AB201" s="577">
        <f t="shared" si="58"/>
        <v>3.2369250539148658E-2</v>
      </c>
      <c r="AC201" s="577">
        <f t="shared" si="58"/>
        <v>0</v>
      </c>
      <c r="AD201" s="577">
        <f t="shared" si="58"/>
        <v>0</v>
      </c>
      <c r="AE201" s="577">
        <f t="shared" si="58"/>
        <v>0</v>
      </c>
      <c r="AF201" s="577">
        <f t="shared" si="58"/>
        <v>0</v>
      </c>
      <c r="AG201" s="577">
        <f t="shared" si="58"/>
        <v>-3.1501497782292963E-2</v>
      </c>
      <c r="AH201" s="577">
        <f t="shared" si="58"/>
        <v>-3.1501497782292963E-2</v>
      </c>
      <c r="AI201" s="577">
        <f t="shared" si="58"/>
        <v>0</v>
      </c>
      <c r="AJ201" s="577">
        <f t="shared" si="58"/>
        <v>0</v>
      </c>
      <c r="AK201" s="577">
        <f t="shared" si="58"/>
        <v>0</v>
      </c>
      <c r="AL201" s="577">
        <f t="shared" si="58"/>
        <v>0</v>
      </c>
      <c r="AM201" s="577">
        <f t="shared" si="58"/>
        <v>0</v>
      </c>
      <c r="AN201" s="577">
        <f t="shared" si="58"/>
        <v>0</v>
      </c>
      <c r="AO201" s="577">
        <f t="shared" si="58"/>
        <v>0</v>
      </c>
      <c r="AP201" s="577">
        <f t="shared" si="58"/>
        <v>0</v>
      </c>
      <c r="AQ201" s="571"/>
      <c r="AR201" s="571"/>
    </row>
    <row r="202" spans="3:44" x14ac:dyDescent="0.25">
      <c r="D202" s="144"/>
      <c r="E202" s="172"/>
      <c r="F202" s="212" t="s">
        <v>50</v>
      </c>
      <c r="G202" s="140" t="s">
        <v>201</v>
      </c>
      <c r="H202" s="574"/>
      <c r="I202" s="574"/>
      <c r="J202" s="578">
        <f t="shared" ref="J202:AP202" si="59">hundred * $H39 * J64 / $H52 * J102 / hours_in_year</f>
        <v>0</v>
      </c>
      <c r="K202" s="578">
        <f t="shared" si="59"/>
        <v>1.1047069233840582E-2</v>
      </c>
      <c r="L202" s="578">
        <f t="shared" si="59"/>
        <v>0</v>
      </c>
      <c r="M202" s="578">
        <f t="shared" si="59"/>
        <v>0</v>
      </c>
      <c r="N202" s="578">
        <f t="shared" si="59"/>
        <v>2.646428402864786E-2</v>
      </c>
      <c r="O202" s="578">
        <f t="shared" si="59"/>
        <v>0</v>
      </c>
      <c r="P202" s="578">
        <f t="shared" si="59"/>
        <v>1.0135953564245447E-2</v>
      </c>
      <c r="Q202" s="578">
        <f t="shared" si="59"/>
        <v>0</v>
      </c>
      <c r="R202" s="578">
        <f t="shared" si="59"/>
        <v>0</v>
      </c>
      <c r="S202" s="578">
        <f t="shared" si="59"/>
        <v>8.5540092866256981E-2</v>
      </c>
      <c r="T202" s="578">
        <f t="shared" si="59"/>
        <v>9.0318948798473617E-2</v>
      </c>
      <c r="U202" s="578">
        <f t="shared" si="59"/>
        <v>6.75447871860025E-2</v>
      </c>
      <c r="V202" s="578">
        <f t="shared" si="59"/>
        <v>0</v>
      </c>
      <c r="W202" s="578">
        <f t="shared" si="59"/>
        <v>0</v>
      </c>
      <c r="X202" s="578">
        <f t="shared" si="59"/>
        <v>0</v>
      </c>
      <c r="Y202" s="578">
        <f t="shared" si="59"/>
        <v>0</v>
      </c>
      <c r="Z202" s="578">
        <f t="shared" si="59"/>
        <v>0</v>
      </c>
      <c r="AA202" s="578">
        <f t="shared" si="59"/>
        <v>0</v>
      </c>
      <c r="AB202" s="578">
        <f t="shared" si="59"/>
        <v>5.8221915709832713E-2</v>
      </c>
      <c r="AC202" s="578">
        <f t="shared" si="59"/>
        <v>0</v>
      </c>
      <c r="AD202" s="578">
        <f t="shared" si="59"/>
        <v>0</v>
      </c>
      <c r="AE202" s="578">
        <f t="shared" si="59"/>
        <v>0</v>
      </c>
      <c r="AF202" s="578">
        <f t="shared" si="59"/>
        <v>0</v>
      </c>
      <c r="AG202" s="578">
        <f t="shared" si="59"/>
        <v>0</v>
      </c>
      <c r="AH202" s="578">
        <f t="shared" si="59"/>
        <v>0</v>
      </c>
      <c r="AI202" s="578">
        <f t="shared" si="59"/>
        <v>0</v>
      </c>
      <c r="AJ202" s="578">
        <f t="shared" si="59"/>
        <v>0</v>
      </c>
      <c r="AK202" s="578">
        <f t="shared" si="59"/>
        <v>0</v>
      </c>
      <c r="AL202" s="578">
        <f t="shared" si="59"/>
        <v>0</v>
      </c>
      <c r="AM202" s="578">
        <f t="shared" si="59"/>
        <v>0</v>
      </c>
      <c r="AN202" s="578">
        <f t="shared" si="59"/>
        <v>0</v>
      </c>
      <c r="AO202" s="578">
        <f t="shared" si="59"/>
        <v>0</v>
      </c>
      <c r="AP202" s="578">
        <f t="shared" si="59"/>
        <v>0</v>
      </c>
      <c r="AQ202" s="571"/>
      <c r="AR202" s="571"/>
    </row>
    <row r="203" spans="3:44" x14ac:dyDescent="0.25">
      <c r="C203" s="144"/>
      <c r="D203" s="144"/>
      <c r="E203" s="172"/>
      <c r="J203" s="401"/>
      <c r="K203" s="401"/>
      <c r="L203" s="401"/>
      <c r="M203" s="401"/>
      <c r="N203" s="401"/>
      <c r="O203" s="401"/>
      <c r="P203" s="401"/>
      <c r="Q203" s="401"/>
      <c r="R203" s="401"/>
      <c r="S203" s="401"/>
      <c r="T203" s="401"/>
      <c r="U203" s="401"/>
      <c r="V203" s="401"/>
      <c r="W203" s="401"/>
      <c r="X203" s="401"/>
      <c r="Y203" s="401"/>
      <c r="Z203" s="401"/>
      <c r="AA203" s="401"/>
      <c r="AB203" s="401"/>
      <c r="AC203" s="401"/>
      <c r="AD203" s="401"/>
      <c r="AE203" s="401"/>
      <c r="AF203" s="401"/>
      <c r="AG203" s="401"/>
      <c r="AH203" s="401"/>
      <c r="AI203" s="401"/>
      <c r="AJ203" s="401"/>
      <c r="AK203" s="401"/>
      <c r="AL203" s="401"/>
      <c r="AM203" s="401"/>
      <c r="AN203" s="401"/>
      <c r="AO203" s="401"/>
      <c r="AP203" s="401"/>
    </row>
    <row r="204" spans="3:44" s="338" customFormat="1" x14ac:dyDescent="0.25">
      <c r="C204" s="22" t="str">
        <f ca="1">INDEX('Version control'!$H$34:$H$59,MATCH($A$1,'Version control'!$F$34:$F$59,0),1)&amp;"-E: Unit rate 3"</f>
        <v>Section 512-E: Unit rate 3</v>
      </c>
      <c r="D204" s="22"/>
      <c r="E204" s="22"/>
      <c r="F204" s="22"/>
      <c r="G204" s="22"/>
      <c r="H204" s="22"/>
      <c r="I204" s="22"/>
      <c r="J204" s="405"/>
      <c r="K204" s="405"/>
      <c r="L204" s="405"/>
      <c r="M204" s="405"/>
      <c r="N204" s="405"/>
      <c r="O204" s="405"/>
      <c r="P204" s="405"/>
      <c r="Q204" s="405"/>
      <c r="R204" s="405"/>
      <c r="S204" s="405"/>
      <c r="T204" s="405"/>
      <c r="U204" s="405"/>
      <c r="V204" s="405"/>
      <c r="W204" s="405"/>
      <c r="X204" s="405"/>
      <c r="Y204" s="405"/>
      <c r="Z204" s="405"/>
      <c r="AA204" s="405"/>
      <c r="AB204" s="405"/>
      <c r="AC204" s="405"/>
      <c r="AD204" s="405"/>
      <c r="AE204" s="405"/>
      <c r="AF204" s="405"/>
      <c r="AG204" s="405"/>
      <c r="AH204" s="405"/>
      <c r="AI204" s="405"/>
      <c r="AJ204" s="405"/>
      <c r="AK204" s="405"/>
      <c r="AL204" s="405"/>
      <c r="AM204" s="405"/>
      <c r="AN204" s="405"/>
      <c r="AO204" s="405"/>
      <c r="AP204" s="405"/>
      <c r="AQ204" s="22"/>
      <c r="AR204" s="22"/>
    </row>
    <row r="205" spans="3:44" x14ac:dyDescent="0.25">
      <c r="C205" s="144"/>
      <c r="D205" s="144"/>
      <c r="E205" s="172"/>
      <c r="J205" s="401"/>
      <c r="K205" s="401"/>
      <c r="L205" s="401"/>
      <c r="M205" s="401"/>
      <c r="N205" s="401"/>
      <c r="O205" s="401"/>
      <c r="P205" s="401"/>
      <c r="Q205" s="401"/>
      <c r="R205" s="401"/>
      <c r="S205" s="401"/>
      <c r="T205" s="401"/>
      <c r="U205" s="401"/>
      <c r="V205" s="401"/>
      <c r="W205" s="401"/>
      <c r="X205" s="401"/>
      <c r="Y205" s="401"/>
      <c r="Z205" s="401"/>
      <c r="AA205" s="401"/>
      <c r="AB205" s="401"/>
      <c r="AC205" s="401"/>
      <c r="AD205" s="401"/>
      <c r="AE205" s="401"/>
      <c r="AF205" s="401"/>
      <c r="AG205" s="401"/>
      <c r="AH205" s="401"/>
      <c r="AI205" s="401"/>
      <c r="AJ205" s="401"/>
      <c r="AK205" s="401"/>
      <c r="AL205" s="401"/>
      <c r="AM205" s="401"/>
      <c r="AN205" s="401"/>
      <c r="AO205" s="401"/>
      <c r="AP205" s="401"/>
    </row>
    <row r="206" spans="3:44" s="338" customFormat="1" x14ac:dyDescent="0.25">
      <c r="C206" s="152" t="s">
        <v>981</v>
      </c>
      <c r="D206" s="172"/>
      <c r="E206" s="172"/>
      <c r="I206" s="163" t="s">
        <v>525</v>
      </c>
      <c r="J206" s="401"/>
      <c r="K206" s="401"/>
      <c r="L206" s="401"/>
      <c r="M206" s="401"/>
      <c r="N206" s="401"/>
      <c r="O206" s="401"/>
      <c r="P206" s="401"/>
      <c r="Q206" s="401"/>
      <c r="R206" s="401"/>
      <c r="S206" s="401"/>
      <c r="T206" s="401"/>
      <c r="U206" s="401"/>
      <c r="V206" s="401"/>
      <c r="W206" s="401"/>
      <c r="X206" s="401"/>
      <c r="Y206" s="401"/>
      <c r="Z206" s="401"/>
      <c r="AA206" s="401"/>
      <c r="AB206" s="401"/>
      <c r="AC206" s="401"/>
      <c r="AD206" s="401"/>
      <c r="AE206" s="401"/>
      <c r="AF206" s="401"/>
      <c r="AG206" s="401"/>
      <c r="AH206" s="401"/>
      <c r="AI206" s="401"/>
      <c r="AJ206" s="401"/>
      <c r="AK206" s="401"/>
      <c r="AL206" s="401"/>
      <c r="AM206" s="401"/>
      <c r="AN206" s="401"/>
      <c r="AO206" s="401"/>
      <c r="AP206" s="401"/>
      <c r="AR206" s="338" t="s">
        <v>979</v>
      </c>
    </row>
    <row r="207" spans="3:44" s="338" customFormat="1" x14ac:dyDescent="0.25">
      <c r="C207" s="152" t="s">
        <v>1072</v>
      </c>
      <c r="D207" s="172"/>
      <c r="E207" s="172"/>
      <c r="J207" s="401"/>
      <c r="K207" s="401"/>
      <c r="L207" s="401"/>
      <c r="M207" s="401"/>
      <c r="N207" s="401"/>
      <c r="O207" s="401"/>
      <c r="P207" s="401"/>
      <c r="Q207" s="401"/>
      <c r="R207" s="401"/>
      <c r="S207" s="401"/>
      <c r="T207" s="401"/>
      <c r="U207" s="401"/>
      <c r="V207" s="401"/>
      <c r="W207" s="401"/>
      <c r="X207" s="401"/>
      <c r="Y207" s="401"/>
      <c r="Z207" s="401"/>
      <c r="AA207" s="401"/>
      <c r="AB207" s="401"/>
      <c r="AC207" s="401"/>
      <c r="AD207" s="401"/>
      <c r="AE207" s="401"/>
      <c r="AF207" s="401"/>
      <c r="AG207" s="401"/>
      <c r="AH207" s="401"/>
      <c r="AI207" s="401"/>
      <c r="AJ207" s="401"/>
      <c r="AK207" s="401"/>
      <c r="AL207" s="401"/>
      <c r="AM207" s="401"/>
      <c r="AN207" s="401"/>
      <c r="AO207" s="401"/>
      <c r="AP207" s="401"/>
    </row>
    <row r="208" spans="3:44" s="338" customFormat="1" x14ac:dyDescent="0.25">
      <c r="C208" s="172"/>
      <c r="D208" s="172"/>
      <c r="E208" s="172"/>
    </row>
    <row r="209" spans="3:44" x14ac:dyDescent="0.25">
      <c r="E209" s="172" t="s">
        <v>156</v>
      </c>
      <c r="F209" s="213"/>
      <c r="J209" s="401"/>
      <c r="K209" s="401"/>
      <c r="L209" s="401"/>
      <c r="M209" s="401"/>
      <c r="N209" s="401"/>
      <c r="O209" s="401"/>
      <c r="P209" s="401"/>
      <c r="Q209" s="401"/>
      <c r="R209" s="401"/>
      <c r="S209" s="401"/>
      <c r="T209" s="401"/>
      <c r="U209" s="401"/>
      <c r="V209" s="401"/>
      <c r="W209" s="401"/>
      <c r="X209" s="401"/>
      <c r="Y209" s="401"/>
      <c r="Z209" s="401"/>
      <c r="AA209" s="401"/>
      <c r="AB209" s="401"/>
      <c r="AC209" s="401"/>
      <c r="AD209" s="401"/>
      <c r="AE209" s="401"/>
      <c r="AF209" s="401"/>
      <c r="AG209" s="401"/>
      <c r="AH209" s="401"/>
      <c r="AI209" s="401"/>
      <c r="AJ209" s="401"/>
      <c r="AK209" s="401"/>
      <c r="AL209" s="401"/>
      <c r="AM209" s="401"/>
      <c r="AN209" s="401"/>
      <c r="AO209" s="401"/>
      <c r="AP209" s="401"/>
    </row>
    <row r="210" spans="3:44" x14ac:dyDescent="0.25">
      <c r="E210" s="172"/>
      <c r="F210" s="481" t="s">
        <v>397</v>
      </c>
      <c r="G210" s="137" t="s">
        <v>201</v>
      </c>
      <c r="H210" s="569"/>
      <c r="I210" s="569"/>
      <c r="J210" s="576">
        <f t="shared" ref="J210:AP210" si="60">hundred * $H18 * J55 / $H43 * J105 * (1 - J67) / hours_in_year</f>
        <v>0</v>
      </c>
      <c r="K210" s="576">
        <f t="shared" si="60"/>
        <v>0</v>
      </c>
      <c r="L210" s="576">
        <f t="shared" si="60"/>
        <v>0</v>
      </c>
      <c r="M210" s="576">
        <f t="shared" si="60"/>
        <v>0</v>
      </c>
      <c r="N210" s="576">
        <f t="shared" si="60"/>
        <v>0</v>
      </c>
      <c r="O210" s="576">
        <f t="shared" si="60"/>
        <v>0</v>
      </c>
      <c r="P210" s="576">
        <f t="shared" si="60"/>
        <v>0</v>
      </c>
      <c r="Q210" s="576">
        <f t="shared" si="60"/>
        <v>0</v>
      </c>
      <c r="R210" s="576">
        <f t="shared" si="60"/>
        <v>0</v>
      </c>
      <c r="S210" s="576">
        <f t="shared" si="60"/>
        <v>0</v>
      </c>
      <c r="T210" s="576">
        <f t="shared" si="60"/>
        <v>0</v>
      </c>
      <c r="U210" s="576">
        <f t="shared" si="60"/>
        <v>0</v>
      </c>
      <c r="V210" s="576">
        <f t="shared" si="60"/>
        <v>0</v>
      </c>
      <c r="W210" s="576">
        <f t="shared" si="60"/>
        <v>0</v>
      </c>
      <c r="X210" s="576">
        <f t="shared" si="60"/>
        <v>0</v>
      </c>
      <c r="Y210" s="576">
        <f t="shared" si="60"/>
        <v>0</v>
      </c>
      <c r="Z210" s="576">
        <f t="shared" si="60"/>
        <v>0</v>
      </c>
      <c r="AA210" s="576">
        <f t="shared" si="60"/>
        <v>0</v>
      </c>
      <c r="AB210" s="576">
        <f t="shared" si="60"/>
        <v>0</v>
      </c>
      <c r="AC210" s="576">
        <f t="shared" si="60"/>
        <v>0</v>
      </c>
      <c r="AD210" s="576">
        <f t="shared" si="60"/>
        <v>0</v>
      </c>
      <c r="AE210" s="576">
        <f t="shared" si="60"/>
        <v>0</v>
      </c>
      <c r="AF210" s="576">
        <f t="shared" si="60"/>
        <v>0</v>
      </c>
      <c r="AG210" s="576">
        <f t="shared" si="60"/>
        <v>0</v>
      </c>
      <c r="AH210" s="576">
        <f t="shared" si="60"/>
        <v>0</v>
      </c>
      <c r="AI210" s="576">
        <f t="shared" si="60"/>
        <v>0</v>
      </c>
      <c r="AJ210" s="576">
        <f t="shared" si="60"/>
        <v>0</v>
      </c>
      <c r="AK210" s="576">
        <f t="shared" si="60"/>
        <v>0</v>
      </c>
      <c r="AL210" s="576">
        <f t="shared" si="60"/>
        <v>0</v>
      </c>
      <c r="AM210" s="576">
        <f t="shared" si="60"/>
        <v>0</v>
      </c>
      <c r="AN210" s="576">
        <f t="shared" si="60"/>
        <v>0</v>
      </c>
      <c r="AO210" s="576">
        <f t="shared" si="60"/>
        <v>0</v>
      </c>
      <c r="AP210" s="576">
        <f t="shared" si="60"/>
        <v>0</v>
      </c>
      <c r="AQ210" s="571"/>
      <c r="AR210" s="571"/>
    </row>
    <row r="211" spans="3:44" x14ac:dyDescent="0.25">
      <c r="E211" s="172"/>
      <c r="F211" s="211" t="s">
        <v>43</v>
      </c>
      <c r="G211" s="139" t="s">
        <v>201</v>
      </c>
      <c r="H211" s="572"/>
      <c r="I211" s="572"/>
      <c r="J211" s="577">
        <f t="shared" ref="J211:AP211" si="61">hundred * $H19 * J56 / $H44 * J106 * (1 - J68) / hours_in_year</f>
        <v>0</v>
      </c>
      <c r="K211" s="577">
        <f t="shared" si="61"/>
        <v>0</v>
      </c>
      <c r="L211" s="577">
        <f t="shared" si="61"/>
        <v>0</v>
      </c>
      <c r="M211" s="577">
        <f t="shared" si="61"/>
        <v>0</v>
      </c>
      <c r="N211" s="577">
        <f t="shared" si="61"/>
        <v>0</v>
      </c>
      <c r="O211" s="577">
        <f t="shared" si="61"/>
        <v>0</v>
      </c>
      <c r="P211" s="577">
        <f t="shared" si="61"/>
        <v>0</v>
      </c>
      <c r="Q211" s="577">
        <f t="shared" si="61"/>
        <v>0</v>
      </c>
      <c r="R211" s="577">
        <f t="shared" si="61"/>
        <v>0</v>
      </c>
      <c r="S211" s="577">
        <f t="shared" si="61"/>
        <v>0</v>
      </c>
      <c r="T211" s="577">
        <f t="shared" si="61"/>
        <v>0</v>
      </c>
      <c r="U211" s="577">
        <f t="shared" si="61"/>
        <v>0</v>
      </c>
      <c r="V211" s="577">
        <f t="shared" si="61"/>
        <v>0</v>
      </c>
      <c r="W211" s="577">
        <f t="shared" si="61"/>
        <v>0</v>
      </c>
      <c r="X211" s="577">
        <f t="shared" si="61"/>
        <v>0</v>
      </c>
      <c r="Y211" s="577">
        <f t="shared" si="61"/>
        <v>0</v>
      </c>
      <c r="Z211" s="577">
        <f t="shared" si="61"/>
        <v>0</v>
      </c>
      <c r="AA211" s="577">
        <f t="shared" si="61"/>
        <v>0</v>
      </c>
      <c r="AB211" s="577">
        <f t="shared" si="61"/>
        <v>0</v>
      </c>
      <c r="AC211" s="577">
        <f t="shared" si="61"/>
        <v>0</v>
      </c>
      <c r="AD211" s="577">
        <f t="shared" si="61"/>
        <v>0</v>
      </c>
      <c r="AE211" s="577">
        <f t="shared" si="61"/>
        <v>0</v>
      </c>
      <c r="AF211" s="577">
        <f t="shared" si="61"/>
        <v>0</v>
      </c>
      <c r="AG211" s="577">
        <f t="shared" si="61"/>
        <v>0</v>
      </c>
      <c r="AH211" s="577">
        <f t="shared" si="61"/>
        <v>0</v>
      </c>
      <c r="AI211" s="577">
        <f t="shared" si="61"/>
        <v>0</v>
      </c>
      <c r="AJ211" s="577">
        <f t="shared" si="61"/>
        <v>0</v>
      </c>
      <c r="AK211" s="577">
        <f t="shared" si="61"/>
        <v>0</v>
      </c>
      <c r="AL211" s="577">
        <f t="shared" si="61"/>
        <v>0</v>
      </c>
      <c r="AM211" s="577">
        <f t="shared" si="61"/>
        <v>0</v>
      </c>
      <c r="AN211" s="577">
        <f t="shared" si="61"/>
        <v>0</v>
      </c>
      <c r="AO211" s="577">
        <f t="shared" si="61"/>
        <v>0</v>
      </c>
      <c r="AP211" s="577">
        <f t="shared" si="61"/>
        <v>0</v>
      </c>
      <c r="AQ211" s="571"/>
      <c r="AR211" s="571"/>
    </row>
    <row r="212" spans="3:44" x14ac:dyDescent="0.25">
      <c r="E212" s="172"/>
      <c r="F212" s="211" t="s">
        <v>44</v>
      </c>
      <c r="G212" s="139" t="s">
        <v>201</v>
      </c>
      <c r="H212" s="572"/>
      <c r="I212" s="572"/>
      <c r="J212" s="577">
        <f t="shared" ref="J212:AP212" si="62">hundred * $H20 * J57 / $H45 * J107 * (1 - J69) / hours_in_year</f>
        <v>0</v>
      </c>
      <c r="K212" s="577">
        <f t="shared" si="62"/>
        <v>0</v>
      </c>
      <c r="L212" s="577">
        <f t="shared" si="62"/>
        <v>0</v>
      </c>
      <c r="M212" s="577">
        <f t="shared" si="62"/>
        <v>0</v>
      </c>
      <c r="N212" s="577">
        <f t="shared" si="62"/>
        <v>0</v>
      </c>
      <c r="O212" s="577">
        <f t="shared" si="62"/>
        <v>0</v>
      </c>
      <c r="P212" s="577">
        <f t="shared" si="62"/>
        <v>0</v>
      </c>
      <c r="Q212" s="577">
        <f t="shared" si="62"/>
        <v>0</v>
      </c>
      <c r="R212" s="577">
        <f t="shared" si="62"/>
        <v>0</v>
      </c>
      <c r="S212" s="577">
        <f t="shared" si="62"/>
        <v>1.2461438401974972E-3</v>
      </c>
      <c r="T212" s="577">
        <f t="shared" si="62"/>
        <v>1.3151104396008238E-3</v>
      </c>
      <c r="U212" s="577">
        <f t="shared" si="62"/>
        <v>9.8284715053104468E-4</v>
      </c>
      <c r="V212" s="577">
        <f t="shared" si="62"/>
        <v>9.1286459664290077E-4</v>
      </c>
      <c r="W212" s="577">
        <f t="shared" si="62"/>
        <v>8.1850439741116947E-4</v>
      </c>
      <c r="X212" s="577">
        <f t="shared" si="62"/>
        <v>0</v>
      </c>
      <c r="Y212" s="577">
        <f t="shared" si="62"/>
        <v>0</v>
      </c>
      <c r="Z212" s="577">
        <f t="shared" si="62"/>
        <v>0</v>
      </c>
      <c r="AA212" s="577">
        <f t="shared" si="62"/>
        <v>0</v>
      </c>
      <c r="AB212" s="577">
        <f t="shared" si="62"/>
        <v>7.683239765418719E-4</v>
      </c>
      <c r="AC212" s="577">
        <f t="shared" si="62"/>
        <v>0</v>
      </c>
      <c r="AD212" s="577">
        <f t="shared" si="62"/>
        <v>0</v>
      </c>
      <c r="AE212" s="577">
        <f t="shared" si="62"/>
        <v>0</v>
      </c>
      <c r="AF212" s="577">
        <f t="shared" si="62"/>
        <v>0</v>
      </c>
      <c r="AG212" s="577">
        <f t="shared" si="62"/>
        <v>-8.2447823559703615E-4</v>
      </c>
      <c r="AH212" s="577">
        <f t="shared" si="62"/>
        <v>-8.2447823559703615E-4</v>
      </c>
      <c r="AI212" s="577">
        <f t="shared" si="62"/>
        <v>0</v>
      </c>
      <c r="AJ212" s="577">
        <f t="shared" si="62"/>
        <v>0</v>
      </c>
      <c r="AK212" s="577">
        <f t="shared" si="62"/>
        <v>-7.9192308028879703E-4</v>
      </c>
      <c r="AL212" s="577">
        <f t="shared" si="62"/>
        <v>-7.9192308028879703E-4</v>
      </c>
      <c r="AM212" s="577">
        <f t="shared" si="62"/>
        <v>0</v>
      </c>
      <c r="AN212" s="577">
        <f t="shared" si="62"/>
        <v>0</v>
      </c>
      <c r="AO212" s="577">
        <f t="shared" si="62"/>
        <v>-7.8056663076266682E-4</v>
      </c>
      <c r="AP212" s="577">
        <f t="shared" si="62"/>
        <v>-7.8056663076266682E-4</v>
      </c>
      <c r="AQ212" s="571"/>
      <c r="AR212" s="571"/>
    </row>
    <row r="213" spans="3:44" x14ac:dyDescent="0.25">
      <c r="E213" s="172"/>
      <c r="F213" s="211" t="s">
        <v>45</v>
      </c>
      <c r="G213" s="139" t="s">
        <v>201</v>
      </c>
      <c r="H213" s="572"/>
      <c r="I213" s="572"/>
      <c r="J213" s="577">
        <f t="shared" ref="J213:AP213" si="63">hundred * $H21 * J58 / $H46 * J108 * (1 - J70) / hours_in_year</f>
        <v>0</v>
      </c>
      <c r="K213" s="577">
        <f t="shared" si="63"/>
        <v>0</v>
      </c>
      <c r="L213" s="577">
        <f t="shared" si="63"/>
        <v>0</v>
      </c>
      <c r="M213" s="577">
        <f t="shared" si="63"/>
        <v>0</v>
      </c>
      <c r="N213" s="577">
        <f t="shared" si="63"/>
        <v>0</v>
      </c>
      <c r="O213" s="577">
        <f t="shared" si="63"/>
        <v>0</v>
      </c>
      <c r="P213" s="577">
        <f t="shared" si="63"/>
        <v>0</v>
      </c>
      <c r="Q213" s="577">
        <f t="shared" si="63"/>
        <v>0</v>
      </c>
      <c r="R213" s="577">
        <f t="shared" si="63"/>
        <v>0</v>
      </c>
      <c r="S213" s="577">
        <f t="shared" si="63"/>
        <v>3.4680646862739585E-4</v>
      </c>
      <c r="T213" s="577">
        <f t="shared" si="63"/>
        <v>3.6600012992135797E-4</v>
      </c>
      <c r="U213" s="577">
        <f t="shared" si="63"/>
        <v>2.7353001995511912E-4</v>
      </c>
      <c r="V213" s="577">
        <f t="shared" si="63"/>
        <v>2.5405361474685104E-4</v>
      </c>
      <c r="W213" s="577">
        <f t="shared" si="63"/>
        <v>2.2779282011069752E-4</v>
      </c>
      <c r="X213" s="577">
        <f t="shared" si="63"/>
        <v>0</v>
      </c>
      <c r="Y213" s="577">
        <f t="shared" si="63"/>
        <v>0</v>
      </c>
      <c r="Z213" s="577">
        <f t="shared" si="63"/>
        <v>0</v>
      </c>
      <c r="AA213" s="577">
        <f t="shared" si="63"/>
        <v>0</v>
      </c>
      <c r="AB213" s="577">
        <f t="shared" si="63"/>
        <v>2.138274222211895E-4</v>
      </c>
      <c r="AC213" s="577">
        <f t="shared" si="63"/>
        <v>0</v>
      </c>
      <c r="AD213" s="577">
        <f t="shared" si="63"/>
        <v>0</v>
      </c>
      <c r="AE213" s="577">
        <f t="shared" si="63"/>
        <v>0</v>
      </c>
      <c r="AF213" s="577">
        <f t="shared" si="63"/>
        <v>0</v>
      </c>
      <c r="AG213" s="577">
        <f t="shared" si="63"/>
        <v>-2.2945536151126614E-4</v>
      </c>
      <c r="AH213" s="577">
        <f t="shared" si="63"/>
        <v>-2.2945536151126614E-4</v>
      </c>
      <c r="AI213" s="577">
        <f t="shared" si="63"/>
        <v>0</v>
      </c>
      <c r="AJ213" s="577">
        <f t="shared" si="63"/>
        <v>0</v>
      </c>
      <c r="AK213" s="577">
        <f t="shared" si="63"/>
        <v>-2.2039514062514637E-4</v>
      </c>
      <c r="AL213" s="577">
        <f t="shared" si="63"/>
        <v>-2.2039514062514637E-4</v>
      </c>
      <c r="AM213" s="577">
        <f t="shared" si="63"/>
        <v>0</v>
      </c>
      <c r="AN213" s="577">
        <f t="shared" si="63"/>
        <v>0</v>
      </c>
      <c r="AO213" s="577">
        <f t="shared" si="63"/>
        <v>-2.1723459845556967E-4</v>
      </c>
      <c r="AP213" s="577">
        <f t="shared" si="63"/>
        <v>-2.1723459845556967E-4</v>
      </c>
      <c r="AQ213" s="571"/>
      <c r="AR213" s="571"/>
    </row>
    <row r="214" spans="3:44" x14ac:dyDescent="0.25">
      <c r="E214" s="172"/>
      <c r="F214" s="211" t="s">
        <v>46</v>
      </c>
      <c r="G214" s="139" t="s">
        <v>201</v>
      </c>
      <c r="H214" s="572"/>
      <c r="I214" s="572"/>
      <c r="J214" s="577">
        <f t="shared" ref="J214:AP214" si="64">hundred * $H22 * J59 / $H47 * J109 * (1 - J71) / hours_in_year</f>
        <v>0</v>
      </c>
      <c r="K214" s="577">
        <f t="shared" si="64"/>
        <v>0</v>
      </c>
      <c r="L214" s="577">
        <f t="shared" si="64"/>
        <v>0</v>
      </c>
      <c r="M214" s="577">
        <f t="shared" si="64"/>
        <v>0</v>
      </c>
      <c r="N214" s="577">
        <f t="shared" si="64"/>
        <v>0</v>
      </c>
      <c r="O214" s="577">
        <f t="shared" si="64"/>
        <v>0</v>
      </c>
      <c r="P214" s="577">
        <f t="shared" si="64"/>
        <v>0</v>
      </c>
      <c r="Q214" s="577">
        <f t="shared" si="64"/>
        <v>0</v>
      </c>
      <c r="R214" s="577">
        <f t="shared" si="64"/>
        <v>0</v>
      </c>
      <c r="S214" s="577">
        <f t="shared" si="64"/>
        <v>4.6624647113750134E-3</v>
      </c>
      <c r="T214" s="577">
        <f t="shared" si="64"/>
        <v>4.9213795426400423E-3</v>
      </c>
      <c r="U214" s="577">
        <f t="shared" si="64"/>
        <v>3.6790908148842671E-3</v>
      </c>
      <c r="V214" s="577">
        <f t="shared" si="64"/>
        <v>3.4171251866857233E-3</v>
      </c>
      <c r="W214" s="577">
        <f t="shared" si="64"/>
        <v>2.9951591156556307E-3</v>
      </c>
      <c r="X214" s="577">
        <f t="shared" si="64"/>
        <v>0</v>
      </c>
      <c r="Y214" s="577">
        <f t="shared" si="64"/>
        <v>0</v>
      </c>
      <c r="Z214" s="577">
        <f t="shared" si="64"/>
        <v>0</v>
      </c>
      <c r="AA214" s="577">
        <f t="shared" si="64"/>
        <v>0</v>
      </c>
      <c r="AB214" s="577">
        <f t="shared" si="64"/>
        <v>2.8760664193035884E-3</v>
      </c>
      <c r="AC214" s="577">
        <f t="shared" si="64"/>
        <v>0</v>
      </c>
      <c r="AD214" s="577">
        <f t="shared" si="64"/>
        <v>0</v>
      </c>
      <c r="AE214" s="577">
        <f t="shared" si="64"/>
        <v>0</v>
      </c>
      <c r="AF214" s="577">
        <f t="shared" si="64"/>
        <v>0</v>
      </c>
      <c r="AG214" s="577">
        <f t="shared" si="64"/>
        <v>-3.0862686044499355E-3</v>
      </c>
      <c r="AH214" s="577">
        <f t="shared" si="64"/>
        <v>-3.0862686044499355E-3</v>
      </c>
      <c r="AI214" s="577">
        <f t="shared" si="64"/>
        <v>0</v>
      </c>
      <c r="AJ214" s="577">
        <f t="shared" si="64"/>
        <v>0</v>
      </c>
      <c r="AK214" s="577">
        <f t="shared" si="64"/>
        <v>-2.9644049221805632E-3</v>
      </c>
      <c r="AL214" s="577">
        <f t="shared" si="64"/>
        <v>-2.9644049221805632E-3</v>
      </c>
      <c r="AM214" s="577">
        <f t="shared" si="64"/>
        <v>0</v>
      </c>
      <c r="AN214" s="577">
        <f t="shared" si="64"/>
        <v>0</v>
      </c>
      <c r="AO214" s="577">
        <f t="shared" si="64"/>
        <v>-2.85633316925354E-3</v>
      </c>
      <c r="AP214" s="577">
        <f t="shared" si="64"/>
        <v>-2.85633316925354E-3</v>
      </c>
      <c r="AQ214" s="571"/>
      <c r="AR214" s="571"/>
    </row>
    <row r="215" spans="3:44" x14ac:dyDescent="0.25">
      <c r="E215" s="172"/>
      <c r="F215" s="211" t="s">
        <v>47</v>
      </c>
      <c r="G215" s="139" t="s">
        <v>201</v>
      </c>
      <c r="H215" s="572"/>
      <c r="I215" s="572"/>
      <c r="J215" s="577">
        <f t="shared" ref="J215:AP215" si="65">hundred * $H23 * J60 / $H48 * J110 * (1 - J72) / hours_in_year</f>
        <v>0</v>
      </c>
      <c r="K215" s="577">
        <f t="shared" si="65"/>
        <v>0</v>
      </c>
      <c r="L215" s="577">
        <f t="shared" si="65"/>
        <v>0</v>
      </c>
      <c r="M215" s="577">
        <f t="shared" si="65"/>
        <v>0</v>
      </c>
      <c r="N215" s="577">
        <f t="shared" si="65"/>
        <v>0</v>
      </c>
      <c r="O215" s="577">
        <f t="shared" si="65"/>
        <v>0</v>
      </c>
      <c r="P215" s="577">
        <f t="shared" si="65"/>
        <v>0</v>
      </c>
      <c r="Q215" s="577">
        <f t="shared" si="65"/>
        <v>0</v>
      </c>
      <c r="R215" s="577">
        <f t="shared" si="65"/>
        <v>0</v>
      </c>
      <c r="S215" s="577">
        <f t="shared" si="65"/>
        <v>3.508062791409694E-3</v>
      </c>
      <c r="T215" s="577">
        <f t="shared" si="65"/>
        <v>3.7028716622391103E-3</v>
      </c>
      <c r="U215" s="577">
        <f t="shared" si="65"/>
        <v>2.7681671375280824E-3</v>
      </c>
      <c r="V215" s="577">
        <f t="shared" si="65"/>
        <v>2.5710628311577826E-3</v>
      </c>
      <c r="W215" s="577">
        <f t="shared" si="65"/>
        <v>2.2061022537585139E-3</v>
      </c>
      <c r="X215" s="577">
        <f t="shared" si="65"/>
        <v>0</v>
      </c>
      <c r="Y215" s="577">
        <f t="shared" si="65"/>
        <v>0</v>
      </c>
      <c r="Z215" s="577">
        <f t="shared" si="65"/>
        <v>0</v>
      </c>
      <c r="AA215" s="577">
        <f t="shared" si="65"/>
        <v>0</v>
      </c>
      <c r="AB215" s="577">
        <f t="shared" si="65"/>
        <v>2.1639673897298722E-3</v>
      </c>
      <c r="AC215" s="577">
        <f t="shared" si="65"/>
        <v>0</v>
      </c>
      <c r="AD215" s="577">
        <f t="shared" si="65"/>
        <v>0</v>
      </c>
      <c r="AE215" s="577">
        <f t="shared" si="65"/>
        <v>0</v>
      </c>
      <c r="AF215" s="577">
        <f t="shared" si="65"/>
        <v>0</v>
      </c>
      <c r="AG215" s="577">
        <f t="shared" si="65"/>
        <v>-2.3221246112925089E-3</v>
      </c>
      <c r="AH215" s="577">
        <f t="shared" si="65"/>
        <v>-2.3221246112925089E-3</v>
      </c>
      <c r="AI215" s="577">
        <f t="shared" si="65"/>
        <v>0</v>
      </c>
      <c r="AJ215" s="577">
        <f t="shared" si="65"/>
        <v>0</v>
      </c>
      <c r="AK215" s="577">
        <f t="shared" si="65"/>
        <v>-2.230433740506855E-3</v>
      </c>
      <c r="AL215" s="577">
        <f t="shared" si="65"/>
        <v>-2.230433740506855E-3</v>
      </c>
      <c r="AM215" s="577">
        <f t="shared" si="65"/>
        <v>0</v>
      </c>
      <c r="AN215" s="577">
        <f t="shared" si="65"/>
        <v>0</v>
      </c>
      <c r="AO215" s="577">
        <f t="shared" si="65"/>
        <v>-2.103849177574022E-3</v>
      </c>
      <c r="AP215" s="577">
        <f t="shared" si="65"/>
        <v>-2.103849177574022E-3</v>
      </c>
      <c r="AQ215" s="571"/>
      <c r="AR215" s="571"/>
    </row>
    <row r="216" spans="3:44" x14ac:dyDescent="0.25">
      <c r="E216" s="172"/>
      <c r="F216" s="211" t="s">
        <v>51</v>
      </c>
      <c r="G216" s="139" t="s">
        <v>201</v>
      </c>
      <c r="H216" s="572"/>
      <c r="I216" s="572"/>
      <c r="J216" s="577">
        <f t="shared" ref="J216:AP216" si="66">hundred * $H24 * J61 / $H49 * J111 * (1 - J73) / hours_in_year</f>
        <v>0</v>
      </c>
      <c r="K216" s="577">
        <f t="shared" si="66"/>
        <v>0</v>
      </c>
      <c r="L216" s="577">
        <f t="shared" si="66"/>
        <v>0</v>
      </c>
      <c r="M216" s="577">
        <f t="shared" si="66"/>
        <v>0</v>
      </c>
      <c r="N216" s="577">
        <f t="shared" si="66"/>
        <v>0</v>
      </c>
      <c r="O216" s="577">
        <f t="shared" si="66"/>
        <v>0</v>
      </c>
      <c r="P216" s="577">
        <f t="shared" si="66"/>
        <v>0</v>
      </c>
      <c r="Q216" s="577">
        <f t="shared" si="66"/>
        <v>0</v>
      </c>
      <c r="R216" s="577">
        <f t="shared" si="66"/>
        <v>0</v>
      </c>
      <c r="S216" s="577">
        <f t="shared" si="66"/>
        <v>0</v>
      </c>
      <c r="T216" s="577">
        <f t="shared" si="66"/>
        <v>0</v>
      </c>
      <c r="U216" s="577">
        <f t="shared" si="66"/>
        <v>0</v>
      </c>
      <c r="V216" s="577">
        <f t="shared" si="66"/>
        <v>0</v>
      </c>
      <c r="W216" s="577">
        <f t="shared" si="66"/>
        <v>0</v>
      </c>
      <c r="X216" s="577">
        <f t="shared" si="66"/>
        <v>0</v>
      </c>
      <c r="Y216" s="577">
        <f t="shared" si="66"/>
        <v>0</v>
      </c>
      <c r="Z216" s="577">
        <f t="shared" si="66"/>
        <v>0</v>
      </c>
      <c r="AA216" s="577">
        <f t="shared" si="66"/>
        <v>0</v>
      </c>
      <c r="AB216" s="577">
        <f t="shared" si="66"/>
        <v>0</v>
      </c>
      <c r="AC216" s="577">
        <f t="shared" si="66"/>
        <v>0</v>
      </c>
      <c r="AD216" s="577">
        <f t="shared" si="66"/>
        <v>0</v>
      </c>
      <c r="AE216" s="577">
        <f t="shared" si="66"/>
        <v>0</v>
      </c>
      <c r="AF216" s="577">
        <f t="shared" si="66"/>
        <v>0</v>
      </c>
      <c r="AG216" s="577">
        <f t="shared" si="66"/>
        <v>0</v>
      </c>
      <c r="AH216" s="577">
        <f t="shared" si="66"/>
        <v>0</v>
      </c>
      <c r="AI216" s="577">
        <f t="shared" si="66"/>
        <v>0</v>
      </c>
      <c r="AJ216" s="577">
        <f t="shared" si="66"/>
        <v>0</v>
      </c>
      <c r="AK216" s="577">
        <f t="shared" si="66"/>
        <v>0</v>
      </c>
      <c r="AL216" s="577">
        <f t="shared" si="66"/>
        <v>0</v>
      </c>
      <c r="AM216" s="577">
        <f t="shared" si="66"/>
        <v>0</v>
      </c>
      <c r="AN216" s="577">
        <f t="shared" si="66"/>
        <v>0</v>
      </c>
      <c r="AO216" s="577">
        <f t="shared" si="66"/>
        <v>0</v>
      </c>
      <c r="AP216" s="577">
        <f t="shared" si="66"/>
        <v>0</v>
      </c>
      <c r="AQ216" s="571"/>
      <c r="AR216" s="571"/>
    </row>
    <row r="217" spans="3:44" x14ac:dyDescent="0.25">
      <c r="E217" s="172"/>
      <c r="F217" s="211" t="s">
        <v>48</v>
      </c>
      <c r="G217" s="139" t="s">
        <v>201</v>
      </c>
      <c r="H217" s="572"/>
      <c r="I217" s="572"/>
      <c r="J217" s="577">
        <f t="shared" ref="J217:AP217" si="67">hundred * $H25 * J62 / $H50 * J112 * (1 - J74) / hours_in_year</f>
        <v>0</v>
      </c>
      <c r="K217" s="577">
        <f t="shared" si="67"/>
        <v>0</v>
      </c>
      <c r="L217" s="577">
        <f t="shared" si="67"/>
        <v>0</v>
      </c>
      <c r="M217" s="577">
        <f t="shared" si="67"/>
        <v>0</v>
      </c>
      <c r="N217" s="577">
        <f t="shared" si="67"/>
        <v>0</v>
      </c>
      <c r="O217" s="577">
        <f t="shared" si="67"/>
        <v>0</v>
      </c>
      <c r="P217" s="577">
        <f t="shared" si="67"/>
        <v>0</v>
      </c>
      <c r="Q217" s="577">
        <f t="shared" si="67"/>
        <v>0</v>
      </c>
      <c r="R217" s="577">
        <f t="shared" si="67"/>
        <v>0</v>
      </c>
      <c r="S217" s="577">
        <f t="shared" si="67"/>
        <v>1.6793755893418059E-2</v>
      </c>
      <c r="T217" s="577">
        <f t="shared" si="67"/>
        <v>1.7731970212415099E-2</v>
      </c>
      <c r="U217" s="577">
        <f t="shared" si="67"/>
        <v>1.3260807065619376E-2</v>
      </c>
      <c r="V217" s="577">
        <f t="shared" si="67"/>
        <v>1.231658583593115E-2</v>
      </c>
      <c r="W217" s="577">
        <f t="shared" si="67"/>
        <v>1.0379816345090031E-2</v>
      </c>
      <c r="X217" s="577">
        <f t="shared" si="67"/>
        <v>0</v>
      </c>
      <c r="Y217" s="577">
        <f t="shared" si="67"/>
        <v>0</v>
      </c>
      <c r="Z217" s="577">
        <f t="shared" si="67"/>
        <v>0</v>
      </c>
      <c r="AA217" s="577">
        <f t="shared" si="67"/>
        <v>0</v>
      </c>
      <c r="AB217" s="577">
        <f t="shared" si="67"/>
        <v>1.0366409478123026E-2</v>
      </c>
      <c r="AC217" s="577">
        <f t="shared" si="67"/>
        <v>0</v>
      </c>
      <c r="AD217" s="577">
        <f t="shared" si="67"/>
        <v>0</v>
      </c>
      <c r="AE217" s="577">
        <f t="shared" si="67"/>
        <v>0</v>
      </c>
      <c r="AF217" s="577">
        <f t="shared" si="67"/>
        <v>0</v>
      </c>
      <c r="AG217" s="577">
        <f t="shared" si="67"/>
        <v>-1.1124056071330322E-2</v>
      </c>
      <c r="AH217" s="577">
        <f t="shared" si="67"/>
        <v>-1.1124056071330322E-2</v>
      </c>
      <c r="AI217" s="577">
        <f t="shared" si="67"/>
        <v>0</v>
      </c>
      <c r="AJ217" s="577">
        <f t="shared" si="67"/>
        <v>0</v>
      </c>
      <c r="AK217" s="577">
        <f t="shared" si="67"/>
        <v>-1.0684814187889365E-2</v>
      </c>
      <c r="AL217" s="577">
        <f t="shared" si="67"/>
        <v>-1.0684814187889365E-2</v>
      </c>
      <c r="AM217" s="577">
        <f t="shared" si="67"/>
        <v>0</v>
      </c>
      <c r="AN217" s="577">
        <f t="shared" si="67"/>
        <v>0</v>
      </c>
      <c r="AO217" s="577">
        <f t="shared" si="67"/>
        <v>0</v>
      </c>
      <c r="AP217" s="577">
        <f t="shared" si="67"/>
        <v>0</v>
      </c>
      <c r="AQ217" s="571"/>
      <c r="AR217" s="571"/>
    </row>
    <row r="218" spans="3:44" x14ac:dyDescent="0.25">
      <c r="E218" s="172"/>
      <c r="F218" s="211" t="s">
        <v>49</v>
      </c>
      <c r="G218" s="139" t="s">
        <v>201</v>
      </c>
      <c r="H218" s="572"/>
      <c r="I218" s="572"/>
      <c r="J218" s="577">
        <f t="shared" ref="J218:AP218" si="68">hundred * $H26 * J63 / $H51 * J113 * (1 - J75) / hours_in_year</f>
        <v>0</v>
      </c>
      <c r="K218" s="577">
        <f t="shared" si="68"/>
        <v>0</v>
      </c>
      <c r="L218" s="577">
        <f t="shared" si="68"/>
        <v>0</v>
      </c>
      <c r="M218" s="577">
        <f t="shared" si="68"/>
        <v>0</v>
      </c>
      <c r="N218" s="577">
        <f t="shared" si="68"/>
        <v>0</v>
      </c>
      <c r="O218" s="577">
        <f t="shared" si="68"/>
        <v>0</v>
      </c>
      <c r="P218" s="577">
        <f t="shared" si="68"/>
        <v>0</v>
      </c>
      <c r="Q218" s="577">
        <f t="shared" si="68"/>
        <v>0</v>
      </c>
      <c r="R218" s="577">
        <f t="shared" si="68"/>
        <v>0</v>
      </c>
      <c r="S218" s="577">
        <f t="shared" si="68"/>
        <v>4.8376911616025559E-3</v>
      </c>
      <c r="T218" s="577">
        <f t="shared" si="68"/>
        <v>5.1079577504172611E-3</v>
      </c>
      <c r="U218" s="577">
        <f t="shared" si="68"/>
        <v>3.8199727055819844E-3</v>
      </c>
      <c r="V218" s="577">
        <f t="shared" si="68"/>
        <v>3.5479757368008383E-3</v>
      </c>
      <c r="W218" s="577">
        <f t="shared" si="68"/>
        <v>0</v>
      </c>
      <c r="X218" s="577">
        <f t="shared" si="68"/>
        <v>0</v>
      </c>
      <c r="Y218" s="577">
        <f t="shared" si="68"/>
        <v>0</v>
      </c>
      <c r="Z218" s="577">
        <f t="shared" si="68"/>
        <v>0</v>
      </c>
      <c r="AA218" s="577">
        <f t="shared" si="68"/>
        <v>0</v>
      </c>
      <c r="AB218" s="577">
        <f t="shared" si="68"/>
        <v>2.9861984316161042E-3</v>
      </c>
      <c r="AC218" s="577">
        <f t="shared" si="68"/>
        <v>0</v>
      </c>
      <c r="AD218" s="577">
        <f t="shared" si="68"/>
        <v>0</v>
      </c>
      <c r="AE218" s="577">
        <f t="shared" si="68"/>
        <v>0</v>
      </c>
      <c r="AF218" s="577">
        <f t="shared" si="68"/>
        <v>0</v>
      </c>
      <c r="AG218" s="577">
        <f t="shared" si="68"/>
        <v>-3.2044498014013314E-3</v>
      </c>
      <c r="AH218" s="577">
        <f t="shared" si="68"/>
        <v>-3.2044498014013314E-3</v>
      </c>
      <c r="AI218" s="577">
        <f t="shared" si="68"/>
        <v>0</v>
      </c>
      <c r="AJ218" s="577">
        <f t="shared" si="68"/>
        <v>0</v>
      </c>
      <c r="AK218" s="577">
        <f t="shared" si="68"/>
        <v>0</v>
      </c>
      <c r="AL218" s="577">
        <f t="shared" si="68"/>
        <v>0</v>
      </c>
      <c r="AM218" s="577">
        <f t="shared" si="68"/>
        <v>0</v>
      </c>
      <c r="AN218" s="577">
        <f t="shared" si="68"/>
        <v>0</v>
      </c>
      <c r="AO218" s="577">
        <f t="shared" si="68"/>
        <v>0</v>
      </c>
      <c r="AP218" s="577">
        <f t="shared" si="68"/>
        <v>0</v>
      </c>
      <c r="AQ218" s="571"/>
      <c r="AR218" s="571"/>
    </row>
    <row r="219" spans="3:44" x14ac:dyDescent="0.25">
      <c r="E219" s="172"/>
      <c r="F219" s="212" t="s">
        <v>50</v>
      </c>
      <c r="G219" s="140" t="s">
        <v>201</v>
      </c>
      <c r="H219" s="574"/>
      <c r="I219" s="574"/>
      <c r="J219" s="578">
        <f t="shared" ref="J219:AP219" si="69">hundred * $H27 * J64 / $H52 * J114 * (1 - J76) / hours_in_year</f>
        <v>0</v>
      </c>
      <c r="K219" s="578">
        <f t="shared" si="69"/>
        <v>0</v>
      </c>
      <c r="L219" s="578">
        <f t="shared" si="69"/>
        <v>0</v>
      </c>
      <c r="M219" s="578">
        <f t="shared" si="69"/>
        <v>0</v>
      </c>
      <c r="N219" s="578">
        <f t="shared" si="69"/>
        <v>0</v>
      </c>
      <c r="O219" s="578">
        <f t="shared" si="69"/>
        <v>0</v>
      </c>
      <c r="P219" s="578">
        <f t="shared" si="69"/>
        <v>0</v>
      </c>
      <c r="Q219" s="578">
        <f t="shared" si="69"/>
        <v>0</v>
      </c>
      <c r="R219" s="578">
        <f t="shared" si="69"/>
        <v>0</v>
      </c>
      <c r="S219" s="578">
        <f t="shared" si="69"/>
        <v>6.647947869184575E-4</v>
      </c>
      <c r="T219" s="578">
        <f t="shared" si="69"/>
        <v>7.019347806304022E-4</v>
      </c>
      <c r="U219" s="578">
        <f t="shared" si="69"/>
        <v>5.2494007079204551E-4</v>
      </c>
      <c r="V219" s="578">
        <f t="shared" si="69"/>
        <v>0</v>
      </c>
      <c r="W219" s="578">
        <f t="shared" si="69"/>
        <v>0</v>
      </c>
      <c r="X219" s="578">
        <f t="shared" si="69"/>
        <v>0</v>
      </c>
      <c r="Y219" s="578">
        <f t="shared" si="69"/>
        <v>0</v>
      </c>
      <c r="Z219" s="578">
        <f t="shared" si="69"/>
        <v>0</v>
      </c>
      <c r="AA219" s="578">
        <f t="shared" si="69"/>
        <v>0</v>
      </c>
      <c r="AB219" s="578">
        <f t="shared" si="69"/>
        <v>4.1036293631130236E-4</v>
      </c>
      <c r="AC219" s="578">
        <f t="shared" si="69"/>
        <v>0</v>
      </c>
      <c r="AD219" s="578">
        <f t="shared" si="69"/>
        <v>0</v>
      </c>
      <c r="AE219" s="578">
        <f t="shared" si="69"/>
        <v>0</v>
      </c>
      <c r="AF219" s="578">
        <f t="shared" si="69"/>
        <v>0</v>
      </c>
      <c r="AG219" s="578">
        <f t="shared" si="69"/>
        <v>0</v>
      </c>
      <c r="AH219" s="578">
        <f t="shared" si="69"/>
        <v>0</v>
      </c>
      <c r="AI219" s="578">
        <f t="shared" si="69"/>
        <v>0</v>
      </c>
      <c r="AJ219" s="578">
        <f t="shared" si="69"/>
        <v>0</v>
      </c>
      <c r="AK219" s="578">
        <f t="shared" si="69"/>
        <v>0</v>
      </c>
      <c r="AL219" s="578">
        <f t="shared" si="69"/>
        <v>0</v>
      </c>
      <c r="AM219" s="578">
        <f t="shared" si="69"/>
        <v>0</v>
      </c>
      <c r="AN219" s="578">
        <f t="shared" si="69"/>
        <v>0</v>
      </c>
      <c r="AO219" s="578">
        <f t="shared" si="69"/>
        <v>0</v>
      </c>
      <c r="AP219" s="578">
        <f t="shared" si="69"/>
        <v>0</v>
      </c>
      <c r="AQ219" s="571"/>
      <c r="AR219" s="571"/>
    </row>
    <row r="220" spans="3:44" x14ac:dyDescent="0.25">
      <c r="E220" s="172"/>
      <c r="F220" s="211"/>
      <c r="G220" s="139"/>
      <c r="H220" s="139"/>
      <c r="I220" s="139"/>
      <c r="J220" s="413"/>
      <c r="K220" s="413"/>
      <c r="L220" s="413"/>
      <c r="M220" s="413"/>
      <c r="N220" s="413"/>
      <c r="O220" s="413"/>
      <c r="P220" s="413"/>
      <c r="Q220" s="413"/>
      <c r="R220" s="413"/>
      <c r="S220" s="413"/>
      <c r="T220" s="413"/>
      <c r="U220" s="413"/>
      <c r="V220" s="413"/>
      <c r="W220" s="413"/>
      <c r="X220" s="413"/>
      <c r="Y220" s="413"/>
      <c r="Z220" s="413"/>
      <c r="AA220" s="413"/>
      <c r="AB220" s="413"/>
      <c r="AC220" s="413"/>
      <c r="AD220" s="413"/>
      <c r="AE220" s="413"/>
      <c r="AF220" s="413"/>
      <c r="AG220" s="413"/>
      <c r="AH220" s="413"/>
      <c r="AI220" s="413"/>
      <c r="AJ220" s="413"/>
      <c r="AK220" s="413"/>
      <c r="AL220" s="413"/>
      <c r="AM220" s="413"/>
      <c r="AN220" s="413"/>
      <c r="AO220" s="413"/>
      <c r="AP220" s="413"/>
    </row>
    <row r="221" spans="3:44" x14ac:dyDescent="0.25">
      <c r="E221" s="172" t="s">
        <v>133</v>
      </c>
      <c r="F221" s="213"/>
      <c r="J221" s="401"/>
      <c r="K221" s="401"/>
      <c r="L221" s="401"/>
      <c r="M221" s="401"/>
      <c r="N221" s="401"/>
      <c r="O221" s="401"/>
      <c r="P221" s="401"/>
      <c r="Q221" s="401"/>
      <c r="R221" s="401"/>
      <c r="S221" s="401"/>
      <c r="T221" s="401"/>
      <c r="U221" s="401"/>
      <c r="V221" s="401"/>
      <c r="W221" s="401"/>
      <c r="X221" s="401"/>
      <c r="Y221" s="401"/>
      <c r="Z221" s="401"/>
      <c r="AA221" s="401"/>
      <c r="AB221" s="401"/>
      <c r="AC221" s="401"/>
      <c r="AD221" s="401"/>
      <c r="AE221" s="401"/>
      <c r="AF221" s="401"/>
      <c r="AG221" s="401"/>
      <c r="AH221" s="401"/>
      <c r="AI221" s="401"/>
      <c r="AJ221" s="401"/>
      <c r="AK221" s="401"/>
      <c r="AL221" s="401"/>
      <c r="AM221" s="401"/>
      <c r="AN221" s="401"/>
      <c r="AO221" s="401"/>
      <c r="AP221" s="401"/>
    </row>
    <row r="222" spans="3:44" x14ac:dyDescent="0.25">
      <c r="C222" s="144"/>
      <c r="E222" s="302"/>
      <c r="F222" s="481" t="s">
        <v>397</v>
      </c>
      <c r="G222" s="137" t="s">
        <v>201</v>
      </c>
      <c r="H222" s="569"/>
      <c r="I222" s="569"/>
      <c r="J222" s="576">
        <f t="shared" ref="J222:AP222" si="70">hundred * $H30 * J55 / $H43 * J105 / hours_in_year</f>
        <v>0</v>
      </c>
      <c r="K222" s="576">
        <f t="shared" si="70"/>
        <v>0</v>
      </c>
      <c r="L222" s="576">
        <f t="shared" si="70"/>
        <v>0</v>
      </c>
      <c r="M222" s="576">
        <f t="shared" si="70"/>
        <v>0</v>
      </c>
      <c r="N222" s="576">
        <f t="shared" si="70"/>
        <v>0</v>
      </c>
      <c r="O222" s="576">
        <f t="shared" si="70"/>
        <v>0</v>
      </c>
      <c r="P222" s="576">
        <f t="shared" si="70"/>
        <v>0</v>
      </c>
      <c r="Q222" s="576">
        <f t="shared" si="70"/>
        <v>0</v>
      </c>
      <c r="R222" s="576">
        <f t="shared" si="70"/>
        <v>0</v>
      </c>
      <c r="S222" s="576">
        <f t="shared" si="70"/>
        <v>0</v>
      </c>
      <c r="T222" s="576">
        <f t="shared" si="70"/>
        <v>0</v>
      </c>
      <c r="U222" s="576">
        <f t="shared" si="70"/>
        <v>0</v>
      </c>
      <c r="V222" s="576">
        <f t="shared" si="70"/>
        <v>0</v>
      </c>
      <c r="W222" s="576">
        <f t="shared" si="70"/>
        <v>0</v>
      </c>
      <c r="X222" s="576">
        <f t="shared" si="70"/>
        <v>0</v>
      </c>
      <c r="Y222" s="576">
        <f t="shared" si="70"/>
        <v>0</v>
      </c>
      <c r="Z222" s="576">
        <f t="shared" si="70"/>
        <v>0</v>
      </c>
      <c r="AA222" s="576">
        <f t="shared" si="70"/>
        <v>0</v>
      </c>
      <c r="AB222" s="576">
        <f t="shared" si="70"/>
        <v>0</v>
      </c>
      <c r="AC222" s="576">
        <f t="shared" si="70"/>
        <v>0</v>
      </c>
      <c r="AD222" s="576">
        <f t="shared" si="70"/>
        <v>0</v>
      </c>
      <c r="AE222" s="576">
        <f t="shared" si="70"/>
        <v>0</v>
      </c>
      <c r="AF222" s="576">
        <f t="shared" si="70"/>
        <v>0</v>
      </c>
      <c r="AG222" s="576">
        <f t="shared" si="70"/>
        <v>0</v>
      </c>
      <c r="AH222" s="576">
        <f t="shared" si="70"/>
        <v>0</v>
      </c>
      <c r="AI222" s="576">
        <f t="shared" si="70"/>
        <v>0</v>
      </c>
      <c r="AJ222" s="576">
        <f t="shared" si="70"/>
        <v>0</v>
      </c>
      <c r="AK222" s="576">
        <f t="shared" si="70"/>
        <v>0</v>
      </c>
      <c r="AL222" s="576">
        <f t="shared" si="70"/>
        <v>0</v>
      </c>
      <c r="AM222" s="576">
        <f t="shared" si="70"/>
        <v>0</v>
      </c>
      <c r="AN222" s="576">
        <f t="shared" si="70"/>
        <v>0</v>
      </c>
      <c r="AO222" s="576">
        <f t="shared" si="70"/>
        <v>0</v>
      </c>
      <c r="AP222" s="576">
        <f t="shared" si="70"/>
        <v>0</v>
      </c>
      <c r="AQ222" s="571"/>
      <c r="AR222" s="571"/>
    </row>
    <row r="223" spans="3:44" x14ac:dyDescent="0.25">
      <c r="C223" s="144"/>
      <c r="E223" s="302"/>
      <c r="F223" s="211" t="s">
        <v>43</v>
      </c>
      <c r="G223" s="139" t="s">
        <v>201</v>
      </c>
      <c r="H223" s="572"/>
      <c r="I223" s="572"/>
      <c r="J223" s="577">
        <f t="shared" ref="J223:AP223" si="71">hundred * $H31 * J56 / $H44 * J106 / hours_in_year</f>
        <v>0</v>
      </c>
      <c r="K223" s="577">
        <f t="shared" si="71"/>
        <v>0</v>
      </c>
      <c r="L223" s="577">
        <f t="shared" si="71"/>
        <v>0</v>
      </c>
      <c r="M223" s="577">
        <f t="shared" si="71"/>
        <v>0</v>
      </c>
      <c r="N223" s="577">
        <f t="shared" si="71"/>
        <v>0</v>
      </c>
      <c r="O223" s="577">
        <f t="shared" si="71"/>
        <v>0</v>
      </c>
      <c r="P223" s="577">
        <f t="shared" si="71"/>
        <v>0</v>
      </c>
      <c r="Q223" s="577">
        <f t="shared" si="71"/>
        <v>0</v>
      </c>
      <c r="R223" s="577">
        <f t="shared" si="71"/>
        <v>0</v>
      </c>
      <c r="S223" s="577">
        <f t="shared" si="71"/>
        <v>0</v>
      </c>
      <c r="T223" s="577">
        <f t="shared" si="71"/>
        <v>0</v>
      </c>
      <c r="U223" s="577">
        <f t="shared" si="71"/>
        <v>0</v>
      </c>
      <c r="V223" s="577">
        <f t="shared" si="71"/>
        <v>0</v>
      </c>
      <c r="W223" s="577">
        <f t="shared" si="71"/>
        <v>0</v>
      </c>
      <c r="X223" s="577">
        <f t="shared" si="71"/>
        <v>0</v>
      </c>
      <c r="Y223" s="577">
        <f t="shared" si="71"/>
        <v>0</v>
      </c>
      <c r="Z223" s="577">
        <f t="shared" si="71"/>
        <v>0</v>
      </c>
      <c r="AA223" s="577">
        <f t="shared" si="71"/>
        <v>0</v>
      </c>
      <c r="AB223" s="577">
        <f t="shared" si="71"/>
        <v>0</v>
      </c>
      <c r="AC223" s="577">
        <f t="shared" si="71"/>
        <v>0</v>
      </c>
      <c r="AD223" s="577">
        <f t="shared" si="71"/>
        <v>0</v>
      </c>
      <c r="AE223" s="577">
        <f t="shared" si="71"/>
        <v>0</v>
      </c>
      <c r="AF223" s="577">
        <f t="shared" si="71"/>
        <v>0</v>
      </c>
      <c r="AG223" s="577">
        <f t="shared" si="71"/>
        <v>0</v>
      </c>
      <c r="AH223" s="577">
        <f t="shared" si="71"/>
        <v>0</v>
      </c>
      <c r="AI223" s="577">
        <f t="shared" si="71"/>
        <v>0</v>
      </c>
      <c r="AJ223" s="577">
        <f t="shared" si="71"/>
        <v>0</v>
      </c>
      <c r="AK223" s="577">
        <f t="shared" si="71"/>
        <v>0</v>
      </c>
      <c r="AL223" s="577">
        <f t="shared" si="71"/>
        <v>0</v>
      </c>
      <c r="AM223" s="577">
        <f t="shared" si="71"/>
        <v>0</v>
      </c>
      <c r="AN223" s="577">
        <f t="shared" si="71"/>
        <v>0</v>
      </c>
      <c r="AO223" s="577">
        <f t="shared" si="71"/>
        <v>0</v>
      </c>
      <c r="AP223" s="577">
        <f t="shared" si="71"/>
        <v>0</v>
      </c>
      <c r="AQ223" s="571"/>
      <c r="AR223" s="571"/>
    </row>
    <row r="224" spans="3:44" x14ac:dyDescent="0.25">
      <c r="C224" s="144"/>
      <c r="E224" s="302"/>
      <c r="F224" s="211" t="s">
        <v>44</v>
      </c>
      <c r="G224" s="139" t="s">
        <v>201</v>
      </c>
      <c r="H224" s="572"/>
      <c r="I224" s="572"/>
      <c r="J224" s="577">
        <f t="shared" ref="J224:AP224" si="72">hundred * $H32 * J57 / $H45 * J107 / hours_in_year</f>
        <v>0</v>
      </c>
      <c r="K224" s="577">
        <f t="shared" si="72"/>
        <v>0</v>
      </c>
      <c r="L224" s="577">
        <f t="shared" si="72"/>
        <v>0</v>
      </c>
      <c r="M224" s="577">
        <f t="shared" si="72"/>
        <v>0</v>
      </c>
      <c r="N224" s="577">
        <f t="shared" si="72"/>
        <v>0</v>
      </c>
      <c r="O224" s="577">
        <f t="shared" si="72"/>
        <v>0</v>
      </c>
      <c r="P224" s="577">
        <f t="shared" si="72"/>
        <v>0</v>
      </c>
      <c r="Q224" s="577">
        <f t="shared" si="72"/>
        <v>0</v>
      </c>
      <c r="R224" s="577">
        <f t="shared" si="72"/>
        <v>0</v>
      </c>
      <c r="S224" s="577">
        <f t="shared" si="72"/>
        <v>5.0358413844911736E-4</v>
      </c>
      <c r="T224" s="577">
        <f t="shared" si="72"/>
        <v>5.3145450495254245E-4</v>
      </c>
      <c r="U224" s="577">
        <f t="shared" si="72"/>
        <v>3.9718226705586711E-4</v>
      </c>
      <c r="V224" s="577">
        <f t="shared" si="72"/>
        <v>3.6890133914898557E-4</v>
      </c>
      <c r="W224" s="577">
        <f t="shared" si="72"/>
        <v>3.3076906412488614E-4</v>
      </c>
      <c r="X224" s="577">
        <f t="shared" si="72"/>
        <v>0</v>
      </c>
      <c r="Y224" s="577">
        <f t="shared" si="72"/>
        <v>0</v>
      </c>
      <c r="Z224" s="577">
        <f t="shared" si="72"/>
        <v>0</v>
      </c>
      <c r="AA224" s="577">
        <f t="shared" si="72"/>
        <v>0</v>
      </c>
      <c r="AB224" s="577">
        <f t="shared" si="72"/>
        <v>3.1049045487021584E-4</v>
      </c>
      <c r="AC224" s="577">
        <f t="shared" si="72"/>
        <v>0</v>
      </c>
      <c r="AD224" s="577">
        <f t="shared" si="72"/>
        <v>0</v>
      </c>
      <c r="AE224" s="577">
        <f t="shared" si="72"/>
        <v>0</v>
      </c>
      <c r="AF224" s="577">
        <f t="shared" si="72"/>
        <v>0</v>
      </c>
      <c r="AG224" s="577">
        <f t="shared" si="72"/>
        <v>-3.3318317560946992E-4</v>
      </c>
      <c r="AH224" s="577">
        <f t="shared" si="72"/>
        <v>-3.3318317560946992E-4</v>
      </c>
      <c r="AI224" s="577">
        <f t="shared" si="72"/>
        <v>0</v>
      </c>
      <c r="AJ224" s="577">
        <f t="shared" si="72"/>
        <v>0</v>
      </c>
      <c r="AK224" s="577">
        <f t="shared" si="72"/>
        <v>-3.2002718244950008E-4</v>
      </c>
      <c r="AL224" s="577">
        <f t="shared" si="72"/>
        <v>-3.2002718244950008E-4</v>
      </c>
      <c r="AM224" s="577">
        <f t="shared" si="72"/>
        <v>0</v>
      </c>
      <c r="AN224" s="577">
        <f t="shared" si="72"/>
        <v>0</v>
      </c>
      <c r="AO224" s="577">
        <f t="shared" si="72"/>
        <v>-3.1543788250997564E-4</v>
      </c>
      <c r="AP224" s="577">
        <f t="shared" si="72"/>
        <v>-3.1543788250997564E-4</v>
      </c>
      <c r="AQ224" s="571"/>
      <c r="AR224" s="571"/>
    </row>
    <row r="225" spans="1:44" x14ac:dyDescent="0.25">
      <c r="C225" s="144"/>
      <c r="E225" s="302"/>
      <c r="F225" s="211" t="s">
        <v>45</v>
      </c>
      <c r="G225" s="139" t="s">
        <v>201</v>
      </c>
      <c r="H225" s="572"/>
      <c r="I225" s="572"/>
      <c r="J225" s="577">
        <f t="shared" ref="J225:AP225" si="73">hundred * $H33 * J58 / $H46 * J108 / hours_in_year</f>
        <v>0</v>
      </c>
      <c r="K225" s="577">
        <f t="shared" si="73"/>
        <v>0</v>
      </c>
      <c r="L225" s="577">
        <f t="shared" si="73"/>
        <v>0</v>
      </c>
      <c r="M225" s="577">
        <f t="shared" si="73"/>
        <v>0</v>
      </c>
      <c r="N225" s="577">
        <f t="shared" si="73"/>
        <v>0</v>
      </c>
      <c r="O225" s="577">
        <f t="shared" si="73"/>
        <v>0</v>
      </c>
      <c r="P225" s="577">
        <f t="shared" si="73"/>
        <v>0</v>
      </c>
      <c r="Q225" s="577">
        <f t="shared" si="73"/>
        <v>0</v>
      </c>
      <c r="R225" s="577">
        <f t="shared" si="73"/>
        <v>0</v>
      </c>
      <c r="S225" s="577">
        <f t="shared" si="73"/>
        <v>1.4014933997076045E-4</v>
      </c>
      <c r="T225" s="577">
        <f t="shared" si="73"/>
        <v>1.4790576669664483E-4</v>
      </c>
      <c r="U225" s="577">
        <f t="shared" si="73"/>
        <v>1.1053730315533858E-4</v>
      </c>
      <c r="V225" s="577">
        <f t="shared" si="73"/>
        <v>1.0266661566284404E-4</v>
      </c>
      <c r="W225" s="577">
        <f t="shared" si="73"/>
        <v>9.2054261602865967E-5</v>
      </c>
      <c r="X225" s="577">
        <f t="shared" si="73"/>
        <v>0</v>
      </c>
      <c r="Y225" s="577">
        <f t="shared" si="73"/>
        <v>0</v>
      </c>
      <c r="Z225" s="577">
        <f t="shared" si="73"/>
        <v>0</v>
      </c>
      <c r="AA225" s="577">
        <f t="shared" si="73"/>
        <v>0</v>
      </c>
      <c r="AB225" s="577">
        <f t="shared" si="73"/>
        <v>8.6410649174326065E-5</v>
      </c>
      <c r="AC225" s="577">
        <f t="shared" si="73"/>
        <v>0</v>
      </c>
      <c r="AD225" s="577">
        <f t="shared" si="73"/>
        <v>0</v>
      </c>
      <c r="AE225" s="577">
        <f t="shared" si="73"/>
        <v>0</v>
      </c>
      <c r="AF225" s="577">
        <f t="shared" si="73"/>
        <v>0</v>
      </c>
      <c r="AG225" s="577">
        <f t="shared" si="73"/>
        <v>-9.2726117813870184E-5</v>
      </c>
      <c r="AH225" s="577">
        <f t="shared" si="73"/>
        <v>-9.2726117813870184E-5</v>
      </c>
      <c r="AI225" s="577">
        <f t="shared" si="73"/>
        <v>0</v>
      </c>
      <c r="AJ225" s="577">
        <f t="shared" si="73"/>
        <v>0</v>
      </c>
      <c r="AK225" s="577">
        <f t="shared" si="73"/>
        <v>-8.9064755953451068E-5</v>
      </c>
      <c r="AL225" s="577">
        <f t="shared" si="73"/>
        <v>-8.9064755953451068E-5</v>
      </c>
      <c r="AM225" s="577">
        <f t="shared" si="73"/>
        <v>0</v>
      </c>
      <c r="AN225" s="577">
        <f t="shared" si="73"/>
        <v>0</v>
      </c>
      <c r="AO225" s="577">
        <f t="shared" si="73"/>
        <v>-8.7787536699816498E-5</v>
      </c>
      <c r="AP225" s="577">
        <f t="shared" si="73"/>
        <v>-8.7787536699816498E-5</v>
      </c>
      <c r="AQ225" s="571"/>
      <c r="AR225" s="571"/>
    </row>
    <row r="226" spans="1:44" x14ac:dyDescent="0.25">
      <c r="C226" s="144"/>
      <c r="E226" s="302"/>
      <c r="F226" s="211" t="s">
        <v>46</v>
      </c>
      <c r="G226" s="139" t="s">
        <v>201</v>
      </c>
      <c r="H226" s="572"/>
      <c r="I226" s="572"/>
      <c r="J226" s="577">
        <f t="shared" ref="J226:AP226" si="74">hundred * $H34 * J59 / $H47 * J109 / hours_in_year</f>
        <v>0</v>
      </c>
      <c r="K226" s="577">
        <f t="shared" si="74"/>
        <v>0</v>
      </c>
      <c r="L226" s="577">
        <f t="shared" si="74"/>
        <v>0</v>
      </c>
      <c r="M226" s="577">
        <f t="shared" si="74"/>
        <v>0</v>
      </c>
      <c r="N226" s="577">
        <f t="shared" si="74"/>
        <v>0</v>
      </c>
      <c r="O226" s="577">
        <f t="shared" si="74"/>
        <v>0</v>
      </c>
      <c r="P226" s="577">
        <f t="shared" si="74"/>
        <v>0</v>
      </c>
      <c r="Q226" s="577">
        <f t="shared" si="74"/>
        <v>0</v>
      </c>
      <c r="R226" s="577">
        <f t="shared" si="74"/>
        <v>0</v>
      </c>
      <c r="S226" s="577">
        <f t="shared" si="74"/>
        <v>1.9077670055952785E-3</v>
      </c>
      <c r="T226" s="577">
        <f t="shared" si="74"/>
        <v>2.0137086486798047E-3</v>
      </c>
      <c r="U226" s="577">
        <f t="shared" si="74"/>
        <v>1.5053943572164677E-3</v>
      </c>
      <c r="V226" s="577">
        <f t="shared" si="74"/>
        <v>1.3982044023288875E-3</v>
      </c>
      <c r="W226" s="577">
        <f t="shared" si="74"/>
        <v>1.2536760172259561E-3</v>
      </c>
      <c r="X226" s="577">
        <f t="shared" si="74"/>
        <v>0</v>
      </c>
      <c r="Y226" s="577">
        <f t="shared" si="74"/>
        <v>0</v>
      </c>
      <c r="Z226" s="577">
        <f t="shared" si="74"/>
        <v>0</v>
      </c>
      <c r="AA226" s="577">
        <f t="shared" si="74"/>
        <v>0</v>
      </c>
      <c r="AB226" s="577">
        <f t="shared" si="74"/>
        <v>1.1768163321990706E-3</v>
      </c>
      <c r="AC226" s="577">
        <f t="shared" si="74"/>
        <v>0</v>
      </c>
      <c r="AD226" s="577">
        <f t="shared" si="74"/>
        <v>0</v>
      </c>
      <c r="AE226" s="577">
        <f t="shared" si="74"/>
        <v>0</v>
      </c>
      <c r="AF226" s="577">
        <f t="shared" si="74"/>
        <v>0</v>
      </c>
      <c r="AG226" s="577">
        <f t="shared" si="74"/>
        <v>-1.2628259468880293E-3</v>
      </c>
      <c r="AH226" s="577">
        <f t="shared" si="74"/>
        <v>-1.2628259468880293E-3</v>
      </c>
      <c r="AI226" s="577">
        <f t="shared" si="74"/>
        <v>0</v>
      </c>
      <c r="AJ226" s="577">
        <f t="shared" si="74"/>
        <v>0</v>
      </c>
      <c r="AK226" s="577">
        <f t="shared" si="74"/>
        <v>-1.2129622960926341E-3</v>
      </c>
      <c r="AL226" s="577">
        <f t="shared" si="74"/>
        <v>-1.2129622960926341E-3</v>
      </c>
      <c r="AM226" s="577">
        <f t="shared" si="74"/>
        <v>0</v>
      </c>
      <c r="AN226" s="577">
        <f t="shared" si="74"/>
        <v>0</v>
      </c>
      <c r="AO226" s="577">
        <f t="shared" si="74"/>
        <v>-1.1955679993035427E-3</v>
      </c>
      <c r="AP226" s="577">
        <f t="shared" si="74"/>
        <v>-1.1955679993035427E-3</v>
      </c>
      <c r="AQ226" s="571"/>
      <c r="AR226" s="571"/>
    </row>
    <row r="227" spans="1:44" x14ac:dyDescent="0.25">
      <c r="C227" s="144"/>
      <c r="E227" s="302"/>
      <c r="F227" s="211" t="s">
        <v>47</v>
      </c>
      <c r="G227" s="139" t="s">
        <v>201</v>
      </c>
      <c r="H227" s="572"/>
      <c r="I227" s="572"/>
      <c r="J227" s="577">
        <f t="shared" ref="J227:AP227" si="75">hundred * $H35 * J60 / $H48 * J110 / hours_in_year</f>
        <v>0</v>
      </c>
      <c r="K227" s="577">
        <f t="shared" si="75"/>
        <v>0</v>
      </c>
      <c r="L227" s="577">
        <f t="shared" si="75"/>
        <v>0</v>
      </c>
      <c r="M227" s="577">
        <f t="shared" si="75"/>
        <v>0</v>
      </c>
      <c r="N227" s="577">
        <f t="shared" si="75"/>
        <v>0</v>
      </c>
      <c r="O227" s="577">
        <f t="shared" si="75"/>
        <v>0</v>
      </c>
      <c r="P227" s="577">
        <f t="shared" si="75"/>
        <v>0</v>
      </c>
      <c r="Q227" s="577">
        <f t="shared" si="75"/>
        <v>0</v>
      </c>
      <c r="R227" s="577">
        <f t="shared" si="75"/>
        <v>0</v>
      </c>
      <c r="S227" s="577">
        <f t="shared" si="75"/>
        <v>1.4531145330620569E-3</v>
      </c>
      <c r="T227" s="577">
        <f t="shared" si="75"/>
        <v>1.5338085280683094E-3</v>
      </c>
      <c r="U227" s="577">
        <f t="shared" si="75"/>
        <v>1.1466339506056695E-3</v>
      </c>
      <c r="V227" s="577">
        <f t="shared" si="75"/>
        <v>1.0649891371726961E-3</v>
      </c>
      <c r="W227" s="577">
        <f t="shared" si="75"/>
        <v>9.5490425981759779E-4</v>
      </c>
      <c r="X227" s="577">
        <f t="shared" si="75"/>
        <v>0</v>
      </c>
      <c r="Y227" s="577">
        <f t="shared" si="75"/>
        <v>0</v>
      </c>
      <c r="Z227" s="577">
        <f t="shared" si="75"/>
        <v>0</v>
      </c>
      <c r="AA227" s="577">
        <f t="shared" si="75"/>
        <v>0</v>
      </c>
      <c r="AB227" s="577">
        <f t="shared" si="75"/>
        <v>8.9636151062884642E-4</v>
      </c>
      <c r="AC227" s="577">
        <f t="shared" si="75"/>
        <v>0</v>
      </c>
      <c r="AD227" s="577">
        <f t="shared" si="75"/>
        <v>0</v>
      </c>
      <c r="AE227" s="577">
        <f t="shared" si="75"/>
        <v>0</v>
      </c>
      <c r="AF227" s="577">
        <f t="shared" si="75"/>
        <v>0</v>
      </c>
      <c r="AG227" s="577">
        <f t="shared" si="75"/>
        <v>-9.618736097064776E-4</v>
      </c>
      <c r="AH227" s="577">
        <f t="shared" si="75"/>
        <v>-9.618736097064776E-4</v>
      </c>
      <c r="AI227" s="577">
        <f t="shared" si="75"/>
        <v>0</v>
      </c>
      <c r="AJ227" s="577">
        <f t="shared" si="75"/>
        <v>0</v>
      </c>
      <c r="AK227" s="577">
        <f t="shared" si="75"/>
        <v>-9.2389329270245696E-4</v>
      </c>
      <c r="AL227" s="577">
        <f t="shared" si="75"/>
        <v>-9.2389329270245696E-4</v>
      </c>
      <c r="AM227" s="577">
        <f t="shared" si="75"/>
        <v>0</v>
      </c>
      <c r="AN227" s="577">
        <f t="shared" si="75"/>
        <v>0</v>
      </c>
      <c r="AO227" s="577">
        <f t="shared" si="75"/>
        <v>-9.1064434491035652E-4</v>
      </c>
      <c r="AP227" s="577">
        <f t="shared" si="75"/>
        <v>-9.1064434491035652E-4</v>
      </c>
      <c r="AQ227" s="571"/>
      <c r="AR227" s="571"/>
    </row>
    <row r="228" spans="1:44" x14ac:dyDescent="0.25">
      <c r="C228" s="144"/>
      <c r="E228" s="302"/>
      <c r="F228" s="211" t="s">
        <v>51</v>
      </c>
      <c r="G228" s="139" t="s">
        <v>201</v>
      </c>
      <c r="H228" s="572"/>
      <c r="I228" s="572"/>
      <c r="J228" s="577">
        <f t="shared" ref="J228:AP228" si="76">hundred * $H36 * J61 / $H49 * J111 / hours_in_year</f>
        <v>0</v>
      </c>
      <c r="K228" s="577">
        <f t="shared" si="76"/>
        <v>0</v>
      </c>
      <c r="L228" s="577">
        <f t="shared" si="76"/>
        <v>0</v>
      </c>
      <c r="M228" s="577">
        <f t="shared" si="76"/>
        <v>0</v>
      </c>
      <c r="N228" s="577">
        <f t="shared" si="76"/>
        <v>0</v>
      </c>
      <c r="O228" s="577">
        <f t="shared" si="76"/>
        <v>0</v>
      </c>
      <c r="P228" s="577">
        <f t="shared" si="76"/>
        <v>0</v>
      </c>
      <c r="Q228" s="577">
        <f t="shared" si="76"/>
        <v>0</v>
      </c>
      <c r="R228" s="577">
        <f t="shared" si="76"/>
        <v>0</v>
      </c>
      <c r="S228" s="577">
        <f t="shared" si="76"/>
        <v>0</v>
      </c>
      <c r="T228" s="577">
        <f t="shared" si="76"/>
        <v>0</v>
      </c>
      <c r="U228" s="577">
        <f t="shared" si="76"/>
        <v>0</v>
      </c>
      <c r="V228" s="577">
        <f t="shared" si="76"/>
        <v>0</v>
      </c>
      <c r="W228" s="577">
        <f t="shared" si="76"/>
        <v>0</v>
      </c>
      <c r="X228" s="577">
        <f t="shared" si="76"/>
        <v>0</v>
      </c>
      <c r="Y228" s="577">
        <f t="shared" si="76"/>
        <v>0</v>
      </c>
      <c r="Z228" s="577">
        <f t="shared" si="76"/>
        <v>0</v>
      </c>
      <c r="AA228" s="577">
        <f t="shared" si="76"/>
        <v>0</v>
      </c>
      <c r="AB228" s="577">
        <f t="shared" si="76"/>
        <v>0</v>
      </c>
      <c r="AC228" s="577">
        <f t="shared" si="76"/>
        <v>0</v>
      </c>
      <c r="AD228" s="577">
        <f t="shared" si="76"/>
        <v>0</v>
      </c>
      <c r="AE228" s="577">
        <f t="shared" si="76"/>
        <v>0</v>
      </c>
      <c r="AF228" s="577">
        <f t="shared" si="76"/>
        <v>0</v>
      </c>
      <c r="AG228" s="577">
        <f t="shared" si="76"/>
        <v>0</v>
      </c>
      <c r="AH228" s="577">
        <f t="shared" si="76"/>
        <v>0</v>
      </c>
      <c r="AI228" s="577">
        <f t="shared" si="76"/>
        <v>0</v>
      </c>
      <c r="AJ228" s="577">
        <f t="shared" si="76"/>
        <v>0</v>
      </c>
      <c r="AK228" s="577">
        <f t="shared" si="76"/>
        <v>0</v>
      </c>
      <c r="AL228" s="577">
        <f t="shared" si="76"/>
        <v>0</v>
      </c>
      <c r="AM228" s="577">
        <f t="shared" si="76"/>
        <v>0</v>
      </c>
      <c r="AN228" s="577">
        <f t="shared" si="76"/>
        <v>0</v>
      </c>
      <c r="AO228" s="577">
        <f t="shared" si="76"/>
        <v>0</v>
      </c>
      <c r="AP228" s="577">
        <f t="shared" si="76"/>
        <v>0</v>
      </c>
      <c r="AQ228" s="571"/>
      <c r="AR228" s="571"/>
    </row>
    <row r="229" spans="1:44" x14ac:dyDescent="0.25">
      <c r="C229" s="144"/>
      <c r="E229" s="302"/>
      <c r="F229" s="211" t="s">
        <v>48</v>
      </c>
      <c r="G229" s="139" t="s">
        <v>201</v>
      </c>
      <c r="H229" s="572"/>
      <c r="I229" s="572"/>
      <c r="J229" s="577">
        <f t="shared" ref="J229:AP229" si="77">hundred * $H37 * J62 / $H50 * J112 / hours_in_year</f>
        <v>0</v>
      </c>
      <c r="K229" s="577">
        <f t="shared" si="77"/>
        <v>0</v>
      </c>
      <c r="L229" s="577">
        <f t="shared" si="77"/>
        <v>0</v>
      </c>
      <c r="M229" s="577">
        <f t="shared" si="77"/>
        <v>0</v>
      </c>
      <c r="N229" s="577">
        <f t="shared" si="77"/>
        <v>0</v>
      </c>
      <c r="O229" s="577">
        <f t="shared" si="77"/>
        <v>0</v>
      </c>
      <c r="P229" s="577">
        <f t="shared" si="77"/>
        <v>0</v>
      </c>
      <c r="Q229" s="577">
        <f t="shared" si="77"/>
        <v>0</v>
      </c>
      <c r="R229" s="577">
        <f t="shared" si="77"/>
        <v>0</v>
      </c>
      <c r="S229" s="577">
        <f t="shared" si="77"/>
        <v>1.0342249868014516E-2</v>
      </c>
      <c r="T229" s="577">
        <f t="shared" si="77"/>
        <v>1.0920038837819623E-2</v>
      </c>
      <c r="U229" s="577">
        <f t="shared" si="77"/>
        <v>8.1665221880424903E-3</v>
      </c>
      <c r="V229" s="577">
        <f t="shared" si="77"/>
        <v>7.5850339283526583E-3</v>
      </c>
      <c r="W229" s="577">
        <f t="shared" si="77"/>
        <v>6.8009906920491504E-3</v>
      </c>
      <c r="X229" s="577">
        <f t="shared" si="77"/>
        <v>0</v>
      </c>
      <c r="Y229" s="577">
        <f t="shared" si="77"/>
        <v>0</v>
      </c>
      <c r="Z229" s="577">
        <f t="shared" si="77"/>
        <v>0</v>
      </c>
      <c r="AA229" s="577">
        <f t="shared" si="77"/>
        <v>0</v>
      </c>
      <c r="AB229" s="577">
        <f t="shared" si="77"/>
        <v>6.3840392665777427E-3</v>
      </c>
      <c r="AC229" s="577">
        <f t="shared" si="77"/>
        <v>0</v>
      </c>
      <c r="AD229" s="577">
        <f t="shared" si="77"/>
        <v>0</v>
      </c>
      <c r="AE229" s="577">
        <f t="shared" si="77"/>
        <v>0</v>
      </c>
      <c r="AF229" s="577">
        <f t="shared" si="77"/>
        <v>0</v>
      </c>
      <c r="AG229" s="577">
        <f t="shared" si="77"/>
        <v>-6.8506275883521983E-3</v>
      </c>
      <c r="AH229" s="577">
        <f t="shared" si="77"/>
        <v>-6.8506275883521983E-3</v>
      </c>
      <c r="AI229" s="577">
        <f t="shared" si="77"/>
        <v>0</v>
      </c>
      <c r="AJ229" s="577">
        <f t="shared" si="77"/>
        <v>0</v>
      </c>
      <c r="AK229" s="577">
        <f t="shared" si="77"/>
        <v>-6.5801253052492192E-3</v>
      </c>
      <c r="AL229" s="577">
        <f t="shared" si="77"/>
        <v>-6.5801253052492192E-3</v>
      </c>
      <c r="AM229" s="577">
        <f t="shared" si="77"/>
        <v>0</v>
      </c>
      <c r="AN229" s="577">
        <f t="shared" si="77"/>
        <v>0</v>
      </c>
      <c r="AO229" s="577">
        <f t="shared" si="77"/>
        <v>0</v>
      </c>
      <c r="AP229" s="577">
        <f t="shared" si="77"/>
        <v>0</v>
      </c>
      <c r="AQ229" s="571"/>
      <c r="AR229" s="571"/>
    </row>
    <row r="230" spans="1:44" x14ac:dyDescent="0.25">
      <c r="C230" s="144"/>
      <c r="E230" s="302"/>
      <c r="F230" s="211" t="s">
        <v>49</v>
      </c>
      <c r="G230" s="139" t="s">
        <v>201</v>
      </c>
      <c r="H230" s="572"/>
      <c r="I230" s="572"/>
      <c r="J230" s="577">
        <f t="shared" ref="J230:AP230" si="78">hundred * $H38 * J63 / $H51 * J113 / hours_in_year</f>
        <v>0</v>
      </c>
      <c r="K230" s="577">
        <f t="shared" si="78"/>
        <v>0</v>
      </c>
      <c r="L230" s="577">
        <f t="shared" si="78"/>
        <v>0</v>
      </c>
      <c r="M230" s="577">
        <f t="shared" si="78"/>
        <v>0</v>
      </c>
      <c r="N230" s="577">
        <f t="shared" si="78"/>
        <v>0</v>
      </c>
      <c r="O230" s="577">
        <f t="shared" si="78"/>
        <v>0</v>
      </c>
      <c r="P230" s="577">
        <f t="shared" si="78"/>
        <v>0</v>
      </c>
      <c r="Q230" s="577">
        <f t="shared" si="78"/>
        <v>0</v>
      </c>
      <c r="R230" s="577">
        <f t="shared" si="78"/>
        <v>0</v>
      </c>
      <c r="S230" s="577">
        <f t="shared" si="78"/>
        <v>3.3912324868719929E-3</v>
      </c>
      <c r="T230" s="577">
        <f t="shared" si="78"/>
        <v>3.5806899791937822E-3</v>
      </c>
      <c r="U230" s="577">
        <f t="shared" si="78"/>
        <v>2.6778095387640639E-3</v>
      </c>
      <c r="V230" s="577">
        <f t="shared" si="78"/>
        <v>2.4871390461574691E-3</v>
      </c>
      <c r="W230" s="577">
        <f t="shared" si="78"/>
        <v>0</v>
      </c>
      <c r="X230" s="577">
        <f t="shared" si="78"/>
        <v>0</v>
      </c>
      <c r="Y230" s="577">
        <f t="shared" si="78"/>
        <v>0</v>
      </c>
      <c r="Z230" s="577">
        <f t="shared" si="78"/>
        <v>0</v>
      </c>
      <c r="AA230" s="577">
        <f t="shared" si="78"/>
        <v>0</v>
      </c>
      <c r="AB230" s="577">
        <f t="shared" si="78"/>
        <v>2.0933318798689177E-3</v>
      </c>
      <c r="AC230" s="577">
        <f t="shared" si="78"/>
        <v>0</v>
      </c>
      <c r="AD230" s="577">
        <f t="shared" si="78"/>
        <v>0</v>
      </c>
      <c r="AE230" s="577">
        <f t="shared" si="78"/>
        <v>0</v>
      </c>
      <c r="AF230" s="577">
        <f t="shared" si="78"/>
        <v>0</v>
      </c>
      <c r="AG230" s="577">
        <f t="shared" si="78"/>
        <v>-2.246326585565425E-3</v>
      </c>
      <c r="AH230" s="577">
        <f t="shared" si="78"/>
        <v>-2.246326585565425E-3</v>
      </c>
      <c r="AI230" s="577">
        <f t="shared" si="78"/>
        <v>0</v>
      </c>
      <c r="AJ230" s="577">
        <f t="shared" si="78"/>
        <v>0</v>
      </c>
      <c r="AK230" s="577">
        <f t="shared" si="78"/>
        <v>0</v>
      </c>
      <c r="AL230" s="577">
        <f t="shared" si="78"/>
        <v>0</v>
      </c>
      <c r="AM230" s="577">
        <f t="shared" si="78"/>
        <v>0</v>
      </c>
      <c r="AN230" s="577">
        <f t="shared" si="78"/>
        <v>0</v>
      </c>
      <c r="AO230" s="577">
        <f t="shared" si="78"/>
        <v>0</v>
      </c>
      <c r="AP230" s="577">
        <f t="shared" si="78"/>
        <v>0</v>
      </c>
      <c r="AQ230" s="571"/>
      <c r="AR230" s="571"/>
    </row>
    <row r="231" spans="1:44" x14ac:dyDescent="0.25">
      <c r="C231" s="144"/>
      <c r="E231" s="302"/>
      <c r="F231" s="212" t="s">
        <v>50</v>
      </c>
      <c r="G231" s="140" t="s">
        <v>201</v>
      </c>
      <c r="H231" s="574"/>
      <c r="I231" s="574"/>
      <c r="J231" s="578">
        <f t="shared" ref="J231:AP231" si="79">hundred * $H39 * J64 / $H52 * J114 / hours_in_year</f>
        <v>0</v>
      </c>
      <c r="K231" s="578">
        <f t="shared" si="79"/>
        <v>0</v>
      </c>
      <c r="L231" s="578">
        <f t="shared" si="79"/>
        <v>0</v>
      </c>
      <c r="M231" s="578">
        <f t="shared" si="79"/>
        <v>0</v>
      </c>
      <c r="N231" s="578">
        <f t="shared" si="79"/>
        <v>0</v>
      </c>
      <c r="O231" s="578">
        <f t="shared" si="79"/>
        <v>0</v>
      </c>
      <c r="P231" s="578">
        <f t="shared" si="79"/>
        <v>0</v>
      </c>
      <c r="Q231" s="578">
        <f t="shared" si="79"/>
        <v>0</v>
      </c>
      <c r="R231" s="578">
        <f t="shared" si="79"/>
        <v>0</v>
      </c>
      <c r="S231" s="578">
        <f t="shared" si="79"/>
        <v>6.0997412270732332E-3</v>
      </c>
      <c r="T231" s="578">
        <f t="shared" si="79"/>
        <v>6.440514583416922E-3</v>
      </c>
      <c r="U231" s="578">
        <f t="shared" si="79"/>
        <v>4.8165218117839012E-3</v>
      </c>
      <c r="V231" s="578">
        <f t="shared" si="79"/>
        <v>0</v>
      </c>
      <c r="W231" s="578">
        <f t="shared" si="79"/>
        <v>0</v>
      </c>
      <c r="X231" s="578">
        <f t="shared" si="79"/>
        <v>0</v>
      </c>
      <c r="Y231" s="578">
        <f t="shared" si="79"/>
        <v>0</v>
      </c>
      <c r="Z231" s="578">
        <f t="shared" si="79"/>
        <v>0</v>
      </c>
      <c r="AA231" s="578">
        <f t="shared" si="79"/>
        <v>0</v>
      </c>
      <c r="AB231" s="578">
        <f t="shared" si="79"/>
        <v>3.7652336780250734E-3</v>
      </c>
      <c r="AC231" s="578">
        <f t="shared" si="79"/>
        <v>0</v>
      </c>
      <c r="AD231" s="578">
        <f t="shared" si="79"/>
        <v>0</v>
      </c>
      <c r="AE231" s="578">
        <f t="shared" si="79"/>
        <v>0</v>
      </c>
      <c r="AF231" s="578">
        <f t="shared" si="79"/>
        <v>0</v>
      </c>
      <c r="AG231" s="578">
        <f t="shared" si="79"/>
        <v>0</v>
      </c>
      <c r="AH231" s="578">
        <f t="shared" si="79"/>
        <v>0</v>
      </c>
      <c r="AI231" s="578">
        <f t="shared" si="79"/>
        <v>0</v>
      </c>
      <c r="AJ231" s="578">
        <f t="shared" si="79"/>
        <v>0</v>
      </c>
      <c r="AK231" s="578">
        <f t="shared" si="79"/>
        <v>0</v>
      </c>
      <c r="AL231" s="578">
        <f t="shared" si="79"/>
        <v>0</v>
      </c>
      <c r="AM231" s="578">
        <f t="shared" si="79"/>
        <v>0</v>
      </c>
      <c r="AN231" s="578">
        <f t="shared" si="79"/>
        <v>0</v>
      </c>
      <c r="AO231" s="578">
        <f t="shared" si="79"/>
        <v>0</v>
      </c>
      <c r="AP231" s="578">
        <f t="shared" si="79"/>
        <v>0</v>
      </c>
      <c r="AQ231" s="571"/>
      <c r="AR231" s="571"/>
    </row>
    <row r="232" spans="1:44" s="160" customFormat="1" x14ac:dyDescent="0.25">
      <c r="J232" s="200"/>
      <c r="K232" s="200"/>
      <c r="L232" s="200"/>
      <c r="M232" s="200"/>
      <c r="N232" s="200"/>
      <c r="O232" s="200"/>
      <c r="P232" s="200"/>
      <c r="Q232" s="200"/>
      <c r="R232" s="200"/>
      <c r="S232" s="200"/>
      <c r="T232" s="200"/>
      <c r="U232" s="200"/>
      <c r="V232" s="200"/>
      <c r="W232" s="200"/>
      <c r="X232" s="200"/>
      <c r="Y232" s="200"/>
      <c r="Z232" s="200"/>
      <c r="AA232" s="200"/>
      <c r="AB232" s="200"/>
      <c r="AC232" s="200"/>
      <c r="AD232" s="200"/>
      <c r="AE232" s="200"/>
      <c r="AF232" s="200"/>
      <c r="AG232" s="200"/>
      <c r="AH232" s="200"/>
      <c r="AI232" s="200"/>
      <c r="AJ232" s="200"/>
      <c r="AK232" s="200"/>
      <c r="AL232" s="200"/>
      <c r="AM232" s="200"/>
      <c r="AN232" s="200"/>
      <c r="AO232" s="200"/>
      <c r="AP232" s="200"/>
    </row>
    <row r="233" spans="1:44" s="160" customFormat="1" x14ac:dyDescent="0.25">
      <c r="B233" s="171" t="s">
        <v>126</v>
      </c>
      <c r="C233" s="171"/>
      <c r="D233" s="171"/>
      <c r="E233" s="171"/>
      <c r="F233" s="171"/>
      <c r="G233" s="171"/>
      <c r="H233" s="171"/>
      <c r="I233" s="171"/>
      <c r="J233" s="278"/>
      <c r="K233" s="278"/>
      <c r="L233" s="278"/>
      <c r="M233" s="278"/>
      <c r="N233" s="278"/>
      <c r="O233" s="278"/>
      <c r="P233" s="278"/>
      <c r="Q233" s="278"/>
      <c r="R233" s="278"/>
      <c r="S233" s="278"/>
      <c r="T233" s="278"/>
      <c r="U233" s="278"/>
      <c r="V233" s="278"/>
      <c r="W233" s="278"/>
      <c r="X233" s="278"/>
      <c r="Y233" s="278"/>
      <c r="Z233" s="278"/>
      <c r="AA233" s="278"/>
      <c r="AB233" s="278"/>
      <c r="AC233" s="278"/>
      <c r="AD233" s="278"/>
      <c r="AE233" s="278"/>
      <c r="AF233" s="278"/>
      <c r="AG233" s="278"/>
      <c r="AH233" s="278"/>
      <c r="AI233" s="278"/>
      <c r="AJ233" s="278"/>
      <c r="AK233" s="278"/>
      <c r="AL233" s="278"/>
      <c r="AM233" s="278"/>
      <c r="AN233" s="278"/>
      <c r="AO233" s="278"/>
      <c r="AP233" s="278"/>
      <c r="AQ233" s="171"/>
      <c r="AR233" s="171"/>
    </row>
    <row r="234" spans="1:44" s="160" customFormat="1" x14ac:dyDescent="0.25">
      <c r="C234" s="172"/>
      <c r="D234" s="172"/>
      <c r="E234" s="172"/>
      <c r="J234" s="303"/>
      <c r="K234" s="303"/>
      <c r="L234" s="303"/>
      <c r="M234" s="303"/>
      <c r="N234" s="303"/>
      <c r="O234" s="303"/>
      <c r="P234" s="303"/>
      <c r="Q234" s="303"/>
      <c r="R234" s="303"/>
      <c r="S234" s="303"/>
      <c r="T234" s="200"/>
      <c r="U234" s="200"/>
      <c r="V234" s="200"/>
      <c r="W234" s="200"/>
      <c r="X234" s="200"/>
      <c r="Y234" s="200"/>
      <c r="Z234" s="200"/>
      <c r="AA234" s="200"/>
      <c r="AB234" s="200"/>
      <c r="AC234" s="200"/>
      <c r="AD234" s="200"/>
      <c r="AE234" s="200"/>
      <c r="AF234" s="200"/>
      <c r="AG234" s="200"/>
      <c r="AH234" s="200"/>
      <c r="AI234" s="200"/>
      <c r="AJ234" s="200"/>
      <c r="AK234" s="200"/>
      <c r="AL234" s="200"/>
      <c r="AM234" s="200"/>
      <c r="AN234" s="200"/>
      <c r="AO234" s="200"/>
      <c r="AP234" s="200"/>
    </row>
    <row r="235" spans="1:44" s="474" customFormat="1" x14ac:dyDescent="0.25">
      <c r="D235" s="172" t="s">
        <v>1070</v>
      </c>
      <c r="E235" s="172"/>
      <c r="J235" s="165"/>
      <c r="K235" s="165"/>
      <c r="L235" s="165"/>
      <c r="M235" s="165"/>
      <c r="N235" s="165"/>
      <c r="O235" s="165"/>
      <c r="P235" s="165"/>
      <c r="Q235" s="165"/>
      <c r="R235" s="165"/>
      <c r="S235" s="165"/>
    </row>
    <row r="236" spans="1:44" s="474" customFormat="1" x14ac:dyDescent="0.25">
      <c r="D236" s="172"/>
      <c r="E236" s="172"/>
      <c r="J236" s="165"/>
      <c r="K236" s="165"/>
      <c r="L236" s="165"/>
      <c r="M236" s="165"/>
      <c r="N236" s="165"/>
      <c r="O236" s="165"/>
      <c r="P236" s="165"/>
      <c r="Q236" s="165"/>
      <c r="R236" s="165"/>
      <c r="S236" s="165"/>
    </row>
    <row r="237" spans="1:44" s="338" customFormat="1" x14ac:dyDescent="0.25">
      <c r="E237" s="152" t="s">
        <v>982</v>
      </c>
      <c r="F237" s="172"/>
      <c r="J237" s="303"/>
      <c r="K237" s="303"/>
      <c r="L237" s="303"/>
      <c r="M237" s="303"/>
      <c r="N237" s="303"/>
      <c r="O237" s="303"/>
      <c r="P237" s="303"/>
      <c r="Q237" s="303"/>
      <c r="R237" s="303"/>
      <c r="S237" s="303"/>
      <c r="T237" s="200"/>
      <c r="U237" s="200"/>
      <c r="V237" s="200"/>
      <c r="W237" s="200"/>
      <c r="X237" s="200"/>
      <c r="Y237" s="200"/>
      <c r="Z237" s="200"/>
      <c r="AA237" s="200"/>
      <c r="AB237" s="200"/>
      <c r="AC237" s="200"/>
      <c r="AD237" s="200"/>
      <c r="AE237" s="200"/>
      <c r="AF237" s="200"/>
      <c r="AG237" s="200"/>
      <c r="AH237" s="200"/>
      <c r="AI237" s="200"/>
      <c r="AJ237" s="200"/>
      <c r="AK237" s="200"/>
      <c r="AL237" s="200"/>
      <c r="AM237" s="200"/>
      <c r="AN237" s="200"/>
      <c r="AO237" s="200"/>
      <c r="AP237" s="200"/>
    </row>
    <row r="238" spans="1:44" s="338" customFormat="1" x14ac:dyDescent="0.25">
      <c r="D238" s="172"/>
      <c r="E238" s="172"/>
      <c r="F238" s="172"/>
      <c r="J238" s="303"/>
      <c r="K238" s="303"/>
      <c r="L238" s="303"/>
      <c r="M238" s="303"/>
      <c r="N238" s="303"/>
      <c r="O238" s="303"/>
      <c r="P238" s="303"/>
      <c r="Q238" s="303"/>
      <c r="R238" s="303"/>
      <c r="S238" s="303"/>
      <c r="T238" s="200"/>
      <c r="U238" s="200"/>
      <c r="V238" s="200"/>
      <c r="W238" s="200"/>
      <c r="X238" s="200"/>
      <c r="Y238" s="200"/>
      <c r="Z238" s="200"/>
      <c r="AA238" s="200"/>
      <c r="AB238" s="200"/>
      <c r="AC238" s="200"/>
      <c r="AD238" s="200"/>
      <c r="AE238" s="200"/>
      <c r="AF238" s="200"/>
      <c r="AG238" s="200"/>
      <c r="AH238" s="200"/>
      <c r="AI238" s="200"/>
      <c r="AJ238" s="200"/>
      <c r="AK238" s="200"/>
      <c r="AL238" s="200"/>
      <c r="AM238" s="200"/>
      <c r="AN238" s="200"/>
      <c r="AO238" s="200"/>
      <c r="AP238" s="200"/>
    </row>
    <row r="239" spans="1:44" x14ac:dyDescent="0.25">
      <c r="A239" s="338"/>
      <c r="E239" s="74" t="s">
        <v>845</v>
      </c>
      <c r="F239" s="218"/>
      <c r="G239" s="167"/>
      <c r="H239" s="167"/>
      <c r="I239" s="167"/>
      <c r="J239" s="121"/>
      <c r="K239" s="121"/>
      <c r="L239" s="121"/>
      <c r="M239" s="121"/>
      <c r="N239" s="121"/>
      <c r="O239" s="121"/>
      <c r="P239" s="121"/>
      <c r="Q239" s="121"/>
      <c r="R239" s="121"/>
      <c r="S239" s="121"/>
      <c r="T239" s="121"/>
      <c r="U239" s="121"/>
      <c r="V239" s="121"/>
      <c r="W239" s="121"/>
      <c r="X239" s="121"/>
      <c r="Y239" s="121"/>
      <c r="Z239" s="121"/>
      <c r="AA239" s="121"/>
      <c r="AB239" s="121"/>
      <c r="AC239" s="121"/>
      <c r="AD239" s="121"/>
      <c r="AE239" s="121"/>
      <c r="AF239" s="121"/>
      <c r="AG239" s="121"/>
      <c r="AH239" s="121"/>
      <c r="AI239" s="121"/>
      <c r="AJ239" s="121"/>
      <c r="AK239" s="121"/>
      <c r="AL239" s="121"/>
      <c r="AM239" s="121"/>
      <c r="AN239" s="121"/>
      <c r="AO239" s="121"/>
      <c r="AP239" s="121"/>
    </row>
    <row r="240" spans="1:44" x14ac:dyDescent="0.25">
      <c r="A240" s="338"/>
      <c r="E240" s="131"/>
      <c r="F240" s="346" t="s">
        <v>151</v>
      </c>
      <c r="G240" s="166" t="s">
        <v>137</v>
      </c>
      <c r="H240" s="166"/>
      <c r="I240" s="166"/>
      <c r="J240" s="457">
        <f>'Volume adjustments'!J66</f>
        <v>9619584.3780239914</v>
      </c>
      <c r="K240" s="457">
        <f>'Volume adjustments'!K66</f>
        <v>835527.80607310811</v>
      </c>
      <c r="L240" s="457">
        <f>'Volume adjustments'!L66</f>
        <v>199297.91284437623</v>
      </c>
      <c r="M240" s="457">
        <f>'Volume adjustments'!M66</f>
        <v>2706270.8612037809</v>
      </c>
      <c r="N240" s="457">
        <f>'Volume adjustments'!N66</f>
        <v>446470.69642024959</v>
      </c>
      <c r="O240" s="457">
        <f>'Volume adjustments'!O66</f>
        <v>42294.937322173275</v>
      </c>
      <c r="P240" s="408"/>
      <c r="Q240" s="408"/>
      <c r="R240" s="408"/>
      <c r="S240" s="457">
        <f>'Volume adjustments'!S66</f>
        <v>7860.7404958513216</v>
      </c>
      <c r="T240" s="457">
        <f>'Volume adjustments'!T66</f>
        <v>31198.833710634557</v>
      </c>
      <c r="U240" s="408"/>
      <c r="V240" s="408"/>
      <c r="W240" s="408"/>
      <c r="X240" s="408"/>
      <c r="Y240" s="408"/>
      <c r="Z240" s="408"/>
      <c r="AA240" s="408"/>
      <c r="AB240" s="408"/>
      <c r="AC240" s="408"/>
      <c r="AD240" s="408"/>
      <c r="AE240" s="408"/>
      <c r="AF240" s="408"/>
      <c r="AG240" s="408"/>
      <c r="AH240" s="408"/>
      <c r="AI240" s="408"/>
      <c r="AJ240" s="408"/>
      <c r="AK240" s="408"/>
      <c r="AL240" s="408"/>
      <c r="AM240" s="408"/>
      <c r="AN240" s="408"/>
      <c r="AO240" s="408"/>
      <c r="AP240" s="408"/>
    </row>
    <row r="241" spans="1:42" x14ac:dyDescent="0.25">
      <c r="A241" s="338"/>
      <c r="E241" s="131"/>
      <c r="F241" s="214" t="s">
        <v>152</v>
      </c>
      <c r="G241" s="339" t="s">
        <v>137</v>
      </c>
      <c r="H241" s="339"/>
      <c r="I241" s="339"/>
      <c r="J241" s="458">
        <f>'Volume adjustments'!J77</f>
        <v>0</v>
      </c>
      <c r="K241" s="458">
        <f>'Volume adjustments'!K77</f>
        <v>735614.89686908422</v>
      </c>
      <c r="L241" s="458">
        <f>'Volume adjustments'!L77</f>
        <v>0</v>
      </c>
      <c r="M241" s="458">
        <f>'Volume adjustments'!M77</f>
        <v>0</v>
      </c>
      <c r="N241" s="458">
        <f>'Volume adjustments'!N77</f>
        <v>278002.52474213234</v>
      </c>
      <c r="O241" s="458">
        <f>'Volume adjustments'!O77</f>
        <v>0</v>
      </c>
      <c r="P241" s="410"/>
      <c r="Q241" s="410"/>
      <c r="R241" s="410"/>
      <c r="S241" s="458">
        <f>'Volume adjustments'!S77</f>
        <v>24996.690407605536</v>
      </c>
      <c r="T241" s="458">
        <f>'Volume adjustments'!T77</f>
        <v>177573.26231864805</v>
      </c>
      <c r="U241" s="410"/>
      <c r="V241" s="410"/>
      <c r="W241" s="410"/>
      <c r="X241" s="410"/>
      <c r="Y241" s="410"/>
      <c r="Z241" s="410"/>
      <c r="AA241" s="410"/>
      <c r="AB241" s="410"/>
      <c r="AC241" s="410"/>
      <c r="AD241" s="410"/>
      <c r="AE241" s="410"/>
      <c r="AF241" s="410"/>
      <c r="AG241" s="410"/>
      <c r="AH241" s="410"/>
      <c r="AI241" s="410"/>
      <c r="AJ241" s="410"/>
      <c r="AK241" s="410"/>
      <c r="AL241" s="410"/>
      <c r="AM241" s="410"/>
      <c r="AN241" s="410"/>
      <c r="AO241" s="410"/>
      <c r="AP241" s="410"/>
    </row>
    <row r="242" spans="1:42" x14ac:dyDescent="0.25">
      <c r="A242" s="338"/>
      <c r="E242" s="131"/>
      <c r="F242" s="345" t="s">
        <v>153</v>
      </c>
      <c r="G242" s="168" t="s">
        <v>137</v>
      </c>
      <c r="H242" s="168"/>
      <c r="I242" s="168"/>
      <c r="J242" s="459">
        <f>'Volume adjustments'!J88</f>
        <v>0</v>
      </c>
      <c r="K242" s="459">
        <f>'Volume adjustments'!K88</f>
        <v>0</v>
      </c>
      <c r="L242" s="459">
        <f>'Volume adjustments'!L88</f>
        <v>0</v>
      </c>
      <c r="M242" s="459">
        <f>'Volume adjustments'!M88</f>
        <v>0</v>
      </c>
      <c r="N242" s="459">
        <f>'Volume adjustments'!N88</f>
        <v>0</v>
      </c>
      <c r="O242" s="459">
        <f>'Volume adjustments'!O88</f>
        <v>0</v>
      </c>
      <c r="P242" s="414"/>
      <c r="Q242" s="414"/>
      <c r="R242" s="414"/>
      <c r="S242" s="459">
        <f>'Volume adjustments'!S88</f>
        <v>14751.44123412742</v>
      </c>
      <c r="T242" s="459">
        <f>'Volume adjustments'!T88</f>
        <v>84778.104421972268</v>
      </c>
      <c r="U242" s="414"/>
      <c r="V242" s="414"/>
      <c r="W242" s="414"/>
      <c r="X242" s="414"/>
      <c r="Y242" s="414"/>
      <c r="Z242" s="414"/>
      <c r="AA242" s="414"/>
      <c r="AB242" s="414"/>
      <c r="AC242" s="414"/>
      <c r="AD242" s="414"/>
      <c r="AE242" s="414"/>
      <c r="AF242" s="414"/>
      <c r="AG242" s="414"/>
      <c r="AH242" s="414"/>
      <c r="AI242" s="414"/>
      <c r="AJ242" s="414"/>
      <c r="AK242" s="414"/>
      <c r="AL242" s="414"/>
      <c r="AM242" s="414"/>
      <c r="AN242" s="414"/>
      <c r="AO242" s="414"/>
      <c r="AP242" s="414"/>
    </row>
    <row r="243" spans="1:42" x14ac:dyDescent="0.25">
      <c r="A243" s="338"/>
      <c r="E243" s="131"/>
      <c r="F243" s="215" t="s">
        <v>128</v>
      </c>
      <c r="G243" s="138" t="s">
        <v>137</v>
      </c>
      <c r="H243" s="138"/>
      <c r="I243" s="138"/>
      <c r="J243" s="460">
        <f t="shared" ref="J243:O243" si="80">SUM(J240:J242)</f>
        <v>9619584.3780239914</v>
      </c>
      <c r="K243" s="460">
        <f t="shared" si="80"/>
        <v>1571142.7029421923</v>
      </c>
      <c r="L243" s="460">
        <f t="shared" si="80"/>
        <v>199297.91284437623</v>
      </c>
      <c r="M243" s="460">
        <f t="shared" si="80"/>
        <v>2706270.8612037809</v>
      </c>
      <c r="N243" s="460">
        <f t="shared" si="80"/>
        <v>724473.22116238193</v>
      </c>
      <c r="O243" s="460">
        <f t="shared" si="80"/>
        <v>42294.937322173275</v>
      </c>
      <c r="P243" s="461"/>
      <c r="Q243" s="461"/>
      <c r="R243" s="461"/>
      <c r="S243" s="460">
        <f>SUM(S240:S242)</f>
        <v>47608.87213758428</v>
      </c>
      <c r="T243" s="460">
        <f>SUM(T240:T242)</f>
        <v>293550.20045125484</v>
      </c>
      <c r="U243" s="461"/>
      <c r="V243" s="461"/>
      <c r="W243" s="461"/>
      <c r="X243" s="461"/>
      <c r="Y243" s="461"/>
      <c r="Z243" s="461"/>
      <c r="AA243" s="461"/>
      <c r="AB243" s="461"/>
      <c r="AC243" s="461"/>
      <c r="AD243" s="461"/>
      <c r="AE243" s="461"/>
      <c r="AF243" s="461"/>
      <c r="AG243" s="461"/>
      <c r="AH243" s="461"/>
      <c r="AI243" s="461"/>
      <c r="AJ243" s="461"/>
      <c r="AK243" s="461"/>
      <c r="AL243" s="461"/>
      <c r="AM243" s="461"/>
      <c r="AN243" s="461"/>
      <c r="AO243" s="461"/>
      <c r="AP243" s="461"/>
    </row>
    <row r="244" spans="1:42" x14ac:dyDescent="0.25">
      <c r="A244" s="338"/>
      <c r="E244" s="131"/>
      <c r="F244" s="213"/>
      <c r="J244" s="401"/>
      <c r="K244" s="401"/>
      <c r="L244" s="401"/>
      <c r="M244" s="401"/>
      <c r="N244" s="401"/>
      <c r="O244" s="401"/>
      <c r="P244" s="401"/>
      <c r="Q244" s="401"/>
      <c r="R244" s="401"/>
      <c r="S244" s="401"/>
      <c r="T244" s="401"/>
      <c r="U244" s="401"/>
      <c r="V244" s="401"/>
      <c r="W244" s="401"/>
      <c r="X244" s="401"/>
      <c r="Y244" s="401"/>
      <c r="Z244" s="401"/>
      <c r="AA244" s="401"/>
      <c r="AB244" s="401"/>
      <c r="AC244" s="401"/>
      <c r="AD244" s="401"/>
      <c r="AE244" s="401"/>
      <c r="AF244" s="401"/>
      <c r="AG244" s="401"/>
      <c r="AH244" s="401"/>
      <c r="AI244" s="401"/>
      <c r="AJ244" s="401"/>
      <c r="AK244" s="401"/>
      <c r="AL244" s="401"/>
      <c r="AM244" s="401"/>
      <c r="AN244" s="401"/>
      <c r="AO244" s="401"/>
      <c r="AP244" s="401"/>
    </row>
    <row r="245" spans="1:42" s="338" customFormat="1" x14ac:dyDescent="0.25">
      <c r="E245" s="172" t="s">
        <v>506</v>
      </c>
      <c r="F245" s="145"/>
      <c r="G245" s="145"/>
      <c r="H245" s="339"/>
      <c r="I245" s="339"/>
      <c r="J245" s="435"/>
      <c r="K245" s="435"/>
      <c r="L245" s="435"/>
      <c r="M245" s="435"/>
      <c r="N245" s="435"/>
      <c r="O245" s="435"/>
      <c r="P245" s="435"/>
      <c r="Q245" s="435"/>
      <c r="R245" s="435"/>
      <c r="S245" s="435"/>
      <c r="T245" s="435"/>
      <c r="U245" s="435"/>
      <c r="V245" s="435"/>
      <c r="W245" s="435"/>
      <c r="X245" s="435"/>
      <c r="Y245" s="435"/>
      <c r="Z245" s="435"/>
      <c r="AA245" s="435"/>
      <c r="AB245" s="435"/>
      <c r="AC245" s="435"/>
      <c r="AD245" s="435"/>
      <c r="AE245" s="435"/>
      <c r="AF245" s="435"/>
      <c r="AG245" s="435"/>
      <c r="AH245" s="435"/>
      <c r="AI245" s="435"/>
      <c r="AJ245" s="435"/>
      <c r="AK245" s="435"/>
      <c r="AL245" s="435"/>
      <c r="AM245" s="435"/>
      <c r="AN245" s="435"/>
      <c r="AO245" s="435"/>
      <c r="AP245" s="435"/>
    </row>
    <row r="246" spans="1:42" s="338" customFormat="1" x14ac:dyDescent="0.25">
      <c r="F246" s="40" t="s">
        <v>101</v>
      </c>
      <c r="G246" s="40" t="s">
        <v>137</v>
      </c>
      <c r="H246" s="166"/>
      <c r="I246" s="166"/>
      <c r="J246" s="438">
        <f>'Pseudo-load coefficients'!J73</f>
        <v>1254014.6217734041</v>
      </c>
      <c r="K246" s="438">
        <f>'Pseudo-load coefficients'!K73</f>
        <v>134546.05701829004</v>
      </c>
      <c r="L246" s="438">
        <f>'Pseudo-load coefficients'!L73</f>
        <v>588.05024037800843</v>
      </c>
      <c r="M246" s="438">
        <f>'Pseudo-load coefficients'!M73</f>
        <v>270442.69785961026</v>
      </c>
      <c r="N246" s="438">
        <f>'Pseudo-load coefficients'!N73</f>
        <v>64359.394568929732</v>
      </c>
      <c r="O246" s="438">
        <f>'Pseudo-load coefficients'!O73</f>
        <v>1137.1790263751604</v>
      </c>
      <c r="P246" s="408"/>
      <c r="Q246" s="408"/>
      <c r="R246" s="408"/>
      <c r="S246" s="438">
        <f>'Pseudo-load coefficients'!S73</f>
        <v>7860.7404958513216</v>
      </c>
      <c r="T246" s="438">
        <f>'Pseudo-load coefficients'!T73</f>
        <v>31198.833710634557</v>
      </c>
      <c r="U246" s="408"/>
      <c r="V246" s="408"/>
      <c r="W246" s="408"/>
      <c r="X246" s="408"/>
      <c r="Y246" s="408"/>
      <c r="Z246" s="408"/>
      <c r="AA246" s="408"/>
      <c r="AB246" s="408"/>
      <c r="AC246" s="408"/>
      <c r="AD246" s="408"/>
      <c r="AE246" s="408"/>
      <c r="AF246" s="408"/>
      <c r="AG246" s="408"/>
      <c r="AH246" s="408"/>
      <c r="AI246" s="408"/>
      <c r="AJ246" s="408"/>
      <c r="AK246" s="408"/>
      <c r="AL246" s="408"/>
      <c r="AM246" s="408"/>
      <c r="AN246" s="408"/>
      <c r="AO246" s="408"/>
      <c r="AP246" s="408"/>
    </row>
    <row r="247" spans="1:42" s="338" customFormat="1" x14ac:dyDescent="0.25">
      <c r="F247" s="145" t="s">
        <v>102</v>
      </c>
      <c r="G247" s="145" t="s">
        <v>137</v>
      </c>
      <c r="H247" s="339"/>
      <c r="I247" s="339"/>
      <c r="J247" s="437">
        <f>'Pseudo-load coefficients'!J74</f>
        <v>5588417.7855300223</v>
      </c>
      <c r="K247" s="437">
        <f>'Pseudo-load coefficients'!K74</f>
        <v>601769.0906566605</v>
      </c>
      <c r="L247" s="437">
        <f>'Pseudo-load coefficients'!L74</f>
        <v>55862.668707052981</v>
      </c>
      <c r="M247" s="437">
        <f>'Pseudo-load coefficients'!M74</f>
        <v>1773108.6021355526</v>
      </c>
      <c r="N247" s="437">
        <f>'Pseudo-load coefficients'!N74</f>
        <v>382036.83230683295</v>
      </c>
      <c r="O247" s="437">
        <f>'Pseudo-load coefficients'!O74</f>
        <v>11883.994264805096</v>
      </c>
      <c r="P247" s="410"/>
      <c r="Q247" s="410"/>
      <c r="R247" s="410"/>
      <c r="S247" s="437">
        <f>'Pseudo-load coefficients'!S74</f>
        <v>24996.690407605536</v>
      </c>
      <c r="T247" s="437">
        <f>'Pseudo-load coefficients'!T74</f>
        <v>177573.26231864805</v>
      </c>
      <c r="U247" s="410"/>
      <c r="V247" s="410"/>
      <c r="W247" s="410"/>
      <c r="X247" s="410"/>
      <c r="Y247" s="410"/>
      <c r="Z247" s="410"/>
      <c r="AA247" s="410"/>
      <c r="AB247" s="410"/>
      <c r="AC247" s="410"/>
      <c r="AD247" s="410"/>
      <c r="AE247" s="410"/>
      <c r="AF247" s="410"/>
      <c r="AG247" s="410"/>
      <c r="AH247" s="410"/>
      <c r="AI247" s="410"/>
      <c r="AJ247" s="410"/>
      <c r="AK247" s="410"/>
      <c r="AL247" s="410"/>
      <c r="AM247" s="410"/>
      <c r="AN247" s="410"/>
      <c r="AO247" s="410"/>
      <c r="AP247" s="410"/>
    </row>
    <row r="248" spans="1:42" s="338" customFormat="1" x14ac:dyDescent="0.25">
      <c r="F248" s="38" t="s">
        <v>103</v>
      </c>
      <c r="G248" s="38" t="s">
        <v>137</v>
      </c>
      <c r="H248" s="168"/>
      <c r="I248" s="168"/>
      <c r="J248" s="440">
        <f>'Pseudo-load coefficients'!J75</f>
        <v>2777151.9707205645</v>
      </c>
      <c r="K248" s="440">
        <f>'Pseudo-load coefficients'!K75</f>
        <v>834827.55526724202</v>
      </c>
      <c r="L248" s="440">
        <f>'Pseudo-load coefficients'!L75</f>
        <v>142847.19389694522</v>
      </c>
      <c r="M248" s="440">
        <f>'Pseudo-load coefficients'!M75</f>
        <v>662719.56120861811</v>
      </c>
      <c r="N248" s="440">
        <f>'Pseudo-load coefficients'!N75</f>
        <v>278076.9942866193</v>
      </c>
      <c r="O248" s="440">
        <f>'Pseudo-load coefficients'!O75</f>
        <v>29273.76403099301</v>
      </c>
      <c r="P248" s="414"/>
      <c r="Q248" s="414"/>
      <c r="R248" s="414"/>
      <c r="S248" s="440">
        <f>'Pseudo-load coefficients'!S75</f>
        <v>14751.44123412742</v>
      </c>
      <c r="T248" s="440">
        <f>'Pseudo-load coefficients'!T75</f>
        <v>84778.104421972268</v>
      </c>
      <c r="U248" s="414"/>
      <c r="V248" s="414"/>
      <c r="W248" s="414"/>
      <c r="X248" s="414"/>
      <c r="Y248" s="414"/>
      <c r="Z248" s="414"/>
      <c r="AA248" s="414"/>
      <c r="AB248" s="414"/>
      <c r="AC248" s="414"/>
      <c r="AD248" s="414"/>
      <c r="AE248" s="414"/>
      <c r="AF248" s="414"/>
      <c r="AG248" s="414"/>
      <c r="AH248" s="414"/>
      <c r="AI248" s="414"/>
      <c r="AJ248" s="414"/>
      <c r="AK248" s="414"/>
      <c r="AL248" s="414"/>
      <c r="AM248" s="414"/>
      <c r="AN248" s="414"/>
      <c r="AO248" s="414"/>
      <c r="AP248" s="414"/>
    </row>
    <row r="249" spans="1:42" s="338" customFormat="1" x14ac:dyDescent="0.25">
      <c r="F249" s="215" t="s">
        <v>128</v>
      </c>
      <c r="G249" s="138" t="s">
        <v>137</v>
      </c>
      <c r="H249" s="138"/>
      <c r="I249" s="138"/>
      <c r="J249" s="460">
        <f>SUM(J246:J248)</f>
        <v>9619584.3780239914</v>
      </c>
      <c r="K249" s="460">
        <f t="shared" ref="K249:O249" si="81">SUM(K246:K248)</f>
        <v>1571142.7029421926</v>
      </c>
      <c r="L249" s="460">
        <f t="shared" si="81"/>
        <v>199297.9128443762</v>
      </c>
      <c r="M249" s="460">
        <f t="shared" si="81"/>
        <v>2706270.8612037809</v>
      </c>
      <c r="N249" s="460">
        <f t="shared" si="81"/>
        <v>724473.22116238205</v>
      </c>
      <c r="O249" s="460">
        <f t="shared" si="81"/>
        <v>42294.937322173268</v>
      </c>
      <c r="P249" s="461"/>
      <c r="Q249" s="461"/>
      <c r="R249" s="461"/>
      <c r="S249" s="460">
        <f>SUM(S246:S248)</f>
        <v>47608.87213758428</v>
      </c>
      <c r="T249" s="460">
        <f>SUM(T246:T248)</f>
        <v>293550.20045125484</v>
      </c>
      <c r="U249" s="461"/>
      <c r="V249" s="461"/>
      <c r="W249" s="461"/>
      <c r="X249" s="461"/>
      <c r="Y249" s="461"/>
      <c r="Z249" s="461"/>
      <c r="AA249" s="461"/>
      <c r="AB249" s="461"/>
      <c r="AC249" s="461"/>
      <c r="AD249" s="461"/>
      <c r="AE249" s="461"/>
      <c r="AF249" s="461"/>
      <c r="AG249" s="461"/>
      <c r="AH249" s="461"/>
      <c r="AI249" s="461"/>
      <c r="AJ249" s="461"/>
      <c r="AK249" s="461"/>
      <c r="AL249" s="461"/>
      <c r="AM249" s="461"/>
      <c r="AN249" s="461"/>
      <c r="AO249" s="461"/>
      <c r="AP249" s="461"/>
    </row>
    <row r="250" spans="1:42" s="338" customFormat="1" x14ac:dyDescent="0.25">
      <c r="G250" s="35"/>
      <c r="J250" s="165"/>
    </row>
    <row r="251" spans="1:42" s="338" customFormat="1" x14ac:dyDescent="0.25">
      <c r="E251" s="172" t="s">
        <v>774</v>
      </c>
    </row>
    <row r="252" spans="1:42" s="338" customFormat="1" x14ac:dyDescent="0.25">
      <c r="F252" s="40" t="s">
        <v>101</v>
      </c>
      <c r="G252" s="40" t="s">
        <v>111</v>
      </c>
      <c r="H252" s="166"/>
      <c r="I252" s="166"/>
      <c r="J252" s="185"/>
      <c r="K252" s="185"/>
      <c r="L252" s="185"/>
      <c r="M252" s="185"/>
      <c r="N252" s="185"/>
      <c r="O252" s="185"/>
      <c r="P252" s="185"/>
      <c r="Q252" s="185"/>
      <c r="R252" s="185"/>
      <c r="S252" s="322">
        <f>SUM(J246:L246) / SUM($J$249:$L$249)</f>
        <v>0.12196186837052136</v>
      </c>
      <c r="T252" s="185"/>
      <c r="U252" s="185"/>
      <c r="V252" s="185"/>
      <c r="W252" s="185"/>
      <c r="X252" s="185"/>
      <c r="Y252" s="185"/>
      <c r="Z252" s="185"/>
      <c r="AA252" s="185"/>
      <c r="AB252" s="185"/>
      <c r="AC252" s="185"/>
      <c r="AD252" s="185"/>
      <c r="AE252" s="185"/>
      <c r="AF252" s="185"/>
      <c r="AG252" s="185"/>
      <c r="AH252" s="185"/>
      <c r="AI252" s="185"/>
      <c r="AJ252" s="185"/>
      <c r="AK252" s="185"/>
      <c r="AL252" s="185"/>
      <c r="AM252" s="185"/>
      <c r="AN252" s="185"/>
      <c r="AO252" s="185"/>
      <c r="AP252" s="185"/>
    </row>
    <row r="253" spans="1:42" s="338" customFormat="1" x14ac:dyDescent="0.25">
      <c r="F253" s="35" t="s">
        <v>102</v>
      </c>
      <c r="G253" s="35" t="s">
        <v>111</v>
      </c>
      <c r="J253" s="178"/>
      <c r="K253" s="178"/>
      <c r="L253" s="178"/>
      <c r="M253" s="178"/>
      <c r="N253" s="178"/>
      <c r="O253" s="178"/>
      <c r="P253" s="178"/>
      <c r="Q253" s="178"/>
      <c r="R253" s="178"/>
      <c r="S253" s="321">
        <f>SUM(J247:L247) / SUM($J$249:$L$249)</f>
        <v>0.5483789147335405</v>
      </c>
      <c r="T253" s="178"/>
      <c r="U253" s="178"/>
      <c r="V253" s="178"/>
      <c r="W253" s="178"/>
      <c r="X253" s="178"/>
      <c r="Y253" s="178"/>
      <c r="Z253" s="178"/>
      <c r="AA253" s="178"/>
      <c r="AB253" s="178"/>
      <c r="AC253" s="178"/>
      <c r="AD253" s="178"/>
      <c r="AE253" s="178"/>
      <c r="AF253" s="178"/>
      <c r="AG253" s="178"/>
      <c r="AH253" s="178"/>
      <c r="AI253" s="178"/>
      <c r="AJ253" s="178"/>
      <c r="AK253" s="178"/>
      <c r="AL253" s="178"/>
      <c r="AM253" s="178"/>
      <c r="AN253" s="178"/>
      <c r="AO253" s="178"/>
      <c r="AP253" s="178"/>
    </row>
    <row r="254" spans="1:42" s="338" customFormat="1" x14ac:dyDescent="0.25">
      <c r="F254" s="38" t="s">
        <v>103</v>
      </c>
      <c r="G254" s="38" t="s">
        <v>111</v>
      </c>
      <c r="H254" s="168"/>
      <c r="I254" s="168"/>
      <c r="J254" s="179"/>
      <c r="K254" s="179"/>
      <c r="L254" s="179"/>
      <c r="M254" s="179"/>
      <c r="N254" s="179"/>
      <c r="O254" s="179"/>
      <c r="P254" s="179"/>
      <c r="Q254" s="179"/>
      <c r="R254" s="179"/>
      <c r="S254" s="323">
        <f>SUM(J248:L248) / SUM($J$249:$L$249)</f>
        <v>0.32965921689593813</v>
      </c>
      <c r="T254" s="179"/>
      <c r="U254" s="179"/>
      <c r="V254" s="179"/>
      <c r="W254" s="179"/>
      <c r="X254" s="179"/>
      <c r="Y254" s="179"/>
      <c r="Z254" s="179"/>
      <c r="AA254" s="179"/>
      <c r="AB254" s="179"/>
      <c r="AC254" s="179"/>
      <c r="AD254" s="179"/>
      <c r="AE254" s="179"/>
      <c r="AF254" s="179"/>
      <c r="AG254" s="179"/>
      <c r="AH254" s="179"/>
      <c r="AI254" s="179"/>
      <c r="AJ254" s="179"/>
      <c r="AK254" s="179"/>
      <c r="AL254" s="179"/>
      <c r="AM254" s="179"/>
      <c r="AN254" s="179"/>
      <c r="AO254" s="179"/>
      <c r="AP254" s="179"/>
    </row>
    <row r="255" spans="1:42" s="338" customFormat="1" x14ac:dyDescent="0.25">
      <c r="G255" s="35"/>
      <c r="J255" s="165"/>
    </row>
    <row r="256" spans="1:42" s="338" customFormat="1" x14ac:dyDescent="0.25">
      <c r="E256" s="172" t="s">
        <v>775</v>
      </c>
    </row>
    <row r="257" spans="1:42" s="338" customFormat="1" x14ac:dyDescent="0.25">
      <c r="F257" s="40" t="s">
        <v>101</v>
      </c>
      <c r="G257" s="40" t="s">
        <v>111</v>
      </c>
      <c r="H257" s="166"/>
      <c r="I257" s="166"/>
      <c r="J257" s="185"/>
      <c r="K257" s="185"/>
      <c r="L257" s="185"/>
      <c r="M257" s="185"/>
      <c r="N257" s="185"/>
      <c r="O257" s="185"/>
      <c r="P257" s="185"/>
      <c r="Q257" s="185"/>
      <c r="R257" s="185"/>
      <c r="S257" s="185"/>
      <c r="T257" s="322">
        <f>SUM(M246:O246) / SUM($M$249:$O$249)</f>
        <v>9.6727756167007226E-2</v>
      </c>
      <c r="U257" s="185"/>
      <c r="V257" s="185"/>
      <c r="W257" s="185"/>
      <c r="X257" s="185"/>
      <c r="Y257" s="185"/>
      <c r="Z257" s="185"/>
      <c r="AA257" s="185"/>
      <c r="AB257" s="185"/>
      <c r="AC257" s="185"/>
      <c r="AD257" s="185"/>
      <c r="AE257" s="185"/>
      <c r="AF257" s="185"/>
      <c r="AG257" s="185"/>
      <c r="AH257" s="185"/>
      <c r="AI257" s="185"/>
      <c r="AJ257" s="185"/>
      <c r="AK257" s="185"/>
      <c r="AL257" s="185"/>
      <c r="AM257" s="185"/>
      <c r="AN257" s="185"/>
      <c r="AO257" s="185"/>
      <c r="AP257" s="185"/>
    </row>
    <row r="258" spans="1:42" s="338" customFormat="1" x14ac:dyDescent="0.25">
      <c r="F258" s="35" t="s">
        <v>102</v>
      </c>
      <c r="G258" s="35" t="s">
        <v>111</v>
      </c>
      <c r="J258" s="178"/>
      <c r="K258" s="178"/>
      <c r="L258" s="178"/>
      <c r="M258" s="178"/>
      <c r="N258" s="178"/>
      <c r="O258" s="178"/>
      <c r="P258" s="178"/>
      <c r="Q258" s="178"/>
      <c r="R258" s="178"/>
      <c r="S258" s="178"/>
      <c r="T258" s="321">
        <f>SUM(M247:O247) / SUM($M$249:$O$249)</f>
        <v>0.62395769711267335</v>
      </c>
      <c r="U258" s="178"/>
      <c r="V258" s="178"/>
      <c r="W258" s="178"/>
      <c r="X258" s="178"/>
      <c r="Y258" s="178"/>
      <c r="Z258" s="178"/>
      <c r="AA258" s="178"/>
      <c r="AB258" s="178"/>
      <c r="AC258" s="178"/>
      <c r="AD258" s="178"/>
      <c r="AE258" s="178"/>
      <c r="AF258" s="178"/>
      <c r="AG258" s="178"/>
      <c r="AH258" s="178"/>
      <c r="AI258" s="178"/>
      <c r="AJ258" s="178"/>
      <c r="AK258" s="178"/>
      <c r="AL258" s="178"/>
      <c r="AM258" s="178"/>
      <c r="AN258" s="178"/>
      <c r="AO258" s="178"/>
      <c r="AP258" s="178"/>
    </row>
    <row r="259" spans="1:42" s="338" customFormat="1" x14ac:dyDescent="0.25">
      <c r="F259" s="38" t="s">
        <v>103</v>
      </c>
      <c r="G259" s="38" t="s">
        <v>111</v>
      </c>
      <c r="H259" s="168"/>
      <c r="I259" s="168"/>
      <c r="J259" s="179"/>
      <c r="K259" s="179"/>
      <c r="L259" s="179"/>
      <c r="M259" s="179"/>
      <c r="N259" s="179"/>
      <c r="O259" s="179"/>
      <c r="P259" s="179"/>
      <c r="Q259" s="179"/>
      <c r="R259" s="179"/>
      <c r="S259" s="179"/>
      <c r="T259" s="323">
        <f>SUM(M248:O248) / SUM($M$249:$O$249)</f>
        <v>0.27931454672031952</v>
      </c>
      <c r="U259" s="179"/>
      <c r="V259" s="179"/>
      <c r="W259" s="179"/>
      <c r="X259" s="179"/>
      <c r="Y259" s="179"/>
      <c r="Z259" s="179"/>
      <c r="AA259" s="179"/>
      <c r="AB259" s="179"/>
      <c r="AC259" s="179"/>
      <c r="AD259" s="179"/>
      <c r="AE259" s="179"/>
      <c r="AF259" s="179"/>
      <c r="AG259" s="179"/>
      <c r="AH259" s="179"/>
      <c r="AI259" s="179"/>
      <c r="AJ259" s="179"/>
      <c r="AK259" s="179"/>
      <c r="AL259" s="179"/>
      <c r="AM259" s="179"/>
      <c r="AN259" s="179"/>
      <c r="AO259" s="179"/>
      <c r="AP259" s="179"/>
    </row>
    <row r="260" spans="1:42" s="338" customFormat="1" x14ac:dyDescent="0.25">
      <c r="G260" s="35"/>
      <c r="J260" s="165"/>
    </row>
    <row r="261" spans="1:42" s="338" customFormat="1" x14ac:dyDescent="0.25">
      <c r="E261" s="30" t="s">
        <v>1030</v>
      </c>
      <c r="F261" s="218"/>
      <c r="G261" s="339"/>
      <c r="H261" s="339"/>
      <c r="I261" s="339"/>
      <c r="J261" s="121"/>
      <c r="K261" s="121"/>
      <c r="L261" s="121"/>
      <c r="M261" s="121"/>
      <c r="N261" s="121"/>
      <c r="O261" s="121"/>
      <c r="P261" s="121"/>
      <c r="Q261" s="121"/>
      <c r="R261" s="121"/>
      <c r="S261" s="121"/>
      <c r="T261" s="121"/>
      <c r="U261" s="121"/>
      <c r="V261" s="121"/>
      <c r="W261" s="121"/>
      <c r="X261" s="121"/>
      <c r="Y261" s="121"/>
      <c r="Z261" s="121"/>
      <c r="AA261" s="121"/>
      <c r="AB261" s="121"/>
      <c r="AC261" s="121"/>
      <c r="AD261" s="121"/>
      <c r="AE261" s="121"/>
      <c r="AF261" s="121"/>
      <c r="AG261" s="121"/>
      <c r="AH261" s="121"/>
      <c r="AI261" s="121"/>
      <c r="AJ261" s="121"/>
      <c r="AK261" s="121"/>
      <c r="AL261" s="121"/>
      <c r="AM261" s="121"/>
      <c r="AN261" s="121"/>
      <c r="AO261" s="121"/>
      <c r="AP261" s="121"/>
    </row>
    <row r="262" spans="1:42" s="338" customFormat="1" x14ac:dyDescent="0.25">
      <c r="F262" s="346" t="s">
        <v>151</v>
      </c>
      <c r="G262" s="166" t="s">
        <v>137</v>
      </c>
      <c r="H262" s="166"/>
      <c r="I262" s="166"/>
      <c r="J262" s="408"/>
      <c r="K262" s="408"/>
      <c r="L262" s="408"/>
      <c r="M262" s="408"/>
      <c r="N262" s="408"/>
      <c r="O262" s="408"/>
      <c r="P262" s="408"/>
      <c r="Q262" s="408"/>
      <c r="R262" s="408"/>
      <c r="S262" s="409">
        <f t="shared" ref="S262:T264" si="82">(S252 + S257) * S$243</f>
        <v>5806.4669969130364</v>
      </c>
      <c r="T262" s="409">
        <f t="shared" si="82"/>
        <v>28394.452212025073</v>
      </c>
      <c r="U262" s="408"/>
      <c r="V262" s="408"/>
      <c r="W262" s="408"/>
      <c r="X262" s="408"/>
      <c r="Y262" s="408"/>
      <c r="Z262" s="408"/>
      <c r="AA262" s="408"/>
      <c r="AB262" s="408"/>
      <c r="AC262" s="408"/>
      <c r="AD262" s="408"/>
      <c r="AE262" s="408"/>
      <c r="AF262" s="408"/>
      <c r="AG262" s="408"/>
      <c r="AH262" s="408"/>
      <c r="AI262" s="408"/>
      <c r="AJ262" s="408"/>
      <c r="AK262" s="408"/>
      <c r="AL262" s="408"/>
      <c r="AM262" s="408"/>
      <c r="AN262" s="408"/>
      <c r="AO262" s="408"/>
      <c r="AP262" s="408"/>
    </row>
    <row r="263" spans="1:42" s="338" customFormat="1" x14ac:dyDescent="0.25">
      <c r="F263" s="214" t="s">
        <v>152</v>
      </c>
      <c r="G263" s="339" t="s">
        <v>137</v>
      </c>
      <c r="H263" s="339"/>
      <c r="I263" s="339"/>
      <c r="J263" s="410"/>
      <c r="K263" s="410"/>
      <c r="L263" s="410"/>
      <c r="M263" s="410"/>
      <c r="N263" s="410"/>
      <c r="O263" s="410"/>
      <c r="P263" s="410"/>
      <c r="Q263" s="410"/>
      <c r="R263" s="410"/>
      <c r="S263" s="413">
        <f t="shared" si="82"/>
        <v>26107.701634496363</v>
      </c>
      <c r="T263" s="413">
        <f t="shared" si="82"/>
        <v>183162.90706052861</v>
      </c>
      <c r="U263" s="410"/>
      <c r="V263" s="410"/>
      <c r="W263" s="410"/>
      <c r="X263" s="410"/>
      <c r="Y263" s="410"/>
      <c r="Z263" s="410"/>
      <c r="AA263" s="410"/>
      <c r="AB263" s="410"/>
      <c r="AC263" s="410"/>
      <c r="AD263" s="410"/>
      <c r="AE263" s="410"/>
      <c r="AF263" s="410"/>
      <c r="AG263" s="410"/>
      <c r="AH263" s="410"/>
      <c r="AI263" s="410"/>
      <c r="AJ263" s="410"/>
      <c r="AK263" s="410"/>
      <c r="AL263" s="410"/>
      <c r="AM263" s="410"/>
      <c r="AN263" s="410"/>
      <c r="AO263" s="410"/>
      <c r="AP263" s="410"/>
    </row>
    <row r="264" spans="1:42" s="338" customFormat="1" x14ac:dyDescent="0.25">
      <c r="F264" s="345" t="s">
        <v>153</v>
      </c>
      <c r="G264" s="168" t="s">
        <v>137</v>
      </c>
      <c r="H264" s="168"/>
      <c r="I264" s="168"/>
      <c r="J264" s="414"/>
      <c r="K264" s="414"/>
      <c r="L264" s="414"/>
      <c r="M264" s="414"/>
      <c r="N264" s="414"/>
      <c r="O264" s="414"/>
      <c r="P264" s="414"/>
      <c r="Q264" s="414"/>
      <c r="R264" s="414"/>
      <c r="S264" s="415">
        <f t="shared" si="82"/>
        <v>15694.703506174881</v>
      </c>
      <c r="T264" s="415">
        <f t="shared" si="82"/>
        <v>81992.841178701186</v>
      </c>
      <c r="U264" s="414"/>
      <c r="V264" s="414"/>
      <c r="W264" s="414"/>
      <c r="X264" s="414"/>
      <c r="Y264" s="414"/>
      <c r="Z264" s="414"/>
      <c r="AA264" s="414"/>
      <c r="AB264" s="414"/>
      <c r="AC264" s="414"/>
      <c r="AD264" s="414"/>
      <c r="AE264" s="414"/>
      <c r="AF264" s="414"/>
      <c r="AG264" s="414"/>
      <c r="AH264" s="414"/>
      <c r="AI264" s="414"/>
      <c r="AJ264" s="414"/>
      <c r="AK264" s="414"/>
      <c r="AL264" s="414"/>
      <c r="AM264" s="414"/>
      <c r="AN264" s="414"/>
      <c r="AO264" s="414"/>
      <c r="AP264" s="414"/>
    </row>
    <row r="265" spans="1:42" s="338" customFormat="1" x14ac:dyDescent="0.25">
      <c r="F265" s="213"/>
      <c r="J265" s="401"/>
      <c r="K265" s="401"/>
      <c r="L265" s="401"/>
      <c r="M265" s="401"/>
      <c r="N265" s="401"/>
      <c r="O265" s="401"/>
      <c r="P265" s="401"/>
      <c r="Q265" s="401"/>
      <c r="R265" s="401"/>
      <c r="S265" s="401"/>
      <c r="T265" s="401"/>
      <c r="U265" s="401"/>
      <c r="V265" s="401"/>
      <c r="W265" s="401"/>
      <c r="X265" s="401"/>
      <c r="Y265" s="401"/>
      <c r="Z265" s="401"/>
      <c r="AA265" s="401"/>
      <c r="AB265" s="401"/>
      <c r="AC265" s="401"/>
      <c r="AD265" s="401"/>
      <c r="AE265" s="401"/>
      <c r="AF265" s="401"/>
      <c r="AG265" s="401"/>
      <c r="AH265" s="401"/>
      <c r="AI265" s="401"/>
      <c r="AJ265" s="401"/>
      <c r="AK265" s="401"/>
      <c r="AL265" s="401"/>
      <c r="AM265" s="401"/>
      <c r="AN265" s="401"/>
      <c r="AO265" s="401"/>
      <c r="AP265" s="401"/>
    </row>
    <row r="266" spans="1:42" s="338" customFormat="1" x14ac:dyDescent="0.25">
      <c r="E266" s="74" t="s">
        <v>1031</v>
      </c>
      <c r="F266" s="218"/>
      <c r="G266" s="339"/>
      <c r="H266" s="339"/>
      <c r="I266" s="339"/>
      <c r="J266" s="413"/>
      <c r="K266" s="413"/>
      <c r="L266" s="413"/>
      <c r="M266" s="413"/>
      <c r="N266" s="413"/>
      <c r="O266" s="413"/>
      <c r="P266" s="413"/>
      <c r="Q266" s="413"/>
      <c r="R266" s="413"/>
      <c r="S266" s="413"/>
      <c r="T266" s="413"/>
      <c r="U266" s="413"/>
      <c r="V266" s="413"/>
      <c r="W266" s="413"/>
      <c r="X266" s="413"/>
      <c r="Y266" s="413"/>
      <c r="Z266" s="413"/>
      <c r="AA266" s="413"/>
      <c r="AB266" s="413"/>
      <c r="AC266" s="413"/>
      <c r="AD266" s="413"/>
      <c r="AE266" s="413"/>
      <c r="AF266" s="413"/>
      <c r="AG266" s="413"/>
      <c r="AH266" s="413"/>
      <c r="AI266" s="413"/>
      <c r="AJ266" s="413"/>
      <c r="AK266" s="413"/>
      <c r="AL266" s="413"/>
      <c r="AM266" s="413"/>
      <c r="AN266" s="413"/>
      <c r="AO266" s="413"/>
      <c r="AP266" s="413"/>
    </row>
    <row r="267" spans="1:42" s="338" customFormat="1" x14ac:dyDescent="0.25">
      <c r="F267" s="346" t="s">
        <v>151</v>
      </c>
      <c r="G267" s="166" t="s">
        <v>137</v>
      </c>
      <c r="H267" s="166"/>
      <c r="I267" s="166"/>
      <c r="J267" s="409">
        <f t="shared" ref="J267:O269" si="83">IF( J262, J262, J240)</f>
        <v>9619584.3780239914</v>
      </c>
      <c r="K267" s="409">
        <f t="shared" si="83"/>
        <v>835527.80607310811</v>
      </c>
      <c r="L267" s="409">
        <f t="shared" si="83"/>
        <v>199297.91284437623</v>
      </c>
      <c r="M267" s="409">
        <f t="shared" si="83"/>
        <v>2706270.8612037809</v>
      </c>
      <c r="N267" s="409">
        <f t="shared" si="83"/>
        <v>446470.69642024959</v>
      </c>
      <c r="O267" s="409">
        <f t="shared" si="83"/>
        <v>42294.937322173275</v>
      </c>
      <c r="P267" s="408"/>
      <c r="Q267" s="408"/>
      <c r="R267" s="408"/>
      <c r="S267" s="409">
        <f t="shared" ref="S267:T269" si="84">IF( S262, S262, S240)</f>
        <v>5806.4669969130364</v>
      </c>
      <c r="T267" s="409">
        <f t="shared" si="84"/>
        <v>28394.452212025073</v>
      </c>
      <c r="U267" s="408"/>
      <c r="V267" s="408"/>
      <c r="W267" s="408"/>
      <c r="X267" s="408"/>
      <c r="Y267" s="408"/>
      <c r="Z267" s="408"/>
      <c r="AA267" s="408"/>
      <c r="AB267" s="408"/>
      <c r="AC267" s="408"/>
      <c r="AD267" s="408"/>
      <c r="AE267" s="408"/>
      <c r="AF267" s="408"/>
      <c r="AG267" s="408"/>
      <c r="AH267" s="408"/>
      <c r="AI267" s="408"/>
      <c r="AJ267" s="408"/>
      <c r="AK267" s="408"/>
      <c r="AL267" s="408"/>
      <c r="AM267" s="408"/>
      <c r="AN267" s="408"/>
      <c r="AO267" s="408"/>
      <c r="AP267" s="408"/>
    </row>
    <row r="268" spans="1:42" s="338" customFormat="1" x14ac:dyDescent="0.25">
      <c r="F268" s="214" t="s">
        <v>152</v>
      </c>
      <c r="G268" s="339" t="s">
        <v>137</v>
      </c>
      <c r="H268" s="339"/>
      <c r="I268" s="339"/>
      <c r="J268" s="413">
        <f t="shared" si="83"/>
        <v>0</v>
      </c>
      <c r="K268" s="413">
        <f t="shared" si="83"/>
        <v>735614.89686908422</v>
      </c>
      <c r="L268" s="413">
        <f t="shared" si="83"/>
        <v>0</v>
      </c>
      <c r="M268" s="413">
        <f t="shared" si="83"/>
        <v>0</v>
      </c>
      <c r="N268" s="413">
        <f t="shared" si="83"/>
        <v>278002.52474213234</v>
      </c>
      <c r="O268" s="413">
        <f t="shared" si="83"/>
        <v>0</v>
      </c>
      <c r="P268" s="410"/>
      <c r="Q268" s="410"/>
      <c r="R268" s="410"/>
      <c r="S268" s="413">
        <f t="shared" si="84"/>
        <v>26107.701634496363</v>
      </c>
      <c r="T268" s="413">
        <f t="shared" si="84"/>
        <v>183162.90706052861</v>
      </c>
      <c r="U268" s="410"/>
      <c r="V268" s="410"/>
      <c r="W268" s="410"/>
      <c r="X268" s="410"/>
      <c r="Y268" s="410"/>
      <c r="Z268" s="410"/>
      <c r="AA268" s="410"/>
      <c r="AB268" s="410"/>
      <c r="AC268" s="410"/>
      <c r="AD268" s="410"/>
      <c r="AE268" s="410"/>
      <c r="AF268" s="410"/>
      <c r="AG268" s="410"/>
      <c r="AH268" s="410"/>
      <c r="AI268" s="410"/>
      <c r="AJ268" s="410"/>
      <c r="AK268" s="410"/>
      <c r="AL268" s="410"/>
      <c r="AM268" s="410"/>
      <c r="AN268" s="410"/>
      <c r="AO268" s="410"/>
      <c r="AP268" s="410"/>
    </row>
    <row r="269" spans="1:42" s="338" customFormat="1" x14ac:dyDescent="0.25">
      <c r="F269" s="345" t="s">
        <v>153</v>
      </c>
      <c r="G269" s="168" t="s">
        <v>137</v>
      </c>
      <c r="H269" s="168"/>
      <c r="I269" s="168"/>
      <c r="J269" s="415">
        <f t="shared" si="83"/>
        <v>0</v>
      </c>
      <c r="K269" s="415">
        <f t="shared" si="83"/>
        <v>0</v>
      </c>
      <c r="L269" s="415">
        <f t="shared" si="83"/>
        <v>0</v>
      </c>
      <c r="M269" s="415">
        <f t="shared" si="83"/>
        <v>0</v>
      </c>
      <c r="N269" s="415">
        <f t="shared" si="83"/>
        <v>0</v>
      </c>
      <c r="O269" s="415">
        <f t="shared" si="83"/>
        <v>0</v>
      </c>
      <c r="P269" s="414"/>
      <c r="Q269" s="414"/>
      <c r="R269" s="414"/>
      <c r="S269" s="415">
        <f t="shared" si="84"/>
        <v>15694.703506174881</v>
      </c>
      <c r="T269" s="415">
        <f t="shared" si="84"/>
        <v>81992.841178701186</v>
      </c>
      <c r="U269" s="414"/>
      <c r="V269" s="414"/>
      <c r="W269" s="414"/>
      <c r="X269" s="414"/>
      <c r="Y269" s="414"/>
      <c r="Z269" s="414"/>
      <c r="AA269" s="414"/>
      <c r="AB269" s="414"/>
      <c r="AC269" s="414"/>
      <c r="AD269" s="414"/>
      <c r="AE269" s="414"/>
      <c r="AF269" s="414"/>
      <c r="AG269" s="414"/>
      <c r="AH269" s="414"/>
      <c r="AI269" s="414"/>
      <c r="AJ269" s="414"/>
      <c r="AK269" s="414"/>
      <c r="AL269" s="414"/>
      <c r="AM269" s="414"/>
      <c r="AN269" s="414"/>
      <c r="AO269" s="414"/>
      <c r="AP269" s="414"/>
    </row>
    <row r="270" spans="1:42" s="338" customFormat="1" x14ac:dyDescent="0.25">
      <c r="F270" s="215" t="s">
        <v>128</v>
      </c>
      <c r="G270" s="138" t="s">
        <v>137</v>
      </c>
      <c r="H270" s="138"/>
      <c r="I270" s="138"/>
      <c r="J270" s="460">
        <f t="shared" ref="J270:O270" si="85">SUM(J267:J269)</f>
        <v>9619584.3780239914</v>
      </c>
      <c r="K270" s="460">
        <f t="shared" si="85"/>
        <v>1571142.7029421923</v>
      </c>
      <c r="L270" s="460">
        <f t="shared" si="85"/>
        <v>199297.91284437623</v>
      </c>
      <c r="M270" s="460">
        <f t="shared" si="85"/>
        <v>2706270.8612037809</v>
      </c>
      <c r="N270" s="460">
        <f t="shared" si="85"/>
        <v>724473.22116238193</v>
      </c>
      <c r="O270" s="460">
        <f t="shared" si="85"/>
        <v>42294.937322173275</v>
      </c>
      <c r="P270" s="461"/>
      <c r="Q270" s="461"/>
      <c r="R270" s="461"/>
      <c r="S270" s="460">
        <f>SUM(S267:S269)</f>
        <v>47608.87213758428</v>
      </c>
      <c r="T270" s="460">
        <f>SUM(T267:T269)</f>
        <v>293550.20045125484</v>
      </c>
      <c r="U270" s="461"/>
      <c r="V270" s="461"/>
      <c r="W270" s="461"/>
      <c r="X270" s="461"/>
      <c r="Y270" s="461"/>
      <c r="Z270" s="461"/>
      <c r="AA270" s="461"/>
      <c r="AB270" s="461"/>
      <c r="AC270" s="461"/>
      <c r="AD270" s="461"/>
      <c r="AE270" s="461"/>
      <c r="AF270" s="461"/>
      <c r="AG270" s="461"/>
      <c r="AH270" s="461"/>
      <c r="AI270" s="461"/>
      <c r="AJ270" s="461"/>
      <c r="AK270" s="461"/>
      <c r="AL270" s="461"/>
      <c r="AM270" s="461"/>
      <c r="AN270" s="461"/>
      <c r="AO270" s="461"/>
      <c r="AP270" s="461"/>
    </row>
    <row r="271" spans="1:42" s="338" customFormat="1" x14ac:dyDescent="0.25">
      <c r="F271" s="213"/>
      <c r="J271" s="401"/>
      <c r="K271" s="401"/>
      <c r="L271" s="401"/>
      <c r="M271" s="401"/>
      <c r="N271" s="401"/>
      <c r="O271" s="401"/>
      <c r="P271" s="401"/>
      <c r="Q271" s="401"/>
      <c r="R271" s="401"/>
      <c r="S271" s="401"/>
      <c r="T271" s="401"/>
      <c r="U271" s="401"/>
      <c r="V271" s="401"/>
      <c r="W271" s="401"/>
      <c r="X271" s="401"/>
      <c r="Y271" s="401"/>
      <c r="Z271" s="401"/>
      <c r="AA271" s="401"/>
      <c r="AB271" s="401"/>
      <c r="AC271" s="401"/>
      <c r="AD271" s="401"/>
      <c r="AE271" s="401"/>
      <c r="AF271" s="401"/>
      <c r="AG271" s="401"/>
      <c r="AH271" s="401"/>
      <c r="AI271" s="401"/>
      <c r="AJ271" s="401"/>
      <c r="AK271" s="401"/>
      <c r="AL271" s="401"/>
      <c r="AM271" s="401"/>
      <c r="AN271" s="401"/>
      <c r="AO271" s="401"/>
      <c r="AP271" s="401"/>
    </row>
    <row r="272" spans="1:42" s="160" customFormat="1" x14ac:dyDescent="0.25">
      <c r="A272" s="338"/>
      <c r="D272" s="172"/>
      <c r="E272" s="172" t="s">
        <v>540</v>
      </c>
      <c r="F272" s="172"/>
      <c r="J272" s="401"/>
      <c r="K272" s="401"/>
      <c r="L272" s="401"/>
      <c r="M272" s="401"/>
      <c r="N272" s="401"/>
      <c r="O272" s="401"/>
      <c r="P272" s="401"/>
      <c r="Q272" s="401"/>
      <c r="R272" s="401"/>
      <c r="S272" s="401"/>
      <c r="T272" s="401"/>
      <c r="U272" s="401"/>
      <c r="V272" s="401"/>
      <c r="W272" s="401"/>
      <c r="X272" s="401"/>
      <c r="Y272" s="401"/>
      <c r="Z272" s="401"/>
      <c r="AA272" s="401"/>
      <c r="AB272" s="401"/>
      <c r="AC272" s="401"/>
      <c r="AD272" s="401"/>
      <c r="AE272" s="401"/>
      <c r="AF272" s="401"/>
      <c r="AG272" s="401"/>
      <c r="AH272" s="401"/>
      <c r="AI272" s="401"/>
      <c r="AJ272" s="401"/>
      <c r="AK272" s="401"/>
      <c r="AL272" s="401"/>
      <c r="AM272" s="401"/>
      <c r="AN272" s="401"/>
      <c r="AO272" s="401"/>
      <c r="AP272" s="401"/>
    </row>
    <row r="273" spans="3:42" s="160" customFormat="1" x14ac:dyDescent="0.25">
      <c r="D273" s="172"/>
      <c r="E273" s="172"/>
      <c r="F273" s="166" t="s">
        <v>151</v>
      </c>
      <c r="G273" s="166" t="s">
        <v>124</v>
      </c>
      <c r="H273" s="166"/>
      <c r="I273" s="166"/>
      <c r="J273" s="409">
        <f t="shared" ref="J273:O273" si="86">J267 * SUM(J152:J173)</f>
        <v>16429390.534672648</v>
      </c>
      <c r="K273" s="409">
        <f t="shared" si="86"/>
        <v>1830355.2673517999</v>
      </c>
      <c r="L273" s="409">
        <f t="shared" si="86"/>
        <v>44165.23980279253</v>
      </c>
      <c r="M273" s="409">
        <f t="shared" si="86"/>
        <v>4190413.5388039434</v>
      </c>
      <c r="N273" s="409">
        <f t="shared" si="86"/>
        <v>1077281.6919200311</v>
      </c>
      <c r="O273" s="409">
        <f t="shared" si="86"/>
        <v>15067.610958570096</v>
      </c>
      <c r="P273" s="408"/>
      <c r="Q273" s="408"/>
      <c r="R273" s="408"/>
      <c r="S273" s="409">
        <f>S267 * SUM(S152:S173)</f>
        <v>50991.072372171795</v>
      </c>
      <c r="T273" s="409">
        <f>T267 * SUM(T152:T173)</f>
        <v>263204.34111937287</v>
      </c>
      <c r="U273" s="408"/>
      <c r="V273" s="408"/>
      <c r="W273" s="408"/>
      <c r="X273" s="408"/>
      <c r="Y273" s="408"/>
      <c r="Z273" s="408"/>
      <c r="AA273" s="408"/>
      <c r="AB273" s="408"/>
      <c r="AC273" s="408"/>
      <c r="AD273" s="408"/>
      <c r="AE273" s="408"/>
      <c r="AF273" s="408"/>
      <c r="AG273" s="408"/>
      <c r="AH273" s="408"/>
      <c r="AI273" s="408"/>
      <c r="AJ273" s="408"/>
      <c r="AK273" s="408"/>
      <c r="AL273" s="408"/>
      <c r="AM273" s="408"/>
      <c r="AN273" s="408"/>
      <c r="AO273" s="408"/>
      <c r="AP273" s="408"/>
    </row>
    <row r="274" spans="3:42" s="160" customFormat="1" x14ac:dyDescent="0.25">
      <c r="D274" s="172"/>
      <c r="E274" s="172"/>
      <c r="F274" s="160" t="s">
        <v>152</v>
      </c>
      <c r="G274" s="160" t="s">
        <v>124</v>
      </c>
      <c r="J274" s="401">
        <f t="shared" ref="J274:O274" si="87">J268 * SUM(J181:J202)</f>
        <v>0</v>
      </c>
      <c r="K274" s="401">
        <f t="shared" si="87"/>
        <v>85576.012171337032</v>
      </c>
      <c r="L274" s="401">
        <f t="shared" si="87"/>
        <v>0</v>
      </c>
      <c r="M274" s="401">
        <f t="shared" si="87"/>
        <v>0</v>
      </c>
      <c r="N274" s="401">
        <f t="shared" si="87"/>
        <v>78956.479484233016</v>
      </c>
      <c r="O274" s="401">
        <f t="shared" si="87"/>
        <v>0</v>
      </c>
      <c r="P274" s="410"/>
      <c r="Q274" s="410"/>
      <c r="R274" s="410"/>
      <c r="S274" s="401">
        <f>S268 * SUM(S181:S202)</f>
        <v>24997.375366016226</v>
      </c>
      <c r="T274" s="401">
        <f>T268 * SUM(T181:T202)</f>
        <v>185143.14561582182</v>
      </c>
      <c r="U274" s="410"/>
      <c r="V274" s="410"/>
      <c r="W274" s="410"/>
      <c r="X274" s="410"/>
      <c r="Y274" s="410"/>
      <c r="Z274" s="410"/>
      <c r="AA274" s="410"/>
      <c r="AB274" s="410"/>
      <c r="AC274" s="410"/>
      <c r="AD274" s="410"/>
      <c r="AE274" s="410"/>
      <c r="AF274" s="410"/>
      <c r="AG274" s="410"/>
      <c r="AH274" s="410"/>
      <c r="AI274" s="410"/>
      <c r="AJ274" s="410"/>
      <c r="AK274" s="410"/>
      <c r="AL274" s="410"/>
      <c r="AM274" s="410"/>
      <c r="AN274" s="410"/>
      <c r="AO274" s="410"/>
      <c r="AP274" s="410"/>
    </row>
    <row r="275" spans="3:42" s="160" customFormat="1" x14ac:dyDescent="0.25">
      <c r="D275" s="172"/>
      <c r="E275" s="172"/>
      <c r="F275" s="160" t="s">
        <v>153</v>
      </c>
      <c r="G275" s="160" t="s">
        <v>124</v>
      </c>
      <c r="J275" s="401">
        <f t="shared" ref="J275:O275" si="88">J269 * SUM(J210:J231)</f>
        <v>0</v>
      </c>
      <c r="K275" s="401">
        <f t="shared" si="88"/>
        <v>0</v>
      </c>
      <c r="L275" s="401">
        <f t="shared" si="88"/>
        <v>0</v>
      </c>
      <c r="M275" s="401">
        <f t="shared" si="88"/>
        <v>0</v>
      </c>
      <c r="N275" s="401">
        <f t="shared" si="88"/>
        <v>0</v>
      </c>
      <c r="O275" s="401">
        <f t="shared" si="88"/>
        <v>0</v>
      </c>
      <c r="P275" s="414"/>
      <c r="Q275" s="414"/>
      <c r="R275" s="414"/>
      <c r="S275" s="401">
        <f>S269 * SUM(S210:S231)</f>
        <v>877.29560349347025</v>
      </c>
      <c r="T275" s="401">
        <f>T269 * SUM(T210:T231)</f>
        <v>4838.8358397573538</v>
      </c>
      <c r="U275" s="414"/>
      <c r="V275" s="414"/>
      <c r="W275" s="414"/>
      <c r="X275" s="414"/>
      <c r="Y275" s="414"/>
      <c r="Z275" s="414"/>
      <c r="AA275" s="414"/>
      <c r="AB275" s="414"/>
      <c r="AC275" s="414"/>
      <c r="AD275" s="414"/>
      <c r="AE275" s="414"/>
      <c r="AF275" s="414"/>
      <c r="AG275" s="414"/>
      <c r="AH275" s="414"/>
      <c r="AI275" s="414"/>
      <c r="AJ275" s="414"/>
      <c r="AK275" s="414"/>
      <c r="AL275" s="414"/>
      <c r="AM275" s="414"/>
      <c r="AN275" s="414"/>
      <c r="AO275" s="414"/>
      <c r="AP275" s="414"/>
    </row>
    <row r="276" spans="3:42" s="160" customFormat="1" x14ac:dyDescent="0.25">
      <c r="D276" s="172"/>
      <c r="E276" s="172"/>
      <c r="F276" s="138" t="s">
        <v>128</v>
      </c>
      <c r="G276" s="138" t="s">
        <v>124</v>
      </c>
      <c r="H276" s="138"/>
      <c r="I276" s="138"/>
      <c r="J276" s="460">
        <f>SUM(J273:J275)</f>
        <v>16429390.534672648</v>
      </c>
      <c r="K276" s="460">
        <f t="shared" ref="K276" si="89">SUM(K273:K275)</f>
        <v>1915931.279523137</v>
      </c>
      <c r="L276" s="460">
        <f t="shared" ref="L276" si="90">SUM(L273:L275)</f>
        <v>44165.23980279253</v>
      </c>
      <c r="M276" s="460">
        <f t="shared" ref="M276" si="91">SUM(M273:M275)</f>
        <v>4190413.5388039434</v>
      </c>
      <c r="N276" s="460">
        <f t="shared" ref="N276" si="92">SUM(N273:N275)</f>
        <v>1156238.1714042642</v>
      </c>
      <c r="O276" s="460">
        <f t="shared" ref="O276" si="93">SUM(O273:O275)</f>
        <v>15067.610958570096</v>
      </c>
      <c r="P276" s="461"/>
      <c r="Q276" s="461"/>
      <c r="R276" s="461"/>
      <c r="S276" s="460">
        <f t="shared" ref="S276" si="94">SUM(S273:S275)</f>
        <v>76865.743341681504</v>
      </c>
      <c r="T276" s="460">
        <f t="shared" ref="T276" si="95">SUM(T273:T275)</f>
        <v>453186.32257495204</v>
      </c>
      <c r="U276" s="461"/>
      <c r="V276" s="461"/>
      <c r="W276" s="461"/>
      <c r="X276" s="461"/>
      <c r="Y276" s="461"/>
      <c r="Z276" s="461"/>
      <c r="AA276" s="461"/>
      <c r="AB276" s="461"/>
      <c r="AC276" s="461"/>
      <c r="AD276" s="461"/>
      <c r="AE276" s="461"/>
      <c r="AF276" s="461"/>
      <c r="AG276" s="461"/>
      <c r="AH276" s="461"/>
      <c r="AI276" s="461"/>
      <c r="AJ276" s="461"/>
      <c r="AK276" s="461"/>
      <c r="AL276" s="461"/>
      <c r="AM276" s="461"/>
      <c r="AN276" s="461"/>
      <c r="AO276" s="461"/>
      <c r="AP276" s="461"/>
    </row>
    <row r="277" spans="3:42" s="160" customFormat="1" x14ac:dyDescent="0.25">
      <c r="D277" s="172"/>
      <c r="E277" s="172"/>
      <c r="F277" s="172"/>
      <c r="J277" s="303"/>
      <c r="K277" s="303"/>
      <c r="L277" s="303"/>
      <c r="M277" s="303"/>
      <c r="N277" s="303"/>
      <c r="O277" s="303"/>
      <c r="P277" s="303"/>
      <c r="Q277" s="303"/>
      <c r="R277" s="303"/>
      <c r="S277" s="303"/>
      <c r="T277" s="200"/>
      <c r="U277" s="200"/>
      <c r="V277" s="200"/>
      <c r="W277" s="200"/>
      <c r="X277" s="200"/>
      <c r="Y277" s="200"/>
      <c r="Z277" s="200"/>
      <c r="AA277" s="200"/>
      <c r="AB277" s="200"/>
      <c r="AC277" s="200"/>
      <c r="AD277" s="200"/>
      <c r="AE277" s="200"/>
      <c r="AF277" s="200"/>
      <c r="AG277" s="200"/>
      <c r="AH277" s="200"/>
      <c r="AI277" s="200"/>
      <c r="AJ277" s="200"/>
      <c r="AK277" s="200"/>
      <c r="AL277" s="200"/>
      <c r="AM277" s="200"/>
      <c r="AN277" s="200"/>
      <c r="AO277" s="200"/>
      <c r="AP277" s="200"/>
    </row>
    <row r="278" spans="3:42" s="160" customFormat="1" x14ac:dyDescent="0.25">
      <c r="D278" s="172"/>
      <c r="E278" s="172" t="s">
        <v>1181</v>
      </c>
      <c r="F278" s="172"/>
      <c r="J278" s="303"/>
      <c r="K278" s="303"/>
      <c r="L278" s="303"/>
      <c r="M278" s="303"/>
      <c r="N278" s="303"/>
      <c r="O278" s="303"/>
      <c r="P278" s="303"/>
      <c r="Q278" s="303"/>
      <c r="R278" s="303"/>
      <c r="S278" s="303"/>
      <c r="T278" s="200"/>
      <c r="U278" s="200"/>
      <c r="V278" s="200"/>
      <c r="W278" s="200"/>
      <c r="X278" s="200"/>
      <c r="Y278" s="200"/>
      <c r="Z278" s="200"/>
      <c r="AA278" s="200"/>
      <c r="AB278" s="200"/>
      <c r="AC278" s="200"/>
      <c r="AD278" s="200"/>
      <c r="AE278" s="200"/>
      <c r="AF278" s="200"/>
      <c r="AG278" s="200"/>
      <c r="AH278" s="200"/>
      <c r="AI278" s="200"/>
      <c r="AJ278" s="200"/>
      <c r="AK278" s="200"/>
      <c r="AL278" s="200"/>
      <c r="AM278" s="200"/>
      <c r="AN278" s="200"/>
      <c r="AO278" s="200"/>
      <c r="AP278" s="200"/>
    </row>
    <row r="279" spans="3:42" s="160" customFormat="1" x14ac:dyDescent="0.25">
      <c r="D279" s="172"/>
      <c r="E279" s="172"/>
      <c r="F279" s="166" t="s">
        <v>541</v>
      </c>
      <c r="G279" s="166" t="s">
        <v>1191</v>
      </c>
      <c r="H279" s="409">
        <f>IF(SUM(J270:L270) &lt;&gt; 0, SUM(J276:L276) / SUM(J270:L270), 0)</f>
        <v>1.6145256102591159</v>
      </c>
      <c r="J279" s="303"/>
      <c r="K279" s="303"/>
      <c r="L279" s="303"/>
      <c r="M279" s="303"/>
      <c r="N279" s="303"/>
      <c r="O279" s="303"/>
      <c r="P279" s="303"/>
      <c r="Q279" s="303"/>
      <c r="R279" s="303"/>
      <c r="S279" s="303"/>
      <c r="T279" s="200"/>
      <c r="U279" s="200"/>
      <c r="V279" s="200"/>
      <c r="W279" s="200"/>
      <c r="X279" s="200"/>
      <c r="Y279" s="200"/>
      <c r="Z279" s="200"/>
      <c r="AA279" s="200"/>
      <c r="AB279" s="200"/>
      <c r="AC279" s="200"/>
      <c r="AD279" s="200"/>
      <c r="AE279" s="200"/>
      <c r="AF279" s="200"/>
      <c r="AG279" s="200"/>
      <c r="AH279" s="200"/>
      <c r="AI279" s="200"/>
      <c r="AJ279" s="200"/>
      <c r="AK279" s="200"/>
      <c r="AL279" s="200"/>
      <c r="AM279" s="200"/>
      <c r="AN279" s="200"/>
      <c r="AO279" s="200"/>
      <c r="AP279" s="200"/>
    </row>
    <row r="280" spans="3:42" s="160" customFormat="1" x14ac:dyDescent="0.25">
      <c r="D280" s="172"/>
      <c r="E280" s="172"/>
      <c r="F280" s="339" t="s">
        <v>58</v>
      </c>
      <c r="G280" s="339" t="s">
        <v>1191</v>
      </c>
      <c r="H280" s="413">
        <f>IF(S270 &lt;&gt; 0, S276 / S270, 0)</f>
        <v>1.6145256102591163</v>
      </c>
      <c r="J280" s="303"/>
      <c r="K280" s="303"/>
      <c r="L280" s="303"/>
      <c r="M280" s="303"/>
      <c r="N280" s="303"/>
      <c r="O280" s="303"/>
      <c r="P280" s="303"/>
      <c r="Q280" s="303"/>
      <c r="R280" s="303"/>
      <c r="S280" s="303"/>
      <c r="T280" s="200"/>
      <c r="U280" s="200"/>
      <c r="V280" s="200"/>
      <c r="W280" s="200"/>
      <c r="X280" s="200"/>
      <c r="Y280" s="200"/>
      <c r="Z280" s="200"/>
      <c r="AA280" s="200"/>
      <c r="AB280" s="200"/>
      <c r="AC280" s="200"/>
      <c r="AD280" s="200"/>
      <c r="AE280" s="200"/>
      <c r="AF280" s="200"/>
      <c r="AG280" s="200"/>
      <c r="AH280" s="200"/>
      <c r="AI280" s="200"/>
      <c r="AJ280" s="200"/>
      <c r="AK280" s="200"/>
      <c r="AL280" s="200"/>
      <c r="AM280" s="200"/>
      <c r="AN280" s="200"/>
      <c r="AO280" s="200"/>
      <c r="AP280" s="200"/>
    </row>
    <row r="281" spans="3:42" s="160" customFormat="1" x14ac:dyDescent="0.25">
      <c r="D281" s="172"/>
      <c r="E281" s="172"/>
      <c r="F281" s="138" t="s">
        <v>543</v>
      </c>
      <c r="G281" s="138" t="s">
        <v>814</v>
      </c>
      <c r="H281" s="348">
        <f>IFERROR(IF(ABS(H279 - H280) &lt; 10^-check_decimals, 0, 1), 1)</f>
        <v>0</v>
      </c>
      <c r="J281" s="303"/>
      <c r="K281" s="303"/>
      <c r="L281" s="303"/>
      <c r="M281" s="303"/>
      <c r="N281" s="303"/>
      <c r="O281" s="303"/>
      <c r="P281" s="303"/>
      <c r="Q281" s="303"/>
      <c r="R281" s="303"/>
      <c r="S281" s="303"/>
      <c r="T281" s="200"/>
      <c r="U281" s="200"/>
      <c r="V281" s="200"/>
      <c r="W281" s="200"/>
      <c r="X281" s="200"/>
      <c r="Y281" s="200"/>
      <c r="Z281" s="200"/>
      <c r="AA281" s="200"/>
      <c r="AB281" s="200"/>
      <c r="AC281" s="200"/>
      <c r="AD281" s="200"/>
      <c r="AE281" s="200"/>
      <c r="AF281" s="200"/>
      <c r="AG281" s="200"/>
      <c r="AH281" s="200"/>
      <c r="AI281" s="200"/>
      <c r="AJ281" s="200"/>
      <c r="AK281" s="200"/>
      <c r="AL281" s="200"/>
      <c r="AM281" s="200"/>
      <c r="AN281" s="200"/>
      <c r="AO281" s="200"/>
      <c r="AP281" s="200"/>
    </row>
    <row r="282" spans="3:42" s="160" customFormat="1" x14ac:dyDescent="0.25">
      <c r="D282" s="172"/>
      <c r="E282" s="172"/>
      <c r="H282" s="303"/>
      <c r="J282" s="303"/>
      <c r="K282" s="303"/>
      <c r="L282" s="303"/>
      <c r="M282" s="303"/>
      <c r="N282" s="303"/>
      <c r="O282" s="303"/>
      <c r="P282" s="303"/>
      <c r="Q282" s="303"/>
      <c r="R282" s="303"/>
      <c r="S282" s="303"/>
      <c r="T282" s="200"/>
      <c r="U282" s="200"/>
      <c r="V282" s="200"/>
      <c r="W282" s="200"/>
      <c r="X282" s="200"/>
      <c r="Y282" s="200"/>
      <c r="Z282" s="200"/>
      <c r="AA282" s="200"/>
      <c r="AB282" s="200"/>
      <c r="AC282" s="200"/>
      <c r="AD282" s="200"/>
      <c r="AE282" s="200"/>
      <c r="AF282" s="200"/>
      <c r="AG282" s="200"/>
      <c r="AH282" s="200"/>
      <c r="AI282" s="200"/>
      <c r="AJ282" s="200"/>
      <c r="AK282" s="200"/>
      <c r="AL282" s="200"/>
      <c r="AM282" s="200"/>
      <c r="AN282" s="200"/>
      <c r="AO282" s="200"/>
      <c r="AP282" s="200"/>
    </row>
    <row r="283" spans="3:42" s="474" customFormat="1" x14ac:dyDescent="0.25">
      <c r="D283" s="172"/>
      <c r="E283" s="172" t="s">
        <v>1180</v>
      </c>
      <c r="H283" s="303"/>
      <c r="J283" s="303"/>
      <c r="K283" s="303"/>
      <c r="L283" s="303"/>
      <c r="M283" s="303"/>
      <c r="N283" s="303"/>
      <c r="O283" s="303"/>
      <c r="P283" s="303"/>
      <c r="Q283" s="303"/>
      <c r="R283" s="303"/>
      <c r="S283" s="303"/>
      <c r="T283" s="200"/>
      <c r="U283" s="200"/>
      <c r="V283" s="200"/>
      <c r="W283" s="200"/>
      <c r="X283" s="200"/>
      <c r="Y283" s="200"/>
      <c r="Z283" s="200"/>
      <c r="AA283" s="200"/>
      <c r="AB283" s="200"/>
      <c r="AC283" s="200"/>
      <c r="AD283" s="200"/>
      <c r="AE283" s="200"/>
      <c r="AF283" s="200"/>
      <c r="AG283" s="200"/>
      <c r="AH283" s="200"/>
      <c r="AI283" s="200"/>
      <c r="AJ283" s="200"/>
      <c r="AK283" s="200"/>
      <c r="AL283" s="200"/>
      <c r="AM283" s="200"/>
      <c r="AN283" s="200"/>
      <c r="AO283" s="200"/>
      <c r="AP283" s="200"/>
    </row>
    <row r="284" spans="3:42" s="160" customFormat="1" x14ac:dyDescent="0.25">
      <c r="D284" s="172"/>
      <c r="E284" s="172"/>
      <c r="F284" s="166" t="s">
        <v>542</v>
      </c>
      <c r="G284" s="166" t="s">
        <v>1191</v>
      </c>
      <c r="H284" s="409">
        <f>IF(SUM(M270:O270) &lt;&gt; 0, SUM(M276:O276) / SUM(M270:O270), 0)</f>
        <v>1.5438120017574486</v>
      </c>
      <c r="J284" s="303"/>
      <c r="K284" s="303"/>
      <c r="L284" s="303"/>
      <c r="M284" s="303"/>
      <c r="N284" s="303"/>
      <c r="O284" s="303"/>
      <c r="P284" s="303"/>
      <c r="Q284" s="303"/>
      <c r="R284" s="303"/>
      <c r="S284" s="303"/>
      <c r="T284" s="200"/>
      <c r="U284" s="200"/>
      <c r="V284" s="200"/>
      <c r="W284" s="200"/>
      <c r="X284" s="200"/>
      <c r="Y284" s="200"/>
      <c r="Z284" s="200"/>
      <c r="AA284" s="200"/>
      <c r="AB284" s="200"/>
      <c r="AC284" s="200"/>
      <c r="AD284" s="200"/>
      <c r="AE284" s="200"/>
      <c r="AF284" s="200"/>
      <c r="AG284" s="200"/>
      <c r="AH284" s="200"/>
      <c r="AI284" s="200"/>
      <c r="AJ284" s="200"/>
      <c r="AK284" s="200"/>
      <c r="AL284" s="200"/>
      <c r="AM284" s="200"/>
      <c r="AN284" s="200"/>
      <c r="AO284" s="200"/>
      <c r="AP284" s="200"/>
    </row>
    <row r="285" spans="3:42" s="160" customFormat="1" x14ac:dyDescent="0.25">
      <c r="D285" s="172"/>
      <c r="E285" s="172"/>
      <c r="F285" s="168" t="s">
        <v>59</v>
      </c>
      <c r="G285" s="168" t="s">
        <v>1191</v>
      </c>
      <c r="H285" s="415">
        <f>IF(T270 &lt;&gt; 0, T276 / T270, 0)</f>
        <v>1.5438120017574486</v>
      </c>
      <c r="J285" s="303"/>
      <c r="K285" s="303"/>
      <c r="L285" s="303"/>
      <c r="M285" s="303"/>
      <c r="N285" s="303"/>
      <c r="O285" s="303"/>
      <c r="P285" s="303"/>
      <c r="Q285" s="303"/>
      <c r="R285" s="303"/>
      <c r="S285" s="303"/>
      <c r="T285" s="200"/>
      <c r="U285" s="200"/>
      <c r="V285" s="200"/>
      <c r="W285" s="200"/>
      <c r="X285" s="200"/>
      <c r="Y285" s="200"/>
      <c r="Z285" s="200"/>
      <c r="AA285" s="200"/>
      <c r="AB285" s="200"/>
      <c r="AC285" s="200"/>
      <c r="AD285" s="200"/>
      <c r="AE285" s="200"/>
      <c r="AF285" s="200"/>
      <c r="AG285" s="200"/>
      <c r="AH285" s="200"/>
      <c r="AI285" s="200"/>
      <c r="AJ285" s="200"/>
      <c r="AK285" s="200"/>
      <c r="AL285" s="200"/>
      <c r="AM285" s="200"/>
      <c r="AN285" s="200"/>
      <c r="AO285" s="200"/>
      <c r="AP285" s="200"/>
    </row>
    <row r="286" spans="3:42" s="160" customFormat="1" x14ac:dyDescent="0.25">
      <c r="D286" s="172"/>
      <c r="E286" s="172"/>
      <c r="F286" s="168" t="s">
        <v>544</v>
      </c>
      <c r="G286" s="168" t="s">
        <v>814</v>
      </c>
      <c r="H286" s="348">
        <f>IFERROR(IF(ABS(H284 - H285) &lt; 10^-check_decimals, 0, 1), 1)</f>
        <v>0</v>
      </c>
      <c r="J286" s="303"/>
      <c r="K286" s="303"/>
      <c r="L286" s="303"/>
      <c r="M286" s="303"/>
      <c r="N286" s="303"/>
      <c r="O286" s="303"/>
      <c r="P286" s="303"/>
      <c r="Q286" s="303"/>
      <c r="R286" s="303"/>
      <c r="S286" s="303"/>
      <c r="T286" s="200"/>
      <c r="U286" s="200"/>
      <c r="V286" s="200"/>
      <c r="W286" s="200"/>
      <c r="X286" s="200"/>
      <c r="Y286" s="200"/>
      <c r="Z286" s="200"/>
      <c r="AA286" s="200"/>
      <c r="AB286" s="200"/>
      <c r="AC286" s="200"/>
      <c r="AD286" s="200"/>
      <c r="AE286" s="200"/>
      <c r="AF286" s="200"/>
      <c r="AG286" s="200"/>
      <c r="AH286" s="200"/>
      <c r="AI286" s="200"/>
      <c r="AJ286" s="200"/>
      <c r="AK286" s="200"/>
      <c r="AL286" s="200"/>
      <c r="AM286" s="200"/>
      <c r="AN286" s="200"/>
      <c r="AO286" s="200"/>
      <c r="AP286" s="200"/>
    </row>
    <row r="287" spans="3:42" s="160" customFormat="1" x14ac:dyDescent="0.25">
      <c r="C287" s="172"/>
      <c r="D287" s="172"/>
      <c r="E287" s="172"/>
      <c r="J287" s="303"/>
      <c r="K287" s="303"/>
      <c r="L287" s="303"/>
      <c r="M287" s="303"/>
      <c r="N287" s="303"/>
      <c r="O287" s="303"/>
      <c r="P287" s="303"/>
      <c r="Q287" s="303"/>
      <c r="R287" s="303"/>
      <c r="S287" s="303"/>
      <c r="T287" s="200"/>
      <c r="U287" s="200"/>
      <c r="V287" s="200"/>
      <c r="W287" s="200"/>
      <c r="X287" s="200"/>
      <c r="Y287" s="200"/>
      <c r="Z287" s="200"/>
      <c r="AA287" s="200"/>
      <c r="AB287" s="200"/>
      <c r="AC287" s="200"/>
      <c r="AD287" s="200"/>
      <c r="AE287" s="200"/>
      <c r="AF287" s="200"/>
      <c r="AG287" s="200"/>
      <c r="AH287" s="200"/>
      <c r="AI287" s="200"/>
      <c r="AJ287" s="200"/>
      <c r="AK287" s="200"/>
      <c r="AL287" s="200"/>
      <c r="AM287" s="200"/>
      <c r="AN287" s="200"/>
      <c r="AO287" s="200"/>
      <c r="AP287" s="200"/>
    </row>
    <row r="288" spans="3:42" s="474" customFormat="1" x14ac:dyDescent="0.25">
      <c r="D288" s="172" t="s">
        <v>1071</v>
      </c>
      <c r="E288" s="172"/>
      <c r="J288" s="303"/>
      <c r="K288" s="303"/>
      <c r="L288" s="303"/>
      <c r="M288" s="303"/>
      <c r="N288" s="303"/>
      <c r="O288" s="303"/>
      <c r="P288" s="303"/>
      <c r="Q288" s="303"/>
      <c r="R288" s="303"/>
      <c r="S288" s="303"/>
      <c r="T288" s="200"/>
      <c r="U288" s="200"/>
      <c r="V288" s="200"/>
      <c r="W288" s="200"/>
      <c r="X288" s="200"/>
      <c r="Y288" s="200"/>
      <c r="Z288" s="200"/>
      <c r="AA288" s="200"/>
      <c r="AB288" s="200"/>
      <c r="AC288" s="200"/>
      <c r="AD288" s="200"/>
      <c r="AE288" s="200"/>
      <c r="AF288" s="200"/>
      <c r="AG288" s="200"/>
      <c r="AH288" s="200"/>
      <c r="AI288" s="200"/>
      <c r="AJ288" s="200"/>
      <c r="AK288" s="200"/>
      <c r="AL288" s="200"/>
      <c r="AM288" s="200"/>
      <c r="AN288" s="200"/>
      <c r="AO288" s="200"/>
      <c r="AP288" s="200"/>
    </row>
    <row r="289" spans="2:44" s="160" customFormat="1" x14ac:dyDescent="0.25">
      <c r="C289" s="172"/>
      <c r="D289" s="172"/>
      <c r="E289" s="172"/>
      <c r="J289" s="303"/>
      <c r="K289" s="303"/>
      <c r="L289" s="303"/>
      <c r="M289" s="303"/>
      <c r="N289" s="303"/>
      <c r="O289" s="303"/>
      <c r="P289" s="303"/>
      <c r="Q289" s="303"/>
      <c r="R289" s="303"/>
      <c r="S289" s="303"/>
      <c r="T289" s="200"/>
      <c r="U289" s="200"/>
      <c r="V289" s="200"/>
      <c r="W289" s="200"/>
      <c r="X289" s="200"/>
      <c r="Y289" s="200"/>
      <c r="Z289" s="200"/>
      <c r="AA289" s="200"/>
      <c r="AB289" s="200"/>
      <c r="AC289" s="200"/>
      <c r="AD289" s="200"/>
      <c r="AE289" s="200"/>
      <c r="AF289" s="200"/>
      <c r="AG289" s="200"/>
      <c r="AH289" s="200"/>
      <c r="AI289" s="200"/>
      <c r="AJ289" s="200"/>
      <c r="AK289" s="200"/>
      <c r="AL289" s="200"/>
      <c r="AM289" s="200"/>
      <c r="AN289" s="200"/>
      <c r="AO289" s="200"/>
      <c r="AP289" s="200"/>
    </row>
    <row r="290" spans="2:44" s="160" customFormat="1" x14ac:dyDescent="0.25">
      <c r="C290" s="172"/>
      <c r="D290" s="172"/>
      <c r="E290" s="160" t="s">
        <v>622</v>
      </c>
      <c r="G290" s="111" t="s">
        <v>814</v>
      </c>
      <c r="H290" s="349">
        <f t="array" ref="H290">SUM(IF(ISERROR(H18:AP231), 1))</f>
        <v>0</v>
      </c>
      <c r="J290" s="165"/>
      <c r="K290" s="165"/>
      <c r="L290" s="165"/>
      <c r="M290" s="165"/>
      <c r="N290" s="165"/>
      <c r="O290" s="165"/>
      <c r="P290" s="165"/>
      <c r="Q290" s="165"/>
      <c r="R290" s="165"/>
      <c r="S290" s="165"/>
      <c r="T290" s="165"/>
      <c r="U290" s="165"/>
      <c r="V290" s="165"/>
      <c r="W290" s="165"/>
      <c r="X290" s="165"/>
      <c r="Y290" s="165"/>
      <c r="Z290" s="165"/>
      <c r="AA290" s="165"/>
      <c r="AB290" s="165"/>
      <c r="AC290" s="165"/>
      <c r="AD290" s="165"/>
      <c r="AE290" s="165"/>
      <c r="AF290" s="165"/>
      <c r="AG290" s="165"/>
      <c r="AH290" s="165"/>
      <c r="AI290" s="165"/>
      <c r="AJ290" s="165"/>
      <c r="AK290" s="165"/>
      <c r="AL290" s="165"/>
      <c r="AM290" s="165"/>
      <c r="AN290" s="165"/>
      <c r="AO290" s="165"/>
      <c r="AP290" s="165"/>
    </row>
    <row r="291" spans="2:44" s="160" customFormat="1" x14ac:dyDescent="0.25">
      <c r="C291" s="172"/>
      <c r="D291" s="172"/>
      <c r="E291" s="172"/>
      <c r="J291" s="165"/>
      <c r="K291" s="165"/>
      <c r="L291" s="165"/>
      <c r="M291" s="165"/>
      <c r="N291" s="165"/>
      <c r="O291" s="165"/>
      <c r="P291" s="165"/>
      <c r="Q291" s="165"/>
      <c r="R291" s="165"/>
      <c r="S291" s="165"/>
    </row>
    <row r="292" spans="2:44" s="160" customFormat="1" x14ac:dyDescent="0.25">
      <c r="C292" s="172"/>
      <c r="D292" s="172"/>
      <c r="E292" s="160" t="s">
        <v>545</v>
      </c>
      <c r="G292" s="111" t="s">
        <v>814</v>
      </c>
      <c r="H292" s="349">
        <f>SUM(J292:AP292)</f>
        <v>0</v>
      </c>
      <c r="I292" s="243"/>
      <c r="J292" s="349">
        <f t="shared" ref="J292:AP292" si="96">IF(ABS(IFERROR(SUM(J152:J231), 1)) &gt; 0, 0, 1)</f>
        <v>0</v>
      </c>
      <c r="K292" s="349">
        <f t="shared" si="96"/>
        <v>0</v>
      </c>
      <c r="L292" s="349">
        <f t="shared" si="96"/>
        <v>0</v>
      </c>
      <c r="M292" s="349">
        <f t="shared" si="96"/>
        <v>0</v>
      </c>
      <c r="N292" s="349">
        <f t="shared" si="96"/>
        <v>0</v>
      </c>
      <c r="O292" s="349">
        <f t="shared" si="96"/>
        <v>0</v>
      </c>
      <c r="P292" s="349">
        <f t="shared" si="96"/>
        <v>0</v>
      </c>
      <c r="Q292" s="349">
        <f t="shared" si="96"/>
        <v>0</v>
      </c>
      <c r="R292" s="349">
        <f t="shared" si="96"/>
        <v>0</v>
      </c>
      <c r="S292" s="349">
        <f t="shared" si="96"/>
        <v>0</v>
      </c>
      <c r="T292" s="349">
        <f t="shared" si="96"/>
        <v>0</v>
      </c>
      <c r="U292" s="349">
        <f t="shared" si="96"/>
        <v>0</v>
      </c>
      <c r="V292" s="349">
        <f t="shared" si="96"/>
        <v>0</v>
      </c>
      <c r="W292" s="349">
        <f t="shared" si="96"/>
        <v>0</v>
      </c>
      <c r="X292" s="349">
        <f t="shared" si="96"/>
        <v>0</v>
      </c>
      <c r="Y292" s="349">
        <f t="shared" si="96"/>
        <v>0</v>
      </c>
      <c r="Z292" s="349">
        <f t="shared" si="96"/>
        <v>0</v>
      </c>
      <c r="AA292" s="349">
        <f t="shared" si="96"/>
        <v>0</v>
      </c>
      <c r="AB292" s="349">
        <f t="shared" si="96"/>
        <v>0</v>
      </c>
      <c r="AC292" s="349">
        <f t="shared" si="96"/>
        <v>0</v>
      </c>
      <c r="AD292" s="349">
        <f t="shared" si="96"/>
        <v>0</v>
      </c>
      <c r="AE292" s="349">
        <f t="shared" si="96"/>
        <v>0</v>
      </c>
      <c r="AF292" s="349">
        <f t="shared" si="96"/>
        <v>0</v>
      </c>
      <c r="AG292" s="349">
        <f t="shared" si="96"/>
        <v>0</v>
      </c>
      <c r="AH292" s="349">
        <f t="shared" si="96"/>
        <v>0</v>
      </c>
      <c r="AI292" s="349">
        <f t="shared" si="96"/>
        <v>0</v>
      </c>
      <c r="AJ292" s="349">
        <f t="shared" si="96"/>
        <v>0</v>
      </c>
      <c r="AK292" s="349">
        <f t="shared" si="96"/>
        <v>0</v>
      </c>
      <c r="AL292" s="349">
        <f t="shared" si="96"/>
        <v>0</v>
      </c>
      <c r="AM292" s="349">
        <f t="shared" si="96"/>
        <v>0</v>
      </c>
      <c r="AN292" s="349">
        <f t="shared" si="96"/>
        <v>0</v>
      </c>
      <c r="AO292" s="349">
        <f t="shared" si="96"/>
        <v>0</v>
      </c>
      <c r="AP292" s="349">
        <f t="shared" si="96"/>
        <v>0</v>
      </c>
    </row>
    <row r="293" spans="2:44" s="474" customFormat="1" x14ac:dyDescent="0.25">
      <c r="C293" s="172"/>
      <c r="D293" s="172"/>
      <c r="E293" s="172"/>
      <c r="J293" s="303"/>
      <c r="K293" s="303"/>
      <c r="L293" s="303"/>
      <c r="M293" s="303"/>
      <c r="N293" s="303"/>
      <c r="O293" s="303"/>
      <c r="P293" s="303"/>
      <c r="Q293" s="303"/>
      <c r="R293" s="303"/>
      <c r="S293" s="303"/>
      <c r="T293" s="200"/>
      <c r="U293" s="200"/>
      <c r="V293" s="200"/>
      <c r="W293" s="200"/>
      <c r="X293" s="200"/>
      <c r="Y293" s="200"/>
      <c r="Z293" s="200"/>
      <c r="AA293" s="200"/>
      <c r="AB293" s="200"/>
      <c r="AC293" s="200"/>
      <c r="AD293" s="200"/>
      <c r="AE293" s="200"/>
      <c r="AF293" s="200"/>
      <c r="AG293" s="200"/>
      <c r="AH293" s="200"/>
      <c r="AI293" s="200"/>
      <c r="AJ293" s="200"/>
      <c r="AK293" s="200"/>
      <c r="AL293" s="200"/>
      <c r="AM293" s="200"/>
      <c r="AN293" s="200"/>
      <c r="AO293" s="200"/>
      <c r="AP293" s="200"/>
    </row>
    <row r="294" spans="2:44" s="160" customFormat="1" x14ac:dyDescent="0.25">
      <c r="C294" s="172"/>
      <c r="D294" s="172"/>
      <c r="E294" s="160" t="s">
        <v>547</v>
      </c>
      <c r="G294" s="111" t="s">
        <v>814</v>
      </c>
      <c r="H294" s="362">
        <f>SUM(H281, H286, H292, H290)</f>
        <v>0</v>
      </c>
      <c r="J294" s="303"/>
      <c r="K294" s="303"/>
      <c r="L294" s="303"/>
      <c r="M294" s="303"/>
      <c r="N294" s="303"/>
      <c r="O294" s="303"/>
      <c r="P294" s="303"/>
      <c r="Q294" s="303"/>
      <c r="R294" s="303"/>
      <c r="S294" s="303"/>
      <c r="T294" s="200"/>
      <c r="U294" s="200"/>
      <c r="V294" s="200"/>
      <c r="W294" s="200"/>
      <c r="X294" s="200"/>
      <c r="Y294" s="200"/>
      <c r="Z294" s="200"/>
      <c r="AA294" s="200"/>
      <c r="AB294" s="200"/>
      <c r="AC294" s="200"/>
      <c r="AD294" s="200"/>
      <c r="AE294" s="200"/>
      <c r="AF294" s="200"/>
      <c r="AG294" s="200"/>
      <c r="AH294" s="200"/>
      <c r="AI294" s="200"/>
      <c r="AJ294" s="200"/>
      <c r="AK294" s="200"/>
      <c r="AL294" s="200"/>
      <c r="AM294" s="200"/>
      <c r="AN294" s="200"/>
      <c r="AO294" s="200"/>
      <c r="AP294" s="200"/>
    </row>
    <row r="295" spans="2:44" s="160" customFormat="1" x14ac:dyDescent="0.25">
      <c r="C295" s="172"/>
      <c r="D295" s="172"/>
      <c r="E295" s="172"/>
      <c r="J295" s="165"/>
      <c r="K295" s="165"/>
      <c r="L295" s="165"/>
      <c r="M295" s="165"/>
      <c r="N295" s="165"/>
      <c r="O295" s="165"/>
      <c r="P295" s="165"/>
      <c r="Q295" s="165"/>
      <c r="R295" s="165"/>
      <c r="S295" s="165"/>
    </row>
    <row r="296" spans="2:44" x14ac:dyDescent="0.25">
      <c r="B296" s="34" t="s">
        <v>127</v>
      </c>
      <c r="C296" s="34"/>
      <c r="D296" s="34"/>
      <c r="E296" s="171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  <c r="AN296" s="34"/>
      <c r="AO296" s="34"/>
      <c r="AP296" s="34"/>
      <c r="AQ296" s="171"/>
      <c r="AR296" s="171"/>
    </row>
  </sheetData>
  <sheetProtection sheet="1" objects="1" formatCells="0" formatColumns="0" formatRows="0" sort="0" autoFilter="0"/>
  <conditionalFormatting sqref="H281">
    <cfRule type="cellIs" dxfId="32" priority="7" operator="greaterThan">
      <formula>0</formula>
    </cfRule>
  </conditionalFormatting>
  <conditionalFormatting sqref="H286">
    <cfRule type="cellIs" dxfId="31" priority="6" operator="greaterThan">
      <formula>0</formula>
    </cfRule>
  </conditionalFormatting>
  <conditionalFormatting sqref="H292:H294">
    <cfRule type="cellIs" dxfId="30" priority="5" operator="greaterThan">
      <formula>0</formula>
    </cfRule>
  </conditionalFormatting>
  <conditionalFormatting sqref="J292:AP294">
    <cfRule type="cellIs" dxfId="29" priority="4" operator="greaterThan">
      <formula>0</formula>
    </cfRule>
  </conditionalFormatting>
  <conditionalFormatting sqref="H290">
    <cfRule type="cellIs" dxfId="28" priority="3" operator="greaterThan">
      <formula>0</formula>
    </cfRule>
  </conditionalFormatting>
  <conditionalFormatting sqref="H294">
    <cfRule type="cellIs" dxfId="27" priority="2" operator="greaterThan">
      <formula>0</formula>
    </cfRule>
  </conditionalFormatting>
  <conditionalFormatting sqref="A4:XFD4">
    <cfRule type="expression" dxfId="26" priority="1">
      <formula>LEFT($A$4,1) &lt;&gt; "0"</formula>
    </cfRule>
  </conditionalFormatting>
  <hyperlinks>
    <hyperlink ref="B5:F5" location="'Model map'!A1" display="Click here to return to model map"/>
  </hyperlinks>
  <pageMargins left="0.7" right="0.7" top="0.75" bottom="0.75" header="0.3" footer="0.3"/>
  <pageSetup paperSize="9" fitToHeight="0" orientation="portrait" r:id="rId1"/>
  <headerFooter>
    <oddHeader>&amp;L&amp;A&amp;C&amp;R&amp;P of &amp;N</oddHeader>
    <oddFooter>&amp;F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theme="4" tint="0.59999389629810485"/>
    <pageSetUpPr fitToPage="1"/>
  </sheetPr>
  <dimension ref="A1:KJ50"/>
  <sheetViews>
    <sheetView showGridLines="0" zoomScale="80" zoomScaleNormal="80" workbookViewId="0">
      <pane xSplit="9" ySplit="5" topLeftCell="J6" activePane="bottomRight" state="frozen"/>
      <selection activeCell="AR1" sqref="AR1:AR1048576"/>
      <selection pane="topRight" activeCell="AR1" sqref="AR1:AR1048576"/>
      <selection pane="bottomLeft" activeCell="AR1" sqref="AR1:AR1048576"/>
      <selection pane="bottomRight" activeCell="J6" sqref="J6"/>
    </sheetView>
  </sheetViews>
  <sheetFormatPr defaultColWidth="0" defaultRowHeight="15" x14ac:dyDescent="0.25"/>
  <cols>
    <col min="1" max="3" width="2.7109375" style="88" customWidth="1"/>
    <col min="4" max="4" width="2.7109375" style="91" customWidth="1"/>
    <col min="5" max="5" width="2.7109375" style="175" customWidth="1"/>
    <col min="6" max="6" width="59.5703125" style="88" customWidth="1"/>
    <col min="7" max="8" width="20.7109375" style="88" customWidth="1"/>
    <col min="9" max="9" width="2.28515625" style="88" customWidth="1"/>
    <col min="10" max="42" width="17" style="88" customWidth="1"/>
    <col min="43" max="43" width="2.28515625" style="88" customWidth="1"/>
    <col min="44" max="44" width="50.7109375" style="88" customWidth="1"/>
    <col min="45" max="45" width="2.28515625" style="88" customWidth="1"/>
    <col min="46" max="46" width="24.5703125" style="88" hidden="1" customWidth="1"/>
    <col min="47" max="47" width="3.5703125" style="88" hidden="1" customWidth="1"/>
    <col min="48" max="48" width="15.42578125" style="88" hidden="1" customWidth="1"/>
    <col min="49" max="296" width="24.5703125" style="88" hidden="1" customWidth="1"/>
    <col min="297" max="16384" width="8.7109375" style="88" hidden="1"/>
  </cols>
  <sheetData>
    <row r="1" spans="1:97" s="25" customFormat="1" x14ac:dyDescent="0.25">
      <c r="A1" s="25" t="str">
        <f ca="1">MID(CELL("filename",A1),FIND("]",CELL("filename",A1))+1,255)</f>
        <v>Service model charges</v>
      </c>
    </row>
    <row r="2" spans="1:97" s="25" customFormat="1" x14ac:dyDescent="0.25">
      <c r="A2" s="25" t="str">
        <f>Cover!D21&amp;" - "&amp;Cover!D23</f>
        <v>SEPD - Final</v>
      </c>
    </row>
    <row r="3" spans="1:97" s="97" customFormat="1" x14ac:dyDescent="0.25">
      <c r="A3" s="97" t="str">
        <f>Cover!D2&amp;" - "&amp;Cover!D8&amp;" v"&amp;Cover!D10&amp;" - "&amp;Cover!D19</f>
        <v>ARP model - Release for charge setting v3 - 2020/21</v>
      </c>
    </row>
    <row r="4" spans="1:97" s="338" customFormat="1" x14ac:dyDescent="0.25">
      <c r="A4" s="392" t="str">
        <f>H48 &amp; IF(H48 = 1, " issue", " issues") &amp;" identified in checks on this sheet"</f>
        <v>0 issues identified in checks on this sheet</v>
      </c>
      <c r="B4" s="393"/>
      <c r="C4" s="393"/>
      <c r="D4" s="393"/>
      <c r="E4" s="393"/>
      <c r="F4" s="393"/>
      <c r="G4" s="393"/>
      <c r="H4" s="394"/>
      <c r="I4" s="394"/>
      <c r="J4" s="393"/>
      <c r="K4" s="383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3"/>
      <c r="AD4" s="383"/>
      <c r="AE4" s="383"/>
      <c r="AF4" s="383"/>
      <c r="AG4" s="383"/>
      <c r="AH4" s="383"/>
      <c r="AI4" s="383"/>
      <c r="AJ4" s="383"/>
      <c r="AK4" s="383"/>
      <c r="AL4" s="383"/>
      <c r="AM4" s="383"/>
      <c r="AN4" s="383"/>
      <c r="AO4" s="383"/>
      <c r="AP4" s="383"/>
      <c r="AQ4" s="383"/>
      <c r="AR4" s="383"/>
      <c r="AS4" s="383"/>
      <c r="AT4" s="383"/>
      <c r="AU4" s="383"/>
      <c r="AV4" s="383"/>
      <c r="AW4" s="383"/>
      <c r="AX4" s="383"/>
      <c r="AY4" s="383"/>
      <c r="AZ4" s="383"/>
      <c r="BA4" s="383"/>
      <c r="BB4" s="383"/>
      <c r="BC4" s="383"/>
      <c r="BD4" s="383"/>
      <c r="BE4" s="383"/>
      <c r="BF4" s="383"/>
      <c r="BG4" s="383"/>
      <c r="BH4" s="383"/>
      <c r="BI4" s="383"/>
      <c r="BJ4" s="383"/>
      <c r="BK4" s="383"/>
      <c r="BL4" s="383"/>
      <c r="BM4" s="383"/>
      <c r="BN4" s="383"/>
      <c r="BO4" s="383"/>
      <c r="BP4" s="383"/>
      <c r="BQ4" s="383"/>
      <c r="BR4" s="383"/>
      <c r="BS4" s="383"/>
      <c r="BT4" s="383"/>
      <c r="BU4" s="383"/>
      <c r="BV4" s="383"/>
      <c r="BW4" s="383"/>
      <c r="BX4" s="383"/>
      <c r="BY4" s="383"/>
      <c r="BZ4" s="383"/>
      <c r="CA4" s="383"/>
      <c r="CB4" s="383"/>
      <c r="CC4" s="383"/>
      <c r="CD4" s="383"/>
      <c r="CE4" s="383"/>
      <c r="CF4" s="383"/>
      <c r="CG4" s="383"/>
      <c r="CH4" s="383"/>
      <c r="CI4" s="383"/>
      <c r="CJ4" s="383"/>
      <c r="CK4" s="383"/>
      <c r="CL4" s="383"/>
      <c r="CM4" s="383"/>
      <c r="CN4" s="383"/>
      <c r="CO4" s="383"/>
      <c r="CP4" s="383"/>
      <c r="CQ4" s="383"/>
      <c r="CR4" s="383"/>
      <c r="CS4" s="383"/>
    </row>
    <row r="5" spans="1:97" ht="60" x14ac:dyDescent="0.25">
      <c r="B5" s="244" t="s">
        <v>667</v>
      </c>
      <c r="C5" s="24"/>
      <c r="D5" s="24"/>
      <c r="E5" s="24"/>
      <c r="F5" s="24"/>
      <c r="G5" s="1" t="s">
        <v>108</v>
      </c>
      <c r="H5" s="2" t="s">
        <v>109</v>
      </c>
      <c r="I5" s="200"/>
      <c r="J5" s="2" t="s">
        <v>52</v>
      </c>
      <c r="K5" s="2" t="s">
        <v>53</v>
      </c>
      <c r="L5" s="2" t="s">
        <v>84</v>
      </c>
      <c r="M5" s="2" t="s">
        <v>54</v>
      </c>
      <c r="N5" s="2" t="s">
        <v>55</v>
      </c>
      <c r="O5" s="2" t="s">
        <v>85</v>
      </c>
      <c r="P5" s="2" t="s">
        <v>56</v>
      </c>
      <c r="Q5" s="2" t="s">
        <v>57</v>
      </c>
      <c r="R5" s="2" t="s">
        <v>72</v>
      </c>
      <c r="S5" s="2" t="s">
        <v>58</v>
      </c>
      <c r="T5" s="2" t="s">
        <v>59</v>
      </c>
      <c r="U5" s="2" t="s">
        <v>60</v>
      </c>
      <c r="V5" s="2" t="s">
        <v>61</v>
      </c>
      <c r="W5" s="2" t="s">
        <v>73</v>
      </c>
      <c r="X5" s="2" t="s">
        <v>86</v>
      </c>
      <c r="Y5" s="2" t="s">
        <v>87</v>
      </c>
      <c r="Z5" s="2" t="s">
        <v>88</v>
      </c>
      <c r="AA5" s="2" t="s">
        <v>89</v>
      </c>
      <c r="AB5" s="2" t="s">
        <v>90</v>
      </c>
      <c r="AC5" s="2" t="s">
        <v>62</v>
      </c>
      <c r="AD5" s="2" t="s">
        <v>63</v>
      </c>
      <c r="AE5" s="2" t="s">
        <v>64</v>
      </c>
      <c r="AF5" s="2" t="s">
        <v>65</v>
      </c>
      <c r="AG5" s="2" t="s">
        <v>66</v>
      </c>
      <c r="AH5" s="2" t="s">
        <v>67</v>
      </c>
      <c r="AI5" s="2" t="s">
        <v>68</v>
      </c>
      <c r="AJ5" s="2" t="s">
        <v>69</v>
      </c>
      <c r="AK5" s="2" t="s">
        <v>70</v>
      </c>
      <c r="AL5" s="2" t="s">
        <v>71</v>
      </c>
      <c r="AM5" s="2" t="s">
        <v>74</v>
      </c>
      <c r="AN5" s="2" t="s">
        <v>75</v>
      </c>
      <c r="AO5" s="2" t="s">
        <v>76</v>
      </c>
      <c r="AP5" s="2" t="s">
        <v>77</v>
      </c>
      <c r="AR5" s="1" t="s">
        <v>110</v>
      </c>
    </row>
    <row r="7" spans="1:97" x14ac:dyDescent="0.25">
      <c r="A7" s="338"/>
      <c r="B7" s="171" t="s">
        <v>107</v>
      </c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</row>
    <row r="8" spans="1:97" x14ac:dyDescent="0.25">
      <c r="A8" s="338"/>
      <c r="AQ8" s="160"/>
      <c r="AR8" s="160"/>
    </row>
    <row r="9" spans="1:97" x14ac:dyDescent="0.25">
      <c r="A9" s="338"/>
      <c r="C9" s="152" t="s">
        <v>556</v>
      </c>
      <c r="D9" s="160"/>
      <c r="F9" s="65"/>
      <c r="AQ9" s="160"/>
      <c r="AR9" s="160"/>
    </row>
    <row r="10" spans="1:97" s="160" customFormat="1" x14ac:dyDescent="0.25">
      <c r="A10" s="338"/>
      <c r="C10" s="152" t="s">
        <v>557</v>
      </c>
      <c r="F10" s="152"/>
    </row>
    <row r="11" spans="1:97" x14ac:dyDescent="0.25">
      <c r="A11" s="338"/>
      <c r="C11" s="152" t="s">
        <v>585</v>
      </c>
      <c r="AQ11" s="160"/>
      <c r="AR11" s="160"/>
    </row>
    <row r="12" spans="1:97" s="160" customFormat="1" x14ac:dyDescent="0.25">
      <c r="A12" s="338"/>
      <c r="D12" s="175"/>
      <c r="E12" s="175"/>
    </row>
    <row r="13" spans="1:97" x14ac:dyDescent="0.25">
      <c r="A13" s="338"/>
      <c r="B13" s="171" t="s">
        <v>908</v>
      </c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</row>
    <row r="14" spans="1:97" s="160" customFormat="1" x14ac:dyDescent="0.25">
      <c r="A14" s="338"/>
      <c r="C14" s="161"/>
      <c r="D14" s="175"/>
      <c r="E14" s="175"/>
    </row>
    <row r="15" spans="1:97" x14ac:dyDescent="0.25">
      <c r="A15" s="338"/>
      <c r="B15" s="91"/>
      <c r="C15" s="152" t="s">
        <v>558</v>
      </c>
    </row>
    <row r="16" spans="1:97" x14ac:dyDescent="0.25">
      <c r="A16" s="338"/>
      <c r="C16" s="89"/>
    </row>
    <row r="17" spans="1:44" s="338" customFormat="1" x14ac:dyDescent="0.25">
      <c r="C17" s="22" t="str">
        <f ca="1">INDEX('Version control'!$H$34:$H$59,MATCH($A$1,'Version control'!$F$34:$F$59,0),1)&amp;"-A: Inputs to service model charge calculation"</f>
        <v>Section 513-A: Inputs to service model charge calculation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</row>
    <row r="18" spans="1:44" s="338" customFormat="1" x14ac:dyDescent="0.25">
      <c r="C18" s="161"/>
      <c r="D18" s="175"/>
      <c r="E18" s="175"/>
    </row>
    <row r="19" spans="1:44" x14ac:dyDescent="0.25">
      <c r="A19" s="338"/>
      <c r="D19" s="88"/>
      <c r="E19" s="145" t="s">
        <v>114</v>
      </c>
      <c r="F19" s="145"/>
      <c r="G19" s="145" t="s">
        <v>111</v>
      </c>
      <c r="H19" s="196">
        <f>'Unit costs'!$H$121</f>
        <v>4.8955586267809562E-2</v>
      </c>
      <c r="I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W19" s="8"/>
    </row>
    <row r="20" spans="1:44" x14ac:dyDescent="0.25">
      <c r="A20" s="338"/>
      <c r="C20" s="89"/>
      <c r="E20" s="176" t="s">
        <v>148</v>
      </c>
      <c r="F20" s="176"/>
      <c r="G20" s="167" t="s">
        <v>721</v>
      </c>
      <c r="H20" s="437">
        <f>'Unit costs'!$H$122</f>
        <v>170882991.56671214</v>
      </c>
    </row>
    <row r="21" spans="1:44" x14ac:dyDescent="0.25">
      <c r="A21" s="338"/>
      <c r="C21" s="89"/>
      <c r="E21" s="176" t="s">
        <v>138</v>
      </c>
      <c r="F21" s="176"/>
      <c r="G21" s="167" t="s">
        <v>721</v>
      </c>
      <c r="H21" s="437">
        <f>'Unit costs'!$H$123</f>
        <v>8637592576.1890221</v>
      </c>
    </row>
    <row r="22" spans="1:44" s="131" customFormat="1" x14ac:dyDescent="0.25">
      <c r="A22" s="338"/>
      <c r="D22" s="132"/>
      <c r="F22" s="160"/>
    </row>
    <row r="23" spans="1:44" s="11" customFormat="1" x14ac:dyDescent="0.25">
      <c r="A23" s="338"/>
      <c r="E23" s="87" t="s">
        <v>560</v>
      </c>
      <c r="H23" s="12"/>
      <c r="J23" s="88"/>
      <c r="L23" s="12"/>
      <c r="M23" s="12"/>
      <c r="N23" s="12"/>
      <c r="O23" s="12"/>
      <c r="P23" s="12"/>
      <c r="Q23" s="12"/>
      <c r="R23" s="12"/>
      <c r="S23" s="12"/>
      <c r="T23" s="12"/>
      <c r="U23" s="12"/>
    </row>
    <row r="24" spans="1:44" s="11" customFormat="1" x14ac:dyDescent="0.25">
      <c r="A24" s="338"/>
      <c r="E24" s="65" t="s">
        <v>561</v>
      </c>
      <c r="H24" s="12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</row>
    <row r="25" spans="1:44" x14ac:dyDescent="0.25">
      <c r="A25" s="338"/>
      <c r="E25" s="89"/>
      <c r="F25" s="180" t="s">
        <v>141</v>
      </c>
      <c r="G25" s="166" t="s">
        <v>725</v>
      </c>
      <c r="H25" s="253"/>
      <c r="I25" s="166"/>
      <c r="J25" s="438">
        <f>'Inputs by customer type'!J74</f>
        <v>447.91694999999993</v>
      </c>
      <c r="K25" s="438">
        <f>'Inputs by customer type'!K74</f>
        <v>447.91694999999993</v>
      </c>
      <c r="L25" s="438">
        <f>'Inputs by customer type'!L74</f>
        <v>0</v>
      </c>
      <c r="M25" s="438">
        <f>'Inputs by customer type'!M74</f>
        <v>770.2</v>
      </c>
      <c r="N25" s="438">
        <f>'Inputs by customer type'!N74</f>
        <v>770.2</v>
      </c>
      <c r="O25" s="438">
        <f>'Inputs by customer type'!O74</f>
        <v>0</v>
      </c>
      <c r="P25" s="438">
        <f>'Inputs by customer type'!P74</f>
        <v>2955.57</v>
      </c>
      <c r="Q25" s="438">
        <f>'Inputs by customer type'!Q74</f>
        <v>4756.22</v>
      </c>
      <c r="R25" s="438">
        <f>'Inputs by customer type'!R74</f>
        <v>0</v>
      </c>
      <c r="S25" s="438">
        <f>'Inputs by customer type'!S74</f>
        <v>447.91694999999993</v>
      </c>
      <c r="T25" s="438">
        <f>'Inputs by customer type'!T74</f>
        <v>770.2</v>
      </c>
      <c r="U25" s="438">
        <f>'Inputs by customer type'!U74</f>
        <v>3041.5649999999996</v>
      </c>
      <c r="V25" s="438">
        <f>'Inputs by customer type'!V74</f>
        <v>4756.22</v>
      </c>
      <c r="W25" s="438">
        <f>'Inputs by customer type'!W74</f>
        <v>0</v>
      </c>
      <c r="X25" s="402"/>
      <c r="Y25" s="402"/>
      <c r="Z25" s="402"/>
      <c r="AA25" s="402"/>
      <c r="AB25" s="402"/>
      <c r="AC25" s="438">
        <f>'Inputs by customer type'!AC74</f>
        <v>0</v>
      </c>
      <c r="AD25" s="438">
        <f>'Inputs by customer type'!AD74</f>
        <v>0</v>
      </c>
      <c r="AE25" s="438">
        <f>'Inputs by customer type'!AE74</f>
        <v>0</v>
      </c>
      <c r="AF25" s="438">
        <f>'Inputs by customer type'!AF74</f>
        <v>0</v>
      </c>
      <c r="AG25" s="438">
        <f>'Inputs by customer type'!AG74</f>
        <v>0</v>
      </c>
      <c r="AH25" s="438">
        <f>'Inputs by customer type'!AH74</f>
        <v>0</v>
      </c>
      <c r="AI25" s="438">
        <f>'Inputs by customer type'!AI74</f>
        <v>0</v>
      </c>
      <c r="AJ25" s="438">
        <f>'Inputs by customer type'!AJ74</f>
        <v>0</v>
      </c>
      <c r="AK25" s="438">
        <f>'Inputs by customer type'!AK74</f>
        <v>0</v>
      </c>
      <c r="AL25" s="438">
        <f>'Inputs by customer type'!AL74</f>
        <v>0</v>
      </c>
      <c r="AM25" s="438">
        <f>'Inputs by customer type'!AM74</f>
        <v>0</v>
      </c>
      <c r="AN25" s="438">
        <f>'Inputs by customer type'!AN74</f>
        <v>0</v>
      </c>
      <c r="AO25" s="438">
        <f>'Inputs by customer type'!AO74</f>
        <v>0</v>
      </c>
      <c r="AP25" s="438">
        <f>'Inputs by customer type'!AP74</f>
        <v>0</v>
      </c>
    </row>
    <row r="26" spans="1:44" x14ac:dyDescent="0.25">
      <c r="A26" s="338"/>
      <c r="E26" s="89"/>
      <c r="F26" s="176" t="s">
        <v>140</v>
      </c>
      <c r="G26" s="339" t="s">
        <v>725</v>
      </c>
      <c r="H26" s="205"/>
      <c r="I26" s="339"/>
      <c r="J26" s="437">
        <f>'Inputs by customer type'!J75</f>
        <v>0</v>
      </c>
      <c r="K26" s="437">
        <f>'Inputs by customer type'!K75</f>
        <v>0</v>
      </c>
      <c r="L26" s="437">
        <f>'Inputs by customer type'!L75</f>
        <v>0</v>
      </c>
      <c r="M26" s="437">
        <f>'Inputs by customer type'!M75</f>
        <v>0</v>
      </c>
      <c r="N26" s="437">
        <f>'Inputs by customer type'!N75</f>
        <v>0</v>
      </c>
      <c r="O26" s="437">
        <f>'Inputs by customer type'!O75</f>
        <v>0</v>
      </c>
      <c r="P26" s="437">
        <f>'Inputs by customer type'!P75</f>
        <v>0</v>
      </c>
      <c r="Q26" s="437">
        <f>'Inputs by customer type'!Q75</f>
        <v>0</v>
      </c>
      <c r="R26" s="437">
        <f>'Inputs by customer type'!R75</f>
        <v>27188.11</v>
      </c>
      <c r="S26" s="437">
        <f>'Inputs by customer type'!S75</f>
        <v>0</v>
      </c>
      <c r="T26" s="437">
        <f>'Inputs by customer type'!T75</f>
        <v>0</v>
      </c>
      <c r="U26" s="437">
        <f>'Inputs by customer type'!U75</f>
        <v>0</v>
      </c>
      <c r="V26" s="437">
        <f>'Inputs by customer type'!V75</f>
        <v>0</v>
      </c>
      <c r="W26" s="437">
        <f>'Inputs by customer type'!W75</f>
        <v>27188.11</v>
      </c>
      <c r="X26" s="403"/>
      <c r="Y26" s="403"/>
      <c r="Z26" s="403"/>
      <c r="AA26" s="403"/>
      <c r="AB26" s="403"/>
      <c r="AC26" s="437">
        <f>'Inputs by customer type'!AC75</f>
        <v>0</v>
      </c>
      <c r="AD26" s="437">
        <f>'Inputs by customer type'!AD75</f>
        <v>0</v>
      </c>
      <c r="AE26" s="437">
        <f>'Inputs by customer type'!AE75</f>
        <v>0</v>
      </c>
      <c r="AF26" s="437">
        <f>'Inputs by customer type'!AF75</f>
        <v>0</v>
      </c>
      <c r="AG26" s="437">
        <f>'Inputs by customer type'!AG75</f>
        <v>0</v>
      </c>
      <c r="AH26" s="437">
        <f>'Inputs by customer type'!AH75</f>
        <v>0</v>
      </c>
      <c r="AI26" s="437">
        <f>'Inputs by customer type'!AI75</f>
        <v>0</v>
      </c>
      <c r="AJ26" s="437">
        <f>'Inputs by customer type'!AJ75</f>
        <v>0</v>
      </c>
      <c r="AK26" s="437">
        <f>'Inputs by customer type'!AK75</f>
        <v>0</v>
      </c>
      <c r="AL26" s="437">
        <f>'Inputs by customer type'!AL75</f>
        <v>0</v>
      </c>
      <c r="AM26" s="437">
        <f>'Inputs by customer type'!AM75</f>
        <v>44791.95</v>
      </c>
      <c r="AN26" s="437">
        <f>'Inputs by customer type'!AN75</f>
        <v>44791.95</v>
      </c>
      <c r="AO26" s="437">
        <f>'Inputs by customer type'!AO75</f>
        <v>44791.95</v>
      </c>
      <c r="AP26" s="437">
        <f>'Inputs by customer type'!AP75</f>
        <v>44791.95</v>
      </c>
    </row>
    <row r="27" spans="1:44" x14ac:dyDescent="0.25">
      <c r="A27" s="338"/>
      <c r="E27" s="89"/>
      <c r="F27" s="168" t="s">
        <v>559</v>
      </c>
      <c r="G27" s="168" t="s">
        <v>401</v>
      </c>
      <c r="H27" s="168"/>
      <c r="I27" s="168"/>
      <c r="J27" s="404"/>
      <c r="K27" s="404"/>
      <c r="L27" s="404"/>
      <c r="M27" s="404"/>
      <c r="N27" s="404"/>
      <c r="O27" s="404"/>
      <c r="P27" s="404"/>
      <c r="Q27" s="404"/>
      <c r="R27" s="404"/>
      <c r="S27" s="404"/>
      <c r="T27" s="404"/>
      <c r="U27" s="404"/>
      <c r="V27" s="404"/>
      <c r="W27" s="404"/>
      <c r="X27" s="440">
        <f>'Inputs by customer type'!X77</f>
        <v>741.76333</v>
      </c>
      <c r="Y27" s="440">
        <f>'Inputs by customer type'!Y77</f>
        <v>741.76333</v>
      </c>
      <c r="Z27" s="440">
        <f>'Inputs by customer type'!Z77</f>
        <v>741.76333</v>
      </c>
      <c r="AA27" s="440">
        <f>'Inputs by customer type'!AA77</f>
        <v>741.76333</v>
      </c>
      <c r="AB27" s="440">
        <f>'Inputs by customer type'!AB77</f>
        <v>741.76333</v>
      </c>
      <c r="AC27" s="404"/>
      <c r="AD27" s="404"/>
      <c r="AE27" s="404"/>
      <c r="AF27" s="404"/>
      <c r="AG27" s="404"/>
      <c r="AH27" s="404"/>
      <c r="AI27" s="404"/>
      <c r="AJ27" s="404"/>
      <c r="AK27" s="404"/>
      <c r="AL27" s="404"/>
      <c r="AM27" s="404"/>
      <c r="AN27" s="404"/>
      <c r="AO27" s="404"/>
      <c r="AP27" s="404"/>
    </row>
    <row r="28" spans="1:44" x14ac:dyDescent="0.25">
      <c r="A28" s="338"/>
      <c r="D28" s="89"/>
      <c r="E28" s="88"/>
      <c r="F28" s="160"/>
    </row>
    <row r="29" spans="1:44" x14ac:dyDescent="0.25">
      <c r="A29" s="338"/>
      <c r="B29" s="171" t="s">
        <v>624</v>
      </c>
      <c r="C29" s="171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/>
      <c r="P29" s="171"/>
      <c r="Q29" s="171"/>
      <c r="R29" s="171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1"/>
      <c r="AD29" s="171"/>
      <c r="AE29" s="171"/>
      <c r="AF29" s="171"/>
      <c r="AG29" s="171"/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</row>
    <row r="30" spans="1:44" s="160" customFormat="1" x14ac:dyDescent="0.25">
      <c r="A30" s="338"/>
      <c r="C30" s="161"/>
      <c r="D30" s="175"/>
      <c r="E30" s="175"/>
    </row>
    <row r="31" spans="1:44" x14ac:dyDescent="0.25">
      <c r="A31" s="338"/>
      <c r="C31" s="152" t="s">
        <v>562</v>
      </c>
    </row>
    <row r="32" spans="1:44" x14ac:dyDescent="0.25">
      <c r="A32" s="338"/>
      <c r="C32" s="89"/>
    </row>
    <row r="33" spans="1:44" s="338" customFormat="1" x14ac:dyDescent="0.25">
      <c r="C33" s="22" t="str">
        <f ca="1">INDEX('Version control'!$H$34:$H$59,MATCH($A$1,'Version control'!$F$34:$F$59,0),1)&amp;"-B: Calculation of other operating expenditure per £ of notional asset value"</f>
        <v>Section 513-B: Calculation of other operating expenditure per £ of notional asset value</v>
      </c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</row>
    <row r="34" spans="1:44" s="338" customFormat="1" x14ac:dyDescent="0.25">
      <c r="C34" s="161"/>
      <c r="D34" s="175"/>
      <c r="E34" s="175"/>
    </row>
    <row r="35" spans="1:44" s="11" customFormat="1" x14ac:dyDescent="0.25">
      <c r="A35" s="338"/>
      <c r="E35" s="176" t="s">
        <v>563</v>
      </c>
      <c r="F35" s="176"/>
      <c r="G35" s="167" t="s">
        <v>124</v>
      </c>
      <c r="H35" s="428">
        <f>IF(H21 &lt;&gt; 0, H20  /H21, 0)</f>
        <v>1.9783636477342062E-2</v>
      </c>
      <c r="I35" s="11" t="s">
        <v>525</v>
      </c>
      <c r="J35" s="33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R35" s="11" t="s">
        <v>1073</v>
      </c>
    </row>
    <row r="36" spans="1:44" x14ac:dyDescent="0.25">
      <c r="A36" s="338"/>
      <c r="D36" s="89"/>
      <c r="E36" s="88"/>
      <c r="F36" s="160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</row>
    <row r="37" spans="1:44" s="338" customFormat="1" x14ac:dyDescent="0.25">
      <c r="C37" s="22" t="str">
        <f ca="1">INDEX('Version control'!$H$34:$H$59,MATCH($A$1,'Version control'!$F$34:$F$59,0),1)&amp;"-C: Calculation of service model charges"</f>
        <v>Section 513-C: Calculation of service model charges</v>
      </c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</row>
    <row r="38" spans="1:44" s="338" customFormat="1" x14ac:dyDescent="0.25">
      <c r="C38" s="161"/>
      <c r="D38" s="175"/>
      <c r="E38" s="175"/>
    </row>
    <row r="39" spans="1:44" s="11" customFormat="1" x14ac:dyDescent="0.25">
      <c r="A39" s="338"/>
      <c r="E39" s="65" t="s">
        <v>1075</v>
      </c>
      <c r="H39" s="12"/>
      <c r="I39" s="88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</row>
    <row r="40" spans="1:44" s="73" customFormat="1" x14ac:dyDescent="0.25">
      <c r="A40" s="474"/>
      <c r="E40" s="152"/>
      <c r="H40" s="12"/>
      <c r="I40" s="474"/>
      <c r="J40" s="165"/>
      <c r="K40" s="165"/>
      <c r="L40" s="165"/>
      <c r="M40" s="165"/>
      <c r="N40" s="165"/>
      <c r="O40" s="165"/>
      <c r="P40" s="165"/>
      <c r="Q40" s="165"/>
      <c r="R40" s="165"/>
      <c r="S40" s="165"/>
      <c r="T40" s="165"/>
      <c r="U40" s="165"/>
      <c r="V40" s="165"/>
      <c r="W40" s="165"/>
      <c r="X40" s="165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</row>
    <row r="41" spans="1:44" s="11" customFormat="1" x14ac:dyDescent="0.25">
      <c r="A41" s="338"/>
      <c r="E41" s="87" t="s">
        <v>907</v>
      </c>
      <c r="H41" s="12"/>
      <c r="I41" s="11" t="s">
        <v>525</v>
      </c>
      <c r="J41" s="33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R41" s="11" t="s">
        <v>1074</v>
      </c>
    </row>
    <row r="42" spans="1:44" x14ac:dyDescent="0.25">
      <c r="A42" s="338"/>
      <c r="D42" s="88"/>
      <c r="E42" s="89"/>
      <c r="F42" s="180" t="s">
        <v>141</v>
      </c>
      <c r="G42" s="166" t="s">
        <v>382</v>
      </c>
      <c r="H42" s="253"/>
      <c r="I42" s="166"/>
      <c r="J42" s="418">
        <f t="shared" ref="J42:AP42" si="0">J25 * $H$35 / days_in_year * hundred</f>
        <v>2.4277879755725476</v>
      </c>
      <c r="K42" s="418">
        <f t="shared" si="0"/>
        <v>2.4277879755725476</v>
      </c>
      <c r="L42" s="418">
        <f t="shared" si="0"/>
        <v>0</v>
      </c>
      <c r="M42" s="418">
        <f t="shared" si="0"/>
        <v>4.1746183054380426</v>
      </c>
      <c r="N42" s="418">
        <f t="shared" si="0"/>
        <v>4.1746183054380426</v>
      </c>
      <c r="O42" s="418">
        <f t="shared" si="0"/>
        <v>0</v>
      </c>
      <c r="P42" s="418">
        <f t="shared" si="0"/>
        <v>16.019704784476133</v>
      </c>
      <c r="Q42" s="418">
        <f t="shared" si="0"/>
        <v>25.779541777058597</v>
      </c>
      <c r="R42" s="418">
        <f t="shared" si="0"/>
        <v>0</v>
      </c>
      <c r="S42" s="418">
        <f t="shared" si="0"/>
        <v>2.4277879755725476</v>
      </c>
      <c r="T42" s="418">
        <f t="shared" si="0"/>
        <v>4.1746183054380426</v>
      </c>
      <c r="U42" s="418">
        <f t="shared" si="0"/>
        <v>16.485812680056686</v>
      </c>
      <c r="V42" s="418">
        <f t="shared" si="0"/>
        <v>25.779541777058597</v>
      </c>
      <c r="W42" s="418">
        <f t="shared" si="0"/>
        <v>0</v>
      </c>
      <c r="X42" s="418">
        <f t="shared" si="0"/>
        <v>0</v>
      </c>
      <c r="Y42" s="418">
        <f t="shared" si="0"/>
        <v>0</v>
      </c>
      <c r="Z42" s="418">
        <f t="shared" si="0"/>
        <v>0</v>
      </c>
      <c r="AA42" s="418">
        <f t="shared" si="0"/>
        <v>0</v>
      </c>
      <c r="AB42" s="418">
        <f t="shared" si="0"/>
        <v>0</v>
      </c>
      <c r="AC42" s="418">
        <f t="shared" si="0"/>
        <v>0</v>
      </c>
      <c r="AD42" s="418">
        <f t="shared" si="0"/>
        <v>0</v>
      </c>
      <c r="AE42" s="418">
        <f t="shared" si="0"/>
        <v>0</v>
      </c>
      <c r="AF42" s="418">
        <f t="shared" si="0"/>
        <v>0</v>
      </c>
      <c r="AG42" s="418">
        <f t="shared" si="0"/>
        <v>0</v>
      </c>
      <c r="AH42" s="418">
        <f t="shared" si="0"/>
        <v>0</v>
      </c>
      <c r="AI42" s="418">
        <f t="shared" si="0"/>
        <v>0</v>
      </c>
      <c r="AJ42" s="418">
        <f t="shared" si="0"/>
        <v>0</v>
      </c>
      <c r="AK42" s="418">
        <f t="shared" si="0"/>
        <v>0</v>
      </c>
      <c r="AL42" s="418">
        <f t="shared" si="0"/>
        <v>0</v>
      </c>
      <c r="AM42" s="418">
        <f t="shared" si="0"/>
        <v>0</v>
      </c>
      <c r="AN42" s="418">
        <f t="shared" si="0"/>
        <v>0</v>
      </c>
      <c r="AO42" s="418">
        <f t="shared" si="0"/>
        <v>0</v>
      </c>
      <c r="AP42" s="418">
        <f t="shared" si="0"/>
        <v>0</v>
      </c>
    </row>
    <row r="43" spans="1:44" x14ac:dyDescent="0.25">
      <c r="A43" s="338"/>
      <c r="D43" s="88"/>
      <c r="E43" s="89"/>
      <c r="F43" s="176" t="s">
        <v>140</v>
      </c>
      <c r="G43" s="339" t="s">
        <v>382</v>
      </c>
      <c r="H43" s="205"/>
      <c r="I43" s="339"/>
      <c r="J43" s="420">
        <f t="shared" ref="J43:AP43" si="1">J26 * $H$35 / days_in_year * hundred</f>
        <v>0</v>
      </c>
      <c r="K43" s="420">
        <f t="shared" si="1"/>
        <v>0</v>
      </c>
      <c r="L43" s="420">
        <f t="shared" si="1"/>
        <v>0</v>
      </c>
      <c r="M43" s="420">
        <f t="shared" si="1"/>
        <v>0</v>
      </c>
      <c r="N43" s="420">
        <f t="shared" si="1"/>
        <v>0</v>
      </c>
      <c r="O43" s="420">
        <f t="shared" si="1"/>
        <v>0</v>
      </c>
      <c r="P43" s="420">
        <f t="shared" si="1"/>
        <v>0</v>
      </c>
      <c r="Q43" s="420">
        <f t="shared" si="1"/>
        <v>0</v>
      </c>
      <c r="R43" s="420">
        <f t="shared" si="1"/>
        <v>147.36429719068178</v>
      </c>
      <c r="S43" s="420">
        <f t="shared" si="1"/>
        <v>0</v>
      </c>
      <c r="T43" s="420">
        <f t="shared" si="1"/>
        <v>0</v>
      </c>
      <c r="U43" s="420">
        <f t="shared" si="1"/>
        <v>0</v>
      </c>
      <c r="V43" s="420">
        <f t="shared" si="1"/>
        <v>0</v>
      </c>
      <c r="W43" s="420">
        <f t="shared" si="1"/>
        <v>147.36429719068178</v>
      </c>
      <c r="X43" s="420">
        <f t="shared" si="1"/>
        <v>0</v>
      </c>
      <c r="Y43" s="420">
        <f t="shared" si="1"/>
        <v>0</v>
      </c>
      <c r="Z43" s="420">
        <f t="shared" si="1"/>
        <v>0</v>
      </c>
      <c r="AA43" s="420">
        <f t="shared" si="1"/>
        <v>0</v>
      </c>
      <c r="AB43" s="420">
        <f t="shared" si="1"/>
        <v>0</v>
      </c>
      <c r="AC43" s="420">
        <f t="shared" si="1"/>
        <v>0</v>
      </c>
      <c r="AD43" s="420">
        <f t="shared" si="1"/>
        <v>0</v>
      </c>
      <c r="AE43" s="420">
        <f t="shared" si="1"/>
        <v>0</v>
      </c>
      <c r="AF43" s="420">
        <f t="shared" si="1"/>
        <v>0</v>
      </c>
      <c r="AG43" s="420">
        <f t="shared" si="1"/>
        <v>0</v>
      </c>
      <c r="AH43" s="420">
        <f t="shared" si="1"/>
        <v>0</v>
      </c>
      <c r="AI43" s="420">
        <f t="shared" si="1"/>
        <v>0</v>
      </c>
      <c r="AJ43" s="420">
        <f t="shared" si="1"/>
        <v>0</v>
      </c>
      <c r="AK43" s="420">
        <f t="shared" si="1"/>
        <v>0</v>
      </c>
      <c r="AL43" s="420">
        <f t="shared" si="1"/>
        <v>0</v>
      </c>
      <c r="AM43" s="420">
        <f t="shared" si="1"/>
        <v>242.78017970172101</v>
      </c>
      <c r="AN43" s="420">
        <f t="shared" si="1"/>
        <v>242.78017970172101</v>
      </c>
      <c r="AO43" s="420">
        <f t="shared" si="1"/>
        <v>242.78017970172101</v>
      </c>
      <c r="AP43" s="420">
        <f t="shared" si="1"/>
        <v>242.78017970172101</v>
      </c>
    </row>
    <row r="44" spans="1:44" x14ac:dyDescent="0.25">
      <c r="A44" s="338"/>
      <c r="D44" s="88"/>
      <c r="E44" s="89"/>
      <c r="F44" s="168" t="s">
        <v>559</v>
      </c>
      <c r="G44" s="168" t="s">
        <v>201</v>
      </c>
      <c r="H44" s="574"/>
      <c r="I44" s="574"/>
      <c r="J44" s="579"/>
      <c r="K44" s="579"/>
      <c r="L44" s="579"/>
      <c r="M44" s="579"/>
      <c r="N44" s="579"/>
      <c r="O44" s="579"/>
      <c r="P44" s="579"/>
      <c r="Q44" s="579"/>
      <c r="R44" s="579"/>
      <c r="S44" s="579"/>
      <c r="T44" s="579"/>
      <c r="U44" s="579"/>
      <c r="V44" s="579"/>
      <c r="W44" s="579"/>
      <c r="X44" s="580">
        <f>X27*$H$35/ten</f>
        <v>1.4674776072942719</v>
      </c>
      <c r="Y44" s="580">
        <f>Y27*$H$35/ten</f>
        <v>1.4674776072942719</v>
      </c>
      <c r="Z44" s="580">
        <f>Z27*$H$35/ten</f>
        <v>1.4674776072942719</v>
      </c>
      <c r="AA44" s="580">
        <f>AA27*$H$35/ten</f>
        <v>1.4674776072942719</v>
      </c>
      <c r="AB44" s="580">
        <f>AB27*$H$35/ten</f>
        <v>1.4674776072942719</v>
      </c>
      <c r="AC44" s="579"/>
      <c r="AD44" s="579"/>
      <c r="AE44" s="579"/>
      <c r="AF44" s="579"/>
      <c r="AG44" s="579"/>
      <c r="AH44" s="579"/>
      <c r="AI44" s="579"/>
      <c r="AJ44" s="579"/>
      <c r="AK44" s="579"/>
      <c r="AL44" s="579"/>
      <c r="AM44" s="579"/>
      <c r="AN44" s="579"/>
      <c r="AO44" s="579"/>
      <c r="AP44" s="579"/>
      <c r="AQ44" s="571"/>
      <c r="AR44" s="571"/>
    </row>
    <row r="45" spans="1:44" x14ac:dyDescent="0.25">
      <c r="D45" s="89"/>
      <c r="E45" s="88"/>
      <c r="F45" s="160"/>
    </row>
    <row r="46" spans="1:44" s="160" customFormat="1" x14ac:dyDescent="0.25">
      <c r="B46" s="171" t="s">
        <v>126</v>
      </c>
      <c r="C46" s="171"/>
      <c r="D46" s="171"/>
      <c r="E46" s="171"/>
      <c r="F46" s="171"/>
      <c r="G46" s="171"/>
      <c r="H46" s="171"/>
      <c r="I46" s="171"/>
      <c r="J46" s="171"/>
      <c r="K46" s="171"/>
      <c r="L46" s="171"/>
      <c r="M46" s="171"/>
      <c r="N46" s="171"/>
      <c r="O46" s="171"/>
      <c r="P46" s="171"/>
      <c r="Q46" s="171"/>
      <c r="R46" s="171"/>
      <c r="S46" s="171"/>
      <c r="T46" s="171"/>
      <c r="U46" s="171"/>
      <c r="V46" s="171"/>
      <c r="W46" s="171"/>
      <c r="X46" s="171"/>
      <c r="Y46" s="171"/>
      <c r="Z46" s="171"/>
      <c r="AA46" s="171"/>
      <c r="AB46" s="171"/>
      <c r="AC46" s="171"/>
      <c r="AD46" s="171"/>
      <c r="AE46" s="171"/>
      <c r="AF46" s="171"/>
      <c r="AG46" s="171"/>
      <c r="AH46" s="171"/>
      <c r="AI46" s="171"/>
      <c r="AJ46" s="171"/>
      <c r="AK46" s="171"/>
      <c r="AL46" s="171"/>
      <c r="AM46" s="171"/>
      <c r="AN46" s="171"/>
      <c r="AO46" s="171"/>
      <c r="AP46" s="171"/>
      <c r="AQ46" s="171"/>
      <c r="AR46" s="171"/>
    </row>
    <row r="47" spans="1:44" s="160" customFormat="1" x14ac:dyDescent="0.25">
      <c r="D47" s="175"/>
      <c r="E47" s="175"/>
    </row>
    <row r="48" spans="1:44" s="160" customFormat="1" x14ac:dyDescent="0.25">
      <c r="D48" s="175"/>
      <c r="E48" s="160" t="s">
        <v>622</v>
      </c>
      <c r="G48" s="111" t="s">
        <v>814</v>
      </c>
      <c r="H48" s="362">
        <f t="array" ref="H48">SUM(IF(ISERROR(H19:AP45), 1))</f>
        <v>0</v>
      </c>
    </row>
    <row r="49" spans="2:44" s="160" customFormat="1" x14ac:dyDescent="0.25">
      <c r="D49" s="175"/>
      <c r="E49" s="175"/>
    </row>
    <row r="50" spans="2:44" x14ac:dyDescent="0.25">
      <c r="B50" s="6" t="s">
        <v>127</v>
      </c>
      <c r="C50" s="6"/>
      <c r="D50" s="61"/>
      <c r="E50" s="148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135"/>
      <c r="AR50" s="135"/>
    </row>
  </sheetData>
  <sheetProtection sheet="1" objects="1" formatCells="0" formatColumns="0" formatRows="0" sort="0" autoFilter="0"/>
  <conditionalFormatting sqref="H48">
    <cfRule type="cellIs" dxfId="25" priority="2" operator="greaterThan">
      <formula>0</formula>
    </cfRule>
  </conditionalFormatting>
  <conditionalFormatting sqref="A4:XFD4">
    <cfRule type="expression" dxfId="24" priority="1">
      <formula>LEFT($A$4,1) &lt;&gt; "0"</formula>
    </cfRule>
  </conditionalFormatting>
  <hyperlinks>
    <hyperlink ref="B5:F5" location="'Model map'!A1" display="Click here to return to model map"/>
  </hyperlinks>
  <pageMargins left="0.7" right="0.7" top="0.75" bottom="0.75" header="0.3" footer="0.3"/>
  <pageSetup paperSize="9" scale="32" fitToHeight="0" orientation="portrait" r:id="rId1"/>
  <headerFooter>
    <oddHeader>&amp;L&amp;A&amp;C&amp;R&amp;P of &amp;N</oddHeader>
    <oddFooter>&amp;F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theme="4" tint="0.59999389629810485"/>
    <pageSetUpPr fitToPage="1"/>
  </sheetPr>
  <dimension ref="A1:KJ261"/>
  <sheetViews>
    <sheetView showGridLines="0" zoomScale="80" zoomScaleNormal="80" workbookViewId="0">
      <pane xSplit="9" ySplit="5" topLeftCell="J6" activePane="bottomRight" state="frozen"/>
      <selection activeCell="AR1" sqref="AR1:AR1048576"/>
      <selection pane="topRight" activeCell="AR1" sqref="AR1:AR1048576"/>
      <selection pane="bottomLeft" activeCell="AR1" sqref="AR1:AR1048576"/>
      <selection pane="bottomRight" activeCell="J6" sqref="J6"/>
    </sheetView>
  </sheetViews>
  <sheetFormatPr defaultColWidth="0" defaultRowHeight="15" x14ac:dyDescent="0.25"/>
  <cols>
    <col min="1" max="3" width="2.7109375" style="88" customWidth="1"/>
    <col min="4" max="4" width="2.7109375" style="91" customWidth="1"/>
    <col min="5" max="5" width="2.7109375" style="175" customWidth="1"/>
    <col min="6" max="6" width="59.5703125" style="88" customWidth="1"/>
    <col min="7" max="8" width="20.7109375" style="88" customWidth="1"/>
    <col min="9" max="9" width="2.28515625" style="88" customWidth="1"/>
    <col min="10" max="42" width="17" style="88" customWidth="1"/>
    <col min="43" max="43" width="2.28515625" style="88" customWidth="1"/>
    <col min="44" max="44" width="50.7109375" style="88" customWidth="1"/>
    <col min="45" max="45" width="2.28515625" style="88" customWidth="1"/>
    <col min="46" max="46" width="24.5703125" style="88" hidden="1" customWidth="1"/>
    <col min="47" max="47" width="3.5703125" style="88" hidden="1" customWidth="1"/>
    <col min="48" max="48" width="15.42578125" style="88" hidden="1" customWidth="1"/>
    <col min="49" max="296" width="24.5703125" style="88" hidden="1" customWidth="1"/>
    <col min="297" max="16384" width="8.7109375" style="88" hidden="1"/>
  </cols>
  <sheetData>
    <row r="1" spans="1:97" s="25" customFormat="1" x14ac:dyDescent="0.25">
      <c r="A1" s="25" t="str">
        <f ca="1">MID(CELL("filename",A1),FIND("]",CELL("filename",A1))+1,255)</f>
        <v>Unit rate charges</v>
      </c>
    </row>
    <row r="2" spans="1:97" s="25" customFormat="1" x14ac:dyDescent="0.25">
      <c r="A2" s="25" t="str">
        <f>Cover!D21&amp;" - "&amp;Cover!D23</f>
        <v>SEPD - Final</v>
      </c>
    </row>
    <row r="3" spans="1:97" s="97" customFormat="1" x14ac:dyDescent="0.25">
      <c r="A3" s="97" t="str">
        <f>Cover!D2&amp;" - "&amp;Cover!D8&amp;" v"&amp;Cover!D10&amp;" - "&amp;Cover!D19</f>
        <v>ARP model - Release for charge setting v3 - 2020/21</v>
      </c>
    </row>
    <row r="4" spans="1:97" s="338" customFormat="1" x14ac:dyDescent="0.25">
      <c r="A4" s="392" t="str">
        <f>H223 &amp; IF(H223 = 1, " issue", " issues") &amp;" identified in checks on this sheet"</f>
        <v>0 issues identified in checks on this sheet</v>
      </c>
      <c r="B4" s="393"/>
      <c r="C4" s="393"/>
      <c r="D4" s="393"/>
      <c r="E4" s="393"/>
      <c r="F4" s="393"/>
      <c r="G4" s="393"/>
      <c r="H4" s="394"/>
      <c r="I4" s="394"/>
      <c r="J4" s="393"/>
      <c r="K4" s="383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3"/>
      <c r="AD4" s="383"/>
      <c r="AE4" s="383"/>
      <c r="AF4" s="383"/>
      <c r="AG4" s="383"/>
      <c r="AH4" s="383"/>
      <c r="AI4" s="383"/>
      <c r="AJ4" s="383"/>
      <c r="AK4" s="383"/>
      <c r="AL4" s="383"/>
      <c r="AM4" s="383"/>
      <c r="AN4" s="383"/>
      <c r="AO4" s="383"/>
      <c r="AP4" s="383"/>
      <c r="AQ4" s="383"/>
      <c r="AR4" s="383"/>
      <c r="AS4" s="383"/>
      <c r="AT4" s="383"/>
      <c r="AU4" s="383"/>
      <c r="AV4" s="383"/>
      <c r="AW4" s="383"/>
      <c r="AX4" s="383"/>
      <c r="AY4" s="383"/>
      <c r="AZ4" s="383"/>
      <c r="BA4" s="383"/>
      <c r="BB4" s="383"/>
      <c r="BC4" s="383"/>
      <c r="BD4" s="383"/>
      <c r="BE4" s="383"/>
      <c r="BF4" s="383"/>
      <c r="BG4" s="383"/>
      <c r="BH4" s="383"/>
      <c r="BI4" s="383"/>
      <c r="BJ4" s="383"/>
      <c r="BK4" s="383"/>
      <c r="BL4" s="383"/>
      <c r="BM4" s="383"/>
      <c r="BN4" s="383"/>
      <c r="BO4" s="383"/>
      <c r="BP4" s="383"/>
      <c r="BQ4" s="383"/>
      <c r="BR4" s="383"/>
      <c r="BS4" s="383"/>
      <c r="BT4" s="383"/>
      <c r="BU4" s="383"/>
      <c r="BV4" s="383"/>
      <c r="BW4" s="383"/>
      <c r="BX4" s="383"/>
      <c r="BY4" s="383"/>
      <c r="BZ4" s="383"/>
      <c r="CA4" s="383"/>
      <c r="CB4" s="383"/>
      <c r="CC4" s="383"/>
      <c r="CD4" s="383"/>
      <c r="CE4" s="383"/>
      <c r="CF4" s="383"/>
      <c r="CG4" s="383"/>
      <c r="CH4" s="383"/>
      <c r="CI4" s="383"/>
      <c r="CJ4" s="383"/>
      <c r="CK4" s="383"/>
      <c r="CL4" s="383"/>
      <c r="CM4" s="383"/>
      <c r="CN4" s="383"/>
      <c r="CO4" s="383"/>
      <c r="CP4" s="383"/>
      <c r="CQ4" s="383"/>
      <c r="CR4" s="383"/>
      <c r="CS4" s="383"/>
    </row>
    <row r="5" spans="1:97" ht="60" x14ac:dyDescent="0.25">
      <c r="B5" s="244" t="s">
        <v>667</v>
      </c>
      <c r="C5" s="24"/>
      <c r="D5" s="24"/>
      <c r="E5" s="24"/>
      <c r="F5" s="24"/>
      <c r="G5" s="1" t="s">
        <v>108</v>
      </c>
      <c r="H5" s="2" t="s">
        <v>109</v>
      </c>
      <c r="I5" s="200"/>
      <c r="J5" s="2" t="s">
        <v>52</v>
      </c>
      <c r="K5" s="2" t="s">
        <v>53</v>
      </c>
      <c r="L5" s="2" t="s">
        <v>84</v>
      </c>
      <c r="M5" s="2" t="s">
        <v>54</v>
      </c>
      <c r="N5" s="2" t="s">
        <v>55</v>
      </c>
      <c r="O5" s="2" t="s">
        <v>85</v>
      </c>
      <c r="P5" s="2" t="s">
        <v>56</v>
      </c>
      <c r="Q5" s="2" t="s">
        <v>57</v>
      </c>
      <c r="R5" s="2" t="s">
        <v>72</v>
      </c>
      <c r="S5" s="2" t="s">
        <v>58</v>
      </c>
      <c r="T5" s="2" t="s">
        <v>59</v>
      </c>
      <c r="U5" s="2" t="s">
        <v>60</v>
      </c>
      <c r="V5" s="2" t="s">
        <v>61</v>
      </c>
      <c r="W5" s="2" t="s">
        <v>73</v>
      </c>
      <c r="X5" s="2" t="s">
        <v>86</v>
      </c>
      <c r="Y5" s="2" t="s">
        <v>87</v>
      </c>
      <c r="Z5" s="2" t="s">
        <v>88</v>
      </c>
      <c r="AA5" s="2" t="s">
        <v>89</v>
      </c>
      <c r="AB5" s="2" t="s">
        <v>90</v>
      </c>
      <c r="AC5" s="2" t="s">
        <v>62</v>
      </c>
      <c r="AD5" s="2" t="s">
        <v>63</v>
      </c>
      <c r="AE5" s="2" t="s">
        <v>64</v>
      </c>
      <c r="AF5" s="2" t="s">
        <v>65</v>
      </c>
      <c r="AG5" s="2" t="s">
        <v>66</v>
      </c>
      <c r="AH5" s="2" t="s">
        <v>67</v>
      </c>
      <c r="AI5" s="2" t="s">
        <v>68</v>
      </c>
      <c r="AJ5" s="2" t="s">
        <v>69</v>
      </c>
      <c r="AK5" s="2" t="s">
        <v>70</v>
      </c>
      <c r="AL5" s="2" t="s">
        <v>71</v>
      </c>
      <c r="AM5" s="2" t="s">
        <v>74</v>
      </c>
      <c r="AN5" s="2" t="s">
        <v>75</v>
      </c>
      <c r="AO5" s="2" t="s">
        <v>76</v>
      </c>
      <c r="AP5" s="2" t="s">
        <v>77</v>
      </c>
      <c r="AR5" s="1" t="s">
        <v>110</v>
      </c>
    </row>
    <row r="7" spans="1:97" x14ac:dyDescent="0.25">
      <c r="B7" s="171" t="s">
        <v>107</v>
      </c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</row>
    <row r="9" spans="1:97" x14ac:dyDescent="0.25">
      <c r="C9" s="152" t="s">
        <v>564</v>
      </c>
      <c r="D9" s="160"/>
    </row>
    <row r="10" spans="1:97" s="160" customFormat="1" x14ac:dyDescent="0.25">
      <c r="C10" s="152" t="s">
        <v>565</v>
      </c>
    </row>
    <row r="11" spans="1:97" s="160" customFormat="1" x14ac:dyDescent="0.25">
      <c r="C11" s="152" t="s">
        <v>567</v>
      </c>
    </row>
    <row r="12" spans="1:97" x14ac:dyDescent="0.25">
      <c r="C12" s="152" t="s">
        <v>566</v>
      </c>
    </row>
    <row r="13" spans="1:97" x14ac:dyDescent="0.25">
      <c r="C13" s="152" t="s">
        <v>568</v>
      </c>
      <c r="D13" s="160"/>
    </row>
    <row r="14" spans="1:97" x14ac:dyDescent="0.25">
      <c r="A14" s="131"/>
    </row>
    <row r="15" spans="1:97" s="131" customFormat="1" x14ac:dyDescent="0.25">
      <c r="B15" s="171" t="s">
        <v>906</v>
      </c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1"/>
      <c r="W15" s="171"/>
      <c r="X15" s="171"/>
      <c r="Y15" s="171"/>
      <c r="Z15" s="171"/>
      <c r="AA15" s="171"/>
      <c r="AB15" s="171"/>
      <c r="AC15" s="171"/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</row>
    <row r="16" spans="1:97" s="160" customFormat="1" x14ac:dyDescent="0.25">
      <c r="D16" s="175"/>
      <c r="E16" s="175"/>
    </row>
    <row r="17" spans="3:44" s="131" customFormat="1" x14ac:dyDescent="0.25">
      <c r="C17" s="152" t="s">
        <v>626</v>
      </c>
      <c r="D17" s="147"/>
      <c r="E17" s="175"/>
    </row>
    <row r="18" spans="3:44" s="160" customFormat="1" x14ac:dyDescent="0.25">
      <c r="D18" s="175"/>
      <c r="E18" s="175"/>
    </row>
    <row r="19" spans="3:44" s="131" customFormat="1" x14ac:dyDescent="0.25">
      <c r="C19" s="22" t="str">
        <f ca="1">INDEX('Version control'!$H$34:$H$59,MATCH($A$1,'Version control'!$F$34:$F$59,0),1)&amp;"-A: Initial unit rate 1"</f>
        <v>Section 514-A: Initial unit rate 1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</row>
    <row r="20" spans="3:44" s="160" customFormat="1" x14ac:dyDescent="0.25">
      <c r="C20" s="172"/>
      <c r="E20" s="172"/>
    </row>
    <row r="21" spans="3:44" s="131" customFormat="1" x14ac:dyDescent="0.25">
      <c r="E21" s="172" t="s">
        <v>156</v>
      </c>
      <c r="F21" s="160"/>
    </row>
    <row r="22" spans="3:44" s="131" customFormat="1" x14ac:dyDescent="0.25">
      <c r="E22" s="175"/>
      <c r="F22" s="180" t="s">
        <v>397</v>
      </c>
      <c r="G22" s="137" t="s">
        <v>201</v>
      </c>
      <c r="H22" s="569"/>
      <c r="I22" s="569"/>
      <c r="J22" s="581">
        <f>'Initial unit rates'!J152</f>
        <v>0</v>
      </c>
      <c r="K22" s="581">
        <f>'Initial unit rates'!K152</f>
        <v>0</v>
      </c>
      <c r="L22" s="581">
        <f>'Initial unit rates'!L152</f>
        <v>0</v>
      </c>
      <c r="M22" s="581">
        <f>'Initial unit rates'!M152</f>
        <v>0</v>
      </c>
      <c r="N22" s="581">
        <f>'Initial unit rates'!N152</f>
        <v>0</v>
      </c>
      <c r="O22" s="581">
        <f>'Initial unit rates'!O152</f>
        <v>0</v>
      </c>
      <c r="P22" s="581">
        <f>'Initial unit rates'!P152</f>
        <v>0</v>
      </c>
      <c r="Q22" s="581">
        <f>'Initial unit rates'!Q152</f>
        <v>0</v>
      </c>
      <c r="R22" s="581">
        <f>'Initial unit rates'!R152</f>
        <v>0</v>
      </c>
      <c r="S22" s="581">
        <f>'Initial unit rates'!S152</f>
        <v>0</v>
      </c>
      <c r="T22" s="581">
        <f>'Initial unit rates'!T152</f>
        <v>0</v>
      </c>
      <c r="U22" s="581">
        <f>'Initial unit rates'!U152</f>
        <v>0</v>
      </c>
      <c r="V22" s="581">
        <f>'Initial unit rates'!V152</f>
        <v>0</v>
      </c>
      <c r="W22" s="581">
        <f>'Initial unit rates'!W152</f>
        <v>0</v>
      </c>
      <c r="X22" s="581">
        <f>'Initial unit rates'!X152</f>
        <v>0</v>
      </c>
      <c r="Y22" s="581">
        <f>'Initial unit rates'!Y152</f>
        <v>0</v>
      </c>
      <c r="Z22" s="581">
        <f>'Initial unit rates'!Z152</f>
        <v>0</v>
      </c>
      <c r="AA22" s="581">
        <f>'Initial unit rates'!AA152</f>
        <v>0</v>
      </c>
      <c r="AB22" s="581">
        <f>'Initial unit rates'!AB152</f>
        <v>0</v>
      </c>
      <c r="AC22" s="581">
        <f>'Initial unit rates'!AC152</f>
        <v>0</v>
      </c>
      <c r="AD22" s="581">
        <f>'Initial unit rates'!AD152</f>
        <v>0</v>
      </c>
      <c r="AE22" s="581">
        <f>'Initial unit rates'!AE152</f>
        <v>0</v>
      </c>
      <c r="AF22" s="581">
        <f>'Initial unit rates'!AF152</f>
        <v>0</v>
      </c>
      <c r="AG22" s="581">
        <f>'Initial unit rates'!AG152</f>
        <v>0</v>
      </c>
      <c r="AH22" s="581">
        <f>'Initial unit rates'!AH152</f>
        <v>0</v>
      </c>
      <c r="AI22" s="581">
        <f>'Initial unit rates'!AI152</f>
        <v>0</v>
      </c>
      <c r="AJ22" s="581">
        <f>'Initial unit rates'!AJ152</f>
        <v>0</v>
      </c>
      <c r="AK22" s="581">
        <f>'Initial unit rates'!AK152</f>
        <v>0</v>
      </c>
      <c r="AL22" s="581">
        <f>'Initial unit rates'!AL152</f>
        <v>0</v>
      </c>
      <c r="AM22" s="581">
        <f>'Initial unit rates'!AM152</f>
        <v>0</v>
      </c>
      <c r="AN22" s="581">
        <f>'Initial unit rates'!AN152</f>
        <v>0</v>
      </c>
      <c r="AO22" s="581">
        <f>'Initial unit rates'!AO152</f>
        <v>0</v>
      </c>
      <c r="AP22" s="581">
        <f>'Initial unit rates'!AP152</f>
        <v>0</v>
      </c>
      <c r="AQ22" s="571"/>
      <c r="AR22" s="571"/>
    </row>
    <row r="23" spans="3:44" s="131" customFormat="1" x14ac:dyDescent="0.25">
      <c r="E23" s="175"/>
      <c r="F23" s="176" t="s">
        <v>43</v>
      </c>
      <c r="G23" s="139" t="s">
        <v>201</v>
      </c>
      <c r="H23" s="572"/>
      <c r="I23" s="572"/>
      <c r="J23" s="582">
        <f>'Initial unit rates'!J153</f>
        <v>0</v>
      </c>
      <c r="K23" s="582">
        <f>'Initial unit rates'!K153</f>
        <v>0</v>
      </c>
      <c r="L23" s="582">
        <f>'Initial unit rates'!L153</f>
        <v>0</v>
      </c>
      <c r="M23" s="582">
        <f>'Initial unit rates'!M153</f>
        <v>0</v>
      </c>
      <c r="N23" s="582">
        <f>'Initial unit rates'!N153</f>
        <v>0</v>
      </c>
      <c r="O23" s="582">
        <f>'Initial unit rates'!O153</f>
        <v>0</v>
      </c>
      <c r="P23" s="582">
        <f>'Initial unit rates'!P153</f>
        <v>0</v>
      </c>
      <c r="Q23" s="582">
        <f>'Initial unit rates'!Q153</f>
        <v>0</v>
      </c>
      <c r="R23" s="582">
        <f>'Initial unit rates'!R153</f>
        <v>0</v>
      </c>
      <c r="S23" s="582">
        <f>'Initial unit rates'!S153</f>
        <v>0</v>
      </c>
      <c r="T23" s="582">
        <f>'Initial unit rates'!T153</f>
        <v>0</v>
      </c>
      <c r="U23" s="582">
        <f>'Initial unit rates'!U153</f>
        <v>0</v>
      </c>
      <c r="V23" s="582">
        <f>'Initial unit rates'!V153</f>
        <v>0</v>
      </c>
      <c r="W23" s="582">
        <f>'Initial unit rates'!W153</f>
        <v>0</v>
      </c>
      <c r="X23" s="582">
        <f>'Initial unit rates'!X153</f>
        <v>0</v>
      </c>
      <c r="Y23" s="582">
        <f>'Initial unit rates'!Y153</f>
        <v>0</v>
      </c>
      <c r="Z23" s="582">
        <f>'Initial unit rates'!Z153</f>
        <v>0</v>
      </c>
      <c r="AA23" s="582">
        <f>'Initial unit rates'!AA153</f>
        <v>0</v>
      </c>
      <c r="AB23" s="582">
        <f>'Initial unit rates'!AB153</f>
        <v>0</v>
      </c>
      <c r="AC23" s="582">
        <f>'Initial unit rates'!AC153</f>
        <v>0</v>
      </c>
      <c r="AD23" s="582">
        <f>'Initial unit rates'!AD153</f>
        <v>0</v>
      </c>
      <c r="AE23" s="582">
        <f>'Initial unit rates'!AE153</f>
        <v>0</v>
      </c>
      <c r="AF23" s="582">
        <f>'Initial unit rates'!AF153</f>
        <v>0</v>
      </c>
      <c r="AG23" s="582">
        <f>'Initial unit rates'!AG153</f>
        <v>0</v>
      </c>
      <c r="AH23" s="582">
        <f>'Initial unit rates'!AH153</f>
        <v>0</v>
      </c>
      <c r="AI23" s="582">
        <f>'Initial unit rates'!AI153</f>
        <v>0</v>
      </c>
      <c r="AJ23" s="582">
        <f>'Initial unit rates'!AJ153</f>
        <v>0</v>
      </c>
      <c r="AK23" s="582">
        <f>'Initial unit rates'!AK153</f>
        <v>0</v>
      </c>
      <c r="AL23" s="582">
        <f>'Initial unit rates'!AL153</f>
        <v>0</v>
      </c>
      <c r="AM23" s="582">
        <f>'Initial unit rates'!AM153</f>
        <v>0</v>
      </c>
      <c r="AN23" s="582">
        <f>'Initial unit rates'!AN153</f>
        <v>0</v>
      </c>
      <c r="AO23" s="582">
        <f>'Initial unit rates'!AO153</f>
        <v>0</v>
      </c>
      <c r="AP23" s="582">
        <f>'Initial unit rates'!AP153</f>
        <v>0</v>
      </c>
      <c r="AQ23" s="571"/>
      <c r="AR23" s="571"/>
    </row>
    <row r="24" spans="3:44" s="131" customFormat="1" x14ac:dyDescent="0.25">
      <c r="E24" s="175"/>
      <c r="F24" s="176" t="s">
        <v>44</v>
      </c>
      <c r="G24" s="139" t="s">
        <v>201</v>
      </c>
      <c r="H24" s="572"/>
      <c r="I24" s="572"/>
      <c r="J24" s="582">
        <f>'Initial unit rates'!J154</f>
        <v>0.27801044041923445</v>
      </c>
      <c r="K24" s="582">
        <f>'Initial unit rates'!K154</f>
        <v>0.36138231639141377</v>
      </c>
      <c r="L24" s="582">
        <f>'Initial unit rates'!L154</f>
        <v>1.7758886324595539E-2</v>
      </c>
      <c r="M24" s="582">
        <f>'Initial unit rates'!M154</f>
        <v>0.23410952363691998</v>
      </c>
      <c r="N24" s="582">
        <f>'Initial unit rates'!N154</f>
        <v>0.38529581449629025</v>
      </c>
      <c r="O24" s="582">
        <f>'Initial unit rates'!O154</f>
        <v>4.6000732839739288E-2</v>
      </c>
      <c r="P24" s="582">
        <f>'Initial unit rates'!P154</f>
        <v>0.19108834733277658</v>
      </c>
      <c r="Q24" s="582">
        <f>'Initial unit rates'!Q154</f>
        <v>0.17151662241051926</v>
      </c>
      <c r="R24" s="582">
        <f>'Initial unit rates'!R154</f>
        <v>0.18602509447662371</v>
      </c>
      <c r="S24" s="582">
        <f>'Initial unit rates'!S154</f>
        <v>1.8156234430723099</v>
      </c>
      <c r="T24" s="582">
        <f>'Initial unit rates'!T154</f>
        <v>1.9161073283401708</v>
      </c>
      <c r="U24" s="582">
        <f>'Initial unit rates'!U154</f>
        <v>1.4320018844519327</v>
      </c>
      <c r="V24" s="582">
        <f>'Initial unit rates'!V154</f>
        <v>1.3300377601296169</v>
      </c>
      <c r="W24" s="582">
        <f>'Initial unit rates'!W154</f>
        <v>1.192555565625528</v>
      </c>
      <c r="X24" s="582">
        <f>'Initial unit rates'!X154</f>
        <v>0.12375507680655098</v>
      </c>
      <c r="Y24" s="582">
        <f>'Initial unit rates'!Y154</f>
        <v>0.15816910523910382</v>
      </c>
      <c r="Z24" s="582">
        <f>'Initial unit rates'!Z154</f>
        <v>0.30056105748276246</v>
      </c>
      <c r="AA24" s="582">
        <f>'Initial unit rates'!AA154</f>
        <v>0.1042373290505052</v>
      </c>
      <c r="AB24" s="582">
        <f>'Initial unit rates'!AB154</f>
        <v>2.4857848748036013</v>
      </c>
      <c r="AC24" s="582">
        <f>'Initial unit rates'!AC154</f>
        <v>-0.13198113630699326</v>
      </c>
      <c r="AD24" s="582">
        <f>'Initial unit rates'!AD154</f>
        <v>-0.12676975994225434</v>
      </c>
      <c r="AE24" s="582">
        <f>'Initial unit rates'!AE154</f>
        <v>-0.13198113630699326</v>
      </c>
      <c r="AF24" s="582">
        <f>'Initial unit rates'!AF154</f>
        <v>-0.13198113630699326</v>
      </c>
      <c r="AG24" s="582">
        <f>'Initial unit rates'!AG154</f>
        <v>-1.2012594088782145</v>
      </c>
      <c r="AH24" s="582">
        <f>'Initial unit rates'!AH154</f>
        <v>-1.2012594088782145</v>
      </c>
      <c r="AI24" s="582">
        <f>'Initial unit rates'!AI154</f>
        <v>-0.12676975994225434</v>
      </c>
      <c r="AJ24" s="582">
        <f>'Initial unit rates'!AJ154</f>
        <v>-0.12676975994225434</v>
      </c>
      <c r="AK24" s="582">
        <f>'Initial unit rates'!AK154</f>
        <v>-1.1538267600428032</v>
      </c>
      <c r="AL24" s="582">
        <f>'Initial unit rates'!AL154</f>
        <v>-1.1538267600428032</v>
      </c>
      <c r="AM24" s="582">
        <f>'Initial unit rates'!AM154</f>
        <v>-0.12495183795455467</v>
      </c>
      <c r="AN24" s="582">
        <f>'Initial unit rates'!AN154</f>
        <v>-0.12495183795455467</v>
      </c>
      <c r="AO24" s="582">
        <f>'Initial unit rates'!AO154</f>
        <v>-1.1372804871932407</v>
      </c>
      <c r="AP24" s="582">
        <f>'Initial unit rates'!AP154</f>
        <v>-1.1372804871932407</v>
      </c>
      <c r="AQ24" s="571"/>
      <c r="AR24" s="571"/>
    </row>
    <row r="25" spans="3:44" s="131" customFormat="1" x14ac:dyDescent="0.25">
      <c r="E25" s="175"/>
      <c r="F25" s="176" t="s">
        <v>45</v>
      </c>
      <c r="G25" s="139" t="s">
        <v>201</v>
      </c>
      <c r="H25" s="572"/>
      <c r="I25" s="572"/>
      <c r="J25" s="582">
        <f>'Initial unit rates'!J155</f>
        <v>7.737134026844053E-2</v>
      </c>
      <c r="K25" s="582">
        <f>'Initial unit rates'!K155</f>
        <v>0.1005740436450991</v>
      </c>
      <c r="L25" s="582">
        <f>'Initial unit rates'!L155</f>
        <v>4.942364159190667E-3</v>
      </c>
      <c r="M25" s="582">
        <f>'Initial unit rates'!M155</f>
        <v>6.5153551737409734E-2</v>
      </c>
      <c r="N25" s="582">
        <f>'Initial unit rates'!N155</f>
        <v>0.10722925916898739</v>
      </c>
      <c r="O25" s="582">
        <f>'Initial unit rates'!O155</f>
        <v>1.2802175154911385E-2</v>
      </c>
      <c r="P25" s="582">
        <f>'Initial unit rates'!P155</f>
        <v>5.3180598255673658E-2</v>
      </c>
      <c r="Q25" s="582">
        <f>'Initial unit rates'!Q155</f>
        <v>4.7733714367727692E-2</v>
      </c>
      <c r="R25" s="582">
        <f>'Initial unit rates'!R155</f>
        <v>5.1771476141382548E-2</v>
      </c>
      <c r="S25" s="582">
        <f>'Initial unit rates'!S155</f>
        <v>0.50529476159768771</v>
      </c>
      <c r="T25" s="582">
        <f>'Initial unit rates'!T155</f>
        <v>0.53325980084884217</v>
      </c>
      <c r="U25" s="582">
        <f>'Initial unit rates'!U155</f>
        <v>0.39853145407021562</v>
      </c>
      <c r="V25" s="582">
        <f>'Initial unit rates'!V155</f>
        <v>0.37015445878104997</v>
      </c>
      <c r="W25" s="582">
        <f>'Initial unit rates'!W155</f>
        <v>0.33189265236907811</v>
      </c>
      <c r="X25" s="582">
        <f>'Initial unit rates'!X155</f>
        <v>3.4441498467135206E-2</v>
      </c>
      <c r="Y25" s="582">
        <f>'Initial unit rates'!Y155</f>
        <v>4.4019050662108879E-2</v>
      </c>
      <c r="Z25" s="582">
        <f>'Initial unit rates'!Z155</f>
        <v>8.3647260926148367E-2</v>
      </c>
      <c r="AA25" s="582">
        <f>'Initial unit rates'!AA155</f>
        <v>2.9009636625438241E-2</v>
      </c>
      <c r="AB25" s="582">
        <f>'Initial unit rates'!AB155</f>
        <v>0.69180318225655324</v>
      </c>
      <c r="AC25" s="582">
        <f>'Initial unit rates'!AC155</f>
        <v>-3.6730841441871644E-2</v>
      </c>
      <c r="AD25" s="582">
        <f>'Initial unit rates'!AD155</f>
        <v>-3.5280496003854682E-2</v>
      </c>
      <c r="AE25" s="582">
        <f>'Initial unit rates'!AE155</f>
        <v>-3.6730841441871644E-2</v>
      </c>
      <c r="AF25" s="582">
        <f>'Initial unit rates'!AF155</f>
        <v>-3.6730841441871644E-2</v>
      </c>
      <c r="AG25" s="582">
        <f>'Initial unit rates'!AG155</f>
        <v>-0.33431496434028057</v>
      </c>
      <c r="AH25" s="582">
        <f>'Initial unit rates'!AH155</f>
        <v>-0.33431496434028057</v>
      </c>
      <c r="AI25" s="582">
        <f>'Initial unit rates'!AI155</f>
        <v>-3.5280496003854682E-2</v>
      </c>
      <c r="AJ25" s="582">
        <f>'Initial unit rates'!AJ155</f>
        <v>-3.5280496003854682E-2</v>
      </c>
      <c r="AK25" s="582">
        <f>'Initial unit rates'!AK155</f>
        <v>-0.32111428163446609</v>
      </c>
      <c r="AL25" s="582">
        <f>'Initial unit rates'!AL155</f>
        <v>-0.32111428163446609</v>
      </c>
      <c r="AM25" s="582">
        <f>'Initial unit rates'!AM155</f>
        <v>-3.4774561548732472E-2</v>
      </c>
      <c r="AN25" s="582">
        <f>'Initial unit rates'!AN155</f>
        <v>-3.4774561548732472E-2</v>
      </c>
      <c r="AO25" s="582">
        <f>'Initial unit rates'!AO155</f>
        <v>-0.31650939231848418</v>
      </c>
      <c r="AP25" s="582">
        <f>'Initial unit rates'!AP155</f>
        <v>-0.31650939231848418</v>
      </c>
      <c r="AQ25" s="571"/>
      <c r="AR25" s="571"/>
    </row>
    <row r="26" spans="3:44" s="131" customFormat="1" x14ac:dyDescent="0.25">
      <c r="E26" s="175"/>
      <c r="F26" s="176" t="s">
        <v>46</v>
      </c>
      <c r="G26" s="139" t="s">
        <v>201</v>
      </c>
      <c r="H26" s="572"/>
      <c r="I26" s="572"/>
      <c r="J26" s="582">
        <f>'Initial unit rates'!J156</f>
        <v>0.17610043674895778</v>
      </c>
      <c r="K26" s="582">
        <f>'Initial unit rates'!K156</f>
        <v>0.22646804302622184</v>
      </c>
      <c r="L26" s="582">
        <f>'Initial unit rates'!L156</f>
        <v>2.0646777707008779E-2</v>
      </c>
      <c r="M26" s="582">
        <f>'Initial unit rates'!M156</f>
        <v>0.15758344469698776</v>
      </c>
      <c r="N26" s="582">
        <f>'Initial unit rates'!N156</f>
        <v>0.24797970566064548</v>
      </c>
      <c r="O26" s="582">
        <f>'Initial unit rates'!O156</f>
        <v>3.5268106516932789E-2</v>
      </c>
      <c r="P26" s="582">
        <f>'Initial unit rates'!P156</f>
        <v>0.12586415981457538</v>
      </c>
      <c r="Q26" s="582">
        <f>'Initial unit rates'!Q156</f>
        <v>0.11306103768333418</v>
      </c>
      <c r="R26" s="582">
        <f>'Initial unit rates'!R156</f>
        <v>0.12083345096219407</v>
      </c>
      <c r="S26" s="582">
        <f>'Initial unit rates'!S156</f>
        <v>0.95028430752168003</v>
      </c>
      <c r="T26" s="582">
        <f>'Initial unit rates'!T156</f>
        <v>1.0030552594466375</v>
      </c>
      <c r="U26" s="582">
        <f>'Initial unit rates'!U156</f>
        <v>0.74985710000164418</v>
      </c>
      <c r="V26" s="582">
        <f>'Initial unit rates'!V156</f>
        <v>0.69646434724154449</v>
      </c>
      <c r="W26" s="582">
        <f>'Initial unit rates'!W156</f>
        <v>0.61046096481846979</v>
      </c>
      <c r="X26" s="582">
        <f>'Initial unit rates'!X156</f>
        <v>8.1510776974315594E-2</v>
      </c>
      <c r="Y26" s="582">
        <f>'Initial unit rates'!Y156</f>
        <v>9.2915681167372616E-2</v>
      </c>
      <c r="Z26" s="582">
        <f>'Initial unit rates'!Z156</f>
        <v>0.1746892460021427</v>
      </c>
      <c r="AA26" s="582">
        <f>'Initial unit rates'!AA156</f>
        <v>7.7776539080073884E-2</v>
      </c>
      <c r="AB26" s="582">
        <f>'Initial unit rates'!AB156</f>
        <v>1.3556340444427688</v>
      </c>
      <c r="AC26" s="582">
        <f>'Initial unit rates'!AC156</f>
        <v>-8.7029877104692288E-2</v>
      </c>
      <c r="AD26" s="582">
        <f>'Initial unit rates'!AD156</f>
        <v>-8.3593435676316011E-2</v>
      </c>
      <c r="AE26" s="582">
        <f>'Initial unit rates'!AE156</f>
        <v>-8.7029877104692288E-2</v>
      </c>
      <c r="AF26" s="582">
        <f>'Initial unit rates'!AF156</f>
        <v>-8.7029877104692288E-2</v>
      </c>
      <c r="AG26" s="582">
        <f>'Initial unit rates'!AG156</f>
        <v>-0.62903052466013931</v>
      </c>
      <c r="AH26" s="582">
        <f>'Initial unit rates'!AH156</f>
        <v>-0.62903052466013931</v>
      </c>
      <c r="AI26" s="582">
        <f>'Initial unit rates'!AI156</f>
        <v>-8.3593435676316011E-2</v>
      </c>
      <c r="AJ26" s="582">
        <f>'Initial unit rates'!AJ156</f>
        <v>-8.3593435676316011E-2</v>
      </c>
      <c r="AK26" s="582">
        <f>'Initial unit rates'!AK156</f>
        <v>-0.60419277207943578</v>
      </c>
      <c r="AL26" s="582">
        <f>'Initial unit rates'!AL156</f>
        <v>-0.60419277207943578</v>
      </c>
      <c r="AM26" s="582">
        <f>'Initial unit rates'!AM156</f>
        <v>-8.054591370685224E-2</v>
      </c>
      <c r="AN26" s="582">
        <f>'Initial unit rates'!AN156</f>
        <v>-8.054591370685224E-2</v>
      </c>
      <c r="AO26" s="582">
        <f>'Initial unit rates'!AO156</f>
        <v>-0.58216603359445485</v>
      </c>
      <c r="AP26" s="582">
        <f>'Initial unit rates'!AP156</f>
        <v>-0.58216603359445485</v>
      </c>
      <c r="AQ26" s="571"/>
      <c r="AR26" s="571"/>
    </row>
    <row r="27" spans="3:44" s="131" customFormat="1" x14ac:dyDescent="0.25">
      <c r="E27" s="175"/>
      <c r="F27" s="176" t="s">
        <v>47</v>
      </c>
      <c r="G27" s="139" t="s">
        <v>201</v>
      </c>
      <c r="H27" s="572"/>
      <c r="I27" s="572"/>
      <c r="J27" s="582">
        <f>'Initial unit rates'!J157</f>
        <v>0.13249888802436158</v>
      </c>
      <c r="K27" s="582">
        <f>'Initial unit rates'!K157</f>
        <v>0.17039573795495003</v>
      </c>
      <c r="L27" s="582">
        <f>'Initial unit rates'!L157</f>
        <v>1.553474334288402E-2</v>
      </c>
      <c r="M27" s="582">
        <f>'Initial unit rates'!M157</f>
        <v>0.11856660652786784</v>
      </c>
      <c r="N27" s="582">
        <f>'Initial unit rates'!N157</f>
        <v>0.18658122523275603</v>
      </c>
      <c r="O27" s="582">
        <f>'Initial unit rates'!O157</f>
        <v>2.6535907476935825E-2</v>
      </c>
      <c r="P27" s="582">
        <f>'Initial unit rates'!P157</f>
        <v>9.4700850977023313E-2</v>
      </c>
      <c r="Q27" s="582">
        <f>'Initial unit rates'!Q157</f>
        <v>8.5067715040808289E-2</v>
      </c>
      <c r="R27" s="582">
        <f>'Initial unit rates'!R157</f>
        <v>8.9000596697435805E-2</v>
      </c>
      <c r="S27" s="582">
        <f>'Initial unit rates'!S157</f>
        <v>0.71499887438165721</v>
      </c>
      <c r="T27" s="582">
        <f>'Initial unit rates'!T157</f>
        <v>0.7547040141253567</v>
      </c>
      <c r="U27" s="582">
        <f>'Initial unit rates'!U157</f>
        <v>0.56419639701988611</v>
      </c>
      <c r="V27" s="582">
        <f>'Initial unit rates'!V157</f>
        <v>0.52402341108142447</v>
      </c>
      <c r="W27" s="582">
        <f>'Initial unit rates'!W157</f>
        <v>0.44963865301120282</v>
      </c>
      <c r="X27" s="582">
        <f>'Initial unit rates'!X157</f>
        <v>6.1329134160494743E-2</v>
      </c>
      <c r="Y27" s="582">
        <f>'Initial unit rates'!Y157</f>
        <v>6.9910243619971293E-2</v>
      </c>
      <c r="Z27" s="582">
        <f>'Initial unit rates'!Z157</f>
        <v>0.13143710073867854</v>
      </c>
      <c r="AA27" s="582">
        <f>'Initial unit rates'!AA157</f>
        <v>5.8519474072537062E-2</v>
      </c>
      <c r="AB27" s="582">
        <f>'Initial unit rates'!AB157</f>
        <v>1.0199861327584006</v>
      </c>
      <c r="AC27" s="582">
        <f>'Initial unit rates'!AC157</f>
        <v>-6.5481733913625953E-2</v>
      </c>
      <c r="AD27" s="582">
        <f>'Initial unit rates'!AD157</f>
        <v>-6.2896137441370764E-2</v>
      </c>
      <c r="AE27" s="582">
        <f>'Initial unit rates'!AE157</f>
        <v>-6.5481733913625953E-2</v>
      </c>
      <c r="AF27" s="582">
        <f>'Initial unit rates'!AF157</f>
        <v>-6.5481733913625953E-2</v>
      </c>
      <c r="AG27" s="582">
        <f>'Initial unit rates'!AG157</f>
        <v>-0.47328585090145975</v>
      </c>
      <c r="AH27" s="582">
        <f>'Initial unit rates'!AH157</f>
        <v>-0.47328585090145975</v>
      </c>
      <c r="AI27" s="582">
        <f>'Initial unit rates'!AI157</f>
        <v>-6.2896137441370764E-2</v>
      </c>
      <c r="AJ27" s="582">
        <f>'Initial unit rates'!AJ157</f>
        <v>-6.2896137441370764E-2</v>
      </c>
      <c r="AK27" s="582">
        <f>'Initial unit rates'!AK157</f>
        <v>-0.45459779618266954</v>
      </c>
      <c r="AL27" s="582">
        <f>'Initial unit rates'!AL157</f>
        <v>-0.45459779618266954</v>
      </c>
      <c r="AM27" s="582">
        <f>'Initial unit rates'!AM157</f>
        <v>-5.9326571610479932E-2</v>
      </c>
      <c r="AN27" s="582">
        <f>'Initial unit rates'!AN157</f>
        <v>-5.9326571610479932E-2</v>
      </c>
      <c r="AO27" s="582">
        <f>'Initial unit rates'!AO157</f>
        <v>-0.42879785319627284</v>
      </c>
      <c r="AP27" s="582">
        <f>'Initial unit rates'!AP157</f>
        <v>-0.42879785319627284</v>
      </c>
      <c r="AQ27" s="571"/>
      <c r="AR27" s="571"/>
    </row>
    <row r="28" spans="3:44" s="131" customFormat="1" x14ac:dyDescent="0.25">
      <c r="E28" s="175"/>
      <c r="F28" s="176" t="s">
        <v>51</v>
      </c>
      <c r="G28" s="139" t="s">
        <v>201</v>
      </c>
      <c r="H28" s="572"/>
      <c r="I28" s="572"/>
      <c r="J28" s="582">
        <f>'Initial unit rates'!J158</f>
        <v>0</v>
      </c>
      <c r="K28" s="582">
        <f>'Initial unit rates'!K158</f>
        <v>0</v>
      </c>
      <c r="L28" s="582">
        <f>'Initial unit rates'!L158</f>
        <v>0</v>
      </c>
      <c r="M28" s="582">
        <f>'Initial unit rates'!M158</f>
        <v>0</v>
      </c>
      <c r="N28" s="582">
        <f>'Initial unit rates'!N158</f>
        <v>0</v>
      </c>
      <c r="O28" s="582">
        <f>'Initial unit rates'!O158</f>
        <v>0</v>
      </c>
      <c r="P28" s="582">
        <f>'Initial unit rates'!P158</f>
        <v>0</v>
      </c>
      <c r="Q28" s="582">
        <f>'Initial unit rates'!Q158</f>
        <v>0</v>
      </c>
      <c r="R28" s="582">
        <f>'Initial unit rates'!R158</f>
        <v>0</v>
      </c>
      <c r="S28" s="582">
        <f>'Initial unit rates'!S158</f>
        <v>0</v>
      </c>
      <c r="T28" s="582">
        <f>'Initial unit rates'!T158</f>
        <v>0</v>
      </c>
      <c r="U28" s="582">
        <f>'Initial unit rates'!U158</f>
        <v>0</v>
      </c>
      <c r="V28" s="582">
        <f>'Initial unit rates'!V158</f>
        <v>0</v>
      </c>
      <c r="W28" s="582">
        <f>'Initial unit rates'!W158</f>
        <v>0</v>
      </c>
      <c r="X28" s="582">
        <f>'Initial unit rates'!X158</f>
        <v>0</v>
      </c>
      <c r="Y28" s="582">
        <f>'Initial unit rates'!Y158</f>
        <v>0</v>
      </c>
      <c r="Z28" s="582">
        <f>'Initial unit rates'!Z158</f>
        <v>0</v>
      </c>
      <c r="AA28" s="582">
        <f>'Initial unit rates'!AA158</f>
        <v>0</v>
      </c>
      <c r="AB28" s="582">
        <f>'Initial unit rates'!AB158</f>
        <v>0</v>
      </c>
      <c r="AC28" s="582">
        <f>'Initial unit rates'!AC158</f>
        <v>0</v>
      </c>
      <c r="AD28" s="582">
        <f>'Initial unit rates'!AD158</f>
        <v>0</v>
      </c>
      <c r="AE28" s="582">
        <f>'Initial unit rates'!AE158</f>
        <v>0</v>
      </c>
      <c r="AF28" s="582">
        <f>'Initial unit rates'!AF158</f>
        <v>0</v>
      </c>
      <c r="AG28" s="582">
        <f>'Initial unit rates'!AG158</f>
        <v>0</v>
      </c>
      <c r="AH28" s="582">
        <f>'Initial unit rates'!AH158</f>
        <v>0</v>
      </c>
      <c r="AI28" s="582">
        <f>'Initial unit rates'!AI158</f>
        <v>0</v>
      </c>
      <c r="AJ28" s="582">
        <f>'Initial unit rates'!AJ158</f>
        <v>0</v>
      </c>
      <c r="AK28" s="582">
        <f>'Initial unit rates'!AK158</f>
        <v>0</v>
      </c>
      <c r="AL28" s="582">
        <f>'Initial unit rates'!AL158</f>
        <v>0</v>
      </c>
      <c r="AM28" s="582">
        <f>'Initial unit rates'!AM158</f>
        <v>0</v>
      </c>
      <c r="AN28" s="582">
        <f>'Initial unit rates'!AN158</f>
        <v>0</v>
      </c>
      <c r="AO28" s="582">
        <f>'Initial unit rates'!AO158</f>
        <v>0</v>
      </c>
      <c r="AP28" s="582">
        <f>'Initial unit rates'!AP158</f>
        <v>0</v>
      </c>
      <c r="AQ28" s="571"/>
      <c r="AR28" s="571"/>
    </row>
    <row r="29" spans="3:44" s="131" customFormat="1" x14ac:dyDescent="0.25">
      <c r="E29" s="175"/>
      <c r="F29" s="176" t="s">
        <v>48</v>
      </c>
      <c r="G29" s="139" t="s">
        <v>201</v>
      </c>
      <c r="H29" s="572"/>
      <c r="I29" s="572"/>
      <c r="J29" s="582">
        <f>'Initial unit rates'!J159</f>
        <v>0.27558688971647699</v>
      </c>
      <c r="K29" s="582">
        <f>'Initial unit rates'!K159</f>
        <v>0.34876341650500592</v>
      </c>
      <c r="L29" s="582">
        <f>'Initial unit rates'!L159</f>
        <v>5.377616053907381E-2</v>
      </c>
      <c r="M29" s="582">
        <f>'Initial unit rates'!M159</f>
        <v>0.26747145645220599</v>
      </c>
      <c r="N29" s="582">
        <f>'Initial unit rates'!N159</f>
        <v>0.39665981470075778</v>
      </c>
      <c r="O29" s="582">
        <f>'Initial unit rates'!O159</f>
        <v>6.928807912843786E-2</v>
      </c>
      <c r="P29" s="582">
        <f>'Initial unit rates'!P159</f>
        <v>0.20779095259491279</v>
      </c>
      <c r="Q29" s="582">
        <f>'Initial unit rates'!Q159</f>
        <v>0.18679526108423536</v>
      </c>
      <c r="R29" s="582">
        <f>'Initial unit rates'!R159</f>
        <v>0.19401374914535682</v>
      </c>
      <c r="S29" s="582">
        <f>'Initial unit rates'!S159</f>
        <v>1.037664234938382</v>
      </c>
      <c r="T29" s="582">
        <f>'Initial unit rates'!T159</f>
        <v>1.0956352718945557</v>
      </c>
      <c r="U29" s="582">
        <f>'Initial unit rates'!U159</f>
        <v>0.81936794280810354</v>
      </c>
      <c r="V29" s="582">
        <f>'Initial unit rates'!V159</f>
        <v>0.76102574668859135</v>
      </c>
      <c r="W29" s="582">
        <f>'Initial unit rates'!W159</f>
        <v>0.64135529031657079</v>
      </c>
      <c r="X29" s="582">
        <f>'Initial unit rates'!X159</f>
        <v>0.13458263765752451</v>
      </c>
      <c r="Y29" s="582">
        <f>'Initial unit rates'!Y159</f>
        <v>0.11809203284378356</v>
      </c>
      <c r="Z29" s="582">
        <f>'Initial unit rates'!Z159</f>
        <v>0.21709100190420111</v>
      </c>
      <c r="AA29" s="582">
        <f>'Initial unit rates'!AA159</f>
        <v>0.15715524974907349</v>
      </c>
      <c r="AB29" s="582">
        <f>'Initial unit rates'!AB159</f>
        <v>1.3785779809901166</v>
      </c>
      <c r="AC29" s="582">
        <f>'Initial unit rates'!AC159</f>
        <v>-0.14400413630519657</v>
      </c>
      <c r="AD29" s="582">
        <f>'Initial unit rates'!AD159</f>
        <v>-0.13831802256679121</v>
      </c>
      <c r="AE29" s="582">
        <f>'Initial unit rates'!AE159</f>
        <v>-0.14400413630519657</v>
      </c>
      <c r="AF29" s="582">
        <f>'Initial unit rates'!AF159</f>
        <v>-0.14400413630519657</v>
      </c>
      <c r="AG29" s="582">
        <f>'Initial unit rates'!AG159</f>
        <v>-0.68734089062189363</v>
      </c>
      <c r="AH29" s="582">
        <f>'Initial unit rates'!AH159</f>
        <v>-0.68734089062189363</v>
      </c>
      <c r="AI29" s="582">
        <f>'Initial unit rates'!AI159</f>
        <v>-0.13831802256679121</v>
      </c>
      <c r="AJ29" s="582">
        <f>'Initial unit rates'!AJ159</f>
        <v>-0.13831802256679121</v>
      </c>
      <c r="AK29" s="582">
        <f>'Initial unit rates'!AK159</f>
        <v>-0.66020070853122192</v>
      </c>
      <c r="AL29" s="582">
        <f>'Initial unit rates'!AL159</f>
        <v>-0.66020070853122192</v>
      </c>
      <c r="AM29" s="582">
        <f>'Initial unit rates'!AM159</f>
        <v>0</v>
      </c>
      <c r="AN29" s="582">
        <f>'Initial unit rates'!AN159</f>
        <v>0</v>
      </c>
      <c r="AO29" s="582">
        <f>'Initial unit rates'!AO159</f>
        <v>0</v>
      </c>
      <c r="AP29" s="582">
        <f>'Initial unit rates'!AP159</f>
        <v>0</v>
      </c>
      <c r="AQ29" s="571"/>
      <c r="AR29" s="571"/>
    </row>
    <row r="30" spans="3:44" s="131" customFormat="1" x14ac:dyDescent="0.25">
      <c r="E30" s="175"/>
      <c r="F30" s="176" t="s">
        <v>49</v>
      </c>
      <c r="G30" s="139" t="s">
        <v>201</v>
      </c>
      <c r="H30" s="572"/>
      <c r="I30" s="572"/>
      <c r="J30" s="582">
        <f>'Initial unit rates'!J160</f>
        <v>7.9386902435414033E-2</v>
      </c>
      <c r="K30" s="582">
        <f>'Initial unit rates'!K160</f>
        <v>0.10046648934428315</v>
      </c>
      <c r="L30" s="582">
        <f>'Initial unit rates'!L160</f>
        <v>1.5491022865632965E-2</v>
      </c>
      <c r="M30" s="582">
        <f>'Initial unit rates'!M160</f>
        <v>7.7049131181365624E-2</v>
      </c>
      <c r="N30" s="582">
        <f>'Initial unit rates'!N160</f>
        <v>0.11426375921617632</v>
      </c>
      <c r="O30" s="582">
        <f>'Initial unit rates'!O160</f>
        <v>1.9959461726809687E-2</v>
      </c>
      <c r="P30" s="582">
        <f>'Initial unit rates'!P160</f>
        <v>5.9857274406576448E-2</v>
      </c>
      <c r="Q30" s="582">
        <f>'Initial unit rates'!Q160</f>
        <v>5.3809153194290263E-2</v>
      </c>
      <c r="R30" s="582">
        <f>'Initial unit rates'!R160</f>
        <v>0</v>
      </c>
      <c r="S30" s="582">
        <f>'Initial unit rates'!S160</f>
        <v>0.29891461623780813</v>
      </c>
      <c r="T30" s="582">
        <f>'Initial unit rates'!T160</f>
        <v>0.31561403564652607</v>
      </c>
      <c r="U30" s="582">
        <f>'Initial unit rates'!U160</f>
        <v>0.23603112253029551</v>
      </c>
      <c r="V30" s="582">
        <f>'Initial unit rates'!V160</f>
        <v>0.21922478520426206</v>
      </c>
      <c r="W30" s="582">
        <f>'Initial unit rates'!W160</f>
        <v>0</v>
      </c>
      <c r="X30" s="582">
        <f>'Initial unit rates'!X160</f>
        <v>3.8768530448637623E-2</v>
      </c>
      <c r="Y30" s="582">
        <f>'Initial unit rates'!Y160</f>
        <v>3.4018166464355716E-2</v>
      </c>
      <c r="Z30" s="582">
        <f>'Initial unit rates'!Z160</f>
        <v>6.2536291931396218E-2</v>
      </c>
      <c r="AA30" s="582">
        <f>'Initial unit rates'!AA160</f>
        <v>4.5270907088062737E-2</v>
      </c>
      <c r="AB30" s="582">
        <f>'Initial unit rates'!AB160</f>
        <v>0.39711989125848868</v>
      </c>
      <c r="AC30" s="582">
        <f>'Initial unit rates'!AC160</f>
        <v>-4.1482533261716317E-2</v>
      </c>
      <c r="AD30" s="582">
        <f>'Initial unit rates'!AD160</f>
        <v>0</v>
      </c>
      <c r="AE30" s="582">
        <f>'Initial unit rates'!AE160</f>
        <v>-4.1482533261716317E-2</v>
      </c>
      <c r="AF30" s="582">
        <f>'Initial unit rates'!AF160</f>
        <v>-4.1482533261716317E-2</v>
      </c>
      <c r="AG30" s="582">
        <f>'Initial unit rates'!AG160</f>
        <v>-0.19799876648634504</v>
      </c>
      <c r="AH30" s="582">
        <f>'Initial unit rates'!AH160</f>
        <v>-0.19799876648634504</v>
      </c>
      <c r="AI30" s="582">
        <f>'Initial unit rates'!AI160</f>
        <v>0</v>
      </c>
      <c r="AJ30" s="582">
        <f>'Initial unit rates'!AJ160</f>
        <v>0</v>
      </c>
      <c r="AK30" s="582">
        <f>'Initial unit rates'!AK160</f>
        <v>0</v>
      </c>
      <c r="AL30" s="582">
        <f>'Initial unit rates'!AL160</f>
        <v>0</v>
      </c>
      <c r="AM30" s="582">
        <f>'Initial unit rates'!AM160</f>
        <v>0</v>
      </c>
      <c r="AN30" s="582">
        <f>'Initial unit rates'!AN160</f>
        <v>0</v>
      </c>
      <c r="AO30" s="582">
        <f>'Initial unit rates'!AO160</f>
        <v>0</v>
      </c>
      <c r="AP30" s="582">
        <f>'Initial unit rates'!AP160</f>
        <v>0</v>
      </c>
      <c r="AQ30" s="571"/>
      <c r="AR30" s="571"/>
    </row>
    <row r="31" spans="3:44" s="131" customFormat="1" x14ac:dyDescent="0.25">
      <c r="E31" s="175"/>
      <c r="F31" s="176" t="s">
        <v>50</v>
      </c>
      <c r="G31" s="139" t="s">
        <v>201</v>
      </c>
      <c r="H31" s="572"/>
      <c r="I31" s="572"/>
      <c r="J31" s="582">
        <f>'Initial unit rates'!J161</f>
        <v>1.090933611214334E-2</v>
      </c>
      <c r="K31" s="582">
        <f>'Initial unit rates'!K161</f>
        <v>1.3806089753351094E-2</v>
      </c>
      <c r="L31" s="582">
        <f>'Initial unit rates'!L161</f>
        <v>2.1287740165901658E-3</v>
      </c>
      <c r="M31" s="582">
        <f>'Initial unit rates'!M161</f>
        <v>1.0588079940390455E-2</v>
      </c>
      <c r="N31" s="582">
        <f>'Initial unit rates'!N161</f>
        <v>1.5702108490004633E-2</v>
      </c>
      <c r="O31" s="582">
        <f>'Initial unit rates'!O161</f>
        <v>2.7428262082952021E-3</v>
      </c>
      <c r="P31" s="582">
        <f>'Initial unit rates'!P161</f>
        <v>8.2255775855393128E-3</v>
      </c>
      <c r="Q31" s="582">
        <f>'Initial unit rates'!Q161</f>
        <v>0</v>
      </c>
      <c r="R31" s="582">
        <f>'Initial unit rates'!R161</f>
        <v>0</v>
      </c>
      <c r="S31" s="582">
        <f>'Initial unit rates'!S161</f>
        <v>4.1076801302627655E-2</v>
      </c>
      <c r="T31" s="582">
        <f>'Initial unit rates'!T161</f>
        <v>4.3371632989196704E-2</v>
      </c>
      <c r="U31" s="582">
        <f>'Initial unit rates'!U161</f>
        <v>3.2435361118974916E-2</v>
      </c>
      <c r="V31" s="582">
        <f>'Initial unit rates'!V161</f>
        <v>0</v>
      </c>
      <c r="W31" s="582">
        <f>'Initial unit rates'!W161</f>
        <v>0</v>
      </c>
      <c r="X31" s="582">
        <f>'Initial unit rates'!X161</f>
        <v>5.3275655840349379E-3</v>
      </c>
      <c r="Y31" s="582">
        <f>'Initial unit rates'!Y161</f>
        <v>4.67477128460106E-3</v>
      </c>
      <c r="Z31" s="582">
        <f>'Initial unit rates'!Z161</f>
        <v>8.5937277681510903E-3</v>
      </c>
      <c r="AA31" s="582">
        <f>'Initial unit rates'!AA161</f>
        <v>6.2211211972539931E-3</v>
      </c>
      <c r="AB31" s="582">
        <f>'Initial unit rates'!AB161</f>
        <v>5.4572155326015684E-2</v>
      </c>
      <c r="AC31" s="582">
        <f>'Initial unit rates'!AC161</f>
        <v>0</v>
      </c>
      <c r="AD31" s="582">
        <f>'Initial unit rates'!AD161</f>
        <v>0</v>
      </c>
      <c r="AE31" s="582">
        <f>'Initial unit rates'!AE161</f>
        <v>0</v>
      </c>
      <c r="AF31" s="582">
        <f>'Initial unit rates'!AF161</f>
        <v>0</v>
      </c>
      <c r="AG31" s="582">
        <f>'Initial unit rates'!AG161</f>
        <v>0</v>
      </c>
      <c r="AH31" s="582">
        <f>'Initial unit rates'!AH161</f>
        <v>0</v>
      </c>
      <c r="AI31" s="582">
        <f>'Initial unit rates'!AI161</f>
        <v>0</v>
      </c>
      <c r="AJ31" s="582">
        <f>'Initial unit rates'!AJ161</f>
        <v>0</v>
      </c>
      <c r="AK31" s="582">
        <f>'Initial unit rates'!AK161</f>
        <v>0</v>
      </c>
      <c r="AL31" s="582">
        <f>'Initial unit rates'!AL161</f>
        <v>0</v>
      </c>
      <c r="AM31" s="582">
        <f>'Initial unit rates'!AM161</f>
        <v>0</v>
      </c>
      <c r="AN31" s="582">
        <f>'Initial unit rates'!AN161</f>
        <v>0</v>
      </c>
      <c r="AO31" s="582">
        <f>'Initial unit rates'!AO161</f>
        <v>0</v>
      </c>
      <c r="AP31" s="582">
        <f>'Initial unit rates'!AP161</f>
        <v>0</v>
      </c>
      <c r="AQ31" s="571"/>
      <c r="AR31" s="571"/>
    </row>
    <row r="32" spans="3:44" s="131" customFormat="1" x14ac:dyDescent="0.25">
      <c r="E32" s="175"/>
      <c r="F32" s="180" t="s">
        <v>141</v>
      </c>
      <c r="G32" s="137" t="s">
        <v>201</v>
      </c>
      <c r="H32" s="569"/>
      <c r="I32" s="569"/>
      <c r="J32" s="583"/>
      <c r="K32" s="583"/>
      <c r="L32" s="583"/>
      <c r="M32" s="583"/>
      <c r="N32" s="583"/>
      <c r="O32" s="583"/>
      <c r="P32" s="583"/>
      <c r="Q32" s="583"/>
      <c r="R32" s="583"/>
      <c r="S32" s="583"/>
      <c r="T32" s="583"/>
      <c r="U32" s="583"/>
      <c r="V32" s="583"/>
      <c r="W32" s="583"/>
      <c r="X32" s="583"/>
      <c r="Y32" s="583"/>
      <c r="Z32" s="583"/>
      <c r="AA32" s="583"/>
      <c r="AB32" s="583"/>
      <c r="AC32" s="583"/>
      <c r="AD32" s="583"/>
      <c r="AE32" s="583"/>
      <c r="AF32" s="583"/>
      <c r="AG32" s="583"/>
      <c r="AH32" s="583"/>
      <c r="AI32" s="583"/>
      <c r="AJ32" s="583"/>
      <c r="AK32" s="583"/>
      <c r="AL32" s="583"/>
      <c r="AM32" s="583"/>
      <c r="AN32" s="583"/>
      <c r="AO32" s="583"/>
      <c r="AP32" s="583"/>
      <c r="AQ32" s="571"/>
      <c r="AR32" s="571"/>
    </row>
    <row r="33" spans="4:44" s="131" customFormat="1" x14ac:dyDescent="0.25">
      <c r="E33" s="175"/>
      <c r="F33" s="177" t="s">
        <v>140</v>
      </c>
      <c r="G33" s="140" t="s">
        <v>201</v>
      </c>
      <c r="H33" s="574"/>
      <c r="I33" s="574"/>
      <c r="J33" s="579"/>
      <c r="K33" s="579"/>
      <c r="L33" s="579"/>
      <c r="M33" s="579"/>
      <c r="N33" s="579"/>
      <c r="O33" s="579"/>
      <c r="P33" s="579"/>
      <c r="Q33" s="579"/>
      <c r="R33" s="579"/>
      <c r="S33" s="579"/>
      <c r="T33" s="579"/>
      <c r="U33" s="579"/>
      <c r="V33" s="579"/>
      <c r="W33" s="579"/>
      <c r="X33" s="579"/>
      <c r="Y33" s="579"/>
      <c r="Z33" s="579"/>
      <c r="AA33" s="579"/>
      <c r="AB33" s="579"/>
      <c r="AC33" s="579"/>
      <c r="AD33" s="579"/>
      <c r="AE33" s="579"/>
      <c r="AF33" s="579"/>
      <c r="AG33" s="579"/>
      <c r="AH33" s="579"/>
      <c r="AI33" s="579"/>
      <c r="AJ33" s="579"/>
      <c r="AK33" s="579"/>
      <c r="AL33" s="579"/>
      <c r="AM33" s="579"/>
      <c r="AN33" s="579"/>
      <c r="AO33" s="579"/>
      <c r="AP33" s="579"/>
      <c r="AQ33" s="571"/>
      <c r="AR33" s="571"/>
    </row>
    <row r="34" spans="4:44" s="160" customFormat="1" x14ac:dyDescent="0.25">
      <c r="E34" s="175"/>
      <c r="F34" s="176"/>
      <c r="G34" s="167"/>
      <c r="H34" s="167"/>
      <c r="J34" s="416"/>
      <c r="K34" s="416"/>
      <c r="L34" s="416"/>
      <c r="M34" s="416"/>
      <c r="N34" s="416"/>
      <c r="O34" s="416"/>
      <c r="P34" s="416"/>
      <c r="Q34" s="416"/>
      <c r="R34" s="416"/>
      <c r="S34" s="416"/>
      <c r="T34" s="416"/>
      <c r="U34" s="416"/>
      <c r="V34" s="416"/>
      <c r="W34" s="416"/>
      <c r="X34" s="416"/>
      <c r="Y34" s="416"/>
      <c r="Z34" s="416"/>
      <c r="AA34" s="416"/>
      <c r="AB34" s="416"/>
      <c r="AC34" s="416"/>
      <c r="AD34" s="416"/>
      <c r="AE34" s="416"/>
      <c r="AF34" s="416"/>
      <c r="AG34" s="416"/>
      <c r="AH34" s="416"/>
      <c r="AI34" s="416"/>
      <c r="AJ34" s="416"/>
      <c r="AK34" s="416"/>
      <c r="AL34" s="416"/>
      <c r="AM34" s="416"/>
      <c r="AN34" s="416"/>
      <c r="AO34" s="416"/>
      <c r="AP34" s="416"/>
    </row>
    <row r="35" spans="4:44" s="131" customFormat="1" x14ac:dyDescent="0.25">
      <c r="E35" s="172" t="s">
        <v>133</v>
      </c>
      <c r="F35" s="117"/>
      <c r="J35" s="416"/>
      <c r="K35" s="416"/>
      <c r="L35" s="416"/>
      <c r="M35" s="416"/>
      <c r="N35" s="416"/>
      <c r="O35" s="416"/>
      <c r="P35" s="416"/>
      <c r="Q35" s="416"/>
      <c r="R35" s="416"/>
      <c r="S35" s="416"/>
      <c r="T35" s="416"/>
      <c r="U35" s="416"/>
      <c r="V35" s="416"/>
      <c r="W35" s="416"/>
      <c r="X35" s="416"/>
      <c r="Y35" s="416"/>
      <c r="Z35" s="416"/>
      <c r="AA35" s="416"/>
      <c r="AB35" s="416"/>
      <c r="AC35" s="416"/>
      <c r="AD35" s="416"/>
      <c r="AE35" s="416"/>
      <c r="AF35" s="416"/>
      <c r="AG35" s="416"/>
      <c r="AH35" s="416"/>
      <c r="AI35" s="416"/>
      <c r="AJ35" s="416"/>
      <c r="AK35" s="416"/>
      <c r="AL35" s="416"/>
      <c r="AM35" s="416"/>
      <c r="AN35" s="416"/>
      <c r="AO35" s="416"/>
      <c r="AP35" s="416"/>
    </row>
    <row r="36" spans="4:44" s="131" customFormat="1" x14ac:dyDescent="0.25">
      <c r="E36" s="175"/>
      <c r="F36" s="180" t="s">
        <v>397</v>
      </c>
      <c r="G36" s="137" t="s">
        <v>201</v>
      </c>
      <c r="H36" s="569"/>
      <c r="I36" s="569"/>
      <c r="J36" s="581">
        <f>'Initial unit rates'!J164</f>
        <v>8.2026986347881137E-2</v>
      </c>
      <c r="K36" s="581">
        <f>'Initial unit rates'!K164</f>
        <v>0.10698619951931665</v>
      </c>
      <c r="L36" s="581">
        <f>'Initial unit rates'!L164</f>
        <v>3.7595251627282299E-3</v>
      </c>
      <c r="M36" s="581">
        <f>'Initial unit rates'!M164</f>
        <v>6.7477887439189782E-2</v>
      </c>
      <c r="N36" s="581">
        <f>'Initial unit rates'!N164</f>
        <v>0.11293170740233632</v>
      </c>
      <c r="O36" s="581">
        <f>'Initial unit rates'!O164</f>
        <v>1.2639591601829038E-2</v>
      </c>
      <c r="P36" s="581">
        <f>'Initial unit rates'!P164</f>
        <v>5.5549005790324943E-2</v>
      </c>
      <c r="Q36" s="581">
        <f>'Initial unit rates'!Q164</f>
        <v>4.9826301129215607E-2</v>
      </c>
      <c r="R36" s="581">
        <f>'Initial unit rates'!R164</f>
        <v>5.39016209590054E-2</v>
      </c>
      <c r="S36" s="581">
        <f>'Initial unit rates'!S164</f>
        <v>0.56953004283150244</v>
      </c>
      <c r="T36" s="581">
        <f>'Initial unit rates'!T164</f>
        <v>0.60102605169893852</v>
      </c>
      <c r="U36" s="581">
        <f>'Initial unit rates'!U164</f>
        <v>0.44911738479164182</v>
      </c>
      <c r="V36" s="581">
        <f>'Initial unit rates'!V164</f>
        <v>0.41713847376127333</v>
      </c>
      <c r="W36" s="581">
        <f>'Initial unit rates'!W164</f>
        <v>0.3740200642664952</v>
      </c>
      <c r="X36" s="581">
        <f>'Initial unit rates'!X164</f>
        <v>3.5973277734694893E-2</v>
      </c>
      <c r="Y36" s="581">
        <f>'Initial unit rates'!Y164</f>
        <v>4.2467234304217234E-2</v>
      </c>
      <c r="Z36" s="581">
        <f>'Initial unit rates'!Z164</f>
        <v>8.0992756135168001E-2</v>
      </c>
      <c r="AA36" s="581">
        <f>'Initial unit rates'!AA164</f>
        <v>3.3211703837305769E-2</v>
      </c>
      <c r="AB36" s="581">
        <f>'Initial unit rates'!AB164</f>
        <v>0.64728711581146947</v>
      </c>
      <c r="AC36" s="581">
        <f>'Initial unit rates'!AC164</f>
        <v>-3.8391687562549633E-2</v>
      </c>
      <c r="AD36" s="581">
        <f>'Initial unit rates'!AD164</f>
        <v>-3.6875762341989825E-2</v>
      </c>
      <c r="AE36" s="581">
        <f>'Initial unit rates'!AE164</f>
        <v>-3.8391687562549633E-2</v>
      </c>
      <c r="AF36" s="581">
        <f>'Initial unit rates'!AF164</f>
        <v>-3.8391687562549633E-2</v>
      </c>
      <c r="AG36" s="581">
        <f>'Initial unit rates'!AG164</f>
        <v>-0.37674984232176584</v>
      </c>
      <c r="AH36" s="581">
        <f>'Initial unit rates'!AH164</f>
        <v>-0.37674984232176584</v>
      </c>
      <c r="AI36" s="581">
        <f>'Initial unit rates'!AI164</f>
        <v>-3.6875762341989825E-2</v>
      </c>
      <c r="AJ36" s="581">
        <f>'Initial unit rates'!AJ164</f>
        <v>-3.6875762341989825E-2</v>
      </c>
      <c r="AK36" s="581">
        <f>'Initial unit rates'!AK164</f>
        <v>-0.36187358592154922</v>
      </c>
      <c r="AL36" s="581">
        <f>'Initial unit rates'!AL164</f>
        <v>-0.36187358592154922</v>
      </c>
      <c r="AM36" s="581">
        <f>'Initial unit rates'!AM164</f>
        <v>-3.6346951218538717E-2</v>
      </c>
      <c r="AN36" s="581">
        <f>'Initial unit rates'!AN164</f>
        <v>-3.6346951218538717E-2</v>
      </c>
      <c r="AO36" s="581">
        <f>'Initial unit rates'!AO164</f>
        <v>-0.35668419415403174</v>
      </c>
      <c r="AP36" s="581">
        <f>'Initial unit rates'!AP164</f>
        <v>-0.35668419415403174</v>
      </c>
      <c r="AQ36" s="571"/>
      <c r="AR36" s="571"/>
    </row>
    <row r="37" spans="4:44" s="131" customFormat="1" x14ac:dyDescent="0.25">
      <c r="E37" s="175"/>
      <c r="F37" s="176" t="s">
        <v>43</v>
      </c>
      <c r="G37" s="139" t="s">
        <v>201</v>
      </c>
      <c r="H37" s="572"/>
      <c r="I37" s="572"/>
      <c r="J37" s="582">
        <f>'Initial unit rates'!J165</f>
        <v>0</v>
      </c>
      <c r="K37" s="582">
        <f>'Initial unit rates'!K165</f>
        <v>0</v>
      </c>
      <c r="L37" s="582">
        <f>'Initial unit rates'!L165</f>
        <v>0</v>
      </c>
      <c r="M37" s="582">
        <f>'Initial unit rates'!M165</f>
        <v>0</v>
      </c>
      <c r="N37" s="582">
        <f>'Initial unit rates'!N165</f>
        <v>0</v>
      </c>
      <c r="O37" s="582">
        <f>'Initial unit rates'!O165</f>
        <v>0</v>
      </c>
      <c r="P37" s="582">
        <f>'Initial unit rates'!P165</f>
        <v>0</v>
      </c>
      <c r="Q37" s="582">
        <f>'Initial unit rates'!Q165</f>
        <v>0</v>
      </c>
      <c r="R37" s="582">
        <f>'Initial unit rates'!R165</f>
        <v>0</v>
      </c>
      <c r="S37" s="582">
        <f>'Initial unit rates'!S165</f>
        <v>0</v>
      </c>
      <c r="T37" s="582">
        <f>'Initial unit rates'!T165</f>
        <v>0</v>
      </c>
      <c r="U37" s="582">
        <f>'Initial unit rates'!U165</f>
        <v>0</v>
      </c>
      <c r="V37" s="582">
        <f>'Initial unit rates'!V165</f>
        <v>0</v>
      </c>
      <c r="W37" s="582">
        <f>'Initial unit rates'!W165</f>
        <v>0</v>
      </c>
      <c r="X37" s="582">
        <f>'Initial unit rates'!X165</f>
        <v>0</v>
      </c>
      <c r="Y37" s="582">
        <f>'Initial unit rates'!Y165</f>
        <v>0</v>
      </c>
      <c r="Z37" s="582">
        <f>'Initial unit rates'!Z165</f>
        <v>0</v>
      </c>
      <c r="AA37" s="582">
        <f>'Initial unit rates'!AA165</f>
        <v>0</v>
      </c>
      <c r="AB37" s="582">
        <f>'Initial unit rates'!AB165</f>
        <v>0</v>
      </c>
      <c r="AC37" s="582">
        <f>'Initial unit rates'!AC165</f>
        <v>0</v>
      </c>
      <c r="AD37" s="582">
        <f>'Initial unit rates'!AD165</f>
        <v>0</v>
      </c>
      <c r="AE37" s="582">
        <f>'Initial unit rates'!AE165</f>
        <v>0</v>
      </c>
      <c r="AF37" s="582">
        <f>'Initial unit rates'!AF165</f>
        <v>0</v>
      </c>
      <c r="AG37" s="582">
        <f>'Initial unit rates'!AG165</f>
        <v>0</v>
      </c>
      <c r="AH37" s="582">
        <f>'Initial unit rates'!AH165</f>
        <v>0</v>
      </c>
      <c r="AI37" s="582">
        <f>'Initial unit rates'!AI165</f>
        <v>0</v>
      </c>
      <c r="AJ37" s="582">
        <f>'Initial unit rates'!AJ165</f>
        <v>0</v>
      </c>
      <c r="AK37" s="582">
        <f>'Initial unit rates'!AK165</f>
        <v>0</v>
      </c>
      <c r="AL37" s="582">
        <f>'Initial unit rates'!AL165</f>
        <v>0</v>
      </c>
      <c r="AM37" s="582">
        <f>'Initial unit rates'!AM165</f>
        <v>0</v>
      </c>
      <c r="AN37" s="582">
        <f>'Initial unit rates'!AN165</f>
        <v>0</v>
      </c>
      <c r="AO37" s="582">
        <f>'Initial unit rates'!AO165</f>
        <v>0</v>
      </c>
      <c r="AP37" s="582">
        <f>'Initial unit rates'!AP165</f>
        <v>0</v>
      </c>
      <c r="AQ37" s="571"/>
      <c r="AR37" s="571"/>
    </row>
    <row r="38" spans="4:44" s="131" customFormat="1" x14ac:dyDescent="0.25">
      <c r="E38" s="175"/>
      <c r="F38" s="176" t="s">
        <v>44</v>
      </c>
      <c r="G38" s="139" t="s">
        <v>201</v>
      </c>
      <c r="H38" s="572"/>
      <c r="I38" s="572"/>
      <c r="J38" s="582">
        <f>'Initial unit rates'!J166</f>
        <v>0.11234790367072831</v>
      </c>
      <c r="K38" s="582">
        <f>'Initial unit rates'!K166</f>
        <v>0.14603964372353201</v>
      </c>
      <c r="L38" s="582">
        <f>'Initial unit rates'!L166</f>
        <v>7.1766141123563209E-3</v>
      </c>
      <c r="M38" s="582">
        <f>'Initial unit rates'!M166</f>
        <v>9.4606929762415734E-2</v>
      </c>
      <c r="N38" s="582">
        <f>'Initial unit rates'!N166</f>
        <v>0.15570342245596167</v>
      </c>
      <c r="O38" s="582">
        <f>'Initial unit rates'!O166</f>
        <v>1.8589538918281499E-2</v>
      </c>
      <c r="P38" s="582">
        <f>'Initial unit rates'!P166</f>
        <v>7.7221471274127526E-2</v>
      </c>
      <c r="Q38" s="582">
        <f>'Initial unit rates'!Q166</f>
        <v>6.9312263753287862E-2</v>
      </c>
      <c r="R38" s="582">
        <f>'Initial unit rates'!R166</f>
        <v>7.5175340045078032E-2</v>
      </c>
      <c r="S38" s="582">
        <f>'Initial unit rates'!S166</f>
        <v>0.73371880342696394</v>
      </c>
      <c r="T38" s="582">
        <f>'Initial unit rates'!T166</f>
        <v>0.77432574554579336</v>
      </c>
      <c r="U38" s="582">
        <f>'Initial unit rates'!U166</f>
        <v>0.57869197116518201</v>
      </c>
      <c r="V38" s="582">
        <f>'Initial unit rates'!V166</f>
        <v>0.53748684376076117</v>
      </c>
      <c r="W38" s="582">
        <f>'Initial unit rates'!W166</f>
        <v>0.48192836789455379</v>
      </c>
      <c r="X38" s="582">
        <f>'Initial unit rates'!X166</f>
        <v>5.0011155792780926E-2</v>
      </c>
      <c r="Y38" s="582">
        <f>'Initial unit rates'!Y166</f>
        <v>6.3918345556704101E-2</v>
      </c>
      <c r="Z38" s="582">
        <f>'Initial unit rates'!Z166</f>
        <v>0.12146092313053074</v>
      </c>
      <c r="AA38" s="582">
        <f>'Initial unit rates'!AA166</f>
        <v>4.2123761199041432E-2</v>
      </c>
      <c r="AB38" s="582">
        <f>'Initial unit rates'!AB166</f>
        <v>1.004540402293707</v>
      </c>
      <c r="AC38" s="582">
        <f>'Initial unit rates'!AC166</f>
        <v>-5.3335421381338399E-2</v>
      </c>
      <c r="AD38" s="582">
        <f>'Initial unit rates'!AD166</f>
        <v>-5.1229431372708883E-2</v>
      </c>
      <c r="AE38" s="582">
        <f>'Initial unit rates'!AE166</f>
        <v>-5.3335421381338399E-2</v>
      </c>
      <c r="AF38" s="582">
        <f>'Initial unit rates'!AF166</f>
        <v>-5.3335421381338399E-2</v>
      </c>
      <c r="AG38" s="582">
        <f>'Initial unit rates'!AG166</f>
        <v>-0.48544571257356423</v>
      </c>
      <c r="AH38" s="582">
        <f>'Initial unit rates'!AH166</f>
        <v>-0.48544571257356423</v>
      </c>
      <c r="AI38" s="582">
        <f>'Initial unit rates'!AI166</f>
        <v>-5.1229431372708883E-2</v>
      </c>
      <c r="AJ38" s="582">
        <f>'Initial unit rates'!AJ166</f>
        <v>-5.1229431372708883E-2</v>
      </c>
      <c r="AK38" s="582">
        <f>'Initial unit rates'!AK166</f>
        <v>-0.46627751639297366</v>
      </c>
      <c r="AL38" s="582">
        <f>'Initial unit rates'!AL166</f>
        <v>-0.46627751639297366</v>
      </c>
      <c r="AM38" s="582">
        <f>'Initial unit rates'!AM166</f>
        <v>-5.0494783695279974E-2</v>
      </c>
      <c r="AN38" s="582">
        <f>'Initial unit rates'!AN166</f>
        <v>-5.0494783695279974E-2</v>
      </c>
      <c r="AO38" s="582">
        <f>'Initial unit rates'!AO166</f>
        <v>-0.45959093632997683</v>
      </c>
      <c r="AP38" s="582">
        <f>'Initial unit rates'!AP166</f>
        <v>-0.45959093632997683</v>
      </c>
      <c r="AQ38" s="571"/>
      <c r="AR38" s="571"/>
    </row>
    <row r="39" spans="4:44" s="131" customFormat="1" x14ac:dyDescent="0.25">
      <c r="E39" s="175"/>
      <c r="F39" s="176" t="s">
        <v>45</v>
      </c>
      <c r="G39" s="139" t="s">
        <v>201</v>
      </c>
      <c r="H39" s="572"/>
      <c r="I39" s="572"/>
      <c r="J39" s="582">
        <f>'Initial unit rates'!J167</f>
        <v>3.126683972819784E-2</v>
      </c>
      <c r="K39" s="582">
        <f>'Initial unit rates'!K167</f>
        <v>4.0643376378873101E-2</v>
      </c>
      <c r="L39" s="582">
        <f>'Initial unit rates'!L167</f>
        <v>1.9972784174043441E-3</v>
      </c>
      <c r="M39" s="582">
        <f>'Initial unit rates'!M167</f>
        <v>2.6329460661125188E-2</v>
      </c>
      <c r="N39" s="582">
        <f>'Initial unit rates'!N167</f>
        <v>4.3332841966777703E-2</v>
      </c>
      <c r="O39" s="582">
        <f>'Initial unit rates'!O167</f>
        <v>5.1735378675378165E-3</v>
      </c>
      <c r="P39" s="582">
        <f>'Initial unit rates'!P167</f>
        <v>2.149102285860326E-2</v>
      </c>
      <c r="Q39" s="582">
        <f>'Initial unit rates'!Q167</f>
        <v>1.9289860969050505E-2</v>
      </c>
      <c r="R39" s="582">
        <f>'Initial unit rates'!R167</f>
        <v>2.0921576922263818E-2</v>
      </c>
      <c r="S39" s="582">
        <f>'Initial unit rates'!S167</f>
        <v>0.20419667374971376</v>
      </c>
      <c r="T39" s="582">
        <f>'Initial unit rates'!T167</f>
        <v>0.21549773687237575</v>
      </c>
      <c r="U39" s="582">
        <f>'Initial unit rates'!U167</f>
        <v>0.16105212935211091</v>
      </c>
      <c r="V39" s="582">
        <f>'Initial unit rates'!V167</f>
        <v>0.14958458903814176</v>
      </c>
      <c r="W39" s="582">
        <f>'Initial unit rates'!W167</f>
        <v>0.13412245842693876</v>
      </c>
      <c r="X39" s="582">
        <f>'Initial unit rates'!X167</f>
        <v>1.3918290788742382E-2</v>
      </c>
      <c r="Y39" s="582">
        <f>'Initial unit rates'!Y167</f>
        <v>1.7788713459846599E-2</v>
      </c>
      <c r="Z39" s="582">
        <f>'Initial unit rates'!Z167</f>
        <v>3.3803026960713418E-2</v>
      </c>
      <c r="AA39" s="582">
        <f>'Initial unit rates'!AA167</f>
        <v>1.1723199517985E-2</v>
      </c>
      <c r="AB39" s="582">
        <f>'Initial unit rates'!AB167</f>
        <v>0.27956733265865225</v>
      </c>
      <c r="AC39" s="582">
        <f>'Initial unit rates'!AC167</f>
        <v>-1.4843446274295697E-2</v>
      </c>
      <c r="AD39" s="582">
        <f>'Initial unit rates'!AD167</f>
        <v>-1.4257341416816621E-2</v>
      </c>
      <c r="AE39" s="582">
        <f>'Initial unit rates'!AE167</f>
        <v>-1.4843446274295697E-2</v>
      </c>
      <c r="AF39" s="582">
        <f>'Initial unit rates'!AF167</f>
        <v>-1.4843446274295697E-2</v>
      </c>
      <c r="AG39" s="582">
        <f>'Initial unit rates'!AG167</f>
        <v>-0.13510134854196726</v>
      </c>
      <c r="AH39" s="582">
        <f>'Initial unit rates'!AH167</f>
        <v>-0.13510134854196726</v>
      </c>
      <c r="AI39" s="582">
        <f>'Initial unit rates'!AI167</f>
        <v>-1.4257341416816621E-2</v>
      </c>
      <c r="AJ39" s="582">
        <f>'Initial unit rates'!AJ167</f>
        <v>-1.4257341416816621E-2</v>
      </c>
      <c r="AK39" s="582">
        <f>'Initial unit rates'!AK167</f>
        <v>-0.12976676820468114</v>
      </c>
      <c r="AL39" s="582">
        <f>'Initial unit rates'!AL167</f>
        <v>-0.12976676820468114</v>
      </c>
      <c r="AM39" s="582">
        <f>'Initial unit rates'!AM167</f>
        <v>-1.4052886233975081E-2</v>
      </c>
      <c r="AN39" s="582">
        <f>'Initial unit rates'!AN167</f>
        <v>-1.4052886233975081E-2</v>
      </c>
      <c r="AO39" s="582">
        <f>'Initial unit rates'!AO167</f>
        <v>-0.12790586808702317</v>
      </c>
      <c r="AP39" s="582">
        <f>'Initial unit rates'!AP167</f>
        <v>-0.12790586808702317</v>
      </c>
      <c r="AQ39" s="571"/>
      <c r="AR39" s="571"/>
    </row>
    <row r="40" spans="4:44" s="131" customFormat="1" x14ac:dyDescent="0.25">
      <c r="E40" s="175"/>
      <c r="F40" s="176" t="s">
        <v>46</v>
      </c>
      <c r="G40" s="139" t="s">
        <v>201</v>
      </c>
      <c r="H40" s="572"/>
      <c r="I40" s="572"/>
      <c r="J40" s="582">
        <f>'Initial unit rates'!J168</f>
        <v>7.2056009792619308E-2</v>
      </c>
      <c r="K40" s="582">
        <f>'Initial unit rates'!K168</f>
        <v>9.2665207578534581E-2</v>
      </c>
      <c r="L40" s="582">
        <f>'Initial unit rates'!L168</f>
        <v>8.4481585855638898E-3</v>
      </c>
      <c r="M40" s="582">
        <f>'Initial unit rates'!M168</f>
        <v>6.4479307626180746E-2</v>
      </c>
      <c r="N40" s="582">
        <f>'Initial unit rates'!N168</f>
        <v>0.10146725601212951</v>
      </c>
      <c r="O40" s="582">
        <f>'Initial unit rates'!O168</f>
        <v>1.4430850232211533E-2</v>
      </c>
      <c r="P40" s="582">
        <f>'Initial unit rates'!P168</f>
        <v>5.1500548775285877E-2</v>
      </c>
      <c r="Q40" s="582">
        <f>'Initial unit rates'!Q168</f>
        <v>4.6261823019142771E-2</v>
      </c>
      <c r="R40" s="582">
        <f>'Initial unit rates'!R168</f>
        <v>5.0576945564640416E-2</v>
      </c>
      <c r="S40" s="582">
        <f>'Initial unit rates'!S168</f>
        <v>0.38883319446940495</v>
      </c>
      <c r="T40" s="582">
        <f>'Initial unit rates'!T168</f>
        <v>0.41042578276088776</v>
      </c>
      <c r="U40" s="582">
        <f>'Initial unit rates'!U168</f>
        <v>0.30682326255561299</v>
      </c>
      <c r="V40" s="582">
        <f>'Initial unit rates'!V168</f>
        <v>0.2849762485063454</v>
      </c>
      <c r="W40" s="582">
        <f>'Initial unit rates'!W168</f>
        <v>0.25551906977002375</v>
      </c>
      <c r="X40" s="582">
        <f>'Initial unit rates'!X168</f>
        <v>3.3352224743417924E-2</v>
      </c>
      <c r="Y40" s="582">
        <f>'Initial unit rates'!Y168</f>
        <v>3.8018833772845366E-2</v>
      </c>
      <c r="Z40" s="582">
        <f>'Initial unit rates'!Z168</f>
        <v>7.1478584908564541E-2</v>
      </c>
      <c r="AA40" s="582">
        <f>'Initial unit rates'!AA168</f>
        <v>3.1824265544435161E-2</v>
      </c>
      <c r="AB40" s="582">
        <f>'Initial unit rates'!AB168</f>
        <v>0.5546924345271641</v>
      </c>
      <c r="AC40" s="582">
        <f>'Initial unit rates'!AC168</f>
        <v>-3.5610506099118332E-2</v>
      </c>
      <c r="AD40" s="582">
        <f>'Initial unit rates'!AD168</f>
        <v>-3.4204397961136619E-2</v>
      </c>
      <c r="AE40" s="582">
        <f>'Initial unit rates'!AE168</f>
        <v>-3.5610506099118332E-2</v>
      </c>
      <c r="AF40" s="582">
        <f>'Initial unit rates'!AF168</f>
        <v>-3.5610506099118332E-2</v>
      </c>
      <c r="AG40" s="582">
        <f>'Initial unit rates'!AG168</f>
        <v>-0.25738397065636864</v>
      </c>
      <c r="AH40" s="582">
        <f>'Initial unit rates'!AH168</f>
        <v>-0.25738397065636864</v>
      </c>
      <c r="AI40" s="582">
        <f>'Initial unit rates'!AI168</f>
        <v>-3.4204397961136619E-2</v>
      </c>
      <c r="AJ40" s="582">
        <f>'Initial unit rates'!AJ168</f>
        <v>-3.4204397961136619E-2</v>
      </c>
      <c r="AK40" s="582">
        <f>'Initial unit rates'!AK168</f>
        <v>-0.24722096722365622</v>
      </c>
      <c r="AL40" s="582">
        <f>'Initial unit rates'!AL168</f>
        <v>-0.24722096722365622</v>
      </c>
      <c r="AM40" s="582">
        <f>'Initial unit rates'!AM168</f>
        <v>-3.3713895122305784E-2</v>
      </c>
      <c r="AN40" s="582">
        <f>'Initial unit rates'!AN168</f>
        <v>-3.3713895122305784E-2</v>
      </c>
      <c r="AO40" s="582">
        <f>'Initial unit rates'!AO168</f>
        <v>-0.24367573346805882</v>
      </c>
      <c r="AP40" s="582">
        <f>'Initial unit rates'!AP168</f>
        <v>-0.24367573346805882</v>
      </c>
      <c r="AQ40" s="571"/>
      <c r="AR40" s="571"/>
    </row>
    <row r="41" spans="4:44" s="131" customFormat="1" x14ac:dyDescent="0.25">
      <c r="E41" s="175"/>
      <c r="F41" s="176" t="s">
        <v>47</v>
      </c>
      <c r="G41" s="139" t="s">
        <v>201</v>
      </c>
      <c r="H41" s="572"/>
      <c r="I41" s="572"/>
      <c r="J41" s="582">
        <f>'Initial unit rates'!J169</f>
        <v>5.488386931791276E-2</v>
      </c>
      <c r="K41" s="582">
        <f>'Initial unit rates'!K169</f>
        <v>7.058155395635704E-2</v>
      </c>
      <c r="L41" s="582">
        <f>'Initial unit rates'!L169</f>
        <v>6.4348224821433936E-3</v>
      </c>
      <c r="M41" s="582">
        <f>'Initial unit rates'!M169</f>
        <v>4.9112820757766781E-2</v>
      </c>
      <c r="N41" s="582">
        <f>'Initial unit rates'!N169</f>
        <v>7.7285928474870078E-2</v>
      </c>
      <c r="O41" s="582">
        <f>'Initial unit rates'!O169</f>
        <v>1.0991739628249514E-2</v>
      </c>
      <c r="P41" s="582">
        <f>'Initial unit rates'!P169</f>
        <v>3.9227115086146569E-2</v>
      </c>
      <c r="Q41" s="582">
        <f>'Initial unit rates'!Q169</f>
        <v>3.5236864437796167E-2</v>
      </c>
      <c r="R41" s="582">
        <f>'Initial unit rates'!R169</f>
        <v>3.8523621816666881E-2</v>
      </c>
      <c r="S41" s="582">
        <f>'Initial unit rates'!S169</f>
        <v>0.29616780464453779</v>
      </c>
      <c r="T41" s="582">
        <f>'Initial unit rates'!T169</f>
        <v>0.31261452154484864</v>
      </c>
      <c r="U41" s="582">
        <f>'Initial unit rates'!U169</f>
        <v>0.23370219769680861</v>
      </c>
      <c r="V41" s="582">
        <f>'Initial unit rates'!V169</f>
        <v>0.21706168891041419</v>
      </c>
      <c r="W41" s="582">
        <f>'Initial unit rates'!W169</f>
        <v>0.19462464371610375</v>
      </c>
      <c r="X41" s="582">
        <f>'Initial unit rates'!X169</f>
        <v>2.5403837230894011E-2</v>
      </c>
      <c r="Y41" s="582">
        <f>'Initial unit rates'!Y169</f>
        <v>2.895831604350128E-2</v>
      </c>
      <c r="Z41" s="582">
        <f>'Initial unit rates'!Z169</f>
        <v>5.4444054346634414E-2</v>
      </c>
      <c r="AA41" s="582">
        <f>'Initial unit rates'!AA169</f>
        <v>2.4240016014018047E-2</v>
      </c>
      <c r="AB41" s="582">
        <f>'Initial unit rates'!AB169</f>
        <v>0.42250004095206078</v>
      </c>
      <c r="AC41" s="582">
        <f>'Initial unit rates'!AC169</f>
        <v>-2.7123932739458172E-2</v>
      </c>
      <c r="AD41" s="582">
        <f>'Initial unit rates'!AD169</f>
        <v>-2.6052923457734849E-2</v>
      </c>
      <c r="AE41" s="582">
        <f>'Initial unit rates'!AE169</f>
        <v>-2.7123932739458172E-2</v>
      </c>
      <c r="AF41" s="582">
        <f>'Initial unit rates'!AF169</f>
        <v>-2.7123932739458172E-2</v>
      </c>
      <c r="AG41" s="582">
        <f>'Initial unit rates'!AG169</f>
        <v>-0.19604510783605139</v>
      </c>
      <c r="AH41" s="582">
        <f>'Initial unit rates'!AH169</f>
        <v>-0.19604510783605139</v>
      </c>
      <c r="AI41" s="582">
        <f>'Initial unit rates'!AI169</f>
        <v>-2.6052923457734849E-2</v>
      </c>
      <c r="AJ41" s="582">
        <f>'Initial unit rates'!AJ169</f>
        <v>-2.6052923457734849E-2</v>
      </c>
      <c r="AK41" s="582">
        <f>'Initial unit rates'!AK169</f>
        <v>-0.18830411643389328</v>
      </c>
      <c r="AL41" s="582">
        <f>'Initial unit rates'!AL169</f>
        <v>-0.18830411643389328</v>
      </c>
      <c r="AM41" s="582">
        <f>'Initial unit rates'!AM169</f>
        <v>-2.5679315568761591E-2</v>
      </c>
      <c r="AN41" s="582">
        <f>'Initial unit rates'!AN169</f>
        <v>-2.5679315568761591E-2</v>
      </c>
      <c r="AO41" s="582">
        <f>'Initial unit rates'!AO169</f>
        <v>-0.18560377059593114</v>
      </c>
      <c r="AP41" s="582">
        <f>'Initial unit rates'!AP169</f>
        <v>-0.18560377059593114</v>
      </c>
      <c r="AQ41" s="571"/>
      <c r="AR41" s="571"/>
    </row>
    <row r="42" spans="4:44" s="131" customFormat="1" x14ac:dyDescent="0.25">
      <c r="E42" s="175"/>
      <c r="F42" s="176" t="s">
        <v>51</v>
      </c>
      <c r="G42" s="139" t="s">
        <v>201</v>
      </c>
      <c r="H42" s="572"/>
      <c r="I42" s="572"/>
      <c r="J42" s="582">
        <f>'Initial unit rates'!J170</f>
        <v>0</v>
      </c>
      <c r="K42" s="582">
        <f>'Initial unit rates'!K170</f>
        <v>0</v>
      </c>
      <c r="L42" s="582">
        <f>'Initial unit rates'!L170</f>
        <v>0</v>
      </c>
      <c r="M42" s="582">
        <f>'Initial unit rates'!M170</f>
        <v>0</v>
      </c>
      <c r="N42" s="582">
        <f>'Initial unit rates'!N170</f>
        <v>0</v>
      </c>
      <c r="O42" s="582">
        <f>'Initial unit rates'!O170</f>
        <v>0</v>
      </c>
      <c r="P42" s="582">
        <f>'Initial unit rates'!P170</f>
        <v>0</v>
      </c>
      <c r="Q42" s="582">
        <f>'Initial unit rates'!Q170</f>
        <v>0</v>
      </c>
      <c r="R42" s="582">
        <f>'Initial unit rates'!R170</f>
        <v>0</v>
      </c>
      <c r="S42" s="582">
        <f>'Initial unit rates'!S170</f>
        <v>0</v>
      </c>
      <c r="T42" s="582">
        <f>'Initial unit rates'!T170</f>
        <v>0</v>
      </c>
      <c r="U42" s="582">
        <f>'Initial unit rates'!U170</f>
        <v>0</v>
      </c>
      <c r="V42" s="582">
        <f>'Initial unit rates'!V170</f>
        <v>0</v>
      </c>
      <c r="W42" s="582">
        <f>'Initial unit rates'!W170</f>
        <v>0</v>
      </c>
      <c r="X42" s="582">
        <f>'Initial unit rates'!X170</f>
        <v>0</v>
      </c>
      <c r="Y42" s="582">
        <f>'Initial unit rates'!Y170</f>
        <v>0</v>
      </c>
      <c r="Z42" s="582">
        <f>'Initial unit rates'!Z170</f>
        <v>0</v>
      </c>
      <c r="AA42" s="582">
        <f>'Initial unit rates'!AA170</f>
        <v>0</v>
      </c>
      <c r="AB42" s="582">
        <f>'Initial unit rates'!AB170</f>
        <v>0</v>
      </c>
      <c r="AC42" s="582">
        <f>'Initial unit rates'!AC170</f>
        <v>0</v>
      </c>
      <c r="AD42" s="582">
        <f>'Initial unit rates'!AD170</f>
        <v>0</v>
      </c>
      <c r="AE42" s="582">
        <f>'Initial unit rates'!AE170</f>
        <v>0</v>
      </c>
      <c r="AF42" s="582">
        <f>'Initial unit rates'!AF170</f>
        <v>0</v>
      </c>
      <c r="AG42" s="582">
        <f>'Initial unit rates'!AG170</f>
        <v>0</v>
      </c>
      <c r="AH42" s="582">
        <f>'Initial unit rates'!AH170</f>
        <v>0</v>
      </c>
      <c r="AI42" s="582">
        <f>'Initial unit rates'!AI170</f>
        <v>0</v>
      </c>
      <c r="AJ42" s="582">
        <f>'Initial unit rates'!AJ170</f>
        <v>0</v>
      </c>
      <c r="AK42" s="582">
        <f>'Initial unit rates'!AK170</f>
        <v>0</v>
      </c>
      <c r="AL42" s="582">
        <f>'Initial unit rates'!AL170</f>
        <v>0</v>
      </c>
      <c r="AM42" s="582">
        <f>'Initial unit rates'!AM170</f>
        <v>0</v>
      </c>
      <c r="AN42" s="582">
        <f>'Initial unit rates'!AN170</f>
        <v>0</v>
      </c>
      <c r="AO42" s="582">
        <f>'Initial unit rates'!AO170</f>
        <v>0</v>
      </c>
      <c r="AP42" s="582">
        <f>'Initial unit rates'!AP170</f>
        <v>0</v>
      </c>
      <c r="AQ42" s="571"/>
      <c r="AR42" s="571"/>
    </row>
    <row r="43" spans="4:44" s="131" customFormat="1" x14ac:dyDescent="0.25">
      <c r="E43" s="175"/>
      <c r="F43" s="176" t="s">
        <v>48</v>
      </c>
      <c r="G43" s="139" t="s">
        <v>201</v>
      </c>
      <c r="H43" s="572"/>
      <c r="I43" s="572"/>
      <c r="J43" s="582">
        <f>'Initial unit rates'!J171</f>
        <v>0.16971715510726415</v>
      </c>
      <c r="K43" s="582">
        <f>'Initial unit rates'!K171</f>
        <v>0.21478211432922348</v>
      </c>
      <c r="L43" s="582">
        <f>'Initial unit rates'!L171</f>
        <v>3.3117457033869396E-2</v>
      </c>
      <c r="M43" s="582">
        <f>'Initial unit rates'!M171</f>
        <v>0.16471935478558733</v>
      </c>
      <c r="N43" s="582">
        <f>'Initial unit rates'!N171</f>
        <v>0.24427858439001135</v>
      </c>
      <c r="O43" s="582">
        <f>'Initial unit rates'!O171</f>
        <v>4.2670301495922013E-2</v>
      </c>
      <c r="P43" s="582">
        <f>'Initial unit rates'!P171</f>
        <v>0.12796577285558916</v>
      </c>
      <c r="Q43" s="582">
        <f>'Initial unit rates'!Q171</f>
        <v>0.11503580715087854</v>
      </c>
      <c r="R43" s="582">
        <f>'Initial unit rates'!R171</f>
        <v>0.12712033221004793</v>
      </c>
      <c r="S43" s="582">
        <f>'Initial unit rates'!S171</f>
        <v>0.63903410678018413</v>
      </c>
      <c r="T43" s="582">
        <f>'Initial unit rates'!T171</f>
        <v>0.67473493231996917</v>
      </c>
      <c r="U43" s="582">
        <f>'Initial unit rates'!U171</f>
        <v>0.50459873611022732</v>
      </c>
      <c r="V43" s="582">
        <f>'Initial unit rates'!V171</f>
        <v>0.46866933628173579</v>
      </c>
      <c r="W43" s="582">
        <f>'Initial unit rates'!W171</f>
        <v>0.42022432909448987</v>
      </c>
      <c r="X43" s="582">
        <f>'Initial unit rates'!X171</f>
        <v>8.2881237251763176E-2</v>
      </c>
      <c r="Y43" s="582">
        <f>'Initial unit rates'!Y171</f>
        <v>7.2725679642090216E-2</v>
      </c>
      <c r="Z43" s="582">
        <f>'Initial unit rates'!Z171</f>
        <v>0.13369310594009662</v>
      </c>
      <c r="AA43" s="582">
        <f>'Initial unit rates'!AA171</f>
        <v>9.6782332153116435E-2</v>
      </c>
      <c r="AB43" s="582">
        <f>'Initial unit rates'!AB171</f>
        <v>0.84898208789200624</v>
      </c>
      <c r="AC43" s="582">
        <f>'Initial unit rates'!AC171</f>
        <v>-8.868336357560562E-2</v>
      </c>
      <c r="AD43" s="582">
        <f>'Initial unit rates'!AD171</f>
        <v>-8.518163296610054E-2</v>
      </c>
      <c r="AE43" s="582">
        <f>'Initial unit rates'!AE171</f>
        <v>-8.868336357560562E-2</v>
      </c>
      <c r="AF43" s="582">
        <f>'Initial unit rates'!AF171</f>
        <v>-8.868336357560562E-2</v>
      </c>
      <c r="AG43" s="582">
        <f>'Initial unit rates'!AG171</f>
        <v>-0.42329132806445846</v>
      </c>
      <c r="AH43" s="582">
        <f>'Initial unit rates'!AH171</f>
        <v>-0.42329132806445846</v>
      </c>
      <c r="AI43" s="582">
        <f>'Initial unit rates'!AI171</f>
        <v>-8.518163296610054E-2</v>
      </c>
      <c r="AJ43" s="582">
        <f>'Initial unit rates'!AJ171</f>
        <v>-8.518163296610054E-2</v>
      </c>
      <c r="AK43" s="582">
        <f>'Initial unit rates'!AK171</f>
        <v>-0.40657734541361207</v>
      </c>
      <c r="AL43" s="582">
        <f>'Initial unit rates'!AL171</f>
        <v>-0.40657734541361207</v>
      </c>
      <c r="AM43" s="582">
        <f>'Initial unit rates'!AM171</f>
        <v>0</v>
      </c>
      <c r="AN43" s="582">
        <f>'Initial unit rates'!AN171</f>
        <v>0</v>
      </c>
      <c r="AO43" s="582">
        <f>'Initial unit rates'!AO171</f>
        <v>0</v>
      </c>
      <c r="AP43" s="582">
        <f>'Initial unit rates'!AP171</f>
        <v>0</v>
      </c>
      <c r="AQ43" s="571"/>
      <c r="AR43" s="571"/>
    </row>
    <row r="44" spans="4:44" s="131" customFormat="1" x14ac:dyDescent="0.25">
      <c r="E44" s="175"/>
      <c r="F44" s="176" t="s">
        <v>49</v>
      </c>
      <c r="G44" s="139" t="s">
        <v>201</v>
      </c>
      <c r="H44" s="572"/>
      <c r="I44" s="572"/>
      <c r="J44" s="582">
        <f>'Initial unit rates'!J172</f>
        <v>5.5650398832390639E-2</v>
      </c>
      <c r="K44" s="582">
        <f>'Initial unit rates'!K172</f>
        <v>7.0427237110656807E-2</v>
      </c>
      <c r="L44" s="582">
        <f>'Initial unit rates'!L172</f>
        <v>1.0859242196727757E-2</v>
      </c>
      <c r="M44" s="582">
        <f>'Initial unit rates'!M172</f>
        <v>5.401161587606438E-2</v>
      </c>
      <c r="N44" s="582">
        <f>'Initial unit rates'!N172</f>
        <v>8.0099154613593168E-2</v>
      </c>
      <c r="O44" s="582">
        <f>'Initial unit rates'!O172</f>
        <v>1.3991627982719926E-2</v>
      </c>
      <c r="P44" s="582">
        <f>'Initial unit rates'!P172</f>
        <v>4.1960085247763151E-2</v>
      </c>
      <c r="Q44" s="582">
        <f>'Initial unit rates'!Q172</f>
        <v>3.7720338547428081E-2</v>
      </c>
      <c r="R44" s="582">
        <f>'Initial unit rates'!R172</f>
        <v>0</v>
      </c>
      <c r="S44" s="582">
        <f>'Initial unit rates'!S172</f>
        <v>0.209539824582504</v>
      </c>
      <c r="T44" s="582">
        <f>'Initial unit rates'!T172</f>
        <v>0.2212461554992517</v>
      </c>
      <c r="U44" s="582">
        <f>'Initial unit rates'!U172</f>
        <v>0.16545835273462267</v>
      </c>
      <c r="V44" s="582">
        <f>'Initial unit rates'!V172</f>
        <v>0.15367707211511039</v>
      </c>
      <c r="W44" s="582">
        <f>'Initial unit rates'!W172</f>
        <v>0</v>
      </c>
      <c r="X44" s="582">
        <f>'Initial unit rates'!X172</f>
        <v>2.7176827857310671E-2</v>
      </c>
      <c r="Y44" s="582">
        <f>'Initial unit rates'!Y172</f>
        <v>2.3846811919991731E-2</v>
      </c>
      <c r="Z44" s="582">
        <f>'Initial unit rates'!Z172</f>
        <v>4.3838082614601794E-2</v>
      </c>
      <c r="AA44" s="582">
        <f>'Initial unit rates'!AA172</f>
        <v>3.173500864332663E-2</v>
      </c>
      <c r="AB44" s="582">
        <f>'Initial unit rates'!AB172</f>
        <v>0.27838194531887756</v>
      </c>
      <c r="AC44" s="582">
        <f>'Initial unit rates'!AC172</f>
        <v>-2.9079349990642878E-2</v>
      </c>
      <c r="AD44" s="582">
        <f>'Initial unit rates'!AD172</f>
        <v>0</v>
      </c>
      <c r="AE44" s="582">
        <f>'Initial unit rates'!AE172</f>
        <v>-2.9079349990642878E-2</v>
      </c>
      <c r="AF44" s="582">
        <f>'Initial unit rates'!AF172</f>
        <v>-2.9079349990642878E-2</v>
      </c>
      <c r="AG44" s="582">
        <f>'Initial unit rates'!AG172</f>
        <v>-0.13879758480627027</v>
      </c>
      <c r="AH44" s="582">
        <f>'Initial unit rates'!AH172</f>
        <v>-0.13879758480627027</v>
      </c>
      <c r="AI44" s="582">
        <f>'Initial unit rates'!AI172</f>
        <v>0</v>
      </c>
      <c r="AJ44" s="582">
        <f>'Initial unit rates'!AJ172</f>
        <v>0</v>
      </c>
      <c r="AK44" s="582">
        <f>'Initial unit rates'!AK172</f>
        <v>0</v>
      </c>
      <c r="AL44" s="582">
        <f>'Initial unit rates'!AL172</f>
        <v>0</v>
      </c>
      <c r="AM44" s="582">
        <f>'Initial unit rates'!AM172</f>
        <v>0</v>
      </c>
      <c r="AN44" s="582">
        <f>'Initial unit rates'!AN172</f>
        <v>0</v>
      </c>
      <c r="AO44" s="582">
        <f>'Initial unit rates'!AO172</f>
        <v>0</v>
      </c>
      <c r="AP44" s="582">
        <f>'Initial unit rates'!AP172</f>
        <v>0</v>
      </c>
      <c r="AQ44" s="571"/>
      <c r="AR44" s="571"/>
    </row>
    <row r="45" spans="4:44" s="131" customFormat="1" x14ac:dyDescent="0.25">
      <c r="E45" s="175"/>
      <c r="F45" s="176" t="s">
        <v>50</v>
      </c>
      <c r="G45" s="139" t="s">
        <v>201</v>
      </c>
      <c r="H45" s="572"/>
      <c r="I45" s="572"/>
      <c r="J45" s="582">
        <f>'Initial unit rates'!J173</f>
        <v>0.10009724587596945</v>
      </c>
      <c r="K45" s="582">
        <f>'Initial unit rates'!K173</f>
        <v>0.1266760457667645</v>
      </c>
      <c r="L45" s="582">
        <f>'Initial unit rates'!L173</f>
        <v>1.9532299120916582E-2</v>
      </c>
      <c r="M45" s="582">
        <f>'Initial unit rates'!M173</f>
        <v>9.7149600145508649E-2</v>
      </c>
      <c r="N45" s="582">
        <f>'Initial unit rates'!N173</f>
        <v>0.14407272799539259</v>
      </c>
      <c r="O45" s="582">
        <f>'Initial unit rates'!O173</f>
        <v>2.5166458026824656E-2</v>
      </c>
      <c r="P45" s="582">
        <f>'Initial unit rates'!P173</f>
        <v>7.5472755957633433E-2</v>
      </c>
      <c r="Q45" s="582">
        <f>'Initial unit rates'!Q173</f>
        <v>0</v>
      </c>
      <c r="R45" s="582">
        <f>'Initial unit rates'!R173</f>
        <v>0</v>
      </c>
      <c r="S45" s="582">
        <f>'Initial unit rates'!S173</f>
        <v>0.37689504086419129</v>
      </c>
      <c r="T45" s="582">
        <f>'Initial unit rates'!T173</f>
        <v>0.3979509813186044</v>
      </c>
      <c r="U45" s="582">
        <f>'Initial unit rates'!U173</f>
        <v>0.29760658977111848</v>
      </c>
      <c r="V45" s="582">
        <f>'Initial unit rates'!V173</f>
        <v>0</v>
      </c>
      <c r="W45" s="582">
        <f>'Initial unit rates'!W173</f>
        <v>0</v>
      </c>
      <c r="X45" s="582">
        <f>'Initial unit rates'!X173</f>
        <v>4.8882410139687804E-2</v>
      </c>
      <c r="Y45" s="582">
        <f>'Initial unit rates'!Y173</f>
        <v>4.2892777881118928E-2</v>
      </c>
      <c r="Z45" s="582">
        <f>'Initial unit rates'!Z173</f>
        <v>7.8850671805982347E-2</v>
      </c>
      <c r="AA45" s="582">
        <f>'Initial unit rates'!AA173</f>
        <v>5.708111765046664E-2</v>
      </c>
      <c r="AB45" s="582">
        <f>'Initial unit rates'!AB173</f>
        <v>0.50071996989526935</v>
      </c>
      <c r="AC45" s="582">
        <f>'Initial unit rates'!AC173</f>
        <v>0</v>
      </c>
      <c r="AD45" s="582">
        <f>'Initial unit rates'!AD173</f>
        <v>0</v>
      </c>
      <c r="AE45" s="582">
        <f>'Initial unit rates'!AE173</f>
        <v>0</v>
      </c>
      <c r="AF45" s="582">
        <f>'Initial unit rates'!AF173</f>
        <v>0</v>
      </c>
      <c r="AG45" s="582">
        <f>'Initial unit rates'!AG173</f>
        <v>0</v>
      </c>
      <c r="AH45" s="582">
        <f>'Initial unit rates'!AH173</f>
        <v>0</v>
      </c>
      <c r="AI45" s="582">
        <f>'Initial unit rates'!AI173</f>
        <v>0</v>
      </c>
      <c r="AJ45" s="582">
        <f>'Initial unit rates'!AJ173</f>
        <v>0</v>
      </c>
      <c r="AK45" s="582">
        <f>'Initial unit rates'!AK173</f>
        <v>0</v>
      </c>
      <c r="AL45" s="582">
        <f>'Initial unit rates'!AL173</f>
        <v>0</v>
      </c>
      <c r="AM45" s="582">
        <f>'Initial unit rates'!AM173</f>
        <v>0</v>
      </c>
      <c r="AN45" s="582">
        <f>'Initial unit rates'!AN173</f>
        <v>0</v>
      </c>
      <c r="AO45" s="582">
        <f>'Initial unit rates'!AO173</f>
        <v>0</v>
      </c>
      <c r="AP45" s="582">
        <f>'Initial unit rates'!AP173</f>
        <v>0</v>
      </c>
      <c r="AQ45" s="571"/>
      <c r="AR45" s="571"/>
    </row>
    <row r="46" spans="4:44" s="131" customFormat="1" x14ac:dyDescent="0.25">
      <c r="E46" s="175"/>
      <c r="F46" s="180" t="s">
        <v>141</v>
      </c>
      <c r="G46" s="137" t="s">
        <v>201</v>
      </c>
      <c r="H46" s="569"/>
      <c r="I46" s="569" t="s">
        <v>525</v>
      </c>
      <c r="J46" s="583"/>
      <c r="K46" s="583"/>
      <c r="L46" s="583"/>
      <c r="M46" s="583"/>
      <c r="N46" s="583"/>
      <c r="O46" s="583"/>
      <c r="P46" s="583"/>
      <c r="Q46" s="583"/>
      <c r="R46" s="583"/>
      <c r="S46" s="583"/>
      <c r="T46" s="583"/>
      <c r="U46" s="583"/>
      <c r="V46" s="583"/>
      <c r="W46" s="583"/>
      <c r="X46" s="581">
        <f>'Service model charges'!$X$44</f>
        <v>1.4674776072942719</v>
      </c>
      <c r="Y46" s="581">
        <f>'Service model charges'!$Y$44</f>
        <v>1.4674776072942719</v>
      </c>
      <c r="Z46" s="581">
        <f>'Service model charges'!$Z$44</f>
        <v>1.4674776072942719</v>
      </c>
      <c r="AA46" s="581">
        <f>'Service model charges'!$AA$44</f>
        <v>1.4674776072942719</v>
      </c>
      <c r="AB46" s="581">
        <f>'Service model charges'!$AB$44</f>
        <v>1.4674776072942719</v>
      </c>
      <c r="AC46" s="583"/>
      <c r="AD46" s="583"/>
      <c r="AE46" s="583"/>
      <c r="AF46" s="583"/>
      <c r="AG46" s="583"/>
      <c r="AH46" s="583"/>
      <c r="AI46" s="583"/>
      <c r="AJ46" s="583"/>
      <c r="AK46" s="583"/>
      <c r="AL46" s="583"/>
      <c r="AM46" s="583"/>
      <c r="AN46" s="583"/>
      <c r="AO46" s="583"/>
      <c r="AP46" s="583"/>
      <c r="AQ46" s="571"/>
      <c r="AR46" s="571" t="s">
        <v>983</v>
      </c>
    </row>
    <row r="47" spans="4:44" s="131" customFormat="1" x14ac:dyDescent="0.25">
      <c r="E47" s="175"/>
      <c r="F47" s="177" t="s">
        <v>140</v>
      </c>
      <c r="G47" s="140" t="s">
        <v>201</v>
      </c>
      <c r="H47" s="574"/>
      <c r="I47" s="574"/>
      <c r="J47" s="579"/>
      <c r="K47" s="579"/>
      <c r="L47" s="579"/>
      <c r="M47" s="579"/>
      <c r="N47" s="579"/>
      <c r="O47" s="579"/>
      <c r="P47" s="579"/>
      <c r="Q47" s="579"/>
      <c r="R47" s="579"/>
      <c r="S47" s="579"/>
      <c r="T47" s="579"/>
      <c r="U47" s="579"/>
      <c r="V47" s="579"/>
      <c r="W47" s="579"/>
      <c r="X47" s="579"/>
      <c r="Y47" s="579"/>
      <c r="Z47" s="579"/>
      <c r="AA47" s="579"/>
      <c r="AB47" s="579"/>
      <c r="AC47" s="579"/>
      <c r="AD47" s="579"/>
      <c r="AE47" s="579"/>
      <c r="AF47" s="579"/>
      <c r="AG47" s="579"/>
      <c r="AH47" s="579"/>
      <c r="AI47" s="579"/>
      <c r="AJ47" s="579"/>
      <c r="AK47" s="579"/>
      <c r="AL47" s="579"/>
      <c r="AM47" s="579"/>
      <c r="AN47" s="579"/>
      <c r="AO47" s="579"/>
      <c r="AP47" s="579"/>
      <c r="AQ47" s="571"/>
      <c r="AR47" s="571"/>
    </row>
    <row r="48" spans="4:44" s="131" customFormat="1" x14ac:dyDescent="0.25">
      <c r="D48" s="147"/>
      <c r="E48" s="175"/>
      <c r="J48" s="416"/>
      <c r="K48" s="416"/>
      <c r="L48" s="416"/>
      <c r="M48" s="416"/>
      <c r="N48" s="416"/>
      <c r="O48" s="416"/>
      <c r="P48" s="416"/>
      <c r="Q48" s="416"/>
      <c r="R48" s="416"/>
      <c r="S48" s="416"/>
      <c r="T48" s="416"/>
      <c r="U48" s="416"/>
      <c r="V48" s="416"/>
      <c r="W48" s="416"/>
      <c r="X48" s="416"/>
      <c r="Y48" s="416"/>
      <c r="Z48" s="416"/>
      <c r="AA48" s="416"/>
      <c r="AB48" s="416"/>
      <c r="AC48" s="416"/>
      <c r="AD48" s="416"/>
      <c r="AE48" s="416"/>
      <c r="AF48" s="416"/>
      <c r="AG48" s="416"/>
      <c r="AH48" s="416"/>
      <c r="AI48" s="416"/>
      <c r="AJ48" s="416"/>
      <c r="AK48" s="416"/>
      <c r="AL48" s="416"/>
      <c r="AM48" s="416"/>
      <c r="AN48" s="416"/>
      <c r="AO48" s="416"/>
      <c r="AP48" s="416"/>
    </row>
    <row r="49" spans="3:44" s="160" customFormat="1" x14ac:dyDescent="0.25">
      <c r="C49" s="22" t="str">
        <f ca="1">INDEX('Version control'!$H$34:$H$59,MATCH($A$1,'Version control'!$F$34:$F$59,0),1)&amp;"-B: Initial unit rate 2"</f>
        <v>Section 514-B: Initial unit rate 2</v>
      </c>
      <c r="D49" s="22"/>
      <c r="E49" s="22"/>
      <c r="F49" s="22"/>
      <c r="G49" s="22"/>
      <c r="H49" s="22"/>
      <c r="I49" s="22"/>
      <c r="J49" s="406"/>
      <c r="K49" s="406"/>
      <c r="L49" s="406"/>
      <c r="M49" s="406"/>
      <c r="N49" s="406"/>
      <c r="O49" s="406"/>
      <c r="P49" s="406"/>
      <c r="Q49" s="406"/>
      <c r="R49" s="406"/>
      <c r="S49" s="406"/>
      <c r="T49" s="406"/>
      <c r="U49" s="406"/>
      <c r="V49" s="406"/>
      <c r="W49" s="406"/>
      <c r="X49" s="406"/>
      <c r="Y49" s="406"/>
      <c r="Z49" s="406"/>
      <c r="AA49" s="406"/>
      <c r="AB49" s="406"/>
      <c r="AC49" s="406"/>
      <c r="AD49" s="406"/>
      <c r="AE49" s="406"/>
      <c r="AF49" s="406"/>
      <c r="AG49" s="406"/>
      <c r="AH49" s="406"/>
      <c r="AI49" s="406"/>
      <c r="AJ49" s="406"/>
      <c r="AK49" s="406"/>
      <c r="AL49" s="406"/>
      <c r="AM49" s="406"/>
      <c r="AN49" s="406"/>
      <c r="AO49" s="406"/>
      <c r="AP49" s="406"/>
      <c r="AQ49" s="22"/>
      <c r="AR49" s="22"/>
    </row>
    <row r="50" spans="3:44" s="160" customFormat="1" x14ac:dyDescent="0.25">
      <c r="C50" s="172"/>
      <c r="E50" s="172"/>
      <c r="J50" s="416"/>
      <c r="K50" s="416"/>
      <c r="L50" s="416"/>
      <c r="M50" s="416"/>
      <c r="N50" s="416"/>
      <c r="O50" s="416"/>
      <c r="P50" s="416"/>
      <c r="Q50" s="416"/>
      <c r="R50" s="416"/>
      <c r="S50" s="416"/>
      <c r="T50" s="416"/>
      <c r="U50" s="416"/>
      <c r="V50" s="416"/>
      <c r="W50" s="416"/>
      <c r="X50" s="416"/>
      <c r="Y50" s="416"/>
      <c r="Z50" s="416"/>
      <c r="AA50" s="416"/>
      <c r="AB50" s="416"/>
      <c r="AC50" s="416"/>
      <c r="AD50" s="416"/>
      <c r="AE50" s="416"/>
      <c r="AF50" s="416"/>
      <c r="AG50" s="416"/>
      <c r="AH50" s="416"/>
      <c r="AI50" s="416"/>
      <c r="AJ50" s="416"/>
      <c r="AK50" s="416"/>
      <c r="AL50" s="416"/>
      <c r="AM50" s="416"/>
      <c r="AN50" s="416"/>
      <c r="AO50" s="416"/>
      <c r="AP50" s="416"/>
    </row>
    <row r="51" spans="3:44" s="131" customFormat="1" x14ac:dyDescent="0.25">
      <c r="E51" s="172" t="s">
        <v>156</v>
      </c>
      <c r="F51" s="160"/>
      <c r="J51" s="416"/>
      <c r="K51" s="416"/>
      <c r="L51" s="416"/>
      <c r="M51" s="416"/>
      <c r="N51" s="416"/>
      <c r="O51" s="416"/>
      <c r="P51" s="416"/>
      <c r="Q51" s="416"/>
      <c r="R51" s="416"/>
      <c r="S51" s="416"/>
      <c r="T51" s="416"/>
      <c r="U51" s="416"/>
      <c r="V51" s="416"/>
      <c r="W51" s="416"/>
      <c r="X51" s="416"/>
      <c r="Y51" s="416"/>
      <c r="Z51" s="416"/>
      <c r="AA51" s="416"/>
      <c r="AB51" s="416"/>
      <c r="AC51" s="416"/>
      <c r="AD51" s="416"/>
      <c r="AE51" s="416"/>
      <c r="AF51" s="416"/>
      <c r="AG51" s="416"/>
      <c r="AH51" s="416"/>
      <c r="AI51" s="416"/>
      <c r="AJ51" s="416"/>
      <c r="AK51" s="416"/>
      <c r="AL51" s="416"/>
      <c r="AM51" s="416"/>
      <c r="AN51" s="416"/>
      <c r="AO51" s="416"/>
      <c r="AP51" s="416"/>
    </row>
    <row r="52" spans="3:44" s="131" customFormat="1" x14ac:dyDescent="0.25">
      <c r="E52" s="175"/>
      <c r="F52" s="180" t="s">
        <v>397</v>
      </c>
      <c r="G52" s="137" t="s">
        <v>201</v>
      </c>
      <c r="H52" s="569"/>
      <c r="I52" s="569"/>
      <c r="J52" s="581">
        <f>'Initial unit rates'!J181</f>
        <v>0</v>
      </c>
      <c r="K52" s="581">
        <f>'Initial unit rates'!K181</f>
        <v>0</v>
      </c>
      <c r="L52" s="581">
        <f>'Initial unit rates'!L181</f>
        <v>0</v>
      </c>
      <c r="M52" s="581">
        <f>'Initial unit rates'!M181</f>
        <v>0</v>
      </c>
      <c r="N52" s="581">
        <f>'Initial unit rates'!N181</f>
        <v>0</v>
      </c>
      <c r="O52" s="581">
        <f>'Initial unit rates'!O181</f>
        <v>0</v>
      </c>
      <c r="P52" s="581">
        <f>'Initial unit rates'!P181</f>
        <v>0</v>
      </c>
      <c r="Q52" s="581">
        <f>'Initial unit rates'!Q181</f>
        <v>0</v>
      </c>
      <c r="R52" s="581">
        <f>'Initial unit rates'!R181</f>
        <v>0</v>
      </c>
      <c r="S52" s="581">
        <f>'Initial unit rates'!S181</f>
        <v>0</v>
      </c>
      <c r="T52" s="581">
        <f>'Initial unit rates'!T181</f>
        <v>0</v>
      </c>
      <c r="U52" s="581">
        <f>'Initial unit rates'!U181</f>
        <v>0</v>
      </c>
      <c r="V52" s="581">
        <f>'Initial unit rates'!V181</f>
        <v>0</v>
      </c>
      <c r="W52" s="581">
        <f>'Initial unit rates'!W181</f>
        <v>0</v>
      </c>
      <c r="X52" s="581">
        <f>'Initial unit rates'!X181</f>
        <v>0</v>
      </c>
      <c r="Y52" s="581">
        <f>'Initial unit rates'!Y181</f>
        <v>0</v>
      </c>
      <c r="Z52" s="581">
        <f>'Initial unit rates'!Z181</f>
        <v>0</v>
      </c>
      <c r="AA52" s="581">
        <f>'Initial unit rates'!AA181</f>
        <v>0</v>
      </c>
      <c r="AB52" s="581">
        <f>'Initial unit rates'!AB181</f>
        <v>0</v>
      </c>
      <c r="AC52" s="581">
        <f>'Initial unit rates'!AC181</f>
        <v>0</v>
      </c>
      <c r="AD52" s="581">
        <f>'Initial unit rates'!AD181</f>
        <v>0</v>
      </c>
      <c r="AE52" s="581">
        <f>'Initial unit rates'!AE181</f>
        <v>0</v>
      </c>
      <c r="AF52" s="581">
        <f>'Initial unit rates'!AF181</f>
        <v>0</v>
      </c>
      <c r="AG52" s="581">
        <f>'Initial unit rates'!AG181</f>
        <v>0</v>
      </c>
      <c r="AH52" s="581">
        <f>'Initial unit rates'!AH181</f>
        <v>0</v>
      </c>
      <c r="AI52" s="581">
        <f>'Initial unit rates'!AI181</f>
        <v>0</v>
      </c>
      <c r="AJ52" s="581">
        <f>'Initial unit rates'!AJ181</f>
        <v>0</v>
      </c>
      <c r="AK52" s="581">
        <f>'Initial unit rates'!AK181</f>
        <v>0</v>
      </c>
      <c r="AL52" s="581">
        <f>'Initial unit rates'!AL181</f>
        <v>0</v>
      </c>
      <c r="AM52" s="581">
        <f>'Initial unit rates'!AM181</f>
        <v>0</v>
      </c>
      <c r="AN52" s="581">
        <f>'Initial unit rates'!AN181</f>
        <v>0</v>
      </c>
      <c r="AO52" s="581">
        <f>'Initial unit rates'!AO181</f>
        <v>0</v>
      </c>
      <c r="AP52" s="581">
        <f>'Initial unit rates'!AP181</f>
        <v>0</v>
      </c>
      <c r="AQ52" s="571"/>
      <c r="AR52" s="571"/>
    </row>
    <row r="53" spans="3:44" s="131" customFormat="1" x14ac:dyDescent="0.25">
      <c r="E53" s="175"/>
      <c r="F53" s="176" t="s">
        <v>43</v>
      </c>
      <c r="G53" s="139" t="s">
        <v>201</v>
      </c>
      <c r="H53" s="572"/>
      <c r="I53" s="572"/>
      <c r="J53" s="582">
        <f>'Initial unit rates'!J182</f>
        <v>0</v>
      </c>
      <c r="K53" s="582">
        <f>'Initial unit rates'!K182</f>
        <v>0</v>
      </c>
      <c r="L53" s="582">
        <f>'Initial unit rates'!L182</f>
        <v>0</v>
      </c>
      <c r="M53" s="582">
        <f>'Initial unit rates'!M182</f>
        <v>0</v>
      </c>
      <c r="N53" s="582">
        <f>'Initial unit rates'!N182</f>
        <v>0</v>
      </c>
      <c r="O53" s="582">
        <f>'Initial unit rates'!O182</f>
        <v>0</v>
      </c>
      <c r="P53" s="582">
        <f>'Initial unit rates'!P182</f>
        <v>0</v>
      </c>
      <c r="Q53" s="582">
        <f>'Initial unit rates'!Q182</f>
        <v>0</v>
      </c>
      <c r="R53" s="582">
        <f>'Initial unit rates'!R182</f>
        <v>0</v>
      </c>
      <c r="S53" s="582">
        <f>'Initial unit rates'!S182</f>
        <v>0</v>
      </c>
      <c r="T53" s="582">
        <f>'Initial unit rates'!T182</f>
        <v>0</v>
      </c>
      <c r="U53" s="582">
        <f>'Initial unit rates'!U182</f>
        <v>0</v>
      </c>
      <c r="V53" s="582">
        <f>'Initial unit rates'!V182</f>
        <v>0</v>
      </c>
      <c r="W53" s="582">
        <f>'Initial unit rates'!W182</f>
        <v>0</v>
      </c>
      <c r="X53" s="582">
        <f>'Initial unit rates'!X182</f>
        <v>0</v>
      </c>
      <c r="Y53" s="582">
        <f>'Initial unit rates'!Y182</f>
        <v>0</v>
      </c>
      <c r="Z53" s="582">
        <f>'Initial unit rates'!Z182</f>
        <v>0</v>
      </c>
      <c r="AA53" s="582">
        <f>'Initial unit rates'!AA182</f>
        <v>0</v>
      </c>
      <c r="AB53" s="582">
        <f>'Initial unit rates'!AB182</f>
        <v>0</v>
      </c>
      <c r="AC53" s="582">
        <f>'Initial unit rates'!AC182</f>
        <v>0</v>
      </c>
      <c r="AD53" s="582">
        <f>'Initial unit rates'!AD182</f>
        <v>0</v>
      </c>
      <c r="AE53" s="582">
        <f>'Initial unit rates'!AE182</f>
        <v>0</v>
      </c>
      <c r="AF53" s="582">
        <f>'Initial unit rates'!AF182</f>
        <v>0</v>
      </c>
      <c r="AG53" s="582">
        <f>'Initial unit rates'!AG182</f>
        <v>0</v>
      </c>
      <c r="AH53" s="582">
        <f>'Initial unit rates'!AH182</f>
        <v>0</v>
      </c>
      <c r="AI53" s="582">
        <f>'Initial unit rates'!AI182</f>
        <v>0</v>
      </c>
      <c r="AJ53" s="582">
        <f>'Initial unit rates'!AJ182</f>
        <v>0</v>
      </c>
      <c r="AK53" s="582">
        <f>'Initial unit rates'!AK182</f>
        <v>0</v>
      </c>
      <c r="AL53" s="582">
        <f>'Initial unit rates'!AL182</f>
        <v>0</v>
      </c>
      <c r="AM53" s="582">
        <f>'Initial unit rates'!AM182</f>
        <v>0</v>
      </c>
      <c r="AN53" s="582">
        <f>'Initial unit rates'!AN182</f>
        <v>0</v>
      </c>
      <c r="AO53" s="582">
        <f>'Initial unit rates'!AO182</f>
        <v>0</v>
      </c>
      <c r="AP53" s="582">
        <f>'Initial unit rates'!AP182</f>
        <v>0</v>
      </c>
      <c r="AQ53" s="571"/>
      <c r="AR53" s="571"/>
    </row>
    <row r="54" spans="3:44" s="131" customFormat="1" x14ac:dyDescent="0.25">
      <c r="E54" s="175"/>
      <c r="F54" s="176" t="s">
        <v>44</v>
      </c>
      <c r="G54" s="139" t="s">
        <v>201</v>
      </c>
      <c r="H54" s="572"/>
      <c r="I54" s="572"/>
      <c r="J54" s="582">
        <f>'Initial unit rates'!J183</f>
        <v>0</v>
      </c>
      <c r="K54" s="582">
        <f>'Initial unit rates'!K183</f>
        <v>7.1468899868683067E-3</v>
      </c>
      <c r="L54" s="582">
        <f>'Initial unit rates'!L183</f>
        <v>0</v>
      </c>
      <c r="M54" s="582">
        <f>'Initial unit rates'!M183</f>
        <v>0</v>
      </c>
      <c r="N54" s="582">
        <f>'Initial unit rates'!N183</f>
        <v>1.8776449445186343E-2</v>
      </c>
      <c r="O54" s="582">
        <f>'Initial unit rates'!O183</f>
        <v>0</v>
      </c>
      <c r="P54" s="582">
        <f>'Initial unit rates'!P183</f>
        <v>5.8940929218045564E-3</v>
      </c>
      <c r="Q54" s="582">
        <f>'Initial unit rates'!Q183</f>
        <v>5.5199098157548837E-3</v>
      </c>
      <c r="R54" s="582">
        <f>'Initial unit rates'!R183</f>
        <v>8.7708212926370568E-3</v>
      </c>
      <c r="S54" s="582">
        <f>'Initial unit rates'!S183</f>
        <v>7.3364208119998192E-2</v>
      </c>
      <c r="T54" s="582">
        <f>'Initial unit rates'!T183</f>
        <v>7.7424477720297577E-2</v>
      </c>
      <c r="U54" s="582">
        <f>'Initial unit rates'!U183</f>
        <v>5.7863145951336521E-2</v>
      </c>
      <c r="V54" s="582">
        <f>'Initial unit rates'!V183</f>
        <v>5.3743064077477511E-2</v>
      </c>
      <c r="W54" s="582">
        <f>'Initial unit rates'!W183</f>
        <v>4.8187797445028338E-2</v>
      </c>
      <c r="X54" s="582">
        <f>'Initial unit rates'!X183</f>
        <v>0</v>
      </c>
      <c r="Y54" s="582">
        <f>'Initial unit rates'!Y183</f>
        <v>0</v>
      </c>
      <c r="Z54" s="582">
        <f>'Initial unit rates'!Z183</f>
        <v>0</v>
      </c>
      <c r="AA54" s="582">
        <f>'Initial unit rates'!AA183</f>
        <v>0</v>
      </c>
      <c r="AB54" s="582">
        <f>'Initial unit rates'!AB183</f>
        <v>8.9806761718158143E-2</v>
      </c>
      <c r="AC54" s="582">
        <f>'Initial unit rates'!AC183</f>
        <v>0</v>
      </c>
      <c r="AD54" s="582">
        <f>'Initial unit rates'!AD183</f>
        <v>0</v>
      </c>
      <c r="AE54" s="582">
        <f>'Initial unit rates'!AE183</f>
        <v>0</v>
      </c>
      <c r="AF54" s="582">
        <f>'Initial unit rates'!AF183</f>
        <v>0</v>
      </c>
      <c r="AG54" s="582">
        <f>'Initial unit rates'!AG183</f>
        <v>-4.8539495133373571E-2</v>
      </c>
      <c r="AH54" s="582">
        <f>'Initial unit rates'!AH183</f>
        <v>-4.8539495133373571E-2</v>
      </c>
      <c r="AI54" s="582">
        <f>'Initial unit rates'!AI183</f>
        <v>0</v>
      </c>
      <c r="AJ54" s="582">
        <f>'Initial unit rates'!AJ183</f>
        <v>0</v>
      </c>
      <c r="AK54" s="582">
        <f>'Initial unit rates'!AK183</f>
        <v>-4.6622875949962138E-2</v>
      </c>
      <c r="AL54" s="582">
        <f>'Initial unit rates'!AL183</f>
        <v>-4.6622875949962138E-2</v>
      </c>
      <c r="AM54" s="582">
        <f>'Initial unit rates'!AM183</f>
        <v>0</v>
      </c>
      <c r="AN54" s="582">
        <f>'Initial unit rates'!AN183</f>
        <v>0</v>
      </c>
      <c r="AO54" s="582">
        <f>'Initial unit rates'!AO183</f>
        <v>-4.5954287862725575E-2</v>
      </c>
      <c r="AP54" s="582">
        <f>'Initial unit rates'!AP183</f>
        <v>-4.5954287862725575E-2</v>
      </c>
      <c r="AQ54" s="571"/>
      <c r="AR54" s="571"/>
    </row>
    <row r="55" spans="3:44" s="131" customFormat="1" x14ac:dyDescent="0.25">
      <c r="E55" s="175"/>
      <c r="F55" s="176" t="s">
        <v>45</v>
      </c>
      <c r="G55" s="139" t="s">
        <v>201</v>
      </c>
      <c r="H55" s="572"/>
      <c r="I55" s="572"/>
      <c r="J55" s="582">
        <f>'Initial unit rates'!J184</f>
        <v>0</v>
      </c>
      <c r="K55" s="582">
        <f>'Initial unit rates'!K184</f>
        <v>1.9890060826537248E-3</v>
      </c>
      <c r="L55" s="582">
        <f>'Initial unit rates'!L184</f>
        <v>0</v>
      </c>
      <c r="M55" s="582">
        <f>'Initial unit rates'!M184</f>
        <v>0</v>
      </c>
      <c r="N55" s="582">
        <f>'Initial unit rates'!N184</f>
        <v>5.2255557628193778E-3</v>
      </c>
      <c r="O55" s="582">
        <f>'Initial unit rates'!O184</f>
        <v>0</v>
      </c>
      <c r="P55" s="582">
        <f>'Initial unit rates'!P184</f>
        <v>1.640347996784066E-3</v>
      </c>
      <c r="Q55" s="582">
        <f>'Initial unit rates'!Q184</f>
        <v>1.5362114457350708E-3</v>
      </c>
      <c r="R55" s="582">
        <f>'Initial unit rates'!R184</f>
        <v>2.4409522089996827E-3</v>
      </c>
      <c r="S55" s="582">
        <f>'Initial unit rates'!S184</f>
        <v>2.0417532166839978E-2</v>
      </c>
      <c r="T55" s="582">
        <f>'Initial unit rates'!T184</f>
        <v>2.154752030812215E-2</v>
      </c>
      <c r="U55" s="582">
        <f>'Initial unit rates'!U184</f>
        <v>1.6103528873419794E-2</v>
      </c>
      <c r="V55" s="582">
        <f>'Initial unit rates'!V184</f>
        <v>1.4956894753796546E-2</v>
      </c>
      <c r="W55" s="582">
        <f>'Initial unit rates'!W184</f>
        <v>1.3410843374384392E-2</v>
      </c>
      <c r="X55" s="582">
        <f>'Initial unit rates'!X184</f>
        <v>0</v>
      </c>
      <c r="Y55" s="582">
        <f>'Initial unit rates'!Y184</f>
        <v>0</v>
      </c>
      <c r="Z55" s="582">
        <f>'Initial unit rates'!Z184</f>
        <v>0</v>
      </c>
      <c r="AA55" s="582">
        <f>'Initial unit rates'!AA184</f>
        <v>0</v>
      </c>
      <c r="AB55" s="582">
        <f>'Initial unit rates'!AB184</f>
        <v>2.499355602913406E-2</v>
      </c>
      <c r="AC55" s="582">
        <f>'Initial unit rates'!AC184</f>
        <v>0</v>
      </c>
      <c r="AD55" s="582">
        <f>'Initial unit rates'!AD184</f>
        <v>0</v>
      </c>
      <c r="AE55" s="582">
        <f>'Initial unit rates'!AE184</f>
        <v>0</v>
      </c>
      <c r="AF55" s="582">
        <f>'Initial unit rates'!AF184</f>
        <v>0</v>
      </c>
      <c r="AG55" s="582">
        <f>'Initial unit rates'!AG184</f>
        <v>-1.3508722149999972E-2</v>
      </c>
      <c r="AH55" s="582">
        <f>'Initial unit rates'!AH184</f>
        <v>-1.3508722149999972E-2</v>
      </c>
      <c r="AI55" s="582">
        <f>'Initial unit rates'!AI184</f>
        <v>0</v>
      </c>
      <c r="AJ55" s="582">
        <f>'Initial unit rates'!AJ184</f>
        <v>0</v>
      </c>
      <c r="AK55" s="582">
        <f>'Initial unit rates'!AK184</f>
        <v>-1.2975319897979771E-2</v>
      </c>
      <c r="AL55" s="582">
        <f>'Initial unit rates'!AL184</f>
        <v>-1.2975319897979771E-2</v>
      </c>
      <c r="AM55" s="582">
        <f>'Initial unit rates'!AM184</f>
        <v>0</v>
      </c>
      <c r="AN55" s="582">
        <f>'Initial unit rates'!AN184</f>
        <v>0</v>
      </c>
      <c r="AO55" s="582">
        <f>'Initial unit rates'!AO184</f>
        <v>-1.2789249344949467E-2</v>
      </c>
      <c r="AP55" s="582">
        <f>'Initial unit rates'!AP184</f>
        <v>-1.2789249344949467E-2</v>
      </c>
      <c r="AQ55" s="571"/>
      <c r="AR55" s="571"/>
    </row>
    <row r="56" spans="3:44" s="131" customFormat="1" x14ac:dyDescent="0.25">
      <c r="E56" s="175"/>
      <c r="F56" s="176" t="s">
        <v>46</v>
      </c>
      <c r="G56" s="139" t="s">
        <v>201</v>
      </c>
      <c r="H56" s="572"/>
      <c r="I56" s="572"/>
      <c r="J56" s="582">
        <f>'Initial unit rates'!J185</f>
        <v>0</v>
      </c>
      <c r="K56" s="582">
        <f>'Initial unit rates'!K185</f>
        <v>1.0437244821430073E-2</v>
      </c>
      <c r="L56" s="582">
        <f>'Initial unit rates'!L185</f>
        <v>0</v>
      </c>
      <c r="M56" s="582">
        <f>'Initial unit rates'!M185</f>
        <v>0</v>
      </c>
      <c r="N56" s="582">
        <f>'Initial unit rates'!N185</f>
        <v>2.5923129200984236E-2</v>
      </c>
      <c r="O56" s="582">
        <f>'Initial unit rates'!O185</f>
        <v>0</v>
      </c>
      <c r="P56" s="582">
        <f>'Initial unit rates'!P185</f>
        <v>9.3764952503399505E-3</v>
      </c>
      <c r="Q56" s="582">
        <f>'Initial unit rates'!Q185</f>
        <v>8.5122406275846569E-3</v>
      </c>
      <c r="R56" s="582">
        <f>'Initial unit rates'!R185</f>
        <v>1.2561592111073818E-2</v>
      </c>
      <c r="S56" s="582">
        <f>'Initial unit rates'!S185</f>
        <v>8.9245693750505894E-2</v>
      </c>
      <c r="T56" s="582">
        <f>'Initial unit rates'!T185</f>
        <v>9.4201663429411678E-2</v>
      </c>
      <c r="U56" s="582">
        <f>'Initial unit rates'!U185</f>
        <v>7.0422626758847584E-2</v>
      </c>
      <c r="V56" s="582">
        <f>'Initial unit rates'!V185</f>
        <v>6.5408260822666292E-2</v>
      </c>
      <c r="W56" s="582">
        <f>'Initial unit rates'!W185</f>
        <v>5.7331276420751122E-2</v>
      </c>
      <c r="X56" s="582">
        <f>'Initial unit rates'!X185</f>
        <v>0</v>
      </c>
      <c r="Y56" s="582">
        <f>'Initial unit rates'!Y185</f>
        <v>0</v>
      </c>
      <c r="Z56" s="582">
        <f>'Initial unit rates'!Z185</f>
        <v>0</v>
      </c>
      <c r="AA56" s="582">
        <f>'Initial unit rates'!AA185</f>
        <v>0</v>
      </c>
      <c r="AB56" s="582">
        <f>'Initial unit rates'!AB185</f>
        <v>7.2213711035596123E-2</v>
      </c>
      <c r="AC56" s="582">
        <f>'Initial unit rates'!AC185</f>
        <v>0</v>
      </c>
      <c r="AD56" s="582">
        <f>'Initial unit rates'!AD185</f>
        <v>0</v>
      </c>
      <c r="AE56" s="582">
        <f>'Initial unit rates'!AE185</f>
        <v>0</v>
      </c>
      <c r="AF56" s="582">
        <f>'Initial unit rates'!AF185</f>
        <v>0</v>
      </c>
      <c r="AG56" s="582">
        <f>'Initial unit rates'!AG185</f>
        <v>-5.9075231611417596E-2</v>
      </c>
      <c r="AH56" s="582">
        <f>'Initial unit rates'!AH185</f>
        <v>-5.9075231611417596E-2</v>
      </c>
      <c r="AI56" s="582">
        <f>'Initial unit rates'!AI185</f>
        <v>0</v>
      </c>
      <c r="AJ56" s="582">
        <f>'Initial unit rates'!AJ185</f>
        <v>0</v>
      </c>
      <c r="AK56" s="582">
        <f>'Initial unit rates'!AK185</f>
        <v>-5.6742600794805149E-2</v>
      </c>
      <c r="AL56" s="582">
        <f>'Initial unit rates'!AL185</f>
        <v>-5.6742600794805149E-2</v>
      </c>
      <c r="AM56" s="582">
        <f>'Initial unit rates'!AM185</f>
        <v>0</v>
      </c>
      <c r="AN56" s="582">
        <f>'Initial unit rates'!AN185</f>
        <v>0</v>
      </c>
      <c r="AO56" s="582">
        <f>'Initial unit rates'!AO185</f>
        <v>-5.4673965606795112E-2</v>
      </c>
      <c r="AP56" s="582">
        <f>'Initial unit rates'!AP185</f>
        <v>-5.4673965606795112E-2</v>
      </c>
      <c r="AQ56" s="571"/>
      <c r="AR56" s="571"/>
    </row>
    <row r="57" spans="3:44" s="131" customFormat="1" x14ac:dyDescent="0.25">
      <c r="E57" s="175"/>
      <c r="F57" s="176" t="s">
        <v>47</v>
      </c>
      <c r="G57" s="139" t="s">
        <v>201</v>
      </c>
      <c r="H57" s="572"/>
      <c r="I57" s="572"/>
      <c r="J57" s="582">
        <f>'Initial unit rates'!J186</f>
        <v>0</v>
      </c>
      <c r="K57" s="582">
        <f>'Initial unit rates'!K186</f>
        <v>7.8530374961474671E-3</v>
      </c>
      <c r="L57" s="582">
        <f>'Initial unit rates'!L186</f>
        <v>0</v>
      </c>
      <c r="M57" s="582">
        <f>'Initial unit rates'!M186</f>
        <v>0</v>
      </c>
      <c r="N57" s="582">
        <f>'Initial unit rates'!N186</f>
        <v>1.9504697754604491E-2</v>
      </c>
      <c r="O57" s="582">
        <f>'Initial unit rates'!O186</f>
        <v>0</v>
      </c>
      <c r="P57" s="582">
        <f>'Initial unit rates'!P186</f>
        <v>7.0549239807214947E-3</v>
      </c>
      <c r="Q57" s="582">
        <f>'Initial unit rates'!Q186</f>
        <v>6.4046542903161549E-3</v>
      </c>
      <c r="R57" s="582">
        <f>'Initial unit rates'!R186</f>
        <v>9.2523153518570302E-3</v>
      </c>
      <c r="S57" s="582">
        <f>'Initial unit rates'!S186</f>
        <v>6.7148925926640152E-2</v>
      </c>
      <c r="T57" s="582">
        <f>'Initial unit rates'!T186</f>
        <v>7.0877823387999528E-2</v>
      </c>
      <c r="U57" s="582">
        <f>'Initial unit rates'!U186</f>
        <v>5.298635204751799E-2</v>
      </c>
      <c r="V57" s="582">
        <f>'Initial unit rates'!V186</f>
        <v>4.9213516937299646E-2</v>
      </c>
      <c r="W57" s="582">
        <f>'Initial unit rates'!W186</f>
        <v>4.2227692499396861E-2</v>
      </c>
      <c r="X57" s="582">
        <f>'Initial unit rates'!X186</f>
        <v>0</v>
      </c>
      <c r="Y57" s="582">
        <f>'Initial unit rates'!Y186</f>
        <v>0</v>
      </c>
      <c r="Z57" s="582">
        <f>'Initial unit rates'!Z186</f>
        <v>0</v>
      </c>
      <c r="AA57" s="582">
        <f>'Initial unit rates'!AA186</f>
        <v>0</v>
      </c>
      <c r="AB57" s="582">
        <f>'Initial unit rates'!AB186</f>
        <v>5.433397320853426E-2</v>
      </c>
      <c r="AC57" s="582">
        <f>'Initial unit rates'!AC186</f>
        <v>0</v>
      </c>
      <c r="AD57" s="582">
        <f>'Initial unit rates'!AD186</f>
        <v>0</v>
      </c>
      <c r="AE57" s="582">
        <f>'Initial unit rates'!AE186</f>
        <v>0</v>
      </c>
      <c r="AF57" s="582">
        <f>'Initial unit rates'!AF186</f>
        <v>0</v>
      </c>
      <c r="AG57" s="582">
        <f>'Initial unit rates'!AG186</f>
        <v>-4.4448512694224014E-2</v>
      </c>
      <c r="AH57" s="582">
        <f>'Initial unit rates'!AH186</f>
        <v>-4.4448512694224014E-2</v>
      </c>
      <c r="AI57" s="582">
        <f>'Initial unit rates'!AI186</f>
        <v>0</v>
      </c>
      <c r="AJ57" s="582">
        <f>'Initial unit rates'!AJ186</f>
        <v>0</v>
      </c>
      <c r="AK57" s="582">
        <f>'Initial unit rates'!AK186</f>
        <v>-4.2693429089217944E-2</v>
      </c>
      <c r="AL57" s="582">
        <f>'Initial unit rates'!AL186</f>
        <v>-4.2693429089217944E-2</v>
      </c>
      <c r="AM57" s="582">
        <f>'Initial unit rates'!AM186</f>
        <v>0</v>
      </c>
      <c r="AN57" s="582">
        <f>'Initial unit rates'!AN186</f>
        <v>0</v>
      </c>
      <c r="AO57" s="582">
        <f>'Initial unit rates'!AO186</f>
        <v>-4.0270434420865031E-2</v>
      </c>
      <c r="AP57" s="582">
        <f>'Initial unit rates'!AP186</f>
        <v>-4.0270434420865031E-2</v>
      </c>
      <c r="AQ57" s="571"/>
      <c r="AR57" s="571"/>
    </row>
    <row r="58" spans="3:44" s="131" customFormat="1" x14ac:dyDescent="0.25">
      <c r="E58" s="175"/>
      <c r="F58" s="176" t="s">
        <v>51</v>
      </c>
      <c r="G58" s="139" t="s">
        <v>201</v>
      </c>
      <c r="H58" s="572"/>
      <c r="I58" s="572"/>
      <c r="J58" s="582">
        <f>'Initial unit rates'!J187</f>
        <v>0</v>
      </c>
      <c r="K58" s="582">
        <f>'Initial unit rates'!K187</f>
        <v>0</v>
      </c>
      <c r="L58" s="582">
        <f>'Initial unit rates'!L187</f>
        <v>0</v>
      </c>
      <c r="M58" s="582">
        <f>'Initial unit rates'!M187</f>
        <v>0</v>
      </c>
      <c r="N58" s="582">
        <f>'Initial unit rates'!N187</f>
        <v>0</v>
      </c>
      <c r="O58" s="582">
        <f>'Initial unit rates'!O187</f>
        <v>0</v>
      </c>
      <c r="P58" s="582">
        <f>'Initial unit rates'!P187</f>
        <v>0</v>
      </c>
      <c r="Q58" s="582">
        <f>'Initial unit rates'!Q187</f>
        <v>0</v>
      </c>
      <c r="R58" s="582">
        <f>'Initial unit rates'!R187</f>
        <v>0</v>
      </c>
      <c r="S58" s="582">
        <f>'Initial unit rates'!S187</f>
        <v>0</v>
      </c>
      <c r="T58" s="582">
        <f>'Initial unit rates'!T187</f>
        <v>0</v>
      </c>
      <c r="U58" s="582">
        <f>'Initial unit rates'!U187</f>
        <v>0</v>
      </c>
      <c r="V58" s="582">
        <f>'Initial unit rates'!V187</f>
        <v>0</v>
      </c>
      <c r="W58" s="582">
        <f>'Initial unit rates'!W187</f>
        <v>0</v>
      </c>
      <c r="X58" s="582">
        <f>'Initial unit rates'!X187</f>
        <v>0</v>
      </c>
      <c r="Y58" s="582">
        <f>'Initial unit rates'!Y187</f>
        <v>0</v>
      </c>
      <c r="Z58" s="582">
        <f>'Initial unit rates'!Z187</f>
        <v>0</v>
      </c>
      <c r="AA58" s="582">
        <f>'Initial unit rates'!AA187</f>
        <v>0</v>
      </c>
      <c r="AB58" s="582">
        <f>'Initial unit rates'!AB187</f>
        <v>0</v>
      </c>
      <c r="AC58" s="582">
        <f>'Initial unit rates'!AC187</f>
        <v>0</v>
      </c>
      <c r="AD58" s="582">
        <f>'Initial unit rates'!AD187</f>
        <v>0</v>
      </c>
      <c r="AE58" s="582">
        <f>'Initial unit rates'!AE187</f>
        <v>0</v>
      </c>
      <c r="AF58" s="582">
        <f>'Initial unit rates'!AF187</f>
        <v>0</v>
      </c>
      <c r="AG58" s="582">
        <f>'Initial unit rates'!AG187</f>
        <v>0</v>
      </c>
      <c r="AH58" s="582">
        <f>'Initial unit rates'!AH187</f>
        <v>0</v>
      </c>
      <c r="AI58" s="582">
        <f>'Initial unit rates'!AI187</f>
        <v>0</v>
      </c>
      <c r="AJ58" s="582">
        <f>'Initial unit rates'!AJ187</f>
        <v>0</v>
      </c>
      <c r="AK58" s="582">
        <f>'Initial unit rates'!AK187</f>
        <v>0</v>
      </c>
      <c r="AL58" s="582">
        <f>'Initial unit rates'!AL187</f>
        <v>0</v>
      </c>
      <c r="AM58" s="582">
        <f>'Initial unit rates'!AM187</f>
        <v>0</v>
      </c>
      <c r="AN58" s="582">
        <f>'Initial unit rates'!AN187</f>
        <v>0</v>
      </c>
      <c r="AO58" s="582">
        <f>'Initial unit rates'!AO187</f>
        <v>0</v>
      </c>
      <c r="AP58" s="582">
        <f>'Initial unit rates'!AP187</f>
        <v>0</v>
      </c>
      <c r="AQ58" s="571"/>
      <c r="AR58" s="571"/>
    </row>
    <row r="59" spans="3:44" s="131" customFormat="1" x14ac:dyDescent="0.25">
      <c r="E59" s="175"/>
      <c r="F59" s="176" t="s">
        <v>48</v>
      </c>
      <c r="G59" s="139" t="s">
        <v>201</v>
      </c>
      <c r="H59" s="572"/>
      <c r="I59" s="572"/>
      <c r="J59" s="582">
        <f>'Initial unit rates'!J188</f>
        <v>0</v>
      </c>
      <c r="K59" s="582">
        <f>'Initial unit rates'!K188</f>
        <v>3.041469746739147E-2</v>
      </c>
      <c r="L59" s="582">
        <f>'Initial unit rates'!L188</f>
        <v>0</v>
      </c>
      <c r="M59" s="582">
        <f>'Initial unit rates'!M188</f>
        <v>0</v>
      </c>
      <c r="N59" s="582">
        <f>'Initial unit rates'!N188</f>
        <v>7.2861242686592192E-2</v>
      </c>
      <c r="O59" s="582">
        <f>'Initial unit rates'!O188</f>
        <v>0</v>
      </c>
      <c r="P59" s="582">
        <f>'Initial unit rates'!P188</f>
        <v>2.79062215212421E-2</v>
      </c>
      <c r="Q59" s="582">
        <f>'Initial unit rates'!Q188</f>
        <v>2.5040174038317962E-2</v>
      </c>
      <c r="R59" s="582">
        <f>'Initial unit rates'!R188</f>
        <v>3.4813056059155204E-2</v>
      </c>
      <c r="S59" s="582">
        <f>'Initial unit rates'!S188</f>
        <v>0.23550825932094649</v>
      </c>
      <c r="T59" s="582">
        <f>'Initial unit rates'!T188</f>
        <v>0.24866536500589811</v>
      </c>
      <c r="U59" s="582">
        <f>'Initial unit rates'!U188</f>
        <v>0.18596373610735464</v>
      </c>
      <c r="V59" s="582">
        <f>'Initial unit rates'!V188</f>
        <v>0.17272239214421467</v>
      </c>
      <c r="W59" s="582">
        <f>'Initial unit rates'!W188</f>
        <v>0.1455619871467432</v>
      </c>
      <c r="X59" s="582">
        <f>'Initial unit rates'!X188</f>
        <v>0</v>
      </c>
      <c r="Y59" s="582">
        <f>'Initial unit rates'!Y188</f>
        <v>0</v>
      </c>
      <c r="Z59" s="582">
        <f>'Initial unit rates'!Z188</f>
        <v>0</v>
      </c>
      <c r="AA59" s="582">
        <f>'Initial unit rates'!AA188</f>
        <v>0</v>
      </c>
      <c r="AB59" s="582">
        <f>'Initial unit rates'!AB188</f>
        <v>0.16029608530577649</v>
      </c>
      <c r="AC59" s="582">
        <f>'Initial unit rates'!AC188</f>
        <v>0</v>
      </c>
      <c r="AD59" s="582">
        <f>'Initial unit rates'!AD188</f>
        <v>0</v>
      </c>
      <c r="AE59" s="582">
        <f>'Initial unit rates'!AE188</f>
        <v>0</v>
      </c>
      <c r="AF59" s="582">
        <f>'Initial unit rates'!AF188</f>
        <v>0</v>
      </c>
      <c r="AG59" s="582">
        <f>'Initial unit rates'!AG188</f>
        <v>-0.15599887830776352</v>
      </c>
      <c r="AH59" s="582">
        <f>'Initial unit rates'!AH188</f>
        <v>-0.15599887830776352</v>
      </c>
      <c r="AI59" s="582">
        <f>'Initial unit rates'!AI188</f>
        <v>0</v>
      </c>
      <c r="AJ59" s="582">
        <f>'Initial unit rates'!AJ188</f>
        <v>0</v>
      </c>
      <c r="AK59" s="582">
        <f>'Initial unit rates'!AK188</f>
        <v>-0.1498391429843165</v>
      </c>
      <c r="AL59" s="582">
        <f>'Initial unit rates'!AL188</f>
        <v>-0.1498391429843165</v>
      </c>
      <c r="AM59" s="582">
        <f>'Initial unit rates'!AM188</f>
        <v>0</v>
      </c>
      <c r="AN59" s="582">
        <f>'Initial unit rates'!AN188</f>
        <v>0</v>
      </c>
      <c r="AO59" s="582">
        <f>'Initial unit rates'!AO188</f>
        <v>0</v>
      </c>
      <c r="AP59" s="582">
        <f>'Initial unit rates'!AP188</f>
        <v>0</v>
      </c>
      <c r="AQ59" s="571"/>
      <c r="AR59" s="571"/>
    </row>
    <row r="60" spans="3:44" s="131" customFormat="1" x14ac:dyDescent="0.25">
      <c r="E60" s="175"/>
      <c r="F60" s="176" t="s">
        <v>49</v>
      </c>
      <c r="G60" s="139" t="s">
        <v>201</v>
      </c>
      <c r="H60" s="572"/>
      <c r="I60" s="572"/>
      <c r="J60" s="582">
        <f>'Initial unit rates'!J189</f>
        <v>0</v>
      </c>
      <c r="K60" s="582">
        <f>'Initial unit rates'!K189</f>
        <v>8.7614059686601988E-3</v>
      </c>
      <c r="L60" s="582">
        <f>'Initial unit rates'!L189</f>
        <v>0</v>
      </c>
      <c r="M60" s="582">
        <f>'Initial unit rates'!M189</f>
        <v>0</v>
      </c>
      <c r="N60" s="582">
        <f>'Initial unit rates'!N189</f>
        <v>2.0988764634030002E-2</v>
      </c>
      <c r="O60" s="582">
        <f>'Initial unit rates'!O189</f>
        <v>0</v>
      </c>
      <c r="P60" s="582">
        <f>'Initial unit rates'!P189</f>
        <v>8.0388021633651854E-3</v>
      </c>
      <c r="Q60" s="582">
        <f>'Initial unit rates'!Q189</f>
        <v>7.213194558677455E-3</v>
      </c>
      <c r="R60" s="582">
        <f>'Initial unit rates'!R189</f>
        <v>0</v>
      </c>
      <c r="S60" s="582">
        <f>'Initial unit rates'!S189</f>
        <v>6.7841656853418669E-2</v>
      </c>
      <c r="T60" s="582">
        <f>'Initial unit rates'!T189</f>
        <v>7.1631756833930332E-2</v>
      </c>
      <c r="U60" s="582">
        <f>'Initial unit rates'!U189</f>
        <v>5.3569620057281615E-2</v>
      </c>
      <c r="V60" s="582">
        <f>'Initial unit rates'!V189</f>
        <v>4.9755253987847012E-2</v>
      </c>
      <c r="W60" s="582">
        <f>'Initial unit rates'!W189</f>
        <v>0</v>
      </c>
      <c r="X60" s="582">
        <f>'Initial unit rates'!X189</f>
        <v>0</v>
      </c>
      <c r="Y60" s="582">
        <f>'Initial unit rates'!Y189</f>
        <v>0</v>
      </c>
      <c r="Z60" s="582">
        <f>'Initial unit rates'!Z189</f>
        <v>0</v>
      </c>
      <c r="AA60" s="582">
        <f>'Initial unit rates'!AA189</f>
        <v>0</v>
      </c>
      <c r="AB60" s="582">
        <f>'Initial unit rates'!AB189</f>
        <v>4.6175671484374126E-2</v>
      </c>
      <c r="AC60" s="582">
        <f>'Initial unit rates'!AC189</f>
        <v>0</v>
      </c>
      <c r="AD60" s="582">
        <f>'Initial unit rates'!AD189</f>
        <v>0</v>
      </c>
      <c r="AE60" s="582">
        <f>'Initial unit rates'!AE189</f>
        <v>0</v>
      </c>
      <c r="AF60" s="582">
        <f>'Initial unit rates'!AF189</f>
        <v>0</v>
      </c>
      <c r="AG60" s="582">
        <f>'Initial unit rates'!AG189</f>
        <v>-4.4937797095476309E-2</v>
      </c>
      <c r="AH60" s="582">
        <f>'Initial unit rates'!AH189</f>
        <v>-4.4937797095476309E-2</v>
      </c>
      <c r="AI60" s="582">
        <f>'Initial unit rates'!AI189</f>
        <v>0</v>
      </c>
      <c r="AJ60" s="582">
        <f>'Initial unit rates'!AJ189</f>
        <v>0</v>
      </c>
      <c r="AK60" s="582">
        <f>'Initial unit rates'!AK189</f>
        <v>0</v>
      </c>
      <c r="AL60" s="582">
        <f>'Initial unit rates'!AL189</f>
        <v>0</v>
      </c>
      <c r="AM60" s="582">
        <f>'Initial unit rates'!AM189</f>
        <v>0</v>
      </c>
      <c r="AN60" s="582">
        <f>'Initial unit rates'!AN189</f>
        <v>0</v>
      </c>
      <c r="AO60" s="582">
        <f>'Initial unit rates'!AO189</f>
        <v>0</v>
      </c>
      <c r="AP60" s="582">
        <f>'Initial unit rates'!AP189</f>
        <v>0</v>
      </c>
      <c r="AQ60" s="571"/>
      <c r="AR60" s="571"/>
    </row>
    <row r="61" spans="3:44" s="131" customFormat="1" x14ac:dyDescent="0.25">
      <c r="E61" s="175"/>
      <c r="F61" s="176" t="s">
        <v>50</v>
      </c>
      <c r="G61" s="139" t="s">
        <v>201</v>
      </c>
      <c r="H61" s="572"/>
      <c r="I61" s="572"/>
      <c r="J61" s="582">
        <f>'Initial unit rates'!J190</f>
        <v>0</v>
      </c>
      <c r="K61" s="582">
        <f>'Initial unit rates'!K190</f>
        <v>1.2039910815869639E-3</v>
      </c>
      <c r="L61" s="582">
        <f>'Initial unit rates'!L190</f>
        <v>0</v>
      </c>
      <c r="M61" s="582">
        <f>'Initial unit rates'!M190</f>
        <v>0</v>
      </c>
      <c r="N61" s="582">
        <f>'Initial unit rates'!N190</f>
        <v>2.8842728579513994E-3</v>
      </c>
      <c r="O61" s="582">
        <f>'Initial unit rates'!O190</f>
        <v>0</v>
      </c>
      <c r="P61" s="582">
        <f>'Initial unit rates'!P190</f>
        <v>1.1046909760778661E-3</v>
      </c>
      <c r="Q61" s="582">
        <f>'Initial unit rates'!Q190</f>
        <v>0</v>
      </c>
      <c r="R61" s="582">
        <f>'Initial unit rates'!R190</f>
        <v>0</v>
      </c>
      <c r="S61" s="582">
        <f>'Initial unit rates'!S190</f>
        <v>9.3227902124126648E-3</v>
      </c>
      <c r="T61" s="582">
        <f>'Initial unit rates'!T190</f>
        <v>9.8436251778487877E-3</v>
      </c>
      <c r="U61" s="582">
        <f>'Initial unit rates'!U190</f>
        <v>7.3615290769173444E-3</v>
      </c>
      <c r="V61" s="582">
        <f>'Initial unit rates'!V190</f>
        <v>0</v>
      </c>
      <c r="W61" s="582">
        <f>'Initial unit rates'!W190</f>
        <v>0</v>
      </c>
      <c r="X61" s="582">
        <f>'Initial unit rates'!X190</f>
        <v>0</v>
      </c>
      <c r="Y61" s="582">
        <f>'Initial unit rates'!Y190</f>
        <v>0</v>
      </c>
      <c r="Z61" s="582">
        <f>'Initial unit rates'!Z190</f>
        <v>0</v>
      </c>
      <c r="AA61" s="582">
        <f>'Initial unit rates'!AA190</f>
        <v>0</v>
      </c>
      <c r="AB61" s="582">
        <f>'Initial unit rates'!AB190</f>
        <v>6.3454537835983399E-3</v>
      </c>
      <c r="AC61" s="582">
        <f>'Initial unit rates'!AC190</f>
        <v>0</v>
      </c>
      <c r="AD61" s="582">
        <f>'Initial unit rates'!AD190</f>
        <v>0</v>
      </c>
      <c r="AE61" s="582">
        <f>'Initial unit rates'!AE190</f>
        <v>0</v>
      </c>
      <c r="AF61" s="582">
        <f>'Initial unit rates'!AF190</f>
        <v>0</v>
      </c>
      <c r="AG61" s="582">
        <f>'Initial unit rates'!AG190</f>
        <v>0</v>
      </c>
      <c r="AH61" s="582">
        <f>'Initial unit rates'!AH190</f>
        <v>0</v>
      </c>
      <c r="AI61" s="582">
        <f>'Initial unit rates'!AI190</f>
        <v>0</v>
      </c>
      <c r="AJ61" s="582">
        <f>'Initial unit rates'!AJ190</f>
        <v>0</v>
      </c>
      <c r="AK61" s="582">
        <f>'Initial unit rates'!AK190</f>
        <v>0</v>
      </c>
      <c r="AL61" s="582">
        <f>'Initial unit rates'!AL190</f>
        <v>0</v>
      </c>
      <c r="AM61" s="582">
        <f>'Initial unit rates'!AM190</f>
        <v>0</v>
      </c>
      <c r="AN61" s="582">
        <f>'Initial unit rates'!AN190</f>
        <v>0</v>
      </c>
      <c r="AO61" s="582">
        <f>'Initial unit rates'!AO190</f>
        <v>0</v>
      </c>
      <c r="AP61" s="582">
        <f>'Initial unit rates'!AP190</f>
        <v>0</v>
      </c>
      <c r="AQ61" s="571"/>
      <c r="AR61" s="571"/>
    </row>
    <row r="62" spans="3:44" s="131" customFormat="1" x14ac:dyDescent="0.25">
      <c r="E62" s="175"/>
      <c r="F62" s="180" t="s">
        <v>141</v>
      </c>
      <c r="G62" s="137" t="s">
        <v>201</v>
      </c>
      <c r="H62" s="569"/>
      <c r="I62" s="569"/>
      <c r="J62" s="583"/>
      <c r="K62" s="583"/>
      <c r="L62" s="583"/>
      <c r="M62" s="583"/>
      <c r="N62" s="583"/>
      <c r="O62" s="583"/>
      <c r="P62" s="583"/>
      <c r="Q62" s="583"/>
      <c r="R62" s="583"/>
      <c r="S62" s="583"/>
      <c r="T62" s="583"/>
      <c r="U62" s="583"/>
      <c r="V62" s="583"/>
      <c r="W62" s="583"/>
      <c r="X62" s="583"/>
      <c r="Y62" s="583"/>
      <c r="Z62" s="583"/>
      <c r="AA62" s="583"/>
      <c r="AB62" s="583"/>
      <c r="AC62" s="583"/>
      <c r="AD62" s="583"/>
      <c r="AE62" s="583"/>
      <c r="AF62" s="583"/>
      <c r="AG62" s="583"/>
      <c r="AH62" s="583"/>
      <c r="AI62" s="583"/>
      <c r="AJ62" s="583"/>
      <c r="AK62" s="583"/>
      <c r="AL62" s="583"/>
      <c r="AM62" s="583"/>
      <c r="AN62" s="583"/>
      <c r="AO62" s="583"/>
      <c r="AP62" s="583"/>
      <c r="AQ62" s="571"/>
      <c r="AR62" s="571"/>
    </row>
    <row r="63" spans="3:44" s="131" customFormat="1" x14ac:dyDescent="0.25">
      <c r="E63" s="175"/>
      <c r="F63" s="177" t="s">
        <v>140</v>
      </c>
      <c r="G63" s="140" t="s">
        <v>201</v>
      </c>
      <c r="H63" s="574"/>
      <c r="I63" s="574"/>
      <c r="J63" s="579"/>
      <c r="K63" s="579"/>
      <c r="L63" s="579"/>
      <c r="M63" s="579"/>
      <c r="N63" s="579"/>
      <c r="O63" s="579"/>
      <c r="P63" s="579"/>
      <c r="Q63" s="579"/>
      <c r="R63" s="579"/>
      <c r="S63" s="579"/>
      <c r="T63" s="579"/>
      <c r="U63" s="579"/>
      <c r="V63" s="579"/>
      <c r="W63" s="579"/>
      <c r="X63" s="579"/>
      <c r="Y63" s="579"/>
      <c r="Z63" s="579"/>
      <c r="AA63" s="579"/>
      <c r="AB63" s="579"/>
      <c r="AC63" s="579"/>
      <c r="AD63" s="579"/>
      <c r="AE63" s="579"/>
      <c r="AF63" s="579"/>
      <c r="AG63" s="579"/>
      <c r="AH63" s="579"/>
      <c r="AI63" s="579"/>
      <c r="AJ63" s="579"/>
      <c r="AK63" s="579"/>
      <c r="AL63" s="579"/>
      <c r="AM63" s="579"/>
      <c r="AN63" s="579"/>
      <c r="AO63" s="579"/>
      <c r="AP63" s="579"/>
      <c r="AQ63" s="571"/>
      <c r="AR63" s="571"/>
    </row>
    <row r="64" spans="3:44" s="160" customFormat="1" x14ac:dyDescent="0.25">
      <c r="E64" s="175"/>
      <c r="F64" s="176"/>
      <c r="G64" s="167"/>
      <c r="H64" s="167"/>
      <c r="J64" s="416"/>
      <c r="K64" s="416"/>
      <c r="L64" s="416"/>
      <c r="M64" s="416"/>
      <c r="N64" s="416"/>
      <c r="O64" s="416"/>
      <c r="P64" s="416"/>
      <c r="Q64" s="416"/>
      <c r="R64" s="416"/>
      <c r="S64" s="416"/>
      <c r="T64" s="416"/>
      <c r="U64" s="416"/>
      <c r="V64" s="416"/>
      <c r="W64" s="416"/>
      <c r="X64" s="416"/>
      <c r="Y64" s="416"/>
      <c r="Z64" s="416"/>
      <c r="AA64" s="416"/>
      <c r="AB64" s="416"/>
      <c r="AC64" s="416"/>
      <c r="AD64" s="416"/>
      <c r="AE64" s="416"/>
      <c r="AF64" s="416"/>
      <c r="AG64" s="416"/>
      <c r="AH64" s="416"/>
      <c r="AI64" s="416"/>
      <c r="AJ64" s="416"/>
      <c r="AK64" s="416"/>
      <c r="AL64" s="416"/>
      <c r="AM64" s="416"/>
      <c r="AN64" s="416"/>
      <c r="AO64" s="416"/>
      <c r="AP64" s="416"/>
    </row>
    <row r="65" spans="3:44" s="131" customFormat="1" x14ac:dyDescent="0.25">
      <c r="E65" s="172" t="s">
        <v>133</v>
      </c>
      <c r="F65" s="117"/>
      <c r="J65" s="416"/>
      <c r="K65" s="416"/>
      <c r="L65" s="416"/>
      <c r="M65" s="416"/>
      <c r="N65" s="416"/>
      <c r="O65" s="416"/>
      <c r="P65" s="416"/>
      <c r="Q65" s="416"/>
      <c r="R65" s="416"/>
      <c r="S65" s="416"/>
      <c r="T65" s="416"/>
      <c r="U65" s="416"/>
      <c r="V65" s="416"/>
      <c r="W65" s="416"/>
      <c r="X65" s="416"/>
      <c r="Y65" s="416"/>
      <c r="Z65" s="416"/>
      <c r="AA65" s="416"/>
      <c r="AB65" s="416"/>
      <c r="AC65" s="416"/>
      <c r="AD65" s="416"/>
      <c r="AE65" s="416"/>
      <c r="AF65" s="416"/>
      <c r="AG65" s="416"/>
      <c r="AH65" s="416"/>
      <c r="AI65" s="416"/>
      <c r="AJ65" s="416"/>
      <c r="AK65" s="416"/>
      <c r="AL65" s="416"/>
      <c r="AM65" s="416"/>
      <c r="AN65" s="416"/>
      <c r="AO65" s="416"/>
      <c r="AP65" s="416"/>
    </row>
    <row r="66" spans="3:44" s="131" customFormat="1" x14ac:dyDescent="0.25">
      <c r="E66" s="175"/>
      <c r="F66" s="180" t="s">
        <v>397</v>
      </c>
      <c r="G66" s="137" t="s">
        <v>201</v>
      </c>
      <c r="H66" s="569"/>
      <c r="I66" s="569"/>
      <c r="J66" s="581">
        <f>'Initial unit rates'!J193</f>
        <v>0</v>
      </c>
      <c r="K66" s="581">
        <f>'Initial unit rates'!K193</f>
        <v>1.3914552701519759E-3</v>
      </c>
      <c r="L66" s="581">
        <f>'Initial unit rates'!L193</f>
        <v>0</v>
      </c>
      <c r="M66" s="581">
        <f>'Initial unit rates'!M193</f>
        <v>0</v>
      </c>
      <c r="N66" s="581">
        <f>'Initial unit rates'!N193</f>
        <v>3.4152497029251157E-3</v>
      </c>
      <c r="O66" s="581">
        <f>'Initial unit rates'!O193</f>
        <v>0</v>
      </c>
      <c r="P66" s="581">
        <f>'Initial unit rates'!P193</f>
        <v>9.7595149175606639E-4</v>
      </c>
      <c r="Q66" s="581">
        <f>'Initial unit rates'!Q193</f>
        <v>9.346863916737221E-4</v>
      </c>
      <c r="R66" s="581">
        <f>'Initial unit rates'!R193</f>
        <v>1.5371304999939163E-3</v>
      </c>
      <c r="S66" s="581">
        <f>'Initial unit rates'!S193</f>
        <v>1.4259631783429916E-2</v>
      </c>
      <c r="T66" s="581">
        <f>'Initial unit rates'!T193</f>
        <v>1.5048214395972016E-2</v>
      </c>
      <c r="U66" s="581">
        <f>'Initial unit rates'!U193</f>
        <v>1.1244794923944933E-2</v>
      </c>
      <c r="V66" s="581">
        <f>'Initial unit rates'!V193</f>
        <v>1.0444121628711882E-2</v>
      </c>
      <c r="W66" s="581">
        <f>'Initial unit rates'!W193</f>
        <v>9.3645426842441735E-3</v>
      </c>
      <c r="X66" s="581">
        <f>'Initial unit rates'!X193</f>
        <v>0</v>
      </c>
      <c r="Y66" s="581">
        <f>'Initial unit rates'!Y193</f>
        <v>0</v>
      </c>
      <c r="Z66" s="581">
        <f>'Initial unit rates'!Z193</f>
        <v>0</v>
      </c>
      <c r="AA66" s="581">
        <f>'Initial unit rates'!AA193</f>
        <v>0</v>
      </c>
      <c r="AB66" s="581">
        <f>'Initial unit rates'!AB193</f>
        <v>3.0225591444152215E-2</v>
      </c>
      <c r="AC66" s="581">
        <f>'Initial unit rates'!AC193</f>
        <v>0</v>
      </c>
      <c r="AD66" s="581">
        <f>'Initial unit rates'!AD193</f>
        <v>0</v>
      </c>
      <c r="AE66" s="581">
        <f>'Initial unit rates'!AE193</f>
        <v>0</v>
      </c>
      <c r="AF66" s="581">
        <f>'Initial unit rates'!AF193</f>
        <v>0</v>
      </c>
      <c r="AG66" s="581">
        <f>'Initial unit rates'!AG193</f>
        <v>-9.4328896141534727E-3</v>
      </c>
      <c r="AH66" s="581">
        <f>'Initial unit rates'!AH193</f>
        <v>-9.4328896141534727E-3</v>
      </c>
      <c r="AI66" s="581">
        <f>'Initial unit rates'!AI193</f>
        <v>0</v>
      </c>
      <c r="AJ66" s="581">
        <f>'Initial unit rates'!AJ193</f>
        <v>0</v>
      </c>
      <c r="AK66" s="581">
        <f>'Initial unit rates'!AK193</f>
        <v>-9.0604247349903889E-3</v>
      </c>
      <c r="AL66" s="581">
        <f>'Initial unit rates'!AL193</f>
        <v>-9.0604247349903889E-3</v>
      </c>
      <c r="AM66" s="581">
        <f>'Initial unit rates'!AM193</f>
        <v>0</v>
      </c>
      <c r="AN66" s="581">
        <f>'Initial unit rates'!AN193</f>
        <v>0</v>
      </c>
      <c r="AO66" s="581">
        <f>'Initial unit rates'!AO193</f>
        <v>-8.9304951259800078E-3</v>
      </c>
      <c r="AP66" s="581">
        <f>'Initial unit rates'!AP193</f>
        <v>-8.9304951259800078E-3</v>
      </c>
      <c r="AQ66" s="571"/>
      <c r="AR66" s="571"/>
    </row>
    <row r="67" spans="3:44" s="131" customFormat="1" x14ac:dyDescent="0.25">
      <c r="E67" s="175"/>
      <c r="F67" s="176" t="s">
        <v>43</v>
      </c>
      <c r="G67" s="139" t="s">
        <v>201</v>
      </c>
      <c r="H67" s="572"/>
      <c r="I67" s="572"/>
      <c r="J67" s="582">
        <f>'Initial unit rates'!J194</f>
        <v>0</v>
      </c>
      <c r="K67" s="582">
        <f>'Initial unit rates'!K194</f>
        <v>0</v>
      </c>
      <c r="L67" s="582">
        <f>'Initial unit rates'!L194</f>
        <v>0</v>
      </c>
      <c r="M67" s="582">
        <f>'Initial unit rates'!M194</f>
        <v>0</v>
      </c>
      <c r="N67" s="582">
        <f>'Initial unit rates'!N194</f>
        <v>0</v>
      </c>
      <c r="O67" s="582">
        <f>'Initial unit rates'!O194</f>
        <v>0</v>
      </c>
      <c r="P67" s="582">
        <f>'Initial unit rates'!P194</f>
        <v>0</v>
      </c>
      <c r="Q67" s="582">
        <f>'Initial unit rates'!Q194</f>
        <v>0</v>
      </c>
      <c r="R67" s="582">
        <f>'Initial unit rates'!R194</f>
        <v>0</v>
      </c>
      <c r="S67" s="582">
        <f>'Initial unit rates'!S194</f>
        <v>0</v>
      </c>
      <c r="T67" s="582">
        <f>'Initial unit rates'!T194</f>
        <v>0</v>
      </c>
      <c r="U67" s="582">
        <f>'Initial unit rates'!U194</f>
        <v>0</v>
      </c>
      <c r="V67" s="582">
        <f>'Initial unit rates'!V194</f>
        <v>0</v>
      </c>
      <c r="W67" s="582">
        <f>'Initial unit rates'!W194</f>
        <v>0</v>
      </c>
      <c r="X67" s="582">
        <f>'Initial unit rates'!X194</f>
        <v>0</v>
      </c>
      <c r="Y67" s="582">
        <f>'Initial unit rates'!Y194</f>
        <v>0</v>
      </c>
      <c r="Z67" s="582">
        <f>'Initial unit rates'!Z194</f>
        <v>0</v>
      </c>
      <c r="AA67" s="582">
        <f>'Initial unit rates'!AA194</f>
        <v>0</v>
      </c>
      <c r="AB67" s="582">
        <f>'Initial unit rates'!AB194</f>
        <v>0</v>
      </c>
      <c r="AC67" s="582">
        <f>'Initial unit rates'!AC194</f>
        <v>0</v>
      </c>
      <c r="AD67" s="582">
        <f>'Initial unit rates'!AD194</f>
        <v>0</v>
      </c>
      <c r="AE67" s="582">
        <f>'Initial unit rates'!AE194</f>
        <v>0</v>
      </c>
      <c r="AF67" s="582">
        <f>'Initial unit rates'!AF194</f>
        <v>0</v>
      </c>
      <c r="AG67" s="582">
        <f>'Initial unit rates'!AG194</f>
        <v>0</v>
      </c>
      <c r="AH67" s="582">
        <f>'Initial unit rates'!AH194</f>
        <v>0</v>
      </c>
      <c r="AI67" s="582">
        <f>'Initial unit rates'!AI194</f>
        <v>0</v>
      </c>
      <c r="AJ67" s="582">
        <f>'Initial unit rates'!AJ194</f>
        <v>0</v>
      </c>
      <c r="AK67" s="582">
        <f>'Initial unit rates'!AK194</f>
        <v>0</v>
      </c>
      <c r="AL67" s="582">
        <f>'Initial unit rates'!AL194</f>
        <v>0</v>
      </c>
      <c r="AM67" s="582">
        <f>'Initial unit rates'!AM194</f>
        <v>0</v>
      </c>
      <c r="AN67" s="582">
        <f>'Initial unit rates'!AN194</f>
        <v>0</v>
      </c>
      <c r="AO67" s="582">
        <f>'Initial unit rates'!AO194</f>
        <v>0</v>
      </c>
      <c r="AP67" s="582">
        <f>'Initial unit rates'!AP194</f>
        <v>0</v>
      </c>
      <c r="AQ67" s="571"/>
      <c r="AR67" s="571"/>
    </row>
    <row r="68" spans="3:44" s="131" customFormat="1" x14ac:dyDescent="0.25">
      <c r="E68" s="175"/>
      <c r="F68" s="176" t="s">
        <v>44</v>
      </c>
      <c r="G68" s="139" t="s">
        <v>201</v>
      </c>
      <c r="H68" s="572"/>
      <c r="I68" s="572"/>
      <c r="J68" s="582">
        <f>'Initial unit rates'!J195</f>
        <v>0</v>
      </c>
      <c r="K68" s="582">
        <f>'Initial unit rates'!K195</f>
        <v>2.888158108663681E-3</v>
      </c>
      <c r="L68" s="582">
        <f>'Initial unit rates'!L195</f>
        <v>0</v>
      </c>
      <c r="M68" s="582">
        <f>'Initial unit rates'!M195</f>
        <v>0</v>
      </c>
      <c r="N68" s="582">
        <f>'Initial unit rates'!N195</f>
        <v>7.5878255880067582E-3</v>
      </c>
      <c r="O68" s="582">
        <f>'Initial unit rates'!O195</f>
        <v>0</v>
      </c>
      <c r="P68" s="582">
        <f>'Initial unit rates'!P195</f>
        <v>2.3818853090792256E-3</v>
      </c>
      <c r="Q68" s="582">
        <f>'Initial unit rates'!Q195</f>
        <v>2.230672687386713E-3</v>
      </c>
      <c r="R68" s="582">
        <f>'Initial unit rates'!R195</f>
        <v>3.5444114408524421E-3</v>
      </c>
      <c r="S68" s="582">
        <f>'Initial unit rates'!S195</f>
        <v>2.964750163452699E-2</v>
      </c>
      <c r="T68" s="582">
        <f>'Initial unit rates'!T195</f>
        <v>3.1288313314993869E-2</v>
      </c>
      <c r="U68" s="582">
        <f>'Initial unit rates'!U195</f>
        <v>2.3383305812626896E-2</v>
      </c>
      <c r="V68" s="582">
        <f>'Initial unit rates'!V195</f>
        <v>2.1718323156645316E-2</v>
      </c>
      <c r="W68" s="582">
        <f>'Initial unit rates'!W195</f>
        <v>1.9473362285584342E-2</v>
      </c>
      <c r="X68" s="582">
        <f>'Initial unit rates'!X195</f>
        <v>0</v>
      </c>
      <c r="Y68" s="582">
        <f>'Initial unit rates'!Y195</f>
        <v>0</v>
      </c>
      <c r="Z68" s="582">
        <f>'Initial unit rates'!Z195</f>
        <v>0</v>
      </c>
      <c r="AA68" s="582">
        <f>'Initial unit rates'!AA195</f>
        <v>0</v>
      </c>
      <c r="AB68" s="582">
        <f>'Initial unit rates'!AB195</f>
        <v>3.6292167298741573E-2</v>
      </c>
      <c r="AC68" s="582">
        <f>'Initial unit rates'!AC195</f>
        <v>0</v>
      </c>
      <c r="AD68" s="582">
        <f>'Initial unit rates'!AD195</f>
        <v>0</v>
      </c>
      <c r="AE68" s="582">
        <f>'Initial unit rates'!AE195</f>
        <v>0</v>
      </c>
      <c r="AF68" s="582">
        <f>'Initial unit rates'!AF195</f>
        <v>0</v>
      </c>
      <c r="AG68" s="582">
        <f>'Initial unit rates'!AG195</f>
        <v>-1.96154882357891E-2</v>
      </c>
      <c r="AH68" s="582">
        <f>'Initial unit rates'!AH195</f>
        <v>-1.96154882357891E-2</v>
      </c>
      <c r="AI68" s="582">
        <f>'Initial unit rates'!AI195</f>
        <v>0</v>
      </c>
      <c r="AJ68" s="582">
        <f>'Initial unit rates'!AJ195</f>
        <v>0</v>
      </c>
      <c r="AK68" s="582">
        <f>'Initial unit rates'!AK195</f>
        <v>-1.8840955642456754E-2</v>
      </c>
      <c r="AL68" s="582">
        <f>'Initial unit rates'!AL195</f>
        <v>-1.8840955642456754E-2</v>
      </c>
      <c r="AM68" s="582">
        <f>'Initial unit rates'!AM195</f>
        <v>0</v>
      </c>
      <c r="AN68" s="582">
        <f>'Initial unit rates'!AN195</f>
        <v>0</v>
      </c>
      <c r="AO68" s="582">
        <f>'Initial unit rates'!AO195</f>
        <v>-1.8570769854085001E-2</v>
      </c>
      <c r="AP68" s="582">
        <f>'Initial unit rates'!AP195</f>
        <v>-1.8570769854085001E-2</v>
      </c>
      <c r="AQ68" s="571"/>
      <c r="AR68" s="571"/>
    </row>
    <row r="69" spans="3:44" s="131" customFormat="1" x14ac:dyDescent="0.25">
      <c r="E69" s="175"/>
      <c r="F69" s="176" t="s">
        <v>45</v>
      </c>
      <c r="G69" s="139" t="s">
        <v>201</v>
      </c>
      <c r="H69" s="572"/>
      <c r="I69" s="572"/>
      <c r="J69" s="582">
        <f>'Initial unit rates'!J196</f>
        <v>0</v>
      </c>
      <c r="K69" s="582">
        <f>'Initial unit rates'!K196</f>
        <v>8.0378515079325397E-4</v>
      </c>
      <c r="L69" s="582">
        <f>'Initial unit rates'!L196</f>
        <v>0</v>
      </c>
      <c r="M69" s="582">
        <f>'Initial unit rates'!M196</f>
        <v>0</v>
      </c>
      <c r="N69" s="582">
        <f>'Initial unit rates'!N196</f>
        <v>2.1117201015254856E-3</v>
      </c>
      <c r="O69" s="582">
        <f>'Initial unit rates'!O196</f>
        <v>0</v>
      </c>
      <c r="P69" s="582">
        <f>'Initial unit rates'!P196</f>
        <v>6.6288754642186492E-4</v>
      </c>
      <c r="Q69" s="582">
        <f>'Initial unit rates'!Q196</f>
        <v>6.2080451102142567E-4</v>
      </c>
      <c r="R69" s="582">
        <f>'Initial unit rates'!R196</f>
        <v>9.8642289558624279E-4</v>
      </c>
      <c r="S69" s="582">
        <f>'Initial unit rates'!S196</f>
        <v>8.2510100470148777E-3</v>
      </c>
      <c r="T69" s="582">
        <f>'Initial unit rates'!T196</f>
        <v>8.7076540444647344E-3</v>
      </c>
      <c r="U69" s="582">
        <f>'Initial unit rates'!U196</f>
        <v>6.5076610356845713E-3</v>
      </c>
      <c r="V69" s="582">
        <f>'Initial unit rates'!V196</f>
        <v>6.0442901657893899E-3</v>
      </c>
      <c r="W69" s="582">
        <f>'Initial unit rates'!W196</f>
        <v>5.419509200073629E-3</v>
      </c>
      <c r="X69" s="582">
        <f>'Initial unit rates'!X196</f>
        <v>0</v>
      </c>
      <c r="Y69" s="582">
        <f>'Initial unit rates'!Y196</f>
        <v>0</v>
      </c>
      <c r="Z69" s="582">
        <f>'Initial unit rates'!Z196</f>
        <v>0</v>
      </c>
      <c r="AA69" s="582">
        <f>'Initial unit rates'!AA196</f>
        <v>0</v>
      </c>
      <c r="AB69" s="582">
        <f>'Initial unit rates'!AB196</f>
        <v>1.0100245231494664E-2</v>
      </c>
      <c r="AC69" s="582">
        <f>'Initial unit rates'!AC196</f>
        <v>0</v>
      </c>
      <c r="AD69" s="582">
        <f>'Initial unit rates'!AD196</f>
        <v>0</v>
      </c>
      <c r="AE69" s="582">
        <f>'Initial unit rates'!AE196</f>
        <v>0</v>
      </c>
      <c r="AF69" s="582">
        <f>'Initial unit rates'!AF196</f>
        <v>0</v>
      </c>
      <c r="AG69" s="582">
        <f>'Initial unit rates'!AG196</f>
        <v>-5.4590633809802362E-3</v>
      </c>
      <c r="AH69" s="582">
        <f>'Initial unit rates'!AH196</f>
        <v>-5.4590633809802362E-3</v>
      </c>
      <c r="AI69" s="582">
        <f>'Initial unit rates'!AI196</f>
        <v>0</v>
      </c>
      <c r="AJ69" s="582">
        <f>'Initial unit rates'!AJ196</f>
        <v>0</v>
      </c>
      <c r="AK69" s="582">
        <f>'Initial unit rates'!AK196</f>
        <v>-5.2435080775990158E-3</v>
      </c>
      <c r="AL69" s="582">
        <f>'Initial unit rates'!AL196</f>
        <v>-5.2435080775990158E-3</v>
      </c>
      <c r="AM69" s="582">
        <f>'Initial unit rates'!AM196</f>
        <v>0</v>
      </c>
      <c r="AN69" s="582">
        <f>'Initial unit rates'!AN196</f>
        <v>0</v>
      </c>
      <c r="AO69" s="582">
        <f>'Initial unit rates'!AO196</f>
        <v>-5.1683143671171937E-3</v>
      </c>
      <c r="AP69" s="582">
        <f>'Initial unit rates'!AP196</f>
        <v>-5.1683143671171937E-3</v>
      </c>
      <c r="AQ69" s="571"/>
      <c r="AR69" s="571"/>
    </row>
    <row r="70" spans="3:44" s="131" customFormat="1" x14ac:dyDescent="0.25">
      <c r="E70" s="175"/>
      <c r="F70" s="176" t="s">
        <v>46</v>
      </c>
      <c r="G70" s="139" t="s">
        <v>201</v>
      </c>
      <c r="H70" s="572"/>
      <c r="I70" s="572"/>
      <c r="J70" s="582">
        <f>'Initial unit rates'!J197</f>
        <v>0</v>
      </c>
      <c r="K70" s="582">
        <f>'Initial unit rates'!K197</f>
        <v>4.2706663818957366E-3</v>
      </c>
      <c r="L70" s="582">
        <f>'Initial unit rates'!L197</f>
        <v>0</v>
      </c>
      <c r="M70" s="582">
        <f>'Initial unit rates'!M197</f>
        <v>0</v>
      </c>
      <c r="N70" s="582">
        <f>'Initial unit rates'!N197</f>
        <v>1.0607113111390455E-2</v>
      </c>
      <c r="O70" s="582">
        <f>'Initial unit rates'!O197</f>
        <v>0</v>
      </c>
      <c r="P70" s="582">
        <f>'Initial unit rates'!P197</f>
        <v>3.8366334919549398E-3</v>
      </c>
      <c r="Q70" s="582">
        <f>'Initial unit rates'!Q197</f>
        <v>3.4830015492394975E-3</v>
      </c>
      <c r="R70" s="582">
        <f>'Initial unit rates'!R197</f>
        <v>5.2578731745878526E-3</v>
      </c>
      <c r="S70" s="582">
        <f>'Initial unit rates'!S197</f>
        <v>3.6517164304384467E-2</v>
      </c>
      <c r="T70" s="582">
        <f>'Initial unit rates'!T197</f>
        <v>3.8545026394381662E-2</v>
      </c>
      <c r="U70" s="582">
        <f>'Initial unit rates'!U197</f>
        <v>2.8815223727078728E-2</v>
      </c>
      <c r="V70" s="582">
        <f>'Initial unit rates'!V197</f>
        <v>2.6763467310844898E-2</v>
      </c>
      <c r="W70" s="582">
        <f>'Initial unit rates'!W197</f>
        <v>2.3997004336083316E-2</v>
      </c>
      <c r="X70" s="582">
        <f>'Initial unit rates'!X197</f>
        <v>0</v>
      </c>
      <c r="Y70" s="582">
        <f>'Initial unit rates'!Y197</f>
        <v>0</v>
      </c>
      <c r="Z70" s="582">
        <f>'Initial unit rates'!Z197</f>
        <v>0</v>
      </c>
      <c r="AA70" s="582">
        <f>'Initial unit rates'!AA197</f>
        <v>0</v>
      </c>
      <c r="AB70" s="582">
        <f>'Initial unit rates'!AB197</f>
        <v>2.9548091791277691E-2</v>
      </c>
      <c r="AC70" s="582">
        <f>'Initial unit rates'!AC197</f>
        <v>0</v>
      </c>
      <c r="AD70" s="582">
        <f>'Initial unit rates'!AD197</f>
        <v>0</v>
      </c>
      <c r="AE70" s="582">
        <f>'Initial unit rates'!AE197</f>
        <v>0</v>
      </c>
      <c r="AF70" s="582">
        <f>'Initial unit rates'!AF197</f>
        <v>0</v>
      </c>
      <c r="AG70" s="582">
        <f>'Initial unit rates'!AG197</f>
        <v>-2.4172145998489426E-2</v>
      </c>
      <c r="AH70" s="582">
        <f>'Initial unit rates'!AH197</f>
        <v>-2.4172145998489426E-2</v>
      </c>
      <c r="AI70" s="582">
        <f>'Initial unit rates'!AI197</f>
        <v>0</v>
      </c>
      <c r="AJ70" s="582">
        <f>'Initial unit rates'!AJ197</f>
        <v>0</v>
      </c>
      <c r="AK70" s="582">
        <f>'Initial unit rates'!AK197</f>
        <v>-2.321769027954081E-2</v>
      </c>
      <c r="AL70" s="582">
        <f>'Initial unit rates'!AL197</f>
        <v>-2.321769027954081E-2</v>
      </c>
      <c r="AM70" s="582">
        <f>'Initial unit rates'!AM197</f>
        <v>0</v>
      </c>
      <c r="AN70" s="582">
        <f>'Initial unit rates'!AN197</f>
        <v>0</v>
      </c>
      <c r="AO70" s="582">
        <f>'Initial unit rates'!AO197</f>
        <v>-2.2884740610140127E-2</v>
      </c>
      <c r="AP70" s="582">
        <f>'Initial unit rates'!AP197</f>
        <v>-2.2884740610140127E-2</v>
      </c>
      <c r="AQ70" s="571"/>
      <c r="AR70" s="571"/>
    </row>
    <row r="71" spans="3:44" s="131" customFormat="1" x14ac:dyDescent="0.25">
      <c r="E71" s="175"/>
      <c r="F71" s="176" t="s">
        <v>47</v>
      </c>
      <c r="G71" s="139" t="s">
        <v>201</v>
      </c>
      <c r="H71" s="572"/>
      <c r="I71" s="572"/>
      <c r="J71" s="582">
        <f>'Initial unit rates'!J198</f>
        <v>0</v>
      </c>
      <c r="K71" s="582">
        <f>'Initial unit rates'!K198</f>
        <v>3.2528958553069576E-3</v>
      </c>
      <c r="L71" s="582">
        <f>'Initial unit rates'!L198</f>
        <v>0</v>
      </c>
      <c r="M71" s="582">
        <f>'Initial unit rates'!M198</f>
        <v>0</v>
      </c>
      <c r="N71" s="582">
        <f>'Initial unit rates'!N198</f>
        <v>8.0792623893739847E-3</v>
      </c>
      <c r="O71" s="582">
        <f>'Initial unit rates'!O198</f>
        <v>0</v>
      </c>
      <c r="P71" s="582">
        <f>'Initial unit rates'!P198</f>
        <v>2.9223001911875338E-3</v>
      </c>
      <c r="Q71" s="582">
        <f>'Initial unit rates'!Q198</f>
        <v>2.6529445970255323E-3</v>
      </c>
      <c r="R71" s="582">
        <f>'Initial unit rates'!R198</f>
        <v>4.0048349198736405E-3</v>
      </c>
      <c r="S71" s="582">
        <f>'Initial unit rates'!S198</f>
        <v>2.7814519278971734E-2</v>
      </c>
      <c r="T71" s="582">
        <f>'Initial unit rates'!T198</f>
        <v>2.9359108248892124E-2</v>
      </c>
      <c r="U71" s="582">
        <f>'Initial unit rates'!U198</f>
        <v>2.1948078695378993E-2</v>
      </c>
      <c r="V71" s="582">
        <f>'Initial unit rates'!V198</f>
        <v>2.0385289812885236E-2</v>
      </c>
      <c r="W71" s="582">
        <f>'Initial unit rates'!W198</f>
        <v>1.8278120781229933E-2</v>
      </c>
      <c r="X71" s="582">
        <f>'Initial unit rates'!X198</f>
        <v>0</v>
      </c>
      <c r="Y71" s="582">
        <f>'Initial unit rates'!Y198</f>
        <v>0</v>
      </c>
      <c r="Z71" s="582">
        <f>'Initial unit rates'!Z198</f>
        <v>0</v>
      </c>
      <c r="AA71" s="582">
        <f>'Initial unit rates'!AA198</f>
        <v>0</v>
      </c>
      <c r="AB71" s="582">
        <f>'Initial unit rates'!AB198</f>
        <v>2.2506292162632179E-2</v>
      </c>
      <c r="AC71" s="582">
        <f>'Initial unit rates'!AC198</f>
        <v>0</v>
      </c>
      <c r="AD71" s="582">
        <f>'Initial unit rates'!AD198</f>
        <v>0</v>
      </c>
      <c r="AE71" s="582">
        <f>'Initial unit rates'!AE198</f>
        <v>0</v>
      </c>
      <c r="AF71" s="582">
        <f>'Initial unit rates'!AF198</f>
        <v>0</v>
      </c>
      <c r="AG71" s="582">
        <f>'Initial unit rates'!AG198</f>
        <v>-1.8411523284911222E-2</v>
      </c>
      <c r="AH71" s="582">
        <f>'Initial unit rates'!AH198</f>
        <v>-1.8411523284911222E-2</v>
      </c>
      <c r="AI71" s="582">
        <f>'Initial unit rates'!AI198</f>
        <v>0</v>
      </c>
      <c r="AJ71" s="582">
        <f>'Initial unit rates'!AJ198</f>
        <v>0</v>
      </c>
      <c r="AK71" s="582">
        <f>'Initial unit rates'!AK198</f>
        <v>-1.7684530170814637E-2</v>
      </c>
      <c r="AL71" s="582">
        <f>'Initial unit rates'!AL198</f>
        <v>-1.7684530170814637E-2</v>
      </c>
      <c r="AM71" s="582">
        <f>'Initial unit rates'!AM198</f>
        <v>0</v>
      </c>
      <c r="AN71" s="582">
        <f>'Initial unit rates'!AN198</f>
        <v>0</v>
      </c>
      <c r="AO71" s="582">
        <f>'Initial unit rates'!AO198</f>
        <v>-1.7430927921711175E-2</v>
      </c>
      <c r="AP71" s="582">
        <f>'Initial unit rates'!AP198</f>
        <v>-1.7430927921711175E-2</v>
      </c>
      <c r="AQ71" s="571"/>
      <c r="AR71" s="571"/>
    </row>
    <row r="72" spans="3:44" s="131" customFormat="1" x14ac:dyDescent="0.25">
      <c r="E72" s="175"/>
      <c r="F72" s="176" t="s">
        <v>51</v>
      </c>
      <c r="G72" s="139" t="s">
        <v>201</v>
      </c>
      <c r="H72" s="572"/>
      <c r="I72" s="572"/>
      <c r="J72" s="582">
        <f>'Initial unit rates'!J199</f>
        <v>0</v>
      </c>
      <c r="K72" s="582">
        <f>'Initial unit rates'!K199</f>
        <v>0</v>
      </c>
      <c r="L72" s="582">
        <f>'Initial unit rates'!L199</f>
        <v>0</v>
      </c>
      <c r="M72" s="582">
        <f>'Initial unit rates'!M199</f>
        <v>0</v>
      </c>
      <c r="N72" s="582">
        <f>'Initial unit rates'!N199</f>
        <v>0</v>
      </c>
      <c r="O72" s="582">
        <f>'Initial unit rates'!O199</f>
        <v>0</v>
      </c>
      <c r="P72" s="582">
        <f>'Initial unit rates'!P199</f>
        <v>0</v>
      </c>
      <c r="Q72" s="582">
        <f>'Initial unit rates'!Q199</f>
        <v>0</v>
      </c>
      <c r="R72" s="582">
        <f>'Initial unit rates'!R199</f>
        <v>0</v>
      </c>
      <c r="S72" s="582">
        <f>'Initial unit rates'!S199</f>
        <v>0</v>
      </c>
      <c r="T72" s="582">
        <f>'Initial unit rates'!T199</f>
        <v>0</v>
      </c>
      <c r="U72" s="582">
        <f>'Initial unit rates'!U199</f>
        <v>0</v>
      </c>
      <c r="V72" s="582">
        <f>'Initial unit rates'!V199</f>
        <v>0</v>
      </c>
      <c r="W72" s="582">
        <f>'Initial unit rates'!W199</f>
        <v>0</v>
      </c>
      <c r="X72" s="582">
        <f>'Initial unit rates'!X199</f>
        <v>0</v>
      </c>
      <c r="Y72" s="582">
        <f>'Initial unit rates'!Y199</f>
        <v>0</v>
      </c>
      <c r="Z72" s="582">
        <f>'Initial unit rates'!Z199</f>
        <v>0</v>
      </c>
      <c r="AA72" s="582">
        <f>'Initial unit rates'!AA199</f>
        <v>0</v>
      </c>
      <c r="AB72" s="582">
        <f>'Initial unit rates'!AB199</f>
        <v>0</v>
      </c>
      <c r="AC72" s="582">
        <f>'Initial unit rates'!AC199</f>
        <v>0</v>
      </c>
      <c r="AD72" s="582">
        <f>'Initial unit rates'!AD199</f>
        <v>0</v>
      </c>
      <c r="AE72" s="582">
        <f>'Initial unit rates'!AE199</f>
        <v>0</v>
      </c>
      <c r="AF72" s="582">
        <f>'Initial unit rates'!AF199</f>
        <v>0</v>
      </c>
      <c r="AG72" s="582">
        <f>'Initial unit rates'!AG199</f>
        <v>0</v>
      </c>
      <c r="AH72" s="582">
        <f>'Initial unit rates'!AH199</f>
        <v>0</v>
      </c>
      <c r="AI72" s="582">
        <f>'Initial unit rates'!AI199</f>
        <v>0</v>
      </c>
      <c r="AJ72" s="582">
        <f>'Initial unit rates'!AJ199</f>
        <v>0</v>
      </c>
      <c r="AK72" s="582">
        <f>'Initial unit rates'!AK199</f>
        <v>0</v>
      </c>
      <c r="AL72" s="582">
        <f>'Initial unit rates'!AL199</f>
        <v>0</v>
      </c>
      <c r="AM72" s="582">
        <f>'Initial unit rates'!AM199</f>
        <v>0</v>
      </c>
      <c r="AN72" s="582">
        <f>'Initial unit rates'!AN199</f>
        <v>0</v>
      </c>
      <c r="AO72" s="582">
        <f>'Initial unit rates'!AO199</f>
        <v>0</v>
      </c>
      <c r="AP72" s="582">
        <f>'Initial unit rates'!AP199</f>
        <v>0</v>
      </c>
      <c r="AQ72" s="571"/>
      <c r="AR72" s="571"/>
    </row>
    <row r="73" spans="3:44" s="131" customFormat="1" x14ac:dyDescent="0.25">
      <c r="E73" s="175"/>
      <c r="F73" s="176" t="s">
        <v>48</v>
      </c>
      <c r="G73" s="139" t="s">
        <v>201</v>
      </c>
      <c r="H73" s="572"/>
      <c r="I73" s="572"/>
      <c r="J73" s="582">
        <f>'Initial unit rates'!J200</f>
        <v>0</v>
      </c>
      <c r="K73" s="582">
        <f>'Initial unit rates'!K200</f>
        <v>1.8730556932241363E-2</v>
      </c>
      <c r="L73" s="582">
        <f>'Initial unit rates'!L200</f>
        <v>0</v>
      </c>
      <c r="M73" s="582">
        <f>'Initial unit rates'!M200</f>
        <v>0</v>
      </c>
      <c r="N73" s="582">
        <f>'Initial unit rates'!N200</f>
        <v>4.4870794975299035E-2</v>
      </c>
      <c r="O73" s="582">
        <f>'Initial unit rates'!O200</f>
        <v>0</v>
      </c>
      <c r="P73" s="582">
        <f>'Initial unit rates'!P200</f>
        <v>1.718573960920591E-2</v>
      </c>
      <c r="Q73" s="582">
        <f>'Initial unit rates'!Q200</f>
        <v>1.5420715787845448E-2</v>
      </c>
      <c r="R73" s="582">
        <f>'Initial unit rates'!R200</f>
        <v>2.2809967185218646E-2</v>
      </c>
      <c r="S73" s="582">
        <f>'Initial unit rates'!S200</f>
        <v>0.14503517136586458</v>
      </c>
      <c r="T73" s="582">
        <f>'Initial unit rates'!T200</f>
        <v>0.15313783019913818</v>
      </c>
      <c r="U73" s="582">
        <f>'Initial unit rates'!U200</f>
        <v>0.11452372163903864</v>
      </c>
      <c r="V73" s="582">
        <f>'Initial unit rates'!V200</f>
        <v>0.10636918558860148</v>
      </c>
      <c r="W73" s="582">
        <f>'Initial unit rates'!W200</f>
        <v>9.5374107478256337E-2</v>
      </c>
      <c r="X73" s="582">
        <f>'Initial unit rates'!X200</f>
        <v>0</v>
      </c>
      <c r="Y73" s="582">
        <f>'Initial unit rates'!Y200</f>
        <v>0</v>
      </c>
      <c r="Z73" s="582">
        <f>'Initial unit rates'!Z200</f>
        <v>0</v>
      </c>
      <c r="AA73" s="582">
        <f>'Initial unit rates'!AA200</f>
        <v>0</v>
      </c>
      <c r="AB73" s="582">
        <f>'Initial unit rates'!AB200</f>
        <v>9.8716581187574412E-2</v>
      </c>
      <c r="AC73" s="582">
        <f>'Initial unit rates'!AC200</f>
        <v>0</v>
      </c>
      <c r="AD73" s="582">
        <f>'Initial unit rates'!AD200</f>
        <v>0</v>
      </c>
      <c r="AE73" s="582">
        <f>'Initial unit rates'!AE200</f>
        <v>0</v>
      </c>
      <c r="AF73" s="582">
        <f>'Initial unit rates'!AF200</f>
        <v>0</v>
      </c>
      <c r="AG73" s="582">
        <f>'Initial unit rates'!AG200</f>
        <v>-9.60701935188428E-2</v>
      </c>
      <c r="AH73" s="582">
        <f>'Initial unit rates'!AH200</f>
        <v>-9.60701935188428E-2</v>
      </c>
      <c r="AI73" s="582">
        <f>'Initial unit rates'!AI200</f>
        <v>0</v>
      </c>
      <c r="AJ73" s="582">
        <f>'Initial unit rates'!AJ200</f>
        <v>0</v>
      </c>
      <c r="AK73" s="582">
        <f>'Initial unit rates'!AK200</f>
        <v>-9.2276788265114401E-2</v>
      </c>
      <c r="AL73" s="582">
        <f>'Initial unit rates'!AL200</f>
        <v>-9.2276788265114401E-2</v>
      </c>
      <c r="AM73" s="582">
        <f>'Initial unit rates'!AM200</f>
        <v>0</v>
      </c>
      <c r="AN73" s="582">
        <f>'Initial unit rates'!AN200</f>
        <v>0</v>
      </c>
      <c r="AO73" s="582">
        <f>'Initial unit rates'!AO200</f>
        <v>0</v>
      </c>
      <c r="AP73" s="582">
        <f>'Initial unit rates'!AP200</f>
        <v>0</v>
      </c>
      <c r="AQ73" s="571"/>
      <c r="AR73" s="571"/>
    </row>
    <row r="74" spans="3:44" s="131" customFormat="1" x14ac:dyDescent="0.25">
      <c r="E74" s="175"/>
      <c r="F74" s="176" t="s">
        <v>49</v>
      </c>
      <c r="G74" s="139" t="s">
        <v>201</v>
      </c>
      <c r="H74" s="572"/>
      <c r="I74" s="572"/>
      <c r="J74" s="582">
        <f>'Initial unit rates'!J201</f>
        <v>0</v>
      </c>
      <c r="K74" s="582">
        <f>'Initial unit rates'!K201</f>
        <v>6.1417654742871447E-3</v>
      </c>
      <c r="L74" s="582">
        <f>'Initial unit rates'!L201</f>
        <v>0</v>
      </c>
      <c r="M74" s="582">
        <f>'Initial unit rates'!M201</f>
        <v>0</v>
      </c>
      <c r="N74" s="582">
        <f>'Initial unit rates'!N201</f>
        <v>1.4713171657418046E-2</v>
      </c>
      <c r="O74" s="582">
        <f>'Initial unit rates'!O201</f>
        <v>0</v>
      </c>
      <c r="P74" s="582">
        <f>'Initial unit rates'!P201</f>
        <v>5.6352185663109027E-3</v>
      </c>
      <c r="Q74" s="582">
        <f>'Initial unit rates'!Q201</f>
        <v>5.0564657611198169E-3</v>
      </c>
      <c r="R74" s="582">
        <f>'Initial unit rates'!R201</f>
        <v>0</v>
      </c>
      <c r="S74" s="582">
        <f>'Initial unit rates'!S201</f>
        <v>4.755715546924711E-2</v>
      </c>
      <c r="T74" s="582">
        <f>'Initial unit rates'!T201</f>
        <v>5.0214024159919435E-2</v>
      </c>
      <c r="U74" s="582">
        <f>'Initial unit rates'!U201</f>
        <v>3.7552425274593813E-2</v>
      </c>
      <c r="V74" s="582">
        <f>'Initial unit rates'!V201</f>
        <v>3.4878546000497321E-2</v>
      </c>
      <c r="W74" s="582">
        <f>'Initial unit rates'!W201</f>
        <v>0</v>
      </c>
      <c r="X74" s="582">
        <f>'Initial unit rates'!X201</f>
        <v>0</v>
      </c>
      <c r="Y74" s="582">
        <f>'Initial unit rates'!Y201</f>
        <v>0</v>
      </c>
      <c r="Z74" s="582">
        <f>'Initial unit rates'!Z201</f>
        <v>0</v>
      </c>
      <c r="AA74" s="582">
        <f>'Initial unit rates'!AA201</f>
        <v>0</v>
      </c>
      <c r="AB74" s="582">
        <f>'Initial unit rates'!AB201</f>
        <v>3.2369250539148658E-2</v>
      </c>
      <c r="AC74" s="582">
        <f>'Initial unit rates'!AC201</f>
        <v>0</v>
      </c>
      <c r="AD74" s="582">
        <f>'Initial unit rates'!AD201</f>
        <v>0</v>
      </c>
      <c r="AE74" s="582">
        <f>'Initial unit rates'!AE201</f>
        <v>0</v>
      </c>
      <c r="AF74" s="582">
        <f>'Initial unit rates'!AF201</f>
        <v>0</v>
      </c>
      <c r="AG74" s="582">
        <f>'Initial unit rates'!AG201</f>
        <v>-3.1501497782292963E-2</v>
      </c>
      <c r="AH74" s="582">
        <f>'Initial unit rates'!AH201</f>
        <v>-3.1501497782292963E-2</v>
      </c>
      <c r="AI74" s="582">
        <f>'Initial unit rates'!AI201</f>
        <v>0</v>
      </c>
      <c r="AJ74" s="582">
        <f>'Initial unit rates'!AJ201</f>
        <v>0</v>
      </c>
      <c r="AK74" s="582">
        <f>'Initial unit rates'!AK201</f>
        <v>0</v>
      </c>
      <c r="AL74" s="582">
        <f>'Initial unit rates'!AL201</f>
        <v>0</v>
      </c>
      <c r="AM74" s="582">
        <f>'Initial unit rates'!AM201</f>
        <v>0</v>
      </c>
      <c r="AN74" s="582">
        <f>'Initial unit rates'!AN201</f>
        <v>0</v>
      </c>
      <c r="AO74" s="582">
        <f>'Initial unit rates'!AO201</f>
        <v>0</v>
      </c>
      <c r="AP74" s="582">
        <f>'Initial unit rates'!AP201</f>
        <v>0</v>
      </c>
      <c r="AQ74" s="571"/>
      <c r="AR74" s="571"/>
    </row>
    <row r="75" spans="3:44" s="131" customFormat="1" x14ac:dyDescent="0.25">
      <c r="E75" s="175"/>
      <c r="F75" s="176" t="s">
        <v>50</v>
      </c>
      <c r="G75" s="139" t="s">
        <v>201</v>
      </c>
      <c r="H75" s="572"/>
      <c r="I75" s="572"/>
      <c r="J75" s="582">
        <f>'Initial unit rates'!J202</f>
        <v>0</v>
      </c>
      <c r="K75" s="582">
        <f>'Initial unit rates'!K202</f>
        <v>1.1047069233840582E-2</v>
      </c>
      <c r="L75" s="582">
        <f>'Initial unit rates'!L202</f>
        <v>0</v>
      </c>
      <c r="M75" s="582">
        <f>'Initial unit rates'!M202</f>
        <v>0</v>
      </c>
      <c r="N75" s="582">
        <f>'Initial unit rates'!N202</f>
        <v>2.646428402864786E-2</v>
      </c>
      <c r="O75" s="582">
        <f>'Initial unit rates'!O202</f>
        <v>0</v>
      </c>
      <c r="P75" s="582">
        <f>'Initial unit rates'!P202</f>
        <v>1.0135953564245447E-2</v>
      </c>
      <c r="Q75" s="582">
        <f>'Initial unit rates'!Q202</f>
        <v>0</v>
      </c>
      <c r="R75" s="582">
        <f>'Initial unit rates'!R202</f>
        <v>0</v>
      </c>
      <c r="S75" s="582">
        <f>'Initial unit rates'!S202</f>
        <v>8.5540092866256981E-2</v>
      </c>
      <c r="T75" s="582">
        <f>'Initial unit rates'!T202</f>
        <v>9.0318948798473617E-2</v>
      </c>
      <c r="U75" s="582">
        <f>'Initial unit rates'!U202</f>
        <v>6.75447871860025E-2</v>
      </c>
      <c r="V75" s="582">
        <f>'Initial unit rates'!V202</f>
        <v>0</v>
      </c>
      <c r="W75" s="582">
        <f>'Initial unit rates'!W202</f>
        <v>0</v>
      </c>
      <c r="X75" s="582">
        <f>'Initial unit rates'!X202</f>
        <v>0</v>
      </c>
      <c r="Y75" s="582">
        <f>'Initial unit rates'!Y202</f>
        <v>0</v>
      </c>
      <c r="Z75" s="582">
        <f>'Initial unit rates'!Z202</f>
        <v>0</v>
      </c>
      <c r="AA75" s="582">
        <f>'Initial unit rates'!AA202</f>
        <v>0</v>
      </c>
      <c r="AB75" s="582">
        <f>'Initial unit rates'!AB202</f>
        <v>5.8221915709832713E-2</v>
      </c>
      <c r="AC75" s="582">
        <f>'Initial unit rates'!AC202</f>
        <v>0</v>
      </c>
      <c r="AD75" s="582">
        <f>'Initial unit rates'!AD202</f>
        <v>0</v>
      </c>
      <c r="AE75" s="582">
        <f>'Initial unit rates'!AE202</f>
        <v>0</v>
      </c>
      <c r="AF75" s="582">
        <f>'Initial unit rates'!AF202</f>
        <v>0</v>
      </c>
      <c r="AG75" s="582">
        <f>'Initial unit rates'!AG202</f>
        <v>0</v>
      </c>
      <c r="AH75" s="582">
        <f>'Initial unit rates'!AH202</f>
        <v>0</v>
      </c>
      <c r="AI75" s="582">
        <f>'Initial unit rates'!AI202</f>
        <v>0</v>
      </c>
      <c r="AJ75" s="582">
        <f>'Initial unit rates'!AJ202</f>
        <v>0</v>
      </c>
      <c r="AK75" s="582">
        <f>'Initial unit rates'!AK202</f>
        <v>0</v>
      </c>
      <c r="AL75" s="582">
        <f>'Initial unit rates'!AL202</f>
        <v>0</v>
      </c>
      <c r="AM75" s="582">
        <f>'Initial unit rates'!AM202</f>
        <v>0</v>
      </c>
      <c r="AN75" s="582">
        <f>'Initial unit rates'!AN202</f>
        <v>0</v>
      </c>
      <c r="AO75" s="582">
        <f>'Initial unit rates'!AO202</f>
        <v>0</v>
      </c>
      <c r="AP75" s="582">
        <f>'Initial unit rates'!AP202</f>
        <v>0</v>
      </c>
      <c r="AQ75" s="571"/>
      <c r="AR75" s="571"/>
    </row>
    <row r="76" spans="3:44" s="131" customFormat="1" x14ac:dyDescent="0.25">
      <c r="E76" s="175"/>
      <c r="F76" s="180" t="s">
        <v>141</v>
      </c>
      <c r="G76" s="137" t="s">
        <v>201</v>
      </c>
      <c r="H76" s="569"/>
      <c r="I76" s="569" t="s">
        <v>525</v>
      </c>
      <c r="J76" s="583"/>
      <c r="K76" s="583"/>
      <c r="L76" s="583"/>
      <c r="M76" s="583"/>
      <c r="N76" s="583"/>
      <c r="O76" s="583"/>
      <c r="P76" s="583"/>
      <c r="Q76" s="583"/>
      <c r="R76" s="583"/>
      <c r="S76" s="583"/>
      <c r="T76" s="583"/>
      <c r="U76" s="583"/>
      <c r="V76" s="583"/>
      <c r="W76" s="583"/>
      <c r="X76" s="583"/>
      <c r="Y76" s="583"/>
      <c r="Z76" s="583"/>
      <c r="AA76" s="583"/>
      <c r="AB76" s="581">
        <f>'Service model charges'!$AB$44</f>
        <v>1.4674776072942719</v>
      </c>
      <c r="AC76" s="583"/>
      <c r="AD76" s="583"/>
      <c r="AE76" s="583"/>
      <c r="AF76" s="583"/>
      <c r="AG76" s="583"/>
      <c r="AH76" s="583"/>
      <c r="AI76" s="583"/>
      <c r="AJ76" s="583"/>
      <c r="AK76" s="583"/>
      <c r="AL76" s="583"/>
      <c r="AM76" s="583"/>
      <c r="AN76" s="583"/>
      <c r="AO76" s="583"/>
      <c r="AP76" s="583"/>
      <c r="AQ76" s="571"/>
      <c r="AR76" s="571" t="s">
        <v>983</v>
      </c>
    </row>
    <row r="77" spans="3:44" s="131" customFormat="1" x14ac:dyDescent="0.25">
      <c r="E77" s="175"/>
      <c r="F77" s="177" t="s">
        <v>140</v>
      </c>
      <c r="G77" s="140" t="s">
        <v>201</v>
      </c>
      <c r="H77" s="574"/>
      <c r="I77" s="574"/>
      <c r="J77" s="579"/>
      <c r="K77" s="579"/>
      <c r="L77" s="579"/>
      <c r="M77" s="579"/>
      <c r="N77" s="579"/>
      <c r="O77" s="579"/>
      <c r="P77" s="579"/>
      <c r="Q77" s="579"/>
      <c r="R77" s="579"/>
      <c r="S77" s="579"/>
      <c r="T77" s="579"/>
      <c r="U77" s="579"/>
      <c r="V77" s="579"/>
      <c r="W77" s="579"/>
      <c r="X77" s="579"/>
      <c r="Y77" s="579"/>
      <c r="Z77" s="579"/>
      <c r="AA77" s="579"/>
      <c r="AB77" s="579"/>
      <c r="AC77" s="579"/>
      <c r="AD77" s="579"/>
      <c r="AE77" s="579"/>
      <c r="AF77" s="579"/>
      <c r="AG77" s="579"/>
      <c r="AH77" s="579"/>
      <c r="AI77" s="579"/>
      <c r="AJ77" s="579"/>
      <c r="AK77" s="579"/>
      <c r="AL77" s="579"/>
      <c r="AM77" s="579"/>
      <c r="AN77" s="579"/>
      <c r="AO77" s="579"/>
      <c r="AP77" s="579"/>
      <c r="AQ77" s="571"/>
      <c r="AR77" s="571"/>
    </row>
    <row r="78" spans="3:44" s="131" customFormat="1" x14ac:dyDescent="0.25">
      <c r="D78" s="147"/>
      <c r="E78" s="175"/>
      <c r="F78" s="66"/>
      <c r="G78" s="139"/>
      <c r="J78" s="416"/>
      <c r="K78" s="416"/>
      <c r="L78" s="416"/>
      <c r="M78" s="416"/>
      <c r="N78" s="416"/>
      <c r="O78" s="416"/>
      <c r="P78" s="416"/>
      <c r="Q78" s="416"/>
      <c r="R78" s="416"/>
      <c r="S78" s="416"/>
      <c r="T78" s="416"/>
      <c r="U78" s="416"/>
      <c r="V78" s="416"/>
      <c r="W78" s="416"/>
      <c r="X78" s="416"/>
      <c r="Y78" s="416"/>
      <c r="Z78" s="416"/>
      <c r="AA78" s="416"/>
      <c r="AB78" s="416"/>
      <c r="AC78" s="416"/>
      <c r="AD78" s="416"/>
      <c r="AE78" s="416"/>
      <c r="AF78" s="416"/>
      <c r="AG78" s="416"/>
      <c r="AH78" s="416"/>
      <c r="AI78" s="416"/>
      <c r="AJ78" s="416"/>
      <c r="AK78" s="416"/>
      <c r="AL78" s="416"/>
      <c r="AM78" s="416"/>
      <c r="AN78" s="416"/>
      <c r="AO78" s="416"/>
      <c r="AP78" s="416"/>
    </row>
    <row r="79" spans="3:44" s="160" customFormat="1" x14ac:dyDescent="0.25">
      <c r="C79" s="22" t="str">
        <f ca="1">INDEX('Version control'!$H$34:$H$59,MATCH($A$1,'Version control'!$F$34:$F$59,0),1)&amp;"-C: Initial unit rate 3"</f>
        <v>Section 514-C: Initial unit rate 3</v>
      </c>
      <c r="D79" s="22"/>
      <c r="E79" s="22"/>
      <c r="F79" s="22"/>
      <c r="G79" s="22"/>
      <c r="H79" s="22"/>
      <c r="I79" s="22"/>
      <c r="J79" s="406"/>
      <c r="K79" s="406"/>
      <c r="L79" s="406"/>
      <c r="M79" s="406"/>
      <c r="N79" s="406"/>
      <c r="O79" s="406"/>
      <c r="P79" s="406"/>
      <c r="Q79" s="406"/>
      <c r="R79" s="406"/>
      <c r="S79" s="406"/>
      <c r="T79" s="406"/>
      <c r="U79" s="406"/>
      <c r="V79" s="406"/>
      <c r="W79" s="406"/>
      <c r="X79" s="406"/>
      <c r="Y79" s="406"/>
      <c r="Z79" s="406"/>
      <c r="AA79" s="406"/>
      <c r="AB79" s="406"/>
      <c r="AC79" s="406"/>
      <c r="AD79" s="406"/>
      <c r="AE79" s="406"/>
      <c r="AF79" s="406"/>
      <c r="AG79" s="406"/>
      <c r="AH79" s="406"/>
      <c r="AI79" s="406"/>
      <c r="AJ79" s="406"/>
      <c r="AK79" s="406"/>
      <c r="AL79" s="406"/>
      <c r="AM79" s="406"/>
      <c r="AN79" s="406"/>
      <c r="AO79" s="406"/>
      <c r="AP79" s="406"/>
      <c r="AQ79" s="22"/>
      <c r="AR79" s="22"/>
    </row>
    <row r="80" spans="3:44" s="160" customFormat="1" x14ac:dyDescent="0.25">
      <c r="D80" s="172"/>
      <c r="E80" s="172"/>
      <c r="J80" s="416"/>
      <c r="K80" s="416"/>
      <c r="L80" s="416"/>
      <c r="M80" s="416"/>
      <c r="N80" s="416"/>
      <c r="O80" s="416"/>
      <c r="P80" s="416"/>
      <c r="Q80" s="416"/>
      <c r="R80" s="416"/>
      <c r="S80" s="416"/>
      <c r="T80" s="416"/>
      <c r="U80" s="416"/>
      <c r="V80" s="416"/>
      <c r="W80" s="416"/>
      <c r="X80" s="416"/>
      <c r="Y80" s="416"/>
      <c r="Z80" s="416"/>
      <c r="AA80" s="416"/>
      <c r="AB80" s="416"/>
      <c r="AC80" s="416"/>
      <c r="AD80" s="416"/>
      <c r="AE80" s="416"/>
      <c r="AF80" s="416"/>
      <c r="AG80" s="416"/>
      <c r="AH80" s="416"/>
      <c r="AI80" s="416"/>
      <c r="AJ80" s="416"/>
      <c r="AK80" s="416"/>
      <c r="AL80" s="416"/>
      <c r="AM80" s="416"/>
      <c r="AN80" s="416"/>
      <c r="AO80" s="416"/>
      <c r="AP80" s="416"/>
    </row>
    <row r="81" spans="5:44" s="131" customFormat="1" x14ac:dyDescent="0.25">
      <c r="E81" s="172" t="s">
        <v>156</v>
      </c>
      <c r="J81" s="416"/>
      <c r="K81" s="416"/>
      <c r="L81" s="416"/>
      <c r="M81" s="416"/>
      <c r="N81" s="416"/>
      <c r="O81" s="416"/>
      <c r="P81" s="416"/>
      <c r="Q81" s="416"/>
      <c r="R81" s="416"/>
      <c r="S81" s="416"/>
      <c r="T81" s="416"/>
      <c r="U81" s="416"/>
      <c r="V81" s="416"/>
      <c r="W81" s="416"/>
      <c r="X81" s="416"/>
      <c r="Y81" s="416"/>
      <c r="Z81" s="416"/>
      <c r="AA81" s="416"/>
      <c r="AB81" s="416"/>
      <c r="AC81" s="416"/>
      <c r="AD81" s="416"/>
      <c r="AE81" s="416"/>
      <c r="AF81" s="416"/>
      <c r="AG81" s="416"/>
      <c r="AH81" s="416"/>
      <c r="AI81" s="416"/>
      <c r="AJ81" s="416"/>
      <c r="AK81" s="416"/>
      <c r="AL81" s="416"/>
      <c r="AM81" s="416"/>
      <c r="AN81" s="416"/>
      <c r="AO81" s="416"/>
      <c r="AP81" s="416"/>
    </row>
    <row r="82" spans="5:44" s="131" customFormat="1" x14ac:dyDescent="0.25">
      <c r="E82" s="175"/>
      <c r="F82" s="72" t="s">
        <v>397</v>
      </c>
      <c r="G82" s="137" t="s">
        <v>201</v>
      </c>
      <c r="H82" s="569"/>
      <c r="I82" s="569"/>
      <c r="J82" s="581">
        <f>'Initial unit rates'!J210</f>
        <v>0</v>
      </c>
      <c r="K82" s="581">
        <f>'Initial unit rates'!K210</f>
        <v>0</v>
      </c>
      <c r="L82" s="581">
        <f>'Initial unit rates'!L210</f>
        <v>0</v>
      </c>
      <c r="M82" s="581">
        <f>'Initial unit rates'!M210</f>
        <v>0</v>
      </c>
      <c r="N82" s="581">
        <f>'Initial unit rates'!N210</f>
        <v>0</v>
      </c>
      <c r="O82" s="581">
        <f>'Initial unit rates'!O210</f>
        <v>0</v>
      </c>
      <c r="P82" s="581">
        <f>'Initial unit rates'!P210</f>
        <v>0</v>
      </c>
      <c r="Q82" s="581">
        <f>'Initial unit rates'!Q210</f>
        <v>0</v>
      </c>
      <c r="R82" s="581">
        <f>'Initial unit rates'!R210</f>
        <v>0</v>
      </c>
      <c r="S82" s="581">
        <f>'Initial unit rates'!S210</f>
        <v>0</v>
      </c>
      <c r="T82" s="581">
        <f>'Initial unit rates'!T210</f>
        <v>0</v>
      </c>
      <c r="U82" s="581">
        <f>'Initial unit rates'!U210</f>
        <v>0</v>
      </c>
      <c r="V82" s="581">
        <f>'Initial unit rates'!V210</f>
        <v>0</v>
      </c>
      <c r="W82" s="581">
        <f>'Initial unit rates'!W210</f>
        <v>0</v>
      </c>
      <c r="X82" s="581">
        <f>'Initial unit rates'!X210</f>
        <v>0</v>
      </c>
      <c r="Y82" s="581">
        <f>'Initial unit rates'!Y210</f>
        <v>0</v>
      </c>
      <c r="Z82" s="581">
        <f>'Initial unit rates'!Z210</f>
        <v>0</v>
      </c>
      <c r="AA82" s="581">
        <f>'Initial unit rates'!AA210</f>
        <v>0</v>
      </c>
      <c r="AB82" s="581">
        <f>'Initial unit rates'!AB210</f>
        <v>0</v>
      </c>
      <c r="AC82" s="581">
        <f>'Initial unit rates'!AC210</f>
        <v>0</v>
      </c>
      <c r="AD82" s="581">
        <f>'Initial unit rates'!AD210</f>
        <v>0</v>
      </c>
      <c r="AE82" s="581">
        <f>'Initial unit rates'!AE210</f>
        <v>0</v>
      </c>
      <c r="AF82" s="581">
        <f>'Initial unit rates'!AF210</f>
        <v>0</v>
      </c>
      <c r="AG82" s="581">
        <f>'Initial unit rates'!AG210</f>
        <v>0</v>
      </c>
      <c r="AH82" s="581">
        <f>'Initial unit rates'!AH210</f>
        <v>0</v>
      </c>
      <c r="AI82" s="581">
        <f>'Initial unit rates'!AI210</f>
        <v>0</v>
      </c>
      <c r="AJ82" s="581">
        <f>'Initial unit rates'!AJ210</f>
        <v>0</v>
      </c>
      <c r="AK82" s="581">
        <f>'Initial unit rates'!AK210</f>
        <v>0</v>
      </c>
      <c r="AL82" s="581">
        <f>'Initial unit rates'!AL210</f>
        <v>0</v>
      </c>
      <c r="AM82" s="581">
        <f>'Initial unit rates'!AM210</f>
        <v>0</v>
      </c>
      <c r="AN82" s="581">
        <f>'Initial unit rates'!AN210</f>
        <v>0</v>
      </c>
      <c r="AO82" s="581">
        <f>'Initial unit rates'!AO210</f>
        <v>0</v>
      </c>
      <c r="AP82" s="581">
        <f>'Initial unit rates'!AP210</f>
        <v>0</v>
      </c>
      <c r="AQ82" s="571"/>
      <c r="AR82" s="571"/>
    </row>
    <row r="83" spans="5:44" s="131" customFormat="1" x14ac:dyDescent="0.25">
      <c r="E83" s="175"/>
      <c r="F83" s="66" t="s">
        <v>43</v>
      </c>
      <c r="G83" s="139" t="s">
        <v>201</v>
      </c>
      <c r="H83" s="572"/>
      <c r="I83" s="572"/>
      <c r="J83" s="582">
        <f>'Initial unit rates'!J211</f>
        <v>0</v>
      </c>
      <c r="K83" s="582">
        <f>'Initial unit rates'!K211</f>
        <v>0</v>
      </c>
      <c r="L83" s="582">
        <f>'Initial unit rates'!L211</f>
        <v>0</v>
      </c>
      <c r="M83" s="582">
        <f>'Initial unit rates'!M211</f>
        <v>0</v>
      </c>
      <c r="N83" s="582">
        <f>'Initial unit rates'!N211</f>
        <v>0</v>
      </c>
      <c r="O83" s="582">
        <f>'Initial unit rates'!O211</f>
        <v>0</v>
      </c>
      <c r="P83" s="582">
        <f>'Initial unit rates'!P211</f>
        <v>0</v>
      </c>
      <c r="Q83" s="582">
        <f>'Initial unit rates'!Q211</f>
        <v>0</v>
      </c>
      <c r="R83" s="582">
        <f>'Initial unit rates'!R211</f>
        <v>0</v>
      </c>
      <c r="S83" s="582">
        <f>'Initial unit rates'!S211</f>
        <v>0</v>
      </c>
      <c r="T83" s="582">
        <f>'Initial unit rates'!T211</f>
        <v>0</v>
      </c>
      <c r="U83" s="582">
        <f>'Initial unit rates'!U211</f>
        <v>0</v>
      </c>
      <c r="V83" s="582">
        <f>'Initial unit rates'!V211</f>
        <v>0</v>
      </c>
      <c r="W83" s="582">
        <f>'Initial unit rates'!W211</f>
        <v>0</v>
      </c>
      <c r="X83" s="582">
        <f>'Initial unit rates'!X211</f>
        <v>0</v>
      </c>
      <c r="Y83" s="582">
        <f>'Initial unit rates'!Y211</f>
        <v>0</v>
      </c>
      <c r="Z83" s="582">
        <f>'Initial unit rates'!Z211</f>
        <v>0</v>
      </c>
      <c r="AA83" s="582">
        <f>'Initial unit rates'!AA211</f>
        <v>0</v>
      </c>
      <c r="AB83" s="582">
        <f>'Initial unit rates'!AB211</f>
        <v>0</v>
      </c>
      <c r="AC83" s="582">
        <f>'Initial unit rates'!AC211</f>
        <v>0</v>
      </c>
      <c r="AD83" s="582">
        <f>'Initial unit rates'!AD211</f>
        <v>0</v>
      </c>
      <c r="AE83" s="582">
        <f>'Initial unit rates'!AE211</f>
        <v>0</v>
      </c>
      <c r="AF83" s="582">
        <f>'Initial unit rates'!AF211</f>
        <v>0</v>
      </c>
      <c r="AG83" s="582">
        <f>'Initial unit rates'!AG211</f>
        <v>0</v>
      </c>
      <c r="AH83" s="582">
        <f>'Initial unit rates'!AH211</f>
        <v>0</v>
      </c>
      <c r="AI83" s="582">
        <f>'Initial unit rates'!AI211</f>
        <v>0</v>
      </c>
      <c r="AJ83" s="582">
        <f>'Initial unit rates'!AJ211</f>
        <v>0</v>
      </c>
      <c r="AK83" s="582">
        <f>'Initial unit rates'!AK211</f>
        <v>0</v>
      </c>
      <c r="AL83" s="582">
        <f>'Initial unit rates'!AL211</f>
        <v>0</v>
      </c>
      <c r="AM83" s="582">
        <f>'Initial unit rates'!AM211</f>
        <v>0</v>
      </c>
      <c r="AN83" s="582">
        <f>'Initial unit rates'!AN211</f>
        <v>0</v>
      </c>
      <c r="AO83" s="582">
        <f>'Initial unit rates'!AO211</f>
        <v>0</v>
      </c>
      <c r="AP83" s="582">
        <f>'Initial unit rates'!AP211</f>
        <v>0</v>
      </c>
      <c r="AQ83" s="571"/>
      <c r="AR83" s="571"/>
    </row>
    <row r="84" spans="5:44" s="131" customFormat="1" x14ac:dyDescent="0.25">
      <c r="E84" s="175"/>
      <c r="F84" s="66" t="s">
        <v>44</v>
      </c>
      <c r="G84" s="139" t="s">
        <v>201</v>
      </c>
      <c r="H84" s="572"/>
      <c r="I84" s="572"/>
      <c r="J84" s="582">
        <f>'Initial unit rates'!J212</f>
        <v>0</v>
      </c>
      <c r="K84" s="582">
        <f>'Initial unit rates'!K212</f>
        <v>0</v>
      </c>
      <c r="L84" s="582">
        <f>'Initial unit rates'!L212</f>
        <v>0</v>
      </c>
      <c r="M84" s="582">
        <f>'Initial unit rates'!M212</f>
        <v>0</v>
      </c>
      <c r="N84" s="582">
        <f>'Initial unit rates'!N212</f>
        <v>0</v>
      </c>
      <c r="O84" s="582">
        <f>'Initial unit rates'!O212</f>
        <v>0</v>
      </c>
      <c r="P84" s="582">
        <f>'Initial unit rates'!P212</f>
        <v>0</v>
      </c>
      <c r="Q84" s="582">
        <f>'Initial unit rates'!Q212</f>
        <v>0</v>
      </c>
      <c r="R84" s="582">
        <f>'Initial unit rates'!R212</f>
        <v>0</v>
      </c>
      <c r="S84" s="582">
        <f>'Initial unit rates'!S212</f>
        <v>1.2461438401974972E-3</v>
      </c>
      <c r="T84" s="582">
        <f>'Initial unit rates'!T212</f>
        <v>1.3151104396008238E-3</v>
      </c>
      <c r="U84" s="582">
        <f>'Initial unit rates'!U212</f>
        <v>9.8284715053104468E-4</v>
      </c>
      <c r="V84" s="582">
        <f>'Initial unit rates'!V212</f>
        <v>9.1286459664290077E-4</v>
      </c>
      <c r="W84" s="582">
        <f>'Initial unit rates'!W212</f>
        <v>8.1850439741116947E-4</v>
      </c>
      <c r="X84" s="582">
        <f>'Initial unit rates'!X212</f>
        <v>0</v>
      </c>
      <c r="Y84" s="582">
        <f>'Initial unit rates'!Y212</f>
        <v>0</v>
      </c>
      <c r="Z84" s="582">
        <f>'Initial unit rates'!Z212</f>
        <v>0</v>
      </c>
      <c r="AA84" s="582">
        <f>'Initial unit rates'!AA212</f>
        <v>0</v>
      </c>
      <c r="AB84" s="582">
        <f>'Initial unit rates'!AB212</f>
        <v>7.683239765418719E-4</v>
      </c>
      <c r="AC84" s="582">
        <f>'Initial unit rates'!AC212</f>
        <v>0</v>
      </c>
      <c r="AD84" s="582">
        <f>'Initial unit rates'!AD212</f>
        <v>0</v>
      </c>
      <c r="AE84" s="582">
        <f>'Initial unit rates'!AE212</f>
        <v>0</v>
      </c>
      <c r="AF84" s="582">
        <f>'Initial unit rates'!AF212</f>
        <v>0</v>
      </c>
      <c r="AG84" s="582">
        <f>'Initial unit rates'!AG212</f>
        <v>-8.2447823559703615E-4</v>
      </c>
      <c r="AH84" s="582">
        <f>'Initial unit rates'!AH212</f>
        <v>-8.2447823559703615E-4</v>
      </c>
      <c r="AI84" s="582">
        <f>'Initial unit rates'!AI212</f>
        <v>0</v>
      </c>
      <c r="AJ84" s="582">
        <f>'Initial unit rates'!AJ212</f>
        <v>0</v>
      </c>
      <c r="AK84" s="582">
        <f>'Initial unit rates'!AK212</f>
        <v>-7.9192308028879703E-4</v>
      </c>
      <c r="AL84" s="582">
        <f>'Initial unit rates'!AL212</f>
        <v>-7.9192308028879703E-4</v>
      </c>
      <c r="AM84" s="582">
        <f>'Initial unit rates'!AM212</f>
        <v>0</v>
      </c>
      <c r="AN84" s="582">
        <f>'Initial unit rates'!AN212</f>
        <v>0</v>
      </c>
      <c r="AO84" s="582">
        <f>'Initial unit rates'!AO212</f>
        <v>-7.8056663076266682E-4</v>
      </c>
      <c r="AP84" s="582">
        <f>'Initial unit rates'!AP212</f>
        <v>-7.8056663076266682E-4</v>
      </c>
      <c r="AQ84" s="571"/>
      <c r="AR84" s="571"/>
    </row>
    <row r="85" spans="5:44" s="131" customFormat="1" x14ac:dyDescent="0.25">
      <c r="E85" s="175"/>
      <c r="F85" s="66" t="s">
        <v>45</v>
      </c>
      <c r="G85" s="139" t="s">
        <v>201</v>
      </c>
      <c r="H85" s="572"/>
      <c r="I85" s="572"/>
      <c r="J85" s="582">
        <f>'Initial unit rates'!J213</f>
        <v>0</v>
      </c>
      <c r="K85" s="582">
        <f>'Initial unit rates'!K213</f>
        <v>0</v>
      </c>
      <c r="L85" s="582">
        <f>'Initial unit rates'!L213</f>
        <v>0</v>
      </c>
      <c r="M85" s="582">
        <f>'Initial unit rates'!M213</f>
        <v>0</v>
      </c>
      <c r="N85" s="582">
        <f>'Initial unit rates'!N213</f>
        <v>0</v>
      </c>
      <c r="O85" s="582">
        <f>'Initial unit rates'!O213</f>
        <v>0</v>
      </c>
      <c r="P85" s="582">
        <f>'Initial unit rates'!P213</f>
        <v>0</v>
      </c>
      <c r="Q85" s="582">
        <f>'Initial unit rates'!Q213</f>
        <v>0</v>
      </c>
      <c r="R85" s="582">
        <f>'Initial unit rates'!R213</f>
        <v>0</v>
      </c>
      <c r="S85" s="582">
        <f>'Initial unit rates'!S213</f>
        <v>3.4680646862739585E-4</v>
      </c>
      <c r="T85" s="582">
        <f>'Initial unit rates'!T213</f>
        <v>3.6600012992135797E-4</v>
      </c>
      <c r="U85" s="582">
        <f>'Initial unit rates'!U213</f>
        <v>2.7353001995511912E-4</v>
      </c>
      <c r="V85" s="582">
        <f>'Initial unit rates'!V213</f>
        <v>2.5405361474685104E-4</v>
      </c>
      <c r="W85" s="582">
        <f>'Initial unit rates'!W213</f>
        <v>2.2779282011069752E-4</v>
      </c>
      <c r="X85" s="582">
        <f>'Initial unit rates'!X213</f>
        <v>0</v>
      </c>
      <c r="Y85" s="582">
        <f>'Initial unit rates'!Y213</f>
        <v>0</v>
      </c>
      <c r="Z85" s="582">
        <f>'Initial unit rates'!Z213</f>
        <v>0</v>
      </c>
      <c r="AA85" s="582">
        <f>'Initial unit rates'!AA213</f>
        <v>0</v>
      </c>
      <c r="AB85" s="582">
        <f>'Initial unit rates'!AB213</f>
        <v>2.138274222211895E-4</v>
      </c>
      <c r="AC85" s="582">
        <f>'Initial unit rates'!AC213</f>
        <v>0</v>
      </c>
      <c r="AD85" s="582">
        <f>'Initial unit rates'!AD213</f>
        <v>0</v>
      </c>
      <c r="AE85" s="582">
        <f>'Initial unit rates'!AE213</f>
        <v>0</v>
      </c>
      <c r="AF85" s="582">
        <f>'Initial unit rates'!AF213</f>
        <v>0</v>
      </c>
      <c r="AG85" s="582">
        <f>'Initial unit rates'!AG213</f>
        <v>-2.2945536151126614E-4</v>
      </c>
      <c r="AH85" s="582">
        <f>'Initial unit rates'!AH213</f>
        <v>-2.2945536151126614E-4</v>
      </c>
      <c r="AI85" s="582">
        <f>'Initial unit rates'!AI213</f>
        <v>0</v>
      </c>
      <c r="AJ85" s="582">
        <f>'Initial unit rates'!AJ213</f>
        <v>0</v>
      </c>
      <c r="AK85" s="582">
        <f>'Initial unit rates'!AK213</f>
        <v>-2.2039514062514637E-4</v>
      </c>
      <c r="AL85" s="582">
        <f>'Initial unit rates'!AL213</f>
        <v>-2.2039514062514637E-4</v>
      </c>
      <c r="AM85" s="582">
        <f>'Initial unit rates'!AM213</f>
        <v>0</v>
      </c>
      <c r="AN85" s="582">
        <f>'Initial unit rates'!AN213</f>
        <v>0</v>
      </c>
      <c r="AO85" s="582">
        <f>'Initial unit rates'!AO213</f>
        <v>-2.1723459845556967E-4</v>
      </c>
      <c r="AP85" s="582">
        <f>'Initial unit rates'!AP213</f>
        <v>-2.1723459845556967E-4</v>
      </c>
      <c r="AQ85" s="571"/>
      <c r="AR85" s="571"/>
    </row>
    <row r="86" spans="5:44" s="131" customFormat="1" x14ac:dyDescent="0.25">
      <c r="E86" s="175"/>
      <c r="F86" s="66" t="s">
        <v>46</v>
      </c>
      <c r="G86" s="139" t="s">
        <v>201</v>
      </c>
      <c r="H86" s="572"/>
      <c r="I86" s="572"/>
      <c r="J86" s="582">
        <f>'Initial unit rates'!J214</f>
        <v>0</v>
      </c>
      <c r="K86" s="582">
        <f>'Initial unit rates'!K214</f>
        <v>0</v>
      </c>
      <c r="L86" s="582">
        <f>'Initial unit rates'!L214</f>
        <v>0</v>
      </c>
      <c r="M86" s="582">
        <f>'Initial unit rates'!M214</f>
        <v>0</v>
      </c>
      <c r="N86" s="582">
        <f>'Initial unit rates'!N214</f>
        <v>0</v>
      </c>
      <c r="O86" s="582">
        <f>'Initial unit rates'!O214</f>
        <v>0</v>
      </c>
      <c r="P86" s="582">
        <f>'Initial unit rates'!P214</f>
        <v>0</v>
      </c>
      <c r="Q86" s="582">
        <f>'Initial unit rates'!Q214</f>
        <v>0</v>
      </c>
      <c r="R86" s="582">
        <f>'Initial unit rates'!R214</f>
        <v>0</v>
      </c>
      <c r="S86" s="582">
        <f>'Initial unit rates'!S214</f>
        <v>4.6624647113750134E-3</v>
      </c>
      <c r="T86" s="582">
        <f>'Initial unit rates'!T214</f>
        <v>4.9213795426400423E-3</v>
      </c>
      <c r="U86" s="582">
        <f>'Initial unit rates'!U214</f>
        <v>3.6790908148842671E-3</v>
      </c>
      <c r="V86" s="582">
        <f>'Initial unit rates'!V214</f>
        <v>3.4171251866857233E-3</v>
      </c>
      <c r="W86" s="582">
        <f>'Initial unit rates'!W214</f>
        <v>2.9951591156556307E-3</v>
      </c>
      <c r="X86" s="582">
        <f>'Initial unit rates'!X214</f>
        <v>0</v>
      </c>
      <c r="Y86" s="582">
        <f>'Initial unit rates'!Y214</f>
        <v>0</v>
      </c>
      <c r="Z86" s="582">
        <f>'Initial unit rates'!Z214</f>
        <v>0</v>
      </c>
      <c r="AA86" s="582">
        <f>'Initial unit rates'!AA214</f>
        <v>0</v>
      </c>
      <c r="AB86" s="582">
        <f>'Initial unit rates'!AB214</f>
        <v>2.8760664193035884E-3</v>
      </c>
      <c r="AC86" s="582">
        <f>'Initial unit rates'!AC214</f>
        <v>0</v>
      </c>
      <c r="AD86" s="582">
        <f>'Initial unit rates'!AD214</f>
        <v>0</v>
      </c>
      <c r="AE86" s="582">
        <f>'Initial unit rates'!AE214</f>
        <v>0</v>
      </c>
      <c r="AF86" s="582">
        <f>'Initial unit rates'!AF214</f>
        <v>0</v>
      </c>
      <c r="AG86" s="582">
        <f>'Initial unit rates'!AG214</f>
        <v>-3.0862686044499355E-3</v>
      </c>
      <c r="AH86" s="582">
        <f>'Initial unit rates'!AH214</f>
        <v>-3.0862686044499355E-3</v>
      </c>
      <c r="AI86" s="582">
        <f>'Initial unit rates'!AI214</f>
        <v>0</v>
      </c>
      <c r="AJ86" s="582">
        <f>'Initial unit rates'!AJ214</f>
        <v>0</v>
      </c>
      <c r="AK86" s="582">
        <f>'Initial unit rates'!AK214</f>
        <v>-2.9644049221805632E-3</v>
      </c>
      <c r="AL86" s="582">
        <f>'Initial unit rates'!AL214</f>
        <v>-2.9644049221805632E-3</v>
      </c>
      <c r="AM86" s="582">
        <f>'Initial unit rates'!AM214</f>
        <v>0</v>
      </c>
      <c r="AN86" s="582">
        <f>'Initial unit rates'!AN214</f>
        <v>0</v>
      </c>
      <c r="AO86" s="582">
        <f>'Initial unit rates'!AO214</f>
        <v>-2.85633316925354E-3</v>
      </c>
      <c r="AP86" s="582">
        <f>'Initial unit rates'!AP214</f>
        <v>-2.85633316925354E-3</v>
      </c>
      <c r="AQ86" s="571"/>
      <c r="AR86" s="571"/>
    </row>
    <row r="87" spans="5:44" s="131" customFormat="1" x14ac:dyDescent="0.25">
      <c r="E87" s="175"/>
      <c r="F87" s="66" t="s">
        <v>47</v>
      </c>
      <c r="G87" s="139" t="s">
        <v>201</v>
      </c>
      <c r="H87" s="572"/>
      <c r="I87" s="572"/>
      <c r="J87" s="582">
        <f>'Initial unit rates'!J215</f>
        <v>0</v>
      </c>
      <c r="K87" s="582">
        <f>'Initial unit rates'!K215</f>
        <v>0</v>
      </c>
      <c r="L87" s="582">
        <f>'Initial unit rates'!L215</f>
        <v>0</v>
      </c>
      <c r="M87" s="582">
        <f>'Initial unit rates'!M215</f>
        <v>0</v>
      </c>
      <c r="N87" s="582">
        <f>'Initial unit rates'!N215</f>
        <v>0</v>
      </c>
      <c r="O87" s="582">
        <f>'Initial unit rates'!O215</f>
        <v>0</v>
      </c>
      <c r="P87" s="582">
        <f>'Initial unit rates'!P215</f>
        <v>0</v>
      </c>
      <c r="Q87" s="582">
        <f>'Initial unit rates'!Q215</f>
        <v>0</v>
      </c>
      <c r="R87" s="582">
        <f>'Initial unit rates'!R215</f>
        <v>0</v>
      </c>
      <c r="S87" s="582">
        <f>'Initial unit rates'!S215</f>
        <v>3.508062791409694E-3</v>
      </c>
      <c r="T87" s="582">
        <f>'Initial unit rates'!T215</f>
        <v>3.7028716622391103E-3</v>
      </c>
      <c r="U87" s="582">
        <f>'Initial unit rates'!U215</f>
        <v>2.7681671375280824E-3</v>
      </c>
      <c r="V87" s="582">
        <f>'Initial unit rates'!V215</f>
        <v>2.5710628311577826E-3</v>
      </c>
      <c r="W87" s="582">
        <f>'Initial unit rates'!W215</f>
        <v>2.2061022537585139E-3</v>
      </c>
      <c r="X87" s="582">
        <f>'Initial unit rates'!X215</f>
        <v>0</v>
      </c>
      <c r="Y87" s="582">
        <f>'Initial unit rates'!Y215</f>
        <v>0</v>
      </c>
      <c r="Z87" s="582">
        <f>'Initial unit rates'!Z215</f>
        <v>0</v>
      </c>
      <c r="AA87" s="582">
        <f>'Initial unit rates'!AA215</f>
        <v>0</v>
      </c>
      <c r="AB87" s="582">
        <f>'Initial unit rates'!AB215</f>
        <v>2.1639673897298722E-3</v>
      </c>
      <c r="AC87" s="582">
        <f>'Initial unit rates'!AC215</f>
        <v>0</v>
      </c>
      <c r="AD87" s="582">
        <f>'Initial unit rates'!AD215</f>
        <v>0</v>
      </c>
      <c r="AE87" s="582">
        <f>'Initial unit rates'!AE215</f>
        <v>0</v>
      </c>
      <c r="AF87" s="582">
        <f>'Initial unit rates'!AF215</f>
        <v>0</v>
      </c>
      <c r="AG87" s="582">
        <f>'Initial unit rates'!AG215</f>
        <v>-2.3221246112925089E-3</v>
      </c>
      <c r="AH87" s="582">
        <f>'Initial unit rates'!AH215</f>
        <v>-2.3221246112925089E-3</v>
      </c>
      <c r="AI87" s="582">
        <f>'Initial unit rates'!AI215</f>
        <v>0</v>
      </c>
      <c r="AJ87" s="582">
        <f>'Initial unit rates'!AJ215</f>
        <v>0</v>
      </c>
      <c r="AK87" s="582">
        <f>'Initial unit rates'!AK215</f>
        <v>-2.230433740506855E-3</v>
      </c>
      <c r="AL87" s="582">
        <f>'Initial unit rates'!AL215</f>
        <v>-2.230433740506855E-3</v>
      </c>
      <c r="AM87" s="582">
        <f>'Initial unit rates'!AM215</f>
        <v>0</v>
      </c>
      <c r="AN87" s="582">
        <f>'Initial unit rates'!AN215</f>
        <v>0</v>
      </c>
      <c r="AO87" s="582">
        <f>'Initial unit rates'!AO215</f>
        <v>-2.103849177574022E-3</v>
      </c>
      <c r="AP87" s="582">
        <f>'Initial unit rates'!AP215</f>
        <v>-2.103849177574022E-3</v>
      </c>
      <c r="AQ87" s="571"/>
      <c r="AR87" s="571"/>
    </row>
    <row r="88" spans="5:44" s="131" customFormat="1" x14ac:dyDescent="0.25">
      <c r="E88" s="175"/>
      <c r="F88" s="66" t="s">
        <v>51</v>
      </c>
      <c r="G88" s="139" t="s">
        <v>201</v>
      </c>
      <c r="H88" s="572"/>
      <c r="I88" s="572"/>
      <c r="J88" s="582">
        <f>'Initial unit rates'!J216</f>
        <v>0</v>
      </c>
      <c r="K88" s="582">
        <f>'Initial unit rates'!K216</f>
        <v>0</v>
      </c>
      <c r="L88" s="582">
        <f>'Initial unit rates'!L216</f>
        <v>0</v>
      </c>
      <c r="M88" s="582">
        <f>'Initial unit rates'!M216</f>
        <v>0</v>
      </c>
      <c r="N88" s="582">
        <f>'Initial unit rates'!N216</f>
        <v>0</v>
      </c>
      <c r="O88" s="582">
        <f>'Initial unit rates'!O216</f>
        <v>0</v>
      </c>
      <c r="P88" s="582">
        <f>'Initial unit rates'!P216</f>
        <v>0</v>
      </c>
      <c r="Q88" s="582">
        <f>'Initial unit rates'!Q216</f>
        <v>0</v>
      </c>
      <c r="R88" s="582">
        <f>'Initial unit rates'!R216</f>
        <v>0</v>
      </c>
      <c r="S88" s="582">
        <f>'Initial unit rates'!S216</f>
        <v>0</v>
      </c>
      <c r="T88" s="582">
        <f>'Initial unit rates'!T216</f>
        <v>0</v>
      </c>
      <c r="U88" s="582">
        <f>'Initial unit rates'!U216</f>
        <v>0</v>
      </c>
      <c r="V88" s="582">
        <f>'Initial unit rates'!V216</f>
        <v>0</v>
      </c>
      <c r="W88" s="582">
        <f>'Initial unit rates'!W216</f>
        <v>0</v>
      </c>
      <c r="X88" s="582">
        <f>'Initial unit rates'!X216</f>
        <v>0</v>
      </c>
      <c r="Y88" s="582">
        <f>'Initial unit rates'!Y216</f>
        <v>0</v>
      </c>
      <c r="Z88" s="582">
        <f>'Initial unit rates'!Z216</f>
        <v>0</v>
      </c>
      <c r="AA88" s="582">
        <f>'Initial unit rates'!AA216</f>
        <v>0</v>
      </c>
      <c r="AB88" s="582">
        <f>'Initial unit rates'!AB216</f>
        <v>0</v>
      </c>
      <c r="AC88" s="582">
        <f>'Initial unit rates'!AC216</f>
        <v>0</v>
      </c>
      <c r="AD88" s="582">
        <f>'Initial unit rates'!AD216</f>
        <v>0</v>
      </c>
      <c r="AE88" s="582">
        <f>'Initial unit rates'!AE216</f>
        <v>0</v>
      </c>
      <c r="AF88" s="582">
        <f>'Initial unit rates'!AF216</f>
        <v>0</v>
      </c>
      <c r="AG88" s="582">
        <f>'Initial unit rates'!AG216</f>
        <v>0</v>
      </c>
      <c r="AH88" s="582">
        <f>'Initial unit rates'!AH216</f>
        <v>0</v>
      </c>
      <c r="AI88" s="582">
        <f>'Initial unit rates'!AI216</f>
        <v>0</v>
      </c>
      <c r="AJ88" s="582">
        <f>'Initial unit rates'!AJ216</f>
        <v>0</v>
      </c>
      <c r="AK88" s="582">
        <f>'Initial unit rates'!AK216</f>
        <v>0</v>
      </c>
      <c r="AL88" s="582">
        <f>'Initial unit rates'!AL216</f>
        <v>0</v>
      </c>
      <c r="AM88" s="582">
        <f>'Initial unit rates'!AM216</f>
        <v>0</v>
      </c>
      <c r="AN88" s="582">
        <f>'Initial unit rates'!AN216</f>
        <v>0</v>
      </c>
      <c r="AO88" s="582">
        <f>'Initial unit rates'!AO216</f>
        <v>0</v>
      </c>
      <c r="AP88" s="582">
        <f>'Initial unit rates'!AP216</f>
        <v>0</v>
      </c>
      <c r="AQ88" s="571"/>
      <c r="AR88" s="571"/>
    </row>
    <row r="89" spans="5:44" s="131" customFormat="1" x14ac:dyDescent="0.25">
      <c r="E89" s="175"/>
      <c r="F89" s="66" t="s">
        <v>48</v>
      </c>
      <c r="G89" s="139" t="s">
        <v>201</v>
      </c>
      <c r="H89" s="572"/>
      <c r="I89" s="572"/>
      <c r="J89" s="582">
        <f>'Initial unit rates'!J217</f>
        <v>0</v>
      </c>
      <c r="K89" s="582">
        <f>'Initial unit rates'!K217</f>
        <v>0</v>
      </c>
      <c r="L89" s="582">
        <f>'Initial unit rates'!L217</f>
        <v>0</v>
      </c>
      <c r="M89" s="582">
        <f>'Initial unit rates'!M217</f>
        <v>0</v>
      </c>
      <c r="N89" s="582">
        <f>'Initial unit rates'!N217</f>
        <v>0</v>
      </c>
      <c r="O89" s="582">
        <f>'Initial unit rates'!O217</f>
        <v>0</v>
      </c>
      <c r="P89" s="582">
        <f>'Initial unit rates'!P217</f>
        <v>0</v>
      </c>
      <c r="Q89" s="582">
        <f>'Initial unit rates'!Q217</f>
        <v>0</v>
      </c>
      <c r="R89" s="582">
        <f>'Initial unit rates'!R217</f>
        <v>0</v>
      </c>
      <c r="S89" s="582">
        <f>'Initial unit rates'!S217</f>
        <v>1.6793755893418059E-2</v>
      </c>
      <c r="T89" s="582">
        <f>'Initial unit rates'!T217</f>
        <v>1.7731970212415099E-2</v>
      </c>
      <c r="U89" s="582">
        <f>'Initial unit rates'!U217</f>
        <v>1.3260807065619376E-2</v>
      </c>
      <c r="V89" s="582">
        <f>'Initial unit rates'!V217</f>
        <v>1.231658583593115E-2</v>
      </c>
      <c r="W89" s="582">
        <f>'Initial unit rates'!W217</f>
        <v>1.0379816345090031E-2</v>
      </c>
      <c r="X89" s="582">
        <f>'Initial unit rates'!X217</f>
        <v>0</v>
      </c>
      <c r="Y89" s="582">
        <f>'Initial unit rates'!Y217</f>
        <v>0</v>
      </c>
      <c r="Z89" s="582">
        <f>'Initial unit rates'!Z217</f>
        <v>0</v>
      </c>
      <c r="AA89" s="582">
        <f>'Initial unit rates'!AA217</f>
        <v>0</v>
      </c>
      <c r="AB89" s="582">
        <f>'Initial unit rates'!AB217</f>
        <v>1.0366409478123026E-2</v>
      </c>
      <c r="AC89" s="582">
        <f>'Initial unit rates'!AC217</f>
        <v>0</v>
      </c>
      <c r="AD89" s="582">
        <f>'Initial unit rates'!AD217</f>
        <v>0</v>
      </c>
      <c r="AE89" s="582">
        <f>'Initial unit rates'!AE217</f>
        <v>0</v>
      </c>
      <c r="AF89" s="582">
        <f>'Initial unit rates'!AF217</f>
        <v>0</v>
      </c>
      <c r="AG89" s="582">
        <f>'Initial unit rates'!AG217</f>
        <v>-1.1124056071330322E-2</v>
      </c>
      <c r="AH89" s="582">
        <f>'Initial unit rates'!AH217</f>
        <v>-1.1124056071330322E-2</v>
      </c>
      <c r="AI89" s="582">
        <f>'Initial unit rates'!AI217</f>
        <v>0</v>
      </c>
      <c r="AJ89" s="582">
        <f>'Initial unit rates'!AJ217</f>
        <v>0</v>
      </c>
      <c r="AK89" s="582">
        <f>'Initial unit rates'!AK217</f>
        <v>-1.0684814187889365E-2</v>
      </c>
      <c r="AL89" s="582">
        <f>'Initial unit rates'!AL217</f>
        <v>-1.0684814187889365E-2</v>
      </c>
      <c r="AM89" s="582">
        <f>'Initial unit rates'!AM217</f>
        <v>0</v>
      </c>
      <c r="AN89" s="582">
        <f>'Initial unit rates'!AN217</f>
        <v>0</v>
      </c>
      <c r="AO89" s="582">
        <f>'Initial unit rates'!AO217</f>
        <v>0</v>
      </c>
      <c r="AP89" s="582">
        <f>'Initial unit rates'!AP217</f>
        <v>0</v>
      </c>
      <c r="AQ89" s="571"/>
      <c r="AR89" s="571"/>
    </row>
    <row r="90" spans="5:44" s="131" customFormat="1" x14ac:dyDescent="0.25">
      <c r="E90" s="175"/>
      <c r="F90" s="66" t="s">
        <v>49</v>
      </c>
      <c r="G90" s="139" t="s">
        <v>201</v>
      </c>
      <c r="H90" s="572"/>
      <c r="I90" s="572"/>
      <c r="J90" s="582">
        <f>'Initial unit rates'!J218</f>
        <v>0</v>
      </c>
      <c r="K90" s="582">
        <f>'Initial unit rates'!K218</f>
        <v>0</v>
      </c>
      <c r="L90" s="582">
        <f>'Initial unit rates'!L218</f>
        <v>0</v>
      </c>
      <c r="M90" s="582">
        <f>'Initial unit rates'!M218</f>
        <v>0</v>
      </c>
      <c r="N90" s="582">
        <f>'Initial unit rates'!N218</f>
        <v>0</v>
      </c>
      <c r="O90" s="582">
        <f>'Initial unit rates'!O218</f>
        <v>0</v>
      </c>
      <c r="P90" s="582">
        <f>'Initial unit rates'!P218</f>
        <v>0</v>
      </c>
      <c r="Q90" s="582">
        <f>'Initial unit rates'!Q218</f>
        <v>0</v>
      </c>
      <c r="R90" s="582">
        <f>'Initial unit rates'!R218</f>
        <v>0</v>
      </c>
      <c r="S90" s="582">
        <f>'Initial unit rates'!S218</f>
        <v>4.8376911616025559E-3</v>
      </c>
      <c r="T90" s="582">
        <f>'Initial unit rates'!T218</f>
        <v>5.1079577504172611E-3</v>
      </c>
      <c r="U90" s="582">
        <f>'Initial unit rates'!U218</f>
        <v>3.8199727055819844E-3</v>
      </c>
      <c r="V90" s="582">
        <f>'Initial unit rates'!V218</f>
        <v>3.5479757368008383E-3</v>
      </c>
      <c r="W90" s="582">
        <f>'Initial unit rates'!W218</f>
        <v>0</v>
      </c>
      <c r="X90" s="582">
        <f>'Initial unit rates'!X218</f>
        <v>0</v>
      </c>
      <c r="Y90" s="582">
        <f>'Initial unit rates'!Y218</f>
        <v>0</v>
      </c>
      <c r="Z90" s="582">
        <f>'Initial unit rates'!Z218</f>
        <v>0</v>
      </c>
      <c r="AA90" s="582">
        <f>'Initial unit rates'!AA218</f>
        <v>0</v>
      </c>
      <c r="AB90" s="582">
        <f>'Initial unit rates'!AB218</f>
        <v>2.9861984316161042E-3</v>
      </c>
      <c r="AC90" s="582">
        <f>'Initial unit rates'!AC218</f>
        <v>0</v>
      </c>
      <c r="AD90" s="582">
        <f>'Initial unit rates'!AD218</f>
        <v>0</v>
      </c>
      <c r="AE90" s="582">
        <f>'Initial unit rates'!AE218</f>
        <v>0</v>
      </c>
      <c r="AF90" s="582">
        <f>'Initial unit rates'!AF218</f>
        <v>0</v>
      </c>
      <c r="AG90" s="582">
        <f>'Initial unit rates'!AG218</f>
        <v>-3.2044498014013314E-3</v>
      </c>
      <c r="AH90" s="582">
        <f>'Initial unit rates'!AH218</f>
        <v>-3.2044498014013314E-3</v>
      </c>
      <c r="AI90" s="582">
        <f>'Initial unit rates'!AI218</f>
        <v>0</v>
      </c>
      <c r="AJ90" s="582">
        <f>'Initial unit rates'!AJ218</f>
        <v>0</v>
      </c>
      <c r="AK90" s="582">
        <f>'Initial unit rates'!AK218</f>
        <v>0</v>
      </c>
      <c r="AL90" s="582">
        <f>'Initial unit rates'!AL218</f>
        <v>0</v>
      </c>
      <c r="AM90" s="582">
        <f>'Initial unit rates'!AM218</f>
        <v>0</v>
      </c>
      <c r="AN90" s="582">
        <f>'Initial unit rates'!AN218</f>
        <v>0</v>
      </c>
      <c r="AO90" s="582">
        <f>'Initial unit rates'!AO218</f>
        <v>0</v>
      </c>
      <c r="AP90" s="582">
        <f>'Initial unit rates'!AP218</f>
        <v>0</v>
      </c>
      <c r="AQ90" s="571"/>
      <c r="AR90" s="571"/>
    </row>
    <row r="91" spans="5:44" s="131" customFormat="1" x14ac:dyDescent="0.25">
      <c r="E91" s="175"/>
      <c r="F91" s="66" t="s">
        <v>50</v>
      </c>
      <c r="G91" s="139" t="s">
        <v>201</v>
      </c>
      <c r="H91" s="572"/>
      <c r="I91" s="572"/>
      <c r="J91" s="582">
        <f>'Initial unit rates'!J219</f>
        <v>0</v>
      </c>
      <c r="K91" s="582">
        <f>'Initial unit rates'!K219</f>
        <v>0</v>
      </c>
      <c r="L91" s="582">
        <f>'Initial unit rates'!L219</f>
        <v>0</v>
      </c>
      <c r="M91" s="582">
        <f>'Initial unit rates'!M219</f>
        <v>0</v>
      </c>
      <c r="N91" s="582">
        <f>'Initial unit rates'!N219</f>
        <v>0</v>
      </c>
      <c r="O91" s="582">
        <f>'Initial unit rates'!O219</f>
        <v>0</v>
      </c>
      <c r="P91" s="582">
        <f>'Initial unit rates'!P219</f>
        <v>0</v>
      </c>
      <c r="Q91" s="582">
        <f>'Initial unit rates'!Q219</f>
        <v>0</v>
      </c>
      <c r="R91" s="582">
        <f>'Initial unit rates'!R219</f>
        <v>0</v>
      </c>
      <c r="S91" s="582">
        <f>'Initial unit rates'!S219</f>
        <v>6.647947869184575E-4</v>
      </c>
      <c r="T91" s="582">
        <f>'Initial unit rates'!T219</f>
        <v>7.019347806304022E-4</v>
      </c>
      <c r="U91" s="582">
        <f>'Initial unit rates'!U219</f>
        <v>5.2494007079204551E-4</v>
      </c>
      <c r="V91" s="582">
        <f>'Initial unit rates'!V219</f>
        <v>0</v>
      </c>
      <c r="W91" s="582">
        <f>'Initial unit rates'!W219</f>
        <v>0</v>
      </c>
      <c r="X91" s="582">
        <f>'Initial unit rates'!X219</f>
        <v>0</v>
      </c>
      <c r="Y91" s="582">
        <f>'Initial unit rates'!Y219</f>
        <v>0</v>
      </c>
      <c r="Z91" s="582">
        <f>'Initial unit rates'!Z219</f>
        <v>0</v>
      </c>
      <c r="AA91" s="582">
        <f>'Initial unit rates'!AA219</f>
        <v>0</v>
      </c>
      <c r="AB91" s="582">
        <f>'Initial unit rates'!AB219</f>
        <v>4.1036293631130236E-4</v>
      </c>
      <c r="AC91" s="582">
        <f>'Initial unit rates'!AC219</f>
        <v>0</v>
      </c>
      <c r="AD91" s="582">
        <f>'Initial unit rates'!AD219</f>
        <v>0</v>
      </c>
      <c r="AE91" s="582">
        <f>'Initial unit rates'!AE219</f>
        <v>0</v>
      </c>
      <c r="AF91" s="582">
        <f>'Initial unit rates'!AF219</f>
        <v>0</v>
      </c>
      <c r="AG91" s="582">
        <f>'Initial unit rates'!AG219</f>
        <v>0</v>
      </c>
      <c r="AH91" s="582">
        <f>'Initial unit rates'!AH219</f>
        <v>0</v>
      </c>
      <c r="AI91" s="582">
        <f>'Initial unit rates'!AI219</f>
        <v>0</v>
      </c>
      <c r="AJ91" s="582">
        <f>'Initial unit rates'!AJ219</f>
        <v>0</v>
      </c>
      <c r="AK91" s="582">
        <f>'Initial unit rates'!AK219</f>
        <v>0</v>
      </c>
      <c r="AL91" s="582">
        <f>'Initial unit rates'!AL219</f>
        <v>0</v>
      </c>
      <c r="AM91" s="582">
        <f>'Initial unit rates'!AM219</f>
        <v>0</v>
      </c>
      <c r="AN91" s="582">
        <f>'Initial unit rates'!AN219</f>
        <v>0</v>
      </c>
      <c r="AO91" s="582">
        <f>'Initial unit rates'!AO219</f>
        <v>0</v>
      </c>
      <c r="AP91" s="582">
        <f>'Initial unit rates'!AP219</f>
        <v>0</v>
      </c>
      <c r="AQ91" s="571"/>
      <c r="AR91" s="571"/>
    </row>
    <row r="92" spans="5:44" s="131" customFormat="1" x14ac:dyDescent="0.25">
      <c r="E92" s="175"/>
      <c r="F92" s="72" t="s">
        <v>141</v>
      </c>
      <c r="G92" s="137" t="s">
        <v>201</v>
      </c>
      <c r="H92" s="569"/>
      <c r="I92" s="569"/>
      <c r="J92" s="583"/>
      <c r="K92" s="583"/>
      <c r="L92" s="583"/>
      <c r="M92" s="583"/>
      <c r="N92" s="583"/>
      <c r="O92" s="583"/>
      <c r="P92" s="583"/>
      <c r="Q92" s="583"/>
      <c r="R92" s="583"/>
      <c r="S92" s="583"/>
      <c r="T92" s="583"/>
      <c r="U92" s="583"/>
      <c r="V92" s="583"/>
      <c r="W92" s="583"/>
      <c r="X92" s="583"/>
      <c r="Y92" s="583"/>
      <c r="Z92" s="583"/>
      <c r="AA92" s="583"/>
      <c r="AB92" s="583"/>
      <c r="AC92" s="583"/>
      <c r="AD92" s="583"/>
      <c r="AE92" s="583"/>
      <c r="AF92" s="583"/>
      <c r="AG92" s="583"/>
      <c r="AH92" s="583"/>
      <c r="AI92" s="583"/>
      <c r="AJ92" s="583"/>
      <c r="AK92" s="583"/>
      <c r="AL92" s="583"/>
      <c r="AM92" s="583"/>
      <c r="AN92" s="583"/>
      <c r="AO92" s="583"/>
      <c r="AP92" s="583"/>
      <c r="AQ92" s="571"/>
      <c r="AR92" s="571"/>
    </row>
    <row r="93" spans="5:44" s="131" customFormat="1" x14ac:dyDescent="0.25">
      <c r="E93" s="175"/>
      <c r="F93" s="67" t="s">
        <v>140</v>
      </c>
      <c r="G93" s="140" t="s">
        <v>201</v>
      </c>
      <c r="H93" s="574"/>
      <c r="I93" s="574"/>
      <c r="J93" s="579"/>
      <c r="K93" s="579"/>
      <c r="L93" s="579"/>
      <c r="M93" s="579"/>
      <c r="N93" s="579"/>
      <c r="O93" s="579"/>
      <c r="P93" s="579"/>
      <c r="Q93" s="579"/>
      <c r="R93" s="579"/>
      <c r="S93" s="579"/>
      <c r="T93" s="579"/>
      <c r="U93" s="579"/>
      <c r="V93" s="579"/>
      <c r="W93" s="579"/>
      <c r="X93" s="579"/>
      <c r="Y93" s="579"/>
      <c r="Z93" s="579"/>
      <c r="AA93" s="579"/>
      <c r="AB93" s="579"/>
      <c r="AC93" s="579"/>
      <c r="AD93" s="579"/>
      <c r="AE93" s="579"/>
      <c r="AF93" s="579"/>
      <c r="AG93" s="579"/>
      <c r="AH93" s="579"/>
      <c r="AI93" s="579"/>
      <c r="AJ93" s="579"/>
      <c r="AK93" s="579"/>
      <c r="AL93" s="579"/>
      <c r="AM93" s="579"/>
      <c r="AN93" s="579"/>
      <c r="AO93" s="579"/>
      <c r="AP93" s="579"/>
      <c r="AQ93" s="571"/>
      <c r="AR93" s="571"/>
    </row>
    <row r="94" spans="5:44" s="160" customFormat="1" x14ac:dyDescent="0.25">
      <c r="E94" s="175"/>
      <c r="F94" s="176"/>
      <c r="G94" s="167"/>
      <c r="H94" s="167"/>
      <c r="J94" s="416"/>
      <c r="K94" s="416"/>
      <c r="L94" s="416"/>
      <c r="M94" s="416"/>
      <c r="N94" s="416"/>
      <c r="O94" s="416"/>
      <c r="P94" s="416"/>
      <c r="Q94" s="416"/>
      <c r="R94" s="416"/>
      <c r="S94" s="416"/>
      <c r="T94" s="416"/>
      <c r="U94" s="416"/>
      <c r="V94" s="416"/>
      <c r="W94" s="416"/>
      <c r="X94" s="416"/>
      <c r="Y94" s="416"/>
      <c r="Z94" s="416"/>
      <c r="AA94" s="416"/>
      <c r="AB94" s="416"/>
      <c r="AC94" s="416"/>
      <c r="AD94" s="416"/>
      <c r="AE94" s="416"/>
      <c r="AF94" s="416"/>
      <c r="AG94" s="416"/>
      <c r="AH94" s="416"/>
      <c r="AI94" s="416"/>
      <c r="AJ94" s="416"/>
      <c r="AK94" s="416"/>
      <c r="AL94" s="416"/>
      <c r="AM94" s="416"/>
      <c r="AN94" s="416"/>
      <c r="AO94" s="416"/>
      <c r="AP94" s="416"/>
    </row>
    <row r="95" spans="5:44" s="131" customFormat="1" x14ac:dyDescent="0.25">
      <c r="E95" s="172" t="s">
        <v>133</v>
      </c>
      <c r="F95" s="117"/>
      <c r="J95" s="416"/>
      <c r="K95" s="416"/>
      <c r="L95" s="416"/>
      <c r="M95" s="416"/>
      <c r="N95" s="416"/>
      <c r="O95" s="416"/>
      <c r="P95" s="416"/>
      <c r="Q95" s="416"/>
      <c r="R95" s="416"/>
      <c r="S95" s="416"/>
      <c r="T95" s="416"/>
      <c r="U95" s="416"/>
      <c r="V95" s="416"/>
      <c r="W95" s="416"/>
      <c r="X95" s="416"/>
      <c r="Y95" s="416"/>
      <c r="Z95" s="416"/>
      <c r="AA95" s="416"/>
      <c r="AB95" s="416"/>
      <c r="AC95" s="416"/>
      <c r="AD95" s="416"/>
      <c r="AE95" s="416"/>
      <c r="AF95" s="416"/>
      <c r="AG95" s="416"/>
      <c r="AH95" s="416"/>
      <c r="AI95" s="416"/>
      <c r="AJ95" s="416"/>
      <c r="AK95" s="416"/>
      <c r="AL95" s="416"/>
      <c r="AM95" s="416"/>
      <c r="AN95" s="416"/>
      <c r="AO95" s="416"/>
      <c r="AP95" s="416"/>
    </row>
    <row r="96" spans="5:44" s="131" customFormat="1" x14ac:dyDescent="0.25">
      <c r="E96" s="175"/>
      <c r="F96" s="72" t="s">
        <v>397</v>
      </c>
      <c r="G96" s="137" t="s">
        <v>201</v>
      </c>
      <c r="H96" s="569"/>
      <c r="I96" s="569"/>
      <c r="J96" s="581">
        <f>'Initial unit rates'!J222</f>
        <v>0</v>
      </c>
      <c r="K96" s="581">
        <f>'Initial unit rates'!K222</f>
        <v>0</v>
      </c>
      <c r="L96" s="581">
        <f>'Initial unit rates'!L222</f>
        <v>0</v>
      </c>
      <c r="M96" s="581">
        <f>'Initial unit rates'!M222</f>
        <v>0</v>
      </c>
      <c r="N96" s="581">
        <f>'Initial unit rates'!N222</f>
        <v>0</v>
      </c>
      <c r="O96" s="581">
        <f>'Initial unit rates'!O222</f>
        <v>0</v>
      </c>
      <c r="P96" s="581">
        <f>'Initial unit rates'!P222</f>
        <v>0</v>
      </c>
      <c r="Q96" s="581">
        <f>'Initial unit rates'!Q222</f>
        <v>0</v>
      </c>
      <c r="R96" s="581">
        <f>'Initial unit rates'!R222</f>
        <v>0</v>
      </c>
      <c r="S96" s="581">
        <f>'Initial unit rates'!S222</f>
        <v>0</v>
      </c>
      <c r="T96" s="581">
        <f>'Initial unit rates'!T222</f>
        <v>0</v>
      </c>
      <c r="U96" s="581">
        <f>'Initial unit rates'!U222</f>
        <v>0</v>
      </c>
      <c r="V96" s="581">
        <f>'Initial unit rates'!V222</f>
        <v>0</v>
      </c>
      <c r="W96" s="581">
        <f>'Initial unit rates'!W222</f>
        <v>0</v>
      </c>
      <c r="X96" s="581">
        <f>'Initial unit rates'!X222</f>
        <v>0</v>
      </c>
      <c r="Y96" s="581">
        <f>'Initial unit rates'!Y222</f>
        <v>0</v>
      </c>
      <c r="Z96" s="581">
        <f>'Initial unit rates'!Z222</f>
        <v>0</v>
      </c>
      <c r="AA96" s="581">
        <f>'Initial unit rates'!AA222</f>
        <v>0</v>
      </c>
      <c r="AB96" s="581">
        <f>'Initial unit rates'!AB222</f>
        <v>0</v>
      </c>
      <c r="AC96" s="581">
        <f>'Initial unit rates'!AC222</f>
        <v>0</v>
      </c>
      <c r="AD96" s="581">
        <f>'Initial unit rates'!AD222</f>
        <v>0</v>
      </c>
      <c r="AE96" s="581">
        <f>'Initial unit rates'!AE222</f>
        <v>0</v>
      </c>
      <c r="AF96" s="581">
        <f>'Initial unit rates'!AF222</f>
        <v>0</v>
      </c>
      <c r="AG96" s="581">
        <f>'Initial unit rates'!AG222</f>
        <v>0</v>
      </c>
      <c r="AH96" s="581">
        <f>'Initial unit rates'!AH222</f>
        <v>0</v>
      </c>
      <c r="AI96" s="581">
        <f>'Initial unit rates'!AI222</f>
        <v>0</v>
      </c>
      <c r="AJ96" s="581">
        <f>'Initial unit rates'!AJ222</f>
        <v>0</v>
      </c>
      <c r="AK96" s="581">
        <f>'Initial unit rates'!AK222</f>
        <v>0</v>
      </c>
      <c r="AL96" s="581">
        <f>'Initial unit rates'!AL222</f>
        <v>0</v>
      </c>
      <c r="AM96" s="581">
        <f>'Initial unit rates'!AM222</f>
        <v>0</v>
      </c>
      <c r="AN96" s="581">
        <f>'Initial unit rates'!AN222</f>
        <v>0</v>
      </c>
      <c r="AO96" s="581">
        <f>'Initial unit rates'!AO222</f>
        <v>0</v>
      </c>
      <c r="AP96" s="581">
        <f>'Initial unit rates'!AP222</f>
        <v>0</v>
      </c>
      <c r="AQ96" s="571"/>
      <c r="AR96" s="571"/>
    </row>
    <row r="97" spans="3:59" s="131" customFormat="1" x14ac:dyDescent="0.25">
      <c r="E97" s="175"/>
      <c r="F97" s="66" t="s">
        <v>43</v>
      </c>
      <c r="G97" s="139" t="s">
        <v>201</v>
      </c>
      <c r="H97" s="572"/>
      <c r="I97" s="572"/>
      <c r="J97" s="582">
        <f>'Initial unit rates'!J223</f>
        <v>0</v>
      </c>
      <c r="K97" s="582">
        <f>'Initial unit rates'!K223</f>
        <v>0</v>
      </c>
      <c r="L97" s="582">
        <f>'Initial unit rates'!L223</f>
        <v>0</v>
      </c>
      <c r="M97" s="582">
        <f>'Initial unit rates'!M223</f>
        <v>0</v>
      </c>
      <c r="N97" s="582">
        <f>'Initial unit rates'!N223</f>
        <v>0</v>
      </c>
      <c r="O97" s="582">
        <f>'Initial unit rates'!O223</f>
        <v>0</v>
      </c>
      <c r="P97" s="582">
        <f>'Initial unit rates'!P223</f>
        <v>0</v>
      </c>
      <c r="Q97" s="582">
        <f>'Initial unit rates'!Q223</f>
        <v>0</v>
      </c>
      <c r="R97" s="582">
        <f>'Initial unit rates'!R223</f>
        <v>0</v>
      </c>
      <c r="S97" s="582">
        <f>'Initial unit rates'!S223</f>
        <v>0</v>
      </c>
      <c r="T97" s="582">
        <f>'Initial unit rates'!T223</f>
        <v>0</v>
      </c>
      <c r="U97" s="582">
        <f>'Initial unit rates'!U223</f>
        <v>0</v>
      </c>
      <c r="V97" s="582">
        <f>'Initial unit rates'!V223</f>
        <v>0</v>
      </c>
      <c r="W97" s="582">
        <f>'Initial unit rates'!W223</f>
        <v>0</v>
      </c>
      <c r="X97" s="582">
        <f>'Initial unit rates'!X223</f>
        <v>0</v>
      </c>
      <c r="Y97" s="582">
        <f>'Initial unit rates'!Y223</f>
        <v>0</v>
      </c>
      <c r="Z97" s="582">
        <f>'Initial unit rates'!Z223</f>
        <v>0</v>
      </c>
      <c r="AA97" s="582">
        <f>'Initial unit rates'!AA223</f>
        <v>0</v>
      </c>
      <c r="AB97" s="582">
        <f>'Initial unit rates'!AB223</f>
        <v>0</v>
      </c>
      <c r="AC97" s="582">
        <f>'Initial unit rates'!AC223</f>
        <v>0</v>
      </c>
      <c r="AD97" s="582">
        <f>'Initial unit rates'!AD223</f>
        <v>0</v>
      </c>
      <c r="AE97" s="582">
        <f>'Initial unit rates'!AE223</f>
        <v>0</v>
      </c>
      <c r="AF97" s="582">
        <f>'Initial unit rates'!AF223</f>
        <v>0</v>
      </c>
      <c r="AG97" s="582">
        <f>'Initial unit rates'!AG223</f>
        <v>0</v>
      </c>
      <c r="AH97" s="582">
        <f>'Initial unit rates'!AH223</f>
        <v>0</v>
      </c>
      <c r="AI97" s="582">
        <f>'Initial unit rates'!AI223</f>
        <v>0</v>
      </c>
      <c r="AJ97" s="582">
        <f>'Initial unit rates'!AJ223</f>
        <v>0</v>
      </c>
      <c r="AK97" s="582">
        <f>'Initial unit rates'!AK223</f>
        <v>0</v>
      </c>
      <c r="AL97" s="582">
        <f>'Initial unit rates'!AL223</f>
        <v>0</v>
      </c>
      <c r="AM97" s="582">
        <f>'Initial unit rates'!AM223</f>
        <v>0</v>
      </c>
      <c r="AN97" s="582">
        <f>'Initial unit rates'!AN223</f>
        <v>0</v>
      </c>
      <c r="AO97" s="582">
        <f>'Initial unit rates'!AO223</f>
        <v>0</v>
      </c>
      <c r="AP97" s="582">
        <f>'Initial unit rates'!AP223</f>
        <v>0</v>
      </c>
      <c r="AQ97" s="571"/>
      <c r="AR97" s="571"/>
    </row>
    <row r="98" spans="3:59" s="131" customFormat="1" x14ac:dyDescent="0.25">
      <c r="E98" s="175"/>
      <c r="F98" s="66" t="s">
        <v>44</v>
      </c>
      <c r="G98" s="139" t="s">
        <v>201</v>
      </c>
      <c r="H98" s="572"/>
      <c r="I98" s="572"/>
      <c r="J98" s="582">
        <f>'Initial unit rates'!J224</f>
        <v>0</v>
      </c>
      <c r="K98" s="582">
        <f>'Initial unit rates'!K224</f>
        <v>0</v>
      </c>
      <c r="L98" s="582">
        <f>'Initial unit rates'!L224</f>
        <v>0</v>
      </c>
      <c r="M98" s="582">
        <f>'Initial unit rates'!M224</f>
        <v>0</v>
      </c>
      <c r="N98" s="582">
        <f>'Initial unit rates'!N224</f>
        <v>0</v>
      </c>
      <c r="O98" s="582">
        <f>'Initial unit rates'!O224</f>
        <v>0</v>
      </c>
      <c r="P98" s="582">
        <f>'Initial unit rates'!P224</f>
        <v>0</v>
      </c>
      <c r="Q98" s="582">
        <f>'Initial unit rates'!Q224</f>
        <v>0</v>
      </c>
      <c r="R98" s="582">
        <f>'Initial unit rates'!R224</f>
        <v>0</v>
      </c>
      <c r="S98" s="582">
        <f>'Initial unit rates'!S224</f>
        <v>5.0358413844911736E-4</v>
      </c>
      <c r="T98" s="582">
        <f>'Initial unit rates'!T224</f>
        <v>5.3145450495254245E-4</v>
      </c>
      <c r="U98" s="582">
        <f>'Initial unit rates'!U224</f>
        <v>3.9718226705586711E-4</v>
      </c>
      <c r="V98" s="582">
        <f>'Initial unit rates'!V224</f>
        <v>3.6890133914898557E-4</v>
      </c>
      <c r="W98" s="582">
        <f>'Initial unit rates'!W224</f>
        <v>3.3076906412488614E-4</v>
      </c>
      <c r="X98" s="582">
        <f>'Initial unit rates'!X224</f>
        <v>0</v>
      </c>
      <c r="Y98" s="582">
        <f>'Initial unit rates'!Y224</f>
        <v>0</v>
      </c>
      <c r="Z98" s="582">
        <f>'Initial unit rates'!Z224</f>
        <v>0</v>
      </c>
      <c r="AA98" s="582">
        <f>'Initial unit rates'!AA224</f>
        <v>0</v>
      </c>
      <c r="AB98" s="582">
        <f>'Initial unit rates'!AB224</f>
        <v>3.1049045487021584E-4</v>
      </c>
      <c r="AC98" s="582">
        <f>'Initial unit rates'!AC224</f>
        <v>0</v>
      </c>
      <c r="AD98" s="582">
        <f>'Initial unit rates'!AD224</f>
        <v>0</v>
      </c>
      <c r="AE98" s="582">
        <f>'Initial unit rates'!AE224</f>
        <v>0</v>
      </c>
      <c r="AF98" s="582">
        <f>'Initial unit rates'!AF224</f>
        <v>0</v>
      </c>
      <c r="AG98" s="582">
        <f>'Initial unit rates'!AG224</f>
        <v>-3.3318317560946992E-4</v>
      </c>
      <c r="AH98" s="582">
        <f>'Initial unit rates'!AH224</f>
        <v>-3.3318317560946992E-4</v>
      </c>
      <c r="AI98" s="582">
        <f>'Initial unit rates'!AI224</f>
        <v>0</v>
      </c>
      <c r="AJ98" s="582">
        <f>'Initial unit rates'!AJ224</f>
        <v>0</v>
      </c>
      <c r="AK98" s="582">
        <f>'Initial unit rates'!AK224</f>
        <v>-3.2002718244950008E-4</v>
      </c>
      <c r="AL98" s="582">
        <f>'Initial unit rates'!AL224</f>
        <v>-3.2002718244950008E-4</v>
      </c>
      <c r="AM98" s="582">
        <f>'Initial unit rates'!AM224</f>
        <v>0</v>
      </c>
      <c r="AN98" s="582">
        <f>'Initial unit rates'!AN224</f>
        <v>0</v>
      </c>
      <c r="AO98" s="582">
        <f>'Initial unit rates'!AO224</f>
        <v>-3.1543788250997564E-4</v>
      </c>
      <c r="AP98" s="582">
        <f>'Initial unit rates'!AP224</f>
        <v>-3.1543788250997564E-4</v>
      </c>
      <c r="AQ98" s="571"/>
      <c r="AR98" s="571"/>
    </row>
    <row r="99" spans="3:59" s="131" customFormat="1" x14ac:dyDescent="0.25">
      <c r="E99" s="175"/>
      <c r="F99" s="66" t="s">
        <v>45</v>
      </c>
      <c r="G99" s="139" t="s">
        <v>201</v>
      </c>
      <c r="H99" s="572"/>
      <c r="I99" s="572"/>
      <c r="J99" s="582">
        <f>'Initial unit rates'!J225</f>
        <v>0</v>
      </c>
      <c r="K99" s="582">
        <f>'Initial unit rates'!K225</f>
        <v>0</v>
      </c>
      <c r="L99" s="582">
        <f>'Initial unit rates'!L225</f>
        <v>0</v>
      </c>
      <c r="M99" s="582">
        <f>'Initial unit rates'!M225</f>
        <v>0</v>
      </c>
      <c r="N99" s="582">
        <f>'Initial unit rates'!N225</f>
        <v>0</v>
      </c>
      <c r="O99" s="582">
        <f>'Initial unit rates'!O225</f>
        <v>0</v>
      </c>
      <c r="P99" s="582">
        <f>'Initial unit rates'!P225</f>
        <v>0</v>
      </c>
      <c r="Q99" s="582">
        <f>'Initial unit rates'!Q225</f>
        <v>0</v>
      </c>
      <c r="R99" s="582">
        <f>'Initial unit rates'!R225</f>
        <v>0</v>
      </c>
      <c r="S99" s="582">
        <f>'Initial unit rates'!S225</f>
        <v>1.4014933997076045E-4</v>
      </c>
      <c r="T99" s="582">
        <f>'Initial unit rates'!T225</f>
        <v>1.4790576669664483E-4</v>
      </c>
      <c r="U99" s="582">
        <f>'Initial unit rates'!U225</f>
        <v>1.1053730315533858E-4</v>
      </c>
      <c r="V99" s="582">
        <f>'Initial unit rates'!V225</f>
        <v>1.0266661566284404E-4</v>
      </c>
      <c r="W99" s="582">
        <f>'Initial unit rates'!W225</f>
        <v>9.2054261602865967E-5</v>
      </c>
      <c r="X99" s="582">
        <f>'Initial unit rates'!X225</f>
        <v>0</v>
      </c>
      <c r="Y99" s="582">
        <f>'Initial unit rates'!Y225</f>
        <v>0</v>
      </c>
      <c r="Z99" s="582">
        <f>'Initial unit rates'!Z225</f>
        <v>0</v>
      </c>
      <c r="AA99" s="582">
        <f>'Initial unit rates'!AA225</f>
        <v>0</v>
      </c>
      <c r="AB99" s="582">
        <f>'Initial unit rates'!AB225</f>
        <v>8.6410649174326065E-5</v>
      </c>
      <c r="AC99" s="582">
        <f>'Initial unit rates'!AC225</f>
        <v>0</v>
      </c>
      <c r="AD99" s="582">
        <f>'Initial unit rates'!AD225</f>
        <v>0</v>
      </c>
      <c r="AE99" s="582">
        <f>'Initial unit rates'!AE225</f>
        <v>0</v>
      </c>
      <c r="AF99" s="582">
        <f>'Initial unit rates'!AF225</f>
        <v>0</v>
      </c>
      <c r="AG99" s="582">
        <f>'Initial unit rates'!AG225</f>
        <v>-9.2726117813870184E-5</v>
      </c>
      <c r="AH99" s="582">
        <f>'Initial unit rates'!AH225</f>
        <v>-9.2726117813870184E-5</v>
      </c>
      <c r="AI99" s="582">
        <f>'Initial unit rates'!AI225</f>
        <v>0</v>
      </c>
      <c r="AJ99" s="582">
        <f>'Initial unit rates'!AJ225</f>
        <v>0</v>
      </c>
      <c r="AK99" s="582">
        <f>'Initial unit rates'!AK225</f>
        <v>-8.9064755953451068E-5</v>
      </c>
      <c r="AL99" s="582">
        <f>'Initial unit rates'!AL225</f>
        <v>-8.9064755953451068E-5</v>
      </c>
      <c r="AM99" s="582">
        <f>'Initial unit rates'!AM225</f>
        <v>0</v>
      </c>
      <c r="AN99" s="582">
        <f>'Initial unit rates'!AN225</f>
        <v>0</v>
      </c>
      <c r="AO99" s="582">
        <f>'Initial unit rates'!AO225</f>
        <v>-8.7787536699816498E-5</v>
      </c>
      <c r="AP99" s="582">
        <f>'Initial unit rates'!AP225</f>
        <v>-8.7787536699816498E-5</v>
      </c>
      <c r="AQ99" s="571"/>
      <c r="AR99" s="571"/>
    </row>
    <row r="100" spans="3:59" s="131" customFormat="1" x14ac:dyDescent="0.25">
      <c r="E100" s="175"/>
      <c r="F100" s="66" t="s">
        <v>46</v>
      </c>
      <c r="G100" s="139" t="s">
        <v>201</v>
      </c>
      <c r="H100" s="572"/>
      <c r="I100" s="572"/>
      <c r="J100" s="582">
        <f>'Initial unit rates'!J226</f>
        <v>0</v>
      </c>
      <c r="K100" s="582">
        <f>'Initial unit rates'!K226</f>
        <v>0</v>
      </c>
      <c r="L100" s="582">
        <f>'Initial unit rates'!L226</f>
        <v>0</v>
      </c>
      <c r="M100" s="582">
        <f>'Initial unit rates'!M226</f>
        <v>0</v>
      </c>
      <c r="N100" s="582">
        <f>'Initial unit rates'!N226</f>
        <v>0</v>
      </c>
      <c r="O100" s="582">
        <f>'Initial unit rates'!O226</f>
        <v>0</v>
      </c>
      <c r="P100" s="582">
        <f>'Initial unit rates'!P226</f>
        <v>0</v>
      </c>
      <c r="Q100" s="582">
        <f>'Initial unit rates'!Q226</f>
        <v>0</v>
      </c>
      <c r="R100" s="582">
        <f>'Initial unit rates'!R226</f>
        <v>0</v>
      </c>
      <c r="S100" s="582">
        <f>'Initial unit rates'!S226</f>
        <v>1.9077670055952785E-3</v>
      </c>
      <c r="T100" s="582">
        <f>'Initial unit rates'!T226</f>
        <v>2.0137086486798047E-3</v>
      </c>
      <c r="U100" s="582">
        <f>'Initial unit rates'!U226</f>
        <v>1.5053943572164677E-3</v>
      </c>
      <c r="V100" s="582">
        <f>'Initial unit rates'!V226</f>
        <v>1.3982044023288875E-3</v>
      </c>
      <c r="W100" s="582">
        <f>'Initial unit rates'!W226</f>
        <v>1.2536760172259561E-3</v>
      </c>
      <c r="X100" s="582">
        <f>'Initial unit rates'!X226</f>
        <v>0</v>
      </c>
      <c r="Y100" s="582">
        <f>'Initial unit rates'!Y226</f>
        <v>0</v>
      </c>
      <c r="Z100" s="582">
        <f>'Initial unit rates'!Z226</f>
        <v>0</v>
      </c>
      <c r="AA100" s="582">
        <f>'Initial unit rates'!AA226</f>
        <v>0</v>
      </c>
      <c r="AB100" s="582">
        <f>'Initial unit rates'!AB226</f>
        <v>1.1768163321990706E-3</v>
      </c>
      <c r="AC100" s="582">
        <f>'Initial unit rates'!AC226</f>
        <v>0</v>
      </c>
      <c r="AD100" s="582">
        <f>'Initial unit rates'!AD226</f>
        <v>0</v>
      </c>
      <c r="AE100" s="582">
        <f>'Initial unit rates'!AE226</f>
        <v>0</v>
      </c>
      <c r="AF100" s="582">
        <f>'Initial unit rates'!AF226</f>
        <v>0</v>
      </c>
      <c r="AG100" s="582">
        <f>'Initial unit rates'!AG226</f>
        <v>-1.2628259468880293E-3</v>
      </c>
      <c r="AH100" s="582">
        <f>'Initial unit rates'!AH226</f>
        <v>-1.2628259468880293E-3</v>
      </c>
      <c r="AI100" s="582">
        <f>'Initial unit rates'!AI226</f>
        <v>0</v>
      </c>
      <c r="AJ100" s="582">
        <f>'Initial unit rates'!AJ226</f>
        <v>0</v>
      </c>
      <c r="AK100" s="582">
        <f>'Initial unit rates'!AK226</f>
        <v>-1.2129622960926341E-3</v>
      </c>
      <c r="AL100" s="582">
        <f>'Initial unit rates'!AL226</f>
        <v>-1.2129622960926341E-3</v>
      </c>
      <c r="AM100" s="582">
        <f>'Initial unit rates'!AM226</f>
        <v>0</v>
      </c>
      <c r="AN100" s="582">
        <f>'Initial unit rates'!AN226</f>
        <v>0</v>
      </c>
      <c r="AO100" s="582">
        <f>'Initial unit rates'!AO226</f>
        <v>-1.1955679993035427E-3</v>
      </c>
      <c r="AP100" s="582">
        <f>'Initial unit rates'!AP226</f>
        <v>-1.1955679993035427E-3</v>
      </c>
      <c r="AQ100" s="571"/>
      <c r="AR100" s="571"/>
    </row>
    <row r="101" spans="3:59" s="131" customFormat="1" x14ac:dyDescent="0.25">
      <c r="E101" s="175"/>
      <c r="F101" s="66" t="s">
        <v>47</v>
      </c>
      <c r="G101" s="139" t="s">
        <v>201</v>
      </c>
      <c r="H101" s="572"/>
      <c r="I101" s="572"/>
      <c r="J101" s="582">
        <f>'Initial unit rates'!J227</f>
        <v>0</v>
      </c>
      <c r="K101" s="582">
        <f>'Initial unit rates'!K227</f>
        <v>0</v>
      </c>
      <c r="L101" s="582">
        <f>'Initial unit rates'!L227</f>
        <v>0</v>
      </c>
      <c r="M101" s="582">
        <f>'Initial unit rates'!M227</f>
        <v>0</v>
      </c>
      <c r="N101" s="582">
        <f>'Initial unit rates'!N227</f>
        <v>0</v>
      </c>
      <c r="O101" s="582">
        <f>'Initial unit rates'!O227</f>
        <v>0</v>
      </c>
      <c r="P101" s="582">
        <f>'Initial unit rates'!P227</f>
        <v>0</v>
      </c>
      <c r="Q101" s="582">
        <f>'Initial unit rates'!Q227</f>
        <v>0</v>
      </c>
      <c r="R101" s="582">
        <f>'Initial unit rates'!R227</f>
        <v>0</v>
      </c>
      <c r="S101" s="582">
        <f>'Initial unit rates'!S227</f>
        <v>1.4531145330620569E-3</v>
      </c>
      <c r="T101" s="582">
        <f>'Initial unit rates'!T227</f>
        <v>1.5338085280683094E-3</v>
      </c>
      <c r="U101" s="582">
        <f>'Initial unit rates'!U227</f>
        <v>1.1466339506056695E-3</v>
      </c>
      <c r="V101" s="582">
        <f>'Initial unit rates'!V227</f>
        <v>1.0649891371726961E-3</v>
      </c>
      <c r="W101" s="582">
        <f>'Initial unit rates'!W227</f>
        <v>9.5490425981759779E-4</v>
      </c>
      <c r="X101" s="582">
        <f>'Initial unit rates'!X227</f>
        <v>0</v>
      </c>
      <c r="Y101" s="582">
        <f>'Initial unit rates'!Y227</f>
        <v>0</v>
      </c>
      <c r="Z101" s="582">
        <f>'Initial unit rates'!Z227</f>
        <v>0</v>
      </c>
      <c r="AA101" s="582">
        <f>'Initial unit rates'!AA227</f>
        <v>0</v>
      </c>
      <c r="AB101" s="582">
        <f>'Initial unit rates'!AB227</f>
        <v>8.9636151062884642E-4</v>
      </c>
      <c r="AC101" s="582">
        <f>'Initial unit rates'!AC227</f>
        <v>0</v>
      </c>
      <c r="AD101" s="582">
        <f>'Initial unit rates'!AD227</f>
        <v>0</v>
      </c>
      <c r="AE101" s="582">
        <f>'Initial unit rates'!AE227</f>
        <v>0</v>
      </c>
      <c r="AF101" s="582">
        <f>'Initial unit rates'!AF227</f>
        <v>0</v>
      </c>
      <c r="AG101" s="582">
        <f>'Initial unit rates'!AG227</f>
        <v>-9.618736097064776E-4</v>
      </c>
      <c r="AH101" s="582">
        <f>'Initial unit rates'!AH227</f>
        <v>-9.618736097064776E-4</v>
      </c>
      <c r="AI101" s="582">
        <f>'Initial unit rates'!AI227</f>
        <v>0</v>
      </c>
      <c r="AJ101" s="582">
        <f>'Initial unit rates'!AJ227</f>
        <v>0</v>
      </c>
      <c r="AK101" s="582">
        <f>'Initial unit rates'!AK227</f>
        <v>-9.2389329270245696E-4</v>
      </c>
      <c r="AL101" s="582">
        <f>'Initial unit rates'!AL227</f>
        <v>-9.2389329270245696E-4</v>
      </c>
      <c r="AM101" s="582">
        <f>'Initial unit rates'!AM227</f>
        <v>0</v>
      </c>
      <c r="AN101" s="582">
        <f>'Initial unit rates'!AN227</f>
        <v>0</v>
      </c>
      <c r="AO101" s="582">
        <f>'Initial unit rates'!AO227</f>
        <v>-9.1064434491035652E-4</v>
      </c>
      <c r="AP101" s="582">
        <f>'Initial unit rates'!AP227</f>
        <v>-9.1064434491035652E-4</v>
      </c>
      <c r="AQ101" s="571"/>
      <c r="AR101" s="571"/>
    </row>
    <row r="102" spans="3:59" s="131" customFormat="1" x14ac:dyDescent="0.25">
      <c r="E102" s="175"/>
      <c r="F102" s="66" t="s">
        <v>51</v>
      </c>
      <c r="G102" s="139" t="s">
        <v>201</v>
      </c>
      <c r="H102" s="572"/>
      <c r="I102" s="572"/>
      <c r="J102" s="582">
        <f>'Initial unit rates'!J228</f>
        <v>0</v>
      </c>
      <c r="K102" s="582">
        <f>'Initial unit rates'!K228</f>
        <v>0</v>
      </c>
      <c r="L102" s="582">
        <f>'Initial unit rates'!L228</f>
        <v>0</v>
      </c>
      <c r="M102" s="582">
        <f>'Initial unit rates'!M228</f>
        <v>0</v>
      </c>
      <c r="N102" s="582">
        <f>'Initial unit rates'!N228</f>
        <v>0</v>
      </c>
      <c r="O102" s="582">
        <f>'Initial unit rates'!O228</f>
        <v>0</v>
      </c>
      <c r="P102" s="582">
        <f>'Initial unit rates'!P228</f>
        <v>0</v>
      </c>
      <c r="Q102" s="582">
        <f>'Initial unit rates'!Q228</f>
        <v>0</v>
      </c>
      <c r="R102" s="582">
        <f>'Initial unit rates'!R228</f>
        <v>0</v>
      </c>
      <c r="S102" s="582">
        <f>'Initial unit rates'!S228</f>
        <v>0</v>
      </c>
      <c r="T102" s="582">
        <f>'Initial unit rates'!T228</f>
        <v>0</v>
      </c>
      <c r="U102" s="582">
        <f>'Initial unit rates'!U228</f>
        <v>0</v>
      </c>
      <c r="V102" s="582">
        <f>'Initial unit rates'!V228</f>
        <v>0</v>
      </c>
      <c r="W102" s="582">
        <f>'Initial unit rates'!W228</f>
        <v>0</v>
      </c>
      <c r="X102" s="582">
        <f>'Initial unit rates'!X228</f>
        <v>0</v>
      </c>
      <c r="Y102" s="582">
        <f>'Initial unit rates'!Y228</f>
        <v>0</v>
      </c>
      <c r="Z102" s="582">
        <f>'Initial unit rates'!Z228</f>
        <v>0</v>
      </c>
      <c r="AA102" s="582">
        <f>'Initial unit rates'!AA228</f>
        <v>0</v>
      </c>
      <c r="AB102" s="582">
        <f>'Initial unit rates'!AB228</f>
        <v>0</v>
      </c>
      <c r="AC102" s="582">
        <f>'Initial unit rates'!AC228</f>
        <v>0</v>
      </c>
      <c r="AD102" s="582">
        <f>'Initial unit rates'!AD228</f>
        <v>0</v>
      </c>
      <c r="AE102" s="582">
        <f>'Initial unit rates'!AE228</f>
        <v>0</v>
      </c>
      <c r="AF102" s="582">
        <f>'Initial unit rates'!AF228</f>
        <v>0</v>
      </c>
      <c r="AG102" s="582">
        <f>'Initial unit rates'!AG228</f>
        <v>0</v>
      </c>
      <c r="AH102" s="582">
        <f>'Initial unit rates'!AH228</f>
        <v>0</v>
      </c>
      <c r="AI102" s="582">
        <f>'Initial unit rates'!AI228</f>
        <v>0</v>
      </c>
      <c r="AJ102" s="582">
        <f>'Initial unit rates'!AJ228</f>
        <v>0</v>
      </c>
      <c r="AK102" s="582">
        <f>'Initial unit rates'!AK228</f>
        <v>0</v>
      </c>
      <c r="AL102" s="582">
        <f>'Initial unit rates'!AL228</f>
        <v>0</v>
      </c>
      <c r="AM102" s="582">
        <f>'Initial unit rates'!AM228</f>
        <v>0</v>
      </c>
      <c r="AN102" s="582">
        <f>'Initial unit rates'!AN228</f>
        <v>0</v>
      </c>
      <c r="AO102" s="582">
        <f>'Initial unit rates'!AO228</f>
        <v>0</v>
      </c>
      <c r="AP102" s="582">
        <f>'Initial unit rates'!AP228</f>
        <v>0</v>
      </c>
      <c r="AQ102" s="571"/>
      <c r="AR102" s="571"/>
    </row>
    <row r="103" spans="3:59" s="131" customFormat="1" x14ac:dyDescent="0.25">
      <c r="E103" s="175"/>
      <c r="F103" s="66" t="s">
        <v>48</v>
      </c>
      <c r="G103" s="139" t="s">
        <v>201</v>
      </c>
      <c r="H103" s="572"/>
      <c r="I103" s="572"/>
      <c r="J103" s="582">
        <f>'Initial unit rates'!J229</f>
        <v>0</v>
      </c>
      <c r="K103" s="582">
        <f>'Initial unit rates'!K229</f>
        <v>0</v>
      </c>
      <c r="L103" s="582">
        <f>'Initial unit rates'!L229</f>
        <v>0</v>
      </c>
      <c r="M103" s="582">
        <f>'Initial unit rates'!M229</f>
        <v>0</v>
      </c>
      <c r="N103" s="582">
        <f>'Initial unit rates'!N229</f>
        <v>0</v>
      </c>
      <c r="O103" s="582">
        <f>'Initial unit rates'!O229</f>
        <v>0</v>
      </c>
      <c r="P103" s="582">
        <f>'Initial unit rates'!P229</f>
        <v>0</v>
      </c>
      <c r="Q103" s="582">
        <f>'Initial unit rates'!Q229</f>
        <v>0</v>
      </c>
      <c r="R103" s="582">
        <f>'Initial unit rates'!R229</f>
        <v>0</v>
      </c>
      <c r="S103" s="582">
        <f>'Initial unit rates'!S229</f>
        <v>1.0342249868014516E-2</v>
      </c>
      <c r="T103" s="582">
        <f>'Initial unit rates'!T229</f>
        <v>1.0920038837819623E-2</v>
      </c>
      <c r="U103" s="582">
        <f>'Initial unit rates'!U229</f>
        <v>8.1665221880424903E-3</v>
      </c>
      <c r="V103" s="582">
        <f>'Initial unit rates'!V229</f>
        <v>7.5850339283526583E-3</v>
      </c>
      <c r="W103" s="582">
        <f>'Initial unit rates'!W229</f>
        <v>6.8009906920491504E-3</v>
      </c>
      <c r="X103" s="582">
        <f>'Initial unit rates'!X229</f>
        <v>0</v>
      </c>
      <c r="Y103" s="582">
        <f>'Initial unit rates'!Y229</f>
        <v>0</v>
      </c>
      <c r="Z103" s="582">
        <f>'Initial unit rates'!Z229</f>
        <v>0</v>
      </c>
      <c r="AA103" s="582">
        <f>'Initial unit rates'!AA229</f>
        <v>0</v>
      </c>
      <c r="AB103" s="582">
        <f>'Initial unit rates'!AB229</f>
        <v>6.3840392665777427E-3</v>
      </c>
      <c r="AC103" s="582">
        <f>'Initial unit rates'!AC229</f>
        <v>0</v>
      </c>
      <c r="AD103" s="582">
        <f>'Initial unit rates'!AD229</f>
        <v>0</v>
      </c>
      <c r="AE103" s="582">
        <f>'Initial unit rates'!AE229</f>
        <v>0</v>
      </c>
      <c r="AF103" s="582">
        <f>'Initial unit rates'!AF229</f>
        <v>0</v>
      </c>
      <c r="AG103" s="582">
        <f>'Initial unit rates'!AG229</f>
        <v>-6.8506275883521983E-3</v>
      </c>
      <c r="AH103" s="582">
        <f>'Initial unit rates'!AH229</f>
        <v>-6.8506275883521983E-3</v>
      </c>
      <c r="AI103" s="582">
        <f>'Initial unit rates'!AI229</f>
        <v>0</v>
      </c>
      <c r="AJ103" s="582">
        <f>'Initial unit rates'!AJ229</f>
        <v>0</v>
      </c>
      <c r="AK103" s="582">
        <f>'Initial unit rates'!AK229</f>
        <v>-6.5801253052492192E-3</v>
      </c>
      <c r="AL103" s="582">
        <f>'Initial unit rates'!AL229</f>
        <v>-6.5801253052492192E-3</v>
      </c>
      <c r="AM103" s="582">
        <f>'Initial unit rates'!AM229</f>
        <v>0</v>
      </c>
      <c r="AN103" s="582">
        <f>'Initial unit rates'!AN229</f>
        <v>0</v>
      </c>
      <c r="AO103" s="582">
        <f>'Initial unit rates'!AO229</f>
        <v>0</v>
      </c>
      <c r="AP103" s="582">
        <f>'Initial unit rates'!AP229</f>
        <v>0</v>
      </c>
      <c r="AQ103" s="571"/>
      <c r="AR103" s="571"/>
    </row>
    <row r="104" spans="3:59" s="131" customFormat="1" x14ac:dyDescent="0.25">
      <c r="E104" s="175"/>
      <c r="F104" s="66" t="s">
        <v>49</v>
      </c>
      <c r="G104" s="139" t="s">
        <v>201</v>
      </c>
      <c r="H104" s="572"/>
      <c r="I104" s="572"/>
      <c r="J104" s="582">
        <f>'Initial unit rates'!J230</f>
        <v>0</v>
      </c>
      <c r="K104" s="582">
        <f>'Initial unit rates'!K230</f>
        <v>0</v>
      </c>
      <c r="L104" s="582">
        <f>'Initial unit rates'!L230</f>
        <v>0</v>
      </c>
      <c r="M104" s="582">
        <f>'Initial unit rates'!M230</f>
        <v>0</v>
      </c>
      <c r="N104" s="582">
        <f>'Initial unit rates'!N230</f>
        <v>0</v>
      </c>
      <c r="O104" s="582">
        <f>'Initial unit rates'!O230</f>
        <v>0</v>
      </c>
      <c r="P104" s="582">
        <f>'Initial unit rates'!P230</f>
        <v>0</v>
      </c>
      <c r="Q104" s="582">
        <f>'Initial unit rates'!Q230</f>
        <v>0</v>
      </c>
      <c r="R104" s="582">
        <f>'Initial unit rates'!R230</f>
        <v>0</v>
      </c>
      <c r="S104" s="582">
        <f>'Initial unit rates'!S230</f>
        <v>3.3912324868719929E-3</v>
      </c>
      <c r="T104" s="582">
        <f>'Initial unit rates'!T230</f>
        <v>3.5806899791937822E-3</v>
      </c>
      <c r="U104" s="582">
        <f>'Initial unit rates'!U230</f>
        <v>2.6778095387640639E-3</v>
      </c>
      <c r="V104" s="582">
        <f>'Initial unit rates'!V230</f>
        <v>2.4871390461574691E-3</v>
      </c>
      <c r="W104" s="582">
        <f>'Initial unit rates'!W230</f>
        <v>0</v>
      </c>
      <c r="X104" s="582">
        <f>'Initial unit rates'!X230</f>
        <v>0</v>
      </c>
      <c r="Y104" s="582">
        <f>'Initial unit rates'!Y230</f>
        <v>0</v>
      </c>
      <c r="Z104" s="582">
        <f>'Initial unit rates'!Z230</f>
        <v>0</v>
      </c>
      <c r="AA104" s="582">
        <f>'Initial unit rates'!AA230</f>
        <v>0</v>
      </c>
      <c r="AB104" s="582">
        <f>'Initial unit rates'!AB230</f>
        <v>2.0933318798689177E-3</v>
      </c>
      <c r="AC104" s="582">
        <f>'Initial unit rates'!AC230</f>
        <v>0</v>
      </c>
      <c r="AD104" s="582">
        <f>'Initial unit rates'!AD230</f>
        <v>0</v>
      </c>
      <c r="AE104" s="582">
        <f>'Initial unit rates'!AE230</f>
        <v>0</v>
      </c>
      <c r="AF104" s="582">
        <f>'Initial unit rates'!AF230</f>
        <v>0</v>
      </c>
      <c r="AG104" s="582">
        <f>'Initial unit rates'!AG230</f>
        <v>-2.246326585565425E-3</v>
      </c>
      <c r="AH104" s="582">
        <f>'Initial unit rates'!AH230</f>
        <v>-2.246326585565425E-3</v>
      </c>
      <c r="AI104" s="582">
        <f>'Initial unit rates'!AI230</f>
        <v>0</v>
      </c>
      <c r="AJ104" s="582">
        <f>'Initial unit rates'!AJ230</f>
        <v>0</v>
      </c>
      <c r="AK104" s="582">
        <f>'Initial unit rates'!AK230</f>
        <v>0</v>
      </c>
      <c r="AL104" s="582">
        <f>'Initial unit rates'!AL230</f>
        <v>0</v>
      </c>
      <c r="AM104" s="582">
        <f>'Initial unit rates'!AM230</f>
        <v>0</v>
      </c>
      <c r="AN104" s="582">
        <f>'Initial unit rates'!AN230</f>
        <v>0</v>
      </c>
      <c r="AO104" s="582">
        <f>'Initial unit rates'!AO230</f>
        <v>0</v>
      </c>
      <c r="AP104" s="582">
        <f>'Initial unit rates'!AP230</f>
        <v>0</v>
      </c>
      <c r="AQ104" s="571"/>
      <c r="AR104" s="571"/>
    </row>
    <row r="105" spans="3:59" s="131" customFormat="1" x14ac:dyDescent="0.25">
      <c r="E105" s="175"/>
      <c r="F105" s="66" t="s">
        <v>50</v>
      </c>
      <c r="G105" s="139" t="s">
        <v>201</v>
      </c>
      <c r="H105" s="572"/>
      <c r="I105" s="572"/>
      <c r="J105" s="582">
        <f>'Initial unit rates'!J231</f>
        <v>0</v>
      </c>
      <c r="K105" s="582">
        <f>'Initial unit rates'!K231</f>
        <v>0</v>
      </c>
      <c r="L105" s="582">
        <f>'Initial unit rates'!L231</f>
        <v>0</v>
      </c>
      <c r="M105" s="582">
        <f>'Initial unit rates'!M231</f>
        <v>0</v>
      </c>
      <c r="N105" s="582">
        <f>'Initial unit rates'!N231</f>
        <v>0</v>
      </c>
      <c r="O105" s="582">
        <f>'Initial unit rates'!O231</f>
        <v>0</v>
      </c>
      <c r="P105" s="582">
        <f>'Initial unit rates'!P231</f>
        <v>0</v>
      </c>
      <c r="Q105" s="582">
        <f>'Initial unit rates'!Q231</f>
        <v>0</v>
      </c>
      <c r="R105" s="582">
        <f>'Initial unit rates'!R231</f>
        <v>0</v>
      </c>
      <c r="S105" s="582">
        <f>'Initial unit rates'!S231</f>
        <v>6.0997412270732332E-3</v>
      </c>
      <c r="T105" s="582">
        <f>'Initial unit rates'!T231</f>
        <v>6.440514583416922E-3</v>
      </c>
      <c r="U105" s="582">
        <f>'Initial unit rates'!U231</f>
        <v>4.8165218117839012E-3</v>
      </c>
      <c r="V105" s="582">
        <f>'Initial unit rates'!V231</f>
        <v>0</v>
      </c>
      <c r="W105" s="582">
        <f>'Initial unit rates'!W231</f>
        <v>0</v>
      </c>
      <c r="X105" s="582">
        <f>'Initial unit rates'!X231</f>
        <v>0</v>
      </c>
      <c r="Y105" s="582">
        <f>'Initial unit rates'!Y231</f>
        <v>0</v>
      </c>
      <c r="Z105" s="582">
        <f>'Initial unit rates'!Z231</f>
        <v>0</v>
      </c>
      <c r="AA105" s="582">
        <f>'Initial unit rates'!AA231</f>
        <v>0</v>
      </c>
      <c r="AB105" s="582">
        <f>'Initial unit rates'!AB231</f>
        <v>3.7652336780250734E-3</v>
      </c>
      <c r="AC105" s="582">
        <f>'Initial unit rates'!AC231</f>
        <v>0</v>
      </c>
      <c r="AD105" s="582">
        <f>'Initial unit rates'!AD231</f>
        <v>0</v>
      </c>
      <c r="AE105" s="582">
        <f>'Initial unit rates'!AE231</f>
        <v>0</v>
      </c>
      <c r="AF105" s="582">
        <f>'Initial unit rates'!AF231</f>
        <v>0</v>
      </c>
      <c r="AG105" s="582">
        <f>'Initial unit rates'!AG231</f>
        <v>0</v>
      </c>
      <c r="AH105" s="582">
        <f>'Initial unit rates'!AH231</f>
        <v>0</v>
      </c>
      <c r="AI105" s="582">
        <f>'Initial unit rates'!AI231</f>
        <v>0</v>
      </c>
      <c r="AJ105" s="582">
        <f>'Initial unit rates'!AJ231</f>
        <v>0</v>
      </c>
      <c r="AK105" s="582">
        <f>'Initial unit rates'!AK231</f>
        <v>0</v>
      </c>
      <c r="AL105" s="582">
        <f>'Initial unit rates'!AL231</f>
        <v>0</v>
      </c>
      <c r="AM105" s="582">
        <f>'Initial unit rates'!AM231</f>
        <v>0</v>
      </c>
      <c r="AN105" s="582">
        <f>'Initial unit rates'!AN231</f>
        <v>0</v>
      </c>
      <c r="AO105" s="582">
        <f>'Initial unit rates'!AO231</f>
        <v>0</v>
      </c>
      <c r="AP105" s="582">
        <f>'Initial unit rates'!AP231</f>
        <v>0</v>
      </c>
      <c r="AQ105" s="571"/>
      <c r="AR105" s="571"/>
    </row>
    <row r="106" spans="3:59" s="131" customFormat="1" x14ac:dyDescent="0.25">
      <c r="E106" s="175"/>
      <c r="F106" s="72" t="s">
        <v>141</v>
      </c>
      <c r="G106" s="137" t="s">
        <v>201</v>
      </c>
      <c r="H106" s="569"/>
      <c r="I106" s="569" t="s">
        <v>525</v>
      </c>
      <c r="J106" s="583"/>
      <c r="K106" s="583"/>
      <c r="L106" s="583"/>
      <c r="M106" s="583"/>
      <c r="N106" s="583"/>
      <c r="O106" s="583"/>
      <c r="P106" s="583"/>
      <c r="Q106" s="583"/>
      <c r="R106" s="583"/>
      <c r="S106" s="583"/>
      <c r="T106" s="583"/>
      <c r="U106" s="583"/>
      <c r="V106" s="583"/>
      <c r="W106" s="583"/>
      <c r="X106" s="583"/>
      <c r="Y106" s="583"/>
      <c r="Z106" s="583"/>
      <c r="AA106" s="583"/>
      <c r="AB106" s="581">
        <f>'Service model charges'!$AB$44</f>
        <v>1.4674776072942719</v>
      </c>
      <c r="AC106" s="583"/>
      <c r="AD106" s="583"/>
      <c r="AE106" s="583"/>
      <c r="AF106" s="583"/>
      <c r="AG106" s="583"/>
      <c r="AH106" s="583"/>
      <c r="AI106" s="583"/>
      <c r="AJ106" s="583"/>
      <c r="AK106" s="583"/>
      <c r="AL106" s="583"/>
      <c r="AM106" s="583"/>
      <c r="AN106" s="583"/>
      <c r="AO106" s="583"/>
      <c r="AP106" s="583"/>
      <c r="AQ106" s="571"/>
      <c r="AR106" s="571" t="s">
        <v>983</v>
      </c>
    </row>
    <row r="107" spans="3:59" s="131" customFormat="1" x14ac:dyDescent="0.25">
      <c r="E107" s="175"/>
      <c r="F107" s="67" t="s">
        <v>140</v>
      </c>
      <c r="G107" s="140" t="s">
        <v>201</v>
      </c>
      <c r="H107" s="574"/>
      <c r="I107" s="574"/>
      <c r="J107" s="579"/>
      <c r="K107" s="579"/>
      <c r="L107" s="579"/>
      <c r="M107" s="579"/>
      <c r="N107" s="579"/>
      <c r="O107" s="579"/>
      <c r="P107" s="579"/>
      <c r="Q107" s="579"/>
      <c r="R107" s="579"/>
      <c r="S107" s="579"/>
      <c r="T107" s="579"/>
      <c r="U107" s="579"/>
      <c r="V107" s="579"/>
      <c r="W107" s="579"/>
      <c r="X107" s="579"/>
      <c r="Y107" s="579"/>
      <c r="Z107" s="579"/>
      <c r="AA107" s="579"/>
      <c r="AB107" s="579"/>
      <c r="AC107" s="579"/>
      <c r="AD107" s="579"/>
      <c r="AE107" s="579"/>
      <c r="AF107" s="579"/>
      <c r="AG107" s="579"/>
      <c r="AH107" s="579"/>
      <c r="AI107" s="579"/>
      <c r="AJ107" s="579"/>
      <c r="AK107" s="579"/>
      <c r="AL107" s="579"/>
      <c r="AM107" s="579"/>
      <c r="AN107" s="579"/>
      <c r="AO107" s="579"/>
      <c r="AP107" s="579"/>
      <c r="AQ107" s="571"/>
      <c r="AR107" s="571"/>
    </row>
    <row r="108" spans="3:59" s="131" customFormat="1" x14ac:dyDescent="0.25">
      <c r="D108" s="147"/>
      <c r="E108" s="175"/>
    </row>
    <row r="109" spans="3:59" s="338" customFormat="1" x14ac:dyDescent="0.25">
      <c r="C109" s="22" t="str">
        <f ca="1">INDEX('Version control'!$H$34:$H$59,MATCH($A$1,'Version control'!$F$34:$F$59,0),1)&amp;"-D: Standing charge factors"</f>
        <v>Section 514-D: Standing charge factors</v>
      </c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</row>
    <row r="110" spans="3:59" s="338" customFormat="1" x14ac:dyDescent="0.25">
      <c r="D110" s="172"/>
      <c r="E110" s="172"/>
      <c r="J110" s="165"/>
      <c r="K110" s="165"/>
      <c r="L110" s="165"/>
      <c r="M110" s="165"/>
      <c r="N110" s="165"/>
      <c r="O110" s="165"/>
      <c r="P110" s="165"/>
      <c r="Q110" s="165"/>
      <c r="R110" s="165"/>
      <c r="S110" s="165"/>
      <c r="T110" s="165"/>
      <c r="U110" s="165"/>
      <c r="V110" s="165"/>
      <c r="W110" s="165"/>
      <c r="X110" s="165"/>
      <c r="Y110" s="165"/>
      <c r="Z110" s="165"/>
      <c r="AA110" s="165"/>
      <c r="AB110" s="165"/>
      <c r="AC110" s="165"/>
      <c r="AD110" s="165"/>
      <c r="AE110" s="165"/>
      <c r="AF110" s="165"/>
      <c r="AG110" s="165"/>
      <c r="AH110" s="165"/>
      <c r="AI110" s="165"/>
      <c r="AJ110" s="165"/>
      <c r="AK110" s="165"/>
      <c r="AL110" s="165"/>
      <c r="AM110" s="165"/>
      <c r="AN110" s="165"/>
      <c r="AO110" s="165"/>
      <c r="AP110" s="165"/>
    </row>
    <row r="111" spans="3:59" s="131" customFormat="1" x14ac:dyDescent="0.25">
      <c r="E111" s="74" t="s">
        <v>393</v>
      </c>
      <c r="F111" s="160"/>
      <c r="G111" s="139"/>
      <c r="H111" s="121"/>
      <c r="I111" s="139" t="s">
        <v>525</v>
      </c>
      <c r="J111" s="142"/>
      <c r="K111" s="142"/>
      <c r="L111" s="142"/>
      <c r="M111" s="142"/>
      <c r="N111" s="142"/>
      <c r="O111" s="142"/>
      <c r="P111" s="33"/>
      <c r="Q111" s="33"/>
      <c r="R111" s="33"/>
      <c r="S111" s="33"/>
      <c r="AR111" s="131" t="s">
        <v>951</v>
      </c>
      <c r="BG111" s="136"/>
    </row>
    <row r="112" spans="3:59" s="131" customFormat="1" x14ac:dyDescent="0.25">
      <c r="C112" s="74"/>
      <c r="F112" s="137" t="s">
        <v>43</v>
      </c>
      <c r="G112" s="137" t="s">
        <v>111</v>
      </c>
      <c r="H112" s="141"/>
      <c r="I112" s="137"/>
      <c r="J112" s="123">
        <f>'Standing charge factors'!J44</f>
        <v>0</v>
      </c>
      <c r="K112" s="123">
        <f>'Standing charge factors'!K44</f>
        <v>0</v>
      </c>
      <c r="L112" s="123">
        <f>'Standing charge factors'!L44</f>
        <v>0</v>
      </c>
      <c r="M112" s="123">
        <f>'Standing charge factors'!M44</f>
        <v>0</v>
      </c>
      <c r="N112" s="123">
        <f>'Standing charge factors'!N44</f>
        <v>0</v>
      </c>
      <c r="O112" s="123">
        <f>'Standing charge factors'!O44</f>
        <v>0</v>
      </c>
      <c r="P112" s="123">
        <f>'Standing charge factors'!P44</f>
        <v>0</v>
      </c>
      <c r="Q112" s="123">
        <f>'Standing charge factors'!Q44</f>
        <v>0</v>
      </c>
      <c r="R112" s="123">
        <f>'Standing charge factors'!R44</f>
        <v>0</v>
      </c>
      <c r="S112" s="123">
        <f>'Standing charge factors'!S44</f>
        <v>0</v>
      </c>
      <c r="T112" s="123">
        <f>'Standing charge factors'!T44</f>
        <v>0</v>
      </c>
      <c r="U112" s="123">
        <f>'Standing charge factors'!U44</f>
        <v>0</v>
      </c>
      <c r="V112" s="123">
        <f>'Standing charge factors'!V44</f>
        <v>0</v>
      </c>
      <c r="W112" s="123">
        <f>'Standing charge factors'!W44</f>
        <v>0</v>
      </c>
      <c r="X112" s="123">
        <f>'Standing charge factors'!X44</f>
        <v>0</v>
      </c>
      <c r="Y112" s="123">
        <f>'Standing charge factors'!Y44</f>
        <v>0</v>
      </c>
      <c r="Z112" s="123">
        <f>'Standing charge factors'!Z44</f>
        <v>0</v>
      </c>
      <c r="AA112" s="123">
        <f>'Standing charge factors'!AA44</f>
        <v>0</v>
      </c>
      <c r="AB112" s="123">
        <f>'Standing charge factors'!AB44</f>
        <v>0</v>
      </c>
      <c r="AC112" s="123">
        <f>'Standing charge factors'!AC44</f>
        <v>0</v>
      </c>
      <c r="AD112" s="123">
        <f>'Standing charge factors'!AD44</f>
        <v>0</v>
      </c>
      <c r="AE112" s="123">
        <f>'Standing charge factors'!AE44</f>
        <v>0</v>
      </c>
      <c r="AF112" s="123">
        <f>'Standing charge factors'!AF44</f>
        <v>0</v>
      </c>
      <c r="AG112" s="123">
        <f>'Standing charge factors'!AG44</f>
        <v>0</v>
      </c>
      <c r="AH112" s="123">
        <f>'Standing charge factors'!AH44</f>
        <v>0</v>
      </c>
      <c r="AI112" s="123">
        <f>'Standing charge factors'!AI44</f>
        <v>0</v>
      </c>
      <c r="AJ112" s="123">
        <f>'Standing charge factors'!AJ44</f>
        <v>0</v>
      </c>
      <c r="AK112" s="123">
        <f>'Standing charge factors'!AK44</f>
        <v>0</v>
      </c>
      <c r="AL112" s="123">
        <f>'Standing charge factors'!AL44</f>
        <v>0</v>
      </c>
      <c r="AM112" s="123">
        <f>'Standing charge factors'!AM44</f>
        <v>0</v>
      </c>
      <c r="AN112" s="123">
        <f>'Standing charge factors'!AN44</f>
        <v>0</v>
      </c>
      <c r="AO112" s="123">
        <f>'Standing charge factors'!AO44</f>
        <v>0</v>
      </c>
      <c r="AP112" s="123">
        <f>'Standing charge factors'!AP44</f>
        <v>0</v>
      </c>
      <c r="BG112" s="136"/>
    </row>
    <row r="113" spans="2:59" s="131" customFormat="1" x14ac:dyDescent="0.25">
      <c r="C113" s="74"/>
      <c r="F113" s="139" t="s">
        <v>44</v>
      </c>
      <c r="G113" s="139" t="s">
        <v>111</v>
      </c>
      <c r="H113" s="142"/>
      <c r="I113" s="139"/>
      <c r="J113" s="79">
        <f>'Standing charge factors'!J45</f>
        <v>0</v>
      </c>
      <c r="K113" s="79">
        <f>'Standing charge factors'!K45</f>
        <v>0</v>
      </c>
      <c r="L113" s="79">
        <f>'Standing charge factors'!L45</f>
        <v>0</v>
      </c>
      <c r="M113" s="79">
        <f>'Standing charge factors'!M45</f>
        <v>0</v>
      </c>
      <c r="N113" s="79">
        <f>'Standing charge factors'!N45</f>
        <v>0</v>
      </c>
      <c r="O113" s="79">
        <f>'Standing charge factors'!O45</f>
        <v>0</v>
      </c>
      <c r="P113" s="79">
        <f>'Standing charge factors'!P45</f>
        <v>0</v>
      </c>
      <c r="Q113" s="79">
        <f>'Standing charge factors'!Q45</f>
        <v>0</v>
      </c>
      <c r="R113" s="79">
        <f>'Standing charge factors'!R45</f>
        <v>0</v>
      </c>
      <c r="S113" s="79">
        <f>'Standing charge factors'!S45</f>
        <v>0</v>
      </c>
      <c r="T113" s="79">
        <f>'Standing charge factors'!T45</f>
        <v>0</v>
      </c>
      <c r="U113" s="79">
        <f>'Standing charge factors'!U45</f>
        <v>0</v>
      </c>
      <c r="V113" s="79">
        <f>'Standing charge factors'!V45</f>
        <v>0</v>
      </c>
      <c r="W113" s="79">
        <f>'Standing charge factors'!W45</f>
        <v>0</v>
      </c>
      <c r="X113" s="79">
        <f>'Standing charge factors'!X45</f>
        <v>0</v>
      </c>
      <c r="Y113" s="79">
        <f>'Standing charge factors'!Y45</f>
        <v>0</v>
      </c>
      <c r="Z113" s="79">
        <f>'Standing charge factors'!Z45</f>
        <v>0</v>
      </c>
      <c r="AA113" s="79">
        <f>'Standing charge factors'!AA45</f>
        <v>0</v>
      </c>
      <c r="AB113" s="79">
        <f>'Standing charge factors'!AB45</f>
        <v>0</v>
      </c>
      <c r="AC113" s="79">
        <f>'Standing charge factors'!AC45</f>
        <v>0</v>
      </c>
      <c r="AD113" s="79">
        <f>'Standing charge factors'!AD45</f>
        <v>0</v>
      </c>
      <c r="AE113" s="79">
        <f>'Standing charge factors'!AE45</f>
        <v>0</v>
      </c>
      <c r="AF113" s="79">
        <f>'Standing charge factors'!AF45</f>
        <v>0</v>
      </c>
      <c r="AG113" s="79">
        <f>'Standing charge factors'!AG45</f>
        <v>0</v>
      </c>
      <c r="AH113" s="79">
        <f>'Standing charge factors'!AH45</f>
        <v>0</v>
      </c>
      <c r="AI113" s="79">
        <f>'Standing charge factors'!AI45</f>
        <v>0</v>
      </c>
      <c r="AJ113" s="79">
        <f>'Standing charge factors'!AJ45</f>
        <v>0</v>
      </c>
      <c r="AK113" s="79">
        <f>'Standing charge factors'!AK45</f>
        <v>0</v>
      </c>
      <c r="AL113" s="79">
        <f>'Standing charge factors'!AL45</f>
        <v>0</v>
      </c>
      <c r="AM113" s="79">
        <f>'Standing charge factors'!AM45</f>
        <v>0</v>
      </c>
      <c r="AN113" s="79">
        <f>'Standing charge factors'!AN45</f>
        <v>0</v>
      </c>
      <c r="AO113" s="79">
        <f>'Standing charge factors'!AO45</f>
        <v>0</v>
      </c>
      <c r="AP113" s="79">
        <f>'Standing charge factors'!AP45</f>
        <v>0</v>
      </c>
      <c r="BG113" s="136"/>
    </row>
    <row r="114" spans="2:59" s="131" customFormat="1" x14ac:dyDescent="0.25">
      <c r="C114" s="74"/>
      <c r="F114" s="139" t="s">
        <v>45</v>
      </c>
      <c r="G114" s="139" t="s">
        <v>111</v>
      </c>
      <c r="H114" s="142"/>
      <c r="I114" s="139"/>
      <c r="J114" s="79">
        <f>'Standing charge factors'!J46</f>
        <v>0</v>
      </c>
      <c r="K114" s="79">
        <f>'Standing charge factors'!K46</f>
        <v>0</v>
      </c>
      <c r="L114" s="79">
        <f>'Standing charge factors'!L46</f>
        <v>0</v>
      </c>
      <c r="M114" s="79">
        <f>'Standing charge factors'!M46</f>
        <v>0</v>
      </c>
      <c r="N114" s="79">
        <f>'Standing charge factors'!N46</f>
        <v>0</v>
      </c>
      <c r="O114" s="79">
        <f>'Standing charge factors'!O46</f>
        <v>0</v>
      </c>
      <c r="P114" s="79">
        <f>'Standing charge factors'!P46</f>
        <v>0</v>
      </c>
      <c r="Q114" s="79">
        <f>'Standing charge factors'!Q46</f>
        <v>0</v>
      </c>
      <c r="R114" s="79">
        <f>'Standing charge factors'!R46</f>
        <v>0</v>
      </c>
      <c r="S114" s="79">
        <f>'Standing charge factors'!S46</f>
        <v>0</v>
      </c>
      <c r="T114" s="79">
        <f>'Standing charge factors'!T46</f>
        <v>0</v>
      </c>
      <c r="U114" s="79">
        <f>'Standing charge factors'!U46</f>
        <v>0</v>
      </c>
      <c r="V114" s="79">
        <f>'Standing charge factors'!V46</f>
        <v>0</v>
      </c>
      <c r="W114" s="79">
        <f>'Standing charge factors'!W46</f>
        <v>0</v>
      </c>
      <c r="X114" s="79">
        <f>'Standing charge factors'!X46</f>
        <v>0</v>
      </c>
      <c r="Y114" s="79">
        <f>'Standing charge factors'!Y46</f>
        <v>0</v>
      </c>
      <c r="Z114" s="79">
        <f>'Standing charge factors'!Z46</f>
        <v>0</v>
      </c>
      <c r="AA114" s="79">
        <f>'Standing charge factors'!AA46</f>
        <v>0</v>
      </c>
      <c r="AB114" s="79">
        <f>'Standing charge factors'!AB46</f>
        <v>0</v>
      </c>
      <c r="AC114" s="79">
        <f>'Standing charge factors'!AC46</f>
        <v>0</v>
      </c>
      <c r="AD114" s="79">
        <f>'Standing charge factors'!AD46</f>
        <v>0</v>
      </c>
      <c r="AE114" s="79">
        <f>'Standing charge factors'!AE46</f>
        <v>0</v>
      </c>
      <c r="AF114" s="79">
        <f>'Standing charge factors'!AF46</f>
        <v>0</v>
      </c>
      <c r="AG114" s="79">
        <f>'Standing charge factors'!AG46</f>
        <v>0</v>
      </c>
      <c r="AH114" s="79">
        <f>'Standing charge factors'!AH46</f>
        <v>0</v>
      </c>
      <c r="AI114" s="79">
        <f>'Standing charge factors'!AI46</f>
        <v>0</v>
      </c>
      <c r="AJ114" s="79">
        <f>'Standing charge factors'!AJ46</f>
        <v>0</v>
      </c>
      <c r="AK114" s="79">
        <f>'Standing charge factors'!AK46</f>
        <v>0</v>
      </c>
      <c r="AL114" s="79">
        <f>'Standing charge factors'!AL46</f>
        <v>0</v>
      </c>
      <c r="AM114" s="79">
        <f>'Standing charge factors'!AM46</f>
        <v>0</v>
      </c>
      <c r="AN114" s="79">
        <f>'Standing charge factors'!AN46</f>
        <v>0</v>
      </c>
      <c r="AO114" s="79">
        <f>'Standing charge factors'!AO46</f>
        <v>0</v>
      </c>
      <c r="AP114" s="79">
        <f>'Standing charge factors'!AP46</f>
        <v>0</v>
      </c>
      <c r="BG114" s="136"/>
    </row>
    <row r="115" spans="2:59" s="131" customFormat="1" x14ac:dyDescent="0.25">
      <c r="C115" s="74"/>
      <c r="F115" s="139" t="s">
        <v>46</v>
      </c>
      <c r="G115" s="139" t="s">
        <v>111</v>
      </c>
      <c r="H115" s="142"/>
      <c r="I115" s="139"/>
      <c r="J115" s="79">
        <f>'Standing charge factors'!J47</f>
        <v>0</v>
      </c>
      <c r="K115" s="79">
        <f>'Standing charge factors'!K47</f>
        <v>0</v>
      </c>
      <c r="L115" s="79">
        <f>'Standing charge factors'!L47</f>
        <v>0</v>
      </c>
      <c r="M115" s="79">
        <f>'Standing charge factors'!M47</f>
        <v>0</v>
      </c>
      <c r="N115" s="79">
        <f>'Standing charge factors'!N47</f>
        <v>0</v>
      </c>
      <c r="O115" s="79">
        <f>'Standing charge factors'!O47</f>
        <v>0</v>
      </c>
      <c r="P115" s="79">
        <f>'Standing charge factors'!P47</f>
        <v>0</v>
      </c>
      <c r="Q115" s="79">
        <f>'Standing charge factors'!Q47</f>
        <v>0</v>
      </c>
      <c r="R115" s="79">
        <f>'Standing charge factors'!R47</f>
        <v>0.2</v>
      </c>
      <c r="S115" s="79">
        <f>'Standing charge factors'!S47</f>
        <v>0</v>
      </c>
      <c r="T115" s="79">
        <f>'Standing charge factors'!T47</f>
        <v>0</v>
      </c>
      <c r="U115" s="79">
        <f>'Standing charge factors'!U47</f>
        <v>0</v>
      </c>
      <c r="V115" s="79">
        <f>'Standing charge factors'!V47</f>
        <v>0</v>
      </c>
      <c r="W115" s="79">
        <f>'Standing charge factors'!W47</f>
        <v>0.2</v>
      </c>
      <c r="X115" s="79">
        <f>'Standing charge factors'!X47</f>
        <v>0</v>
      </c>
      <c r="Y115" s="79">
        <f>'Standing charge factors'!Y47</f>
        <v>0</v>
      </c>
      <c r="Z115" s="79">
        <f>'Standing charge factors'!Z47</f>
        <v>0</v>
      </c>
      <c r="AA115" s="79">
        <f>'Standing charge factors'!AA47</f>
        <v>0</v>
      </c>
      <c r="AB115" s="79">
        <f>'Standing charge factors'!AB47</f>
        <v>0</v>
      </c>
      <c r="AC115" s="79">
        <f>'Standing charge factors'!AC47</f>
        <v>0</v>
      </c>
      <c r="AD115" s="79">
        <f>'Standing charge factors'!AD47</f>
        <v>0</v>
      </c>
      <c r="AE115" s="79">
        <f>'Standing charge factors'!AE47</f>
        <v>0</v>
      </c>
      <c r="AF115" s="79">
        <f>'Standing charge factors'!AF47</f>
        <v>0</v>
      </c>
      <c r="AG115" s="79">
        <f>'Standing charge factors'!AG47</f>
        <v>0</v>
      </c>
      <c r="AH115" s="79">
        <f>'Standing charge factors'!AH47</f>
        <v>0</v>
      </c>
      <c r="AI115" s="79">
        <f>'Standing charge factors'!AI47</f>
        <v>0</v>
      </c>
      <c r="AJ115" s="79">
        <f>'Standing charge factors'!AJ47</f>
        <v>0</v>
      </c>
      <c r="AK115" s="79">
        <f>'Standing charge factors'!AK47</f>
        <v>0</v>
      </c>
      <c r="AL115" s="79">
        <f>'Standing charge factors'!AL47</f>
        <v>0</v>
      </c>
      <c r="AM115" s="79">
        <f>'Standing charge factors'!AM47</f>
        <v>0</v>
      </c>
      <c r="AN115" s="79">
        <f>'Standing charge factors'!AN47</f>
        <v>0</v>
      </c>
      <c r="AO115" s="79">
        <f>'Standing charge factors'!AO47</f>
        <v>0</v>
      </c>
      <c r="AP115" s="79">
        <f>'Standing charge factors'!AP47</f>
        <v>0</v>
      </c>
      <c r="BG115" s="136"/>
    </row>
    <row r="116" spans="2:59" s="131" customFormat="1" x14ac:dyDescent="0.25">
      <c r="C116" s="74"/>
      <c r="F116" s="139" t="s">
        <v>47</v>
      </c>
      <c r="G116" s="139" t="s">
        <v>111</v>
      </c>
      <c r="H116" s="142"/>
      <c r="I116" s="139"/>
      <c r="J116" s="79">
        <f>'Standing charge factors'!J48</f>
        <v>0</v>
      </c>
      <c r="K116" s="79">
        <f>'Standing charge factors'!K48</f>
        <v>0</v>
      </c>
      <c r="L116" s="79">
        <f>'Standing charge factors'!L48</f>
        <v>0</v>
      </c>
      <c r="M116" s="79">
        <f>'Standing charge factors'!M48</f>
        <v>0</v>
      </c>
      <c r="N116" s="79">
        <f>'Standing charge factors'!N48</f>
        <v>0</v>
      </c>
      <c r="O116" s="79">
        <f>'Standing charge factors'!O48</f>
        <v>0</v>
      </c>
      <c r="P116" s="79">
        <f>'Standing charge factors'!P48</f>
        <v>0</v>
      </c>
      <c r="Q116" s="79">
        <f>'Standing charge factors'!Q48</f>
        <v>0</v>
      </c>
      <c r="R116" s="79">
        <f>'Standing charge factors'!R48</f>
        <v>1</v>
      </c>
      <c r="S116" s="79">
        <f>'Standing charge factors'!S48</f>
        <v>0</v>
      </c>
      <c r="T116" s="79">
        <f>'Standing charge factors'!T48</f>
        <v>0</v>
      </c>
      <c r="U116" s="79">
        <f>'Standing charge factors'!U48</f>
        <v>0</v>
      </c>
      <c r="V116" s="79">
        <f>'Standing charge factors'!V48</f>
        <v>0</v>
      </c>
      <c r="W116" s="79">
        <f>'Standing charge factors'!W48</f>
        <v>1</v>
      </c>
      <c r="X116" s="79">
        <f>'Standing charge factors'!X48</f>
        <v>0</v>
      </c>
      <c r="Y116" s="79">
        <f>'Standing charge factors'!Y48</f>
        <v>0</v>
      </c>
      <c r="Z116" s="79">
        <f>'Standing charge factors'!Z48</f>
        <v>0</v>
      </c>
      <c r="AA116" s="79">
        <f>'Standing charge factors'!AA48</f>
        <v>0</v>
      </c>
      <c r="AB116" s="79">
        <f>'Standing charge factors'!AB48</f>
        <v>0</v>
      </c>
      <c r="AC116" s="79">
        <f>'Standing charge factors'!AC48</f>
        <v>0</v>
      </c>
      <c r="AD116" s="79">
        <f>'Standing charge factors'!AD48</f>
        <v>0</v>
      </c>
      <c r="AE116" s="79">
        <f>'Standing charge factors'!AE48</f>
        <v>0</v>
      </c>
      <c r="AF116" s="79">
        <f>'Standing charge factors'!AF48</f>
        <v>0</v>
      </c>
      <c r="AG116" s="79">
        <f>'Standing charge factors'!AG48</f>
        <v>0</v>
      </c>
      <c r="AH116" s="79">
        <f>'Standing charge factors'!AH48</f>
        <v>0</v>
      </c>
      <c r="AI116" s="79">
        <f>'Standing charge factors'!AI48</f>
        <v>0</v>
      </c>
      <c r="AJ116" s="79">
        <f>'Standing charge factors'!AJ48</f>
        <v>0</v>
      </c>
      <c r="AK116" s="79">
        <f>'Standing charge factors'!AK48</f>
        <v>0</v>
      </c>
      <c r="AL116" s="79">
        <f>'Standing charge factors'!AL48</f>
        <v>0</v>
      </c>
      <c r="AM116" s="79">
        <f>'Standing charge factors'!AM48</f>
        <v>0</v>
      </c>
      <c r="AN116" s="79">
        <f>'Standing charge factors'!AN48</f>
        <v>0</v>
      </c>
      <c r="AO116" s="79">
        <f>'Standing charge factors'!AO48</f>
        <v>0</v>
      </c>
      <c r="AP116" s="79">
        <f>'Standing charge factors'!AP48</f>
        <v>0</v>
      </c>
      <c r="BG116" s="136"/>
    </row>
    <row r="117" spans="2:59" s="131" customFormat="1" x14ac:dyDescent="0.25">
      <c r="C117" s="74"/>
      <c r="F117" s="139" t="s">
        <v>51</v>
      </c>
      <c r="G117" s="139" t="s">
        <v>111</v>
      </c>
      <c r="H117" s="142"/>
      <c r="I117" s="139"/>
      <c r="J117" s="79">
        <f>'Standing charge factors'!J49</f>
        <v>0</v>
      </c>
      <c r="K117" s="79">
        <f>'Standing charge factors'!K49</f>
        <v>0</v>
      </c>
      <c r="L117" s="79">
        <f>'Standing charge factors'!L49</f>
        <v>0</v>
      </c>
      <c r="M117" s="79">
        <f>'Standing charge factors'!M49</f>
        <v>0</v>
      </c>
      <c r="N117" s="79">
        <f>'Standing charge factors'!N49</f>
        <v>0</v>
      </c>
      <c r="O117" s="79">
        <f>'Standing charge factors'!O49</f>
        <v>0</v>
      </c>
      <c r="P117" s="79">
        <f>'Standing charge factors'!P49</f>
        <v>0</v>
      </c>
      <c r="Q117" s="79">
        <f>'Standing charge factors'!Q49</f>
        <v>0</v>
      </c>
      <c r="R117" s="79">
        <f>'Standing charge factors'!R49</f>
        <v>1</v>
      </c>
      <c r="S117" s="79">
        <f>'Standing charge factors'!S49</f>
        <v>0</v>
      </c>
      <c r="T117" s="79">
        <f>'Standing charge factors'!T49</f>
        <v>0</v>
      </c>
      <c r="U117" s="79">
        <f>'Standing charge factors'!U49</f>
        <v>0</v>
      </c>
      <c r="V117" s="79">
        <f>'Standing charge factors'!V49</f>
        <v>0</v>
      </c>
      <c r="W117" s="79">
        <f>'Standing charge factors'!W49</f>
        <v>1</v>
      </c>
      <c r="X117" s="79">
        <f>'Standing charge factors'!X49</f>
        <v>0</v>
      </c>
      <c r="Y117" s="79">
        <f>'Standing charge factors'!Y49</f>
        <v>0</v>
      </c>
      <c r="Z117" s="79">
        <f>'Standing charge factors'!Z49</f>
        <v>0</v>
      </c>
      <c r="AA117" s="79">
        <f>'Standing charge factors'!AA49</f>
        <v>0</v>
      </c>
      <c r="AB117" s="79">
        <f>'Standing charge factors'!AB49</f>
        <v>0</v>
      </c>
      <c r="AC117" s="79">
        <f>'Standing charge factors'!AC49</f>
        <v>0</v>
      </c>
      <c r="AD117" s="79">
        <f>'Standing charge factors'!AD49</f>
        <v>0</v>
      </c>
      <c r="AE117" s="79">
        <f>'Standing charge factors'!AE49</f>
        <v>0</v>
      </c>
      <c r="AF117" s="79">
        <f>'Standing charge factors'!AF49</f>
        <v>0</v>
      </c>
      <c r="AG117" s="79">
        <f>'Standing charge factors'!AG49</f>
        <v>0</v>
      </c>
      <c r="AH117" s="79">
        <f>'Standing charge factors'!AH49</f>
        <v>0</v>
      </c>
      <c r="AI117" s="79">
        <f>'Standing charge factors'!AI49</f>
        <v>0</v>
      </c>
      <c r="AJ117" s="79">
        <f>'Standing charge factors'!AJ49</f>
        <v>0</v>
      </c>
      <c r="AK117" s="79">
        <f>'Standing charge factors'!AK49</f>
        <v>0</v>
      </c>
      <c r="AL117" s="79">
        <f>'Standing charge factors'!AL49</f>
        <v>0</v>
      </c>
      <c r="AM117" s="79">
        <f>'Standing charge factors'!AM49</f>
        <v>0</v>
      </c>
      <c r="AN117" s="79">
        <f>'Standing charge factors'!AN49</f>
        <v>0</v>
      </c>
      <c r="AO117" s="79">
        <f>'Standing charge factors'!AO49</f>
        <v>0</v>
      </c>
      <c r="AP117" s="79">
        <f>'Standing charge factors'!AP49</f>
        <v>0</v>
      </c>
      <c r="BG117" s="136"/>
    </row>
    <row r="118" spans="2:59" s="131" customFormat="1" x14ac:dyDescent="0.25">
      <c r="C118" s="74"/>
      <c r="F118" s="139" t="s">
        <v>48</v>
      </c>
      <c r="G118" s="139" t="s">
        <v>111</v>
      </c>
      <c r="H118" s="142"/>
      <c r="I118" s="139"/>
      <c r="J118" s="79">
        <f>'Standing charge factors'!J50</f>
        <v>0</v>
      </c>
      <c r="K118" s="79">
        <f>'Standing charge factors'!K50</f>
        <v>0</v>
      </c>
      <c r="L118" s="79">
        <f>'Standing charge factors'!L50</f>
        <v>0</v>
      </c>
      <c r="M118" s="79">
        <f>'Standing charge factors'!M50</f>
        <v>0</v>
      </c>
      <c r="N118" s="79">
        <f>'Standing charge factors'!N50</f>
        <v>0</v>
      </c>
      <c r="O118" s="79">
        <f>'Standing charge factors'!O50</f>
        <v>0</v>
      </c>
      <c r="P118" s="79">
        <f>'Standing charge factors'!P50</f>
        <v>0</v>
      </c>
      <c r="Q118" s="79">
        <f>'Standing charge factors'!Q50</f>
        <v>0</v>
      </c>
      <c r="R118" s="79">
        <f>'Standing charge factors'!R50</f>
        <v>1</v>
      </c>
      <c r="S118" s="79">
        <f>'Standing charge factors'!S50</f>
        <v>0</v>
      </c>
      <c r="T118" s="79">
        <f>'Standing charge factors'!T50</f>
        <v>0</v>
      </c>
      <c r="U118" s="79">
        <f>'Standing charge factors'!U50</f>
        <v>0.2</v>
      </c>
      <c r="V118" s="79">
        <f>'Standing charge factors'!V50</f>
        <v>1</v>
      </c>
      <c r="W118" s="79">
        <f>'Standing charge factors'!W50</f>
        <v>1</v>
      </c>
      <c r="X118" s="79">
        <f>'Standing charge factors'!X50</f>
        <v>0</v>
      </c>
      <c r="Y118" s="79">
        <f>'Standing charge factors'!Y50</f>
        <v>0</v>
      </c>
      <c r="Z118" s="79">
        <f>'Standing charge factors'!Z50</f>
        <v>0</v>
      </c>
      <c r="AA118" s="79">
        <f>'Standing charge factors'!AA50</f>
        <v>0</v>
      </c>
      <c r="AB118" s="79">
        <f>'Standing charge factors'!AB50</f>
        <v>0</v>
      </c>
      <c r="AC118" s="79">
        <f>'Standing charge factors'!AC50</f>
        <v>0</v>
      </c>
      <c r="AD118" s="79">
        <f>'Standing charge factors'!AD50</f>
        <v>0</v>
      </c>
      <c r="AE118" s="79">
        <f>'Standing charge factors'!AE50</f>
        <v>0</v>
      </c>
      <c r="AF118" s="79">
        <f>'Standing charge factors'!AF50</f>
        <v>0</v>
      </c>
      <c r="AG118" s="79">
        <f>'Standing charge factors'!AG50</f>
        <v>0</v>
      </c>
      <c r="AH118" s="79">
        <f>'Standing charge factors'!AH50</f>
        <v>0</v>
      </c>
      <c r="AI118" s="79">
        <f>'Standing charge factors'!AI50</f>
        <v>0</v>
      </c>
      <c r="AJ118" s="79">
        <f>'Standing charge factors'!AJ50</f>
        <v>0</v>
      </c>
      <c r="AK118" s="79">
        <f>'Standing charge factors'!AK50</f>
        <v>0</v>
      </c>
      <c r="AL118" s="79">
        <f>'Standing charge factors'!AL50</f>
        <v>0</v>
      </c>
      <c r="AM118" s="79">
        <f>'Standing charge factors'!AM50</f>
        <v>0</v>
      </c>
      <c r="AN118" s="79">
        <f>'Standing charge factors'!AN50</f>
        <v>0</v>
      </c>
      <c r="AO118" s="79">
        <f>'Standing charge factors'!AO50</f>
        <v>0</v>
      </c>
      <c r="AP118" s="79">
        <f>'Standing charge factors'!AP50</f>
        <v>0</v>
      </c>
      <c r="BG118" s="136"/>
    </row>
    <row r="119" spans="2:59" s="131" customFormat="1" x14ac:dyDescent="0.25">
      <c r="C119" s="74"/>
      <c r="F119" s="139" t="s">
        <v>49</v>
      </c>
      <c r="G119" s="139" t="s">
        <v>111</v>
      </c>
      <c r="H119" s="142"/>
      <c r="I119" s="139"/>
      <c r="J119" s="79">
        <f>'Standing charge factors'!J51</f>
        <v>0</v>
      </c>
      <c r="K119" s="79">
        <f>'Standing charge factors'!K51</f>
        <v>0</v>
      </c>
      <c r="L119" s="79">
        <f>'Standing charge factors'!L51</f>
        <v>0</v>
      </c>
      <c r="M119" s="79">
        <f>'Standing charge factors'!M51</f>
        <v>0</v>
      </c>
      <c r="N119" s="79">
        <f>'Standing charge factors'!N51</f>
        <v>0</v>
      </c>
      <c r="O119" s="79">
        <f>'Standing charge factors'!O51</f>
        <v>0</v>
      </c>
      <c r="P119" s="79">
        <f>'Standing charge factors'!P51</f>
        <v>0</v>
      </c>
      <c r="Q119" s="79">
        <f>'Standing charge factors'!Q51</f>
        <v>1</v>
      </c>
      <c r="R119" s="79">
        <f>'Standing charge factors'!R51</f>
        <v>0</v>
      </c>
      <c r="S119" s="79">
        <f>'Standing charge factors'!S51</f>
        <v>0</v>
      </c>
      <c r="T119" s="79">
        <f>'Standing charge factors'!T51</f>
        <v>0</v>
      </c>
      <c r="U119" s="79">
        <f>'Standing charge factors'!U51</f>
        <v>1</v>
      </c>
      <c r="V119" s="79">
        <f>'Standing charge factors'!V51</f>
        <v>1</v>
      </c>
      <c r="W119" s="79">
        <f>'Standing charge factors'!W51</f>
        <v>0</v>
      </c>
      <c r="X119" s="79">
        <f>'Standing charge factors'!X51</f>
        <v>0</v>
      </c>
      <c r="Y119" s="79">
        <f>'Standing charge factors'!Y51</f>
        <v>0</v>
      </c>
      <c r="Z119" s="79">
        <f>'Standing charge factors'!Z51</f>
        <v>0</v>
      </c>
      <c r="AA119" s="79">
        <f>'Standing charge factors'!AA51</f>
        <v>0</v>
      </c>
      <c r="AB119" s="79">
        <f>'Standing charge factors'!AB51</f>
        <v>0</v>
      </c>
      <c r="AC119" s="79">
        <f>'Standing charge factors'!AC51</f>
        <v>0</v>
      </c>
      <c r="AD119" s="79">
        <f>'Standing charge factors'!AD51</f>
        <v>0</v>
      </c>
      <c r="AE119" s="79">
        <f>'Standing charge factors'!AE51</f>
        <v>0</v>
      </c>
      <c r="AF119" s="79">
        <f>'Standing charge factors'!AF51</f>
        <v>0</v>
      </c>
      <c r="AG119" s="79">
        <f>'Standing charge factors'!AG51</f>
        <v>0</v>
      </c>
      <c r="AH119" s="79">
        <f>'Standing charge factors'!AH51</f>
        <v>0</v>
      </c>
      <c r="AI119" s="79">
        <f>'Standing charge factors'!AI51</f>
        <v>0</v>
      </c>
      <c r="AJ119" s="79">
        <f>'Standing charge factors'!AJ51</f>
        <v>0</v>
      </c>
      <c r="AK119" s="79">
        <f>'Standing charge factors'!AK51</f>
        <v>0</v>
      </c>
      <c r="AL119" s="79">
        <f>'Standing charge factors'!AL51</f>
        <v>0</v>
      </c>
      <c r="AM119" s="79">
        <f>'Standing charge factors'!AM51</f>
        <v>0</v>
      </c>
      <c r="AN119" s="79">
        <f>'Standing charge factors'!AN51</f>
        <v>0</v>
      </c>
      <c r="AO119" s="79">
        <f>'Standing charge factors'!AO51</f>
        <v>0</v>
      </c>
      <c r="AP119" s="79">
        <f>'Standing charge factors'!AP51</f>
        <v>0</v>
      </c>
      <c r="BG119" s="136"/>
    </row>
    <row r="120" spans="2:59" s="131" customFormat="1" x14ac:dyDescent="0.25">
      <c r="C120" s="74"/>
      <c r="F120" s="140" t="s">
        <v>50</v>
      </c>
      <c r="G120" s="140" t="s">
        <v>111</v>
      </c>
      <c r="H120" s="20"/>
      <c r="I120" s="140"/>
      <c r="J120" s="80">
        <f>'Standing charge factors'!J52</f>
        <v>1</v>
      </c>
      <c r="K120" s="80">
        <f>'Standing charge factors'!K52</f>
        <v>1</v>
      </c>
      <c r="L120" s="80">
        <f>'Standing charge factors'!L52</f>
        <v>1</v>
      </c>
      <c r="M120" s="80">
        <f>'Standing charge factors'!M52</f>
        <v>1</v>
      </c>
      <c r="N120" s="80">
        <f>'Standing charge factors'!N52</f>
        <v>1</v>
      </c>
      <c r="O120" s="80">
        <f>'Standing charge factors'!O52</f>
        <v>1</v>
      </c>
      <c r="P120" s="80">
        <f>'Standing charge factors'!P52</f>
        <v>1</v>
      </c>
      <c r="Q120" s="80">
        <f>'Standing charge factors'!Q52</f>
        <v>0</v>
      </c>
      <c r="R120" s="80">
        <f>'Standing charge factors'!R52</f>
        <v>0</v>
      </c>
      <c r="S120" s="80">
        <f>'Standing charge factors'!S52</f>
        <v>1</v>
      </c>
      <c r="T120" s="80">
        <f>'Standing charge factors'!T52</f>
        <v>1</v>
      </c>
      <c r="U120" s="80">
        <f>'Standing charge factors'!U52</f>
        <v>1</v>
      </c>
      <c r="V120" s="80">
        <f>'Standing charge factors'!V52</f>
        <v>0</v>
      </c>
      <c r="W120" s="80">
        <f>'Standing charge factors'!W52</f>
        <v>0</v>
      </c>
      <c r="X120" s="80">
        <f>'Standing charge factors'!X52</f>
        <v>0</v>
      </c>
      <c r="Y120" s="80">
        <f>'Standing charge factors'!Y52</f>
        <v>0</v>
      </c>
      <c r="Z120" s="80">
        <f>'Standing charge factors'!Z52</f>
        <v>0</v>
      </c>
      <c r="AA120" s="80">
        <f>'Standing charge factors'!AA52</f>
        <v>0</v>
      </c>
      <c r="AB120" s="80">
        <f>'Standing charge factors'!AB52</f>
        <v>0</v>
      </c>
      <c r="AC120" s="80">
        <f>'Standing charge factors'!AC52</f>
        <v>0</v>
      </c>
      <c r="AD120" s="80">
        <f>'Standing charge factors'!AD52</f>
        <v>0</v>
      </c>
      <c r="AE120" s="80">
        <f>'Standing charge factors'!AE52</f>
        <v>0</v>
      </c>
      <c r="AF120" s="80">
        <f>'Standing charge factors'!AF52</f>
        <v>0</v>
      </c>
      <c r="AG120" s="80">
        <f>'Standing charge factors'!AG52</f>
        <v>0</v>
      </c>
      <c r="AH120" s="80">
        <f>'Standing charge factors'!AH52</f>
        <v>0</v>
      </c>
      <c r="AI120" s="80">
        <f>'Standing charge factors'!AI52</f>
        <v>0</v>
      </c>
      <c r="AJ120" s="80">
        <f>'Standing charge factors'!AJ52</f>
        <v>0</v>
      </c>
      <c r="AK120" s="80">
        <f>'Standing charge factors'!AK52</f>
        <v>0</v>
      </c>
      <c r="AL120" s="80">
        <f>'Standing charge factors'!AL52</f>
        <v>0</v>
      </c>
      <c r="AM120" s="80">
        <f>'Standing charge factors'!AM52</f>
        <v>0</v>
      </c>
      <c r="AN120" s="80">
        <f>'Standing charge factors'!AN52</f>
        <v>0</v>
      </c>
      <c r="AO120" s="80">
        <f>'Standing charge factors'!AO52</f>
        <v>0</v>
      </c>
      <c r="AP120" s="80">
        <f>'Standing charge factors'!AP52</f>
        <v>0</v>
      </c>
      <c r="BG120" s="136"/>
    </row>
    <row r="121" spans="2:59" s="131" customFormat="1" x14ac:dyDescent="0.25">
      <c r="D121" s="147"/>
      <c r="E121" s="175"/>
    </row>
    <row r="122" spans="2:59" x14ac:dyDescent="0.25">
      <c r="B122" s="171" t="s">
        <v>625</v>
      </c>
      <c r="C122" s="171"/>
      <c r="D122" s="171"/>
      <c r="E122" s="171"/>
      <c r="F122" s="171"/>
      <c r="G122" s="171"/>
      <c r="H122" s="171"/>
      <c r="I122" s="171"/>
      <c r="J122" s="171"/>
      <c r="K122" s="171"/>
      <c r="L122" s="171"/>
      <c r="M122" s="171"/>
      <c r="N122" s="171"/>
      <c r="O122" s="171"/>
      <c r="P122" s="171"/>
      <c r="Q122" s="171"/>
      <c r="R122" s="171"/>
      <c r="S122" s="171"/>
      <c r="T122" s="171"/>
      <c r="U122" s="171"/>
      <c r="V122" s="171"/>
      <c r="W122" s="171"/>
      <c r="X122" s="171"/>
      <c r="Y122" s="171"/>
      <c r="Z122" s="171"/>
      <c r="AA122" s="171"/>
      <c r="AB122" s="171"/>
      <c r="AC122" s="171"/>
      <c r="AD122" s="171"/>
      <c r="AE122" s="171"/>
      <c r="AF122" s="171"/>
      <c r="AG122" s="171"/>
      <c r="AH122" s="171"/>
      <c r="AI122" s="171"/>
      <c r="AJ122" s="171"/>
      <c r="AK122" s="171"/>
      <c r="AL122" s="171"/>
      <c r="AM122" s="171"/>
      <c r="AN122" s="171"/>
      <c r="AO122" s="171"/>
      <c r="AP122" s="171"/>
      <c r="AQ122" s="171"/>
      <c r="AR122" s="171"/>
    </row>
    <row r="124" spans="2:59" x14ac:dyDescent="0.25">
      <c r="C124" s="22" t="str">
        <f ca="1">INDEX('Version control'!$H$34:$H$59,MATCH($A$1,'Version control'!$F$34:$F$59,0),1)&amp;"-E: Contributions to unit rate 1 p/kWh by network level (taking account of standing charges)"</f>
        <v>Section 514-E: Contributions to unit rate 1 p/kWh by network level (taking account of standing charges)</v>
      </c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</row>
    <row r="125" spans="2:59" s="338" customFormat="1" x14ac:dyDescent="0.25">
      <c r="C125" s="172"/>
      <c r="E125" s="172"/>
      <c r="H125" s="88"/>
      <c r="I125" s="88" t="s">
        <v>525</v>
      </c>
      <c r="J125" s="88"/>
      <c r="K125" s="88"/>
      <c r="L125" s="88"/>
      <c r="M125" s="88"/>
      <c r="N125" s="88"/>
      <c r="O125" s="88"/>
      <c r="P125" s="88"/>
      <c r="Q125" s="88"/>
      <c r="R125" s="88"/>
      <c r="S125" s="88"/>
      <c r="T125" s="88"/>
      <c r="U125" s="88"/>
      <c r="V125" s="88"/>
      <c r="W125" s="88"/>
      <c r="X125" s="88"/>
      <c r="Y125" s="88"/>
      <c r="Z125" s="88"/>
      <c r="AA125" s="88"/>
      <c r="AB125" s="88"/>
      <c r="AC125" s="88"/>
      <c r="AD125" s="88"/>
      <c r="AE125" s="88"/>
      <c r="AF125" s="88"/>
      <c r="AG125" s="88"/>
      <c r="AH125" s="88"/>
      <c r="AI125" s="88"/>
      <c r="AJ125" s="88"/>
      <c r="AK125" s="88"/>
      <c r="AL125" s="88"/>
      <c r="AM125" s="88"/>
      <c r="AN125" s="88"/>
      <c r="AO125" s="88"/>
      <c r="AP125" s="88"/>
      <c r="AQ125" s="88"/>
      <c r="AR125" s="160" t="s">
        <v>984</v>
      </c>
    </row>
    <row r="126" spans="2:59" x14ac:dyDescent="0.25">
      <c r="E126" s="172" t="s">
        <v>156</v>
      </c>
    </row>
    <row r="127" spans="2:59" x14ac:dyDescent="0.25">
      <c r="F127" s="72" t="s">
        <v>397</v>
      </c>
      <c r="G127" s="13" t="s">
        <v>201</v>
      </c>
      <c r="H127" s="569"/>
      <c r="I127" s="569"/>
      <c r="J127" s="584">
        <f t="shared" ref="J127:AP127" si="0">J22 * (1 - J$112)</f>
        <v>0</v>
      </c>
      <c r="K127" s="584">
        <f t="shared" si="0"/>
        <v>0</v>
      </c>
      <c r="L127" s="584">
        <f t="shared" si="0"/>
        <v>0</v>
      </c>
      <c r="M127" s="584">
        <f t="shared" si="0"/>
        <v>0</v>
      </c>
      <c r="N127" s="584">
        <f t="shared" si="0"/>
        <v>0</v>
      </c>
      <c r="O127" s="584">
        <f t="shared" si="0"/>
        <v>0</v>
      </c>
      <c r="P127" s="584">
        <f t="shared" si="0"/>
        <v>0</v>
      </c>
      <c r="Q127" s="584">
        <f t="shared" si="0"/>
        <v>0</v>
      </c>
      <c r="R127" s="584">
        <f t="shared" si="0"/>
        <v>0</v>
      </c>
      <c r="S127" s="584">
        <f t="shared" si="0"/>
        <v>0</v>
      </c>
      <c r="T127" s="584">
        <f t="shared" si="0"/>
        <v>0</v>
      </c>
      <c r="U127" s="584">
        <f t="shared" si="0"/>
        <v>0</v>
      </c>
      <c r="V127" s="584">
        <f t="shared" si="0"/>
        <v>0</v>
      </c>
      <c r="W127" s="584">
        <f t="shared" si="0"/>
        <v>0</v>
      </c>
      <c r="X127" s="584">
        <f t="shared" si="0"/>
        <v>0</v>
      </c>
      <c r="Y127" s="584">
        <f t="shared" si="0"/>
        <v>0</v>
      </c>
      <c r="Z127" s="584">
        <f t="shared" si="0"/>
        <v>0</v>
      </c>
      <c r="AA127" s="584">
        <f t="shared" si="0"/>
        <v>0</v>
      </c>
      <c r="AB127" s="584">
        <f t="shared" si="0"/>
        <v>0</v>
      </c>
      <c r="AC127" s="584">
        <f t="shared" si="0"/>
        <v>0</v>
      </c>
      <c r="AD127" s="584">
        <f t="shared" si="0"/>
        <v>0</v>
      </c>
      <c r="AE127" s="584">
        <f t="shared" si="0"/>
        <v>0</v>
      </c>
      <c r="AF127" s="584">
        <f t="shared" si="0"/>
        <v>0</v>
      </c>
      <c r="AG127" s="584">
        <f t="shared" si="0"/>
        <v>0</v>
      </c>
      <c r="AH127" s="584">
        <f t="shared" si="0"/>
        <v>0</v>
      </c>
      <c r="AI127" s="584">
        <f t="shared" si="0"/>
        <v>0</v>
      </c>
      <c r="AJ127" s="584">
        <f t="shared" si="0"/>
        <v>0</v>
      </c>
      <c r="AK127" s="584">
        <f t="shared" si="0"/>
        <v>0</v>
      </c>
      <c r="AL127" s="584">
        <f t="shared" si="0"/>
        <v>0</v>
      </c>
      <c r="AM127" s="584">
        <f t="shared" si="0"/>
        <v>0</v>
      </c>
      <c r="AN127" s="584">
        <f t="shared" si="0"/>
        <v>0</v>
      </c>
      <c r="AO127" s="584">
        <f t="shared" si="0"/>
        <v>0</v>
      </c>
      <c r="AP127" s="584">
        <f t="shared" si="0"/>
        <v>0</v>
      </c>
      <c r="AQ127" s="571"/>
      <c r="AR127" s="571"/>
    </row>
    <row r="128" spans="2:59" x14ac:dyDescent="0.25">
      <c r="F128" s="66" t="s">
        <v>43</v>
      </c>
      <c r="G128" s="90" t="s">
        <v>201</v>
      </c>
      <c r="H128" s="572"/>
      <c r="I128" s="572"/>
      <c r="J128" s="585">
        <f t="shared" ref="J128:AP128" si="1">J23 * (1 - J$112)</f>
        <v>0</v>
      </c>
      <c r="K128" s="585">
        <f t="shared" si="1"/>
        <v>0</v>
      </c>
      <c r="L128" s="585">
        <f t="shared" si="1"/>
        <v>0</v>
      </c>
      <c r="M128" s="585">
        <f t="shared" si="1"/>
        <v>0</v>
      </c>
      <c r="N128" s="585">
        <f t="shared" si="1"/>
        <v>0</v>
      </c>
      <c r="O128" s="585">
        <f t="shared" si="1"/>
        <v>0</v>
      </c>
      <c r="P128" s="585">
        <f t="shared" si="1"/>
        <v>0</v>
      </c>
      <c r="Q128" s="585">
        <f t="shared" si="1"/>
        <v>0</v>
      </c>
      <c r="R128" s="585">
        <f t="shared" si="1"/>
        <v>0</v>
      </c>
      <c r="S128" s="585">
        <f t="shared" si="1"/>
        <v>0</v>
      </c>
      <c r="T128" s="585">
        <f t="shared" si="1"/>
        <v>0</v>
      </c>
      <c r="U128" s="585">
        <f t="shared" si="1"/>
        <v>0</v>
      </c>
      <c r="V128" s="585">
        <f t="shared" si="1"/>
        <v>0</v>
      </c>
      <c r="W128" s="585">
        <f t="shared" si="1"/>
        <v>0</v>
      </c>
      <c r="X128" s="585">
        <f t="shared" si="1"/>
        <v>0</v>
      </c>
      <c r="Y128" s="585">
        <f t="shared" si="1"/>
        <v>0</v>
      </c>
      <c r="Z128" s="585">
        <f t="shared" si="1"/>
        <v>0</v>
      </c>
      <c r="AA128" s="585">
        <f t="shared" si="1"/>
        <v>0</v>
      </c>
      <c r="AB128" s="585">
        <f t="shared" si="1"/>
        <v>0</v>
      </c>
      <c r="AC128" s="585">
        <f t="shared" si="1"/>
        <v>0</v>
      </c>
      <c r="AD128" s="585">
        <f t="shared" si="1"/>
        <v>0</v>
      </c>
      <c r="AE128" s="585">
        <f t="shared" si="1"/>
        <v>0</v>
      </c>
      <c r="AF128" s="585">
        <f t="shared" si="1"/>
        <v>0</v>
      </c>
      <c r="AG128" s="585">
        <f t="shared" si="1"/>
        <v>0</v>
      </c>
      <c r="AH128" s="585">
        <f t="shared" si="1"/>
        <v>0</v>
      </c>
      <c r="AI128" s="585">
        <f t="shared" si="1"/>
        <v>0</v>
      </c>
      <c r="AJ128" s="585">
        <f t="shared" si="1"/>
        <v>0</v>
      </c>
      <c r="AK128" s="585">
        <f t="shared" si="1"/>
        <v>0</v>
      </c>
      <c r="AL128" s="585">
        <f t="shared" si="1"/>
        <v>0</v>
      </c>
      <c r="AM128" s="585">
        <f t="shared" si="1"/>
        <v>0</v>
      </c>
      <c r="AN128" s="585">
        <f t="shared" si="1"/>
        <v>0</v>
      </c>
      <c r="AO128" s="585">
        <f t="shared" si="1"/>
        <v>0</v>
      </c>
      <c r="AP128" s="585">
        <f t="shared" si="1"/>
        <v>0</v>
      </c>
      <c r="AQ128" s="571"/>
      <c r="AR128" s="571"/>
    </row>
    <row r="129" spans="4:44" x14ac:dyDescent="0.25">
      <c r="F129" s="66" t="s">
        <v>44</v>
      </c>
      <c r="G129" s="90" t="s">
        <v>201</v>
      </c>
      <c r="H129" s="572"/>
      <c r="I129" s="572"/>
      <c r="J129" s="585">
        <f t="shared" ref="J129:AP129" si="2">J24 * (1 - J$113)</f>
        <v>0.27801044041923445</v>
      </c>
      <c r="K129" s="585">
        <f t="shared" si="2"/>
        <v>0.36138231639141377</v>
      </c>
      <c r="L129" s="585">
        <f t="shared" si="2"/>
        <v>1.7758886324595539E-2</v>
      </c>
      <c r="M129" s="585">
        <f t="shared" si="2"/>
        <v>0.23410952363691998</v>
      </c>
      <c r="N129" s="585">
        <f t="shared" si="2"/>
        <v>0.38529581449629025</v>
      </c>
      <c r="O129" s="585">
        <f t="shared" si="2"/>
        <v>4.6000732839739288E-2</v>
      </c>
      <c r="P129" s="585">
        <f t="shared" si="2"/>
        <v>0.19108834733277658</v>
      </c>
      <c r="Q129" s="585">
        <f t="shared" si="2"/>
        <v>0.17151662241051926</v>
      </c>
      <c r="R129" s="585">
        <f t="shared" si="2"/>
        <v>0.18602509447662371</v>
      </c>
      <c r="S129" s="585">
        <f t="shared" si="2"/>
        <v>1.8156234430723099</v>
      </c>
      <c r="T129" s="585">
        <f t="shared" si="2"/>
        <v>1.9161073283401708</v>
      </c>
      <c r="U129" s="585">
        <f t="shared" si="2"/>
        <v>1.4320018844519327</v>
      </c>
      <c r="V129" s="585">
        <f t="shared" si="2"/>
        <v>1.3300377601296169</v>
      </c>
      <c r="W129" s="585">
        <f t="shared" si="2"/>
        <v>1.192555565625528</v>
      </c>
      <c r="X129" s="585">
        <f t="shared" si="2"/>
        <v>0.12375507680655098</v>
      </c>
      <c r="Y129" s="585">
        <f t="shared" si="2"/>
        <v>0.15816910523910382</v>
      </c>
      <c r="Z129" s="585">
        <f t="shared" si="2"/>
        <v>0.30056105748276246</v>
      </c>
      <c r="AA129" s="585">
        <f t="shared" si="2"/>
        <v>0.1042373290505052</v>
      </c>
      <c r="AB129" s="585">
        <f t="shared" si="2"/>
        <v>2.4857848748036013</v>
      </c>
      <c r="AC129" s="585">
        <f t="shared" si="2"/>
        <v>-0.13198113630699326</v>
      </c>
      <c r="AD129" s="585">
        <f t="shared" si="2"/>
        <v>-0.12676975994225434</v>
      </c>
      <c r="AE129" s="585">
        <f t="shared" si="2"/>
        <v>-0.13198113630699326</v>
      </c>
      <c r="AF129" s="585">
        <f t="shared" si="2"/>
        <v>-0.13198113630699326</v>
      </c>
      <c r="AG129" s="585">
        <f t="shared" si="2"/>
        <v>-1.2012594088782145</v>
      </c>
      <c r="AH129" s="585">
        <f t="shared" si="2"/>
        <v>-1.2012594088782145</v>
      </c>
      <c r="AI129" s="585">
        <f t="shared" si="2"/>
        <v>-0.12676975994225434</v>
      </c>
      <c r="AJ129" s="585">
        <f t="shared" si="2"/>
        <v>-0.12676975994225434</v>
      </c>
      <c r="AK129" s="585">
        <f t="shared" si="2"/>
        <v>-1.1538267600428032</v>
      </c>
      <c r="AL129" s="585">
        <f t="shared" si="2"/>
        <v>-1.1538267600428032</v>
      </c>
      <c r="AM129" s="585">
        <f t="shared" si="2"/>
        <v>-0.12495183795455467</v>
      </c>
      <c r="AN129" s="585">
        <f t="shared" si="2"/>
        <v>-0.12495183795455467</v>
      </c>
      <c r="AO129" s="585">
        <f t="shared" si="2"/>
        <v>-1.1372804871932407</v>
      </c>
      <c r="AP129" s="585">
        <f t="shared" si="2"/>
        <v>-1.1372804871932407</v>
      </c>
      <c r="AQ129" s="571"/>
      <c r="AR129" s="571"/>
    </row>
    <row r="130" spans="4:44" x14ac:dyDescent="0.25">
      <c r="F130" s="66" t="s">
        <v>45</v>
      </c>
      <c r="G130" s="90" t="s">
        <v>201</v>
      </c>
      <c r="H130" s="572"/>
      <c r="I130" s="572"/>
      <c r="J130" s="585">
        <f t="shared" ref="J130:AP130" si="3">J25 * (1 - J$114)</f>
        <v>7.737134026844053E-2</v>
      </c>
      <c r="K130" s="585">
        <f t="shared" si="3"/>
        <v>0.1005740436450991</v>
      </c>
      <c r="L130" s="585">
        <f t="shared" si="3"/>
        <v>4.942364159190667E-3</v>
      </c>
      <c r="M130" s="585">
        <f t="shared" si="3"/>
        <v>6.5153551737409734E-2</v>
      </c>
      <c r="N130" s="585">
        <f t="shared" si="3"/>
        <v>0.10722925916898739</v>
      </c>
      <c r="O130" s="585">
        <f t="shared" si="3"/>
        <v>1.2802175154911385E-2</v>
      </c>
      <c r="P130" s="585">
        <f t="shared" si="3"/>
        <v>5.3180598255673658E-2</v>
      </c>
      <c r="Q130" s="585">
        <f t="shared" si="3"/>
        <v>4.7733714367727692E-2</v>
      </c>
      <c r="R130" s="585">
        <f t="shared" si="3"/>
        <v>5.1771476141382548E-2</v>
      </c>
      <c r="S130" s="585">
        <f t="shared" si="3"/>
        <v>0.50529476159768771</v>
      </c>
      <c r="T130" s="585">
        <f t="shared" si="3"/>
        <v>0.53325980084884217</v>
      </c>
      <c r="U130" s="585">
        <f t="shared" si="3"/>
        <v>0.39853145407021562</v>
      </c>
      <c r="V130" s="585">
        <f t="shared" si="3"/>
        <v>0.37015445878104997</v>
      </c>
      <c r="W130" s="585">
        <f t="shared" si="3"/>
        <v>0.33189265236907811</v>
      </c>
      <c r="X130" s="585">
        <f t="shared" si="3"/>
        <v>3.4441498467135206E-2</v>
      </c>
      <c r="Y130" s="585">
        <f t="shared" si="3"/>
        <v>4.4019050662108879E-2</v>
      </c>
      <c r="Z130" s="585">
        <f t="shared" si="3"/>
        <v>8.3647260926148367E-2</v>
      </c>
      <c r="AA130" s="585">
        <f t="shared" si="3"/>
        <v>2.9009636625438241E-2</v>
      </c>
      <c r="AB130" s="585">
        <f t="shared" si="3"/>
        <v>0.69180318225655324</v>
      </c>
      <c r="AC130" s="585">
        <f t="shared" si="3"/>
        <v>-3.6730841441871644E-2</v>
      </c>
      <c r="AD130" s="585">
        <f t="shared" si="3"/>
        <v>-3.5280496003854682E-2</v>
      </c>
      <c r="AE130" s="585">
        <f t="shared" si="3"/>
        <v>-3.6730841441871644E-2</v>
      </c>
      <c r="AF130" s="585">
        <f t="shared" si="3"/>
        <v>-3.6730841441871644E-2</v>
      </c>
      <c r="AG130" s="585">
        <f t="shared" si="3"/>
        <v>-0.33431496434028057</v>
      </c>
      <c r="AH130" s="585">
        <f t="shared" si="3"/>
        <v>-0.33431496434028057</v>
      </c>
      <c r="AI130" s="585">
        <f t="shared" si="3"/>
        <v>-3.5280496003854682E-2</v>
      </c>
      <c r="AJ130" s="585">
        <f t="shared" si="3"/>
        <v>-3.5280496003854682E-2</v>
      </c>
      <c r="AK130" s="585">
        <f t="shared" si="3"/>
        <v>-0.32111428163446609</v>
      </c>
      <c r="AL130" s="585">
        <f t="shared" si="3"/>
        <v>-0.32111428163446609</v>
      </c>
      <c r="AM130" s="585">
        <f t="shared" si="3"/>
        <v>-3.4774561548732472E-2</v>
      </c>
      <c r="AN130" s="585">
        <f t="shared" si="3"/>
        <v>-3.4774561548732472E-2</v>
      </c>
      <c r="AO130" s="585">
        <f t="shared" si="3"/>
        <v>-0.31650939231848418</v>
      </c>
      <c r="AP130" s="585">
        <f t="shared" si="3"/>
        <v>-0.31650939231848418</v>
      </c>
      <c r="AQ130" s="571"/>
      <c r="AR130" s="571"/>
    </row>
    <row r="131" spans="4:44" x14ac:dyDescent="0.25">
      <c r="F131" s="66" t="s">
        <v>46</v>
      </c>
      <c r="G131" s="90" t="s">
        <v>201</v>
      </c>
      <c r="H131" s="572"/>
      <c r="I131" s="572"/>
      <c r="J131" s="585">
        <f t="shared" ref="J131:AP131" si="4">J26 * (1 - J$115)</f>
        <v>0.17610043674895778</v>
      </c>
      <c r="K131" s="585">
        <f t="shared" si="4"/>
        <v>0.22646804302622184</v>
      </c>
      <c r="L131" s="585">
        <f t="shared" si="4"/>
        <v>2.0646777707008779E-2</v>
      </c>
      <c r="M131" s="585">
        <f t="shared" si="4"/>
        <v>0.15758344469698776</v>
      </c>
      <c r="N131" s="585">
        <f t="shared" si="4"/>
        <v>0.24797970566064548</v>
      </c>
      <c r="O131" s="585">
        <f t="shared" si="4"/>
        <v>3.5268106516932789E-2</v>
      </c>
      <c r="P131" s="585">
        <f t="shared" si="4"/>
        <v>0.12586415981457538</v>
      </c>
      <c r="Q131" s="585">
        <f t="shared" si="4"/>
        <v>0.11306103768333418</v>
      </c>
      <c r="R131" s="585">
        <f t="shared" si="4"/>
        <v>9.6666760769755264E-2</v>
      </c>
      <c r="S131" s="585">
        <f t="shared" si="4"/>
        <v>0.95028430752168003</v>
      </c>
      <c r="T131" s="585">
        <f t="shared" si="4"/>
        <v>1.0030552594466375</v>
      </c>
      <c r="U131" s="585">
        <f t="shared" si="4"/>
        <v>0.74985710000164418</v>
      </c>
      <c r="V131" s="585">
        <f t="shared" si="4"/>
        <v>0.69646434724154449</v>
      </c>
      <c r="W131" s="585">
        <f t="shared" si="4"/>
        <v>0.48836877185477584</v>
      </c>
      <c r="X131" s="585">
        <f t="shared" si="4"/>
        <v>8.1510776974315594E-2</v>
      </c>
      <c r="Y131" s="585">
        <f t="shared" si="4"/>
        <v>9.2915681167372616E-2</v>
      </c>
      <c r="Z131" s="585">
        <f t="shared" si="4"/>
        <v>0.1746892460021427</v>
      </c>
      <c r="AA131" s="585">
        <f t="shared" si="4"/>
        <v>7.7776539080073884E-2</v>
      </c>
      <c r="AB131" s="585">
        <f t="shared" si="4"/>
        <v>1.3556340444427688</v>
      </c>
      <c r="AC131" s="585">
        <f t="shared" si="4"/>
        <v>-8.7029877104692288E-2</v>
      </c>
      <c r="AD131" s="585">
        <f t="shared" si="4"/>
        <v>-8.3593435676316011E-2</v>
      </c>
      <c r="AE131" s="585">
        <f t="shared" si="4"/>
        <v>-8.7029877104692288E-2</v>
      </c>
      <c r="AF131" s="585">
        <f t="shared" si="4"/>
        <v>-8.7029877104692288E-2</v>
      </c>
      <c r="AG131" s="585">
        <f t="shared" si="4"/>
        <v>-0.62903052466013931</v>
      </c>
      <c r="AH131" s="585">
        <f t="shared" si="4"/>
        <v>-0.62903052466013931</v>
      </c>
      <c r="AI131" s="585">
        <f t="shared" si="4"/>
        <v>-8.3593435676316011E-2</v>
      </c>
      <c r="AJ131" s="585">
        <f t="shared" si="4"/>
        <v>-8.3593435676316011E-2</v>
      </c>
      <c r="AK131" s="585">
        <f t="shared" si="4"/>
        <v>-0.60419277207943578</v>
      </c>
      <c r="AL131" s="585">
        <f t="shared" si="4"/>
        <v>-0.60419277207943578</v>
      </c>
      <c r="AM131" s="585">
        <f t="shared" si="4"/>
        <v>-8.054591370685224E-2</v>
      </c>
      <c r="AN131" s="585">
        <f t="shared" si="4"/>
        <v>-8.054591370685224E-2</v>
      </c>
      <c r="AO131" s="585">
        <f t="shared" si="4"/>
        <v>-0.58216603359445485</v>
      </c>
      <c r="AP131" s="585">
        <f t="shared" si="4"/>
        <v>-0.58216603359445485</v>
      </c>
      <c r="AQ131" s="571"/>
      <c r="AR131" s="571"/>
    </row>
    <row r="132" spans="4:44" x14ac:dyDescent="0.25">
      <c r="F132" s="66" t="s">
        <v>47</v>
      </c>
      <c r="G132" s="90" t="s">
        <v>201</v>
      </c>
      <c r="H132" s="572"/>
      <c r="I132" s="572"/>
      <c r="J132" s="585">
        <f t="shared" ref="J132:AP132" si="5">J27 * (1 - J$116)</f>
        <v>0.13249888802436158</v>
      </c>
      <c r="K132" s="585">
        <f t="shared" si="5"/>
        <v>0.17039573795495003</v>
      </c>
      <c r="L132" s="585">
        <f t="shared" si="5"/>
        <v>1.553474334288402E-2</v>
      </c>
      <c r="M132" s="585">
        <f t="shared" si="5"/>
        <v>0.11856660652786784</v>
      </c>
      <c r="N132" s="585">
        <f t="shared" si="5"/>
        <v>0.18658122523275603</v>
      </c>
      <c r="O132" s="585">
        <f t="shared" si="5"/>
        <v>2.6535907476935825E-2</v>
      </c>
      <c r="P132" s="585">
        <f t="shared" si="5"/>
        <v>9.4700850977023313E-2</v>
      </c>
      <c r="Q132" s="585">
        <f t="shared" si="5"/>
        <v>8.5067715040808289E-2</v>
      </c>
      <c r="R132" s="585">
        <f t="shared" si="5"/>
        <v>0</v>
      </c>
      <c r="S132" s="585">
        <f t="shared" si="5"/>
        <v>0.71499887438165721</v>
      </c>
      <c r="T132" s="585">
        <f t="shared" si="5"/>
        <v>0.7547040141253567</v>
      </c>
      <c r="U132" s="585">
        <f t="shared" si="5"/>
        <v>0.56419639701988611</v>
      </c>
      <c r="V132" s="585">
        <f t="shared" si="5"/>
        <v>0.52402341108142447</v>
      </c>
      <c r="W132" s="585">
        <f t="shared" si="5"/>
        <v>0</v>
      </c>
      <c r="X132" s="585">
        <f t="shared" si="5"/>
        <v>6.1329134160494743E-2</v>
      </c>
      <c r="Y132" s="585">
        <f t="shared" si="5"/>
        <v>6.9910243619971293E-2</v>
      </c>
      <c r="Z132" s="585">
        <f t="shared" si="5"/>
        <v>0.13143710073867854</v>
      </c>
      <c r="AA132" s="585">
        <f t="shared" si="5"/>
        <v>5.8519474072537062E-2</v>
      </c>
      <c r="AB132" s="585">
        <f t="shared" si="5"/>
        <v>1.0199861327584006</v>
      </c>
      <c r="AC132" s="585">
        <f t="shared" si="5"/>
        <v>-6.5481733913625953E-2</v>
      </c>
      <c r="AD132" s="585">
        <f t="shared" si="5"/>
        <v>-6.2896137441370764E-2</v>
      </c>
      <c r="AE132" s="585">
        <f t="shared" si="5"/>
        <v>-6.5481733913625953E-2</v>
      </c>
      <c r="AF132" s="585">
        <f t="shared" si="5"/>
        <v>-6.5481733913625953E-2</v>
      </c>
      <c r="AG132" s="585">
        <f t="shared" si="5"/>
        <v>-0.47328585090145975</v>
      </c>
      <c r="AH132" s="585">
        <f t="shared" si="5"/>
        <v>-0.47328585090145975</v>
      </c>
      <c r="AI132" s="585">
        <f t="shared" si="5"/>
        <v>-6.2896137441370764E-2</v>
      </c>
      <c r="AJ132" s="585">
        <f t="shared" si="5"/>
        <v>-6.2896137441370764E-2</v>
      </c>
      <c r="AK132" s="585">
        <f t="shared" si="5"/>
        <v>-0.45459779618266954</v>
      </c>
      <c r="AL132" s="585">
        <f t="shared" si="5"/>
        <v>-0.45459779618266954</v>
      </c>
      <c r="AM132" s="585">
        <f t="shared" si="5"/>
        <v>-5.9326571610479932E-2</v>
      </c>
      <c r="AN132" s="585">
        <f t="shared" si="5"/>
        <v>-5.9326571610479932E-2</v>
      </c>
      <c r="AO132" s="585">
        <f t="shared" si="5"/>
        <v>-0.42879785319627284</v>
      </c>
      <c r="AP132" s="585">
        <f t="shared" si="5"/>
        <v>-0.42879785319627284</v>
      </c>
      <c r="AQ132" s="571"/>
      <c r="AR132" s="571"/>
    </row>
    <row r="133" spans="4:44" x14ac:dyDescent="0.25">
      <c r="F133" s="66" t="s">
        <v>51</v>
      </c>
      <c r="G133" s="90" t="s">
        <v>201</v>
      </c>
      <c r="H133" s="572"/>
      <c r="I133" s="572"/>
      <c r="J133" s="585">
        <f t="shared" ref="J133:AP133" si="6">J28 * (1 - J$117)</f>
        <v>0</v>
      </c>
      <c r="K133" s="585">
        <f t="shared" si="6"/>
        <v>0</v>
      </c>
      <c r="L133" s="585">
        <f t="shared" si="6"/>
        <v>0</v>
      </c>
      <c r="M133" s="585">
        <f t="shared" si="6"/>
        <v>0</v>
      </c>
      <c r="N133" s="585">
        <f t="shared" si="6"/>
        <v>0</v>
      </c>
      <c r="O133" s="585">
        <f t="shared" si="6"/>
        <v>0</v>
      </c>
      <c r="P133" s="585">
        <f t="shared" si="6"/>
        <v>0</v>
      </c>
      <c r="Q133" s="585">
        <f t="shared" si="6"/>
        <v>0</v>
      </c>
      <c r="R133" s="585">
        <f t="shared" si="6"/>
        <v>0</v>
      </c>
      <c r="S133" s="585">
        <f t="shared" si="6"/>
        <v>0</v>
      </c>
      <c r="T133" s="585">
        <f t="shared" si="6"/>
        <v>0</v>
      </c>
      <c r="U133" s="585">
        <f t="shared" si="6"/>
        <v>0</v>
      </c>
      <c r="V133" s="585">
        <f t="shared" si="6"/>
        <v>0</v>
      </c>
      <c r="W133" s="585">
        <f t="shared" si="6"/>
        <v>0</v>
      </c>
      <c r="X133" s="585">
        <f t="shared" si="6"/>
        <v>0</v>
      </c>
      <c r="Y133" s="585">
        <f t="shared" si="6"/>
        <v>0</v>
      </c>
      <c r="Z133" s="585">
        <f t="shared" si="6"/>
        <v>0</v>
      </c>
      <c r="AA133" s="585">
        <f t="shared" si="6"/>
        <v>0</v>
      </c>
      <c r="AB133" s="585">
        <f t="shared" si="6"/>
        <v>0</v>
      </c>
      <c r="AC133" s="585">
        <f t="shared" si="6"/>
        <v>0</v>
      </c>
      <c r="AD133" s="585">
        <f t="shared" si="6"/>
        <v>0</v>
      </c>
      <c r="AE133" s="585">
        <f t="shared" si="6"/>
        <v>0</v>
      </c>
      <c r="AF133" s="585">
        <f t="shared" si="6"/>
        <v>0</v>
      </c>
      <c r="AG133" s="585">
        <f t="shared" si="6"/>
        <v>0</v>
      </c>
      <c r="AH133" s="585">
        <f t="shared" si="6"/>
        <v>0</v>
      </c>
      <c r="AI133" s="585">
        <f t="shared" si="6"/>
        <v>0</v>
      </c>
      <c r="AJ133" s="585">
        <f t="shared" si="6"/>
        <v>0</v>
      </c>
      <c r="AK133" s="585">
        <f t="shared" si="6"/>
        <v>0</v>
      </c>
      <c r="AL133" s="585">
        <f t="shared" si="6"/>
        <v>0</v>
      </c>
      <c r="AM133" s="585">
        <f t="shared" si="6"/>
        <v>0</v>
      </c>
      <c r="AN133" s="585">
        <f t="shared" si="6"/>
        <v>0</v>
      </c>
      <c r="AO133" s="585">
        <f t="shared" si="6"/>
        <v>0</v>
      </c>
      <c r="AP133" s="585">
        <f t="shared" si="6"/>
        <v>0</v>
      </c>
      <c r="AQ133" s="571"/>
      <c r="AR133" s="571"/>
    </row>
    <row r="134" spans="4:44" x14ac:dyDescent="0.25">
      <c r="F134" s="66" t="s">
        <v>48</v>
      </c>
      <c r="G134" s="90" t="s">
        <v>201</v>
      </c>
      <c r="H134" s="572"/>
      <c r="I134" s="572"/>
      <c r="J134" s="585">
        <f t="shared" ref="J134:AP134" si="7">J29 * (1 - J$118)</f>
        <v>0.27558688971647699</v>
      </c>
      <c r="K134" s="585">
        <f t="shared" si="7"/>
        <v>0.34876341650500592</v>
      </c>
      <c r="L134" s="585">
        <f t="shared" si="7"/>
        <v>5.377616053907381E-2</v>
      </c>
      <c r="M134" s="585">
        <f t="shared" si="7"/>
        <v>0.26747145645220599</v>
      </c>
      <c r="N134" s="585">
        <f t="shared" si="7"/>
        <v>0.39665981470075778</v>
      </c>
      <c r="O134" s="585">
        <f t="shared" si="7"/>
        <v>6.928807912843786E-2</v>
      </c>
      <c r="P134" s="585">
        <f t="shared" si="7"/>
        <v>0.20779095259491279</v>
      </c>
      <c r="Q134" s="585">
        <f t="shared" si="7"/>
        <v>0.18679526108423536</v>
      </c>
      <c r="R134" s="585">
        <f t="shared" si="7"/>
        <v>0</v>
      </c>
      <c r="S134" s="585">
        <f t="shared" si="7"/>
        <v>1.037664234938382</v>
      </c>
      <c r="T134" s="585">
        <f t="shared" si="7"/>
        <v>1.0956352718945557</v>
      </c>
      <c r="U134" s="585">
        <f t="shared" si="7"/>
        <v>0.65549435424648284</v>
      </c>
      <c r="V134" s="585">
        <f t="shared" si="7"/>
        <v>0</v>
      </c>
      <c r="W134" s="585">
        <f t="shared" si="7"/>
        <v>0</v>
      </c>
      <c r="X134" s="585">
        <f t="shared" si="7"/>
        <v>0.13458263765752451</v>
      </c>
      <c r="Y134" s="585">
        <f t="shared" si="7"/>
        <v>0.11809203284378356</v>
      </c>
      <c r="Z134" s="585">
        <f t="shared" si="7"/>
        <v>0.21709100190420111</v>
      </c>
      <c r="AA134" s="585">
        <f t="shared" si="7"/>
        <v>0.15715524974907349</v>
      </c>
      <c r="AB134" s="585">
        <f t="shared" si="7"/>
        <v>1.3785779809901166</v>
      </c>
      <c r="AC134" s="585">
        <f t="shared" si="7"/>
        <v>-0.14400413630519657</v>
      </c>
      <c r="AD134" s="585">
        <f t="shared" si="7"/>
        <v>-0.13831802256679121</v>
      </c>
      <c r="AE134" s="585">
        <f t="shared" si="7"/>
        <v>-0.14400413630519657</v>
      </c>
      <c r="AF134" s="585">
        <f t="shared" si="7"/>
        <v>-0.14400413630519657</v>
      </c>
      <c r="AG134" s="585">
        <f t="shared" si="7"/>
        <v>-0.68734089062189363</v>
      </c>
      <c r="AH134" s="585">
        <f t="shared" si="7"/>
        <v>-0.68734089062189363</v>
      </c>
      <c r="AI134" s="585">
        <f t="shared" si="7"/>
        <v>-0.13831802256679121</v>
      </c>
      <c r="AJ134" s="585">
        <f t="shared" si="7"/>
        <v>-0.13831802256679121</v>
      </c>
      <c r="AK134" s="585">
        <f t="shared" si="7"/>
        <v>-0.66020070853122192</v>
      </c>
      <c r="AL134" s="585">
        <f t="shared" si="7"/>
        <v>-0.66020070853122192</v>
      </c>
      <c r="AM134" s="585">
        <f t="shared" si="7"/>
        <v>0</v>
      </c>
      <c r="AN134" s="585">
        <f t="shared" si="7"/>
        <v>0</v>
      </c>
      <c r="AO134" s="585">
        <f t="shared" si="7"/>
        <v>0</v>
      </c>
      <c r="AP134" s="585">
        <f t="shared" si="7"/>
        <v>0</v>
      </c>
      <c r="AQ134" s="571"/>
      <c r="AR134" s="571"/>
    </row>
    <row r="135" spans="4:44" x14ac:dyDescent="0.25">
      <c r="F135" s="66" t="s">
        <v>49</v>
      </c>
      <c r="G135" s="90" t="s">
        <v>201</v>
      </c>
      <c r="H135" s="572"/>
      <c r="I135" s="572"/>
      <c r="J135" s="585">
        <f t="shared" ref="J135:AP135" si="8">J30 * (1 - J$119)</f>
        <v>7.9386902435414033E-2</v>
      </c>
      <c r="K135" s="585">
        <f t="shared" si="8"/>
        <v>0.10046648934428315</v>
      </c>
      <c r="L135" s="585">
        <f t="shared" si="8"/>
        <v>1.5491022865632965E-2</v>
      </c>
      <c r="M135" s="585">
        <f t="shared" si="8"/>
        <v>7.7049131181365624E-2</v>
      </c>
      <c r="N135" s="585">
        <f t="shared" si="8"/>
        <v>0.11426375921617632</v>
      </c>
      <c r="O135" s="585">
        <f t="shared" si="8"/>
        <v>1.9959461726809687E-2</v>
      </c>
      <c r="P135" s="585">
        <f t="shared" si="8"/>
        <v>5.9857274406576448E-2</v>
      </c>
      <c r="Q135" s="585">
        <f t="shared" si="8"/>
        <v>0</v>
      </c>
      <c r="R135" s="585">
        <f t="shared" si="8"/>
        <v>0</v>
      </c>
      <c r="S135" s="585">
        <f t="shared" si="8"/>
        <v>0.29891461623780813</v>
      </c>
      <c r="T135" s="585">
        <f t="shared" si="8"/>
        <v>0.31561403564652607</v>
      </c>
      <c r="U135" s="585">
        <f t="shared" si="8"/>
        <v>0</v>
      </c>
      <c r="V135" s="585">
        <f t="shared" si="8"/>
        <v>0</v>
      </c>
      <c r="W135" s="585">
        <f t="shared" si="8"/>
        <v>0</v>
      </c>
      <c r="X135" s="585">
        <f t="shared" si="8"/>
        <v>3.8768530448637623E-2</v>
      </c>
      <c r="Y135" s="585">
        <f t="shared" si="8"/>
        <v>3.4018166464355716E-2</v>
      </c>
      <c r="Z135" s="585">
        <f t="shared" si="8"/>
        <v>6.2536291931396218E-2</v>
      </c>
      <c r="AA135" s="585">
        <f t="shared" si="8"/>
        <v>4.5270907088062737E-2</v>
      </c>
      <c r="AB135" s="585">
        <f t="shared" si="8"/>
        <v>0.39711989125848868</v>
      </c>
      <c r="AC135" s="585">
        <f t="shared" si="8"/>
        <v>-4.1482533261716317E-2</v>
      </c>
      <c r="AD135" s="585">
        <f t="shared" si="8"/>
        <v>0</v>
      </c>
      <c r="AE135" s="585">
        <f t="shared" si="8"/>
        <v>-4.1482533261716317E-2</v>
      </c>
      <c r="AF135" s="585">
        <f t="shared" si="8"/>
        <v>-4.1482533261716317E-2</v>
      </c>
      <c r="AG135" s="585">
        <f t="shared" si="8"/>
        <v>-0.19799876648634504</v>
      </c>
      <c r="AH135" s="585">
        <f t="shared" si="8"/>
        <v>-0.19799876648634504</v>
      </c>
      <c r="AI135" s="585">
        <f t="shared" si="8"/>
        <v>0</v>
      </c>
      <c r="AJ135" s="585">
        <f t="shared" si="8"/>
        <v>0</v>
      </c>
      <c r="AK135" s="585">
        <f t="shared" si="8"/>
        <v>0</v>
      </c>
      <c r="AL135" s="585">
        <f t="shared" si="8"/>
        <v>0</v>
      </c>
      <c r="AM135" s="585">
        <f t="shared" si="8"/>
        <v>0</v>
      </c>
      <c r="AN135" s="585">
        <f t="shared" si="8"/>
        <v>0</v>
      </c>
      <c r="AO135" s="585">
        <f t="shared" si="8"/>
        <v>0</v>
      </c>
      <c r="AP135" s="585">
        <f t="shared" si="8"/>
        <v>0</v>
      </c>
      <c r="AQ135" s="571"/>
      <c r="AR135" s="571"/>
    </row>
    <row r="136" spans="4:44" x14ac:dyDescent="0.25">
      <c r="F136" s="66" t="s">
        <v>50</v>
      </c>
      <c r="G136" s="90" t="s">
        <v>201</v>
      </c>
      <c r="H136" s="572"/>
      <c r="I136" s="572"/>
      <c r="J136" s="585">
        <f t="shared" ref="J136:AP136" si="9">J31 * (1 - J$120)</f>
        <v>0</v>
      </c>
      <c r="K136" s="585">
        <f t="shared" si="9"/>
        <v>0</v>
      </c>
      <c r="L136" s="585">
        <f t="shared" si="9"/>
        <v>0</v>
      </c>
      <c r="M136" s="585">
        <f t="shared" si="9"/>
        <v>0</v>
      </c>
      <c r="N136" s="585">
        <f t="shared" si="9"/>
        <v>0</v>
      </c>
      <c r="O136" s="585">
        <f t="shared" si="9"/>
        <v>0</v>
      </c>
      <c r="P136" s="585">
        <f t="shared" si="9"/>
        <v>0</v>
      </c>
      <c r="Q136" s="585">
        <f t="shared" si="9"/>
        <v>0</v>
      </c>
      <c r="R136" s="585">
        <f t="shared" si="9"/>
        <v>0</v>
      </c>
      <c r="S136" s="585">
        <f t="shared" si="9"/>
        <v>0</v>
      </c>
      <c r="T136" s="585">
        <f t="shared" si="9"/>
        <v>0</v>
      </c>
      <c r="U136" s="585">
        <f t="shared" si="9"/>
        <v>0</v>
      </c>
      <c r="V136" s="585">
        <f t="shared" si="9"/>
        <v>0</v>
      </c>
      <c r="W136" s="585">
        <f t="shared" si="9"/>
        <v>0</v>
      </c>
      <c r="X136" s="585">
        <f t="shared" si="9"/>
        <v>5.3275655840349379E-3</v>
      </c>
      <c r="Y136" s="585">
        <f t="shared" si="9"/>
        <v>4.67477128460106E-3</v>
      </c>
      <c r="Z136" s="585">
        <f t="shared" si="9"/>
        <v>8.5937277681510903E-3</v>
      </c>
      <c r="AA136" s="585">
        <f t="shared" si="9"/>
        <v>6.2211211972539931E-3</v>
      </c>
      <c r="AB136" s="585">
        <f t="shared" si="9"/>
        <v>5.4572155326015684E-2</v>
      </c>
      <c r="AC136" s="585">
        <f t="shared" si="9"/>
        <v>0</v>
      </c>
      <c r="AD136" s="585">
        <f t="shared" si="9"/>
        <v>0</v>
      </c>
      <c r="AE136" s="585">
        <f t="shared" si="9"/>
        <v>0</v>
      </c>
      <c r="AF136" s="585">
        <f t="shared" si="9"/>
        <v>0</v>
      </c>
      <c r="AG136" s="585">
        <f t="shared" si="9"/>
        <v>0</v>
      </c>
      <c r="AH136" s="585">
        <f t="shared" si="9"/>
        <v>0</v>
      </c>
      <c r="AI136" s="585">
        <f t="shared" si="9"/>
        <v>0</v>
      </c>
      <c r="AJ136" s="585">
        <f t="shared" si="9"/>
        <v>0</v>
      </c>
      <c r="AK136" s="585">
        <f t="shared" si="9"/>
        <v>0</v>
      </c>
      <c r="AL136" s="585">
        <f t="shared" si="9"/>
        <v>0</v>
      </c>
      <c r="AM136" s="585">
        <f t="shared" si="9"/>
        <v>0</v>
      </c>
      <c r="AN136" s="585">
        <f t="shared" si="9"/>
        <v>0</v>
      </c>
      <c r="AO136" s="585">
        <f t="shared" si="9"/>
        <v>0</v>
      </c>
      <c r="AP136" s="585">
        <f t="shared" si="9"/>
        <v>0</v>
      </c>
      <c r="AQ136" s="571"/>
      <c r="AR136" s="571"/>
    </row>
    <row r="137" spans="4:44" s="131" customFormat="1" x14ac:dyDescent="0.25">
      <c r="E137" s="175"/>
      <c r="F137" s="72" t="s">
        <v>141</v>
      </c>
      <c r="G137" s="137" t="s">
        <v>201</v>
      </c>
      <c r="H137" s="569"/>
      <c r="I137" s="569"/>
      <c r="J137" s="583"/>
      <c r="K137" s="583"/>
      <c r="L137" s="583"/>
      <c r="M137" s="583"/>
      <c r="N137" s="583"/>
      <c r="O137" s="583"/>
      <c r="P137" s="583"/>
      <c r="Q137" s="583"/>
      <c r="R137" s="583"/>
      <c r="S137" s="583"/>
      <c r="T137" s="583"/>
      <c r="U137" s="583"/>
      <c r="V137" s="583"/>
      <c r="W137" s="583"/>
      <c r="X137" s="583"/>
      <c r="Y137" s="583"/>
      <c r="Z137" s="583"/>
      <c r="AA137" s="583"/>
      <c r="AB137" s="583"/>
      <c r="AC137" s="583"/>
      <c r="AD137" s="583"/>
      <c r="AE137" s="583"/>
      <c r="AF137" s="583"/>
      <c r="AG137" s="583"/>
      <c r="AH137" s="583"/>
      <c r="AI137" s="583"/>
      <c r="AJ137" s="583"/>
      <c r="AK137" s="583"/>
      <c r="AL137" s="583"/>
      <c r="AM137" s="583"/>
      <c r="AN137" s="583"/>
      <c r="AO137" s="583"/>
      <c r="AP137" s="583"/>
      <c r="AQ137" s="571"/>
      <c r="AR137" s="571"/>
    </row>
    <row r="138" spans="4:44" s="131" customFormat="1" x14ac:dyDescent="0.25">
      <c r="E138" s="175"/>
      <c r="F138" s="67" t="s">
        <v>140</v>
      </c>
      <c r="G138" s="140" t="s">
        <v>201</v>
      </c>
      <c r="H138" s="574"/>
      <c r="I138" s="574"/>
      <c r="J138" s="579"/>
      <c r="K138" s="579"/>
      <c r="L138" s="579"/>
      <c r="M138" s="579"/>
      <c r="N138" s="579"/>
      <c r="O138" s="579"/>
      <c r="P138" s="579"/>
      <c r="Q138" s="579"/>
      <c r="R138" s="579"/>
      <c r="S138" s="579"/>
      <c r="T138" s="579"/>
      <c r="U138" s="579"/>
      <c r="V138" s="579"/>
      <c r="W138" s="579"/>
      <c r="X138" s="579"/>
      <c r="Y138" s="579"/>
      <c r="Z138" s="579"/>
      <c r="AA138" s="579"/>
      <c r="AB138" s="579"/>
      <c r="AC138" s="579"/>
      <c r="AD138" s="579"/>
      <c r="AE138" s="579"/>
      <c r="AF138" s="579"/>
      <c r="AG138" s="579"/>
      <c r="AH138" s="579"/>
      <c r="AI138" s="579"/>
      <c r="AJ138" s="579"/>
      <c r="AK138" s="579"/>
      <c r="AL138" s="579"/>
      <c r="AM138" s="579"/>
      <c r="AN138" s="579"/>
      <c r="AO138" s="579"/>
      <c r="AP138" s="579"/>
      <c r="AQ138" s="571"/>
      <c r="AR138" s="571"/>
    </row>
    <row r="139" spans="4:44" s="160" customFormat="1" x14ac:dyDescent="0.25">
      <c r="D139" s="175"/>
      <c r="E139" s="176"/>
      <c r="F139" s="176"/>
      <c r="G139" s="167"/>
      <c r="H139" s="167"/>
      <c r="J139" s="416"/>
      <c r="K139" s="416"/>
      <c r="L139" s="416"/>
      <c r="M139" s="416"/>
      <c r="N139" s="416"/>
      <c r="O139" s="416"/>
      <c r="P139" s="416"/>
      <c r="Q139" s="416"/>
      <c r="R139" s="416"/>
      <c r="S139" s="416"/>
      <c r="T139" s="416"/>
      <c r="U139" s="416"/>
      <c r="V139" s="416"/>
      <c r="W139" s="416"/>
      <c r="X139" s="416"/>
      <c r="Y139" s="416"/>
      <c r="Z139" s="416"/>
      <c r="AA139" s="416"/>
      <c r="AB139" s="416"/>
      <c r="AC139" s="416"/>
      <c r="AD139" s="416"/>
      <c r="AE139" s="416"/>
      <c r="AF139" s="416"/>
      <c r="AG139" s="416"/>
      <c r="AH139" s="416"/>
      <c r="AI139" s="416"/>
      <c r="AJ139" s="416"/>
      <c r="AK139" s="416"/>
      <c r="AL139" s="416"/>
      <c r="AM139" s="416"/>
      <c r="AN139" s="416"/>
      <c r="AO139" s="416"/>
      <c r="AP139" s="416"/>
    </row>
    <row r="140" spans="4:44" x14ac:dyDescent="0.25">
      <c r="E140" s="172" t="s">
        <v>133</v>
      </c>
      <c r="F140" s="117"/>
      <c r="J140" s="416"/>
      <c r="K140" s="416"/>
      <c r="L140" s="416"/>
      <c r="M140" s="416"/>
      <c r="N140" s="416"/>
      <c r="O140" s="416"/>
      <c r="P140" s="416"/>
      <c r="Q140" s="416"/>
      <c r="R140" s="416"/>
      <c r="S140" s="416"/>
      <c r="T140" s="416"/>
      <c r="U140" s="416"/>
      <c r="V140" s="416"/>
      <c r="W140" s="416"/>
      <c r="X140" s="416"/>
      <c r="Y140" s="416"/>
      <c r="Z140" s="416"/>
      <c r="AA140" s="416"/>
      <c r="AB140" s="416"/>
      <c r="AC140" s="416"/>
      <c r="AD140" s="416"/>
      <c r="AE140" s="416"/>
      <c r="AF140" s="416"/>
      <c r="AG140" s="416"/>
      <c r="AH140" s="416"/>
      <c r="AI140" s="416"/>
      <c r="AJ140" s="416"/>
      <c r="AK140" s="416"/>
      <c r="AL140" s="416"/>
      <c r="AM140" s="416"/>
      <c r="AN140" s="416"/>
      <c r="AO140" s="416"/>
      <c r="AP140" s="416"/>
    </row>
    <row r="141" spans="4:44" x14ac:dyDescent="0.25">
      <c r="F141" s="72" t="s">
        <v>397</v>
      </c>
      <c r="G141" s="13" t="s">
        <v>201</v>
      </c>
      <c r="H141" s="569"/>
      <c r="I141" s="569"/>
      <c r="J141" s="584">
        <f t="shared" ref="J141:AP141" si="10">J36 * (1 - J$112)</f>
        <v>8.2026986347881137E-2</v>
      </c>
      <c r="K141" s="584">
        <f t="shared" si="10"/>
        <v>0.10698619951931665</v>
      </c>
      <c r="L141" s="584">
        <f t="shared" si="10"/>
        <v>3.7595251627282299E-3</v>
      </c>
      <c r="M141" s="584">
        <f t="shared" si="10"/>
        <v>6.7477887439189782E-2</v>
      </c>
      <c r="N141" s="584">
        <f t="shared" si="10"/>
        <v>0.11293170740233632</v>
      </c>
      <c r="O141" s="584">
        <f t="shared" si="10"/>
        <v>1.2639591601829038E-2</v>
      </c>
      <c r="P141" s="584">
        <f t="shared" si="10"/>
        <v>5.5549005790324943E-2</v>
      </c>
      <c r="Q141" s="584">
        <f t="shared" si="10"/>
        <v>4.9826301129215607E-2</v>
      </c>
      <c r="R141" s="584">
        <f t="shared" si="10"/>
        <v>5.39016209590054E-2</v>
      </c>
      <c r="S141" s="584">
        <f t="shared" si="10"/>
        <v>0.56953004283150244</v>
      </c>
      <c r="T141" s="584">
        <f t="shared" si="10"/>
        <v>0.60102605169893852</v>
      </c>
      <c r="U141" s="584">
        <f t="shared" si="10"/>
        <v>0.44911738479164182</v>
      </c>
      <c r="V141" s="584">
        <f t="shared" si="10"/>
        <v>0.41713847376127333</v>
      </c>
      <c r="W141" s="584">
        <f t="shared" si="10"/>
        <v>0.3740200642664952</v>
      </c>
      <c r="X141" s="584">
        <f t="shared" si="10"/>
        <v>3.5973277734694893E-2</v>
      </c>
      <c r="Y141" s="584">
        <f t="shared" si="10"/>
        <v>4.2467234304217234E-2</v>
      </c>
      <c r="Z141" s="584">
        <f t="shared" si="10"/>
        <v>8.0992756135168001E-2</v>
      </c>
      <c r="AA141" s="584">
        <f t="shared" si="10"/>
        <v>3.3211703837305769E-2</v>
      </c>
      <c r="AB141" s="584">
        <f t="shared" si="10"/>
        <v>0.64728711581146947</v>
      </c>
      <c r="AC141" s="584">
        <f t="shared" si="10"/>
        <v>-3.8391687562549633E-2</v>
      </c>
      <c r="AD141" s="584">
        <f t="shared" si="10"/>
        <v>-3.6875762341989825E-2</v>
      </c>
      <c r="AE141" s="584">
        <f t="shared" si="10"/>
        <v>-3.8391687562549633E-2</v>
      </c>
      <c r="AF141" s="584">
        <f t="shared" si="10"/>
        <v>-3.8391687562549633E-2</v>
      </c>
      <c r="AG141" s="584">
        <f t="shared" si="10"/>
        <v>-0.37674984232176584</v>
      </c>
      <c r="AH141" s="584">
        <f t="shared" si="10"/>
        <v>-0.37674984232176584</v>
      </c>
      <c r="AI141" s="584">
        <f t="shared" si="10"/>
        <v>-3.6875762341989825E-2</v>
      </c>
      <c r="AJ141" s="584">
        <f t="shared" si="10"/>
        <v>-3.6875762341989825E-2</v>
      </c>
      <c r="AK141" s="584">
        <f t="shared" si="10"/>
        <v>-0.36187358592154922</v>
      </c>
      <c r="AL141" s="584">
        <f t="shared" si="10"/>
        <v>-0.36187358592154922</v>
      </c>
      <c r="AM141" s="584">
        <f t="shared" si="10"/>
        <v>-3.6346951218538717E-2</v>
      </c>
      <c r="AN141" s="584">
        <f t="shared" si="10"/>
        <v>-3.6346951218538717E-2</v>
      </c>
      <c r="AO141" s="584">
        <f t="shared" si="10"/>
        <v>-0.35668419415403174</v>
      </c>
      <c r="AP141" s="584">
        <f t="shared" si="10"/>
        <v>-0.35668419415403174</v>
      </c>
      <c r="AQ141" s="571"/>
      <c r="AR141" s="571"/>
    </row>
    <row r="142" spans="4:44" x14ac:dyDescent="0.25">
      <c r="F142" s="66" t="s">
        <v>43</v>
      </c>
      <c r="G142" s="90" t="s">
        <v>201</v>
      </c>
      <c r="H142" s="572"/>
      <c r="I142" s="572"/>
      <c r="J142" s="585">
        <f t="shared" ref="J142:AP142" si="11">J37 * (1 - J$112)</f>
        <v>0</v>
      </c>
      <c r="K142" s="585">
        <f t="shared" si="11"/>
        <v>0</v>
      </c>
      <c r="L142" s="585">
        <f t="shared" si="11"/>
        <v>0</v>
      </c>
      <c r="M142" s="585">
        <f t="shared" si="11"/>
        <v>0</v>
      </c>
      <c r="N142" s="585">
        <f t="shared" si="11"/>
        <v>0</v>
      </c>
      <c r="O142" s="585">
        <f t="shared" si="11"/>
        <v>0</v>
      </c>
      <c r="P142" s="585">
        <f t="shared" si="11"/>
        <v>0</v>
      </c>
      <c r="Q142" s="585">
        <f t="shared" si="11"/>
        <v>0</v>
      </c>
      <c r="R142" s="585">
        <f t="shared" si="11"/>
        <v>0</v>
      </c>
      <c r="S142" s="585">
        <f t="shared" si="11"/>
        <v>0</v>
      </c>
      <c r="T142" s="585">
        <f t="shared" si="11"/>
        <v>0</v>
      </c>
      <c r="U142" s="585">
        <f t="shared" si="11"/>
        <v>0</v>
      </c>
      <c r="V142" s="585">
        <f t="shared" si="11"/>
        <v>0</v>
      </c>
      <c r="W142" s="585">
        <f t="shared" si="11"/>
        <v>0</v>
      </c>
      <c r="X142" s="585">
        <f t="shared" si="11"/>
        <v>0</v>
      </c>
      <c r="Y142" s="585">
        <f t="shared" si="11"/>
        <v>0</v>
      </c>
      <c r="Z142" s="585">
        <f t="shared" si="11"/>
        <v>0</v>
      </c>
      <c r="AA142" s="585">
        <f t="shared" si="11"/>
        <v>0</v>
      </c>
      <c r="AB142" s="585">
        <f t="shared" si="11"/>
        <v>0</v>
      </c>
      <c r="AC142" s="585">
        <f t="shared" si="11"/>
        <v>0</v>
      </c>
      <c r="AD142" s="585">
        <f t="shared" si="11"/>
        <v>0</v>
      </c>
      <c r="AE142" s="585">
        <f t="shared" si="11"/>
        <v>0</v>
      </c>
      <c r="AF142" s="585">
        <f t="shared" si="11"/>
        <v>0</v>
      </c>
      <c r="AG142" s="585">
        <f t="shared" si="11"/>
        <v>0</v>
      </c>
      <c r="AH142" s="585">
        <f t="shared" si="11"/>
        <v>0</v>
      </c>
      <c r="AI142" s="585">
        <f t="shared" si="11"/>
        <v>0</v>
      </c>
      <c r="AJ142" s="585">
        <f t="shared" si="11"/>
        <v>0</v>
      </c>
      <c r="AK142" s="585">
        <f t="shared" si="11"/>
        <v>0</v>
      </c>
      <c r="AL142" s="585">
        <f t="shared" si="11"/>
        <v>0</v>
      </c>
      <c r="AM142" s="585">
        <f t="shared" si="11"/>
        <v>0</v>
      </c>
      <c r="AN142" s="585">
        <f t="shared" si="11"/>
        <v>0</v>
      </c>
      <c r="AO142" s="585">
        <f t="shared" si="11"/>
        <v>0</v>
      </c>
      <c r="AP142" s="585">
        <f t="shared" si="11"/>
        <v>0</v>
      </c>
      <c r="AQ142" s="571"/>
      <c r="AR142" s="571"/>
    </row>
    <row r="143" spans="4:44" x14ac:dyDescent="0.25">
      <c r="F143" s="66" t="s">
        <v>44</v>
      </c>
      <c r="G143" s="90" t="s">
        <v>201</v>
      </c>
      <c r="H143" s="572"/>
      <c r="I143" s="572"/>
      <c r="J143" s="585">
        <f t="shared" ref="J143:AP143" si="12">J38 * (1 - J$113)</f>
        <v>0.11234790367072831</v>
      </c>
      <c r="K143" s="585">
        <f t="shared" si="12"/>
        <v>0.14603964372353201</v>
      </c>
      <c r="L143" s="585">
        <f t="shared" si="12"/>
        <v>7.1766141123563209E-3</v>
      </c>
      <c r="M143" s="585">
        <f t="shared" si="12"/>
        <v>9.4606929762415734E-2</v>
      </c>
      <c r="N143" s="585">
        <f t="shared" si="12"/>
        <v>0.15570342245596167</v>
      </c>
      <c r="O143" s="585">
        <f t="shared" si="12"/>
        <v>1.8589538918281499E-2</v>
      </c>
      <c r="P143" s="585">
        <f t="shared" si="12"/>
        <v>7.7221471274127526E-2</v>
      </c>
      <c r="Q143" s="585">
        <f t="shared" si="12"/>
        <v>6.9312263753287862E-2</v>
      </c>
      <c r="R143" s="585">
        <f t="shared" si="12"/>
        <v>7.5175340045078032E-2</v>
      </c>
      <c r="S143" s="585">
        <f t="shared" si="12"/>
        <v>0.73371880342696394</v>
      </c>
      <c r="T143" s="585">
        <f t="shared" si="12"/>
        <v>0.77432574554579336</v>
      </c>
      <c r="U143" s="585">
        <f t="shared" si="12"/>
        <v>0.57869197116518201</v>
      </c>
      <c r="V143" s="585">
        <f t="shared" si="12"/>
        <v>0.53748684376076117</v>
      </c>
      <c r="W143" s="585">
        <f t="shared" si="12"/>
        <v>0.48192836789455379</v>
      </c>
      <c r="X143" s="585">
        <f t="shared" si="12"/>
        <v>5.0011155792780926E-2</v>
      </c>
      <c r="Y143" s="585">
        <f t="shared" si="12"/>
        <v>6.3918345556704101E-2</v>
      </c>
      <c r="Z143" s="585">
        <f t="shared" si="12"/>
        <v>0.12146092313053074</v>
      </c>
      <c r="AA143" s="585">
        <f t="shared" si="12"/>
        <v>4.2123761199041432E-2</v>
      </c>
      <c r="AB143" s="585">
        <f t="shared" si="12"/>
        <v>1.004540402293707</v>
      </c>
      <c r="AC143" s="585">
        <f t="shared" si="12"/>
        <v>-5.3335421381338399E-2</v>
      </c>
      <c r="AD143" s="585">
        <f t="shared" si="12"/>
        <v>-5.1229431372708883E-2</v>
      </c>
      <c r="AE143" s="585">
        <f t="shared" si="12"/>
        <v>-5.3335421381338399E-2</v>
      </c>
      <c r="AF143" s="585">
        <f t="shared" si="12"/>
        <v>-5.3335421381338399E-2</v>
      </c>
      <c r="AG143" s="585">
        <f t="shared" si="12"/>
        <v>-0.48544571257356423</v>
      </c>
      <c r="AH143" s="585">
        <f t="shared" si="12"/>
        <v>-0.48544571257356423</v>
      </c>
      <c r="AI143" s="585">
        <f t="shared" si="12"/>
        <v>-5.1229431372708883E-2</v>
      </c>
      <c r="AJ143" s="585">
        <f t="shared" si="12"/>
        <v>-5.1229431372708883E-2</v>
      </c>
      <c r="AK143" s="585">
        <f t="shared" si="12"/>
        <v>-0.46627751639297366</v>
      </c>
      <c r="AL143" s="585">
        <f t="shared" si="12"/>
        <v>-0.46627751639297366</v>
      </c>
      <c r="AM143" s="585">
        <f t="shared" si="12"/>
        <v>-5.0494783695279974E-2</v>
      </c>
      <c r="AN143" s="585">
        <f t="shared" si="12"/>
        <v>-5.0494783695279974E-2</v>
      </c>
      <c r="AO143" s="585">
        <f t="shared" si="12"/>
        <v>-0.45959093632997683</v>
      </c>
      <c r="AP143" s="585">
        <f t="shared" si="12"/>
        <v>-0.45959093632997683</v>
      </c>
      <c r="AQ143" s="571"/>
      <c r="AR143" s="571"/>
    </row>
    <row r="144" spans="4:44" x14ac:dyDescent="0.25">
      <c r="F144" s="66" t="s">
        <v>45</v>
      </c>
      <c r="G144" s="90" t="s">
        <v>201</v>
      </c>
      <c r="H144" s="572"/>
      <c r="I144" s="572"/>
      <c r="J144" s="585">
        <f t="shared" ref="J144:AP144" si="13">J39 * (1 - J$114)</f>
        <v>3.126683972819784E-2</v>
      </c>
      <c r="K144" s="585">
        <f t="shared" si="13"/>
        <v>4.0643376378873101E-2</v>
      </c>
      <c r="L144" s="585">
        <f t="shared" si="13"/>
        <v>1.9972784174043441E-3</v>
      </c>
      <c r="M144" s="585">
        <f t="shared" si="13"/>
        <v>2.6329460661125188E-2</v>
      </c>
      <c r="N144" s="585">
        <f t="shared" si="13"/>
        <v>4.3332841966777703E-2</v>
      </c>
      <c r="O144" s="585">
        <f t="shared" si="13"/>
        <v>5.1735378675378165E-3</v>
      </c>
      <c r="P144" s="585">
        <f t="shared" si="13"/>
        <v>2.149102285860326E-2</v>
      </c>
      <c r="Q144" s="585">
        <f t="shared" si="13"/>
        <v>1.9289860969050505E-2</v>
      </c>
      <c r="R144" s="585">
        <f t="shared" si="13"/>
        <v>2.0921576922263818E-2</v>
      </c>
      <c r="S144" s="585">
        <f t="shared" si="13"/>
        <v>0.20419667374971376</v>
      </c>
      <c r="T144" s="585">
        <f t="shared" si="13"/>
        <v>0.21549773687237575</v>
      </c>
      <c r="U144" s="585">
        <f t="shared" si="13"/>
        <v>0.16105212935211091</v>
      </c>
      <c r="V144" s="585">
        <f t="shared" si="13"/>
        <v>0.14958458903814176</v>
      </c>
      <c r="W144" s="585">
        <f t="shared" si="13"/>
        <v>0.13412245842693876</v>
      </c>
      <c r="X144" s="585">
        <f t="shared" si="13"/>
        <v>1.3918290788742382E-2</v>
      </c>
      <c r="Y144" s="585">
        <f t="shared" si="13"/>
        <v>1.7788713459846599E-2</v>
      </c>
      <c r="Z144" s="585">
        <f t="shared" si="13"/>
        <v>3.3803026960713418E-2</v>
      </c>
      <c r="AA144" s="585">
        <f t="shared" si="13"/>
        <v>1.1723199517985E-2</v>
      </c>
      <c r="AB144" s="585">
        <f t="shared" si="13"/>
        <v>0.27956733265865225</v>
      </c>
      <c r="AC144" s="585">
        <f t="shared" si="13"/>
        <v>-1.4843446274295697E-2</v>
      </c>
      <c r="AD144" s="585">
        <f t="shared" si="13"/>
        <v>-1.4257341416816621E-2</v>
      </c>
      <c r="AE144" s="585">
        <f t="shared" si="13"/>
        <v>-1.4843446274295697E-2</v>
      </c>
      <c r="AF144" s="585">
        <f t="shared" si="13"/>
        <v>-1.4843446274295697E-2</v>
      </c>
      <c r="AG144" s="585">
        <f t="shared" si="13"/>
        <v>-0.13510134854196726</v>
      </c>
      <c r="AH144" s="585">
        <f t="shared" si="13"/>
        <v>-0.13510134854196726</v>
      </c>
      <c r="AI144" s="585">
        <f t="shared" si="13"/>
        <v>-1.4257341416816621E-2</v>
      </c>
      <c r="AJ144" s="585">
        <f t="shared" si="13"/>
        <v>-1.4257341416816621E-2</v>
      </c>
      <c r="AK144" s="585">
        <f t="shared" si="13"/>
        <v>-0.12976676820468114</v>
      </c>
      <c r="AL144" s="585">
        <f t="shared" si="13"/>
        <v>-0.12976676820468114</v>
      </c>
      <c r="AM144" s="585">
        <f t="shared" si="13"/>
        <v>-1.4052886233975081E-2</v>
      </c>
      <c r="AN144" s="585">
        <f t="shared" si="13"/>
        <v>-1.4052886233975081E-2</v>
      </c>
      <c r="AO144" s="585">
        <f t="shared" si="13"/>
        <v>-0.12790586808702317</v>
      </c>
      <c r="AP144" s="585">
        <f t="shared" si="13"/>
        <v>-0.12790586808702317</v>
      </c>
      <c r="AQ144" s="571"/>
      <c r="AR144" s="571"/>
    </row>
    <row r="145" spans="3:44" x14ac:dyDescent="0.25">
      <c r="F145" s="66" t="s">
        <v>46</v>
      </c>
      <c r="G145" s="90" t="s">
        <v>201</v>
      </c>
      <c r="H145" s="572"/>
      <c r="I145" s="572"/>
      <c r="J145" s="585">
        <f t="shared" ref="J145:AP145" si="14">J40 * (1 - J$115)</f>
        <v>7.2056009792619308E-2</v>
      </c>
      <c r="K145" s="585">
        <f t="shared" si="14"/>
        <v>9.2665207578534581E-2</v>
      </c>
      <c r="L145" s="585">
        <f t="shared" si="14"/>
        <v>8.4481585855638898E-3</v>
      </c>
      <c r="M145" s="585">
        <f t="shared" si="14"/>
        <v>6.4479307626180746E-2</v>
      </c>
      <c r="N145" s="585">
        <f t="shared" si="14"/>
        <v>0.10146725601212951</v>
      </c>
      <c r="O145" s="585">
        <f t="shared" si="14"/>
        <v>1.4430850232211533E-2</v>
      </c>
      <c r="P145" s="585">
        <f t="shared" si="14"/>
        <v>5.1500548775285877E-2</v>
      </c>
      <c r="Q145" s="585">
        <f t="shared" si="14"/>
        <v>4.6261823019142771E-2</v>
      </c>
      <c r="R145" s="585">
        <f t="shared" si="14"/>
        <v>4.0461556451712337E-2</v>
      </c>
      <c r="S145" s="585">
        <f t="shared" si="14"/>
        <v>0.38883319446940495</v>
      </c>
      <c r="T145" s="585">
        <f t="shared" si="14"/>
        <v>0.41042578276088776</v>
      </c>
      <c r="U145" s="585">
        <f t="shared" si="14"/>
        <v>0.30682326255561299</v>
      </c>
      <c r="V145" s="585">
        <f t="shared" si="14"/>
        <v>0.2849762485063454</v>
      </c>
      <c r="W145" s="585">
        <f t="shared" si="14"/>
        <v>0.20441525581601902</v>
      </c>
      <c r="X145" s="585">
        <f t="shared" si="14"/>
        <v>3.3352224743417924E-2</v>
      </c>
      <c r="Y145" s="585">
        <f t="shared" si="14"/>
        <v>3.8018833772845366E-2</v>
      </c>
      <c r="Z145" s="585">
        <f t="shared" si="14"/>
        <v>7.1478584908564541E-2</v>
      </c>
      <c r="AA145" s="585">
        <f t="shared" si="14"/>
        <v>3.1824265544435161E-2</v>
      </c>
      <c r="AB145" s="585">
        <f t="shared" si="14"/>
        <v>0.5546924345271641</v>
      </c>
      <c r="AC145" s="585">
        <f t="shared" si="14"/>
        <v>-3.5610506099118332E-2</v>
      </c>
      <c r="AD145" s="585">
        <f t="shared" si="14"/>
        <v>-3.4204397961136619E-2</v>
      </c>
      <c r="AE145" s="585">
        <f t="shared" si="14"/>
        <v>-3.5610506099118332E-2</v>
      </c>
      <c r="AF145" s="585">
        <f t="shared" si="14"/>
        <v>-3.5610506099118332E-2</v>
      </c>
      <c r="AG145" s="585">
        <f t="shared" si="14"/>
        <v>-0.25738397065636864</v>
      </c>
      <c r="AH145" s="585">
        <f t="shared" si="14"/>
        <v>-0.25738397065636864</v>
      </c>
      <c r="AI145" s="585">
        <f t="shared" si="14"/>
        <v>-3.4204397961136619E-2</v>
      </c>
      <c r="AJ145" s="585">
        <f t="shared" si="14"/>
        <v>-3.4204397961136619E-2</v>
      </c>
      <c r="AK145" s="585">
        <f t="shared" si="14"/>
        <v>-0.24722096722365622</v>
      </c>
      <c r="AL145" s="585">
        <f t="shared" si="14"/>
        <v>-0.24722096722365622</v>
      </c>
      <c r="AM145" s="585">
        <f t="shared" si="14"/>
        <v>-3.3713895122305784E-2</v>
      </c>
      <c r="AN145" s="585">
        <f t="shared" si="14"/>
        <v>-3.3713895122305784E-2</v>
      </c>
      <c r="AO145" s="585">
        <f t="shared" si="14"/>
        <v>-0.24367573346805882</v>
      </c>
      <c r="AP145" s="585">
        <f t="shared" si="14"/>
        <v>-0.24367573346805882</v>
      </c>
      <c r="AQ145" s="571"/>
      <c r="AR145" s="571"/>
    </row>
    <row r="146" spans="3:44" x14ac:dyDescent="0.25">
      <c r="F146" s="66" t="s">
        <v>47</v>
      </c>
      <c r="G146" s="90" t="s">
        <v>201</v>
      </c>
      <c r="H146" s="572"/>
      <c r="I146" s="572"/>
      <c r="J146" s="585">
        <f t="shared" ref="J146:AP146" si="15">J41 * (1 - J$116)</f>
        <v>5.488386931791276E-2</v>
      </c>
      <c r="K146" s="585">
        <f t="shared" si="15"/>
        <v>7.058155395635704E-2</v>
      </c>
      <c r="L146" s="585">
        <f t="shared" si="15"/>
        <v>6.4348224821433936E-3</v>
      </c>
      <c r="M146" s="585">
        <f t="shared" si="15"/>
        <v>4.9112820757766781E-2</v>
      </c>
      <c r="N146" s="585">
        <f t="shared" si="15"/>
        <v>7.7285928474870078E-2</v>
      </c>
      <c r="O146" s="585">
        <f t="shared" si="15"/>
        <v>1.0991739628249514E-2</v>
      </c>
      <c r="P146" s="585">
        <f t="shared" si="15"/>
        <v>3.9227115086146569E-2</v>
      </c>
      <c r="Q146" s="585">
        <f t="shared" si="15"/>
        <v>3.5236864437796167E-2</v>
      </c>
      <c r="R146" s="585">
        <f t="shared" si="15"/>
        <v>0</v>
      </c>
      <c r="S146" s="585">
        <f t="shared" si="15"/>
        <v>0.29616780464453779</v>
      </c>
      <c r="T146" s="585">
        <f t="shared" si="15"/>
        <v>0.31261452154484864</v>
      </c>
      <c r="U146" s="585">
        <f t="shared" si="15"/>
        <v>0.23370219769680861</v>
      </c>
      <c r="V146" s="585">
        <f t="shared" si="15"/>
        <v>0.21706168891041419</v>
      </c>
      <c r="W146" s="585">
        <f t="shared" si="15"/>
        <v>0</v>
      </c>
      <c r="X146" s="585">
        <f t="shared" si="15"/>
        <v>2.5403837230894011E-2</v>
      </c>
      <c r="Y146" s="585">
        <f t="shared" si="15"/>
        <v>2.895831604350128E-2</v>
      </c>
      <c r="Z146" s="585">
        <f t="shared" si="15"/>
        <v>5.4444054346634414E-2</v>
      </c>
      <c r="AA146" s="585">
        <f t="shared" si="15"/>
        <v>2.4240016014018047E-2</v>
      </c>
      <c r="AB146" s="585">
        <f t="shared" si="15"/>
        <v>0.42250004095206078</v>
      </c>
      <c r="AC146" s="585">
        <f t="shared" si="15"/>
        <v>-2.7123932739458172E-2</v>
      </c>
      <c r="AD146" s="585">
        <f t="shared" si="15"/>
        <v>-2.6052923457734849E-2</v>
      </c>
      <c r="AE146" s="585">
        <f t="shared" si="15"/>
        <v>-2.7123932739458172E-2</v>
      </c>
      <c r="AF146" s="585">
        <f t="shared" si="15"/>
        <v>-2.7123932739458172E-2</v>
      </c>
      <c r="AG146" s="585">
        <f t="shared" si="15"/>
        <v>-0.19604510783605139</v>
      </c>
      <c r="AH146" s="585">
        <f t="shared" si="15"/>
        <v>-0.19604510783605139</v>
      </c>
      <c r="AI146" s="585">
        <f t="shared" si="15"/>
        <v>-2.6052923457734849E-2</v>
      </c>
      <c r="AJ146" s="585">
        <f t="shared" si="15"/>
        <v>-2.6052923457734849E-2</v>
      </c>
      <c r="AK146" s="585">
        <f t="shared" si="15"/>
        <v>-0.18830411643389328</v>
      </c>
      <c r="AL146" s="585">
        <f t="shared" si="15"/>
        <v>-0.18830411643389328</v>
      </c>
      <c r="AM146" s="585">
        <f t="shared" si="15"/>
        <v>-2.5679315568761591E-2</v>
      </c>
      <c r="AN146" s="585">
        <f t="shared" si="15"/>
        <v>-2.5679315568761591E-2</v>
      </c>
      <c r="AO146" s="585">
        <f t="shared" si="15"/>
        <v>-0.18560377059593114</v>
      </c>
      <c r="AP146" s="585">
        <f t="shared" si="15"/>
        <v>-0.18560377059593114</v>
      </c>
      <c r="AQ146" s="571"/>
      <c r="AR146" s="571"/>
    </row>
    <row r="147" spans="3:44" x14ac:dyDescent="0.25">
      <c r="F147" s="66" t="s">
        <v>51</v>
      </c>
      <c r="G147" s="90" t="s">
        <v>201</v>
      </c>
      <c r="H147" s="572"/>
      <c r="I147" s="572"/>
      <c r="J147" s="585">
        <f t="shared" ref="J147:AP147" si="16">J42 * (1 - J$117)</f>
        <v>0</v>
      </c>
      <c r="K147" s="585">
        <f t="shared" si="16"/>
        <v>0</v>
      </c>
      <c r="L147" s="585">
        <f t="shared" si="16"/>
        <v>0</v>
      </c>
      <c r="M147" s="585">
        <f t="shared" si="16"/>
        <v>0</v>
      </c>
      <c r="N147" s="585">
        <f t="shared" si="16"/>
        <v>0</v>
      </c>
      <c r="O147" s="585">
        <f t="shared" si="16"/>
        <v>0</v>
      </c>
      <c r="P147" s="585">
        <f t="shared" si="16"/>
        <v>0</v>
      </c>
      <c r="Q147" s="585">
        <f t="shared" si="16"/>
        <v>0</v>
      </c>
      <c r="R147" s="585">
        <f t="shared" si="16"/>
        <v>0</v>
      </c>
      <c r="S147" s="585">
        <f t="shared" si="16"/>
        <v>0</v>
      </c>
      <c r="T147" s="585">
        <f t="shared" si="16"/>
        <v>0</v>
      </c>
      <c r="U147" s="585">
        <f t="shared" si="16"/>
        <v>0</v>
      </c>
      <c r="V147" s="585">
        <f t="shared" si="16"/>
        <v>0</v>
      </c>
      <c r="W147" s="585">
        <f t="shared" si="16"/>
        <v>0</v>
      </c>
      <c r="X147" s="585">
        <f t="shared" si="16"/>
        <v>0</v>
      </c>
      <c r="Y147" s="585">
        <f t="shared" si="16"/>
        <v>0</v>
      </c>
      <c r="Z147" s="585">
        <f t="shared" si="16"/>
        <v>0</v>
      </c>
      <c r="AA147" s="585">
        <f t="shared" si="16"/>
        <v>0</v>
      </c>
      <c r="AB147" s="585">
        <f t="shared" si="16"/>
        <v>0</v>
      </c>
      <c r="AC147" s="585">
        <f t="shared" si="16"/>
        <v>0</v>
      </c>
      <c r="AD147" s="585">
        <f t="shared" si="16"/>
        <v>0</v>
      </c>
      <c r="AE147" s="585">
        <f t="shared" si="16"/>
        <v>0</v>
      </c>
      <c r="AF147" s="585">
        <f t="shared" si="16"/>
        <v>0</v>
      </c>
      <c r="AG147" s="585">
        <f t="shared" si="16"/>
        <v>0</v>
      </c>
      <c r="AH147" s="585">
        <f t="shared" si="16"/>
        <v>0</v>
      </c>
      <c r="AI147" s="585">
        <f t="shared" si="16"/>
        <v>0</v>
      </c>
      <c r="AJ147" s="585">
        <f t="shared" si="16"/>
        <v>0</v>
      </c>
      <c r="AK147" s="585">
        <f t="shared" si="16"/>
        <v>0</v>
      </c>
      <c r="AL147" s="585">
        <f t="shared" si="16"/>
        <v>0</v>
      </c>
      <c r="AM147" s="585">
        <f t="shared" si="16"/>
        <v>0</v>
      </c>
      <c r="AN147" s="585">
        <f t="shared" si="16"/>
        <v>0</v>
      </c>
      <c r="AO147" s="585">
        <f t="shared" si="16"/>
        <v>0</v>
      </c>
      <c r="AP147" s="585">
        <f t="shared" si="16"/>
        <v>0</v>
      </c>
      <c r="AQ147" s="571"/>
      <c r="AR147" s="571"/>
    </row>
    <row r="148" spans="3:44" x14ac:dyDescent="0.25">
      <c r="F148" s="66" t="s">
        <v>48</v>
      </c>
      <c r="G148" s="90" t="s">
        <v>201</v>
      </c>
      <c r="H148" s="572"/>
      <c r="I148" s="572"/>
      <c r="J148" s="585">
        <f t="shared" ref="J148:AP148" si="17">J43 * (1 - J$118)</f>
        <v>0.16971715510726415</v>
      </c>
      <c r="K148" s="585">
        <f t="shared" si="17"/>
        <v>0.21478211432922348</v>
      </c>
      <c r="L148" s="585">
        <f t="shared" si="17"/>
        <v>3.3117457033869396E-2</v>
      </c>
      <c r="M148" s="585">
        <f t="shared" si="17"/>
        <v>0.16471935478558733</v>
      </c>
      <c r="N148" s="585">
        <f t="shared" si="17"/>
        <v>0.24427858439001135</v>
      </c>
      <c r="O148" s="585">
        <f t="shared" si="17"/>
        <v>4.2670301495922013E-2</v>
      </c>
      <c r="P148" s="585">
        <f t="shared" si="17"/>
        <v>0.12796577285558916</v>
      </c>
      <c r="Q148" s="585">
        <f t="shared" si="17"/>
        <v>0.11503580715087854</v>
      </c>
      <c r="R148" s="585">
        <f t="shared" si="17"/>
        <v>0</v>
      </c>
      <c r="S148" s="585">
        <f t="shared" si="17"/>
        <v>0.63903410678018413</v>
      </c>
      <c r="T148" s="585">
        <f t="shared" si="17"/>
        <v>0.67473493231996917</v>
      </c>
      <c r="U148" s="585">
        <f t="shared" si="17"/>
        <v>0.40367898888818188</v>
      </c>
      <c r="V148" s="585">
        <f t="shared" si="17"/>
        <v>0</v>
      </c>
      <c r="W148" s="585">
        <f t="shared" si="17"/>
        <v>0</v>
      </c>
      <c r="X148" s="585">
        <f t="shared" si="17"/>
        <v>8.2881237251763176E-2</v>
      </c>
      <c r="Y148" s="585">
        <f t="shared" si="17"/>
        <v>7.2725679642090216E-2</v>
      </c>
      <c r="Z148" s="585">
        <f t="shared" si="17"/>
        <v>0.13369310594009662</v>
      </c>
      <c r="AA148" s="585">
        <f t="shared" si="17"/>
        <v>9.6782332153116435E-2</v>
      </c>
      <c r="AB148" s="585">
        <f t="shared" si="17"/>
        <v>0.84898208789200624</v>
      </c>
      <c r="AC148" s="585">
        <f t="shared" si="17"/>
        <v>-8.868336357560562E-2</v>
      </c>
      <c r="AD148" s="585">
        <f t="shared" si="17"/>
        <v>-8.518163296610054E-2</v>
      </c>
      <c r="AE148" s="585">
        <f t="shared" si="17"/>
        <v>-8.868336357560562E-2</v>
      </c>
      <c r="AF148" s="585">
        <f t="shared" si="17"/>
        <v>-8.868336357560562E-2</v>
      </c>
      <c r="AG148" s="585">
        <f t="shared" si="17"/>
        <v>-0.42329132806445846</v>
      </c>
      <c r="AH148" s="585">
        <f t="shared" si="17"/>
        <v>-0.42329132806445846</v>
      </c>
      <c r="AI148" s="585">
        <f t="shared" si="17"/>
        <v>-8.518163296610054E-2</v>
      </c>
      <c r="AJ148" s="585">
        <f t="shared" si="17"/>
        <v>-8.518163296610054E-2</v>
      </c>
      <c r="AK148" s="585">
        <f t="shared" si="17"/>
        <v>-0.40657734541361207</v>
      </c>
      <c r="AL148" s="585">
        <f t="shared" si="17"/>
        <v>-0.40657734541361207</v>
      </c>
      <c r="AM148" s="585">
        <f t="shared" si="17"/>
        <v>0</v>
      </c>
      <c r="AN148" s="585">
        <f t="shared" si="17"/>
        <v>0</v>
      </c>
      <c r="AO148" s="585">
        <f t="shared" si="17"/>
        <v>0</v>
      </c>
      <c r="AP148" s="585">
        <f t="shared" si="17"/>
        <v>0</v>
      </c>
      <c r="AQ148" s="571"/>
      <c r="AR148" s="571"/>
    </row>
    <row r="149" spans="3:44" x14ac:dyDescent="0.25">
      <c r="F149" s="66" t="s">
        <v>49</v>
      </c>
      <c r="G149" s="90" t="s">
        <v>201</v>
      </c>
      <c r="H149" s="572"/>
      <c r="I149" s="572"/>
      <c r="J149" s="585">
        <f t="shared" ref="J149:AP149" si="18">J44 * (1 - J$119)</f>
        <v>5.5650398832390639E-2</v>
      </c>
      <c r="K149" s="585">
        <f t="shared" si="18"/>
        <v>7.0427237110656807E-2</v>
      </c>
      <c r="L149" s="585">
        <f t="shared" si="18"/>
        <v>1.0859242196727757E-2</v>
      </c>
      <c r="M149" s="585">
        <f t="shared" si="18"/>
        <v>5.401161587606438E-2</v>
      </c>
      <c r="N149" s="585">
        <f t="shared" si="18"/>
        <v>8.0099154613593168E-2</v>
      </c>
      <c r="O149" s="585">
        <f t="shared" si="18"/>
        <v>1.3991627982719926E-2</v>
      </c>
      <c r="P149" s="585">
        <f t="shared" si="18"/>
        <v>4.1960085247763151E-2</v>
      </c>
      <c r="Q149" s="585">
        <f t="shared" si="18"/>
        <v>0</v>
      </c>
      <c r="R149" s="585">
        <f t="shared" si="18"/>
        <v>0</v>
      </c>
      <c r="S149" s="585">
        <f t="shared" si="18"/>
        <v>0.209539824582504</v>
      </c>
      <c r="T149" s="585">
        <f t="shared" si="18"/>
        <v>0.2212461554992517</v>
      </c>
      <c r="U149" s="585">
        <f t="shared" si="18"/>
        <v>0</v>
      </c>
      <c r="V149" s="585">
        <f t="shared" si="18"/>
        <v>0</v>
      </c>
      <c r="W149" s="585">
        <f t="shared" si="18"/>
        <v>0</v>
      </c>
      <c r="X149" s="585">
        <f t="shared" si="18"/>
        <v>2.7176827857310671E-2</v>
      </c>
      <c r="Y149" s="585">
        <f t="shared" si="18"/>
        <v>2.3846811919991731E-2</v>
      </c>
      <c r="Z149" s="585">
        <f t="shared" si="18"/>
        <v>4.3838082614601794E-2</v>
      </c>
      <c r="AA149" s="585">
        <f t="shared" si="18"/>
        <v>3.173500864332663E-2</v>
      </c>
      <c r="AB149" s="585">
        <f t="shared" si="18"/>
        <v>0.27838194531887756</v>
      </c>
      <c r="AC149" s="585">
        <f t="shared" si="18"/>
        <v>-2.9079349990642878E-2</v>
      </c>
      <c r="AD149" s="585">
        <f t="shared" si="18"/>
        <v>0</v>
      </c>
      <c r="AE149" s="585">
        <f t="shared" si="18"/>
        <v>-2.9079349990642878E-2</v>
      </c>
      <c r="AF149" s="585">
        <f t="shared" si="18"/>
        <v>-2.9079349990642878E-2</v>
      </c>
      <c r="AG149" s="585">
        <f t="shared" si="18"/>
        <v>-0.13879758480627027</v>
      </c>
      <c r="AH149" s="585">
        <f t="shared" si="18"/>
        <v>-0.13879758480627027</v>
      </c>
      <c r="AI149" s="585">
        <f t="shared" si="18"/>
        <v>0</v>
      </c>
      <c r="AJ149" s="585">
        <f t="shared" si="18"/>
        <v>0</v>
      </c>
      <c r="AK149" s="585">
        <f t="shared" si="18"/>
        <v>0</v>
      </c>
      <c r="AL149" s="585">
        <f t="shared" si="18"/>
        <v>0</v>
      </c>
      <c r="AM149" s="585">
        <f t="shared" si="18"/>
        <v>0</v>
      </c>
      <c r="AN149" s="585">
        <f t="shared" si="18"/>
        <v>0</v>
      </c>
      <c r="AO149" s="585">
        <f t="shared" si="18"/>
        <v>0</v>
      </c>
      <c r="AP149" s="585">
        <f t="shared" si="18"/>
        <v>0</v>
      </c>
      <c r="AQ149" s="571"/>
      <c r="AR149" s="571"/>
    </row>
    <row r="150" spans="3:44" x14ac:dyDescent="0.25">
      <c r="F150" s="66" t="s">
        <v>50</v>
      </c>
      <c r="G150" s="90" t="s">
        <v>201</v>
      </c>
      <c r="H150" s="572"/>
      <c r="I150" s="572"/>
      <c r="J150" s="585">
        <f t="shared" ref="J150:AP150" si="19">J45 * (1 - J$120)</f>
        <v>0</v>
      </c>
      <c r="K150" s="585">
        <f t="shared" si="19"/>
        <v>0</v>
      </c>
      <c r="L150" s="585">
        <f t="shared" si="19"/>
        <v>0</v>
      </c>
      <c r="M150" s="585">
        <f t="shared" si="19"/>
        <v>0</v>
      </c>
      <c r="N150" s="585">
        <f t="shared" si="19"/>
        <v>0</v>
      </c>
      <c r="O150" s="585">
        <f t="shared" si="19"/>
        <v>0</v>
      </c>
      <c r="P150" s="585">
        <f t="shared" si="19"/>
        <v>0</v>
      </c>
      <c r="Q150" s="585">
        <f t="shared" si="19"/>
        <v>0</v>
      </c>
      <c r="R150" s="585">
        <f t="shared" si="19"/>
        <v>0</v>
      </c>
      <c r="S150" s="585">
        <f t="shared" si="19"/>
        <v>0</v>
      </c>
      <c r="T150" s="585">
        <f t="shared" si="19"/>
        <v>0</v>
      </c>
      <c r="U150" s="585">
        <f t="shared" si="19"/>
        <v>0</v>
      </c>
      <c r="V150" s="585">
        <f t="shared" si="19"/>
        <v>0</v>
      </c>
      <c r="W150" s="585">
        <f t="shared" si="19"/>
        <v>0</v>
      </c>
      <c r="X150" s="585">
        <f t="shared" si="19"/>
        <v>4.8882410139687804E-2</v>
      </c>
      <c r="Y150" s="585">
        <f t="shared" si="19"/>
        <v>4.2892777881118928E-2</v>
      </c>
      <c r="Z150" s="585">
        <f t="shared" si="19"/>
        <v>7.8850671805982347E-2</v>
      </c>
      <c r="AA150" s="585">
        <f t="shared" si="19"/>
        <v>5.708111765046664E-2</v>
      </c>
      <c r="AB150" s="585">
        <f t="shared" si="19"/>
        <v>0.50071996989526935</v>
      </c>
      <c r="AC150" s="585">
        <f t="shared" si="19"/>
        <v>0</v>
      </c>
      <c r="AD150" s="585">
        <f t="shared" si="19"/>
        <v>0</v>
      </c>
      <c r="AE150" s="585">
        <f t="shared" si="19"/>
        <v>0</v>
      </c>
      <c r="AF150" s="585">
        <f t="shared" si="19"/>
        <v>0</v>
      </c>
      <c r="AG150" s="585">
        <f t="shared" si="19"/>
        <v>0</v>
      </c>
      <c r="AH150" s="585">
        <f t="shared" si="19"/>
        <v>0</v>
      </c>
      <c r="AI150" s="585">
        <f t="shared" si="19"/>
        <v>0</v>
      </c>
      <c r="AJ150" s="585">
        <f t="shared" si="19"/>
        <v>0</v>
      </c>
      <c r="AK150" s="585">
        <f t="shared" si="19"/>
        <v>0</v>
      </c>
      <c r="AL150" s="585">
        <f t="shared" si="19"/>
        <v>0</v>
      </c>
      <c r="AM150" s="585">
        <f t="shared" si="19"/>
        <v>0</v>
      </c>
      <c r="AN150" s="585">
        <f t="shared" si="19"/>
        <v>0</v>
      </c>
      <c r="AO150" s="585">
        <f t="shared" si="19"/>
        <v>0</v>
      </c>
      <c r="AP150" s="585">
        <f t="shared" si="19"/>
        <v>0</v>
      </c>
      <c r="AQ150" s="571"/>
      <c r="AR150" s="571"/>
    </row>
    <row r="151" spans="3:44" s="131" customFormat="1" x14ac:dyDescent="0.25">
      <c r="E151" s="175"/>
      <c r="F151" s="72" t="s">
        <v>141</v>
      </c>
      <c r="G151" s="137" t="s">
        <v>201</v>
      </c>
      <c r="H151" s="569"/>
      <c r="I151" s="569" t="s">
        <v>525</v>
      </c>
      <c r="J151" s="583"/>
      <c r="K151" s="583"/>
      <c r="L151" s="583"/>
      <c r="M151" s="583"/>
      <c r="N151" s="583"/>
      <c r="O151" s="583"/>
      <c r="P151" s="583"/>
      <c r="Q151" s="583"/>
      <c r="R151" s="583"/>
      <c r="S151" s="583"/>
      <c r="T151" s="583"/>
      <c r="U151" s="583"/>
      <c r="V151" s="583"/>
      <c r="W151" s="583"/>
      <c r="X151" s="584">
        <f>X46</f>
        <v>1.4674776072942719</v>
      </c>
      <c r="Y151" s="584">
        <f>Y46</f>
        <v>1.4674776072942719</v>
      </c>
      <c r="Z151" s="584">
        <f>Z46</f>
        <v>1.4674776072942719</v>
      </c>
      <c r="AA151" s="584">
        <f>AA46</f>
        <v>1.4674776072942719</v>
      </c>
      <c r="AB151" s="584">
        <f>AB46</f>
        <v>1.4674776072942719</v>
      </c>
      <c r="AC151" s="583"/>
      <c r="AD151" s="583"/>
      <c r="AE151" s="583"/>
      <c r="AF151" s="583"/>
      <c r="AG151" s="583"/>
      <c r="AH151" s="583"/>
      <c r="AI151" s="583"/>
      <c r="AJ151" s="583"/>
      <c r="AK151" s="583"/>
      <c r="AL151" s="583"/>
      <c r="AM151" s="583"/>
      <c r="AN151" s="583"/>
      <c r="AO151" s="583"/>
      <c r="AP151" s="583"/>
      <c r="AQ151" s="571"/>
      <c r="AR151" s="571" t="s">
        <v>983</v>
      </c>
    </row>
    <row r="152" spans="3:44" s="131" customFormat="1" x14ac:dyDescent="0.25">
      <c r="E152" s="175"/>
      <c r="F152" s="67" t="s">
        <v>140</v>
      </c>
      <c r="G152" s="140" t="s">
        <v>201</v>
      </c>
      <c r="H152" s="574"/>
      <c r="I152" s="574"/>
      <c r="J152" s="579"/>
      <c r="K152" s="579"/>
      <c r="L152" s="579"/>
      <c r="M152" s="579"/>
      <c r="N152" s="579"/>
      <c r="O152" s="579"/>
      <c r="P152" s="579"/>
      <c r="Q152" s="579"/>
      <c r="R152" s="579"/>
      <c r="S152" s="579"/>
      <c r="T152" s="579"/>
      <c r="U152" s="579"/>
      <c r="V152" s="579"/>
      <c r="W152" s="579"/>
      <c r="X152" s="579"/>
      <c r="Y152" s="579"/>
      <c r="Z152" s="579"/>
      <c r="AA152" s="579"/>
      <c r="AB152" s="579"/>
      <c r="AC152" s="579"/>
      <c r="AD152" s="579"/>
      <c r="AE152" s="579"/>
      <c r="AF152" s="579"/>
      <c r="AG152" s="579"/>
      <c r="AH152" s="579"/>
      <c r="AI152" s="579"/>
      <c r="AJ152" s="579"/>
      <c r="AK152" s="579"/>
      <c r="AL152" s="579"/>
      <c r="AM152" s="579"/>
      <c r="AN152" s="579"/>
      <c r="AO152" s="579"/>
      <c r="AP152" s="579"/>
      <c r="AQ152" s="571"/>
      <c r="AR152" s="571"/>
    </row>
    <row r="153" spans="3:44" x14ac:dyDescent="0.25">
      <c r="D153" s="175"/>
      <c r="E153" s="88"/>
      <c r="F153" s="160"/>
      <c r="J153" s="416"/>
      <c r="K153" s="416"/>
      <c r="L153" s="416"/>
      <c r="M153" s="416"/>
      <c r="N153" s="416"/>
      <c r="O153" s="416"/>
      <c r="P153" s="416"/>
      <c r="Q153" s="416"/>
      <c r="R153" s="416"/>
      <c r="S153" s="416"/>
      <c r="T153" s="416"/>
      <c r="U153" s="416"/>
      <c r="V153" s="416"/>
      <c r="W153" s="416"/>
      <c r="X153" s="416"/>
      <c r="Y153" s="416"/>
      <c r="Z153" s="416"/>
      <c r="AA153" s="416"/>
      <c r="AB153" s="416"/>
      <c r="AC153" s="416"/>
      <c r="AD153" s="416"/>
      <c r="AE153" s="416"/>
      <c r="AF153" s="416"/>
      <c r="AG153" s="416"/>
      <c r="AH153" s="416"/>
      <c r="AI153" s="416"/>
      <c r="AJ153" s="416"/>
      <c r="AK153" s="416"/>
      <c r="AL153" s="416"/>
      <c r="AM153" s="416"/>
      <c r="AN153" s="416"/>
      <c r="AO153" s="416"/>
      <c r="AP153" s="416"/>
    </row>
    <row r="154" spans="3:44" s="338" customFormat="1" x14ac:dyDescent="0.25">
      <c r="C154" s="22" t="str">
        <f ca="1">INDEX('Version control'!$H$34:$H$59,MATCH($A$1,'Version control'!$F$34:$F$59,0),1)&amp;"-F: Contributions to unit rate 2 p/kWh by network level (taking account of standing charges)"</f>
        <v>Section 514-F: Contributions to unit rate 2 p/kWh by network level (taking account of standing charges)</v>
      </c>
      <c r="D154" s="22"/>
      <c r="E154" s="22"/>
      <c r="F154" s="22"/>
      <c r="G154" s="22"/>
      <c r="H154" s="22"/>
      <c r="I154" s="22"/>
      <c r="J154" s="406"/>
      <c r="K154" s="406"/>
      <c r="L154" s="406"/>
      <c r="M154" s="406"/>
      <c r="N154" s="406"/>
      <c r="O154" s="406"/>
      <c r="P154" s="406"/>
      <c r="Q154" s="406"/>
      <c r="R154" s="406"/>
      <c r="S154" s="406"/>
      <c r="T154" s="406"/>
      <c r="U154" s="406"/>
      <c r="V154" s="406"/>
      <c r="W154" s="406"/>
      <c r="X154" s="406"/>
      <c r="Y154" s="406"/>
      <c r="Z154" s="406"/>
      <c r="AA154" s="406"/>
      <c r="AB154" s="406"/>
      <c r="AC154" s="406"/>
      <c r="AD154" s="406"/>
      <c r="AE154" s="406"/>
      <c r="AF154" s="406"/>
      <c r="AG154" s="406"/>
      <c r="AH154" s="406"/>
      <c r="AI154" s="406"/>
      <c r="AJ154" s="406"/>
      <c r="AK154" s="406"/>
      <c r="AL154" s="406"/>
      <c r="AM154" s="406"/>
      <c r="AN154" s="406"/>
      <c r="AO154" s="406"/>
      <c r="AP154" s="406"/>
      <c r="AQ154" s="22"/>
      <c r="AR154" s="22"/>
    </row>
    <row r="155" spans="3:44" s="160" customFormat="1" x14ac:dyDescent="0.25">
      <c r="C155" s="172"/>
      <c r="D155" s="172"/>
      <c r="I155" s="88" t="s">
        <v>525</v>
      </c>
      <c r="J155" s="416"/>
      <c r="K155" s="416"/>
      <c r="L155" s="416"/>
      <c r="M155" s="416"/>
      <c r="N155" s="416"/>
      <c r="O155" s="416"/>
      <c r="P155" s="416"/>
      <c r="Q155" s="416"/>
      <c r="R155" s="416"/>
      <c r="S155" s="416"/>
      <c r="T155" s="416"/>
      <c r="U155" s="416"/>
      <c r="V155" s="416"/>
      <c r="W155" s="416"/>
      <c r="X155" s="416"/>
      <c r="Y155" s="416"/>
      <c r="Z155" s="416"/>
      <c r="AA155" s="416"/>
      <c r="AB155" s="416"/>
      <c r="AC155" s="416"/>
      <c r="AD155" s="416"/>
      <c r="AE155" s="416"/>
      <c r="AF155" s="416"/>
      <c r="AG155" s="416"/>
      <c r="AH155" s="416"/>
      <c r="AI155" s="416"/>
      <c r="AJ155" s="416"/>
      <c r="AK155" s="416"/>
      <c r="AL155" s="416"/>
      <c r="AM155" s="416"/>
      <c r="AN155" s="416"/>
      <c r="AO155" s="416"/>
      <c r="AP155" s="416"/>
      <c r="AQ155" s="88"/>
      <c r="AR155" s="160" t="s">
        <v>984</v>
      </c>
    </row>
    <row r="156" spans="3:44" x14ac:dyDescent="0.25">
      <c r="E156" s="172" t="s">
        <v>156</v>
      </c>
      <c r="J156" s="416"/>
      <c r="K156" s="416"/>
      <c r="L156" s="416"/>
      <c r="M156" s="416"/>
      <c r="N156" s="416"/>
      <c r="O156" s="416"/>
      <c r="P156" s="416"/>
      <c r="Q156" s="416"/>
      <c r="R156" s="416"/>
      <c r="S156" s="416"/>
      <c r="T156" s="416"/>
      <c r="U156" s="416"/>
      <c r="V156" s="416"/>
      <c r="W156" s="416"/>
      <c r="X156" s="416"/>
      <c r="Y156" s="416"/>
      <c r="Z156" s="416"/>
      <c r="AA156" s="416"/>
      <c r="AB156" s="416"/>
      <c r="AC156" s="416"/>
      <c r="AD156" s="416"/>
      <c r="AE156" s="416"/>
      <c r="AF156" s="416"/>
      <c r="AG156" s="416"/>
      <c r="AH156" s="416"/>
      <c r="AI156" s="416"/>
      <c r="AJ156" s="416"/>
      <c r="AK156" s="416"/>
      <c r="AL156" s="416"/>
      <c r="AM156" s="416"/>
      <c r="AN156" s="416"/>
      <c r="AO156" s="416"/>
      <c r="AP156" s="416"/>
    </row>
    <row r="157" spans="3:44" x14ac:dyDescent="0.25">
      <c r="F157" s="72" t="s">
        <v>397</v>
      </c>
      <c r="G157" s="13" t="s">
        <v>201</v>
      </c>
      <c r="H157" s="569"/>
      <c r="I157" s="569"/>
      <c r="J157" s="584">
        <f t="shared" ref="J157:AP157" si="20">J52 * (1 - J$112)</f>
        <v>0</v>
      </c>
      <c r="K157" s="584">
        <f t="shared" si="20"/>
        <v>0</v>
      </c>
      <c r="L157" s="584">
        <f t="shared" si="20"/>
        <v>0</v>
      </c>
      <c r="M157" s="584">
        <f t="shared" si="20"/>
        <v>0</v>
      </c>
      <c r="N157" s="584">
        <f t="shared" si="20"/>
        <v>0</v>
      </c>
      <c r="O157" s="584">
        <f t="shared" si="20"/>
        <v>0</v>
      </c>
      <c r="P157" s="584">
        <f t="shared" si="20"/>
        <v>0</v>
      </c>
      <c r="Q157" s="584">
        <f t="shared" si="20"/>
        <v>0</v>
      </c>
      <c r="R157" s="584">
        <f t="shared" si="20"/>
        <v>0</v>
      </c>
      <c r="S157" s="584">
        <f t="shared" si="20"/>
        <v>0</v>
      </c>
      <c r="T157" s="584">
        <f t="shared" si="20"/>
        <v>0</v>
      </c>
      <c r="U157" s="584">
        <f t="shared" si="20"/>
        <v>0</v>
      </c>
      <c r="V157" s="584">
        <f t="shared" si="20"/>
        <v>0</v>
      </c>
      <c r="W157" s="584">
        <f t="shared" si="20"/>
        <v>0</v>
      </c>
      <c r="X157" s="584">
        <f t="shared" si="20"/>
        <v>0</v>
      </c>
      <c r="Y157" s="584">
        <f t="shared" si="20"/>
        <v>0</v>
      </c>
      <c r="Z157" s="584">
        <f t="shared" si="20"/>
        <v>0</v>
      </c>
      <c r="AA157" s="584">
        <f t="shared" si="20"/>
        <v>0</v>
      </c>
      <c r="AB157" s="584">
        <f t="shared" si="20"/>
        <v>0</v>
      </c>
      <c r="AC157" s="584">
        <f t="shared" si="20"/>
        <v>0</v>
      </c>
      <c r="AD157" s="584">
        <f t="shared" si="20"/>
        <v>0</v>
      </c>
      <c r="AE157" s="584">
        <f t="shared" si="20"/>
        <v>0</v>
      </c>
      <c r="AF157" s="584">
        <f t="shared" si="20"/>
        <v>0</v>
      </c>
      <c r="AG157" s="584">
        <f t="shared" si="20"/>
        <v>0</v>
      </c>
      <c r="AH157" s="584">
        <f t="shared" si="20"/>
        <v>0</v>
      </c>
      <c r="AI157" s="584">
        <f t="shared" si="20"/>
        <v>0</v>
      </c>
      <c r="AJ157" s="584">
        <f t="shared" si="20"/>
        <v>0</v>
      </c>
      <c r="AK157" s="584">
        <f t="shared" si="20"/>
        <v>0</v>
      </c>
      <c r="AL157" s="584">
        <f t="shared" si="20"/>
        <v>0</v>
      </c>
      <c r="AM157" s="584">
        <f t="shared" si="20"/>
        <v>0</v>
      </c>
      <c r="AN157" s="584">
        <f t="shared" si="20"/>
        <v>0</v>
      </c>
      <c r="AO157" s="584">
        <f t="shared" si="20"/>
        <v>0</v>
      </c>
      <c r="AP157" s="584">
        <f t="shared" si="20"/>
        <v>0</v>
      </c>
      <c r="AQ157" s="571"/>
      <c r="AR157" s="571"/>
    </row>
    <row r="158" spans="3:44" x14ac:dyDescent="0.25">
      <c r="F158" s="66" t="s">
        <v>43</v>
      </c>
      <c r="G158" s="90" t="s">
        <v>201</v>
      </c>
      <c r="H158" s="572"/>
      <c r="I158" s="572"/>
      <c r="J158" s="585">
        <f t="shared" ref="J158:AP158" si="21">J53 * (1 - J$112)</f>
        <v>0</v>
      </c>
      <c r="K158" s="585">
        <f t="shared" si="21"/>
        <v>0</v>
      </c>
      <c r="L158" s="585">
        <f t="shared" si="21"/>
        <v>0</v>
      </c>
      <c r="M158" s="585">
        <f t="shared" si="21"/>
        <v>0</v>
      </c>
      <c r="N158" s="585">
        <f t="shared" si="21"/>
        <v>0</v>
      </c>
      <c r="O158" s="585">
        <f t="shared" si="21"/>
        <v>0</v>
      </c>
      <c r="P158" s="585">
        <f t="shared" si="21"/>
        <v>0</v>
      </c>
      <c r="Q158" s="585">
        <f t="shared" si="21"/>
        <v>0</v>
      </c>
      <c r="R158" s="585">
        <f t="shared" si="21"/>
        <v>0</v>
      </c>
      <c r="S158" s="585">
        <f t="shared" si="21"/>
        <v>0</v>
      </c>
      <c r="T158" s="585">
        <f t="shared" si="21"/>
        <v>0</v>
      </c>
      <c r="U158" s="585">
        <f t="shared" si="21"/>
        <v>0</v>
      </c>
      <c r="V158" s="585">
        <f t="shared" si="21"/>
        <v>0</v>
      </c>
      <c r="W158" s="585">
        <f t="shared" si="21"/>
        <v>0</v>
      </c>
      <c r="X158" s="585">
        <f t="shared" si="21"/>
        <v>0</v>
      </c>
      <c r="Y158" s="585">
        <f t="shared" si="21"/>
        <v>0</v>
      </c>
      <c r="Z158" s="585">
        <f t="shared" si="21"/>
        <v>0</v>
      </c>
      <c r="AA158" s="585">
        <f t="shared" si="21"/>
        <v>0</v>
      </c>
      <c r="AB158" s="585">
        <f t="shared" si="21"/>
        <v>0</v>
      </c>
      <c r="AC158" s="585">
        <f t="shared" si="21"/>
        <v>0</v>
      </c>
      <c r="AD158" s="585">
        <f t="shared" si="21"/>
        <v>0</v>
      </c>
      <c r="AE158" s="585">
        <f t="shared" si="21"/>
        <v>0</v>
      </c>
      <c r="AF158" s="585">
        <f t="shared" si="21"/>
        <v>0</v>
      </c>
      <c r="AG158" s="585">
        <f t="shared" si="21"/>
        <v>0</v>
      </c>
      <c r="AH158" s="585">
        <f t="shared" si="21"/>
        <v>0</v>
      </c>
      <c r="AI158" s="585">
        <f t="shared" si="21"/>
        <v>0</v>
      </c>
      <c r="AJ158" s="585">
        <f t="shared" si="21"/>
        <v>0</v>
      </c>
      <c r="AK158" s="585">
        <f t="shared" si="21"/>
        <v>0</v>
      </c>
      <c r="AL158" s="585">
        <f t="shared" si="21"/>
        <v>0</v>
      </c>
      <c r="AM158" s="585">
        <f t="shared" si="21"/>
        <v>0</v>
      </c>
      <c r="AN158" s="585">
        <f t="shared" si="21"/>
        <v>0</v>
      </c>
      <c r="AO158" s="585">
        <f t="shared" si="21"/>
        <v>0</v>
      </c>
      <c r="AP158" s="585">
        <f t="shared" si="21"/>
        <v>0</v>
      </c>
      <c r="AQ158" s="571"/>
      <c r="AR158" s="571"/>
    </row>
    <row r="159" spans="3:44" x14ac:dyDescent="0.25">
      <c r="F159" s="66" t="s">
        <v>44</v>
      </c>
      <c r="G159" s="90" t="s">
        <v>201</v>
      </c>
      <c r="H159" s="572"/>
      <c r="I159" s="572"/>
      <c r="J159" s="585">
        <f t="shared" ref="J159:AP159" si="22">J54 * (1 - J$113)</f>
        <v>0</v>
      </c>
      <c r="K159" s="585">
        <f t="shared" si="22"/>
        <v>7.1468899868683067E-3</v>
      </c>
      <c r="L159" s="585">
        <f t="shared" si="22"/>
        <v>0</v>
      </c>
      <c r="M159" s="585">
        <f t="shared" si="22"/>
        <v>0</v>
      </c>
      <c r="N159" s="585">
        <f t="shared" si="22"/>
        <v>1.8776449445186343E-2</v>
      </c>
      <c r="O159" s="585">
        <f t="shared" si="22"/>
        <v>0</v>
      </c>
      <c r="P159" s="585">
        <f t="shared" si="22"/>
        <v>5.8940929218045564E-3</v>
      </c>
      <c r="Q159" s="585">
        <f t="shared" si="22"/>
        <v>5.5199098157548837E-3</v>
      </c>
      <c r="R159" s="585">
        <f t="shared" si="22"/>
        <v>8.7708212926370568E-3</v>
      </c>
      <c r="S159" s="585">
        <f t="shared" si="22"/>
        <v>7.3364208119998192E-2</v>
      </c>
      <c r="T159" s="585">
        <f t="shared" si="22"/>
        <v>7.7424477720297577E-2</v>
      </c>
      <c r="U159" s="585">
        <f t="shared" si="22"/>
        <v>5.7863145951336521E-2</v>
      </c>
      <c r="V159" s="585">
        <f t="shared" si="22"/>
        <v>5.3743064077477511E-2</v>
      </c>
      <c r="W159" s="585">
        <f t="shared" si="22"/>
        <v>4.8187797445028338E-2</v>
      </c>
      <c r="X159" s="585">
        <f t="shared" si="22"/>
        <v>0</v>
      </c>
      <c r="Y159" s="585">
        <f t="shared" si="22"/>
        <v>0</v>
      </c>
      <c r="Z159" s="585">
        <f t="shared" si="22"/>
        <v>0</v>
      </c>
      <c r="AA159" s="585">
        <f t="shared" si="22"/>
        <v>0</v>
      </c>
      <c r="AB159" s="585">
        <f t="shared" si="22"/>
        <v>8.9806761718158143E-2</v>
      </c>
      <c r="AC159" s="585">
        <f t="shared" si="22"/>
        <v>0</v>
      </c>
      <c r="AD159" s="585">
        <f t="shared" si="22"/>
        <v>0</v>
      </c>
      <c r="AE159" s="585">
        <f t="shared" si="22"/>
        <v>0</v>
      </c>
      <c r="AF159" s="585">
        <f t="shared" si="22"/>
        <v>0</v>
      </c>
      <c r="AG159" s="585">
        <f t="shared" si="22"/>
        <v>-4.8539495133373571E-2</v>
      </c>
      <c r="AH159" s="585">
        <f t="shared" si="22"/>
        <v>-4.8539495133373571E-2</v>
      </c>
      <c r="AI159" s="585">
        <f t="shared" si="22"/>
        <v>0</v>
      </c>
      <c r="AJ159" s="585">
        <f t="shared" si="22"/>
        <v>0</v>
      </c>
      <c r="AK159" s="585">
        <f t="shared" si="22"/>
        <v>-4.6622875949962138E-2</v>
      </c>
      <c r="AL159" s="585">
        <f t="shared" si="22"/>
        <v>-4.6622875949962138E-2</v>
      </c>
      <c r="AM159" s="585">
        <f t="shared" si="22"/>
        <v>0</v>
      </c>
      <c r="AN159" s="585">
        <f t="shared" si="22"/>
        <v>0</v>
      </c>
      <c r="AO159" s="585">
        <f t="shared" si="22"/>
        <v>-4.5954287862725575E-2</v>
      </c>
      <c r="AP159" s="585">
        <f t="shared" si="22"/>
        <v>-4.5954287862725575E-2</v>
      </c>
      <c r="AQ159" s="571"/>
      <c r="AR159" s="571"/>
    </row>
    <row r="160" spans="3:44" x14ac:dyDescent="0.25">
      <c r="F160" s="66" t="s">
        <v>45</v>
      </c>
      <c r="G160" s="90" t="s">
        <v>201</v>
      </c>
      <c r="H160" s="572"/>
      <c r="I160" s="572"/>
      <c r="J160" s="585">
        <f t="shared" ref="J160:AP160" si="23">J55 * (1 - J$114)</f>
        <v>0</v>
      </c>
      <c r="K160" s="585">
        <f t="shared" si="23"/>
        <v>1.9890060826537248E-3</v>
      </c>
      <c r="L160" s="585">
        <f t="shared" si="23"/>
        <v>0</v>
      </c>
      <c r="M160" s="585">
        <f t="shared" si="23"/>
        <v>0</v>
      </c>
      <c r="N160" s="585">
        <f t="shared" si="23"/>
        <v>5.2255557628193778E-3</v>
      </c>
      <c r="O160" s="585">
        <f t="shared" si="23"/>
        <v>0</v>
      </c>
      <c r="P160" s="585">
        <f t="shared" si="23"/>
        <v>1.640347996784066E-3</v>
      </c>
      <c r="Q160" s="585">
        <f t="shared" si="23"/>
        <v>1.5362114457350708E-3</v>
      </c>
      <c r="R160" s="585">
        <f t="shared" si="23"/>
        <v>2.4409522089996827E-3</v>
      </c>
      <c r="S160" s="585">
        <f t="shared" si="23"/>
        <v>2.0417532166839978E-2</v>
      </c>
      <c r="T160" s="585">
        <f t="shared" si="23"/>
        <v>2.154752030812215E-2</v>
      </c>
      <c r="U160" s="585">
        <f t="shared" si="23"/>
        <v>1.6103528873419794E-2</v>
      </c>
      <c r="V160" s="585">
        <f t="shared" si="23"/>
        <v>1.4956894753796546E-2</v>
      </c>
      <c r="W160" s="585">
        <f t="shared" si="23"/>
        <v>1.3410843374384392E-2</v>
      </c>
      <c r="X160" s="585">
        <f t="shared" si="23"/>
        <v>0</v>
      </c>
      <c r="Y160" s="585">
        <f t="shared" si="23"/>
        <v>0</v>
      </c>
      <c r="Z160" s="585">
        <f t="shared" si="23"/>
        <v>0</v>
      </c>
      <c r="AA160" s="585">
        <f t="shared" si="23"/>
        <v>0</v>
      </c>
      <c r="AB160" s="585">
        <f t="shared" si="23"/>
        <v>2.499355602913406E-2</v>
      </c>
      <c r="AC160" s="585">
        <f t="shared" si="23"/>
        <v>0</v>
      </c>
      <c r="AD160" s="585">
        <f t="shared" si="23"/>
        <v>0</v>
      </c>
      <c r="AE160" s="585">
        <f t="shared" si="23"/>
        <v>0</v>
      </c>
      <c r="AF160" s="585">
        <f t="shared" si="23"/>
        <v>0</v>
      </c>
      <c r="AG160" s="585">
        <f t="shared" si="23"/>
        <v>-1.3508722149999972E-2</v>
      </c>
      <c r="AH160" s="585">
        <f t="shared" si="23"/>
        <v>-1.3508722149999972E-2</v>
      </c>
      <c r="AI160" s="585">
        <f t="shared" si="23"/>
        <v>0</v>
      </c>
      <c r="AJ160" s="585">
        <f t="shared" si="23"/>
        <v>0</v>
      </c>
      <c r="AK160" s="585">
        <f t="shared" si="23"/>
        <v>-1.2975319897979771E-2</v>
      </c>
      <c r="AL160" s="585">
        <f t="shared" si="23"/>
        <v>-1.2975319897979771E-2</v>
      </c>
      <c r="AM160" s="585">
        <f t="shared" si="23"/>
        <v>0</v>
      </c>
      <c r="AN160" s="585">
        <f t="shared" si="23"/>
        <v>0</v>
      </c>
      <c r="AO160" s="585">
        <f t="shared" si="23"/>
        <v>-1.2789249344949467E-2</v>
      </c>
      <c r="AP160" s="585">
        <f t="shared" si="23"/>
        <v>-1.2789249344949467E-2</v>
      </c>
      <c r="AQ160" s="571"/>
      <c r="AR160" s="571"/>
    </row>
    <row r="161" spans="5:44" x14ac:dyDescent="0.25">
      <c r="F161" s="66" t="s">
        <v>46</v>
      </c>
      <c r="G161" s="90" t="s">
        <v>201</v>
      </c>
      <c r="H161" s="572"/>
      <c r="I161" s="572"/>
      <c r="J161" s="585">
        <f t="shared" ref="J161:AP161" si="24">J56 * (1 - J$115)</f>
        <v>0</v>
      </c>
      <c r="K161" s="585">
        <f t="shared" si="24"/>
        <v>1.0437244821430073E-2</v>
      </c>
      <c r="L161" s="585">
        <f t="shared" si="24"/>
        <v>0</v>
      </c>
      <c r="M161" s="585">
        <f t="shared" si="24"/>
        <v>0</v>
      </c>
      <c r="N161" s="585">
        <f t="shared" si="24"/>
        <v>2.5923129200984236E-2</v>
      </c>
      <c r="O161" s="585">
        <f t="shared" si="24"/>
        <v>0</v>
      </c>
      <c r="P161" s="585">
        <f t="shared" si="24"/>
        <v>9.3764952503399505E-3</v>
      </c>
      <c r="Q161" s="585">
        <f t="shared" si="24"/>
        <v>8.5122406275846569E-3</v>
      </c>
      <c r="R161" s="585">
        <f t="shared" si="24"/>
        <v>1.0049273688859056E-2</v>
      </c>
      <c r="S161" s="585">
        <f t="shared" si="24"/>
        <v>8.9245693750505894E-2</v>
      </c>
      <c r="T161" s="585">
        <f t="shared" si="24"/>
        <v>9.4201663429411678E-2</v>
      </c>
      <c r="U161" s="585">
        <f t="shared" si="24"/>
        <v>7.0422626758847584E-2</v>
      </c>
      <c r="V161" s="585">
        <f t="shared" si="24"/>
        <v>6.5408260822666292E-2</v>
      </c>
      <c r="W161" s="585">
        <f t="shared" si="24"/>
        <v>4.5865021136600903E-2</v>
      </c>
      <c r="X161" s="585">
        <f t="shared" si="24"/>
        <v>0</v>
      </c>
      <c r="Y161" s="585">
        <f t="shared" si="24"/>
        <v>0</v>
      </c>
      <c r="Z161" s="585">
        <f t="shared" si="24"/>
        <v>0</v>
      </c>
      <c r="AA161" s="585">
        <f t="shared" si="24"/>
        <v>0</v>
      </c>
      <c r="AB161" s="585">
        <f t="shared" si="24"/>
        <v>7.2213711035596123E-2</v>
      </c>
      <c r="AC161" s="585">
        <f t="shared" si="24"/>
        <v>0</v>
      </c>
      <c r="AD161" s="585">
        <f t="shared" si="24"/>
        <v>0</v>
      </c>
      <c r="AE161" s="585">
        <f t="shared" si="24"/>
        <v>0</v>
      </c>
      <c r="AF161" s="585">
        <f t="shared" si="24"/>
        <v>0</v>
      </c>
      <c r="AG161" s="585">
        <f t="shared" si="24"/>
        <v>-5.9075231611417596E-2</v>
      </c>
      <c r="AH161" s="585">
        <f t="shared" si="24"/>
        <v>-5.9075231611417596E-2</v>
      </c>
      <c r="AI161" s="585">
        <f t="shared" si="24"/>
        <v>0</v>
      </c>
      <c r="AJ161" s="585">
        <f t="shared" si="24"/>
        <v>0</v>
      </c>
      <c r="AK161" s="585">
        <f t="shared" si="24"/>
        <v>-5.6742600794805149E-2</v>
      </c>
      <c r="AL161" s="585">
        <f t="shared" si="24"/>
        <v>-5.6742600794805149E-2</v>
      </c>
      <c r="AM161" s="585">
        <f t="shared" si="24"/>
        <v>0</v>
      </c>
      <c r="AN161" s="585">
        <f t="shared" si="24"/>
        <v>0</v>
      </c>
      <c r="AO161" s="585">
        <f t="shared" si="24"/>
        <v>-5.4673965606795112E-2</v>
      </c>
      <c r="AP161" s="585">
        <f t="shared" si="24"/>
        <v>-5.4673965606795112E-2</v>
      </c>
      <c r="AQ161" s="571"/>
      <c r="AR161" s="571"/>
    </row>
    <row r="162" spans="5:44" x14ac:dyDescent="0.25">
      <c r="F162" s="66" t="s">
        <v>47</v>
      </c>
      <c r="G162" s="90" t="s">
        <v>201</v>
      </c>
      <c r="H162" s="572"/>
      <c r="I162" s="572"/>
      <c r="J162" s="585">
        <f t="shared" ref="J162:AP162" si="25">J57 * (1 - J$116)</f>
        <v>0</v>
      </c>
      <c r="K162" s="585">
        <f t="shared" si="25"/>
        <v>7.8530374961474671E-3</v>
      </c>
      <c r="L162" s="585">
        <f t="shared" si="25"/>
        <v>0</v>
      </c>
      <c r="M162" s="585">
        <f t="shared" si="25"/>
        <v>0</v>
      </c>
      <c r="N162" s="585">
        <f t="shared" si="25"/>
        <v>1.9504697754604491E-2</v>
      </c>
      <c r="O162" s="585">
        <f t="shared" si="25"/>
        <v>0</v>
      </c>
      <c r="P162" s="585">
        <f t="shared" si="25"/>
        <v>7.0549239807214947E-3</v>
      </c>
      <c r="Q162" s="585">
        <f t="shared" si="25"/>
        <v>6.4046542903161549E-3</v>
      </c>
      <c r="R162" s="585">
        <f t="shared" si="25"/>
        <v>0</v>
      </c>
      <c r="S162" s="585">
        <f t="shared" si="25"/>
        <v>6.7148925926640152E-2</v>
      </c>
      <c r="T162" s="585">
        <f t="shared" si="25"/>
        <v>7.0877823387999528E-2</v>
      </c>
      <c r="U162" s="585">
        <f t="shared" si="25"/>
        <v>5.298635204751799E-2</v>
      </c>
      <c r="V162" s="585">
        <f t="shared" si="25"/>
        <v>4.9213516937299646E-2</v>
      </c>
      <c r="W162" s="585">
        <f t="shared" si="25"/>
        <v>0</v>
      </c>
      <c r="X162" s="585">
        <f t="shared" si="25"/>
        <v>0</v>
      </c>
      <c r="Y162" s="585">
        <f t="shared" si="25"/>
        <v>0</v>
      </c>
      <c r="Z162" s="585">
        <f t="shared" si="25"/>
        <v>0</v>
      </c>
      <c r="AA162" s="585">
        <f t="shared" si="25"/>
        <v>0</v>
      </c>
      <c r="AB162" s="585">
        <f t="shared" si="25"/>
        <v>5.433397320853426E-2</v>
      </c>
      <c r="AC162" s="585">
        <f t="shared" si="25"/>
        <v>0</v>
      </c>
      <c r="AD162" s="585">
        <f t="shared" si="25"/>
        <v>0</v>
      </c>
      <c r="AE162" s="585">
        <f t="shared" si="25"/>
        <v>0</v>
      </c>
      <c r="AF162" s="585">
        <f t="shared" si="25"/>
        <v>0</v>
      </c>
      <c r="AG162" s="585">
        <f t="shared" si="25"/>
        <v>-4.4448512694224014E-2</v>
      </c>
      <c r="AH162" s="585">
        <f t="shared" si="25"/>
        <v>-4.4448512694224014E-2</v>
      </c>
      <c r="AI162" s="585">
        <f t="shared" si="25"/>
        <v>0</v>
      </c>
      <c r="AJ162" s="585">
        <f t="shared" si="25"/>
        <v>0</v>
      </c>
      <c r="AK162" s="585">
        <f t="shared" si="25"/>
        <v>-4.2693429089217944E-2</v>
      </c>
      <c r="AL162" s="585">
        <f t="shared" si="25"/>
        <v>-4.2693429089217944E-2</v>
      </c>
      <c r="AM162" s="585">
        <f t="shared" si="25"/>
        <v>0</v>
      </c>
      <c r="AN162" s="585">
        <f t="shared" si="25"/>
        <v>0</v>
      </c>
      <c r="AO162" s="585">
        <f t="shared" si="25"/>
        <v>-4.0270434420865031E-2</v>
      </c>
      <c r="AP162" s="585">
        <f t="shared" si="25"/>
        <v>-4.0270434420865031E-2</v>
      </c>
      <c r="AQ162" s="571"/>
      <c r="AR162" s="571"/>
    </row>
    <row r="163" spans="5:44" x14ac:dyDescent="0.25">
      <c r="F163" s="66" t="s">
        <v>51</v>
      </c>
      <c r="G163" s="90" t="s">
        <v>201</v>
      </c>
      <c r="H163" s="572"/>
      <c r="I163" s="572"/>
      <c r="J163" s="585">
        <f t="shared" ref="J163:AP163" si="26">J58 * (1 - J$117)</f>
        <v>0</v>
      </c>
      <c r="K163" s="585">
        <f t="shared" si="26"/>
        <v>0</v>
      </c>
      <c r="L163" s="585">
        <f t="shared" si="26"/>
        <v>0</v>
      </c>
      <c r="M163" s="585">
        <f t="shared" si="26"/>
        <v>0</v>
      </c>
      <c r="N163" s="585">
        <f t="shared" si="26"/>
        <v>0</v>
      </c>
      <c r="O163" s="585">
        <f t="shared" si="26"/>
        <v>0</v>
      </c>
      <c r="P163" s="585">
        <f t="shared" si="26"/>
        <v>0</v>
      </c>
      <c r="Q163" s="585">
        <f t="shared" si="26"/>
        <v>0</v>
      </c>
      <c r="R163" s="585">
        <f t="shared" si="26"/>
        <v>0</v>
      </c>
      <c r="S163" s="585">
        <f t="shared" si="26"/>
        <v>0</v>
      </c>
      <c r="T163" s="585">
        <f t="shared" si="26"/>
        <v>0</v>
      </c>
      <c r="U163" s="585">
        <f t="shared" si="26"/>
        <v>0</v>
      </c>
      <c r="V163" s="585">
        <f t="shared" si="26"/>
        <v>0</v>
      </c>
      <c r="W163" s="585">
        <f t="shared" si="26"/>
        <v>0</v>
      </c>
      <c r="X163" s="585">
        <f t="shared" si="26"/>
        <v>0</v>
      </c>
      <c r="Y163" s="585">
        <f t="shared" si="26"/>
        <v>0</v>
      </c>
      <c r="Z163" s="585">
        <f t="shared" si="26"/>
        <v>0</v>
      </c>
      <c r="AA163" s="585">
        <f t="shared" si="26"/>
        <v>0</v>
      </c>
      <c r="AB163" s="585">
        <f t="shared" si="26"/>
        <v>0</v>
      </c>
      <c r="AC163" s="585">
        <f t="shared" si="26"/>
        <v>0</v>
      </c>
      <c r="AD163" s="585">
        <f t="shared" si="26"/>
        <v>0</v>
      </c>
      <c r="AE163" s="585">
        <f t="shared" si="26"/>
        <v>0</v>
      </c>
      <c r="AF163" s="585">
        <f t="shared" si="26"/>
        <v>0</v>
      </c>
      <c r="AG163" s="585">
        <f t="shared" si="26"/>
        <v>0</v>
      </c>
      <c r="AH163" s="585">
        <f t="shared" si="26"/>
        <v>0</v>
      </c>
      <c r="AI163" s="585">
        <f t="shared" si="26"/>
        <v>0</v>
      </c>
      <c r="AJ163" s="585">
        <f t="shared" si="26"/>
        <v>0</v>
      </c>
      <c r="AK163" s="585">
        <f t="shared" si="26"/>
        <v>0</v>
      </c>
      <c r="AL163" s="585">
        <f t="shared" si="26"/>
        <v>0</v>
      </c>
      <c r="AM163" s="585">
        <f t="shared" si="26"/>
        <v>0</v>
      </c>
      <c r="AN163" s="585">
        <f t="shared" si="26"/>
        <v>0</v>
      </c>
      <c r="AO163" s="585">
        <f t="shared" si="26"/>
        <v>0</v>
      </c>
      <c r="AP163" s="585">
        <f t="shared" si="26"/>
        <v>0</v>
      </c>
      <c r="AQ163" s="571"/>
      <c r="AR163" s="571"/>
    </row>
    <row r="164" spans="5:44" x14ac:dyDescent="0.25">
      <c r="F164" s="66" t="s">
        <v>48</v>
      </c>
      <c r="G164" s="90" t="s">
        <v>201</v>
      </c>
      <c r="H164" s="572"/>
      <c r="I164" s="572"/>
      <c r="J164" s="585">
        <f t="shared" ref="J164:AP164" si="27">J59 * (1 - J$118)</f>
        <v>0</v>
      </c>
      <c r="K164" s="585">
        <f t="shared" si="27"/>
        <v>3.041469746739147E-2</v>
      </c>
      <c r="L164" s="585">
        <f t="shared" si="27"/>
        <v>0</v>
      </c>
      <c r="M164" s="585">
        <f t="shared" si="27"/>
        <v>0</v>
      </c>
      <c r="N164" s="585">
        <f t="shared" si="27"/>
        <v>7.2861242686592192E-2</v>
      </c>
      <c r="O164" s="585">
        <f t="shared" si="27"/>
        <v>0</v>
      </c>
      <c r="P164" s="585">
        <f t="shared" si="27"/>
        <v>2.79062215212421E-2</v>
      </c>
      <c r="Q164" s="585">
        <f t="shared" si="27"/>
        <v>2.5040174038317962E-2</v>
      </c>
      <c r="R164" s="585">
        <f t="shared" si="27"/>
        <v>0</v>
      </c>
      <c r="S164" s="585">
        <f t="shared" si="27"/>
        <v>0.23550825932094649</v>
      </c>
      <c r="T164" s="585">
        <f t="shared" si="27"/>
        <v>0.24866536500589811</v>
      </c>
      <c r="U164" s="585">
        <f t="shared" si="27"/>
        <v>0.14877098888588372</v>
      </c>
      <c r="V164" s="585">
        <f t="shared" si="27"/>
        <v>0</v>
      </c>
      <c r="W164" s="585">
        <f t="shared" si="27"/>
        <v>0</v>
      </c>
      <c r="X164" s="585">
        <f t="shared" si="27"/>
        <v>0</v>
      </c>
      <c r="Y164" s="585">
        <f t="shared" si="27"/>
        <v>0</v>
      </c>
      <c r="Z164" s="585">
        <f t="shared" si="27"/>
        <v>0</v>
      </c>
      <c r="AA164" s="585">
        <f t="shared" si="27"/>
        <v>0</v>
      </c>
      <c r="AB164" s="585">
        <f t="shared" si="27"/>
        <v>0.16029608530577649</v>
      </c>
      <c r="AC164" s="585">
        <f t="shared" si="27"/>
        <v>0</v>
      </c>
      <c r="AD164" s="585">
        <f t="shared" si="27"/>
        <v>0</v>
      </c>
      <c r="AE164" s="585">
        <f t="shared" si="27"/>
        <v>0</v>
      </c>
      <c r="AF164" s="585">
        <f t="shared" si="27"/>
        <v>0</v>
      </c>
      <c r="AG164" s="585">
        <f t="shared" si="27"/>
        <v>-0.15599887830776352</v>
      </c>
      <c r="AH164" s="585">
        <f t="shared" si="27"/>
        <v>-0.15599887830776352</v>
      </c>
      <c r="AI164" s="585">
        <f t="shared" si="27"/>
        <v>0</v>
      </c>
      <c r="AJ164" s="585">
        <f t="shared" si="27"/>
        <v>0</v>
      </c>
      <c r="AK164" s="585">
        <f t="shared" si="27"/>
        <v>-0.1498391429843165</v>
      </c>
      <c r="AL164" s="585">
        <f t="shared" si="27"/>
        <v>-0.1498391429843165</v>
      </c>
      <c r="AM164" s="585">
        <f t="shared" si="27"/>
        <v>0</v>
      </c>
      <c r="AN164" s="585">
        <f t="shared" si="27"/>
        <v>0</v>
      </c>
      <c r="AO164" s="585">
        <f t="shared" si="27"/>
        <v>0</v>
      </c>
      <c r="AP164" s="585">
        <f t="shared" si="27"/>
        <v>0</v>
      </c>
      <c r="AQ164" s="571"/>
      <c r="AR164" s="571"/>
    </row>
    <row r="165" spans="5:44" x14ac:dyDescent="0.25">
      <c r="F165" s="66" t="s">
        <v>49</v>
      </c>
      <c r="G165" s="90" t="s">
        <v>201</v>
      </c>
      <c r="H165" s="572"/>
      <c r="I165" s="572"/>
      <c r="J165" s="585">
        <f t="shared" ref="J165:AP165" si="28">J60 * (1 - J$119)</f>
        <v>0</v>
      </c>
      <c r="K165" s="585">
        <f t="shared" si="28"/>
        <v>8.7614059686601988E-3</v>
      </c>
      <c r="L165" s="585">
        <f t="shared" si="28"/>
        <v>0</v>
      </c>
      <c r="M165" s="585">
        <f t="shared" si="28"/>
        <v>0</v>
      </c>
      <c r="N165" s="585">
        <f t="shared" si="28"/>
        <v>2.0988764634030002E-2</v>
      </c>
      <c r="O165" s="585">
        <f t="shared" si="28"/>
        <v>0</v>
      </c>
      <c r="P165" s="585">
        <f t="shared" si="28"/>
        <v>8.0388021633651854E-3</v>
      </c>
      <c r="Q165" s="585">
        <f t="shared" si="28"/>
        <v>0</v>
      </c>
      <c r="R165" s="585">
        <f t="shared" si="28"/>
        <v>0</v>
      </c>
      <c r="S165" s="585">
        <f t="shared" si="28"/>
        <v>6.7841656853418669E-2</v>
      </c>
      <c r="T165" s="585">
        <f t="shared" si="28"/>
        <v>7.1631756833930332E-2</v>
      </c>
      <c r="U165" s="585">
        <f t="shared" si="28"/>
        <v>0</v>
      </c>
      <c r="V165" s="585">
        <f t="shared" si="28"/>
        <v>0</v>
      </c>
      <c r="W165" s="585">
        <f t="shared" si="28"/>
        <v>0</v>
      </c>
      <c r="X165" s="585">
        <f t="shared" si="28"/>
        <v>0</v>
      </c>
      <c r="Y165" s="585">
        <f t="shared" si="28"/>
        <v>0</v>
      </c>
      <c r="Z165" s="585">
        <f t="shared" si="28"/>
        <v>0</v>
      </c>
      <c r="AA165" s="585">
        <f t="shared" si="28"/>
        <v>0</v>
      </c>
      <c r="AB165" s="585">
        <f t="shared" si="28"/>
        <v>4.6175671484374126E-2</v>
      </c>
      <c r="AC165" s="585">
        <f t="shared" si="28"/>
        <v>0</v>
      </c>
      <c r="AD165" s="585">
        <f t="shared" si="28"/>
        <v>0</v>
      </c>
      <c r="AE165" s="585">
        <f t="shared" si="28"/>
        <v>0</v>
      </c>
      <c r="AF165" s="585">
        <f t="shared" si="28"/>
        <v>0</v>
      </c>
      <c r="AG165" s="585">
        <f t="shared" si="28"/>
        <v>-4.4937797095476309E-2</v>
      </c>
      <c r="AH165" s="585">
        <f t="shared" si="28"/>
        <v>-4.4937797095476309E-2</v>
      </c>
      <c r="AI165" s="585">
        <f t="shared" si="28"/>
        <v>0</v>
      </c>
      <c r="AJ165" s="585">
        <f t="shared" si="28"/>
        <v>0</v>
      </c>
      <c r="AK165" s="585">
        <f t="shared" si="28"/>
        <v>0</v>
      </c>
      <c r="AL165" s="585">
        <f t="shared" si="28"/>
        <v>0</v>
      </c>
      <c r="AM165" s="585">
        <f t="shared" si="28"/>
        <v>0</v>
      </c>
      <c r="AN165" s="585">
        <f t="shared" si="28"/>
        <v>0</v>
      </c>
      <c r="AO165" s="585">
        <f t="shared" si="28"/>
        <v>0</v>
      </c>
      <c r="AP165" s="585">
        <f t="shared" si="28"/>
        <v>0</v>
      </c>
      <c r="AQ165" s="571"/>
      <c r="AR165" s="571"/>
    </row>
    <row r="166" spans="5:44" x14ac:dyDescent="0.25">
      <c r="F166" s="66" t="s">
        <v>50</v>
      </c>
      <c r="G166" s="90" t="s">
        <v>201</v>
      </c>
      <c r="H166" s="572"/>
      <c r="I166" s="572"/>
      <c r="J166" s="585">
        <f t="shared" ref="J166:AP166" si="29">J61 * (1 - J$120)</f>
        <v>0</v>
      </c>
      <c r="K166" s="585">
        <f t="shared" si="29"/>
        <v>0</v>
      </c>
      <c r="L166" s="585">
        <f t="shared" si="29"/>
        <v>0</v>
      </c>
      <c r="M166" s="585">
        <f t="shared" si="29"/>
        <v>0</v>
      </c>
      <c r="N166" s="585">
        <f t="shared" si="29"/>
        <v>0</v>
      </c>
      <c r="O166" s="585">
        <f t="shared" si="29"/>
        <v>0</v>
      </c>
      <c r="P166" s="585">
        <f t="shared" si="29"/>
        <v>0</v>
      </c>
      <c r="Q166" s="585">
        <f t="shared" si="29"/>
        <v>0</v>
      </c>
      <c r="R166" s="585">
        <f t="shared" si="29"/>
        <v>0</v>
      </c>
      <c r="S166" s="585">
        <f t="shared" si="29"/>
        <v>0</v>
      </c>
      <c r="T166" s="585">
        <f t="shared" si="29"/>
        <v>0</v>
      </c>
      <c r="U166" s="585">
        <f t="shared" si="29"/>
        <v>0</v>
      </c>
      <c r="V166" s="585">
        <f t="shared" si="29"/>
        <v>0</v>
      </c>
      <c r="W166" s="585">
        <f t="shared" si="29"/>
        <v>0</v>
      </c>
      <c r="X166" s="585">
        <f t="shared" si="29"/>
        <v>0</v>
      </c>
      <c r="Y166" s="585">
        <f t="shared" si="29"/>
        <v>0</v>
      </c>
      <c r="Z166" s="585">
        <f t="shared" si="29"/>
        <v>0</v>
      </c>
      <c r="AA166" s="585">
        <f t="shared" si="29"/>
        <v>0</v>
      </c>
      <c r="AB166" s="585">
        <f t="shared" si="29"/>
        <v>6.3454537835983399E-3</v>
      </c>
      <c r="AC166" s="585">
        <f t="shared" si="29"/>
        <v>0</v>
      </c>
      <c r="AD166" s="585">
        <f t="shared" si="29"/>
        <v>0</v>
      </c>
      <c r="AE166" s="585">
        <f t="shared" si="29"/>
        <v>0</v>
      </c>
      <c r="AF166" s="585">
        <f t="shared" si="29"/>
        <v>0</v>
      </c>
      <c r="AG166" s="585">
        <f t="shared" si="29"/>
        <v>0</v>
      </c>
      <c r="AH166" s="585">
        <f t="shared" si="29"/>
        <v>0</v>
      </c>
      <c r="AI166" s="585">
        <f t="shared" si="29"/>
        <v>0</v>
      </c>
      <c r="AJ166" s="585">
        <f t="shared" si="29"/>
        <v>0</v>
      </c>
      <c r="AK166" s="585">
        <f t="shared" si="29"/>
        <v>0</v>
      </c>
      <c r="AL166" s="585">
        <f t="shared" si="29"/>
        <v>0</v>
      </c>
      <c r="AM166" s="585">
        <f t="shared" si="29"/>
        <v>0</v>
      </c>
      <c r="AN166" s="585">
        <f t="shared" si="29"/>
        <v>0</v>
      </c>
      <c r="AO166" s="585">
        <f t="shared" si="29"/>
        <v>0</v>
      </c>
      <c r="AP166" s="585">
        <f t="shared" si="29"/>
        <v>0</v>
      </c>
      <c r="AQ166" s="571"/>
      <c r="AR166" s="571"/>
    </row>
    <row r="167" spans="5:44" s="131" customFormat="1" x14ac:dyDescent="0.25">
      <c r="E167" s="175"/>
      <c r="F167" s="72" t="s">
        <v>141</v>
      </c>
      <c r="G167" s="137" t="s">
        <v>201</v>
      </c>
      <c r="H167" s="569"/>
      <c r="I167" s="569"/>
      <c r="J167" s="583"/>
      <c r="K167" s="583"/>
      <c r="L167" s="583"/>
      <c r="M167" s="583"/>
      <c r="N167" s="583"/>
      <c r="O167" s="583"/>
      <c r="P167" s="583"/>
      <c r="Q167" s="583"/>
      <c r="R167" s="583"/>
      <c r="S167" s="583"/>
      <c r="T167" s="583"/>
      <c r="U167" s="583"/>
      <c r="V167" s="583"/>
      <c r="W167" s="583"/>
      <c r="X167" s="583"/>
      <c r="Y167" s="583"/>
      <c r="Z167" s="583"/>
      <c r="AA167" s="583"/>
      <c r="AB167" s="583"/>
      <c r="AC167" s="583"/>
      <c r="AD167" s="583"/>
      <c r="AE167" s="583"/>
      <c r="AF167" s="583"/>
      <c r="AG167" s="583"/>
      <c r="AH167" s="583"/>
      <c r="AI167" s="583"/>
      <c r="AJ167" s="583"/>
      <c r="AK167" s="583"/>
      <c r="AL167" s="583"/>
      <c r="AM167" s="583"/>
      <c r="AN167" s="583"/>
      <c r="AO167" s="583"/>
      <c r="AP167" s="583"/>
      <c r="AQ167" s="571"/>
      <c r="AR167" s="571"/>
    </row>
    <row r="168" spans="5:44" s="131" customFormat="1" x14ac:dyDescent="0.25">
      <c r="E168" s="175"/>
      <c r="F168" s="67" t="s">
        <v>140</v>
      </c>
      <c r="G168" s="140" t="s">
        <v>201</v>
      </c>
      <c r="H168" s="574"/>
      <c r="I168" s="574"/>
      <c r="J168" s="579"/>
      <c r="K168" s="579"/>
      <c r="L168" s="579"/>
      <c r="M168" s="579"/>
      <c r="N168" s="579"/>
      <c r="O168" s="579"/>
      <c r="P168" s="579"/>
      <c r="Q168" s="579"/>
      <c r="R168" s="579"/>
      <c r="S168" s="579"/>
      <c r="T168" s="579"/>
      <c r="U168" s="579"/>
      <c r="V168" s="579"/>
      <c r="W168" s="579"/>
      <c r="X168" s="579"/>
      <c r="Y168" s="579"/>
      <c r="Z168" s="579"/>
      <c r="AA168" s="579"/>
      <c r="AB168" s="579"/>
      <c r="AC168" s="579"/>
      <c r="AD168" s="579"/>
      <c r="AE168" s="579"/>
      <c r="AF168" s="579"/>
      <c r="AG168" s="579"/>
      <c r="AH168" s="579"/>
      <c r="AI168" s="579"/>
      <c r="AJ168" s="579"/>
      <c r="AK168" s="579"/>
      <c r="AL168" s="579"/>
      <c r="AM168" s="579"/>
      <c r="AN168" s="579"/>
      <c r="AO168" s="579"/>
      <c r="AP168" s="579"/>
      <c r="AQ168" s="571"/>
      <c r="AR168" s="571"/>
    </row>
    <row r="169" spans="5:44" s="160" customFormat="1" x14ac:dyDescent="0.25">
      <c r="E169" s="175"/>
      <c r="F169" s="176"/>
      <c r="G169" s="167"/>
      <c r="H169" s="167"/>
      <c r="J169" s="416"/>
      <c r="K169" s="416"/>
      <c r="L169" s="416"/>
      <c r="M169" s="416"/>
      <c r="N169" s="416"/>
      <c r="O169" s="416"/>
      <c r="P169" s="416"/>
      <c r="Q169" s="416"/>
      <c r="R169" s="416"/>
      <c r="S169" s="416"/>
      <c r="T169" s="416"/>
      <c r="U169" s="416"/>
      <c r="V169" s="416"/>
      <c r="W169" s="416"/>
      <c r="X169" s="416"/>
      <c r="Y169" s="416"/>
      <c r="Z169" s="416"/>
      <c r="AA169" s="416"/>
      <c r="AB169" s="416"/>
      <c r="AC169" s="416"/>
      <c r="AD169" s="416"/>
      <c r="AE169" s="416"/>
      <c r="AF169" s="416"/>
      <c r="AG169" s="416"/>
      <c r="AH169" s="416"/>
      <c r="AI169" s="416"/>
      <c r="AJ169" s="416"/>
      <c r="AK169" s="416"/>
      <c r="AL169" s="416"/>
      <c r="AM169" s="416"/>
      <c r="AN169" s="416"/>
      <c r="AO169" s="416"/>
      <c r="AP169" s="416"/>
    </row>
    <row r="170" spans="5:44" x14ac:dyDescent="0.25">
      <c r="E170" s="172" t="s">
        <v>133</v>
      </c>
      <c r="F170" s="117"/>
      <c r="J170" s="416"/>
      <c r="K170" s="416"/>
      <c r="L170" s="416"/>
      <c r="M170" s="416"/>
      <c r="N170" s="416"/>
      <c r="O170" s="416"/>
      <c r="P170" s="416"/>
      <c r="Q170" s="416"/>
      <c r="R170" s="416"/>
      <c r="S170" s="416"/>
      <c r="T170" s="416"/>
      <c r="U170" s="416"/>
      <c r="V170" s="416"/>
      <c r="W170" s="416"/>
      <c r="X170" s="416"/>
      <c r="Y170" s="416"/>
      <c r="Z170" s="416"/>
      <c r="AA170" s="416"/>
      <c r="AB170" s="416"/>
      <c r="AC170" s="416"/>
      <c r="AD170" s="416"/>
      <c r="AE170" s="416"/>
      <c r="AF170" s="416"/>
      <c r="AG170" s="416"/>
      <c r="AH170" s="416"/>
      <c r="AI170" s="416"/>
      <c r="AJ170" s="416"/>
      <c r="AK170" s="416"/>
      <c r="AL170" s="416"/>
      <c r="AM170" s="416"/>
      <c r="AN170" s="416"/>
      <c r="AO170" s="416"/>
      <c r="AP170" s="416"/>
    </row>
    <row r="171" spans="5:44" x14ac:dyDescent="0.25">
      <c r="F171" s="72" t="s">
        <v>397</v>
      </c>
      <c r="G171" s="13" t="s">
        <v>201</v>
      </c>
      <c r="H171" s="569"/>
      <c r="I171" s="569"/>
      <c r="J171" s="584">
        <f t="shared" ref="J171:AP171" si="30">J66 * (1 - J$112)</f>
        <v>0</v>
      </c>
      <c r="K171" s="584">
        <f t="shared" si="30"/>
        <v>1.3914552701519759E-3</v>
      </c>
      <c r="L171" s="584">
        <f t="shared" si="30"/>
        <v>0</v>
      </c>
      <c r="M171" s="584">
        <f t="shared" si="30"/>
        <v>0</v>
      </c>
      <c r="N171" s="584">
        <f t="shared" si="30"/>
        <v>3.4152497029251157E-3</v>
      </c>
      <c r="O171" s="584">
        <f t="shared" si="30"/>
        <v>0</v>
      </c>
      <c r="P171" s="584">
        <f t="shared" si="30"/>
        <v>9.7595149175606639E-4</v>
      </c>
      <c r="Q171" s="584">
        <f t="shared" si="30"/>
        <v>9.346863916737221E-4</v>
      </c>
      <c r="R171" s="584">
        <f t="shared" si="30"/>
        <v>1.5371304999939163E-3</v>
      </c>
      <c r="S171" s="584">
        <f t="shared" si="30"/>
        <v>1.4259631783429916E-2</v>
      </c>
      <c r="T171" s="584">
        <f t="shared" si="30"/>
        <v>1.5048214395972016E-2</v>
      </c>
      <c r="U171" s="584">
        <f t="shared" si="30"/>
        <v>1.1244794923944933E-2</v>
      </c>
      <c r="V171" s="584">
        <f t="shared" si="30"/>
        <v>1.0444121628711882E-2</v>
      </c>
      <c r="W171" s="584">
        <f t="shared" si="30"/>
        <v>9.3645426842441735E-3</v>
      </c>
      <c r="X171" s="584">
        <f t="shared" si="30"/>
        <v>0</v>
      </c>
      <c r="Y171" s="584">
        <f t="shared" si="30"/>
        <v>0</v>
      </c>
      <c r="Z171" s="584">
        <f t="shared" si="30"/>
        <v>0</v>
      </c>
      <c r="AA171" s="584">
        <f t="shared" si="30"/>
        <v>0</v>
      </c>
      <c r="AB171" s="584">
        <f t="shared" si="30"/>
        <v>3.0225591444152215E-2</v>
      </c>
      <c r="AC171" s="584">
        <f t="shared" si="30"/>
        <v>0</v>
      </c>
      <c r="AD171" s="584">
        <f t="shared" si="30"/>
        <v>0</v>
      </c>
      <c r="AE171" s="584">
        <f t="shared" si="30"/>
        <v>0</v>
      </c>
      <c r="AF171" s="584">
        <f t="shared" si="30"/>
        <v>0</v>
      </c>
      <c r="AG171" s="584">
        <f t="shared" si="30"/>
        <v>-9.4328896141534727E-3</v>
      </c>
      <c r="AH171" s="584">
        <f t="shared" si="30"/>
        <v>-9.4328896141534727E-3</v>
      </c>
      <c r="AI171" s="584">
        <f t="shared" si="30"/>
        <v>0</v>
      </c>
      <c r="AJ171" s="584">
        <f t="shared" si="30"/>
        <v>0</v>
      </c>
      <c r="AK171" s="584">
        <f t="shared" si="30"/>
        <v>-9.0604247349903889E-3</v>
      </c>
      <c r="AL171" s="584">
        <f t="shared" si="30"/>
        <v>-9.0604247349903889E-3</v>
      </c>
      <c r="AM171" s="584">
        <f t="shared" si="30"/>
        <v>0</v>
      </c>
      <c r="AN171" s="584">
        <f t="shared" si="30"/>
        <v>0</v>
      </c>
      <c r="AO171" s="584">
        <f t="shared" si="30"/>
        <v>-8.9304951259800078E-3</v>
      </c>
      <c r="AP171" s="584">
        <f t="shared" si="30"/>
        <v>-8.9304951259800078E-3</v>
      </c>
      <c r="AQ171" s="571"/>
      <c r="AR171" s="571"/>
    </row>
    <row r="172" spans="5:44" x14ac:dyDescent="0.25">
      <c r="F172" s="66" t="s">
        <v>43</v>
      </c>
      <c r="G172" s="90" t="s">
        <v>201</v>
      </c>
      <c r="H172" s="572"/>
      <c r="I172" s="572"/>
      <c r="J172" s="585">
        <f t="shared" ref="J172:AP172" si="31">J67 * (1 - J$112)</f>
        <v>0</v>
      </c>
      <c r="K172" s="585">
        <f t="shared" si="31"/>
        <v>0</v>
      </c>
      <c r="L172" s="585">
        <f t="shared" si="31"/>
        <v>0</v>
      </c>
      <c r="M172" s="585">
        <f t="shared" si="31"/>
        <v>0</v>
      </c>
      <c r="N172" s="585">
        <f t="shared" si="31"/>
        <v>0</v>
      </c>
      <c r="O172" s="585">
        <f t="shared" si="31"/>
        <v>0</v>
      </c>
      <c r="P172" s="585">
        <f t="shared" si="31"/>
        <v>0</v>
      </c>
      <c r="Q172" s="585">
        <f t="shared" si="31"/>
        <v>0</v>
      </c>
      <c r="R172" s="585">
        <f t="shared" si="31"/>
        <v>0</v>
      </c>
      <c r="S172" s="585">
        <f t="shared" si="31"/>
        <v>0</v>
      </c>
      <c r="T172" s="585">
        <f t="shared" si="31"/>
        <v>0</v>
      </c>
      <c r="U172" s="585">
        <f t="shared" si="31"/>
        <v>0</v>
      </c>
      <c r="V172" s="585">
        <f t="shared" si="31"/>
        <v>0</v>
      </c>
      <c r="W172" s="585">
        <f t="shared" si="31"/>
        <v>0</v>
      </c>
      <c r="X172" s="585">
        <f t="shared" si="31"/>
        <v>0</v>
      </c>
      <c r="Y172" s="585">
        <f t="shared" si="31"/>
        <v>0</v>
      </c>
      <c r="Z172" s="585">
        <f t="shared" si="31"/>
        <v>0</v>
      </c>
      <c r="AA172" s="585">
        <f t="shared" si="31"/>
        <v>0</v>
      </c>
      <c r="AB172" s="585">
        <f t="shared" si="31"/>
        <v>0</v>
      </c>
      <c r="AC172" s="585">
        <f t="shared" si="31"/>
        <v>0</v>
      </c>
      <c r="AD172" s="585">
        <f t="shared" si="31"/>
        <v>0</v>
      </c>
      <c r="AE172" s="585">
        <f t="shared" si="31"/>
        <v>0</v>
      </c>
      <c r="AF172" s="585">
        <f t="shared" si="31"/>
        <v>0</v>
      </c>
      <c r="AG172" s="585">
        <f t="shared" si="31"/>
        <v>0</v>
      </c>
      <c r="AH172" s="585">
        <f t="shared" si="31"/>
        <v>0</v>
      </c>
      <c r="AI172" s="585">
        <f t="shared" si="31"/>
        <v>0</v>
      </c>
      <c r="AJ172" s="585">
        <f t="shared" si="31"/>
        <v>0</v>
      </c>
      <c r="AK172" s="585">
        <f t="shared" si="31"/>
        <v>0</v>
      </c>
      <c r="AL172" s="585">
        <f t="shared" si="31"/>
        <v>0</v>
      </c>
      <c r="AM172" s="585">
        <f t="shared" si="31"/>
        <v>0</v>
      </c>
      <c r="AN172" s="585">
        <f t="shared" si="31"/>
        <v>0</v>
      </c>
      <c r="AO172" s="585">
        <f t="shared" si="31"/>
        <v>0</v>
      </c>
      <c r="AP172" s="585">
        <f t="shared" si="31"/>
        <v>0</v>
      </c>
      <c r="AQ172" s="571"/>
      <c r="AR172" s="571"/>
    </row>
    <row r="173" spans="5:44" x14ac:dyDescent="0.25">
      <c r="F173" s="66" t="s">
        <v>44</v>
      </c>
      <c r="G173" s="90" t="s">
        <v>201</v>
      </c>
      <c r="H173" s="572"/>
      <c r="I173" s="572"/>
      <c r="J173" s="585">
        <f t="shared" ref="J173:AP173" si="32">J68 * (1 - J$113)</f>
        <v>0</v>
      </c>
      <c r="K173" s="585">
        <f t="shared" si="32"/>
        <v>2.888158108663681E-3</v>
      </c>
      <c r="L173" s="585">
        <f t="shared" si="32"/>
        <v>0</v>
      </c>
      <c r="M173" s="585">
        <f t="shared" si="32"/>
        <v>0</v>
      </c>
      <c r="N173" s="585">
        <f t="shared" si="32"/>
        <v>7.5878255880067582E-3</v>
      </c>
      <c r="O173" s="585">
        <f t="shared" si="32"/>
        <v>0</v>
      </c>
      <c r="P173" s="585">
        <f t="shared" si="32"/>
        <v>2.3818853090792256E-3</v>
      </c>
      <c r="Q173" s="585">
        <f t="shared" si="32"/>
        <v>2.230672687386713E-3</v>
      </c>
      <c r="R173" s="585">
        <f t="shared" si="32"/>
        <v>3.5444114408524421E-3</v>
      </c>
      <c r="S173" s="585">
        <f t="shared" si="32"/>
        <v>2.964750163452699E-2</v>
      </c>
      <c r="T173" s="585">
        <f t="shared" si="32"/>
        <v>3.1288313314993869E-2</v>
      </c>
      <c r="U173" s="585">
        <f t="shared" si="32"/>
        <v>2.3383305812626896E-2</v>
      </c>
      <c r="V173" s="585">
        <f t="shared" si="32"/>
        <v>2.1718323156645316E-2</v>
      </c>
      <c r="W173" s="585">
        <f t="shared" si="32"/>
        <v>1.9473362285584342E-2</v>
      </c>
      <c r="X173" s="585">
        <f t="shared" si="32"/>
        <v>0</v>
      </c>
      <c r="Y173" s="585">
        <f t="shared" si="32"/>
        <v>0</v>
      </c>
      <c r="Z173" s="585">
        <f t="shared" si="32"/>
        <v>0</v>
      </c>
      <c r="AA173" s="585">
        <f t="shared" si="32"/>
        <v>0</v>
      </c>
      <c r="AB173" s="585">
        <f t="shared" si="32"/>
        <v>3.6292167298741573E-2</v>
      </c>
      <c r="AC173" s="585">
        <f t="shared" si="32"/>
        <v>0</v>
      </c>
      <c r="AD173" s="585">
        <f t="shared" si="32"/>
        <v>0</v>
      </c>
      <c r="AE173" s="585">
        <f t="shared" si="32"/>
        <v>0</v>
      </c>
      <c r="AF173" s="585">
        <f t="shared" si="32"/>
        <v>0</v>
      </c>
      <c r="AG173" s="585">
        <f t="shared" si="32"/>
        <v>-1.96154882357891E-2</v>
      </c>
      <c r="AH173" s="585">
        <f t="shared" si="32"/>
        <v>-1.96154882357891E-2</v>
      </c>
      <c r="AI173" s="585">
        <f t="shared" si="32"/>
        <v>0</v>
      </c>
      <c r="AJ173" s="585">
        <f t="shared" si="32"/>
        <v>0</v>
      </c>
      <c r="AK173" s="585">
        <f t="shared" si="32"/>
        <v>-1.8840955642456754E-2</v>
      </c>
      <c r="AL173" s="585">
        <f t="shared" si="32"/>
        <v>-1.8840955642456754E-2</v>
      </c>
      <c r="AM173" s="585">
        <f t="shared" si="32"/>
        <v>0</v>
      </c>
      <c r="AN173" s="585">
        <f t="shared" si="32"/>
        <v>0</v>
      </c>
      <c r="AO173" s="585">
        <f t="shared" si="32"/>
        <v>-1.8570769854085001E-2</v>
      </c>
      <c r="AP173" s="585">
        <f t="shared" si="32"/>
        <v>-1.8570769854085001E-2</v>
      </c>
      <c r="AQ173" s="571"/>
      <c r="AR173" s="571"/>
    </row>
    <row r="174" spans="5:44" x14ac:dyDescent="0.25">
      <c r="F174" s="66" t="s">
        <v>45</v>
      </c>
      <c r="G174" s="90" t="s">
        <v>201</v>
      </c>
      <c r="H174" s="572"/>
      <c r="I174" s="572"/>
      <c r="J174" s="585">
        <f t="shared" ref="J174:AP174" si="33">J69 * (1 - J$114)</f>
        <v>0</v>
      </c>
      <c r="K174" s="585">
        <f t="shared" si="33"/>
        <v>8.0378515079325397E-4</v>
      </c>
      <c r="L174" s="585">
        <f t="shared" si="33"/>
        <v>0</v>
      </c>
      <c r="M174" s="585">
        <f t="shared" si="33"/>
        <v>0</v>
      </c>
      <c r="N174" s="585">
        <f t="shared" si="33"/>
        <v>2.1117201015254856E-3</v>
      </c>
      <c r="O174" s="585">
        <f t="shared" si="33"/>
        <v>0</v>
      </c>
      <c r="P174" s="585">
        <f t="shared" si="33"/>
        <v>6.6288754642186492E-4</v>
      </c>
      <c r="Q174" s="585">
        <f t="shared" si="33"/>
        <v>6.2080451102142567E-4</v>
      </c>
      <c r="R174" s="585">
        <f t="shared" si="33"/>
        <v>9.8642289558624279E-4</v>
      </c>
      <c r="S174" s="585">
        <f t="shared" si="33"/>
        <v>8.2510100470148777E-3</v>
      </c>
      <c r="T174" s="585">
        <f t="shared" si="33"/>
        <v>8.7076540444647344E-3</v>
      </c>
      <c r="U174" s="585">
        <f t="shared" si="33"/>
        <v>6.5076610356845713E-3</v>
      </c>
      <c r="V174" s="585">
        <f t="shared" si="33"/>
        <v>6.0442901657893899E-3</v>
      </c>
      <c r="W174" s="585">
        <f t="shared" si="33"/>
        <v>5.419509200073629E-3</v>
      </c>
      <c r="X174" s="585">
        <f t="shared" si="33"/>
        <v>0</v>
      </c>
      <c r="Y174" s="585">
        <f t="shared" si="33"/>
        <v>0</v>
      </c>
      <c r="Z174" s="585">
        <f t="shared" si="33"/>
        <v>0</v>
      </c>
      <c r="AA174" s="585">
        <f t="shared" si="33"/>
        <v>0</v>
      </c>
      <c r="AB174" s="585">
        <f t="shared" si="33"/>
        <v>1.0100245231494664E-2</v>
      </c>
      <c r="AC174" s="585">
        <f t="shared" si="33"/>
        <v>0</v>
      </c>
      <c r="AD174" s="585">
        <f t="shared" si="33"/>
        <v>0</v>
      </c>
      <c r="AE174" s="585">
        <f t="shared" si="33"/>
        <v>0</v>
      </c>
      <c r="AF174" s="585">
        <f t="shared" si="33"/>
        <v>0</v>
      </c>
      <c r="AG174" s="585">
        <f t="shared" si="33"/>
        <v>-5.4590633809802362E-3</v>
      </c>
      <c r="AH174" s="585">
        <f t="shared" si="33"/>
        <v>-5.4590633809802362E-3</v>
      </c>
      <c r="AI174" s="585">
        <f t="shared" si="33"/>
        <v>0</v>
      </c>
      <c r="AJ174" s="585">
        <f t="shared" si="33"/>
        <v>0</v>
      </c>
      <c r="AK174" s="585">
        <f t="shared" si="33"/>
        <v>-5.2435080775990158E-3</v>
      </c>
      <c r="AL174" s="585">
        <f t="shared" si="33"/>
        <v>-5.2435080775990158E-3</v>
      </c>
      <c r="AM174" s="585">
        <f t="shared" si="33"/>
        <v>0</v>
      </c>
      <c r="AN174" s="585">
        <f t="shared" si="33"/>
        <v>0</v>
      </c>
      <c r="AO174" s="585">
        <f t="shared" si="33"/>
        <v>-5.1683143671171937E-3</v>
      </c>
      <c r="AP174" s="585">
        <f t="shared" si="33"/>
        <v>-5.1683143671171937E-3</v>
      </c>
      <c r="AQ174" s="571"/>
      <c r="AR174" s="571"/>
    </row>
    <row r="175" spans="5:44" x14ac:dyDescent="0.25">
      <c r="F175" s="66" t="s">
        <v>46</v>
      </c>
      <c r="G175" s="90" t="s">
        <v>201</v>
      </c>
      <c r="H175" s="572"/>
      <c r="I175" s="572"/>
      <c r="J175" s="585">
        <f t="shared" ref="J175:AP175" si="34">J70 * (1 - J$115)</f>
        <v>0</v>
      </c>
      <c r="K175" s="585">
        <f t="shared" si="34"/>
        <v>4.2706663818957366E-3</v>
      </c>
      <c r="L175" s="585">
        <f t="shared" si="34"/>
        <v>0</v>
      </c>
      <c r="M175" s="585">
        <f t="shared" si="34"/>
        <v>0</v>
      </c>
      <c r="N175" s="585">
        <f t="shared" si="34"/>
        <v>1.0607113111390455E-2</v>
      </c>
      <c r="O175" s="585">
        <f t="shared" si="34"/>
        <v>0</v>
      </c>
      <c r="P175" s="585">
        <f t="shared" si="34"/>
        <v>3.8366334919549398E-3</v>
      </c>
      <c r="Q175" s="585">
        <f t="shared" si="34"/>
        <v>3.4830015492394975E-3</v>
      </c>
      <c r="R175" s="585">
        <f t="shared" si="34"/>
        <v>4.2062985396702822E-3</v>
      </c>
      <c r="S175" s="585">
        <f t="shared" si="34"/>
        <v>3.6517164304384467E-2</v>
      </c>
      <c r="T175" s="585">
        <f t="shared" si="34"/>
        <v>3.8545026394381662E-2</v>
      </c>
      <c r="U175" s="585">
        <f t="shared" si="34"/>
        <v>2.8815223727078728E-2</v>
      </c>
      <c r="V175" s="585">
        <f t="shared" si="34"/>
        <v>2.6763467310844898E-2</v>
      </c>
      <c r="W175" s="585">
        <f t="shared" si="34"/>
        <v>1.9197603468866654E-2</v>
      </c>
      <c r="X175" s="585">
        <f t="shared" si="34"/>
        <v>0</v>
      </c>
      <c r="Y175" s="585">
        <f t="shared" si="34"/>
        <v>0</v>
      </c>
      <c r="Z175" s="585">
        <f t="shared" si="34"/>
        <v>0</v>
      </c>
      <c r="AA175" s="585">
        <f t="shared" si="34"/>
        <v>0</v>
      </c>
      <c r="AB175" s="585">
        <f t="shared" si="34"/>
        <v>2.9548091791277691E-2</v>
      </c>
      <c r="AC175" s="585">
        <f t="shared" si="34"/>
        <v>0</v>
      </c>
      <c r="AD175" s="585">
        <f t="shared" si="34"/>
        <v>0</v>
      </c>
      <c r="AE175" s="585">
        <f t="shared" si="34"/>
        <v>0</v>
      </c>
      <c r="AF175" s="585">
        <f t="shared" si="34"/>
        <v>0</v>
      </c>
      <c r="AG175" s="585">
        <f t="shared" si="34"/>
        <v>-2.4172145998489426E-2</v>
      </c>
      <c r="AH175" s="585">
        <f t="shared" si="34"/>
        <v>-2.4172145998489426E-2</v>
      </c>
      <c r="AI175" s="585">
        <f t="shared" si="34"/>
        <v>0</v>
      </c>
      <c r="AJ175" s="585">
        <f t="shared" si="34"/>
        <v>0</v>
      </c>
      <c r="AK175" s="585">
        <f t="shared" si="34"/>
        <v>-2.321769027954081E-2</v>
      </c>
      <c r="AL175" s="585">
        <f t="shared" si="34"/>
        <v>-2.321769027954081E-2</v>
      </c>
      <c r="AM175" s="585">
        <f t="shared" si="34"/>
        <v>0</v>
      </c>
      <c r="AN175" s="585">
        <f t="shared" si="34"/>
        <v>0</v>
      </c>
      <c r="AO175" s="585">
        <f t="shared" si="34"/>
        <v>-2.2884740610140127E-2</v>
      </c>
      <c r="AP175" s="585">
        <f t="shared" si="34"/>
        <v>-2.2884740610140127E-2</v>
      </c>
      <c r="AQ175" s="571"/>
      <c r="AR175" s="571"/>
    </row>
    <row r="176" spans="5:44" x14ac:dyDescent="0.25">
      <c r="F176" s="66" t="s">
        <v>47</v>
      </c>
      <c r="G176" s="90" t="s">
        <v>201</v>
      </c>
      <c r="H176" s="572"/>
      <c r="I176" s="572"/>
      <c r="J176" s="585">
        <f t="shared" ref="J176:AP176" si="35">J71 * (1 - J$116)</f>
        <v>0</v>
      </c>
      <c r="K176" s="585">
        <f t="shared" si="35"/>
        <v>3.2528958553069576E-3</v>
      </c>
      <c r="L176" s="585">
        <f t="shared" si="35"/>
        <v>0</v>
      </c>
      <c r="M176" s="585">
        <f t="shared" si="35"/>
        <v>0</v>
      </c>
      <c r="N176" s="585">
        <f t="shared" si="35"/>
        <v>8.0792623893739847E-3</v>
      </c>
      <c r="O176" s="585">
        <f t="shared" si="35"/>
        <v>0</v>
      </c>
      <c r="P176" s="585">
        <f t="shared" si="35"/>
        <v>2.9223001911875338E-3</v>
      </c>
      <c r="Q176" s="585">
        <f t="shared" si="35"/>
        <v>2.6529445970255323E-3</v>
      </c>
      <c r="R176" s="585">
        <f t="shared" si="35"/>
        <v>0</v>
      </c>
      <c r="S176" s="585">
        <f t="shared" si="35"/>
        <v>2.7814519278971734E-2</v>
      </c>
      <c r="T176" s="585">
        <f t="shared" si="35"/>
        <v>2.9359108248892124E-2</v>
      </c>
      <c r="U176" s="585">
        <f t="shared" si="35"/>
        <v>2.1948078695378993E-2</v>
      </c>
      <c r="V176" s="585">
        <f t="shared" si="35"/>
        <v>2.0385289812885236E-2</v>
      </c>
      <c r="W176" s="585">
        <f t="shared" si="35"/>
        <v>0</v>
      </c>
      <c r="X176" s="585">
        <f t="shared" si="35"/>
        <v>0</v>
      </c>
      <c r="Y176" s="585">
        <f t="shared" si="35"/>
        <v>0</v>
      </c>
      <c r="Z176" s="585">
        <f t="shared" si="35"/>
        <v>0</v>
      </c>
      <c r="AA176" s="585">
        <f t="shared" si="35"/>
        <v>0</v>
      </c>
      <c r="AB176" s="585">
        <f t="shared" si="35"/>
        <v>2.2506292162632179E-2</v>
      </c>
      <c r="AC176" s="585">
        <f t="shared" si="35"/>
        <v>0</v>
      </c>
      <c r="AD176" s="585">
        <f t="shared" si="35"/>
        <v>0</v>
      </c>
      <c r="AE176" s="585">
        <f t="shared" si="35"/>
        <v>0</v>
      </c>
      <c r="AF176" s="585">
        <f t="shared" si="35"/>
        <v>0</v>
      </c>
      <c r="AG176" s="585">
        <f t="shared" si="35"/>
        <v>-1.8411523284911222E-2</v>
      </c>
      <c r="AH176" s="585">
        <f t="shared" si="35"/>
        <v>-1.8411523284911222E-2</v>
      </c>
      <c r="AI176" s="585">
        <f t="shared" si="35"/>
        <v>0</v>
      </c>
      <c r="AJ176" s="585">
        <f t="shared" si="35"/>
        <v>0</v>
      </c>
      <c r="AK176" s="585">
        <f t="shared" si="35"/>
        <v>-1.7684530170814637E-2</v>
      </c>
      <c r="AL176" s="585">
        <f t="shared" si="35"/>
        <v>-1.7684530170814637E-2</v>
      </c>
      <c r="AM176" s="585">
        <f t="shared" si="35"/>
        <v>0</v>
      </c>
      <c r="AN176" s="585">
        <f t="shared" si="35"/>
        <v>0</v>
      </c>
      <c r="AO176" s="585">
        <f t="shared" si="35"/>
        <v>-1.7430927921711175E-2</v>
      </c>
      <c r="AP176" s="585">
        <f t="shared" si="35"/>
        <v>-1.7430927921711175E-2</v>
      </c>
      <c r="AQ176" s="571"/>
      <c r="AR176" s="571"/>
    </row>
    <row r="177" spans="3:44" x14ac:dyDescent="0.25">
      <c r="F177" s="66" t="s">
        <v>51</v>
      </c>
      <c r="G177" s="90" t="s">
        <v>201</v>
      </c>
      <c r="H177" s="572"/>
      <c r="I177" s="572"/>
      <c r="J177" s="585">
        <f t="shared" ref="J177:AP177" si="36">J72 * (1 - J$117)</f>
        <v>0</v>
      </c>
      <c r="K177" s="585">
        <f t="shared" si="36"/>
        <v>0</v>
      </c>
      <c r="L177" s="585">
        <f t="shared" si="36"/>
        <v>0</v>
      </c>
      <c r="M177" s="585">
        <f t="shared" si="36"/>
        <v>0</v>
      </c>
      <c r="N177" s="585">
        <f t="shared" si="36"/>
        <v>0</v>
      </c>
      <c r="O177" s="585">
        <f t="shared" si="36"/>
        <v>0</v>
      </c>
      <c r="P177" s="585">
        <f t="shared" si="36"/>
        <v>0</v>
      </c>
      <c r="Q177" s="585">
        <f t="shared" si="36"/>
        <v>0</v>
      </c>
      <c r="R177" s="585">
        <f t="shared" si="36"/>
        <v>0</v>
      </c>
      <c r="S177" s="585">
        <f t="shared" si="36"/>
        <v>0</v>
      </c>
      <c r="T177" s="585">
        <f t="shared" si="36"/>
        <v>0</v>
      </c>
      <c r="U177" s="585">
        <f t="shared" si="36"/>
        <v>0</v>
      </c>
      <c r="V177" s="585">
        <f t="shared" si="36"/>
        <v>0</v>
      </c>
      <c r="W177" s="585">
        <f t="shared" si="36"/>
        <v>0</v>
      </c>
      <c r="X177" s="585">
        <f t="shared" si="36"/>
        <v>0</v>
      </c>
      <c r="Y177" s="585">
        <f t="shared" si="36"/>
        <v>0</v>
      </c>
      <c r="Z177" s="585">
        <f t="shared" si="36"/>
        <v>0</v>
      </c>
      <c r="AA177" s="585">
        <f t="shared" si="36"/>
        <v>0</v>
      </c>
      <c r="AB177" s="585">
        <f t="shared" si="36"/>
        <v>0</v>
      </c>
      <c r="AC177" s="585">
        <f t="shared" si="36"/>
        <v>0</v>
      </c>
      <c r="AD177" s="585">
        <f t="shared" si="36"/>
        <v>0</v>
      </c>
      <c r="AE177" s="585">
        <f t="shared" si="36"/>
        <v>0</v>
      </c>
      <c r="AF177" s="585">
        <f t="shared" si="36"/>
        <v>0</v>
      </c>
      <c r="AG177" s="585">
        <f t="shared" si="36"/>
        <v>0</v>
      </c>
      <c r="AH177" s="585">
        <f t="shared" si="36"/>
        <v>0</v>
      </c>
      <c r="AI177" s="585">
        <f t="shared" si="36"/>
        <v>0</v>
      </c>
      <c r="AJ177" s="585">
        <f t="shared" si="36"/>
        <v>0</v>
      </c>
      <c r="AK177" s="585">
        <f t="shared" si="36"/>
        <v>0</v>
      </c>
      <c r="AL177" s="585">
        <f t="shared" si="36"/>
        <v>0</v>
      </c>
      <c r="AM177" s="585">
        <f t="shared" si="36"/>
        <v>0</v>
      </c>
      <c r="AN177" s="585">
        <f t="shared" si="36"/>
        <v>0</v>
      </c>
      <c r="AO177" s="585">
        <f t="shared" si="36"/>
        <v>0</v>
      </c>
      <c r="AP177" s="585">
        <f t="shared" si="36"/>
        <v>0</v>
      </c>
      <c r="AQ177" s="571"/>
      <c r="AR177" s="571"/>
    </row>
    <row r="178" spans="3:44" x14ac:dyDescent="0.25">
      <c r="F178" s="66" t="s">
        <v>48</v>
      </c>
      <c r="G178" s="90" t="s">
        <v>201</v>
      </c>
      <c r="H178" s="572"/>
      <c r="I178" s="572"/>
      <c r="J178" s="585">
        <f t="shared" ref="J178:AP178" si="37">J73 * (1 - J$118)</f>
        <v>0</v>
      </c>
      <c r="K178" s="585">
        <f t="shared" si="37"/>
        <v>1.8730556932241363E-2</v>
      </c>
      <c r="L178" s="585">
        <f t="shared" si="37"/>
        <v>0</v>
      </c>
      <c r="M178" s="585">
        <f t="shared" si="37"/>
        <v>0</v>
      </c>
      <c r="N178" s="585">
        <f t="shared" si="37"/>
        <v>4.4870794975299035E-2</v>
      </c>
      <c r="O178" s="585">
        <f t="shared" si="37"/>
        <v>0</v>
      </c>
      <c r="P178" s="585">
        <f t="shared" si="37"/>
        <v>1.718573960920591E-2</v>
      </c>
      <c r="Q178" s="585">
        <f t="shared" si="37"/>
        <v>1.5420715787845448E-2</v>
      </c>
      <c r="R178" s="585">
        <f t="shared" si="37"/>
        <v>0</v>
      </c>
      <c r="S178" s="585">
        <f t="shared" si="37"/>
        <v>0.14503517136586458</v>
      </c>
      <c r="T178" s="585">
        <f t="shared" si="37"/>
        <v>0.15313783019913818</v>
      </c>
      <c r="U178" s="585">
        <f t="shared" si="37"/>
        <v>9.161897731123092E-2</v>
      </c>
      <c r="V178" s="585">
        <f t="shared" si="37"/>
        <v>0</v>
      </c>
      <c r="W178" s="585">
        <f t="shared" si="37"/>
        <v>0</v>
      </c>
      <c r="X178" s="585">
        <f t="shared" si="37"/>
        <v>0</v>
      </c>
      <c r="Y178" s="585">
        <f t="shared" si="37"/>
        <v>0</v>
      </c>
      <c r="Z178" s="585">
        <f t="shared" si="37"/>
        <v>0</v>
      </c>
      <c r="AA178" s="585">
        <f t="shared" si="37"/>
        <v>0</v>
      </c>
      <c r="AB178" s="585">
        <f t="shared" si="37"/>
        <v>9.8716581187574412E-2</v>
      </c>
      <c r="AC178" s="585">
        <f t="shared" si="37"/>
        <v>0</v>
      </c>
      <c r="AD178" s="585">
        <f t="shared" si="37"/>
        <v>0</v>
      </c>
      <c r="AE178" s="585">
        <f t="shared" si="37"/>
        <v>0</v>
      </c>
      <c r="AF178" s="585">
        <f t="shared" si="37"/>
        <v>0</v>
      </c>
      <c r="AG178" s="585">
        <f t="shared" si="37"/>
        <v>-9.60701935188428E-2</v>
      </c>
      <c r="AH178" s="585">
        <f t="shared" si="37"/>
        <v>-9.60701935188428E-2</v>
      </c>
      <c r="AI178" s="585">
        <f t="shared" si="37"/>
        <v>0</v>
      </c>
      <c r="AJ178" s="585">
        <f t="shared" si="37"/>
        <v>0</v>
      </c>
      <c r="AK178" s="585">
        <f t="shared" si="37"/>
        <v>-9.2276788265114401E-2</v>
      </c>
      <c r="AL178" s="585">
        <f t="shared" si="37"/>
        <v>-9.2276788265114401E-2</v>
      </c>
      <c r="AM178" s="585">
        <f t="shared" si="37"/>
        <v>0</v>
      </c>
      <c r="AN178" s="585">
        <f t="shared" si="37"/>
        <v>0</v>
      </c>
      <c r="AO178" s="585">
        <f t="shared" si="37"/>
        <v>0</v>
      </c>
      <c r="AP178" s="585">
        <f t="shared" si="37"/>
        <v>0</v>
      </c>
      <c r="AQ178" s="571"/>
      <c r="AR178" s="571"/>
    </row>
    <row r="179" spans="3:44" x14ac:dyDescent="0.25">
      <c r="F179" s="66" t="s">
        <v>49</v>
      </c>
      <c r="G179" s="90" t="s">
        <v>201</v>
      </c>
      <c r="H179" s="572"/>
      <c r="I179" s="572"/>
      <c r="J179" s="585">
        <f t="shared" ref="J179:AP179" si="38">J74 * (1 - J$119)</f>
        <v>0</v>
      </c>
      <c r="K179" s="585">
        <f t="shared" si="38"/>
        <v>6.1417654742871447E-3</v>
      </c>
      <c r="L179" s="585">
        <f t="shared" si="38"/>
        <v>0</v>
      </c>
      <c r="M179" s="585">
        <f t="shared" si="38"/>
        <v>0</v>
      </c>
      <c r="N179" s="585">
        <f t="shared" si="38"/>
        <v>1.4713171657418046E-2</v>
      </c>
      <c r="O179" s="585">
        <f t="shared" si="38"/>
        <v>0</v>
      </c>
      <c r="P179" s="585">
        <f t="shared" si="38"/>
        <v>5.6352185663109027E-3</v>
      </c>
      <c r="Q179" s="585">
        <f t="shared" si="38"/>
        <v>0</v>
      </c>
      <c r="R179" s="585">
        <f t="shared" si="38"/>
        <v>0</v>
      </c>
      <c r="S179" s="585">
        <f t="shared" si="38"/>
        <v>4.755715546924711E-2</v>
      </c>
      <c r="T179" s="585">
        <f t="shared" si="38"/>
        <v>5.0214024159919435E-2</v>
      </c>
      <c r="U179" s="585">
        <f t="shared" si="38"/>
        <v>0</v>
      </c>
      <c r="V179" s="585">
        <f t="shared" si="38"/>
        <v>0</v>
      </c>
      <c r="W179" s="585">
        <f t="shared" si="38"/>
        <v>0</v>
      </c>
      <c r="X179" s="585">
        <f t="shared" si="38"/>
        <v>0</v>
      </c>
      <c r="Y179" s="585">
        <f t="shared" si="38"/>
        <v>0</v>
      </c>
      <c r="Z179" s="585">
        <f t="shared" si="38"/>
        <v>0</v>
      </c>
      <c r="AA179" s="585">
        <f t="shared" si="38"/>
        <v>0</v>
      </c>
      <c r="AB179" s="585">
        <f t="shared" si="38"/>
        <v>3.2369250539148658E-2</v>
      </c>
      <c r="AC179" s="585">
        <f t="shared" si="38"/>
        <v>0</v>
      </c>
      <c r="AD179" s="585">
        <f t="shared" si="38"/>
        <v>0</v>
      </c>
      <c r="AE179" s="585">
        <f t="shared" si="38"/>
        <v>0</v>
      </c>
      <c r="AF179" s="585">
        <f t="shared" si="38"/>
        <v>0</v>
      </c>
      <c r="AG179" s="585">
        <f t="shared" si="38"/>
        <v>-3.1501497782292963E-2</v>
      </c>
      <c r="AH179" s="585">
        <f t="shared" si="38"/>
        <v>-3.1501497782292963E-2</v>
      </c>
      <c r="AI179" s="585">
        <f t="shared" si="38"/>
        <v>0</v>
      </c>
      <c r="AJ179" s="585">
        <f t="shared" si="38"/>
        <v>0</v>
      </c>
      <c r="AK179" s="585">
        <f t="shared" si="38"/>
        <v>0</v>
      </c>
      <c r="AL179" s="585">
        <f t="shared" si="38"/>
        <v>0</v>
      </c>
      <c r="AM179" s="585">
        <f t="shared" si="38"/>
        <v>0</v>
      </c>
      <c r="AN179" s="585">
        <f t="shared" si="38"/>
        <v>0</v>
      </c>
      <c r="AO179" s="585">
        <f t="shared" si="38"/>
        <v>0</v>
      </c>
      <c r="AP179" s="585">
        <f t="shared" si="38"/>
        <v>0</v>
      </c>
      <c r="AQ179" s="571"/>
      <c r="AR179" s="571"/>
    </row>
    <row r="180" spans="3:44" x14ac:dyDescent="0.25">
      <c r="F180" s="66" t="s">
        <v>50</v>
      </c>
      <c r="G180" s="90" t="s">
        <v>201</v>
      </c>
      <c r="H180" s="572"/>
      <c r="I180" s="572"/>
      <c r="J180" s="585">
        <f t="shared" ref="J180:AP180" si="39">J75 * (1 - J$120)</f>
        <v>0</v>
      </c>
      <c r="K180" s="585">
        <f t="shared" si="39"/>
        <v>0</v>
      </c>
      <c r="L180" s="585">
        <f t="shared" si="39"/>
        <v>0</v>
      </c>
      <c r="M180" s="585">
        <f t="shared" si="39"/>
        <v>0</v>
      </c>
      <c r="N180" s="585">
        <f t="shared" si="39"/>
        <v>0</v>
      </c>
      <c r="O180" s="585">
        <f t="shared" si="39"/>
        <v>0</v>
      </c>
      <c r="P180" s="585">
        <f t="shared" si="39"/>
        <v>0</v>
      </c>
      <c r="Q180" s="585">
        <f t="shared" si="39"/>
        <v>0</v>
      </c>
      <c r="R180" s="585">
        <f t="shared" si="39"/>
        <v>0</v>
      </c>
      <c r="S180" s="585">
        <f t="shared" si="39"/>
        <v>0</v>
      </c>
      <c r="T180" s="585">
        <f t="shared" si="39"/>
        <v>0</v>
      </c>
      <c r="U180" s="585">
        <f t="shared" si="39"/>
        <v>0</v>
      </c>
      <c r="V180" s="585">
        <f t="shared" si="39"/>
        <v>0</v>
      </c>
      <c r="W180" s="585">
        <f t="shared" si="39"/>
        <v>0</v>
      </c>
      <c r="X180" s="585">
        <f t="shared" si="39"/>
        <v>0</v>
      </c>
      <c r="Y180" s="585">
        <f t="shared" si="39"/>
        <v>0</v>
      </c>
      <c r="Z180" s="585">
        <f t="shared" si="39"/>
        <v>0</v>
      </c>
      <c r="AA180" s="585">
        <f t="shared" si="39"/>
        <v>0</v>
      </c>
      <c r="AB180" s="585">
        <f t="shared" si="39"/>
        <v>5.8221915709832713E-2</v>
      </c>
      <c r="AC180" s="585">
        <f t="shared" si="39"/>
        <v>0</v>
      </c>
      <c r="AD180" s="585">
        <f t="shared" si="39"/>
        <v>0</v>
      </c>
      <c r="AE180" s="585">
        <f t="shared" si="39"/>
        <v>0</v>
      </c>
      <c r="AF180" s="585">
        <f t="shared" si="39"/>
        <v>0</v>
      </c>
      <c r="AG180" s="585">
        <f t="shared" si="39"/>
        <v>0</v>
      </c>
      <c r="AH180" s="585">
        <f t="shared" si="39"/>
        <v>0</v>
      </c>
      <c r="AI180" s="585">
        <f t="shared" si="39"/>
        <v>0</v>
      </c>
      <c r="AJ180" s="585">
        <f t="shared" si="39"/>
        <v>0</v>
      </c>
      <c r="AK180" s="585">
        <f t="shared" si="39"/>
        <v>0</v>
      </c>
      <c r="AL180" s="585">
        <f t="shared" si="39"/>
        <v>0</v>
      </c>
      <c r="AM180" s="585">
        <f t="shared" si="39"/>
        <v>0</v>
      </c>
      <c r="AN180" s="585">
        <f t="shared" si="39"/>
        <v>0</v>
      </c>
      <c r="AO180" s="585">
        <f t="shared" si="39"/>
        <v>0</v>
      </c>
      <c r="AP180" s="585">
        <f t="shared" si="39"/>
        <v>0</v>
      </c>
      <c r="AQ180" s="571"/>
      <c r="AR180" s="571"/>
    </row>
    <row r="181" spans="3:44" x14ac:dyDescent="0.25">
      <c r="F181" s="72" t="s">
        <v>141</v>
      </c>
      <c r="G181" s="137" t="s">
        <v>201</v>
      </c>
      <c r="H181" s="569"/>
      <c r="I181" s="569" t="s">
        <v>525</v>
      </c>
      <c r="J181" s="583"/>
      <c r="K181" s="583"/>
      <c r="L181" s="583"/>
      <c r="M181" s="583"/>
      <c r="N181" s="583"/>
      <c r="O181" s="583"/>
      <c r="P181" s="583"/>
      <c r="Q181" s="583"/>
      <c r="R181" s="583"/>
      <c r="S181" s="583"/>
      <c r="T181" s="583"/>
      <c r="U181" s="583"/>
      <c r="V181" s="583"/>
      <c r="W181" s="583"/>
      <c r="X181" s="583"/>
      <c r="Y181" s="583"/>
      <c r="Z181" s="583"/>
      <c r="AA181" s="583"/>
      <c r="AB181" s="584">
        <f>AB76</f>
        <v>1.4674776072942719</v>
      </c>
      <c r="AC181" s="583"/>
      <c r="AD181" s="583"/>
      <c r="AE181" s="583"/>
      <c r="AF181" s="583"/>
      <c r="AG181" s="583"/>
      <c r="AH181" s="583"/>
      <c r="AI181" s="583"/>
      <c r="AJ181" s="583"/>
      <c r="AK181" s="583"/>
      <c r="AL181" s="583"/>
      <c r="AM181" s="583"/>
      <c r="AN181" s="583"/>
      <c r="AO181" s="583"/>
      <c r="AP181" s="583"/>
      <c r="AQ181" s="571"/>
      <c r="AR181" s="571" t="s">
        <v>983</v>
      </c>
    </row>
    <row r="182" spans="3:44" x14ac:dyDescent="0.25">
      <c r="F182" s="67" t="s">
        <v>140</v>
      </c>
      <c r="G182" s="16" t="s">
        <v>201</v>
      </c>
      <c r="H182" s="574"/>
      <c r="I182" s="574"/>
      <c r="J182" s="579"/>
      <c r="K182" s="579"/>
      <c r="L182" s="579"/>
      <c r="M182" s="579"/>
      <c r="N182" s="579"/>
      <c r="O182" s="579"/>
      <c r="P182" s="579"/>
      <c r="Q182" s="579"/>
      <c r="R182" s="579"/>
      <c r="S182" s="579"/>
      <c r="T182" s="579"/>
      <c r="U182" s="579"/>
      <c r="V182" s="579"/>
      <c r="W182" s="579"/>
      <c r="X182" s="579"/>
      <c r="Y182" s="579"/>
      <c r="Z182" s="579"/>
      <c r="AA182" s="579"/>
      <c r="AB182" s="579"/>
      <c r="AC182" s="579"/>
      <c r="AD182" s="579"/>
      <c r="AE182" s="579"/>
      <c r="AF182" s="579"/>
      <c r="AG182" s="579"/>
      <c r="AH182" s="579"/>
      <c r="AI182" s="579"/>
      <c r="AJ182" s="579"/>
      <c r="AK182" s="579"/>
      <c r="AL182" s="579"/>
      <c r="AM182" s="579"/>
      <c r="AN182" s="579"/>
      <c r="AO182" s="579"/>
      <c r="AP182" s="579"/>
      <c r="AQ182" s="571"/>
      <c r="AR182" s="571"/>
    </row>
    <row r="183" spans="3:44" s="131" customFormat="1" x14ac:dyDescent="0.25">
      <c r="D183" s="175"/>
      <c r="F183" s="160"/>
      <c r="J183" s="416"/>
      <c r="K183" s="416"/>
      <c r="L183" s="416"/>
      <c r="M183" s="416"/>
      <c r="N183" s="416"/>
      <c r="O183" s="416"/>
      <c r="P183" s="416"/>
      <c r="Q183" s="416"/>
      <c r="R183" s="416"/>
      <c r="S183" s="416"/>
      <c r="T183" s="416"/>
      <c r="U183" s="416"/>
      <c r="V183" s="416"/>
      <c r="W183" s="416"/>
      <c r="X183" s="416"/>
      <c r="Y183" s="416"/>
      <c r="Z183" s="416"/>
      <c r="AA183" s="416"/>
      <c r="AB183" s="416"/>
      <c r="AC183" s="416"/>
      <c r="AD183" s="416"/>
      <c r="AE183" s="416"/>
      <c r="AF183" s="416"/>
      <c r="AG183" s="416"/>
      <c r="AH183" s="416"/>
      <c r="AI183" s="416"/>
      <c r="AJ183" s="416"/>
      <c r="AK183" s="416"/>
      <c r="AL183" s="416"/>
      <c r="AM183" s="416"/>
      <c r="AN183" s="416"/>
      <c r="AO183" s="416"/>
      <c r="AP183" s="416"/>
    </row>
    <row r="184" spans="3:44" s="338" customFormat="1" x14ac:dyDescent="0.25">
      <c r="C184" s="22" t="str">
        <f ca="1">INDEX('Version control'!$H$34:$H$59,MATCH($A$1,'Version control'!$F$34:$F$59,0),1)&amp;"-G: Contributions to unit rate 3 p/kWh by network level (taking account of standing charges)"</f>
        <v>Section 514-G: Contributions to unit rate 3 p/kWh by network level (taking account of standing charges)</v>
      </c>
      <c r="D184" s="22"/>
      <c r="E184" s="22"/>
      <c r="F184" s="22"/>
      <c r="G184" s="22"/>
      <c r="H184" s="22"/>
      <c r="I184" s="22"/>
      <c r="J184" s="406"/>
      <c r="K184" s="406"/>
      <c r="L184" s="406"/>
      <c r="M184" s="406"/>
      <c r="N184" s="406"/>
      <c r="O184" s="406"/>
      <c r="P184" s="406"/>
      <c r="Q184" s="406"/>
      <c r="R184" s="406"/>
      <c r="S184" s="406"/>
      <c r="T184" s="406"/>
      <c r="U184" s="406"/>
      <c r="V184" s="406"/>
      <c r="W184" s="406"/>
      <c r="X184" s="406"/>
      <c r="Y184" s="406"/>
      <c r="Z184" s="406"/>
      <c r="AA184" s="406"/>
      <c r="AB184" s="406"/>
      <c r="AC184" s="406"/>
      <c r="AD184" s="406"/>
      <c r="AE184" s="406"/>
      <c r="AF184" s="406"/>
      <c r="AG184" s="406"/>
      <c r="AH184" s="406"/>
      <c r="AI184" s="406"/>
      <c r="AJ184" s="406"/>
      <c r="AK184" s="406"/>
      <c r="AL184" s="406"/>
      <c r="AM184" s="406"/>
      <c r="AN184" s="406"/>
      <c r="AO184" s="406"/>
      <c r="AP184" s="406"/>
      <c r="AQ184" s="22"/>
      <c r="AR184" s="22"/>
    </row>
    <row r="185" spans="3:44" s="160" customFormat="1" x14ac:dyDescent="0.25">
      <c r="C185" s="172"/>
      <c r="D185" s="172"/>
      <c r="I185" s="88" t="s">
        <v>525</v>
      </c>
      <c r="J185" s="416"/>
      <c r="K185" s="416"/>
      <c r="L185" s="416"/>
      <c r="M185" s="416"/>
      <c r="N185" s="416"/>
      <c r="O185" s="416"/>
      <c r="P185" s="416"/>
      <c r="Q185" s="416"/>
      <c r="R185" s="416"/>
      <c r="S185" s="416"/>
      <c r="T185" s="416"/>
      <c r="U185" s="416"/>
      <c r="V185" s="416"/>
      <c r="W185" s="416"/>
      <c r="X185" s="416"/>
      <c r="Y185" s="416"/>
      <c r="Z185" s="416"/>
      <c r="AA185" s="416"/>
      <c r="AB185" s="416"/>
      <c r="AC185" s="416"/>
      <c r="AD185" s="416"/>
      <c r="AE185" s="416"/>
      <c r="AF185" s="416"/>
      <c r="AG185" s="416"/>
      <c r="AH185" s="416"/>
      <c r="AI185" s="416"/>
      <c r="AJ185" s="416"/>
      <c r="AK185" s="416"/>
      <c r="AL185" s="416"/>
      <c r="AM185" s="416"/>
      <c r="AN185" s="416"/>
      <c r="AO185" s="416"/>
      <c r="AP185" s="416"/>
      <c r="AQ185" s="88"/>
      <c r="AR185" s="160" t="s">
        <v>984</v>
      </c>
    </row>
    <row r="186" spans="3:44" x14ac:dyDescent="0.25">
      <c r="E186" s="172" t="s">
        <v>156</v>
      </c>
      <c r="J186" s="416"/>
      <c r="K186" s="416"/>
      <c r="L186" s="416"/>
      <c r="M186" s="416"/>
      <c r="N186" s="416"/>
      <c r="O186" s="416"/>
      <c r="P186" s="416"/>
      <c r="Q186" s="416"/>
      <c r="R186" s="416"/>
      <c r="S186" s="416"/>
      <c r="T186" s="416"/>
      <c r="U186" s="416"/>
      <c r="V186" s="416"/>
      <c r="W186" s="416"/>
      <c r="X186" s="416"/>
      <c r="Y186" s="416"/>
      <c r="Z186" s="416"/>
      <c r="AA186" s="416"/>
      <c r="AB186" s="416"/>
      <c r="AC186" s="416"/>
      <c r="AD186" s="416"/>
      <c r="AE186" s="416"/>
      <c r="AF186" s="416"/>
      <c r="AG186" s="416"/>
      <c r="AH186" s="416"/>
      <c r="AI186" s="416"/>
      <c r="AJ186" s="416"/>
      <c r="AK186" s="416"/>
      <c r="AL186" s="416"/>
      <c r="AM186" s="416"/>
      <c r="AN186" s="416"/>
      <c r="AO186" s="416"/>
      <c r="AP186" s="416"/>
    </row>
    <row r="187" spans="3:44" x14ac:dyDescent="0.25">
      <c r="F187" s="72" t="s">
        <v>397</v>
      </c>
      <c r="G187" s="13" t="s">
        <v>201</v>
      </c>
      <c r="H187" s="569"/>
      <c r="I187" s="569"/>
      <c r="J187" s="584">
        <f t="shared" ref="J187:AP187" si="40">J82 * (1 - J$112)</f>
        <v>0</v>
      </c>
      <c r="K187" s="584">
        <f t="shared" si="40"/>
        <v>0</v>
      </c>
      <c r="L187" s="584">
        <f t="shared" si="40"/>
        <v>0</v>
      </c>
      <c r="M187" s="584">
        <f t="shared" si="40"/>
        <v>0</v>
      </c>
      <c r="N187" s="584">
        <f t="shared" si="40"/>
        <v>0</v>
      </c>
      <c r="O187" s="584">
        <f t="shared" si="40"/>
        <v>0</v>
      </c>
      <c r="P187" s="584">
        <f t="shared" si="40"/>
        <v>0</v>
      </c>
      <c r="Q187" s="584">
        <f t="shared" si="40"/>
        <v>0</v>
      </c>
      <c r="R187" s="584">
        <f t="shared" si="40"/>
        <v>0</v>
      </c>
      <c r="S187" s="584">
        <f t="shared" si="40"/>
        <v>0</v>
      </c>
      <c r="T187" s="584">
        <f t="shared" si="40"/>
        <v>0</v>
      </c>
      <c r="U187" s="584">
        <f t="shared" si="40"/>
        <v>0</v>
      </c>
      <c r="V187" s="584">
        <f t="shared" si="40"/>
        <v>0</v>
      </c>
      <c r="W187" s="584">
        <f t="shared" si="40"/>
        <v>0</v>
      </c>
      <c r="X187" s="584">
        <f t="shared" si="40"/>
        <v>0</v>
      </c>
      <c r="Y187" s="584">
        <f t="shared" si="40"/>
        <v>0</v>
      </c>
      <c r="Z187" s="584">
        <f t="shared" si="40"/>
        <v>0</v>
      </c>
      <c r="AA187" s="584">
        <f t="shared" si="40"/>
        <v>0</v>
      </c>
      <c r="AB187" s="584">
        <f t="shared" si="40"/>
        <v>0</v>
      </c>
      <c r="AC187" s="584">
        <f t="shared" si="40"/>
        <v>0</v>
      </c>
      <c r="AD187" s="584">
        <f t="shared" si="40"/>
        <v>0</v>
      </c>
      <c r="AE187" s="584">
        <f t="shared" si="40"/>
        <v>0</v>
      </c>
      <c r="AF187" s="584">
        <f t="shared" si="40"/>
        <v>0</v>
      </c>
      <c r="AG187" s="584">
        <f t="shared" si="40"/>
        <v>0</v>
      </c>
      <c r="AH187" s="584">
        <f t="shared" si="40"/>
        <v>0</v>
      </c>
      <c r="AI187" s="584">
        <f t="shared" si="40"/>
        <v>0</v>
      </c>
      <c r="AJ187" s="584">
        <f t="shared" si="40"/>
        <v>0</v>
      </c>
      <c r="AK187" s="584">
        <f t="shared" si="40"/>
        <v>0</v>
      </c>
      <c r="AL187" s="584">
        <f t="shared" si="40"/>
        <v>0</v>
      </c>
      <c r="AM187" s="584">
        <f t="shared" si="40"/>
        <v>0</v>
      </c>
      <c r="AN187" s="584">
        <f t="shared" si="40"/>
        <v>0</v>
      </c>
      <c r="AO187" s="584">
        <f t="shared" si="40"/>
        <v>0</v>
      </c>
      <c r="AP187" s="584">
        <f t="shared" si="40"/>
        <v>0</v>
      </c>
      <c r="AQ187" s="571"/>
      <c r="AR187" s="571"/>
    </row>
    <row r="188" spans="3:44" x14ac:dyDescent="0.25">
      <c r="F188" s="66" t="s">
        <v>43</v>
      </c>
      <c r="G188" s="90" t="s">
        <v>201</v>
      </c>
      <c r="H188" s="572"/>
      <c r="I188" s="572"/>
      <c r="J188" s="585">
        <f t="shared" ref="J188:AP188" si="41">J83 * (1 - J$112)</f>
        <v>0</v>
      </c>
      <c r="K188" s="585">
        <f t="shared" si="41"/>
        <v>0</v>
      </c>
      <c r="L188" s="585">
        <f t="shared" si="41"/>
        <v>0</v>
      </c>
      <c r="M188" s="585">
        <f t="shared" si="41"/>
        <v>0</v>
      </c>
      <c r="N188" s="585">
        <f t="shared" si="41"/>
        <v>0</v>
      </c>
      <c r="O188" s="585">
        <f t="shared" si="41"/>
        <v>0</v>
      </c>
      <c r="P188" s="585">
        <f t="shared" si="41"/>
        <v>0</v>
      </c>
      <c r="Q188" s="585">
        <f t="shared" si="41"/>
        <v>0</v>
      </c>
      <c r="R188" s="585">
        <f t="shared" si="41"/>
        <v>0</v>
      </c>
      <c r="S188" s="585">
        <f t="shared" si="41"/>
        <v>0</v>
      </c>
      <c r="T188" s="585">
        <f t="shared" si="41"/>
        <v>0</v>
      </c>
      <c r="U188" s="585">
        <f t="shared" si="41"/>
        <v>0</v>
      </c>
      <c r="V188" s="585">
        <f t="shared" si="41"/>
        <v>0</v>
      </c>
      <c r="W188" s="585">
        <f t="shared" si="41"/>
        <v>0</v>
      </c>
      <c r="X188" s="585">
        <f t="shared" si="41"/>
        <v>0</v>
      </c>
      <c r="Y188" s="585">
        <f t="shared" si="41"/>
        <v>0</v>
      </c>
      <c r="Z188" s="585">
        <f t="shared" si="41"/>
        <v>0</v>
      </c>
      <c r="AA188" s="585">
        <f t="shared" si="41"/>
        <v>0</v>
      </c>
      <c r="AB188" s="585">
        <f t="shared" si="41"/>
        <v>0</v>
      </c>
      <c r="AC188" s="585">
        <f t="shared" si="41"/>
        <v>0</v>
      </c>
      <c r="AD188" s="585">
        <f t="shared" si="41"/>
        <v>0</v>
      </c>
      <c r="AE188" s="585">
        <f t="shared" si="41"/>
        <v>0</v>
      </c>
      <c r="AF188" s="585">
        <f t="shared" si="41"/>
        <v>0</v>
      </c>
      <c r="AG188" s="585">
        <f t="shared" si="41"/>
        <v>0</v>
      </c>
      <c r="AH188" s="585">
        <f t="shared" si="41"/>
        <v>0</v>
      </c>
      <c r="AI188" s="585">
        <f t="shared" si="41"/>
        <v>0</v>
      </c>
      <c r="AJ188" s="585">
        <f t="shared" si="41"/>
        <v>0</v>
      </c>
      <c r="AK188" s="585">
        <f t="shared" si="41"/>
        <v>0</v>
      </c>
      <c r="AL188" s="585">
        <f t="shared" si="41"/>
        <v>0</v>
      </c>
      <c r="AM188" s="585">
        <f t="shared" si="41"/>
        <v>0</v>
      </c>
      <c r="AN188" s="585">
        <f t="shared" si="41"/>
        <v>0</v>
      </c>
      <c r="AO188" s="585">
        <f t="shared" si="41"/>
        <v>0</v>
      </c>
      <c r="AP188" s="585">
        <f t="shared" si="41"/>
        <v>0</v>
      </c>
      <c r="AQ188" s="571"/>
      <c r="AR188" s="571"/>
    </row>
    <row r="189" spans="3:44" x14ac:dyDescent="0.25">
      <c r="F189" s="66" t="s">
        <v>44</v>
      </c>
      <c r="G189" s="90" t="s">
        <v>201</v>
      </c>
      <c r="H189" s="572"/>
      <c r="I189" s="572"/>
      <c r="J189" s="585">
        <f t="shared" ref="J189:AP189" si="42">J84 * (1 - J$113)</f>
        <v>0</v>
      </c>
      <c r="K189" s="585">
        <f t="shared" si="42"/>
        <v>0</v>
      </c>
      <c r="L189" s="585">
        <f t="shared" si="42"/>
        <v>0</v>
      </c>
      <c r="M189" s="585">
        <f t="shared" si="42"/>
        <v>0</v>
      </c>
      <c r="N189" s="585">
        <f t="shared" si="42"/>
        <v>0</v>
      </c>
      <c r="O189" s="585">
        <f t="shared" si="42"/>
        <v>0</v>
      </c>
      <c r="P189" s="585">
        <f t="shared" si="42"/>
        <v>0</v>
      </c>
      <c r="Q189" s="585">
        <f t="shared" si="42"/>
        <v>0</v>
      </c>
      <c r="R189" s="585">
        <f t="shared" si="42"/>
        <v>0</v>
      </c>
      <c r="S189" s="585">
        <f t="shared" si="42"/>
        <v>1.2461438401974972E-3</v>
      </c>
      <c r="T189" s="585">
        <f t="shared" si="42"/>
        <v>1.3151104396008238E-3</v>
      </c>
      <c r="U189" s="585">
        <f t="shared" si="42"/>
        <v>9.8284715053104468E-4</v>
      </c>
      <c r="V189" s="585">
        <f t="shared" si="42"/>
        <v>9.1286459664290077E-4</v>
      </c>
      <c r="W189" s="585">
        <f t="shared" si="42"/>
        <v>8.1850439741116947E-4</v>
      </c>
      <c r="X189" s="585">
        <f t="shared" si="42"/>
        <v>0</v>
      </c>
      <c r="Y189" s="585">
        <f t="shared" si="42"/>
        <v>0</v>
      </c>
      <c r="Z189" s="585">
        <f t="shared" si="42"/>
        <v>0</v>
      </c>
      <c r="AA189" s="585">
        <f t="shared" si="42"/>
        <v>0</v>
      </c>
      <c r="AB189" s="585">
        <f t="shared" si="42"/>
        <v>7.683239765418719E-4</v>
      </c>
      <c r="AC189" s="585">
        <f t="shared" si="42"/>
        <v>0</v>
      </c>
      <c r="AD189" s="585">
        <f t="shared" si="42"/>
        <v>0</v>
      </c>
      <c r="AE189" s="585">
        <f t="shared" si="42"/>
        <v>0</v>
      </c>
      <c r="AF189" s="585">
        <f t="shared" si="42"/>
        <v>0</v>
      </c>
      <c r="AG189" s="585">
        <f t="shared" si="42"/>
        <v>-8.2447823559703615E-4</v>
      </c>
      <c r="AH189" s="585">
        <f t="shared" si="42"/>
        <v>-8.2447823559703615E-4</v>
      </c>
      <c r="AI189" s="585">
        <f t="shared" si="42"/>
        <v>0</v>
      </c>
      <c r="AJ189" s="585">
        <f t="shared" si="42"/>
        <v>0</v>
      </c>
      <c r="AK189" s="585">
        <f t="shared" si="42"/>
        <v>-7.9192308028879703E-4</v>
      </c>
      <c r="AL189" s="585">
        <f t="shared" si="42"/>
        <v>-7.9192308028879703E-4</v>
      </c>
      <c r="AM189" s="585">
        <f t="shared" si="42"/>
        <v>0</v>
      </c>
      <c r="AN189" s="585">
        <f t="shared" si="42"/>
        <v>0</v>
      </c>
      <c r="AO189" s="585">
        <f t="shared" si="42"/>
        <v>-7.8056663076266682E-4</v>
      </c>
      <c r="AP189" s="585">
        <f t="shared" si="42"/>
        <v>-7.8056663076266682E-4</v>
      </c>
      <c r="AQ189" s="571"/>
      <c r="AR189" s="571"/>
    </row>
    <row r="190" spans="3:44" x14ac:dyDescent="0.25">
      <c r="F190" s="66" t="s">
        <v>45</v>
      </c>
      <c r="G190" s="90" t="s">
        <v>201</v>
      </c>
      <c r="H190" s="572"/>
      <c r="I190" s="572"/>
      <c r="J190" s="585">
        <f t="shared" ref="J190:AP190" si="43">J85 * (1 - J$114)</f>
        <v>0</v>
      </c>
      <c r="K190" s="585">
        <f t="shared" si="43"/>
        <v>0</v>
      </c>
      <c r="L190" s="585">
        <f t="shared" si="43"/>
        <v>0</v>
      </c>
      <c r="M190" s="585">
        <f t="shared" si="43"/>
        <v>0</v>
      </c>
      <c r="N190" s="585">
        <f t="shared" si="43"/>
        <v>0</v>
      </c>
      <c r="O190" s="585">
        <f t="shared" si="43"/>
        <v>0</v>
      </c>
      <c r="P190" s="585">
        <f t="shared" si="43"/>
        <v>0</v>
      </c>
      <c r="Q190" s="585">
        <f t="shared" si="43"/>
        <v>0</v>
      </c>
      <c r="R190" s="585">
        <f t="shared" si="43"/>
        <v>0</v>
      </c>
      <c r="S190" s="585">
        <f t="shared" si="43"/>
        <v>3.4680646862739585E-4</v>
      </c>
      <c r="T190" s="585">
        <f t="shared" si="43"/>
        <v>3.6600012992135797E-4</v>
      </c>
      <c r="U190" s="585">
        <f t="shared" si="43"/>
        <v>2.7353001995511912E-4</v>
      </c>
      <c r="V190" s="585">
        <f t="shared" si="43"/>
        <v>2.5405361474685104E-4</v>
      </c>
      <c r="W190" s="585">
        <f t="shared" si="43"/>
        <v>2.2779282011069752E-4</v>
      </c>
      <c r="X190" s="585">
        <f t="shared" si="43"/>
        <v>0</v>
      </c>
      <c r="Y190" s="585">
        <f t="shared" si="43"/>
        <v>0</v>
      </c>
      <c r="Z190" s="585">
        <f t="shared" si="43"/>
        <v>0</v>
      </c>
      <c r="AA190" s="585">
        <f t="shared" si="43"/>
        <v>0</v>
      </c>
      <c r="AB190" s="585">
        <f t="shared" si="43"/>
        <v>2.138274222211895E-4</v>
      </c>
      <c r="AC190" s="585">
        <f t="shared" si="43"/>
        <v>0</v>
      </c>
      <c r="AD190" s="585">
        <f t="shared" si="43"/>
        <v>0</v>
      </c>
      <c r="AE190" s="585">
        <f t="shared" si="43"/>
        <v>0</v>
      </c>
      <c r="AF190" s="585">
        <f t="shared" si="43"/>
        <v>0</v>
      </c>
      <c r="AG190" s="585">
        <f t="shared" si="43"/>
        <v>-2.2945536151126614E-4</v>
      </c>
      <c r="AH190" s="585">
        <f t="shared" si="43"/>
        <v>-2.2945536151126614E-4</v>
      </c>
      <c r="AI190" s="585">
        <f t="shared" si="43"/>
        <v>0</v>
      </c>
      <c r="AJ190" s="585">
        <f t="shared" si="43"/>
        <v>0</v>
      </c>
      <c r="AK190" s="585">
        <f t="shared" si="43"/>
        <v>-2.2039514062514637E-4</v>
      </c>
      <c r="AL190" s="585">
        <f t="shared" si="43"/>
        <v>-2.2039514062514637E-4</v>
      </c>
      <c r="AM190" s="585">
        <f t="shared" si="43"/>
        <v>0</v>
      </c>
      <c r="AN190" s="585">
        <f t="shared" si="43"/>
        <v>0</v>
      </c>
      <c r="AO190" s="585">
        <f t="shared" si="43"/>
        <v>-2.1723459845556967E-4</v>
      </c>
      <c r="AP190" s="585">
        <f t="shared" si="43"/>
        <v>-2.1723459845556967E-4</v>
      </c>
      <c r="AQ190" s="571"/>
      <c r="AR190" s="571"/>
    </row>
    <row r="191" spans="3:44" x14ac:dyDescent="0.25">
      <c r="F191" s="66" t="s">
        <v>46</v>
      </c>
      <c r="G191" s="90" t="s">
        <v>201</v>
      </c>
      <c r="H191" s="572"/>
      <c r="I191" s="572"/>
      <c r="J191" s="585">
        <f t="shared" ref="J191:AP191" si="44">J86 * (1 - J$115)</f>
        <v>0</v>
      </c>
      <c r="K191" s="585">
        <f t="shared" si="44"/>
        <v>0</v>
      </c>
      <c r="L191" s="585">
        <f t="shared" si="44"/>
        <v>0</v>
      </c>
      <c r="M191" s="585">
        <f t="shared" si="44"/>
        <v>0</v>
      </c>
      <c r="N191" s="585">
        <f t="shared" si="44"/>
        <v>0</v>
      </c>
      <c r="O191" s="585">
        <f t="shared" si="44"/>
        <v>0</v>
      </c>
      <c r="P191" s="585">
        <f t="shared" si="44"/>
        <v>0</v>
      </c>
      <c r="Q191" s="585">
        <f t="shared" si="44"/>
        <v>0</v>
      </c>
      <c r="R191" s="585">
        <f t="shared" si="44"/>
        <v>0</v>
      </c>
      <c r="S191" s="585">
        <f t="shared" si="44"/>
        <v>4.6624647113750134E-3</v>
      </c>
      <c r="T191" s="585">
        <f t="shared" si="44"/>
        <v>4.9213795426400423E-3</v>
      </c>
      <c r="U191" s="585">
        <f t="shared" si="44"/>
        <v>3.6790908148842671E-3</v>
      </c>
      <c r="V191" s="585">
        <f t="shared" si="44"/>
        <v>3.4171251866857233E-3</v>
      </c>
      <c r="W191" s="585">
        <f t="shared" si="44"/>
        <v>2.3961272925245047E-3</v>
      </c>
      <c r="X191" s="585">
        <f t="shared" si="44"/>
        <v>0</v>
      </c>
      <c r="Y191" s="585">
        <f t="shared" si="44"/>
        <v>0</v>
      </c>
      <c r="Z191" s="585">
        <f t="shared" si="44"/>
        <v>0</v>
      </c>
      <c r="AA191" s="585">
        <f t="shared" si="44"/>
        <v>0</v>
      </c>
      <c r="AB191" s="585">
        <f t="shared" si="44"/>
        <v>2.8760664193035884E-3</v>
      </c>
      <c r="AC191" s="585">
        <f t="shared" si="44"/>
        <v>0</v>
      </c>
      <c r="AD191" s="585">
        <f t="shared" si="44"/>
        <v>0</v>
      </c>
      <c r="AE191" s="585">
        <f t="shared" si="44"/>
        <v>0</v>
      </c>
      <c r="AF191" s="585">
        <f t="shared" si="44"/>
        <v>0</v>
      </c>
      <c r="AG191" s="585">
        <f t="shared" si="44"/>
        <v>-3.0862686044499355E-3</v>
      </c>
      <c r="AH191" s="585">
        <f t="shared" si="44"/>
        <v>-3.0862686044499355E-3</v>
      </c>
      <c r="AI191" s="585">
        <f t="shared" si="44"/>
        <v>0</v>
      </c>
      <c r="AJ191" s="585">
        <f t="shared" si="44"/>
        <v>0</v>
      </c>
      <c r="AK191" s="585">
        <f t="shared" si="44"/>
        <v>-2.9644049221805632E-3</v>
      </c>
      <c r="AL191" s="585">
        <f t="shared" si="44"/>
        <v>-2.9644049221805632E-3</v>
      </c>
      <c r="AM191" s="585">
        <f t="shared" si="44"/>
        <v>0</v>
      </c>
      <c r="AN191" s="585">
        <f t="shared" si="44"/>
        <v>0</v>
      </c>
      <c r="AO191" s="585">
        <f t="shared" si="44"/>
        <v>-2.85633316925354E-3</v>
      </c>
      <c r="AP191" s="585">
        <f t="shared" si="44"/>
        <v>-2.85633316925354E-3</v>
      </c>
      <c r="AQ191" s="571"/>
      <c r="AR191" s="571"/>
    </row>
    <row r="192" spans="3:44" x14ac:dyDescent="0.25">
      <c r="F192" s="66" t="s">
        <v>47</v>
      </c>
      <c r="G192" s="90" t="s">
        <v>201</v>
      </c>
      <c r="H192" s="572"/>
      <c r="I192" s="572"/>
      <c r="J192" s="585">
        <f t="shared" ref="J192:AP192" si="45">J87 * (1 - J$116)</f>
        <v>0</v>
      </c>
      <c r="K192" s="585">
        <f t="shared" si="45"/>
        <v>0</v>
      </c>
      <c r="L192" s="585">
        <f t="shared" si="45"/>
        <v>0</v>
      </c>
      <c r="M192" s="585">
        <f t="shared" si="45"/>
        <v>0</v>
      </c>
      <c r="N192" s="585">
        <f t="shared" si="45"/>
        <v>0</v>
      </c>
      <c r="O192" s="585">
        <f t="shared" si="45"/>
        <v>0</v>
      </c>
      <c r="P192" s="585">
        <f t="shared" si="45"/>
        <v>0</v>
      </c>
      <c r="Q192" s="585">
        <f t="shared" si="45"/>
        <v>0</v>
      </c>
      <c r="R192" s="585">
        <f t="shared" si="45"/>
        <v>0</v>
      </c>
      <c r="S192" s="585">
        <f t="shared" si="45"/>
        <v>3.508062791409694E-3</v>
      </c>
      <c r="T192" s="585">
        <f t="shared" si="45"/>
        <v>3.7028716622391103E-3</v>
      </c>
      <c r="U192" s="585">
        <f t="shared" si="45"/>
        <v>2.7681671375280824E-3</v>
      </c>
      <c r="V192" s="585">
        <f t="shared" si="45"/>
        <v>2.5710628311577826E-3</v>
      </c>
      <c r="W192" s="585">
        <f t="shared" si="45"/>
        <v>0</v>
      </c>
      <c r="X192" s="585">
        <f t="shared" si="45"/>
        <v>0</v>
      </c>
      <c r="Y192" s="585">
        <f t="shared" si="45"/>
        <v>0</v>
      </c>
      <c r="Z192" s="585">
        <f t="shared" si="45"/>
        <v>0</v>
      </c>
      <c r="AA192" s="585">
        <f t="shared" si="45"/>
        <v>0</v>
      </c>
      <c r="AB192" s="585">
        <f t="shared" si="45"/>
        <v>2.1639673897298722E-3</v>
      </c>
      <c r="AC192" s="585">
        <f t="shared" si="45"/>
        <v>0</v>
      </c>
      <c r="AD192" s="585">
        <f t="shared" si="45"/>
        <v>0</v>
      </c>
      <c r="AE192" s="585">
        <f t="shared" si="45"/>
        <v>0</v>
      </c>
      <c r="AF192" s="585">
        <f t="shared" si="45"/>
        <v>0</v>
      </c>
      <c r="AG192" s="585">
        <f t="shared" si="45"/>
        <v>-2.3221246112925089E-3</v>
      </c>
      <c r="AH192" s="585">
        <f t="shared" si="45"/>
        <v>-2.3221246112925089E-3</v>
      </c>
      <c r="AI192" s="585">
        <f t="shared" si="45"/>
        <v>0</v>
      </c>
      <c r="AJ192" s="585">
        <f t="shared" si="45"/>
        <v>0</v>
      </c>
      <c r="AK192" s="585">
        <f t="shared" si="45"/>
        <v>-2.230433740506855E-3</v>
      </c>
      <c r="AL192" s="585">
        <f t="shared" si="45"/>
        <v>-2.230433740506855E-3</v>
      </c>
      <c r="AM192" s="585">
        <f t="shared" si="45"/>
        <v>0</v>
      </c>
      <c r="AN192" s="585">
        <f t="shared" si="45"/>
        <v>0</v>
      </c>
      <c r="AO192" s="585">
        <f t="shared" si="45"/>
        <v>-2.103849177574022E-3</v>
      </c>
      <c r="AP192" s="585">
        <f t="shared" si="45"/>
        <v>-2.103849177574022E-3</v>
      </c>
      <c r="AQ192" s="571"/>
      <c r="AR192" s="571"/>
    </row>
    <row r="193" spans="5:44" x14ac:dyDescent="0.25">
      <c r="F193" s="66" t="s">
        <v>51</v>
      </c>
      <c r="G193" s="90" t="s">
        <v>201</v>
      </c>
      <c r="H193" s="572"/>
      <c r="I193" s="572"/>
      <c r="J193" s="585">
        <f t="shared" ref="J193:AP193" si="46">J88 * (1 - J$117)</f>
        <v>0</v>
      </c>
      <c r="K193" s="585">
        <f t="shared" si="46"/>
        <v>0</v>
      </c>
      <c r="L193" s="585">
        <f t="shared" si="46"/>
        <v>0</v>
      </c>
      <c r="M193" s="585">
        <f t="shared" si="46"/>
        <v>0</v>
      </c>
      <c r="N193" s="585">
        <f t="shared" si="46"/>
        <v>0</v>
      </c>
      <c r="O193" s="585">
        <f t="shared" si="46"/>
        <v>0</v>
      </c>
      <c r="P193" s="585">
        <f t="shared" si="46"/>
        <v>0</v>
      </c>
      <c r="Q193" s="585">
        <f t="shared" si="46"/>
        <v>0</v>
      </c>
      <c r="R193" s="585">
        <f t="shared" si="46"/>
        <v>0</v>
      </c>
      <c r="S193" s="585">
        <f t="shared" si="46"/>
        <v>0</v>
      </c>
      <c r="T193" s="585">
        <f t="shared" si="46"/>
        <v>0</v>
      </c>
      <c r="U193" s="585">
        <f t="shared" si="46"/>
        <v>0</v>
      </c>
      <c r="V193" s="585">
        <f t="shared" si="46"/>
        <v>0</v>
      </c>
      <c r="W193" s="585">
        <f t="shared" si="46"/>
        <v>0</v>
      </c>
      <c r="X193" s="585">
        <f t="shared" si="46"/>
        <v>0</v>
      </c>
      <c r="Y193" s="585">
        <f t="shared" si="46"/>
        <v>0</v>
      </c>
      <c r="Z193" s="585">
        <f t="shared" si="46"/>
        <v>0</v>
      </c>
      <c r="AA193" s="585">
        <f t="shared" si="46"/>
        <v>0</v>
      </c>
      <c r="AB193" s="585">
        <f t="shared" si="46"/>
        <v>0</v>
      </c>
      <c r="AC193" s="585">
        <f t="shared" si="46"/>
        <v>0</v>
      </c>
      <c r="AD193" s="585">
        <f t="shared" si="46"/>
        <v>0</v>
      </c>
      <c r="AE193" s="585">
        <f t="shared" si="46"/>
        <v>0</v>
      </c>
      <c r="AF193" s="585">
        <f t="shared" si="46"/>
        <v>0</v>
      </c>
      <c r="AG193" s="585">
        <f t="shared" si="46"/>
        <v>0</v>
      </c>
      <c r="AH193" s="585">
        <f t="shared" si="46"/>
        <v>0</v>
      </c>
      <c r="AI193" s="585">
        <f t="shared" si="46"/>
        <v>0</v>
      </c>
      <c r="AJ193" s="585">
        <f t="shared" si="46"/>
        <v>0</v>
      </c>
      <c r="AK193" s="585">
        <f t="shared" si="46"/>
        <v>0</v>
      </c>
      <c r="AL193" s="585">
        <f t="shared" si="46"/>
        <v>0</v>
      </c>
      <c r="AM193" s="585">
        <f t="shared" si="46"/>
        <v>0</v>
      </c>
      <c r="AN193" s="585">
        <f t="shared" si="46"/>
        <v>0</v>
      </c>
      <c r="AO193" s="585">
        <f t="shared" si="46"/>
        <v>0</v>
      </c>
      <c r="AP193" s="585">
        <f t="shared" si="46"/>
        <v>0</v>
      </c>
      <c r="AQ193" s="571"/>
      <c r="AR193" s="571"/>
    </row>
    <row r="194" spans="5:44" x14ac:dyDescent="0.25">
      <c r="F194" s="66" t="s">
        <v>48</v>
      </c>
      <c r="G194" s="90" t="s">
        <v>201</v>
      </c>
      <c r="H194" s="572"/>
      <c r="I194" s="572"/>
      <c r="J194" s="585">
        <f t="shared" ref="J194:AP194" si="47">J89 * (1 - J$118)</f>
        <v>0</v>
      </c>
      <c r="K194" s="585">
        <f t="shared" si="47"/>
        <v>0</v>
      </c>
      <c r="L194" s="585">
        <f t="shared" si="47"/>
        <v>0</v>
      </c>
      <c r="M194" s="585">
        <f t="shared" si="47"/>
        <v>0</v>
      </c>
      <c r="N194" s="585">
        <f t="shared" si="47"/>
        <v>0</v>
      </c>
      <c r="O194" s="585">
        <f t="shared" si="47"/>
        <v>0</v>
      </c>
      <c r="P194" s="585">
        <f t="shared" si="47"/>
        <v>0</v>
      </c>
      <c r="Q194" s="585">
        <f t="shared" si="47"/>
        <v>0</v>
      </c>
      <c r="R194" s="585">
        <f t="shared" si="47"/>
        <v>0</v>
      </c>
      <c r="S194" s="585">
        <f t="shared" si="47"/>
        <v>1.6793755893418059E-2</v>
      </c>
      <c r="T194" s="585">
        <f t="shared" si="47"/>
        <v>1.7731970212415099E-2</v>
      </c>
      <c r="U194" s="585">
        <f t="shared" si="47"/>
        <v>1.0608645652495502E-2</v>
      </c>
      <c r="V194" s="585">
        <f t="shared" si="47"/>
        <v>0</v>
      </c>
      <c r="W194" s="585">
        <f t="shared" si="47"/>
        <v>0</v>
      </c>
      <c r="X194" s="585">
        <f t="shared" si="47"/>
        <v>0</v>
      </c>
      <c r="Y194" s="585">
        <f t="shared" si="47"/>
        <v>0</v>
      </c>
      <c r="Z194" s="585">
        <f t="shared" si="47"/>
        <v>0</v>
      </c>
      <c r="AA194" s="585">
        <f t="shared" si="47"/>
        <v>0</v>
      </c>
      <c r="AB194" s="585">
        <f t="shared" si="47"/>
        <v>1.0366409478123026E-2</v>
      </c>
      <c r="AC194" s="585">
        <f t="shared" si="47"/>
        <v>0</v>
      </c>
      <c r="AD194" s="585">
        <f t="shared" si="47"/>
        <v>0</v>
      </c>
      <c r="AE194" s="585">
        <f t="shared" si="47"/>
        <v>0</v>
      </c>
      <c r="AF194" s="585">
        <f t="shared" si="47"/>
        <v>0</v>
      </c>
      <c r="AG194" s="585">
        <f t="shared" si="47"/>
        <v>-1.1124056071330322E-2</v>
      </c>
      <c r="AH194" s="585">
        <f t="shared" si="47"/>
        <v>-1.1124056071330322E-2</v>
      </c>
      <c r="AI194" s="585">
        <f t="shared" si="47"/>
        <v>0</v>
      </c>
      <c r="AJ194" s="585">
        <f t="shared" si="47"/>
        <v>0</v>
      </c>
      <c r="AK194" s="585">
        <f t="shared" si="47"/>
        <v>-1.0684814187889365E-2</v>
      </c>
      <c r="AL194" s="585">
        <f t="shared" si="47"/>
        <v>-1.0684814187889365E-2</v>
      </c>
      <c r="AM194" s="585">
        <f t="shared" si="47"/>
        <v>0</v>
      </c>
      <c r="AN194" s="585">
        <f t="shared" si="47"/>
        <v>0</v>
      </c>
      <c r="AO194" s="585">
        <f t="shared" si="47"/>
        <v>0</v>
      </c>
      <c r="AP194" s="585">
        <f t="shared" si="47"/>
        <v>0</v>
      </c>
      <c r="AQ194" s="571"/>
      <c r="AR194" s="571"/>
    </row>
    <row r="195" spans="5:44" x14ac:dyDescent="0.25">
      <c r="F195" s="66" t="s">
        <v>49</v>
      </c>
      <c r="G195" s="90" t="s">
        <v>201</v>
      </c>
      <c r="H195" s="572"/>
      <c r="I195" s="572"/>
      <c r="J195" s="585">
        <f t="shared" ref="J195:AP195" si="48">J90 * (1 - J$119)</f>
        <v>0</v>
      </c>
      <c r="K195" s="585">
        <f t="shared" si="48"/>
        <v>0</v>
      </c>
      <c r="L195" s="585">
        <f t="shared" si="48"/>
        <v>0</v>
      </c>
      <c r="M195" s="585">
        <f t="shared" si="48"/>
        <v>0</v>
      </c>
      <c r="N195" s="585">
        <f t="shared" si="48"/>
        <v>0</v>
      </c>
      <c r="O195" s="585">
        <f t="shared" si="48"/>
        <v>0</v>
      </c>
      <c r="P195" s="585">
        <f t="shared" si="48"/>
        <v>0</v>
      </c>
      <c r="Q195" s="585">
        <f t="shared" si="48"/>
        <v>0</v>
      </c>
      <c r="R195" s="585">
        <f t="shared" si="48"/>
        <v>0</v>
      </c>
      <c r="S195" s="585">
        <f t="shared" si="48"/>
        <v>4.8376911616025559E-3</v>
      </c>
      <c r="T195" s="585">
        <f t="shared" si="48"/>
        <v>5.1079577504172611E-3</v>
      </c>
      <c r="U195" s="585">
        <f t="shared" si="48"/>
        <v>0</v>
      </c>
      <c r="V195" s="585">
        <f t="shared" si="48"/>
        <v>0</v>
      </c>
      <c r="W195" s="585">
        <f t="shared" si="48"/>
        <v>0</v>
      </c>
      <c r="X195" s="585">
        <f t="shared" si="48"/>
        <v>0</v>
      </c>
      <c r="Y195" s="585">
        <f t="shared" si="48"/>
        <v>0</v>
      </c>
      <c r="Z195" s="585">
        <f t="shared" si="48"/>
        <v>0</v>
      </c>
      <c r="AA195" s="585">
        <f t="shared" si="48"/>
        <v>0</v>
      </c>
      <c r="AB195" s="585">
        <f t="shared" si="48"/>
        <v>2.9861984316161042E-3</v>
      </c>
      <c r="AC195" s="585">
        <f t="shared" si="48"/>
        <v>0</v>
      </c>
      <c r="AD195" s="585">
        <f t="shared" si="48"/>
        <v>0</v>
      </c>
      <c r="AE195" s="585">
        <f t="shared" si="48"/>
        <v>0</v>
      </c>
      <c r="AF195" s="585">
        <f t="shared" si="48"/>
        <v>0</v>
      </c>
      <c r="AG195" s="585">
        <f t="shared" si="48"/>
        <v>-3.2044498014013314E-3</v>
      </c>
      <c r="AH195" s="585">
        <f t="shared" si="48"/>
        <v>-3.2044498014013314E-3</v>
      </c>
      <c r="AI195" s="585">
        <f t="shared" si="48"/>
        <v>0</v>
      </c>
      <c r="AJ195" s="585">
        <f t="shared" si="48"/>
        <v>0</v>
      </c>
      <c r="AK195" s="585">
        <f t="shared" si="48"/>
        <v>0</v>
      </c>
      <c r="AL195" s="585">
        <f t="shared" si="48"/>
        <v>0</v>
      </c>
      <c r="AM195" s="585">
        <f t="shared" si="48"/>
        <v>0</v>
      </c>
      <c r="AN195" s="585">
        <f t="shared" si="48"/>
        <v>0</v>
      </c>
      <c r="AO195" s="585">
        <f t="shared" si="48"/>
        <v>0</v>
      </c>
      <c r="AP195" s="585">
        <f t="shared" si="48"/>
        <v>0</v>
      </c>
      <c r="AQ195" s="571"/>
      <c r="AR195" s="571"/>
    </row>
    <row r="196" spans="5:44" x14ac:dyDescent="0.25">
      <c r="F196" s="66" t="s">
        <v>50</v>
      </c>
      <c r="G196" s="90" t="s">
        <v>201</v>
      </c>
      <c r="H196" s="572"/>
      <c r="I196" s="572"/>
      <c r="J196" s="585">
        <f t="shared" ref="J196:AP196" si="49">J91 * (1 - J$120)</f>
        <v>0</v>
      </c>
      <c r="K196" s="585">
        <f t="shared" si="49"/>
        <v>0</v>
      </c>
      <c r="L196" s="585">
        <f t="shared" si="49"/>
        <v>0</v>
      </c>
      <c r="M196" s="585">
        <f t="shared" si="49"/>
        <v>0</v>
      </c>
      <c r="N196" s="585">
        <f t="shared" si="49"/>
        <v>0</v>
      </c>
      <c r="O196" s="585">
        <f t="shared" si="49"/>
        <v>0</v>
      </c>
      <c r="P196" s="585">
        <f t="shared" si="49"/>
        <v>0</v>
      </c>
      <c r="Q196" s="585">
        <f t="shared" si="49"/>
        <v>0</v>
      </c>
      <c r="R196" s="585">
        <f t="shared" si="49"/>
        <v>0</v>
      </c>
      <c r="S196" s="585">
        <f t="shared" si="49"/>
        <v>0</v>
      </c>
      <c r="T196" s="585">
        <f t="shared" si="49"/>
        <v>0</v>
      </c>
      <c r="U196" s="585">
        <f t="shared" si="49"/>
        <v>0</v>
      </c>
      <c r="V196" s="585">
        <f t="shared" si="49"/>
        <v>0</v>
      </c>
      <c r="W196" s="585">
        <f t="shared" si="49"/>
        <v>0</v>
      </c>
      <c r="X196" s="585">
        <f t="shared" si="49"/>
        <v>0</v>
      </c>
      <c r="Y196" s="585">
        <f t="shared" si="49"/>
        <v>0</v>
      </c>
      <c r="Z196" s="585">
        <f t="shared" si="49"/>
        <v>0</v>
      </c>
      <c r="AA196" s="585">
        <f t="shared" si="49"/>
        <v>0</v>
      </c>
      <c r="AB196" s="585">
        <f t="shared" si="49"/>
        <v>4.1036293631130236E-4</v>
      </c>
      <c r="AC196" s="585">
        <f t="shared" si="49"/>
        <v>0</v>
      </c>
      <c r="AD196" s="585">
        <f t="shared" si="49"/>
        <v>0</v>
      </c>
      <c r="AE196" s="585">
        <f t="shared" si="49"/>
        <v>0</v>
      </c>
      <c r="AF196" s="585">
        <f t="shared" si="49"/>
        <v>0</v>
      </c>
      <c r="AG196" s="585">
        <f t="shared" si="49"/>
        <v>0</v>
      </c>
      <c r="AH196" s="585">
        <f t="shared" si="49"/>
        <v>0</v>
      </c>
      <c r="AI196" s="585">
        <f t="shared" si="49"/>
        <v>0</v>
      </c>
      <c r="AJ196" s="585">
        <f t="shared" si="49"/>
        <v>0</v>
      </c>
      <c r="AK196" s="585">
        <f t="shared" si="49"/>
        <v>0</v>
      </c>
      <c r="AL196" s="585">
        <f t="shared" si="49"/>
        <v>0</v>
      </c>
      <c r="AM196" s="585">
        <f t="shared" si="49"/>
        <v>0</v>
      </c>
      <c r="AN196" s="585">
        <f t="shared" si="49"/>
        <v>0</v>
      </c>
      <c r="AO196" s="585">
        <f t="shared" si="49"/>
        <v>0</v>
      </c>
      <c r="AP196" s="585">
        <f t="shared" si="49"/>
        <v>0</v>
      </c>
      <c r="AQ196" s="571"/>
      <c r="AR196" s="571"/>
    </row>
    <row r="197" spans="5:44" s="131" customFormat="1" x14ac:dyDescent="0.25">
      <c r="E197" s="175"/>
      <c r="F197" s="72" t="s">
        <v>141</v>
      </c>
      <c r="G197" s="137" t="s">
        <v>201</v>
      </c>
      <c r="H197" s="569"/>
      <c r="I197" s="569"/>
      <c r="J197" s="583"/>
      <c r="K197" s="583"/>
      <c r="L197" s="583"/>
      <c r="M197" s="583"/>
      <c r="N197" s="583"/>
      <c r="O197" s="583"/>
      <c r="P197" s="583"/>
      <c r="Q197" s="583"/>
      <c r="R197" s="583"/>
      <c r="S197" s="583"/>
      <c r="T197" s="583"/>
      <c r="U197" s="583"/>
      <c r="V197" s="583"/>
      <c r="W197" s="583"/>
      <c r="X197" s="583"/>
      <c r="Y197" s="583"/>
      <c r="Z197" s="583"/>
      <c r="AA197" s="583"/>
      <c r="AB197" s="583"/>
      <c r="AC197" s="583"/>
      <c r="AD197" s="583"/>
      <c r="AE197" s="583"/>
      <c r="AF197" s="583"/>
      <c r="AG197" s="583"/>
      <c r="AH197" s="583"/>
      <c r="AI197" s="583"/>
      <c r="AJ197" s="583"/>
      <c r="AK197" s="583"/>
      <c r="AL197" s="583"/>
      <c r="AM197" s="583"/>
      <c r="AN197" s="583"/>
      <c r="AO197" s="583"/>
      <c r="AP197" s="583"/>
      <c r="AQ197" s="571"/>
      <c r="AR197" s="571"/>
    </row>
    <row r="198" spans="5:44" s="131" customFormat="1" x14ac:dyDescent="0.25">
      <c r="E198" s="175"/>
      <c r="F198" s="67" t="s">
        <v>140</v>
      </c>
      <c r="G198" s="140" t="s">
        <v>201</v>
      </c>
      <c r="H198" s="574"/>
      <c r="I198" s="574"/>
      <c r="J198" s="579"/>
      <c r="K198" s="579"/>
      <c r="L198" s="579"/>
      <c r="M198" s="579"/>
      <c r="N198" s="579"/>
      <c r="O198" s="579"/>
      <c r="P198" s="579"/>
      <c r="Q198" s="579"/>
      <c r="R198" s="579"/>
      <c r="S198" s="579"/>
      <c r="T198" s="579"/>
      <c r="U198" s="579"/>
      <c r="V198" s="579"/>
      <c r="W198" s="579"/>
      <c r="X198" s="579"/>
      <c r="Y198" s="579"/>
      <c r="Z198" s="579"/>
      <c r="AA198" s="579"/>
      <c r="AB198" s="579"/>
      <c r="AC198" s="579"/>
      <c r="AD198" s="579"/>
      <c r="AE198" s="579"/>
      <c r="AF198" s="579"/>
      <c r="AG198" s="579"/>
      <c r="AH198" s="579"/>
      <c r="AI198" s="579"/>
      <c r="AJ198" s="579"/>
      <c r="AK198" s="579"/>
      <c r="AL198" s="579"/>
      <c r="AM198" s="579"/>
      <c r="AN198" s="579"/>
      <c r="AO198" s="579"/>
      <c r="AP198" s="579"/>
      <c r="AQ198" s="571"/>
      <c r="AR198" s="571"/>
    </row>
    <row r="199" spans="5:44" s="160" customFormat="1" x14ac:dyDescent="0.25">
      <c r="E199" s="175"/>
      <c r="F199" s="176"/>
      <c r="G199" s="167"/>
      <c r="H199" s="167"/>
      <c r="J199" s="416"/>
      <c r="K199" s="416"/>
      <c r="L199" s="416"/>
      <c r="M199" s="416"/>
      <c r="N199" s="416"/>
      <c r="O199" s="416"/>
      <c r="P199" s="416"/>
      <c r="Q199" s="416"/>
      <c r="R199" s="416"/>
      <c r="S199" s="416"/>
      <c r="T199" s="416"/>
      <c r="U199" s="416"/>
      <c r="V199" s="416"/>
      <c r="W199" s="416"/>
      <c r="X199" s="416"/>
      <c r="Y199" s="416"/>
      <c r="Z199" s="416"/>
      <c r="AA199" s="416"/>
      <c r="AB199" s="416"/>
      <c r="AC199" s="416"/>
      <c r="AD199" s="416"/>
      <c r="AE199" s="416"/>
      <c r="AF199" s="416"/>
      <c r="AG199" s="416"/>
      <c r="AH199" s="416"/>
      <c r="AI199" s="416"/>
      <c r="AJ199" s="416"/>
      <c r="AK199" s="416"/>
      <c r="AL199" s="416"/>
      <c r="AM199" s="416"/>
      <c r="AN199" s="416"/>
      <c r="AO199" s="416"/>
      <c r="AP199" s="416"/>
    </row>
    <row r="200" spans="5:44" x14ac:dyDescent="0.25">
      <c r="E200" s="172" t="s">
        <v>133</v>
      </c>
      <c r="F200" s="117"/>
      <c r="J200" s="416"/>
      <c r="K200" s="416"/>
      <c r="L200" s="416"/>
      <c r="M200" s="416"/>
      <c r="N200" s="416"/>
      <c r="O200" s="416"/>
      <c r="P200" s="416"/>
      <c r="Q200" s="416"/>
      <c r="R200" s="416"/>
      <c r="S200" s="416"/>
      <c r="T200" s="416"/>
      <c r="U200" s="416"/>
      <c r="V200" s="416"/>
      <c r="W200" s="416"/>
      <c r="X200" s="416"/>
      <c r="Y200" s="416"/>
      <c r="Z200" s="416"/>
      <c r="AA200" s="416"/>
      <c r="AB200" s="416"/>
      <c r="AC200" s="416"/>
      <c r="AD200" s="416"/>
      <c r="AE200" s="416"/>
      <c r="AF200" s="416"/>
      <c r="AG200" s="416"/>
      <c r="AH200" s="416"/>
      <c r="AI200" s="416"/>
      <c r="AJ200" s="416"/>
      <c r="AK200" s="416"/>
      <c r="AL200" s="416"/>
      <c r="AM200" s="416"/>
      <c r="AN200" s="416"/>
      <c r="AO200" s="416"/>
      <c r="AP200" s="416"/>
    </row>
    <row r="201" spans="5:44" x14ac:dyDescent="0.25">
      <c r="F201" s="72" t="s">
        <v>397</v>
      </c>
      <c r="G201" s="13" t="s">
        <v>201</v>
      </c>
      <c r="H201" s="569"/>
      <c r="I201" s="569"/>
      <c r="J201" s="584">
        <f t="shared" ref="J201:AP201" si="50">J96 * (1 - J$112)</f>
        <v>0</v>
      </c>
      <c r="K201" s="584">
        <f t="shared" si="50"/>
        <v>0</v>
      </c>
      <c r="L201" s="584">
        <f t="shared" si="50"/>
        <v>0</v>
      </c>
      <c r="M201" s="584">
        <f t="shared" si="50"/>
        <v>0</v>
      </c>
      <c r="N201" s="584">
        <f t="shared" si="50"/>
        <v>0</v>
      </c>
      <c r="O201" s="584">
        <f t="shared" si="50"/>
        <v>0</v>
      </c>
      <c r="P201" s="584">
        <f t="shared" si="50"/>
        <v>0</v>
      </c>
      <c r="Q201" s="584">
        <f t="shared" si="50"/>
        <v>0</v>
      </c>
      <c r="R201" s="584">
        <f t="shared" si="50"/>
        <v>0</v>
      </c>
      <c r="S201" s="584">
        <f t="shared" si="50"/>
        <v>0</v>
      </c>
      <c r="T201" s="584">
        <f t="shared" si="50"/>
        <v>0</v>
      </c>
      <c r="U201" s="584">
        <f t="shared" si="50"/>
        <v>0</v>
      </c>
      <c r="V201" s="584">
        <f t="shared" si="50"/>
        <v>0</v>
      </c>
      <c r="W201" s="584">
        <f t="shared" si="50"/>
        <v>0</v>
      </c>
      <c r="X201" s="584">
        <f t="shared" si="50"/>
        <v>0</v>
      </c>
      <c r="Y201" s="584">
        <f t="shared" si="50"/>
        <v>0</v>
      </c>
      <c r="Z201" s="584">
        <f t="shared" si="50"/>
        <v>0</v>
      </c>
      <c r="AA201" s="584">
        <f t="shared" si="50"/>
        <v>0</v>
      </c>
      <c r="AB201" s="584">
        <f t="shared" si="50"/>
        <v>0</v>
      </c>
      <c r="AC201" s="584">
        <f t="shared" si="50"/>
        <v>0</v>
      </c>
      <c r="AD201" s="584">
        <f t="shared" si="50"/>
        <v>0</v>
      </c>
      <c r="AE201" s="584">
        <f t="shared" si="50"/>
        <v>0</v>
      </c>
      <c r="AF201" s="584">
        <f t="shared" si="50"/>
        <v>0</v>
      </c>
      <c r="AG201" s="584">
        <f t="shared" si="50"/>
        <v>0</v>
      </c>
      <c r="AH201" s="584">
        <f t="shared" si="50"/>
        <v>0</v>
      </c>
      <c r="AI201" s="584">
        <f t="shared" si="50"/>
        <v>0</v>
      </c>
      <c r="AJ201" s="584">
        <f t="shared" si="50"/>
        <v>0</v>
      </c>
      <c r="AK201" s="584">
        <f t="shared" si="50"/>
        <v>0</v>
      </c>
      <c r="AL201" s="584">
        <f t="shared" si="50"/>
        <v>0</v>
      </c>
      <c r="AM201" s="584">
        <f t="shared" si="50"/>
        <v>0</v>
      </c>
      <c r="AN201" s="584">
        <f t="shared" si="50"/>
        <v>0</v>
      </c>
      <c r="AO201" s="584">
        <f t="shared" si="50"/>
        <v>0</v>
      </c>
      <c r="AP201" s="584">
        <f t="shared" si="50"/>
        <v>0</v>
      </c>
      <c r="AQ201" s="571"/>
      <c r="AR201" s="571"/>
    </row>
    <row r="202" spans="5:44" x14ac:dyDescent="0.25">
      <c r="F202" s="66" t="s">
        <v>43</v>
      </c>
      <c r="G202" s="90" t="s">
        <v>201</v>
      </c>
      <c r="H202" s="572"/>
      <c r="I202" s="572"/>
      <c r="J202" s="585">
        <f t="shared" ref="J202:AP202" si="51">J97 * (1 - J$112)</f>
        <v>0</v>
      </c>
      <c r="K202" s="585">
        <f t="shared" si="51"/>
        <v>0</v>
      </c>
      <c r="L202" s="585">
        <f t="shared" si="51"/>
        <v>0</v>
      </c>
      <c r="M202" s="585">
        <f t="shared" si="51"/>
        <v>0</v>
      </c>
      <c r="N202" s="585">
        <f t="shared" si="51"/>
        <v>0</v>
      </c>
      <c r="O202" s="585">
        <f t="shared" si="51"/>
        <v>0</v>
      </c>
      <c r="P202" s="585">
        <f t="shared" si="51"/>
        <v>0</v>
      </c>
      <c r="Q202" s="585">
        <f t="shared" si="51"/>
        <v>0</v>
      </c>
      <c r="R202" s="585">
        <f t="shared" si="51"/>
        <v>0</v>
      </c>
      <c r="S202" s="585">
        <f t="shared" si="51"/>
        <v>0</v>
      </c>
      <c r="T202" s="585">
        <f t="shared" si="51"/>
        <v>0</v>
      </c>
      <c r="U202" s="585">
        <f t="shared" si="51"/>
        <v>0</v>
      </c>
      <c r="V202" s="585">
        <f t="shared" si="51"/>
        <v>0</v>
      </c>
      <c r="W202" s="585">
        <f t="shared" si="51"/>
        <v>0</v>
      </c>
      <c r="X202" s="585">
        <f t="shared" si="51"/>
        <v>0</v>
      </c>
      <c r="Y202" s="585">
        <f t="shared" si="51"/>
        <v>0</v>
      </c>
      <c r="Z202" s="585">
        <f t="shared" si="51"/>
        <v>0</v>
      </c>
      <c r="AA202" s="585">
        <f t="shared" si="51"/>
        <v>0</v>
      </c>
      <c r="AB202" s="585">
        <f t="shared" si="51"/>
        <v>0</v>
      </c>
      <c r="AC202" s="585">
        <f t="shared" si="51"/>
        <v>0</v>
      </c>
      <c r="AD202" s="585">
        <f t="shared" si="51"/>
        <v>0</v>
      </c>
      <c r="AE202" s="585">
        <f t="shared" si="51"/>
        <v>0</v>
      </c>
      <c r="AF202" s="585">
        <f t="shared" si="51"/>
        <v>0</v>
      </c>
      <c r="AG202" s="585">
        <f t="shared" si="51"/>
        <v>0</v>
      </c>
      <c r="AH202" s="585">
        <f t="shared" si="51"/>
        <v>0</v>
      </c>
      <c r="AI202" s="585">
        <f t="shared" si="51"/>
        <v>0</v>
      </c>
      <c r="AJ202" s="585">
        <f t="shared" si="51"/>
        <v>0</v>
      </c>
      <c r="AK202" s="585">
        <f t="shared" si="51"/>
        <v>0</v>
      </c>
      <c r="AL202" s="585">
        <f t="shared" si="51"/>
        <v>0</v>
      </c>
      <c r="AM202" s="585">
        <f t="shared" si="51"/>
        <v>0</v>
      </c>
      <c r="AN202" s="585">
        <f t="shared" si="51"/>
        <v>0</v>
      </c>
      <c r="AO202" s="585">
        <f t="shared" si="51"/>
        <v>0</v>
      </c>
      <c r="AP202" s="585">
        <f t="shared" si="51"/>
        <v>0</v>
      </c>
      <c r="AQ202" s="571"/>
      <c r="AR202" s="571"/>
    </row>
    <row r="203" spans="5:44" x14ac:dyDescent="0.25">
      <c r="F203" s="66" t="s">
        <v>44</v>
      </c>
      <c r="G203" s="90" t="s">
        <v>201</v>
      </c>
      <c r="H203" s="572"/>
      <c r="I203" s="572"/>
      <c r="J203" s="585">
        <f t="shared" ref="J203:AP203" si="52">J98 * (1 - J$113)</f>
        <v>0</v>
      </c>
      <c r="K203" s="585">
        <f t="shared" si="52"/>
        <v>0</v>
      </c>
      <c r="L203" s="585">
        <f t="shared" si="52"/>
        <v>0</v>
      </c>
      <c r="M203" s="585">
        <f t="shared" si="52"/>
        <v>0</v>
      </c>
      <c r="N203" s="585">
        <f t="shared" si="52"/>
        <v>0</v>
      </c>
      <c r="O203" s="585">
        <f t="shared" si="52"/>
        <v>0</v>
      </c>
      <c r="P203" s="585">
        <f t="shared" si="52"/>
        <v>0</v>
      </c>
      <c r="Q203" s="585">
        <f t="shared" si="52"/>
        <v>0</v>
      </c>
      <c r="R203" s="585">
        <f t="shared" si="52"/>
        <v>0</v>
      </c>
      <c r="S203" s="585">
        <f t="shared" si="52"/>
        <v>5.0358413844911736E-4</v>
      </c>
      <c r="T203" s="585">
        <f t="shared" si="52"/>
        <v>5.3145450495254245E-4</v>
      </c>
      <c r="U203" s="585">
        <f t="shared" si="52"/>
        <v>3.9718226705586711E-4</v>
      </c>
      <c r="V203" s="585">
        <f t="shared" si="52"/>
        <v>3.6890133914898557E-4</v>
      </c>
      <c r="W203" s="585">
        <f t="shared" si="52"/>
        <v>3.3076906412488614E-4</v>
      </c>
      <c r="X203" s="585">
        <f t="shared" si="52"/>
        <v>0</v>
      </c>
      <c r="Y203" s="585">
        <f t="shared" si="52"/>
        <v>0</v>
      </c>
      <c r="Z203" s="585">
        <f t="shared" si="52"/>
        <v>0</v>
      </c>
      <c r="AA203" s="585">
        <f t="shared" si="52"/>
        <v>0</v>
      </c>
      <c r="AB203" s="585">
        <f t="shared" si="52"/>
        <v>3.1049045487021584E-4</v>
      </c>
      <c r="AC203" s="585">
        <f t="shared" si="52"/>
        <v>0</v>
      </c>
      <c r="AD203" s="585">
        <f t="shared" si="52"/>
        <v>0</v>
      </c>
      <c r="AE203" s="585">
        <f t="shared" si="52"/>
        <v>0</v>
      </c>
      <c r="AF203" s="585">
        <f t="shared" si="52"/>
        <v>0</v>
      </c>
      <c r="AG203" s="585">
        <f t="shared" si="52"/>
        <v>-3.3318317560946992E-4</v>
      </c>
      <c r="AH203" s="585">
        <f t="shared" si="52"/>
        <v>-3.3318317560946992E-4</v>
      </c>
      <c r="AI203" s="585">
        <f t="shared" si="52"/>
        <v>0</v>
      </c>
      <c r="AJ203" s="585">
        <f t="shared" si="52"/>
        <v>0</v>
      </c>
      <c r="AK203" s="585">
        <f t="shared" si="52"/>
        <v>-3.2002718244950008E-4</v>
      </c>
      <c r="AL203" s="585">
        <f t="shared" si="52"/>
        <v>-3.2002718244950008E-4</v>
      </c>
      <c r="AM203" s="585">
        <f t="shared" si="52"/>
        <v>0</v>
      </c>
      <c r="AN203" s="585">
        <f t="shared" si="52"/>
        <v>0</v>
      </c>
      <c r="AO203" s="585">
        <f t="shared" si="52"/>
        <v>-3.1543788250997564E-4</v>
      </c>
      <c r="AP203" s="585">
        <f t="shared" si="52"/>
        <v>-3.1543788250997564E-4</v>
      </c>
      <c r="AQ203" s="571"/>
      <c r="AR203" s="571"/>
    </row>
    <row r="204" spans="5:44" x14ac:dyDescent="0.25">
      <c r="F204" s="66" t="s">
        <v>45</v>
      </c>
      <c r="G204" s="90" t="s">
        <v>201</v>
      </c>
      <c r="H204" s="572"/>
      <c r="I204" s="572"/>
      <c r="J204" s="585">
        <f t="shared" ref="J204:AP204" si="53">J99 * (1 - J$114)</f>
        <v>0</v>
      </c>
      <c r="K204" s="585">
        <f t="shared" si="53"/>
        <v>0</v>
      </c>
      <c r="L204" s="585">
        <f t="shared" si="53"/>
        <v>0</v>
      </c>
      <c r="M204" s="585">
        <f t="shared" si="53"/>
        <v>0</v>
      </c>
      <c r="N204" s="585">
        <f t="shared" si="53"/>
        <v>0</v>
      </c>
      <c r="O204" s="585">
        <f t="shared" si="53"/>
        <v>0</v>
      </c>
      <c r="P204" s="585">
        <f t="shared" si="53"/>
        <v>0</v>
      </c>
      <c r="Q204" s="585">
        <f t="shared" si="53"/>
        <v>0</v>
      </c>
      <c r="R204" s="585">
        <f t="shared" si="53"/>
        <v>0</v>
      </c>
      <c r="S204" s="585">
        <f t="shared" si="53"/>
        <v>1.4014933997076045E-4</v>
      </c>
      <c r="T204" s="585">
        <f t="shared" si="53"/>
        <v>1.4790576669664483E-4</v>
      </c>
      <c r="U204" s="585">
        <f t="shared" si="53"/>
        <v>1.1053730315533858E-4</v>
      </c>
      <c r="V204" s="585">
        <f t="shared" si="53"/>
        <v>1.0266661566284404E-4</v>
      </c>
      <c r="W204" s="585">
        <f t="shared" si="53"/>
        <v>9.2054261602865967E-5</v>
      </c>
      <c r="X204" s="585">
        <f t="shared" si="53"/>
        <v>0</v>
      </c>
      <c r="Y204" s="585">
        <f t="shared" si="53"/>
        <v>0</v>
      </c>
      <c r="Z204" s="585">
        <f t="shared" si="53"/>
        <v>0</v>
      </c>
      <c r="AA204" s="585">
        <f t="shared" si="53"/>
        <v>0</v>
      </c>
      <c r="AB204" s="585">
        <f t="shared" si="53"/>
        <v>8.6410649174326065E-5</v>
      </c>
      <c r="AC204" s="585">
        <f t="shared" si="53"/>
        <v>0</v>
      </c>
      <c r="AD204" s="585">
        <f t="shared" si="53"/>
        <v>0</v>
      </c>
      <c r="AE204" s="585">
        <f t="shared" si="53"/>
        <v>0</v>
      </c>
      <c r="AF204" s="585">
        <f t="shared" si="53"/>
        <v>0</v>
      </c>
      <c r="AG204" s="585">
        <f t="shared" si="53"/>
        <v>-9.2726117813870184E-5</v>
      </c>
      <c r="AH204" s="585">
        <f t="shared" si="53"/>
        <v>-9.2726117813870184E-5</v>
      </c>
      <c r="AI204" s="585">
        <f t="shared" si="53"/>
        <v>0</v>
      </c>
      <c r="AJ204" s="585">
        <f t="shared" si="53"/>
        <v>0</v>
      </c>
      <c r="AK204" s="585">
        <f t="shared" si="53"/>
        <v>-8.9064755953451068E-5</v>
      </c>
      <c r="AL204" s="585">
        <f t="shared" si="53"/>
        <v>-8.9064755953451068E-5</v>
      </c>
      <c r="AM204" s="585">
        <f t="shared" si="53"/>
        <v>0</v>
      </c>
      <c r="AN204" s="585">
        <f t="shared" si="53"/>
        <v>0</v>
      </c>
      <c r="AO204" s="585">
        <f t="shared" si="53"/>
        <v>-8.7787536699816498E-5</v>
      </c>
      <c r="AP204" s="585">
        <f t="shared" si="53"/>
        <v>-8.7787536699816498E-5</v>
      </c>
      <c r="AQ204" s="571"/>
      <c r="AR204" s="571"/>
    </row>
    <row r="205" spans="5:44" x14ac:dyDescent="0.25">
      <c r="F205" s="66" t="s">
        <v>46</v>
      </c>
      <c r="G205" s="90" t="s">
        <v>201</v>
      </c>
      <c r="H205" s="572"/>
      <c r="I205" s="572"/>
      <c r="J205" s="585">
        <f t="shared" ref="J205:AP205" si="54">J100 * (1 - J$115)</f>
        <v>0</v>
      </c>
      <c r="K205" s="585">
        <f t="shared" si="54"/>
        <v>0</v>
      </c>
      <c r="L205" s="585">
        <f t="shared" si="54"/>
        <v>0</v>
      </c>
      <c r="M205" s="585">
        <f t="shared" si="54"/>
        <v>0</v>
      </c>
      <c r="N205" s="585">
        <f t="shared" si="54"/>
        <v>0</v>
      </c>
      <c r="O205" s="585">
        <f t="shared" si="54"/>
        <v>0</v>
      </c>
      <c r="P205" s="585">
        <f t="shared" si="54"/>
        <v>0</v>
      </c>
      <c r="Q205" s="585">
        <f t="shared" si="54"/>
        <v>0</v>
      </c>
      <c r="R205" s="585">
        <f t="shared" si="54"/>
        <v>0</v>
      </c>
      <c r="S205" s="585">
        <f t="shared" si="54"/>
        <v>1.9077670055952785E-3</v>
      </c>
      <c r="T205" s="585">
        <f t="shared" si="54"/>
        <v>2.0137086486798047E-3</v>
      </c>
      <c r="U205" s="585">
        <f t="shared" si="54"/>
        <v>1.5053943572164677E-3</v>
      </c>
      <c r="V205" s="585">
        <f t="shared" si="54"/>
        <v>1.3982044023288875E-3</v>
      </c>
      <c r="W205" s="585">
        <f t="shared" si="54"/>
        <v>1.0029408137807649E-3</v>
      </c>
      <c r="X205" s="585">
        <f t="shared" si="54"/>
        <v>0</v>
      </c>
      <c r="Y205" s="585">
        <f t="shared" si="54"/>
        <v>0</v>
      </c>
      <c r="Z205" s="585">
        <f t="shared" si="54"/>
        <v>0</v>
      </c>
      <c r="AA205" s="585">
        <f t="shared" si="54"/>
        <v>0</v>
      </c>
      <c r="AB205" s="585">
        <f t="shared" si="54"/>
        <v>1.1768163321990706E-3</v>
      </c>
      <c r="AC205" s="585">
        <f t="shared" si="54"/>
        <v>0</v>
      </c>
      <c r="AD205" s="585">
        <f t="shared" si="54"/>
        <v>0</v>
      </c>
      <c r="AE205" s="585">
        <f t="shared" si="54"/>
        <v>0</v>
      </c>
      <c r="AF205" s="585">
        <f t="shared" si="54"/>
        <v>0</v>
      </c>
      <c r="AG205" s="585">
        <f t="shared" si="54"/>
        <v>-1.2628259468880293E-3</v>
      </c>
      <c r="AH205" s="585">
        <f t="shared" si="54"/>
        <v>-1.2628259468880293E-3</v>
      </c>
      <c r="AI205" s="585">
        <f t="shared" si="54"/>
        <v>0</v>
      </c>
      <c r="AJ205" s="585">
        <f t="shared" si="54"/>
        <v>0</v>
      </c>
      <c r="AK205" s="585">
        <f t="shared" si="54"/>
        <v>-1.2129622960926341E-3</v>
      </c>
      <c r="AL205" s="585">
        <f t="shared" si="54"/>
        <v>-1.2129622960926341E-3</v>
      </c>
      <c r="AM205" s="585">
        <f t="shared" si="54"/>
        <v>0</v>
      </c>
      <c r="AN205" s="585">
        <f t="shared" si="54"/>
        <v>0</v>
      </c>
      <c r="AO205" s="585">
        <f t="shared" si="54"/>
        <v>-1.1955679993035427E-3</v>
      </c>
      <c r="AP205" s="585">
        <f t="shared" si="54"/>
        <v>-1.1955679993035427E-3</v>
      </c>
      <c r="AQ205" s="571"/>
      <c r="AR205" s="571"/>
    </row>
    <row r="206" spans="5:44" x14ac:dyDescent="0.25">
      <c r="F206" s="66" t="s">
        <v>47</v>
      </c>
      <c r="G206" s="90" t="s">
        <v>201</v>
      </c>
      <c r="H206" s="572"/>
      <c r="I206" s="572"/>
      <c r="J206" s="585">
        <f t="shared" ref="J206:AP206" si="55">J101 * (1 - J$116)</f>
        <v>0</v>
      </c>
      <c r="K206" s="585">
        <f t="shared" si="55"/>
        <v>0</v>
      </c>
      <c r="L206" s="585">
        <f t="shared" si="55"/>
        <v>0</v>
      </c>
      <c r="M206" s="585">
        <f t="shared" si="55"/>
        <v>0</v>
      </c>
      <c r="N206" s="585">
        <f t="shared" si="55"/>
        <v>0</v>
      </c>
      <c r="O206" s="585">
        <f t="shared" si="55"/>
        <v>0</v>
      </c>
      <c r="P206" s="585">
        <f t="shared" si="55"/>
        <v>0</v>
      </c>
      <c r="Q206" s="585">
        <f t="shared" si="55"/>
        <v>0</v>
      </c>
      <c r="R206" s="585">
        <f t="shared" si="55"/>
        <v>0</v>
      </c>
      <c r="S206" s="585">
        <f t="shared" si="55"/>
        <v>1.4531145330620569E-3</v>
      </c>
      <c r="T206" s="585">
        <f t="shared" si="55"/>
        <v>1.5338085280683094E-3</v>
      </c>
      <c r="U206" s="585">
        <f t="shared" si="55"/>
        <v>1.1466339506056695E-3</v>
      </c>
      <c r="V206" s="585">
        <f t="shared" si="55"/>
        <v>1.0649891371726961E-3</v>
      </c>
      <c r="W206" s="585">
        <f t="shared" si="55"/>
        <v>0</v>
      </c>
      <c r="X206" s="585">
        <f t="shared" si="55"/>
        <v>0</v>
      </c>
      <c r="Y206" s="585">
        <f t="shared" si="55"/>
        <v>0</v>
      </c>
      <c r="Z206" s="585">
        <f t="shared" si="55"/>
        <v>0</v>
      </c>
      <c r="AA206" s="585">
        <f t="shared" si="55"/>
        <v>0</v>
      </c>
      <c r="AB206" s="585">
        <f t="shared" si="55"/>
        <v>8.9636151062884642E-4</v>
      </c>
      <c r="AC206" s="585">
        <f t="shared" si="55"/>
        <v>0</v>
      </c>
      <c r="AD206" s="585">
        <f t="shared" si="55"/>
        <v>0</v>
      </c>
      <c r="AE206" s="585">
        <f t="shared" si="55"/>
        <v>0</v>
      </c>
      <c r="AF206" s="585">
        <f t="shared" si="55"/>
        <v>0</v>
      </c>
      <c r="AG206" s="585">
        <f t="shared" si="55"/>
        <v>-9.618736097064776E-4</v>
      </c>
      <c r="AH206" s="585">
        <f t="shared" si="55"/>
        <v>-9.618736097064776E-4</v>
      </c>
      <c r="AI206" s="585">
        <f t="shared" si="55"/>
        <v>0</v>
      </c>
      <c r="AJ206" s="585">
        <f t="shared" si="55"/>
        <v>0</v>
      </c>
      <c r="AK206" s="585">
        <f t="shared" si="55"/>
        <v>-9.2389329270245696E-4</v>
      </c>
      <c r="AL206" s="585">
        <f t="shared" si="55"/>
        <v>-9.2389329270245696E-4</v>
      </c>
      <c r="AM206" s="585">
        <f t="shared" si="55"/>
        <v>0</v>
      </c>
      <c r="AN206" s="585">
        <f t="shared" si="55"/>
        <v>0</v>
      </c>
      <c r="AO206" s="585">
        <f t="shared" si="55"/>
        <v>-9.1064434491035652E-4</v>
      </c>
      <c r="AP206" s="585">
        <f t="shared" si="55"/>
        <v>-9.1064434491035652E-4</v>
      </c>
      <c r="AQ206" s="571"/>
      <c r="AR206" s="571"/>
    </row>
    <row r="207" spans="5:44" x14ac:dyDescent="0.25">
      <c r="F207" s="66" t="s">
        <v>51</v>
      </c>
      <c r="G207" s="90" t="s">
        <v>201</v>
      </c>
      <c r="H207" s="572"/>
      <c r="I207" s="572"/>
      <c r="J207" s="585">
        <f t="shared" ref="J207:AP207" si="56">J102 * (1 - J$117)</f>
        <v>0</v>
      </c>
      <c r="K207" s="585">
        <f t="shared" si="56"/>
        <v>0</v>
      </c>
      <c r="L207" s="585">
        <f t="shared" si="56"/>
        <v>0</v>
      </c>
      <c r="M207" s="585">
        <f t="shared" si="56"/>
        <v>0</v>
      </c>
      <c r="N207" s="585">
        <f t="shared" si="56"/>
        <v>0</v>
      </c>
      <c r="O207" s="585">
        <f t="shared" si="56"/>
        <v>0</v>
      </c>
      <c r="P207" s="585">
        <f t="shared" si="56"/>
        <v>0</v>
      </c>
      <c r="Q207" s="585">
        <f t="shared" si="56"/>
        <v>0</v>
      </c>
      <c r="R207" s="585">
        <f t="shared" si="56"/>
        <v>0</v>
      </c>
      <c r="S207" s="585">
        <f t="shared" si="56"/>
        <v>0</v>
      </c>
      <c r="T207" s="585">
        <f t="shared" si="56"/>
        <v>0</v>
      </c>
      <c r="U207" s="585">
        <f t="shared" si="56"/>
        <v>0</v>
      </c>
      <c r="V207" s="585">
        <f t="shared" si="56"/>
        <v>0</v>
      </c>
      <c r="W207" s="585">
        <f t="shared" si="56"/>
        <v>0</v>
      </c>
      <c r="X207" s="585">
        <f t="shared" si="56"/>
        <v>0</v>
      </c>
      <c r="Y207" s="585">
        <f t="shared" si="56"/>
        <v>0</v>
      </c>
      <c r="Z207" s="585">
        <f t="shared" si="56"/>
        <v>0</v>
      </c>
      <c r="AA207" s="585">
        <f t="shared" si="56"/>
        <v>0</v>
      </c>
      <c r="AB207" s="585">
        <f t="shared" si="56"/>
        <v>0</v>
      </c>
      <c r="AC207" s="585">
        <f t="shared" si="56"/>
        <v>0</v>
      </c>
      <c r="AD207" s="585">
        <f t="shared" si="56"/>
        <v>0</v>
      </c>
      <c r="AE207" s="585">
        <f t="shared" si="56"/>
        <v>0</v>
      </c>
      <c r="AF207" s="585">
        <f t="shared" si="56"/>
        <v>0</v>
      </c>
      <c r="AG207" s="585">
        <f t="shared" si="56"/>
        <v>0</v>
      </c>
      <c r="AH207" s="585">
        <f t="shared" si="56"/>
        <v>0</v>
      </c>
      <c r="AI207" s="585">
        <f t="shared" si="56"/>
        <v>0</v>
      </c>
      <c r="AJ207" s="585">
        <f t="shared" si="56"/>
        <v>0</v>
      </c>
      <c r="AK207" s="585">
        <f t="shared" si="56"/>
        <v>0</v>
      </c>
      <c r="AL207" s="585">
        <f t="shared" si="56"/>
        <v>0</v>
      </c>
      <c r="AM207" s="585">
        <f t="shared" si="56"/>
        <v>0</v>
      </c>
      <c r="AN207" s="585">
        <f t="shared" si="56"/>
        <v>0</v>
      </c>
      <c r="AO207" s="585">
        <f t="shared" si="56"/>
        <v>0</v>
      </c>
      <c r="AP207" s="585">
        <f t="shared" si="56"/>
        <v>0</v>
      </c>
      <c r="AQ207" s="571"/>
      <c r="AR207" s="571"/>
    </row>
    <row r="208" spans="5:44" x14ac:dyDescent="0.25">
      <c r="F208" s="66" t="s">
        <v>48</v>
      </c>
      <c r="G208" s="90" t="s">
        <v>201</v>
      </c>
      <c r="H208" s="572"/>
      <c r="I208" s="572"/>
      <c r="J208" s="585">
        <f t="shared" ref="J208:AP208" si="57">J103 * (1 - J$118)</f>
        <v>0</v>
      </c>
      <c r="K208" s="585">
        <f t="shared" si="57"/>
        <v>0</v>
      </c>
      <c r="L208" s="585">
        <f t="shared" si="57"/>
        <v>0</v>
      </c>
      <c r="M208" s="585">
        <f t="shared" si="57"/>
        <v>0</v>
      </c>
      <c r="N208" s="585">
        <f t="shared" si="57"/>
        <v>0</v>
      </c>
      <c r="O208" s="585">
        <f t="shared" si="57"/>
        <v>0</v>
      </c>
      <c r="P208" s="585">
        <f t="shared" si="57"/>
        <v>0</v>
      </c>
      <c r="Q208" s="585">
        <f t="shared" si="57"/>
        <v>0</v>
      </c>
      <c r="R208" s="585">
        <f t="shared" si="57"/>
        <v>0</v>
      </c>
      <c r="S208" s="585">
        <f t="shared" si="57"/>
        <v>1.0342249868014516E-2</v>
      </c>
      <c r="T208" s="585">
        <f t="shared" si="57"/>
        <v>1.0920038837819623E-2</v>
      </c>
      <c r="U208" s="585">
        <f t="shared" si="57"/>
        <v>6.5332177504339927E-3</v>
      </c>
      <c r="V208" s="585">
        <f t="shared" si="57"/>
        <v>0</v>
      </c>
      <c r="W208" s="585">
        <f t="shared" si="57"/>
        <v>0</v>
      </c>
      <c r="X208" s="585">
        <f t="shared" si="57"/>
        <v>0</v>
      </c>
      <c r="Y208" s="585">
        <f t="shared" si="57"/>
        <v>0</v>
      </c>
      <c r="Z208" s="585">
        <f t="shared" si="57"/>
        <v>0</v>
      </c>
      <c r="AA208" s="585">
        <f t="shared" si="57"/>
        <v>0</v>
      </c>
      <c r="AB208" s="585">
        <f t="shared" si="57"/>
        <v>6.3840392665777427E-3</v>
      </c>
      <c r="AC208" s="585">
        <f t="shared" si="57"/>
        <v>0</v>
      </c>
      <c r="AD208" s="585">
        <f t="shared" si="57"/>
        <v>0</v>
      </c>
      <c r="AE208" s="585">
        <f t="shared" si="57"/>
        <v>0</v>
      </c>
      <c r="AF208" s="585">
        <f t="shared" si="57"/>
        <v>0</v>
      </c>
      <c r="AG208" s="585">
        <f t="shared" si="57"/>
        <v>-6.8506275883521983E-3</v>
      </c>
      <c r="AH208" s="585">
        <f t="shared" si="57"/>
        <v>-6.8506275883521983E-3</v>
      </c>
      <c r="AI208" s="585">
        <f t="shared" si="57"/>
        <v>0</v>
      </c>
      <c r="AJ208" s="585">
        <f t="shared" si="57"/>
        <v>0</v>
      </c>
      <c r="AK208" s="585">
        <f t="shared" si="57"/>
        <v>-6.5801253052492192E-3</v>
      </c>
      <c r="AL208" s="585">
        <f t="shared" si="57"/>
        <v>-6.5801253052492192E-3</v>
      </c>
      <c r="AM208" s="585">
        <f t="shared" si="57"/>
        <v>0</v>
      </c>
      <c r="AN208" s="585">
        <f t="shared" si="57"/>
        <v>0</v>
      </c>
      <c r="AO208" s="585">
        <f t="shared" si="57"/>
        <v>0</v>
      </c>
      <c r="AP208" s="585">
        <f t="shared" si="57"/>
        <v>0</v>
      </c>
      <c r="AQ208" s="571"/>
      <c r="AR208" s="571"/>
    </row>
    <row r="209" spans="2:44" x14ac:dyDescent="0.25">
      <c r="F209" s="66" t="s">
        <v>49</v>
      </c>
      <c r="G209" s="90" t="s">
        <v>201</v>
      </c>
      <c r="H209" s="572"/>
      <c r="I209" s="572"/>
      <c r="J209" s="585">
        <f t="shared" ref="J209:AP209" si="58">J104 * (1 - J$119)</f>
        <v>0</v>
      </c>
      <c r="K209" s="585">
        <f t="shared" si="58"/>
        <v>0</v>
      </c>
      <c r="L209" s="585">
        <f t="shared" si="58"/>
        <v>0</v>
      </c>
      <c r="M209" s="585">
        <f t="shared" si="58"/>
        <v>0</v>
      </c>
      <c r="N209" s="585">
        <f t="shared" si="58"/>
        <v>0</v>
      </c>
      <c r="O209" s="585">
        <f t="shared" si="58"/>
        <v>0</v>
      </c>
      <c r="P209" s="585">
        <f t="shared" si="58"/>
        <v>0</v>
      </c>
      <c r="Q209" s="585">
        <f t="shared" si="58"/>
        <v>0</v>
      </c>
      <c r="R209" s="585">
        <f t="shared" si="58"/>
        <v>0</v>
      </c>
      <c r="S209" s="585">
        <f t="shared" si="58"/>
        <v>3.3912324868719929E-3</v>
      </c>
      <c r="T209" s="585">
        <f t="shared" si="58"/>
        <v>3.5806899791937822E-3</v>
      </c>
      <c r="U209" s="585">
        <f t="shared" si="58"/>
        <v>0</v>
      </c>
      <c r="V209" s="585">
        <f t="shared" si="58"/>
        <v>0</v>
      </c>
      <c r="W209" s="585">
        <f t="shared" si="58"/>
        <v>0</v>
      </c>
      <c r="X209" s="585">
        <f t="shared" si="58"/>
        <v>0</v>
      </c>
      <c r="Y209" s="585">
        <f t="shared" si="58"/>
        <v>0</v>
      </c>
      <c r="Z209" s="585">
        <f t="shared" si="58"/>
        <v>0</v>
      </c>
      <c r="AA209" s="585">
        <f t="shared" si="58"/>
        <v>0</v>
      </c>
      <c r="AB209" s="585">
        <f t="shared" si="58"/>
        <v>2.0933318798689177E-3</v>
      </c>
      <c r="AC209" s="585">
        <f t="shared" si="58"/>
        <v>0</v>
      </c>
      <c r="AD209" s="585">
        <f t="shared" si="58"/>
        <v>0</v>
      </c>
      <c r="AE209" s="585">
        <f t="shared" si="58"/>
        <v>0</v>
      </c>
      <c r="AF209" s="585">
        <f t="shared" si="58"/>
        <v>0</v>
      </c>
      <c r="AG209" s="585">
        <f t="shared" si="58"/>
        <v>-2.246326585565425E-3</v>
      </c>
      <c r="AH209" s="585">
        <f t="shared" si="58"/>
        <v>-2.246326585565425E-3</v>
      </c>
      <c r="AI209" s="585">
        <f t="shared" si="58"/>
        <v>0</v>
      </c>
      <c r="AJ209" s="585">
        <f t="shared" si="58"/>
        <v>0</v>
      </c>
      <c r="AK209" s="585">
        <f t="shared" si="58"/>
        <v>0</v>
      </c>
      <c r="AL209" s="585">
        <f t="shared" si="58"/>
        <v>0</v>
      </c>
      <c r="AM209" s="585">
        <f t="shared" si="58"/>
        <v>0</v>
      </c>
      <c r="AN209" s="585">
        <f t="shared" si="58"/>
        <v>0</v>
      </c>
      <c r="AO209" s="585">
        <f t="shared" si="58"/>
        <v>0</v>
      </c>
      <c r="AP209" s="585">
        <f t="shared" si="58"/>
        <v>0</v>
      </c>
      <c r="AQ209" s="571"/>
      <c r="AR209" s="571"/>
    </row>
    <row r="210" spans="2:44" x14ac:dyDescent="0.25">
      <c r="F210" s="66" t="s">
        <v>50</v>
      </c>
      <c r="G210" s="90" t="s">
        <v>201</v>
      </c>
      <c r="H210" s="572"/>
      <c r="I210" s="572"/>
      <c r="J210" s="585">
        <f t="shared" ref="J210:AP210" si="59">J105 * (1 - J$120)</f>
        <v>0</v>
      </c>
      <c r="K210" s="585">
        <f t="shared" si="59"/>
        <v>0</v>
      </c>
      <c r="L210" s="585">
        <f t="shared" si="59"/>
        <v>0</v>
      </c>
      <c r="M210" s="585">
        <f t="shared" si="59"/>
        <v>0</v>
      </c>
      <c r="N210" s="585">
        <f t="shared" si="59"/>
        <v>0</v>
      </c>
      <c r="O210" s="585">
        <f t="shared" si="59"/>
        <v>0</v>
      </c>
      <c r="P210" s="585">
        <f t="shared" si="59"/>
        <v>0</v>
      </c>
      <c r="Q210" s="585">
        <f t="shared" si="59"/>
        <v>0</v>
      </c>
      <c r="R210" s="585">
        <f t="shared" si="59"/>
        <v>0</v>
      </c>
      <c r="S210" s="585">
        <f t="shared" si="59"/>
        <v>0</v>
      </c>
      <c r="T210" s="585">
        <f t="shared" si="59"/>
        <v>0</v>
      </c>
      <c r="U210" s="585">
        <f t="shared" si="59"/>
        <v>0</v>
      </c>
      <c r="V210" s="585">
        <f t="shared" si="59"/>
        <v>0</v>
      </c>
      <c r="W210" s="585">
        <f t="shared" si="59"/>
        <v>0</v>
      </c>
      <c r="X210" s="585">
        <f t="shared" si="59"/>
        <v>0</v>
      </c>
      <c r="Y210" s="585">
        <f t="shared" si="59"/>
        <v>0</v>
      </c>
      <c r="Z210" s="585">
        <f t="shared" si="59"/>
        <v>0</v>
      </c>
      <c r="AA210" s="585">
        <f t="shared" si="59"/>
        <v>0</v>
      </c>
      <c r="AB210" s="585">
        <f t="shared" si="59"/>
        <v>3.7652336780250734E-3</v>
      </c>
      <c r="AC210" s="585">
        <f t="shared" si="59"/>
        <v>0</v>
      </c>
      <c r="AD210" s="585">
        <f t="shared" si="59"/>
        <v>0</v>
      </c>
      <c r="AE210" s="585">
        <f t="shared" si="59"/>
        <v>0</v>
      </c>
      <c r="AF210" s="585">
        <f t="shared" si="59"/>
        <v>0</v>
      </c>
      <c r="AG210" s="585">
        <f t="shared" si="59"/>
        <v>0</v>
      </c>
      <c r="AH210" s="585">
        <f t="shared" si="59"/>
        <v>0</v>
      </c>
      <c r="AI210" s="585">
        <f t="shared" si="59"/>
        <v>0</v>
      </c>
      <c r="AJ210" s="585">
        <f t="shared" si="59"/>
        <v>0</v>
      </c>
      <c r="AK210" s="585">
        <f t="shared" si="59"/>
        <v>0</v>
      </c>
      <c r="AL210" s="585">
        <f t="shared" si="59"/>
        <v>0</v>
      </c>
      <c r="AM210" s="585">
        <f t="shared" si="59"/>
        <v>0</v>
      </c>
      <c r="AN210" s="585">
        <f t="shared" si="59"/>
        <v>0</v>
      </c>
      <c r="AO210" s="585">
        <f t="shared" si="59"/>
        <v>0</v>
      </c>
      <c r="AP210" s="585">
        <f t="shared" si="59"/>
        <v>0</v>
      </c>
      <c r="AQ210" s="571"/>
      <c r="AR210" s="571"/>
    </row>
    <row r="211" spans="2:44" s="131" customFormat="1" x14ac:dyDescent="0.25">
      <c r="E211" s="175"/>
      <c r="F211" s="72" t="s">
        <v>141</v>
      </c>
      <c r="G211" s="137" t="s">
        <v>201</v>
      </c>
      <c r="H211" s="569"/>
      <c r="I211" s="569" t="s">
        <v>525</v>
      </c>
      <c r="J211" s="583"/>
      <c r="K211" s="583"/>
      <c r="L211" s="583"/>
      <c r="M211" s="583"/>
      <c r="N211" s="583"/>
      <c r="O211" s="583"/>
      <c r="P211" s="583"/>
      <c r="Q211" s="583"/>
      <c r="R211" s="583"/>
      <c r="S211" s="583"/>
      <c r="T211" s="583"/>
      <c r="U211" s="583"/>
      <c r="V211" s="583"/>
      <c r="W211" s="583"/>
      <c r="X211" s="583"/>
      <c r="Y211" s="583"/>
      <c r="Z211" s="583"/>
      <c r="AA211" s="583"/>
      <c r="AB211" s="584">
        <f>AB106</f>
        <v>1.4674776072942719</v>
      </c>
      <c r="AC211" s="583"/>
      <c r="AD211" s="583"/>
      <c r="AE211" s="583"/>
      <c r="AF211" s="583"/>
      <c r="AG211" s="583"/>
      <c r="AH211" s="583"/>
      <c r="AI211" s="583"/>
      <c r="AJ211" s="583"/>
      <c r="AK211" s="583"/>
      <c r="AL211" s="583"/>
      <c r="AM211" s="583"/>
      <c r="AN211" s="583"/>
      <c r="AO211" s="583"/>
      <c r="AP211" s="583"/>
      <c r="AQ211" s="571"/>
      <c r="AR211" s="571" t="s">
        <v>983</v>
      </c>
    </row>
    <row r="212" spans="2:44" s="131" customFormat="1" x14ac:dyDescent="0.25">
      <c r="E212" s="175"/>
      <c r="F212" s="67" t="s">
        <v>140</v>
      </c>
      <c r="G212" s="140" t="s">
        <v>201</v>
      </c>
      <c r="H212" s="574"/>
      <c r="I212" s="574"/>
      <c r="J212" s="579"/>
      <c r="K212" s="579"/>
      <c r="L212" s="579"/>
      <c r="M212" s="579"/>
      <c r="N212" s="579"/>
      <c r="O212" s="579"/>
      <c r="P212" s="579"/>
      <c r="Q212" s="579"/>
      <c r="R212" s="579"/>
      <c r="S212" s="579"/>
      <c r="T212" s="579"/>
      <c r="U212" s="579"/>
      <c r="V212" s="579"/>
      <c r="W212" s="579"/>
      <c r="X212" s="579"/>
      <c r="Y212" s="579"/>
      <c r="Z212" s="579"/>
      <c r="AA212" s="579"/>
      <c r="AB212" s="579"/>
      <c r="AC212" s="579"/>
      <c r="AD212" s="579"/>
      <c r="AE212" s="579"/>
      <c r="AF212" s="579"/>
      <c r="AG212" s="579"/>
      <c r="AH212" s="579"/>
      <c r="AI212" s="579"/>
      <c r="AJ212" s="579"/>
      <c r="AK212" s="579"/>
      <c r="AL212" s="579"/>
      <c r="AM212" s="579"/>
      <c r="AN212" s="579"/>
      <c r="AO212" s="579"/>
      <c r="AP212" s="579"/>
      <c r="AQ212" s="571"/>
      <c r="AR212" s="571"/>
    </row>
    <row r="213" spans="2:44" x14ac:dyDescent="0.25">
      <c r="J213" s="416"/>
      <c r="K213" s="416"/>
      <c r="L213" s="416"/>
      <c r="M213" s="416"/>
      <c r="N213" s="416"/>
      <c r="O213" s="416"/>
      <c r="P213" s="416"/>
      <c r="Q213" s="416"/>
      <c r="R213" s="416"/>
      <c r="S213" s="416"/>
      <c r="T213" s="416"/>
      <c r="U213" s="416"/>
      <c r="V213" s="416"/>
      <c r="W213" s="416"/>
      <c r="X213" s="416"/>
      <c r="Y213" s="416"/>
      <c r="Z213" s="416"/>
      <c r="AA213" s="416"/>
      <c r="AB213" s="416"/>
      <c r="AC213" s="416"/>
      <c r="AD213" s="416"/>
      <c r="AE213" s="416"/>
      <c r="AF213" s="416"/>
      <c r="AG213" s="416"/>
      <c r="AH213" s="416"/>
      <c r="AI213" s="416"/>
      <c r="AJ213" s="416"/>
      <c r="AK213" s="416"/>
      <c r="AL213" s="416"/>
      <c r="AM213" s="416"/>
      <c r="AN213" s="416"/>
      <c r="AO213" s="416"/>
      <c r="AP213" s="416"/>
    </row>
    <row r="214" spans="2:44" x14ac:dyDescent="0.25">
      <c r="C214" s="22" t="str">
        <f ca="1">INDEX('Version control'!$H$34:$H$59,MATCH($A$1,'Version control'!$F$34:$F$59,0),1)&amp;"-H: Unit rates, post application of standing charges"</f>
        <v>Section 514-H: Unit rates, post application of standing charges</v>
      </c>
      <c r="D214" s="22"/>
      <c r="E214" s="22"/>
      <c r="F214" s="22"/>
      <c r="G214" s="22"/>
      <c r="H214" s="22"/>
      <c r="I214" s="22"/>
      <c r="J214" s="406"/>
      <c r="K214" s="406"/>
      <c r="L214" s="406"/>
      <c r="M214" s="406"/>
      <c r="N214" s="406"/>
      <c r="O214" s="406"/>
      <c r="P214" s="406"/>
      <c r="Q214" s="406"/>
      <c r="R214" s="406"/>
      <c r="S214" s="406"/>
      <c r="T214" s="406"/>
      <c r="U214" s="406"/>
      <c r="V214" s="406"/>
      <c r="W214" s="406"/>
      <c r="X214" s="406"/>
      <c r="Y214" s="406"/>
      <c r="Z214" s="406"/>
      <c r="AA214" s="406"/>
      <c r="AB214" s="406"/>
      <c r="AC214" s="406"/>
      <c r="AD214" s="406"/>
      <c r="AE214" s="406"/>
      <c r="AF214" s="406"/>
      <c r="AG214" s="406"/>
      <c r="AH214" s="406"/>
      <c r="AI214" s="406"/>
      <c r="AJ214" s="406"/>
      <c r="AK214" s="406"/>
      <c r="AL214" s="406"/>
      <c r="AM214" s="406"/>
      <c r="AN214" s="406"/>
      <c r="AO214" s="406"/>
      <c r="AP214" s="406"/>
      <c r="AQ214" s="22"/>
      <c r="AR214" s="22"/>
    </row>
    <row r="215" spans="2:44" x14ac:dyDescent="0.25">
      <c r="J215" s="416"/>
      <c r="K215" s="416"/>
      <c r="L215" s="416"/>
      <c r="M215" s="416"/>
      <c r="N215" s="416"/>
      <c r="O215" s="416"/>
      <c r="P215" s="416"/>
      <c r="Q215" s="416"/>
      <c r="R215" s="416"/>
      <c r="S215" s="416"/>
      <c r="T215" s="416"/>
      <c r="U215" s="416"/>
      <c r="V215" s="416"/>
      <c r="W215" s="416"/>
      <c r="X215" s="416"/>
      <c r="Y215" s="416"/>
      <c r="Z215" s="416"/>
      <c r="AA215" s="416"/>
      <c r="AB215" s="416"/>
      <c r="AC215" s="416"/>
      <c r="AD215" s="416"/>
      <c r="AE215" s="416"/>
      <c r="AF215" s="416"/>
      <c r="AG215" s="416"/>
      <c r="AH215" s="416"/>
      <c r="AI215" s="416"/>
      <c r="AJ215" s="416"/>
      <c r="AK215" s="416"/>
      <c r="AL215" s="416"/>
      <c r="AM215" s="416"/>
      <c r="AN215" s="416"/>
      <c r="AO215" s="416"/>
      <c r="AP215" s="416"/>
      <c r="AR215" s="8"/>
    </row>
    <row r="216" spans="2:44" s="160" customFormat="1" x14ac:dyDescent="0.25">
      <c r="E216" s="172" t="s">
        <v>365</v>
      </c>
      <c r="F216" s="175"/>
      <c r="J216" s="416"/>
      <c r="K216" s="416"/>
      <c r="L216" s="416"/>
      <c r="M216" s="416"/>
      <c r="N216" s="416"/>
      <c r="O216" s="416"/>
      <c r="P216" s="416"/>
      <c r="Q216" s="416"/>
      <c r="R216" s="416"/>
      <c r="S216" s="416"/>
      <c r="T216" s="416"/>
      <c r="U216" s="416"/>
      <c r="V216" s="416"/>
      <c r="W216" s="416"/>
      <c r="X216" s="416"/>
      <c r="Y216" s="416"/>
      <c r="Z216" s="416"/>
      <c r="AA216" s="416"/>
      <c r="AB216" s="416"/>
      <c r="AC216" s="416"/>
      <c r="AD216" s="416"/>
      <c r="AE216" s="416"/>
      <c r="AF216" s="416"/>
      <c r="AG216" s="416"/>
      <c r="AH216" s="416"/>
      <c r="AI216" s="416"/>
      <c r="AJ216" s="416"/>
      <c r="AK216" s="416"/>
      <c r="AL216" s="416"/>
      <c r="AM216" s="416"/>
      <c r="AN216" s="416"/>
      <c r="AO216" s="416"/>
      <c r="AP216" s="416"/>
      <c r="AR216" s="163"/>
    </row>
    <row r="217" spans="2:44" s="131" customFormat="1" x14ac:dyDescent="0.25">
      <c r="E217" s="147"/>
      <c r="F217" s="166" t="s">
        <v>444</v>
      </c>
      <c r="G217" s="166" t="s">
        <v>201</v>
      </c>
      <c r="H217" s="569"/>
      <c r="I217" s="569"/>
      <c r="J217" s="570">
        <f t="shared" ref="J217:AP217" si="60">SUM(J127:J138,J141:J152)</f>
        <v>1.5969040604098796</v>
      </c>
      <c r="K217" s="570">
        <f t="shared" si="60"/>
        <v>2.0501753794634672</v>
      </c>
      <c r="L217" s="570">
        <f t="shared" si="60"/>
        <v>0.19994305292917913</v>
      </c>
      <c r="M217" s="570">
        <f t="shared" si="60"/>
        <v>1.4406710911410869</v>
      </c>
      <c r="N217" s="570">
        <f t="shared" si="60"/>
        <v>2.2531084737912934</v>
      </c>
      <c r="O217" s="570">
        <f t="shared" si="60"/>
        <v>0.32834165057051812</v>
      </c>
      <c r="P217" s="570">
        <f t="shared" si="60"/>
        <v>1.1473972052693786</v>
      </c>
      <c r="Q217" s="570">
        <f t="shared" si="60"/>
        <v>0.9391372710459962</v>
      </c>
      <c r="R217" s="570">
        <f t="shared" si="60"/>
        <v>0.52492342576582107</v>
      </c>
      <c r="S217" s="570">
        <f t="shared" si="60"/>
        <v>8.3638006882343365</v>
      </c>
      <c r="T217" s="570">
        <f t="shared" si="60"/>
        <v>8.8282466365441543</v>
      </c>
      <c r="U217" s="570">
        <f t="shared" si="60"/>
        <v>5.9331471242397003</v>
      </c>
      <c r="V217" s="570">
        <f t="shared" si="60"/>
        <v>4.5269278212105721</v>
      </c>
      <c r="W217" s="570">
        <f t="shared" si="60"/>
        <v>3.2073031362533886</v>
      </c>
      <c r="X217" s="570">
        <f t="shared" si="60"/>
        <v>2.264792088932257</v>
      </c>
      <c r="Y217" s="570">
        <f t="shared" si="60"/>
        <v>2.3198933711558842</v>
      </c>
      <c r="Z217" s="570">
        <f t="shared" si="60"/>
        <v>3.0645944998900445</v>
      </c>
      <c r="AA217" s="570">
        <f t="shared" si="60"/>
        <v>2.2743892687169116</v>
      </c>
      <c r="AB217" s="570">
        <f t="shared" si="60"/>
        <v>13.387627198479423</v>
      </c>
      <c r="AC217" s="570">
        <f t="shared" si="60"/>
        <v>-0.79377796595710459</v>
      </c>
      <c r="AD217" s="570">
        <f t="shared" si="60"/>
        <v>-0.69465934114707428</v>
      </c>
      <c r="AE217" s="570">
        <f t="shared" si="60"/>
        <v>-0.79377796595710459</v>
      </c>
      <c r="AF217" s="570">
        <f t="shared" si="60"/>
        <v>-0.79377796595710459</v>
      </c>
      <c r="AG217" s="570">
        <f t="shared" si="60"/>
        <v>-5.5360453006887784</v>
      </c>
      <c r="AH217" s="570">
        <f t="shared" si="60"/>
        <v>-5.5360453006887784</v>
      </c>
      <c r="AI217" s="570">
        <f t="shared" si="60"/>
        <v>-0.69465934114707428</v>
      </c>
      <c r="AJ217" s="570">
        <f t="shared" si="60"/>
        <v>-0.69465934114707428</v>
      </c>
      <c r="AK217" s="570">
        <f t="shared" si="60"/>
        <v>-4.9939526180609626</v>
      </c>
      <c r="AL217" s="570">
        <f t="shared" si="60"/>
        <v>-4.9939526180609626</v>
      </c>
      <c r="AM217" s="570">
        <f t="shared" si="60"/>
        <v>-0.45988671665948044</v>
      </c>
      <c r="AN217" s="570">
        <f t="shared" si="60"/>
        <v>-0.45988671665948044</v>
      </c>
      <c r="AO217" s="570">
        <f t="shared" si="60"/>
        <v>-3.8382142689374743</v>
      </c>
      <c r="AP217" s="570">
        <f t="shared" si="60"/>
        <v>-3.8382142689374743</v>
      </c>
      <c r="AQ217" s="571"/>
      <c r="AR217" s="571"/>
    </row>
    <row r="218" spans="2:44" s="131" customFormat="1" x14ac:dyDescent="0.25">
      <c r="E218" s="147"/>
      <c r="F218" s="339" t="s">
        <v>445</v>
      </c>
      <c r="G218" s="339" t="s">
        <v>201</v>
      </c>
      <c r="H218" s="572"/>
      <c r="I218" s="572"/>
      <c r="J218" s="573">
        <f t="shared" ref="J218:AP218" si="61">SUM(J157:J168,J171:J182)</f>
        <v>0</v>
      </c>
      <c r="K218" s="573">
        <f t="shared" si="61"/>
        <v>0.10408156499649134</v>
      </c>
      <c r="L218" s="573">
        <f t="shared" si="61"/>
        <v>0</v>
      </c>
      <c r="M218" s="573">
        <f t="shared" si="61"/>
        <v>0</v>
      </c>
      <c r="N218" s="573">
        <f t="shared" si="61"/>
        <v>0.2546649770101555</v>
      </c>
      <c r="O218" s="573">
        <f t="shared" si="61"/>
        <v>0</v>
      </c>
      <c r="P218" s="573">
        <f t="shared" si="61"/>
        <v>9.3511500040173792E-2</v>
      </c>
      <c r="Q218" s="573">
        <f t="shared" si="61"/>
        <v>7.2356015741901064E-2</v>
      </c>
      <c r="R218" s="573">
        <f t="shared" si="61"/>
        <v>3.1535310566598682E-2</v>
      </c>
      <c r="S218" s="573">
        <f t="shared" si="61"/>
        <v>0.86260843002178911</v>
      </c>
      <c r="T218" s="573">
        <f t="shared" si="61"/>
        <v>0.91064877744342132</v>
      </c>
      <c r="U218" s="573">
        <f t="shared" si="61"/>
        <v>0.52966468402295064</v>
      </c>
      <c r="V218" s="573">
        <f t="shared" si="61"/>
        <v>0.26867722866611671</v>
      </c>
      <c r="W218" s="573">
        <f t="shared" si="61"/>
        <v>0.16091867959478245</v>
      </c>
      <c r="X218" s="573">
        <f t="shared" si="61"/>
        <v>0</v>
      </c>
      <c r="Y218" s="573">
        <f t="shared" si="61"/>
        <v>0</v>
      </c>
      <c r="Z218" s="573">
        <f t="shared" si="61"/>
        <v>0</v>
      </c>
      <c r="AA218" s="573">
        <f t="shared" si="61"/>
        <v>0</v>
      </c>
      <c r="AB218" s="573">
        <f t="shared" si="61"/>
        <v>2.2396229552242977</v>
      </c>
      <c r="AC218" s="573">
        <f t="shared" si="61"/>
        <v>0</v>
      </c>
      <c r="AD218" s="573">
        <f t="shared" si="61"/>
        <v>0</v>
      </c>
      <c r="AE218" s="573">
        <f t="shared" si="61"/>
        <v>0</v>
      </c>
      <c r="AF218" s="573">
        <f t="shared" si="61"/>
        <v>0</v>
      </c>
      <c r="AG218" s="573">
        <f t="shared" si="61"/>
        <v>-0.57117143880771426</v>
      </c>
      <c r="AH218" s="573">
        <f t="shared" si="61"/>
        <v>-0.57117143880771426</v>
      </c>
      <c r="AI218" s="573">
        <f t="shared" si="61"/>
        <v>0</v>
      </c>
      <c r="AJ218" s="573">
        <f t="shared" si="61"/>
        <v>0</v>
      </c>
      <c r="AK218" s="573">
        <f t="shared" si="61"/>
        <v>-0.47519726588679745</v>
      </c>
      <c r="AL218" s="573">
        <f t="shared" si="61"/>
        <v>-0.47519726588679745</v>
      </c>
      <c r="AM218" s="573">
        <f t="shared" si="61"/>
        <v>0</v>
      </c>
      <c r="AN218" s="573">
        <f t="shared" si="61"/>
        <v>0</v>
      </c>
      <c r="AO218" s="573">
        <f t="shared" si="61"/>
        <v>-0.22667318511436871</v>
      </c>
      <c r="AP218" s="573">
        <f t="shared" si="61"/>
        <v>-0.22667318511436871</v>
      </c>
      <c r="AQ218" s="571"/>
      <c r="AR218" s="571"/>
    </row>
    <row r="219" spans="2:44" s="131" customFormat="1" x14ac:dyDescent="0.25">
      <c r="E219" s="147"/>
      <c r="F219" s="168" t="s">
        <v>446</v>
      </c>
      <c r="G219" s="168" t="s">
        <v>201</v>
      </c>
      <c r="H219" s="574"/>
      <c r="I219" s="574"/>
      <c r="J219" s="575">
        <f t="shared" ref="J219:AP219" si="62">SUM(J187:J198,J201:J212)</f>
        <v>0</v>
      </c>
      <c r="K219" s="575">
        <f t="shared" si="62"/>
        <v>0</v>
      </c>
      <c r="L219" s="575">
        <f t="shared" si="62"/>
        <v>0</v>
      </c>
      <c r="M219" s="575">
        <f t="shared" si="62"/>
        <v>0</v>
      </c>
      <c r="N219" s="575">
        <f t="shared" si="62"/>
        <v>0</v>
      </c>
      <c r="O219" s="575">
        <f t="shared" si="62"/>
        <v>0</v>
      </c>
      <c r="P219" s="575">
        <f t="shared" si="62"/>
        <v>0</v>
      </c>
      <c r="Q219" s="575">
        <f t="shared" si="62"/>
        <v>0</v>
      </c>
      <c r="R219" s="575">
        <f t="shared" si="62"/>
        <v>0</v>
      </c>
      <c r="S219" s="575">
        <f t="shared" si="62"/>
        <v>4.9133022238593935E-2</v>
      </c>
      <c r="T219" s="575">
        <f t="shared" si="62"/>
        <v>5.18728960026444E-2</v>
      </c>
      <c r="U219" s="575">
        <f t="shared" si="62"/>
        <v>2.8005246403861348E-2</v>
      </c>
      <c r="V219" s="575">
        <f t="shared" si="62"/>
        <v>1.0089867723546669E-2</v>
      </c>
      <c r="W219" s="575">
        <f t="shared" si="62"/>
        <v>4.8681886495548889E-3</v>
      </c>
      <c r="X219" s="575">
        <f t="shared" si="62"/>
        <v>0</v>
      </c>
      <c r="Y219" s="575">
        <f t="shared" si="62"/>
        <v>0</v>
      </c>
      <c r="Z219" s="575">
        <f t="shared" si="62"/>
        <v>0</v>
      </c>
      <c r="AA219" s="575">
        <f t="shared" si="62"/>
        <v>0</v>
      </c>
      <c r="AB219" s="575">
        <f t="shared" si="62"/>
        <v>1.5019754471194631</v>
      </c>
      <c r="AC219" s="575">
        <f t="shared" si="62"/>
        <v>0</v>
      </c>
      <c r="AD219" s="575">
        <f t="shared" si="62"/>
        <v>0</v>
      </c>
      <c r="AE219" s="575">
        <f t="shared" si="62"/>
        <v>0</v>
      </c>
      <c r="AF219" s="575">
        <f t="shared" si="62"/>
        <v>0</v>
      </c>
      <c r="AG219" s="575">
        <f t="shared" si="62"/>
        <v>-3.2538395709517873E-2</v>
      </c>
      <c r="AH219" s="575">
        <f t="shared" si="62"/>
        <v>-3.2538395709517873E-2</v>
      </c>
      <c r="AI219" s="575">
        <f t="shared" si="62"/>
        <v>0</v>
      </c>
      <c r="AJ219" s="575">
        <f t="shared" si="62"/>
        <v>0</v>
      </c>
      <c r="AK219" s="575">
        <f t="shared" si="62"/>
        <v>-2.6018043903937992E-2</v>
      </c>
      <c r="AL219" s="575">
        <f t="shared" si="62"/>
        <v>-2.6018043903937992E-2</v>
      </c>
      <c r="AM219" s="575">
        <f t="shared" si="62"/>
        <v>0</v>
      </c>
      <c r="AN219" s="575">
        <f t="shared" si="62"/>
        <v>0</v>
      </c>
      <c r="AO219" s="575">
        <f t="shared" si="62"/>
        <v>-8.4674213394694883E-3</v>
      </c>
      <c r="AP219" s="575">
        <f t="shared" si="62"/>
        <v>-8.4674213394694883E-3</v>
      </c>
      <c r="AQ219" s="571"/>
      <c r="AR219" s="571"/>
    </row>
    <row r="220" spans="2:44" s="131" customFormat="1" x14ac:dyDescent="0.25">
      <c r="D220" s="147"/>
      <c r="E220" s="175"/>
    </row>
    <row r="221" spans="2:44" s="160" customFormat="1" x14ac:dyDescent="0.25">
      <c r="B221" s="171" t="s">
        <v>126</v>
      </c>
      <c r="C221" s="171"/>
      <c r="D221" s="171"/>
      <c r="E221" s="171"/>
      <c r="F221" s="171"/>
      <c r="G221" s="171"/>
      <c r="H221" s="171"/>
      <c r="I221" s="171"/>
      <c r="J221" s="171"/>
      <c r="K221" s="171"/>
      <c r="L221" s="171"/>
      <c r="M221" s="171"/>
      <c r="N221" s="171"/>
      <c r="O221" s="171"/>
      <c r="P221" s="171"/>
      <c r="Q221" s="171"/>
      <c r="R221" s="171"/>
      <c r="S221" s="171"/>
      <c r="T221" s="171"/>
      <c r="U221" s="171"/>
      <c r="V221" s="171"/>
      <c r="W221" s="171"/>
      <c r="X221" s="171"/>
      <c r="Y221" s="171"/>
      <c r="Z221" s="171"/>
      <c r="AA221" s="171"/>
      <c r="AB221" s="171"/>
      <c r="AC221" s="171"/>
      <c r="AD221" s="171"/>
      <c r="AE221" s="171"/>
      <c r="AF221" s="171"/>
      <c r="AG221" s="171"/>
      <c r="AH221" s="171"/>
      <c r="AI221" s="171"/>
      <c r="AJ221" s="171"/>
      <c r="AK221" s="171"/>
      <c r="AL221" s="171"/>
      <c r="AM221" s="171"/>
      <c r="AN221" s="171"/>
      <c r="AO221" s="171"/>
      <c r="AP221" s="171"/>
      <c r="AQ221" s="171"/>
      <c r="AR221" s="171"/>
    </row>
    <row r="222" spans="2:44" s="160" customFormat="1" x14ac:dyDescent="0.25">
      <c r="D222" s="175"/>
      <c r="E222" s="175"/>
      <c r="AR222" s="163"/>
    </row>
    <row r="223" spans="2:44" s="160" customFormat="1" x14ac:dyDescent="0.25">
      <c r="D223" s="175"/>
      <c r="E223" s="160" t="s">
        <v>622</v>
      </c>
      <c r="G223" s="111" t="s">
        <v>814</v>
      </c>
      <c r="H223" s="362">
        <f t="array" ref="H223">SUM(IF(ISERROR(H22:AP219), 1))</f>
        <v>0</v>
      </c>
      <c r="AR223" s="163"/>
    </row>
    <row r="224" spans="2:44" s="160" customFormat="1" x14ac:dyDescent="0.25">
      <c r="D224" s="175"/>
      <c r="E224" s="175"/>
    </row>
    <row r="225" spans="2:44" s="131" customFormat="1" x14ac:dyDescent="0.25">
      <c r="B225" s="171" t="s">
        <v>127</v>
      </c>
      <c r="C225" s="171"/>
      <c r="D225" s="171"/>
      <c r="E225" s="171"/>
      <c r="F225" s="171"/>
      <c r="G225" s="171"/>
      <c r="H225" s="171"/>
      <c r="I225" s="171"/>
      <c r="J225" s="171"/>
      <c r="K225" s="171"/>
      <c r="L225" s="171"/>
      <c r="M225" s="171"/>
      <c r="N225" s="171"/>
      <c r="O225" s="171"/>
      <c r="P225" s="171"/>
      <c r="Q225" s="171"/>
      <c r="R225" s="171"/>
      <c r="S225" s="171"/>
      <c r="T225" s="171"/>
      <c r="U225" s="171"/>
      <c r="V225" s="171"/>
      <c r="W225" s="171"/>
      <c r="X225" s="171"/>
      <c r="Y225" s="171"/>
      <c r="Z225" s="171"/>
      <c r="AA225" s="171"/>
      <c r="AB225" s="171"/>
      <c r="AC225" s="171"/>
      <c r="AD225" s="171"/>
      <c r="AE225" s="171"/>
      <c r="AF225" s="171"/>
      <c r="AG225" s="171"/>
      <c r="AH225" s="171"/>
      <c r="AI225" s="171"/>
      <c r="AJ225" s="171"/>
      <c r="AK225" s="171"/>
      <c r="AL225" s="171"/>
      <c r="AM225" s="171"/>
      <c r="AN225" s="171"/>
      <c r="AO225" s="171"/>
      <c r="AP225" s="171"/>
      <c r="AQ225" s="171"/>
      <c r="AR225" s="171"/>
    </row>
    <row r="226" spans="2:44" s="131" customFormat="1" x14ac:dyDescent="0.25">
      <c r="D226" s="147"/>
      <c r="E226" s="175"/>
      <c r="AR226" s="136"/>
    </row>
    <row r="227" spans="2:44" s="131" customFormat="1" x14ac:dyDescent="0.25">
      <c r="D227" s="147"/>
      <c r="E227" s="175"/>
    </row>
    <row r="228" spans="2:44" x14ac:dyDescent="0.25">
      <c r="AR228" s="8"/>
    </row>
    <row r="229" spans="2:44" x14ac:dyDescent="0.25">
      <c r="J229" s="33"/>
      <c r="K229" s="33"/>
      <c r="L229" s="33"/>
      <c r="M229" s="33"/>
      <c r="N229" s="33"/>
      <c r="O229" s="33"/>
      <c r="P229" s="33"/>
      <c r="Q229" s="33"/>
      <c r="R229" s="33"/>
      <c r="S229" s="33"/>
    </row>
    <row r="230" spans="2:44" x14ac:dyDescent="0.25">
      <c r="J230" s="33"/>
      <c r="K230" s="33"/>
      <c r="L230" s="33"/>
      <c r="M230" s="33"/>
      <c r="N230" s="33"/>
      <c r="O230" s="33"/>
      <c r="P230" s="33"/>
      <c r="Q230" s="33"/>
      <c r="R230" s="33"/>
      <c r="S230" s="33"/>
    </row>
    <row r="231" spans="2:44" x14ac:dyDescent="0.25">
      <c r="J231" s="33"/>
      <c r="K231" s="33"/>
      <c r="L231" s="33"/>
      <c r="M231" s="33"/>
      <c r="N231" s="33"/>
      <c r="O231" s="33"/>
      <c r="P231" s="33"/>
      <c r="Q231" s="33"/>
      <c r="R231" s="33"/>
      <c r="S231" s="33"/>
    </row>
    <row r="232" spans="2:44" x14ac:dyDescent="0.25">
      <c r="J232" s="33"/>
      <c r="K232" s="33"/>
      <c r="L232" s="33"/>
      <c r="M232" s="33"/>
      <c r="N232" s="33"/>
      <c r="O232" s="33"/>
      <c r="P232" s="33"/>
      <c r="Q232" s="33"/>
      <c r="R232" s="33"/>
      <c r="S232" s="33"/>
    </row>
    <row r="233" spans="2:44" x14ac:dyDescent="0.25">
      <c r="J233" s="33"/>
      <c r="K233" s="33"/>
      <c r="L233" s="33"/>
      <c r="M233" s="33"/>
      <c r="N233" s="33"/>
      <c r="O233" s="33"/>
      <c r="P233" s="33"/>
      <c r="Q233" s="33"/>
      <c r="R233" s="33"/>
      <c r="S233" s="33"/>
    </row>
    <row r="234" spans="2:44" x14ac:dyDescent="0.25">
      <c r="J234" s="33"/>
      <c r="K234" s="33"/>
      <c r="L234" s="33"/>
      <c r="M234" s="33"/>
      <c r="N234" s="33"/>
      <c r="O234" s="33"/>
      <c r="P234" s="33"/>
      <c r="Q234" s="33"/>
      <c r="R234" s="33"/>
      <c r="S234" s="33"/>
    </row>
    <row r="235" spans="2:44" x14ac:dyDescent="0.25">
      <c r="J235" s="33"/>
      <c r="K235" s="33"/>
      <c r="L235" s="33"/>
      <c r="M235" s="33"/>
      <c r="N235" s="33"/>
      <c r="O235" s="33"/>
      <c r="P235" s="33"/>
      <c r="Q235" s="33"/>
      <c r="R235" s="33"/>
      <c r="S235" s="33"/>
    </row>
    <row r="236" spans="2:44" x14ac:dyDescent="0.25">
      <c r="J236" s="33"/>
      <c r="K236" s="33"/>
      <c r="L236" s="33"/>
      <c r="M236" s="33"/>
      <c r="N236" s="33"/>
      <c r="O236" s="33"/>
      <c r="P236" s="33"/>
      <c r="Q236" s="33"/>
      <c r="R236" s="33"/>
      <c r="S236" s="33"/>
    </row>
    <row r="237" spans="2:44" x14ac:dyDescent="0.25">
      <c r="J237" s="33"/>
      <c r="K237" s="33"/>
      <c r="L237" s="33"/>
      <c r="M237" s="33"/>
      <c r="N237" s="33"/>
      <c r="O237" s="33"/>
      <c r="P237" s="33"/>
      <c r="Q237" s="33"/>
      <c r="R237" s="33"/>
      <c r="S237" s="33"/>
    </row>
    <row r="238" spans="2:44" x14ac:dyDescent="0.25">
      <c r="J238" s="33"/>
      <c r="K238" s="33"/>
      <c r="L238" s="33"/>
      <c r="M238" s="33"/>
      <c r="N238" s="33"/>
      <c r="O238" s="33"/>
      <c r="P238" s="33"/>
      <c r="Q238" s="33"/>
      <c r="R238" s="33"/>
      <c r="S238" s="33"/>
    </row>
    <row r="239" spans="2:44" x14ac:dyDescent="0.25">
      <c r="J239" s="33"/>
      <c r="K239" s="33"/>
      <c r="L239" s="33"/>
      <c r="M239" s="33"/>
      <c r="N239" s="33"/>
      <c r="O239" s="33"/>
      <c r="P239" s="33"/>
      <c r="Q239" s="33"/>
      <c r="R239" s="33"/>
      <c r="S239" s="33"/>
    </row>
    <row r="240" spans="2:44" x14ac:dyDescent="0.25">
      <c r="J240" s="33"/>
      <c r="K240" s="33"/>
      <c r="L240" s="33"/>
      <c r="M240" s="33"/>
      <c r="N240" s="33"/>
      <c r="O240" s="33"/>
      <c r="P240" s="33"/>
      <c r="Q240" s="33"/>
      <c r="R240" s="33"/>
      <c r="S240" s="33"/>
    </row>
    <row r="241" spans="10:19" x14ac:dyDescent="0.25">
      <c r="J241" s="33"/>
      <c r="K241" s="33"/>
      <c r="L241" s="33"/>
      <c r="M241" s="33"/>
      <c r="N241" s="33"/>
      <c r="O241" s="33"/>
      <c r="P241" s="33"/>
      <c r="Q241" s="33"/>
      <c r="R241" s="33"/>
      <c r="S241" s="33"/>
    </row>
    <row r="242" spans="10:19" x14ac:dyDescent="0.25">
      <c r="J242" s="33"/>
      <c r="K242" s="33"/>
      <c r="L242" s="33"/>
      <c r="M242" s="33"/>
      <c r="N242" s="33"/>
      <c r="O242" s="33"/>
      <c r="P242" s="33"/>
      <c r="Q242" s="33"/>
      <c r="R242" s="33"/>
      <c r="S242" s="33"/>
    </row>
    <row r="243" spans="10:19" x14ac:dyDescent="0.25">
      <c r="J243" s="33"/>
      <c r="K243" s="33"/>
      <c r="L243" s="33"/>
      <c r="M243" s="33"/>
      <c r="N243" s="33"/>
      <c r="O243" s="33"/>
      <c r="P243" s="33"/>
      <c r="Q243" s="33"/>
      <c r="R243" s="33"/>
      <c r="S243" s="33"/>
    </row>
    <row r="244" spans="10:19" x14ac:dyDescent="0.25">
      <c r="J244" s="33"/>
      <c r="K244" s="33"/>
      <c r="L244" s="33"/>
      <c r="M244" s="33"/>
      <c r="N244" s="33"/>
      <c r="O244" s="33"/>
      <c r="P244" s="33"/>
      <c r="Q244" s="33"/>
      <c r="R244" s="33"/>
      <c r="S244" s="33"/>
    </row>
    <row r="245" spans="10:19" x14ac:dyDescent="0.25">
      <c r="J245" s="33"/>
      <c r="K245" s="33"/>
      <c r="L245" s="33"/>
      <c r="M245" s="33"/>
      <c r="N245" s="33"/>
      <c r="O245" s="33"/>
      <c r="P245" s="33"/>
      <c r="Q245" s="33"/>
      <c r="R245" s="33"/>
      <c r="S245" s="33"/>
    </row>
    <row r="246" spans="10:19" x14ac:dyDescent="0.25">
      <c r="J246" s="33"/>
      <c r="K246" s="33"/>
      <c r="L246" s="33"/>
      <c r="M246" s="33"/>
      <c r="N246" s="33"/>
      <c r="O246" s="33"/>
      <c r="P246" s="33"/>
      <c r="Q246" s="33"/>
      <c r="R246" s="33"/>
      <c r="S246" s="33"/>
    </row>
    <row r="247" spans="10:19" x14ac:dyDescent="0.25">
      <c r="J247" s="33"/>
      <c r="K247" s="33"/>
      <c r="L247" s="33"/>
      <c r="M247" s="33"/>
      <c r="N247" s="33"/>
      <c r="O247" s="33"/>
      <c r="P247" s="33"/>
      <c r="Q247" s="33"/>
      <c r="R247" s="33"/>
      <c r="S247" s="33"/>
    </row>
    <row r="248" spans="10:19" x14ac:dyDescent="0.25">
      <c r="J248" s="33"/>
      <c r="K248" s="33"/>
      <c r="L248" s="33"/>
      <c r="M248" s="33"/>
      <c r="N248" s="33"/>
      <c r="O248" s="33"/>
      <c r="P248" s="33"/>
      <c r="Q248" s="33"/>
      <c r="R248" s="33"/>
      <c r="S248" s="33"/>
    </row>
    <row r="249" spans="10:19" x14ac:dyDescent="0.25">
      <c r="J249" s="33"/>
      <c r="K249" s="33"/>
      <c r="L249" s="33"/>
      <c r="M249" s="33"/>
      <c r="N249" s="33"/>
      <c r="O249" s="33"/>
      <c r="P249" s="33"/>
      <c r="Q249" s="33"/>
      <c r="R249" s="33"/>
      <c r="S249" s="33"/>
    </row>
    <row r="250" spans="10:19" x14ac:dyDescent="0.25">
      <c r="J250" s="33"/>
      <c r="K250" s="33"/>
      <c r="L250" s="33"/>
      <c r="M250" s="33"/>
      <c r="N250" s="33"/>
      <c r="O250" s="33"/>
      <c r="P250" s="33"/>
      <c r="Q250" s="33"/>
      <c r="R250" s="33"/>
      <c r="S250" s="33"/>
    </row>
    <row r="251" spans="10:19" x14ac:dyDescent="0.25">
      <c r="J251" s="33"/>
      <c r="K251" s="33"/>
      <c r="L251" s="33"/>
      <c r="M251" s="33"/>
      <c r="N251" s="33"/>
      <c r="O251" s="33"/>
      <c r="P251" s="33"/>
      <c r="Q251" s="33"/>
      <c r="R251" s="33"/>
      <c r="S251" s="33"/>
    </row>
    <row r="252" spans="10:19" x14ac:dyDescent="0.25">
      <c r="J252" s="33"/>
      <c r="K252" s="33"/>
      <c r="L252" s="33"/>
      <c r="M252" s="33"/>
      <c r="N252" s="33"/>
      <c r="O252" s="33"/>
      <c r="P252" s="33"/>
      <c r="Q252" s="33"/>
      <c r="R252" s="33"/>
      <c r="S252" s="33"/>
    </row>
    <row r="253" spans="10:19" x14ac:dyDescent="0.25">
      <c r="J253" s="33"/>
      <c r="K253" s="33"/>
      <c r="L253" s="33"/>
      <c r="M253" s="33"/>
      <c r="N253" s="33"/>
      <c r="O253" s="33"/>
      <c r="P253" s="33"/>
      <c r="Q253" s="33"/>
      <c r="R253" s="33"/>
      <c r="S253" s="33"/>
    </row>
    <row r="254" spans="10:19" x14ac:dyDescent="0.25">
      <c r="J254" s="33"/>
      <c r="K254" s="33"/>
      <c r="L254" s="33"/>
      <c r="M254" s="33"/>
      <c r="N254" s="33"/>
      <c r="O254" s="33"/>
      <c r="P254" s="33"/>
      <c r="Q254" s="33"/>
      <c r="R254" s="33"/>
      <c r="S254" s="33"/>
    </row>
    <row r="255" spans="10:19" x14ac:dyDescent="0.25">
      <c r="J255" s="33"/>
      <c r="K255" s="33"/>
      <c r="L255" s="33"/>
      <c r="M255" s="33"/>
      <c r="N255" s="33"/>
      <c r="O255" s="33"/>
      <c r="P255" s="33"/>
      <c r="Q255" s="33"/>
      <c r="R255" s="33"/>
      <c r="S255" s="33"/>
    </row>
    <row r="256" spans="10:19" x14ac:dyDescent="0.25">
      <c r="J256" s="33"/>
      <c r="K256" s="33"/>
      <c r="L256" s="33"/>
      <c r="M256" s="33"/>
      <c r="N256" s="33"/>
      <c r="O256" s="33"/>
      <c r="P256" s="33"/>
      <c r="Q256" s="33"/>
      <c r="R256" s="33"/>
      <c r="S256" s="33"/>
    </row>
    <row r="257" spans="10:19" x14ac:dyDescent="0.25">
      <c r="J257" s="33"/>
      <c r="K257" s="33"/>
      <c r="L257" s="33"/>
      <c r="M257" s="33"/>
      <c r="N257" s="33"/>
      <c r="O257" s="33"/>
      <c r="P257" s="33"/>
      <c r="Q257" s="33"/>
      <c r="R257" s="33"/>
      <c r="S257" s="33"/>
    </row>
    <row r="258" spans="10:19" x14ac:dyDescent="0.25">
      <c r="J258" s="33"/>
      <c r="K258" s="33"/>
      <c r="L258" s="33"/>
      <c r="M258" s="33"/>
      <c r="N258" s="33"/>
      <c r="O258" s="33"/>
      <c r="P258" s="33"/>
      <c r="Q258" s="33"/>
      <c r="R258" s="33"/>
      <c r="S258" s="33"/>
    </row>
    <row r="259" spans="10:19" x14ac:dyDescent="0.25">
      <c r="J259" s="33"/>
      <c r="K259" s="33"/>
      <c r="L259" s="33"/>
      <c r="M259" s="33"/>
      <c r="N259" s="33"/>
      <c r="O259" s="33"/>
      <c r="P259" s="33"/>
      <c r="Q259" s="33"/>
      <c r="R259" s="33"/>
      <c r="S259" s="33"/>
    </row>
    <row r="260" spans="10:19" x14ac:dyDescent="0.25">
      <c r="J260" s="33"/>
      <c r="K260" s="33"/>
      <c r="L260" s="33"/>
      <c r="M260" s="33"/>
      <c r="N260" s="33"/>
      <c r="O260" s="33"/>
      <c r="P260" s="33"/>
      <c r="Q260" s="33"/>
      <c r="R260" s="33"/>
      <c r="S260" s="33"/>
    </row>
    <row r="261" spans="10:19" x14ac:dyDescent="0.25">
      <c r="J261" s="33"/>
      <c r="K261" s="33"/>
      <c r="L261" s="33"/>
      <c r="M261" s="33"/>
      <c r="N261" s="33"/>
      <c r="O261" s="33"/>
      <c r="P261" s="33"/>
      <c r="Q261" s="33"/>
      <c r="R261" s="33"/>
      <c r="S261" s="33"/>
    </row>
  </sheetData>
  <sheetProtection sheet="1" objects="1" formatCells="0" formatColumns="0" formatRows="0" sort="0" autoFilter="0"/>
  <conditionalFormatting sqref="H223">
    <cfRule type="cellIs" dxfId="23" priority="2" operator="greaterThan">
      <formula>0</formula>
    </cfRule>
  </conditionalFormatting>
  <conditionalFormatting sqref="A4:XFD4">
    <cfRule type="expression" dxfId="22" priority="1">
      <formula>LEFT($A$4,1) &lt;&gt; "0"</formula>
    </cfRule>
  </conditionalFormatting>
  <hyperlinks>
    <hyperlink ref="B5:F5" location="'Model map'!A1" display="Click here to return to model map"/>
  </hyperlinks>
  <pageMargins left="0.7" right="0.7" top="0.75" bottom="0.75" header="0.3" footer="0.3"/>
  <pageSetup paperSize="9" scale="32" fitToHeight="0" orientation="portrait" r:id="rId1"/>
  <headerFooter>
    <oddHeader>&amp;L&amp;A&amp;C&amp;R&amp;P of &amp;N</oddHeader>
    <oddFooter>&amp;F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theme="4" tint="0.59999389629810485"/>
    <pageSetUpPr fitToPage="1"/>
  </sheetPr>
  <dimension ref="A1:XFD297"/>
  <sheetViews>
    <sheetView showGridLines="0" zoomScale="80" zoomScaleNormal="80" workbookViewId="0">
      <pane xSplit="9" ySplit="5" topLeftCell="J6" activePane="bottomRight" state="frozen"/>
      <selection activeCell="N50" sqref="N50"/>
      <selection pane="topRight" activeCell="N50" sqref="N50"/>
      <selection pane="bottomLeft" activeCell="N50" sqref="N50"/>
      <selection pane="bottomRight" activeCell="J6" sqref="J6"/>
    </sheetView>
  </sheetViews>
  <sheetFormatPr defaultColWidth="0" defaultRowHeight="15" x14ac:dyDescent="0.25"/>
  <cols>
    <col min="1" max="3" width="2.7109375" style="88" customWidth="1"/>
    <col min="4" max="4" width="2.7109375" style="91" customWidth="1"/>
    <col min="5" max="5" width="2.7109375" style="175" customWidth="1"/>
    <col min="6" max="6" width="59.5703125" style="88" customWidth="1"/>
    <col min="7" max="8" width="20.7109375" style="88" customWidth="1"/>
    <col min="9" max="9" width="2.28515625" style="88" customWidth="1"/>
    <col min="10" max="42" width="17" style="88" customWidth="1"/>
    <col min="43" max="43" width="2.28515625" style="88" customWidth="1"/>
    <col min="44" max="44" width="50.7109375" style="88" customWidth="1"/>
    <col min="45" max="45" width="2.28515625" style="88" customWidth="1"/>
    <col min="46" max="46" width="24.5703125" style="88" hidden="1" customWidth="1"/>
    <col min="47" max="47" width="3.5703125" style="88" hidden="1" customWidth="1"/>
    <col min="48" max="48" width="15.42578125" style="88" hidden="1" customWidth="1"/>
    <col min="49" max="295" width="24.5703125" style="88" hidden="1" customWidth="1"/>
    <col min="296" max="16384" width="8.7109375" style="88" hidden="1"/>
  </cols>
  <sheetData>
    <row r="1" spans="1:97" s="25" customFormat="1" x14ac:dyDescent="0.25">
      <c r="A1" s="25" t="str">
        <f ca="1">MID(CELL("filename",A1),FIND("]",CELL("filename",A1))+1,255)</f>
        <v>Reactive power charges</v>
      </c>
    </row>
    <row r="2" spans="1:97" s="25" customFormat="1" x14ac:dyDescent="0.25">
      <c r="A2" s="25" t="str">
        <f>Cover!D21&amp;" - "&amp;Cover!D23</f>
        <v>SEPD - Final</v>
      </c>
    </row>
    <row r="3" spans="1:97" s="97" customFormat="1" x14ac:dyDescent="0.25">
      <c r="A3" s="97" t="str">
        <f>Cover!D2&amp;" - "&amp;Cover!D8&amp;" v"&amp;Cover!D10&amp;" - "&amp;Cover!D19</f>
        <v>ARP model - Release for charge setting v3 - 2020/21</v>
      </c>
    </row>
    <row r="4" spans="1:97" s="338" customFormat="1" x14ac:dyDescent="0.25">
      <c r="A4" s="392" t="str">
        <f>H254 &amp; IF(H254 = 1, " issue", " issues") &amp;" identified in checks on this sheet"</f>
        <v>0 issues identified in checks on this sheet</v>
      </c>
      <c r="B4" s="393"/>
      <c r="C4" s="393"/>
      <c r="D4" s="393"/>
      <c r="E4" s="393"/>
      <c r="F4" s="393"/>
      <c r="G4" s="393"/>
      <c r="H4" s="394"/>
      <c r="I4" s="394"/>
      <c r="J4" s="393"/>
      <c r="K4" s="383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3"/>
      <c r="AD4" s="383"/>
      <c r="AE4" s="383"/>
      <c r="AF4" s="383"/>
      <c r="AG4" s="383"/>
      <c r="AH4" s="383"/>
      <c r="AI4" s="383"/>
      <c r="AJ4" s="383"/>
      <c r="AK4" s="383"/>
      <c r="AL4" s="383"/>
      <c r="AM4" s="383"/>
      <c r="AN4" s="383"/>
      <c r="AO4" s="383"/>
      <c r="AP4" s="383"/>
      <c r="AQ4" s="383"/>
      <c r="AR4" s="383"/>
      <c r="AS4" s="383"/>
      <c r="AT4" s="383"/>
      <c r="AU4" s="383"/>
      <c r="AV4" s="383"/>
      <c r="AW4" s="383"/>
      <c r="AX4" s="383"/>
      <c r="AY4" s="383"/>
      <c r="AZ4" s="383"/>
      <c r="BA4" s="383"/>
      <c r="BB4" s="383"/>
      <c r="BC4" s="383"/>
      <c r="BD4" s="383"/>
      <c r="BE4" s="383"/>
      <c r="BF4" s="383"/>
      <c r="BG4" s="383"/>
      <c r="BH4" s="383"/>
      <c r="BI4" s="383"/>
      <c r="BJ4" s="383"/>
      <c r="BK4" s="383"/>
      <c r="BL4" s="383"/>
      <c r="BM4" s="383"/>
      <c r="BN4" s="383"/>
      <c r="BO4" s="383"/>
      <c r="BP4" s="383"/>
      <c r="BQ4" s="383"/>
      <c r="BR4" s="383"/>
      <c r="BS4" s="383"/>
      <c r="BT4" s="383"/>
      <c r="BU4" s="383"/>
      <c r="BV4" s="383"/>
      <c r="BW4" s="383"/>
      <c r="BX4" s="383"/>
      <c r="BY4" s="383"/>
      <c r="BZ4" s="383"/>
      <c r="CA4" s="383"/>
      <c r="CB4" s="383"/>
      <c r="CC4" s="383"/>
      <c r="CD4" s="383"/>
      <c r="CE4" s="383"/>
      <c r="CF4" s="383"/>
      <c r="CG4" s="383"/>
      <c r="CH4" s="383"/>
      <c r="CI4" s="383"/>
      <c r="CJ4" s="383"/>
      <c r="CK4" s="383"/>
      <c r="CL4" s="383"/>
      <c r="CM4" s="383"/>
      <c r="CN4" s="383"/>
      <c r="CO4" s="383"/>
      <c r="CP4" s="383"/>
      <c r="CQ4" s="383"/>
      <c r="CR4" s="383"/>
      <c r="CS4" s="383"/>
    </row>
    <row r="5" spans="1:97" ht="60" x14ac:dyDescent="0.25">
      <c r="B5" s="244" t="s">
        <v>667</v>
      </c>
      <c r="C5" s="24"/>
      <c r="D5" s="24"/>
      <c r="E5" s="24"/>
      <c r="F5" s="24"/>
      <c r="G5" s="1" t="s">
        <v>108</v>
      </c>
      <c r="H5" s="2" t="s">
        <v>109</v>
      </c>
      <c r="J5" s="2" t="s">
        <v>52</v>
      </c>
      <c r="K5" s="2" t="s">
        <v>53</v>
      </c>
      <c r="L5" s="2" t="s">
        <v>84</v>
      </c>
      <c r="M5" s="2" t="s">
        <v>54</v>
      </c>
      <c r="N5" s="2" t="s">
        <v>55</v>
      </c>
      <c r="O5" s="2" t="s">
        <v>85</v>
      </c>
      <c r="P5" s="2" t="s">
        <v>56</v>
      </c>
      <c r="Q5" s="2" t="s">
        <v>57</v>
      </c>
      <c r="R5" s="2" t="s">
        <v>72</v>
      </c>
      <c r="S5" s="2" t="s">
        <v>58</v>
      </c>
      <c r="T5" s="2" t="s">
        <v>59</v>
      </c>
      <c r="U5" s="2" t="s">
        <v>60</v>
      </c>
      <c r="V5" s="2" t="s">
        <v>61</v>
      </c>
      <c r="W5" s="2" t="s">
        <v>73</v>
      </c>
      <c r="X5" s="2" t="s">
        <v>86</v>
      </c>
      <c r="Y5" s="2" t="s">
        <v>87</v>
      </c>
      <c r="Z5" s="2" t="s">
        <v>88</v>
      </c>
      <c r="AA5" s="2" t="s">
        <v>89</v>
      </c>
      <c r="AB5" s="2" t="s">
        <v>90</v>
      </c>
      <c r="AC5" s="2" t="s">
        <v>62</v>
      </c>
      <c r="AD5" s="2" t="s">
        <v>63</v>
      </c>
      <c r="AE5" s="2" t="s">
        <v>64</v>
      </c>
      <c r="AF5" s="2" t="s">
        <v>65</v>
      </c>
      <c r="AG5" s="2" t="s">
        <v>66</v>
      </c>
      <c r="AH5" s="2" t="s">
        <v>67</v>
      </c>
      <c r="AI5" s="2" t="s">
        <v>68</v>
      </c>
      <c r="AJ5" s="2" t="s">
        <v>69</v>
      </c>
      <c r="AK5" s="2" t="s">
        <v>70</v>
      </c>
      <c r="AL5" s="2" t="s">
        <v>71</v>
      </c>
      <c r="AM5" s="2" t="s">
        <v>74</v>
      </c>
      <c r="AN5" s="2" t="s">
        <v>75</v>
      </c>
      <c r="AO5" s="2" t="s">
        <v>76</v>
      </c>
      <c r="AP5" s="2" t="s">
        <v>77</v>
      </c>
      <c r="AR5" s="1" t="s">
        <v>110</v>
      </c>
    </row>
    <row r="7" spans="1:97" x14ac:dyDescent="0.25">
      <c r="B7" s="171" t="s">
        <v>107</v>
      </c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</row>
    <row r="8" spans="1:97" x14ac:dyDescent="0.25">
      <c r="AQ8" s="160"/>
      <c r="AR8" s="160"/>
    </row>
    <row r="9" spans="1:97" x14ac:dyDescent="0.25">
      <c r="C9" s="152" t="s">
        <v>1017</v>
      </c>
      <c r="D9" s="160"/>
      <c r="AQ9" s="160"/>
      <c r="AR9" s="160"/>
    </row>
    <row r="10" spans="1:97" s="160" customFormat="1" x14ac:dyDescent="0.25">
      <c r="C10" s="152" t="s">
        <v>569</v>
      </c>
    </row>
    <row r="11" spans="1:97" x14ac:dyDescent="0.25">
      <c r="C11" s="482" t="s">
        <v>1018</v>
      </c>
      <c r="AQ11" s="160"/>
      <c r="AR11" s="160"/>
    </row>
    <row r="12" spans="1:97" s="160" customFormat="1" x14ac:dyDescent="0.25">
      <c r="D12" s="175"/>
      <c r="E12" s="175"/>
    </row>
    <row r="13" spans="1:97" x14ac:dyDescent="0.25">
      <c r="B13" s="171" t="s">
        <v>904</v>
      </c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</row>
    <row r="14" spans="1:97" s="160" customFormat="1" x14ac:dyDescent="0.25">
      <c r="D14" s="175"/>
      <c r="E14" s="175"/>
    </row>
    <row r="15" spans="1:97" x14ac:dyDescent="0.25">
      <c r="C15" s="152" t="s">
        <v>627</v>
      </c>
    </row>
    <row r="17" spans="3:44" s="338" customFormat="1" x14ac:dyDescent="0.25">
      <c r="C17" s="22" t="str">
        <f ca="1">INDEX('Version control'!$H$34:$H$59,MATCH($A$1,'Version control'!$F$34:$F$59,0),1)&amp;"-A: Inputs to reactive power charge calculations"</f>
        <v>Section 515-A: Inputs to reactive power charge calculations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</row>
    <row r="18" spans="3:44" s="338" customFormat="1" x14ac:dyDescent="0.25">
      <c r="C18" s="172"/>
      <c r="E18" s="172"/>
    </row>
    <row r="19" spans="3:44" x14ac:dyDescent="0.25">
      <c r="D19" s="87" t="s">
        <v>106</v>
      </c>
    </row>
    <row r="20" spans="3:44" x14ac:dyDescent="0.25">
      <c r="D20" s="152" t="s">
        <v>400</v>
      </c>
      <c r="E20" s="160"/>
    </row>
    <row r="21" spans="3:44" x14ac:dyDescent="0.25">
      <c r="C21" s="89"/>
      <c r="E21" s="72" t="s">
        <v>397</v>
      </c>
      <c r="F21" s="180"/>
      <c r="G21" s="72" t="s">
        <v>337</v>
      </c>
      <c r="H21" s="402"/>
    </row>
    <row r="22" spans="3:44" x14ac:dyDescent="0.25">
      <c r="C22" s="89"/>
      <c r="E22" s="66" t="s">
        <v>43</v>
      </c>
      <c r="F22" s="176"/>
      <c r="G22" s="90" t="s">
        <v>337</v>
      </c>
      <c r="H22" s="439">
        <f t="array" ref="H22:H30">TRANSPOSE('Inputs by network level'!K24:S24)</f>
        <v>0.22971048873866273</v>
      </c>
    </row>
    <row r="23" spans="3:44" x14ac:dyDescent="0.25">
      <c r="C23" s="89"/>
      <c r="E23" s="66" t="s">
        <v>44</v>
      </c>
      <c r="F23" s="176"/>
      <c r="G23" s="90" t="s">
        <v>337</v>
      </c>
      <c r="H23" s="439">
        <v>0.22971048873866273</v>
      </c>
    </row>
    <row r="24" spans="3:44" x14ac:dyDescent="0.25">
      <c r="C24" s="89"/>
      <c r="E24" s="66" t="s">
        <v>45</v>
      </c>
      <c r="F24" s="176"/>
      <c r="G24" s="90" t="s">
        <v>337</v>
      </c>
      <c r="H24" s="439">
        <v>0.22971048873866273</v>
      </c>
    </row>
    <row r="25" spans="3:44" x14ac:dyDescent="0.25">
      <c r="C25" s="89"/>
      <c r="E25" s="66" t="s">
        <v>46</v>
      </c>
      <c r="F25" s="176"/>
      <c r="G25" s="90" t="s">
        <v>337</v>
      </c>
      <c r="H25" s="439">
        <v>0.22971048873866273</v>
      </c>
    </row>
    <row r="26" spans="3:44" x14ac:dyDescent="0.25">
      <c r="C26" s="89"/>
      <c r="E26" s="66" t="s">
        <v>47</v>
      </c>
      <c r="F26" s="176"/>
      <c r="G26" s="90" t="s">
        <v>337</v>
      </c>
      <c r="H26" s="439">
        <v>0.22971048873866273</v>
      </c>
    </row>
    <row r="27" spans="3:44" x14ac:dyDescent="0.25">
      <c r="C27" s="89"/>
      <c r="E27" s="66" t="s">
        <v>51</v>
      </c>
      <c r="F27" s="176"/>
      <c r="G27" s="90" t="s">
        <v>337</v>
      </c>
      <c r="H27" s="439">
        <v>0</v>
      </c>
    </row>
    <row r="28" spans="3:44" x14ac:dyDescent="0.25">
      <c r="C28" s="89"/>
      <c r="E28" s="66" t="s">
        <v>48</v>
      </c>
      <c r="F28" s="176"/>
      <c r="G28" s="90" t="s">
        <v>337</v>
      </c>
      <c r="H28" s="439">
        <v>0.22971048873866273</v>
      </c>
    </row>
    <row r="29" spans="3:44" x14ac:dyDescent="0.25">
      <c r="C29" s="89"/>
      <c r="E29" s="66" t="s">
        <v>49</v>
      </c>
      <c r="F29" s="176"/>
      <c r="G29" s="90" t="s">
        <v>337</v>
      </c>
      <c r="H29" s="439">
        <v>0.22971048873866273</v>
      </c>
    </row>
    <row r="30" spans="3:44" x14ac:dyDescent="0.25">
      <c r="C30" s="89"/>
      <c r="E30" s="66" t="s">
        <v>50</v>
      </c>
      <c r="F30" s="176"/>
      <c r="G30" s="90" t="s">
        <v>337</v>
      </c>
      <c r="H30" s="439">
        <v>0.22971048873866273</v>
      </c>
    </row>
    <row r="31" spans="3:44" x14ac:dyDescent="0.25">
      <c r="C31" s="89"/>
      <c r="E31" s="66" t="s">
        <v>141</v>
      </c>
      <c r="F31" s="176"/>
      <c r="G31" s="90" t="s">
        <v>337</v>
      </c>
      <c r="H31" s="403"/>
    </row>
    <row r="32" spans="3:44" x14ac:dyDescent="0.25">
      <c r="C32" s="89"/>
      <c r="E32" s="67" t="s">
        <v>140</v>
      </c>
      <c r="F32" s="177"/>
      <c r="G32" s="16" t="s">
        <v>337</v>
      </c>
      <c r="H32" s="404"/>
    </row>
    <row r="33" spans="3:8" x14ac:dyDescent="0.25">
      <c r="C33" s="89"/>
      <c r="H33" s="416"/>
    </row>
    <row r="34" spans="3:8" x14ac:dyDescent="0.25">
      <c r="D34" s="89" t="s">
        <v>117</v>
      </c>
      <c r="H34" s="416"/>
    </row>
    <row r="35" spans="3:8" x14ac:dyDescent="0.25">
      <c r="C35" s="89"/>
      <c r="E35" s="72" t="s">
        <v>397</v>
      </c>
      <c r="F35" s="180"/>
      <c r="G35" s="40" t="s">
        <v>636</v>
      </c>
      <c r="H35" s="438">
        <f t="array" ref="H35:H44">TRANSPOSE('Load &amp; loss characteristics'!J29:S29)</f>
        <v>1</v>
      </c>
    </row>
    <row r="36" spans="3:8" x14ac:dyDescent="0.25">
      <c r="C36" s="89"/>
      <c r="E36" s="66" t="s">
        <v>43</v>
      </c>
      <c r="F36" s="176"/>
      <c r="G36" s="145" t="s">
        <v>636</v>
      </c>
      <c r="H36" s="439">
        <v>1</v>
      </c>
    </row>
    <row r="37" spans="3:8" x14ac:dyDescent="0.25">
      <c r="C37" s="89"/>
      <c r="E37" s="66" t="s">
        <v>44</v>
      </c>
      <c r="F37" s="176"/>
      <c r="G37" s="145" t="s">
        <v>636</v>
      </c>
      <c r="H37" s="439">
        <v>1.0049999999999999</v>
      </c>
    </row>
    <row r="38" spans="3:8" x14ac:dyDescent="0.25">
      <c r="C38" s="89"/>
      <c r="E38" s="66" t="s">
        <v>45</v>
      </c>
      <c r="F38" s="176"/>
      <c r="G38" s="145" t="s">
        <v>636</v>
      </c>
      <c r="H38" s="439">
        <v>1.008</v>
      </c>
    </row>
    <row r="39" spans="3:8" x14ac:dyDescent="0.25">
      <c r="C39" s="89"/>
      <c r="E39" s="66" t="s">
        <v>46</v>
      </c>
      <c r="F39" s="176"/>
      <c r="G39" s="145" t="s">
        <v>636</v>
      </c>
      <c r="H39" s="439">
        <v>1.016</v>
      </c>
    </row>
    <row r="40" spans="3:8" x14ac:dyDescent="0.25">
      <c r="C40" s="89"/>
      <c r="E40" s="66" t="s">
        <v>47</v>
      </c>
      <c r="F40" s="176"/>
      <c r="G40" s="145" t="s">
        <v>636</v>
      </c>
      <c r="H40" s="439">
        <v>1.0209999999999999</v>
      </c>
    </row>
    <row r="41" spans="3:8" x14ac:dyDescent="0.25">
      <c r="C41" s="89"/>
      <c r="E41" s="66" t="s">
        <v>51</v>
      </c>
      <c r="F41" s="176"/>
      <c r="G41" s="145" t="s">
        <v>636</v>
      </c>
      <c r="H41" s="439">
        <v>1.0209999999999999</v>
      </c>
    </row>
    <row r="42" spans="3:8" x14ac:dyDescent="0.25">
      <c r="C42" s="89"/>
      <c r="E42" s="66" t="s">
        <v>48</v>
      </c>
      <c r="F42" s="176"/>
      <c r="G42" s="145" t="s">
        <v>636</v>
      </c>
      <c r="H42" s="439">
        <v>1.0309999999999999</v>
      </c>
    </row>
    <row r="43" spans="3:8" x14ac:dyDescent="0.25">
      <c r="C43" s="89"/>
      <c r="E43" s="66" t="s">
        <v>49</v>
      </c>
      <c r="F43" s="176"/>
      <c r="G43" s="145" t="s">
        <v>636</v>
      </c>
      <c r="H43" s="439">
        <v>1.046</v>
      </c>
    </row>
    <row r="44" spans="3:8" x14ac:dyDescent="0.25">
      <c r="C44" s="89"/>
      <c r="E44" s="66" t="s">
        <v>50</v>
      </c>
      <c r="F44" s="176"/>
      <c r="G44" s="145" t="s">
        <v>636</v>
      </c>
      <c r="H44" s="439">
        <v>1.089</v>
      </c>
    </row>
    <row r="45" spans="3:8" x14ac:dyDescent="0.25">
      <c r="C45" s="89"/>
      <c r="E45" s="66" t="s">
        <v>141</v>
      </c>
      <c r="F45" s="176"/>
      <c r="G45" s="145" t="s">
        <v>636</v>
      </c>
      <c r="H45" s="403"/>
    </row>
    <row r="46" spans="3:8" x14ac:dyDescent="0.25">
      <c r="C46" s="89"/>
      <c r="E46" s="67" t="s">
        <v>140</v>
      </c>
      <c r="F46" s="177"/>
      <c r="G46" s="38" t="s">
        <v>636</v>
      </c>
      <c r="H46" s="404"/>
    </row>
    <row r="47" spans="3:8" x14ac:dyDescent="0.25">
      <c r="C47" s="89"/>
      <c r="H47" s="416"/>
    </row>
    <row r="48" spans="3:8" x14ac:dyDescent="0.25">
      <c r="D48" s="172" t="s">
        <v>902</v>
      </c>
      <c r="H48" s="416"/>
    </row>
    <row r="49" spans="3:8" x14ac:dyDescent="0.25">
      <c r="C49" s="89"/>
      <c r="E49" s="72" t="s">
        <v>397</v>
      </c>
      <c r="F49" s="180"/>
      <c r="G49" s="13" t="s">
        <v>125</v>
      </c>
      <c r="H49" s="402"/>
    </row>
    <row r="50" spans="3:8" x14ac:dyDescent="0.25">
      <c r="C50" s="89"/>
      <c r="E50" s="66" t="s">
        <v>43</v>
      </c>
      <c r="F50" s="176"/>
      <c r="G50" s="90" t="s">
        <v>125</v>
      </c>
      <c r="H50" s="403"/>
    </row>
    <row r="51" spans="3:8" x14ac:dyDescent="0.25">
      <c r="C51" s="89"/>
      <c r="E51" s="66" t="s">
        <v>44</v>
      </c>
      <c r="F51" s="176"/>
      <c r="G51" s="90" t="s">
        <v>125</v>
      </c>
      <c r="H51" s="439">
        <f t="array" ref="H51:H58">TRANSPOSE('Unit costs'!L114:S114)</f>
        <v>10.669747730206675</v>
      </c>
    </row>
    <row r="52" spans="3:8" x14ac:dyDescent="0.25">
      <c r="C52" s="89"/>
      <c r="E52" s="66" t="s">
        <v>45</v>
      </c>
      <c r="F52" s="176"/>
      <c r="G52" s="90" t="s">
        <v>125</v>
      </c>
      <c r="H52" s="439">
        <v>2.9782944756569507</v>
      </c>
    </row>
    <row r="53" spans="3:8" x14ac:dyDescent="0.25">
      <c r="C53" s="89"/>
      <c r="E53" s="66" t="s">
        <v>46</v>
      </c>
      <c r="F53" s="176"/>
      <c r="G53" s="90" t="s">
        <v>125</v>
      </c>
      <c r="H53" s="439">
        <v>7.2018523411578244</v>
      </c>
    </row>
    <row r="54" spans="3:8" x14ac:dyDescent="0.25">
      <c r="C54" s="89"/>
      <c r="E54" s="66" t="s">
        <v>47</v>
      </c>
      <c r="F54" s="176"/>
      <c r="G54" s="90" t="s">
        <v>125</v>
      </c>
      <c r="H54" s="439">
        <v>5.5125273828843655</v>
      </c>
    </row>
    <row r="55" spans="3:8" x14ac:dyDescent="0.25">
      <c r="C55" s="89"/>
      <c r="E55" s="66" t="s">
        <v>51</v>
      </c>
      <c r="F55" s="176"/>
      <c r="G55" s="90" t="s">
        <v>125</v>
      </c>
      <c r="H55" s="439">
        <v>0</v>
      </c>
    </row>
    <row r="56" spans="3:8" x14ac:dyDescent="0.25">
      <c r="C56" s="89"/>
      <c r="E56" s="66" t="s">
        <v>48</v>
      </c>
      <c r="F56" s="176"/>
      <c r="G56" s="90" t="s">
        <v>125</v>
      </c>
      <c r="H56" s="439">
        <v>18.200075134476446</v>
      </c>
    </row>
    <row r="57" spans="3:8" x14ac:dyDescent="0.25">
      <c r="C57" s="89"/>
      <c r="E57" s="66" t="s">
        <v>49</v>
      </c>
      <c r="F57" s="176"/>
      <c r="G57" s="90" t="s">
        <v>125</v>
      </c>
      <c r="H57" s="439">
        <v>6.0546457475617759</v>
      </c>
    </row>
    <row r="58" spans="3:8" x14ac:dyDescent="0.25">
      <c r="C58" s="89"/>
      <c r="E58" s="66" t="s">
        <v>50</v>
      </c>
      <c r="F58" s="176"/>
      <c r="G58" s="90" t="s">
        <v>125</v>
      </c>
      <c r="H58" s="439">
        <v>11.338060767875723</v>
      </c>
    </row>
    <row r="59" spans="3:8" x14ac:dyDescent="0.25">
      <c r="C59" s="89"/>
      <c r="E59" s="66" t="s">
        <v>141</v>
      </c>
      <c r="F59" s="176"/>
      <c r="G59" s="90" t="s">
        <v>125</v>
      </c>
      <c r="H59" s="403"/>
    </row>
    <row r="60" spans="3:8" x14ac:dyDescent="0.25">
      <c r="C60" s="89"/>
      <c r="E60" s="67" t="s">
        <v>140</v>
      </c>
      <c r="F60" s="177"/>
      <c r="G60" s="16" t="s">
        <v>125</v>
      </c>
      <c r="H60" s="404"/>
    </row>
    <row r="61" spans="3:8" s="160" customFormat="1" x14ac:dyDescent="0.25">
      <c r="C61" s="161"/>
      <c r="D61" s="175"/>
      <c r="E61" s="175"/>
      <c r="H61" s="416"/>
    </row>
    <row r="62" spans="3:8" x14ac:dyDescent="0.25">
      <c r="C62" s="89"/>
      <c r="D62" s="172" t="s">
        <v>903</v>
      </c>
      <c r="E62" s="88"/>
      <c r="H62" s="416"/>
    </row>
    <row r="63" spans="3:8" x14ac:dyDescent="0.25">
      <c r="C63" s="89"/>
      <c r="E63" s="72" t="s">
        <v>397</v>
      </c>
      <c r="F63" s="180"/>
      <c r="G63" s="13" t="s">
        <v>125</v>
      </c>
      <c r="H63" s="438">
        <f t="array" ref="H63:H72">TRANSPOSE('Unit costs'!J115:S115)</f>
        <v>3.0882569609544062</v>
      </c>
    </row>
    <row r="64" spans="3:8" x14ac:dyDescent="0.25">
      <c r="C64" s="89"/>
      <c r="E64" s="66" t="s">
        <v>43</v>
      </c>
      <c r="F64" s="176"/>
      <c r="G64" s="90" t="s">
        <v>125</v>
      </c>
      <c r="H64" s="439">
        <v>0</v>
      </c>
    </row>
    <row r="65" spans="3:59" x14ac:dyDescent="0.25">
      <c r="C65" s="89"/>
      <c r="E65" s="66" t="s">
        <v>44</v>
      </c>
      <c r="F65" s="176"/>
      <c r="G65" s="90" t="s">
        <v>125</v>
      </c>
      <c r="H65" s="439">
        <v>4.3117941483657196</v>
      </c>
    </row>
    <row r="66" spans="3:59" x14ac:dyDescent="0.25">
      <c r="C66" s="89"/>
      <c r="E66" s="66" t="s">
        <v>45</v>
      </c>
      <c r="F66" s="176"/>
      <c r="G66" s="90" t="s">
        <v>125</v>
      </c>
      <c r="H66" s="439">
        <v>1.2035704139369414</v>
      </c>
    </row>
    <row r="67" spans="3:59" x14ac:dyDescent="0.25">
      <c r="C67" s="89"/>
      <c r="E67" s="66" t="s">
        <v>46</v>
      </c>
      <c r="F67" s="176"/>
      <c r="G67" s="90" t="s">
        <v>125</v>
      </c>
      <c r="H67" s="439">
        <v>2.9103691640324061</v>
      </c>
    </row>
    <row r="68" spans="3:59" x14ac:dyDescent="0.25">
      <c r="C68" s="89"/>
      <c r="E68" s="66" t="s">
        <v>47</v>
      </c>
      <c r="F68" s="176"/>
      <c r="G68" s="90" t="s">
        <v>125</v>
      </c>
      <c r="H68" s="439">
        <v>2.2276893431074773</v>
      </c>
    </row>
    <row r="69" spans="3:59" x14ac:dyDescent="0.25">
      <c r="C69" s="89"/>
      <c r="E69" s="66" t="s">
        <v>51</v>
      </c>
      <c r="F69" s="176"/>
      <c r="G69" s="90" t="s">
        <v>125</v>
      </c>
      <c r="H69" s="439">
        <v>0</v>
      </c>
    </row>
    <row r="70" spans="3:59" x14ac:dyDescent="0.25">
      <c r="C70" s="89"/>
      <c r="E70" s="66" t="s">
        <v>48</v>
      </c>
      <c r="F70" s="176"/>
      <c r="G70" s="90" t="s">
        <v>125</v>
      </c>
      <c r="H70" s="439">
        <v>7.3549046752515768</v>
      </c>
    </row>
    <row r="71" spans="3:59" x14ac:dyDescent="0.25">
      <c r="C71" s="89"/>
      <c r="E71" s="66" t="s">
        <v>49</v>
      </c>
      <c r="F71" s="176"/>
      <c r="G71" s="90" t="s">
        <v>125</v>
      </c>
      <c r="H71" s="439">
        <v>2.4467669494055198</v>
      </c>
    </row>
    <row r="72" spans="3:59" x14ac:dyDescent="0.25">
      <c r="C72" s="89"/>
      <c r="E72" s="66" t="s">
        <v>50</v>
      </c>
      <c r="F72" s="176"/>
      <c r="G72" s="90" t="s">
        <v>125</v>
      </c>
      <c r="H72" s="439">
        <v>4.5818687853639188</v>
      </c>
    </row>
    <row r="73" spans="3:59" x14ac:dyDescent="0.25">
      <c r="C73" s="89"/>
      <c r="E73" s="66" t="s">
        <v>141</v>
      </c>
      <c r="F73" s="176"/>
      <c r="G73" s="90" t="s">
        <v>125</v>
      </c>
      <c r="H73" s="403"/>
    </row>
    <row r="74" spans="3:59" x14ac:dyDescent="0.25">
      <c r="C74" s="89"/>
      <c r="E74" s="67" t="s">
        <v>140</v>
      </c>
      <c r="F74" s="177"/>
      <c r="G74" s="16" t="s">
        <v>125</v>
      </c>
      <c r="H74" s="404"/>
    </row>
    <row r="75" spans="3:59" x14ac:dyDescent="0.25">
      <c r="C75" s="89"/>
      <c r="H75" s="165"/>
    </row>
    <row r="76" spans="3:59" s="131" customFormat="1" x14ac:dyDescent="0.25">
      <c r="D76" s="132" t="s">
        <v>449</v>
      </c>
      <c r="E76" s="175"/>
    </row>
    <row r="77" spans="3:59" s="131" customFormat="1" x14ac:dyDescent="0.25">
      <c r="D77" s="152" t="s">
        <v>573</v>
      </c>
      <c r="E77" s="124"/>
    </row>
    <row r="78" spans="3:59" s="131" customFormat="1" x14ac:dyDescent="0.25">
      <c r="C78" s="132"/>
      <c r="D78" s="147"/>
      <c r="E78" s="167" t="s">
        <v>450</v>
      </c>
      <c r="G78" s="167" t="s">
        <v>172</v>
      </c>
      <c r="H78" s="167"/>
      <c r="I78" s="167" t="s">
        <v>525</v>
      </c>
      <c r="J78" s="156">
        <f>'Fixed inputs'!J143</f>
        <v>0</v>
      </c>
      <c r="K78" s="156">
        <f>'Fixed inputs'!K143</f>
        <v>0</v>
      </c>
      <c r="L78" s="156">
        <f>'Fixed inputs'!L143</f>
        <v>0</v>
      </c>
      <c r="M78" s="156">
        <f>'Fixed inputs'!M143</f>
        <v>0</v>
      </c>
      <c r="N78" s="156">
        <f>'Fixed inputs'!N143</f>
        <v>0</v>
      </c>
      <c r="O78" s="156">
        <f>'Fixed inputs'!O143</f>
        <v>0</v>
      </c>
      <c r="P78" s="156">
        <f>'Fixed inputs'!P143</f>
        <v>0</v>
      </c>
      <c r="Q78" s="156">
        <f>'Fixed inputs'!Q143</f>
        <v>0</v>
      </c>
      <c r="R78" s="156">
        <f>'Fixed inputs'!R143</f>
        <v>0</v>
      </c>
      <c r="S78" s="156">
        <f>'Fixed inputs'!S143</f>
        <v>0</v>
      </c>
      <c r="T78" s="156">
        <f>'Fixed inputs'!T143</f>
        <v>0</v>
      </c>
      <c r="U78" s="156">
        <f>'Fixed inputs'!U143</f>
        <v>1</v>
      </c>
      <c r="V78" s="156">
        <f>'Fixed inputs'!V143</f>
        <v>1</v>
      </c>
      <c r="W78" s="156">
        <f>'Fixed inputs'!W143</f>
        <v>1</v>
      </c>
      <c r="X78" s="156">
        <f>'Fixed inputs'!X143</f>
        <v>0</v>
      </c>
      <c r="Y78" s="156">
        <f>'Fixed inputs'!Y143</f>
        <v>0</v>
      </c>
      <c r="Z78" s="156">
        <f>'Fixed inputs'!Z143</f>
        <v>0</v>
      </c>
      <c r="AA78" s="156">
        <f>'Fixed inputs'!AA143</f>
        <v>0</v>
      </c>
      <c r="AB78" s="156">
        <f>'Fixed inputs'!AB143</f>
        <v>0</v>
      </c>
      <c r="AC78" s="156">
        <f>'Fixed inputs'!AC143</f>
        <v>0</v>
      </c>
      <c r="AD78" s="156">
        <f>'Fixed inputs'!AD143</f>
        <v>0</v>
      </c>
      <c r="AE78" s="156">
        <f>'Fixed inputs'!AE143</f>
        <v>1</v>
      </c>
      <c r="AF78" s="156">
        <f>'Fixed inputs'!AF143</f>
        <v>0</v>
      </c>
      <c r="AG78" s="156">
        <f>'Fixed inputs'!AG143</f>
        <v>1</v>
      </c>
      <c r="AH78" s="156">
        <f>'Fixed inputs'!AH143</f>
        <v>0</v>
      </c>
      <c r="AI78" s="156">
        <f>'Fixed inputs'!AI143</f>
        <v>1</v>
      </c>
      <c r="AJ78" s="156">
        <f>'Fixed inputs'!AJ143</f>
        <v>0</v>
      </c>
      <c r="AK78" s="156">
        <f>'Fixed inputs'!AK143</f>
        <v>1</v>
      </c>
      <c r="AL78" s="156">
        <f>'Fixed inputs'!AL143</f>
        <v>0</v>
      </c>
      <c r="AM78" s="156">
        <f>'Fixed inputs'!AM143</f>
        <v>1</v>
      </c>
      <c r="AN78" s="156">
        <f>'Fixed inputs'!AN143</f>
        <v>0</v>
      </c>
      <c r="AO78" s="156">
        <f>'Fixed inputs'!AO143</f>
        <v>1</v>
      </c>
      <c r="AP78" s="156">
        <f>'Fixed inputs'!AP143</f>
        <v>0</v>
      </c>
      <c r="AR78" s="131" t="s">
        <v>985</v>
      </c>
    </row>
    <row r="79" spans="3:59" s="131" customFormat="1" x14ac:dyDescent="0.25">
      <c r="C79" s="132"/>
      <c r="D79" s="147"/>
      <c r="E79" s="175"/>
      <c r="F79" s="167"/>
      <c r="G79" s="167"/>
      <c r="H79" s="167"/>
      <c r="I79" s="167"/>
      <c r="J79" s="167"/>
      <c r="K79" s="167"/>
      <c r="L79" s="167"/>
      <c r="M79" s="167"/>
      <c r="N79" s="167"/>
      <c r="O79" s="167"/>
      <c r="P79" s="167"/>
      <c r="Q79" s="167"/>
      <c r="R79" s="167"/>
      <c r="S79" s="167"/>
      <c r="T79" s="167"/>
      <c r="U79" s="167"/>
      <c r="V79" s="167"/>
      <c r="W79" s="167"/>
      <c r="X79" s="167"/>
      <c r="Y79" s="167"/>
      <c r="Z79" s="167"/>
      <c r="AA79" s="167"/>
      <c r="AB79" s="167"/>
      <c r="AC79" s="167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  <c r="AO79" s="167"/>
      <c r="AP79" s="167"/>
    </row>
    <row r="80" spans="3:59" s="131" customFormat="1" x14ac:dyDescent="0.25">
      <c r="D80" s="74" t="s">
        <v>393</v>
      </c>
      <c r="E80" s="160"/>
      <c r="F80" s="139"/>
      <c r="G80" s="139"/>
      <c r="H80" s="121"/>
      <c r="I80" s="139"/>
      <c r="J80" s="142"/>
      <c r="K80" s="142"/>
      <c r="L80" s="142"/>
      <c r="M80" s="142"/>
      <c r="N80" s="142"/>
      <c r="O80" s="142"/>
      <c r="P80" s="33"/>
      <c r="Q80" s="33"/>
      <c r="R80" s="33"/>
      <c r="S80" s="33"/>
      <c r="BG80" s="136"/>
    </row>
    <row r="81" spans="1:59" s="131" customFormat="1" x14ac:dyDescent="0.25">
      <c r="C81" s="74"/>
      <c r="E81" s="137" t="s">
        <v>43</v>
      </c>
      <c r="F81" s="166"/>
      <c r="G81" s="137" t="s">
        <v>111</v>
      </c>
      <c r="H81" s="141"/>
      <c r="I81" s="137"/>
      <c r="J81" s="123">
        <f>'Standing charge factors'!J44</f>
        <v>0</v>
      </c>
      <c r="K81" s="123">
        <f>'Standing charge factors'!K44</f>
        <v>0</v>
      </c>
      <c r="L81" s="123">
        <f>'Standing charge factors'!L44</f>
        <v>0</v>
      </c>
      <c r="M81" s="123">
        <f>'Standing charge factors'!M44</f>
        <v>0</v>
      </c>
      <c r="N81" s="123">
        <f>'Standing charge factors'!N44</f>
        <v>0</v>
      </c>
      <c r="O81" s="123">
        <f>'Standing charge factors'!O44</f>
        <v>0</v>
      </c>
      <c r="P81" s="123">
        <f>'Standing charge factors'!P44</f>
        <v>0</v>
      </c>
      <c r="Q81" s="123">
        <f>'Standing charge factors'!Q44</f>
        <v>0</v>
      </c>
      <c r="R81" s="123">
        <f>'Standing charge factors'!R44</f>
        <v>0</v>
      </c>
      <c r="S81" s="123">
        <f>'Standing charge factors'!S44</f>
        <v>0</v>
      </c>
      <c r="T81" s="123">
        <f>'Standing charge factors'!T44</f>
        <v>0</v>
      </c>
      <c r="U81" s="123">
        <f>'Standing charge factors'!U44</f>
        <v>0</v>
      </c>
      <c r="V81" s="123">
        <f>'Standing charge factors'!V44</f>
        <v>0</v>
      </c>
      <c r="W81" s="123">
        <f>'Standing charge factors'!W44</f>
        <v>0</v>
      </c>
      <c r="X81" s="123">
        <f>'Standing charge factors'!X44</f>
        <v>0</v>
      </c>
      <c r="Y81" s="123">
        <f>'Standing charge factors'!Y44</f>
        <v>0</v>
      </c>
      <c r="Z81" s="123">
        <f>'Standing charge factors'!Z44</f>
        <v>0</v>
      </c>
      <c r="AA81" s="123">
        <f>'Standing charge factors'!AA44</f>
        <v>0</v>
      </c>
      <c r="AB81" s="123">
        <f>'Standing charge factors'!AB44</f>
        <v>0</v>
      </c>
      <c r="AC81" s="123">
        <f>'Standing charge factors'!AC44</f>
        <v>0</v>
      </c>
      <c r="AD81" s="123">
        <f>'Standing charge factors'!AD44</f>
        <v>0</v>
      </c>
      <c r="AE81" s="123">
        <f>'Standing charge factors'!AE44</f>
        <v>0</v>
      </c>
      <c r="AF81" s="123">
        <f>'Standing charge factors'!AF44</f>
        <v>0</v>
      </c>
      <c r="AG81" s="123">
        <f>'Standing charge factors'!AG44</f>
        <v>0</v>
      </c>
      <c r="AH81" s="123">
        <f>'Standing charge factors'!AH44</f>
        <v>0</v>
      </c>
      <c r="AI81" s="123">
        <f>'Standing charge factors'!AI44</f>
        <v>0</v>
      </c>
      <c r="AJ81" s="123">
        <f>'Standing charge factors'!AJ44</f>
        <v>0</v>
      </c>
      <c r="AK81" s="123">
        <f>'Standing charge factors'!AK44</f>
        <v>0</v>
      </c>
      <c r="AL81" s="123">
        <f>'Standing charge factors'!AL44</f>
        <v>0</v>
      </c>
      <c r="AM81" s="123">
        <f>'Standing charge factors'!AM44</f>
        <v>0</v>
      </c>
      <c r="AN81" s="123">
        <f>'Standing charge factors'!AN44</f>
        <v>0</v>
      </c>
      <c r="AO81" s="123">
        <f>'Standing charge factors'!AO44</f>
        <v>0</v>
      </c>
      <c r="AP81" s="123">
        <f>'Standing charge factors'!AP44</f>
        <v>0</v>
      </c>
      <c r="BG81" s="136"/>
    </row>
    <row r="82" spans="1:59" s="131" customFormat="1" x14ac:dyDescent="0.25">
      <c r="C82" s="74"/>
      <c r="E82" s="139" t="s">
        <v>44</v>
      </c>
      <c r="F82" s="167"/>
      <c r="G82" s="139" t="s">
        <v>111</v>
      </c>
      <c r="H82" s="142"/>
      <c r="I82" s="139"/>
      <c r="J82" s="79">
        <f>'Standing charge factors'!J45</f>
        <v>0</v>
      </c>
      <c r="K82" s="79">
        <f>'Standing charge factors'!K45</f>
        <v>0</v>
      </c>
      <c r="L82" s="79">
        <f>'Standing charge factors'!L45</f>
        <v>0</v>
      </c>
      <c r="M82" s="79">
        <f>'Standing charge factors'!M45</f>
        <v>0</v>
      </c>
      <c r="N82" s="79">
        <f>'Standing charge factors'!N45</f>
        <v>0</v>
      </c>
      <c r="O82" s="79">
        <f>'Standing charge factors'!O45</f>
        <v>0</v>
      </c>
      <c r="P82" s="79">
        <f>'Standing charge factors'!P45</f>
        <v>0</v>
      </c>
      <c r="Q82" s="79">
        <f>'Standing charge factors'!Q45</f>
        <v>0</v>
      </c>
      <c r="R82" s="79">
        <f>'Standing charge factors'!R45</f>
        <v>0</v>
      </c>
      <c r="S82" s="79">
        <f>'Standing charge factors'!S45</f>
        <v>0</v>
      </c>
      <c r="T82" s="79">
        <f>'Standing charge factors'!T45</f>
        <v>0</v>
      </c>
      <c r="U82" s="79">
        <f>'Standing charge factors'!U45</f>
        <v>0</v>
      </c>
      <c r="V82" s="79">
        <f>'Standing charge factors'!V45</f>
        <v>0</v>
      </c>
      <c r="W82" s="79">
        <f>'Standing charge factors'!W45</f>
        <v>0</v>
      </c>
      <c r="X82" s="79">
        <f>'Standing charge factors'!X45</f>
        <v>0</v>
      </c>
      <c r="Y82" s="79">
        <f>'Standing charge factors'!Y45</f>
        <v>0</v>
      </c>
      <c r="Z82" s="79">
        <f>'Standing charge factors'!Z45</f>
        <v>0</v>
      </c>
      <c r="AA82" s="79">
        <f>'Standing charge factors'!AA45</f>
        <v>0</v>
      </c>
      <c r="AB82" s="79">
        <f>'Standing charge factors'!AB45</f>
        <v>0</v>
      </c>
      <c r="AC82" s="79">
        <f>'Standing charge factors'!AC45</f>
        <v>0</v>
      </c>
      <c r="AD82" s="79">
        <f>'Standing charge factors'!AD45</f>
        <v>0</v>
      </c>
      <c r="AE82" s="79">
        <f>'Standing charge factors'!AE45</f>
        <v>0</v>
      </c>
      <c r="AF82" s="79">
        <f>'Standing charge factors'!AF45</f>
        <v>0</v>
      </c>
      <c r="AG82" s="79">
        <f>'Standing charge factors'!AG45</f>
        <v>0</v>
      </c>
      <c r="AH82" s="79">
        <f>'Standing charge factors'!AH45</f>
        <v>0</v>
      </c>
      <c r="AI82" s="79">
        <f>'Standing charge factors'!AI45</f>
        <v>0</v>
      </c>
      <c r="AJ82" s="79">
        <f>'Standing charge factors'!AJ45</f>
        <v>0</v>
      </c>
      <c r="AK82" s="79">
        <f>'Standing charge factors'!AK45</f>
        <v>0</v>
      </c>
      <c r="AL82" s="79">
        <f>'Standing charge factors'!AL45</f>
        <v>0</v>
      </c>
      <c r="AM82" s="79">
        <f>'Standing charge factors'!AM45</f>
        <v>0</v>
      </c>
      <c r="AN82" s="79">
        <f>'Standing charge factors'!AN45</f>
        <v>0</v>
      </c>
      <c r="AO82" s="79">
        <f>'Standing charge factors'!AO45</f>
        <v>0</v>
      </c>
      <c r="AP82" s="79">
        <f>'Standing charge factors'!AP45</f>
        <v>0</v>
      </c>
      <c r="BG82" s="136"/>
    </row>
    <row r="83" spans="1:59" s="131" customFormat="1" x14ac:dyDescent="0.25">
      <c r="C83" s="74"/>
      <c r="E83" s="139" t="s">
        <v>45</v>
      </c>
      <c r="F83" s="167"/>
      <c r="G83" s="139" t="s">
        <v>111</v>
      </c>
      <c r="H83" s="142"/>
      <c r="I83" s="139"/>
      <c r="J83" s="79">
        <f>'Standing charge factors'!J46</f>
        <v>0</v>
      </c>
      <c r="K83" s="79">
        <f>'Standing charge factors'!K46</f>
        <v>0</v>
      </c>
      <c r="L83" s="79">
        <f>'Standing charge factors'!L46</f>
        <v>0</v>
      </c>
      <c r="M83" s="79">
        <f>'Standing charge factors'!M46</f>
        <v>0</v>
      </c>
      <c r="N83" s="79">
        <f>'Standing charge factors'!N46</f>
        <v>0</v>
      </c>
      <c r="O83" s="79">
        <f>'Standing charge factors'!O46</f>
        <v>0</v>
      </c>
      <c r="P83" s="79">
        <f>'Standing charge factors'!P46</f>
        <v>0</v>
      </c>
      <c r="Q83" s="79">
        <f>'Standing charge factors'!Q46</f>
        <v>0</v>
      </c>
      <c r="R83" s="79">
        <f>'Standing charge factors'!R46</f>
        <v>0</v>
      </c>
      <c r="S83" s="79">
        <f>'Standing charge factors'!S46</f>
        <v>0</v>
      </c>
      <c r="T83" s="79">
        <f>'Standing charge factors'!T46</f>
        <v>0</v>
      </c>
      <c r="U83" s="79">
        <f>'Standing charge factors'!U46</f>
        <v>0</v>
      </c>
      <c r="V83" s="79">
        <f>'Standing charge factors'!V46</f>
        <v>0</v>
      </c>
      <c r="W83" s="79">
        <f>'Standing charge factors'!W46</f>
        <v>0</v>
      </c>
      <c r="X83" s="79">
        <f>'Standing charge factors'!X46</f>
        <v>0</v>
      </c>
      <c r="Y83" s="79">
        <f>'Standing charge factors'!Y46</f>
        <v>0</v>
      </c>
      <c r="Z83" s="79">
        <f>'Standing charge factors'!Z46</f>
        <v>0</v>
      </c>
      <c r="AA83" s="79">
        <f>'Standing charge factors'!AA46</f>
        <v>0</v>
      </c>
      <c r="AB83" s="79">
        <f>'Standing charge factors'!AB46</f>
        <v>0</v>
      </c>
      <c r="AC83" s="79">
        <f>'Standing charge factors'!AC46</f>
        <v>0</v>
      </c>
      <c r="AD83" s="79">
        <f>'Standing charge factors'!AD46</f>
        <v>0</v>
      </c>
      <c r="AE83" s="79">
        <f>'Standing charge factors'!AE46</f>
        <v>0</v>
      </c>
      <c r="AF83" s="79">
        <f>'Standing charge factors'!AF46</f>
        <v>0</v>
      </c>
      <c r="AG83" s="79">
        <f>'Standing charge factors'!AG46</f>
        <v>0</v>
      </c>
      <c r="AH83" s="79">
        <f>'Standing charge factors'!AH46</f>
        <v>0</v>
      </c>
      <c r="AI83" s="79">
        <f>'Standing charge factors'!AI46</f>
        <v>0</v>
      </c>
      <c r="AJ83" s="79">
        <f>'Standing charge factors'!AJ46</f>
        <v>0</v>
      </c>
      <c r="AK83" s="79">
        <f>'Standing charge factors'!AK46</f>
        <v>0</v>
      </c>
      <c r="AL83" s="79">
        <f>'Standing charge factors'!AL46</f>
        <v>0</v>
      </c>
      <c r="AM83" s="79">
        <f>'Standing charge factors'!AM46</f>
        <v>0</v>
      </c>
      <c r="AN83" s="79">
        <f>'Standing charge factors'!AN46</f>
        <v>0</v>
      </c>
      <c r="AO83" s="79">
        <f>'Standing charge factors'!AO46</f>
        <v>0</v>
      </c>
      <c r="AP83" s="79">
        <f>'Standing charge factors'!AP46</f>
        <v>0</v>
      </c>
      <c r="BG83" s="136"/>
    </row>
    <row r="84" spans="1:59" s="131" customFormat="1" x14ac:dyDescent="0.25">
      <c r="C84" s="74"/>
      <c r="E84" s="139" t="s">
        <v>46</v>
      </c>
      <c r="F84" s="167"/>
      <c r="G84" s="139" t="s">
        <v>111</v>
      </c>
      <c r="H84" s="142"/>
      <c r="I84" s="139"/>
      <c r="J84" s="79">
        <f>'Standing charge factors'!J47</f>
        <v>0</v>
      </c>
      <c r="K84" s="79">
        <f>'Standing charge factors'!K47</f>
        <v>0</v>
      </c>
      <c r="L84" s="79">
        <f>'Standing charge factors'!L47</f>
        <v>0</v>
      </c>
      <c r="M84" s="79">
        <f>'Standing charge factors'!M47</f>
        <v>0</v>
      </c>
      <c r="N84" s="79">
        <f>'Standing charge factors'!N47</f>
        <v>0</v>
      </c>
      <c r="O84" s="79">
        <f>'Standing charge factors'!O47</f>
        <v>0</v>
      </c>
      <c r="P84" s="79">
        <f>'Standing charge factors'!P47</f>
        <v>0</v>
      </c>
      <c r="Q84" s="79">
        <f>'Standing charge factors'!Q47</f>
        <v>0</v>
      </c>
      <c r="R84" s="79">
        <f>'Standing charge factors'!R47</f>
        <v>0.2</v>
      </c>
      <c r="S84" s="79">
        <f>'Standing charge factors'!S47</f>
        <v>0</v>
      </c>
      <c r="T84" s="79">
        <f>'Standing charge factors'!T47</f>
        <v>0</v>
      </c>
      <c r="U84" s="79">
        <f>'Standing charge factors'!U47</f>
        <v>0</v>
      </c>
      <c r="V84" s="79">
        <f>'Standing charge factors'!V47</f>
        <v>0</v>
      </c>
      <c r="W84" s="79">
        <f>'Standing charge factors'!W47</f>
        <v>0.2</v>
      </c>
      <c r="X84" s="79">
        <f>'Standing charge factors'!X47</f>
        <v>0</v>
      </c>
      <c r="Y84" s="79">
        <f>'Standing charge factors'!Y47</f>
        <v>0</v>
      </c>
      <c r="Z84" s="79">
        <f>'Standing charge factors'!Z47</f>
        <v>0</v>
      </c>
      <c r="AA84" s="79">
        <f>'Standing charge factors'!AA47</f>
        <v>0</v>
      </c>
      <c r="AB84" s="79">
        <f>'Standing charge factors'!AB47</f>
        <v>0</v>
      </c>
      <c r="AC84" s="79">
        <f>'Standing charge factors'!AC47</f>
        <v>0</v>
      </c>
      <c r="AD84" s="79">
        <f>'Standing charge factors'!AD47</f>
        <v>0</v>
      </c>
      <c r="AE84" s="79">
        <f>'Standing charge factors'!AE47</f>
        <v>0</v>
      </c>
      <c r="AF84" s="79">
        <f>'Standing charge factors'!AF47</f>
        <v>0</v>
      </c>
      <c r="AG84" s="79">
        <f>'Standing charge factors'!AG47</f>
        <v>0</v>
      </c>
      <c r="AH84" s="79">
        <f>'Standing charge factors'!AH47</f>
        <v>0</v>
      </c>
      <c r="AI84" s="79">
        <f>'Standing charge factors'!AI47</f>
        <v>0</v>
      </c>
      <c r="AJ84" s="79">
        <f>'Standing charge factors'!AJ47</f>
        <v>0</v>
      </c>
      <c r="AK84" s="79">
        <f>'Standing charge factors'!AK47</f>
        <v>0</v>
      </c>
      <c r="AL84" s="79">
        <f>'Standing charge factors'!AL47</f>
        <v>0</v>
      </c>
      <c r="AM84" s="79">
        <f>'Standing charge factors'!AM47</f>
        <v>0</v>
      </c>
      <c r="AN84" s="79">
        <f>'Standing charge factors'!AN47</f>
        <v>0</v>
      </c>
      <c r="AO84" s="79">
        <f>'Standing charge factors'!AO47</f>
        <v>0</v>
      </c>
      <c r="AP84" s="79">
        <f>'Standing charge factors'!AP47</f>
        <v>0</v>
      </c>
      <c r="BG84" s="136"/>
    </row>
    <row r="85" spans="1:59" s="131" customFormat="1" x14ac:dyDescent="0.25">
      <c r="C85" s="74"/>
      <c r="E85" s="139" t="s">
        <v>47</v>
      </c>
      <c r="F85" s="167"/>
      <c r="G85" s="139" t="s">
        <v>111</v>
      </c>
      <c r="H85" s="142"/>
      <c r="I85" s="139"/>
      <c r="J85" s="79">
        <f>'Standing charge factors'!J48</f>
        <v>0</v>
      </c>
      <c r="K85" s="79">
        <f>'Standing charge factors'!K48</f>
        <v>0</v>
      </c>
      <c r="L85" s="79">
        <f>'Standing charge factors'!L48</f>
        <v>0</v>
      </c>
      <c r="M85" s="79">
        <f>'Standing charge factors'!M48</f>
        <v>0</v>
      </c>
      <c r="N85" s="79">
        <f>'Standing charge factors'!N48</f>
        <v>0</v>
      </c>
      <c r="O85" s="79">
        <f>'Standing charge factors'!O48</f>
        <v>0</v>
      </c>
      <c r="P85" s="79">
        <f>'Standing charge factors'!P48</f>
        <v>0</v>
      </c>
      <c r="Q85" s="79">
        <f>'Standing charge factors'!Q48</f>
        <v>0</v>
      </c>
      <c r="R85" s="79">
        <f>'Standing charge factors'!R48</f>
        <v>1</v>
      </c>
      <c r="S85" s="79">
        <f>'Standing charge factors'!S48</f>
        <v>0</v>
      </c>
      <c r="T85" s="79">
        <f>'Standing charge factors'!T48</f>
        <v>0</v>
      </c>
      <c r="U85" s="79">
        <f>'Standing charge factors'!U48</f>
        <v>0</v>
      </c>
      <c r="V85" s="79">
        <f>'Standing charge factors'!V48</f>
        <v>0</v>
      </c>
      <c r="W85" s="79">
        <f>'Standing charge factors'!W48</f>
        <v>1</v>
      </c>
      <c r="X85" s="79">
        <f>'Standing charge factors'!X48</f>
        <v>0</v>
      </c>
      <c r="Y85" s="79">
        <f>'Standing charge factors'!Y48</f>
        <v>0</v>
      </c>
      <c r="Z85" s="79">
        <f>'Standing charge factors'!Z48</f>
        <v>0</v>
      </c>
      <c r="AA85" s="79">
        <f>'Standing charge factors'!AA48</f>
        <v>0</v>
      </c>
      <c r="AB85" s="79">
        <f>'Standing charge factors'!AB48</f>
        <v>0</v>
      </c>
      <c r="AC85" s="79">
        <f>'Standing charge factors'!AC48</f>
        <v>0</v>
      </c>
      <c r="AD85" s="79">
        <f>'Standing charge factors'!AD48</f>
        <v>0</v>
      </c>
      <c r="AE85" s="79">
        <f>'Standing charge factors'!AE48</f>
        <v>0</v>
      </c>
      <c r="AF85" s="79">
        <f>'Standing charge factors'!AF48</f>
        <v>0</v>
      </c>
      <c r="AG85" s="79">
        <f>'Standing charge factors'!AG48</f>
        <v>0</v>
      </c>
      <c r="AH85" s="79">
        <f>'Standing charge factors'!AH48</f>
        <v>0</v>
      </c>
      <c r="AI85" s="79">
        <f>'Standing charge factors'!AI48</f>
        <v>0</v>
      </c>
      <c r="AJ85" s="79">
        <f>'Standing charge factors'!AJ48</f>
        <v>0</v>
      </c>
      <c r="AK85" s="79">
        <f>'Standing charge factors'!AK48</f>
        <v>0</v>
      </c>
      <c r="AL85" s="79">
        <f>'Standing charge factors'!AL48</f>
        <v>0</v>
      </c>
      <c r="AM85" s="79">
        <f>'Standing charge factors'!AM48</f>
        <v>0</v>
      </c>
      <c r="AN85" s="79">
        <f>'Standing charge factors'!AN48</f>
        <v>0</v>
      </c>
      <c r="AO85" s="79">
        <f>'Standing charge factors'!AO48</f>
        <v>0</v>
      </c>
      <c r="AP85" s="79">
        <f>'Standing charge factors'!AP48</f>
        <v>0</v>
      </c>
      <c r="BG85" s="136"/>
    </row>
    <row r="86" spans="1:59" s="131" customFormat="1" x14ac:dyDescent="0.25">
      <c r="C86" s="74"/>
      <c r="E86" s="139" t="s">
        <v>51</v>
      </c>
      <c r="F86" s="167"/>
      <c r="G86" s="139" t="s">
        <v>111</v>
      </c>
      <c r="H86" s="142"/>
      <c r="I86" s="139"/>
      <c r="J86" s="79">
        <f>'Standing charge factors'!J49</f>
        <v>0</v>
      </c>
      <c r="K86" s="79">
        <f>'Standing charge factors'!K49</f>
        <v>0</v>
      </c>
      <c r="L86" s="79">
        <f>'Standing charge factors'!L49</f>
        <v>0</v>
      </c>
      <c r="M86" s="79">
        <f>'Standing charge factors'!M49</f>
        <v>0</v>
      </c>
      <c r="N86" s="79">
        <f>'Standing charge factors'!N49</f>
        <v>0</v>
      </c>
      <c r="O86" s="79">
        <f>'Standing charge factors'!O49</f>
        <v>0</v>
      </c>
      <c r="P86" s="79">
        <f>'Standing charge factors'!P49</f>
        <v>0</v>
      </c>
      <c r="Q86" s="79">
        <f>'Standing charge factors'!Q49</f>
        <v>0</v>
      </c>
      <c r="R86" s="79">
        <f>'Standing charge factors'!R49</f>
        <v>1</v>
      </c>
      <c r="S86" s="79">
        <f>'Standing charge factors'!S49</f>
        <v>0</v>
      </c>
      <c r="T86" s="79">
        <f>'Standing charge factors'!T49</f>
        <v>0</v>
      </c>
      <c r="U86" s="79">
        <f>'Standing charge factors'!U49</f>
        <v>0</v>
      </c>
      <c r="V86" s="79">
        <f>'Standing charge factors'!V49</f>
        <v>0</v>
      </c>
      <c r="W86" s="79">
        <f>'Standing charge factors'!W49</f>
        <v>1</v>
      </c>
      <c r="X86" s="79">
        <f>'Standing charge factors'!X49</f>
        <v>0</v>
      </c>
      <c r="Y86" s="79">
        <f>'Standing charge factors'!Y49</f>
        <v>0</v>
      </c>
      <c r="Z86" s="79">
        <f>'Standing charge factors'!Z49</f>
        <v>0</v>
      </c>
      <c r="AA86" s="79">
        <f>'Standing charge factors'!AA49</f>
        <v>0</v>
      </c>
      <c r="AB86" s="79">
        <f>'Standing charge factors'!AB49</f>
        <v>0</v>
      </c>
      <c r="AC86" s="79">
        <f>'Standing charge factors'!AC49</f>
        <v>0</v>
      </c>
      <c r="AD86" s="79">
        <f>'Standing charge factors'!AD49</f>
        <v>0</v>
      </c>
      <c r="AE86" s="79">
        <f>'Standing charge factors'!AE49</f>
        <v>0</v>
      </c>
      <c r="AF86" s="79">
        <f>'Standing charge factors'!AF49</f>
        <v>0</v>
      </c>
      <c r="AG86" s="79">
        <f>'Standing charge factors'!AG49</f>
        <v>0</v>
      </c>
      <c r="AH86" s="79">
        <f>'Standing charge factors'!AH49</f>
        <v>0</v>
      </c>
      <c r="AI86" s="79">
        <f>'Standing charge factors'!AI49</f>
        <v>0</v>
      </c>
      <c r="AJ86" s="79">
        <f>'Standing charge factors'!AJ49</f>
        <v>0</v>
      </c>
      <c r="AK86" s="79">
        <f>'Standing charge factors'!AK49</f>
        <v>0</v>
      </c>
      <c r="AL86" s="79">
        <f>'Standing charge factors'!AL49</f>
        <v>0</v>
      </c>
      <c r="AM86" s="79">
        <f>'Standing charge factors'!AM49</f>
        <v>0</v>
      </c>
      <c r="AN86" s="79">
        <f>'Standing charge factors'!AN49</f>
        <v>0</v>
      </c>
      <c r="AO86" s="79">
        <f>'Standing charge factors'!AO49</f>
        <v>0</v>
      </c>
      <c r="AP86" s="79">
        <f>'Standing charge factors'!AP49</f>
        <v>0</v>
      </c>
      <c r="BG86" s="136"/>
    </row>
    <row r="87" spans="1:59" s="131" customFormat="1" x14ac:dyDescent="0.25">
      <c r="C87" s="74"/>
      <c r="E87" s="139" t="s">
        <v>48</v>
      </c>
      <c r="F87" s="167"/>
      <c r="G87" s="139" t="s">
        <v>111</v>
      </c>
      <c r="H87" s="142"/>
      <c r="I87" s="139"/>
      <c r="J87" s="79">
        <f>'Standing charge factors'!J50</f>
        <v>0</v>
      </c>
      <c r="K87" s="79">
        <f>'Standing charge factors'!K50</f>
        <v>0</v>
      </c>
      <c r="L87" s="79">
        <f>'Standing charge factors'!L50</f>
        <v>0</v>
      </c>
      <c r="M87" s="79">
        <f>'Standing charge factors'!M50</f>
        <v>0</v>
      </c>
      <c r="N87" s="79">
        <f>'Standing charge factors'!N50</f>
        <v>0</v>
      </c>
      <c r="O87" s="79">
        <f>'Standing charge factors'!O50</f>
        <v>0</v>
      </c>
      <c r="P87" s="79">
        <f>'Standing charge factors'!P50</f>
        <v>0</v>
      </c>
      <c r="Q87" s="79">
        <f>'Standing charge factors'!Q50</f>
        <v>0</v>
      </c>
      <c r="R87" s="79">
        <f>'Standing charge factors'!R50</f>
        <v>1</v>
      </c>
      <c r="S87" s="79">
        <f>'Standing charge factors'!S50</f>
        <v>0</v>
      </c>
      <c r="T87" s="79">
        <f>'Standing charge factors'!T50</f>
        <v>0</v>
      </c>
      <c r="U87" s="79">
        <f>'Standing charge factors'!U50</f>
        <v>0.2</v>
      </c>
      <c r="V87" s="79">
        <f>'Standing charge factors'!V50</f>
        <v>1</v>
      </c>
      <c r="W87" s="79">
        <f>'Standing charge factors'!W50</f>
        <v>1</v>
      </c>
      <c r="X87" s="79">
        <f>'Standing charge factors'!X50</f>
        <v>0</v>
      </c>
      <c r="Y87" s="79">
        <f>'Standing charge factors'!Y50</f>
        <v>0</v>
      </c>
      <c r="Z87" s="79">
        <f>'Standing charge factors'!Z50</f>
        <v>0</v>
      </c>
      <c r="AA87" s="79">
        <f>'Standing charge factors'!AA50</f>
        <v>0</v>
      </c>
      <c r="AB87" s="79">
        <f>'Standing charge factors'!AB50</f>
        <v>0</v>
      </c>
      <c r="AC87" s="79">
        <f>'Standing charge factors'!AC50</f>
        <v>0</v>
      </c>
      <c r="AD87" s="79">
        <f>'Standing charge factors'!AD50</f>
        <v>0</v>
      </c>
      <c r="AE87" s="79">
        <f>'Standing charge factors'!AE50</f>
        <v>0</v>
      </c>
      <c r="AF87" s="79">
        <f>'Standing charge factors'!AF50</f>
        <v>0</v>
      </c>
      <c r="AG87" s="79">
        <f>'Standing charge factors'!AG50</f>
        <v>0</v>
      </c>
      <c r="AH87" s="79">
        <f>'Standing charge factors'!AH50</f>
        <v>0</v>
      </c>
      <c r="AI87" s="79">
        <f>'Standing charge factors'!AI50</f>
        <v>0</v>
      </c>
      <c r="AJ87" s="79">
        <f>'Standing charge factors'!AJ50</f>
        <v>0</v>
      </c>
      <c r="AK87" s="79">
        <f>'Standing charge factors'!AK50</f>
        <v>0</v>
      </c>
      <c r="AL87" s="79">
        <f>'Standing charge factors'!AL50</f>
        <v>0</v>
      </c>
      <c r="AM87" s="79">
        <f>'Standing charge factors'!AM50</f>
        <v>0</v>
      </c>
      <c r="AN87" s="79">
        <f>'Standing charge factors'!AN50</f>
        <v>0</v>
      </c>
      <c r="AO87" s="79">
        <f>'Standing charge factors'!AO50</f>
        <v>0</v>
      </c>
      <c r="AP87" s="79">
        <f>'Standing charge factors'!AP50</f>
        <v>0</v>
      </c>
      <c r="BG87" s="136"/>
    </row>
    <row r="88" spans="1:59" s="131" customFormat="1" x14ac:dyDescent="0.25">
      <c r="C88" s="74"/>
      <c r="E88" s="139" t="s">
        <v>49</v>
      </c>
      <c r="F88" s="167"/>
      <c r="G88" s="139" t="s">
        <v>111</v>
      </c>
      <c r="H88" s="142"/>
      <c r="I88" s="139"/>
      <c r="J88" s="79">
        <f>'Standing charge factors'!J51</f>
        <v>0</v>
      </c>
      <c r="K88" s="79">
        <f>'Standing charge factors'!K51</f>
        <v>0</v>
      </c>
      <c r="L88" s="79">
        <f>'Standing charge factors'!L51</f>
        <v>0</v>
      </c>
      <c r="M88" s="79">
        <f>'Standing charge factors'!M51</f>
        <v>0</v>
      </c>
      <c r="N88" s="79">
        <f>'Standing charge factors'!N51</f>
        <v>0</v>
      </c>
      <c r="O88" s="79">
        <f>'Standing charge factors'!O51</f>
        <v>0</v>
      </c>
      <c r="P88" s="79">
        <f>'Standing charge factors'!P51</f>
        <v>0</v>
      </c>
      <c r="Q88" s="79">
        <f>'Standing charge factors'!Q51</f>
        <v>1</v>
      </c>
      <c r="R88" s="79">
        <f>'Standing charge factors'!R51</f>
        <v>0</v>
      </c>
      <c r="S88" s="79">
        <f>'Standing charge factors'!S51</f>
        <v>0</v>
      </c>
      <c r="T88" s="79">
        <f>'Standing charge factors'!T51</f>
        <v>0</v>
      </c>
      <c r="U88" s="79">
        <f>'Standing charge factors'!U51</f>
        <v>1</v>
      </c>
      <c r="V88" s="79">
        <f>'Standing charge factors'!V51</f>
        <v>1</v>
      </c>
      <c r="W88" s="79">
        <f>'Standing charge factors'!W51</f>
        <v>0</v>
      </c>
      <c r="X88" s="79">
        <f>'Standing charge factors'!X51</f>
        <v>0</v>
      </c>
      <c r="Y88" s="79">
        <f>'Standing charge factors'!Y51</f>
        <v>0</v>
      </c>
      <c r="Z88" s="79">
        <f>'Standing charge factors'!Z51</f>
        <v>0</v>
      </c>
      <c r="AA88" s="79">
        <f>'Standing charge factors'!AA51</f>
        <v>0</v>
      </c>
      <c r="AB88" s="79">
        <f>'Standing charge factors'!AB51</f>
        <v>0</v>
      </c>
      <c r="AC88" s="79">
        <f>'Standing charge factors'!AC51</f>
        <v>0</v>
      </c>
      <c r="AD88" s="79">
        <f>'Standing charge factors'!AD51</f>
        <v>0</v>
      </c>
      <c r="AE88" s="79">
        <f>'Standing charge factors'!AE51</f>
        <v>0</v>
      </c>
      <c r="AF88" s="79">
        <f>'Standing charge factors'!AF51</f>
        <v>0</v>
      </c>
      <c r="AG88" s="79">
        <f>'Standing charge factors'!AG51</f>
        <v>0</v>
      </c>
      <c r="AH88" s="79">
        <f>'Standing charge factors'!AH51</f>
        <v>0</v>
      </c>
      <c r="AI88" s="79">
        <f>'Standing charge factors'!AI51</f>
        <v>0</v>
      </c>
      <c r="AJ88" s="79">
        <f>'Standing charge factors'!AJ51</f>
        <v>0</v>
      </c>
      <c r="AK88" s="79">
        <f>'Standing charge factors'!AK51</f>
        <v>0</v>
      </c>
      <c r="AL88" s="79">
        <f>'Standing charge factors'!AL51</f>
        <v>0</v>
      </c>
      <c r="AM88" s="79">
        <f>'Standing charge factors'!AM51</f>
        <v>0</v>
      </c>
      <c r="AN88" s="79">
        <f>'Standing charge factors'!AN51</f>
        <v>0</v>
      </c>
      <c r="AO88" s="79">
        <f>'Standing charge factors'!AO51</f>
        <v>0</v>
      </c>
      <c r="AP88" s="79">
        <f>'Standing charge factors'!AP51</f>
        <v>0</v>
      </c>
      <c r="BG88" s="136"/>
    </row>
    <row r="89" spans="1:59" s="131" customFormat="1" x14ac:dyDescent="0.25">
      <c r="C89" s="74"/>
      <c r="E89" s="140" t="s">
        <v>50</v>
      </c>
      <c r="F89" s="168"/>
      <c r="G89" s="140" t="s">
        <v>111</v>
      </c>
      <c r="H89" s="20"/>
      <c r="I89" s="140"/>
      <c r="J89" s="80">
        <f>'Standing charge factors'!J52</f>
        <v>1</v>
      </c>
      <c r="K89" s="80">
        <f>'Standing charge factors'!K52</f>
        <v>1</v>
      </c>
      <c r="L89" s="80">
        <f>'Standing charge factors'!L52</f>
        <v>1</v>
      </c>
      <c r="M89" s="80">
        <f>'Standing charge factors'!M52</f>
        <v>1</v>
      </c>
      <c r="N89" s="80">
        <f>'Standing charge factors'!N52</f>
        <v>1</v>
      </c>
      <c r="O89" s="80">
        <f>'Standing charge factors'!O52</f>
        <v>1</v>
      </c>
      <c r="P89" s="80">
        <f>'Standing charge factors'!P52</f>
        <v>1</v>
      </c>
      <c r="Q89" s="80">
        <f>'Standing charge factors'!Q52</f>
        <v>0</v>
      </c>
      <c r="R89" s="80">
        <f>'Standing charge factors'!R52</f>
        <v>0</v>
      </c>
      <c r="S89" s="80">
        <f>'Standing charge factors'!S52</f>
        <v>1</v>
      </c>
      <c r="T89" s="80">
        <f>'Standing charge factors'!T52</f>
        <v>1</v>
      </c>
      <c r="U89" s="80">
        <f>'Standing charge factors'!U52</f>
        <v>1</v>
      </c>
      <c r="V89" s="80">
        <f>'Standing charge factors'!V52</f>
        <v>0</v>
      </c>
      <c r="W89" s="80">
        <f>'Standing charge factors'!W52</f>
        <v>0</v>
      </c>
      <c r="X89" s="80">
        <f>'Standing charge factors'!X52</f>
        <v>0</v>
      </c>
      <c r="Y89" s="80">
        <f>'Standing charge factors'!Y52</f>
        <v>0</v>
      </c>
      <c r="Z89" s="80">
        <f>'Standing charge factors'!Z52</f>
        <v>0</v>
      </c>
      <c r="AA89" s="80">
        <f>'Standing charge factors'!AA52</f>
        <v>0</v>
      </c>
      <c r="AB89" s="80">
        <f>'Standing charge factors'!AB52</f>
        <v>0</v>
      </c>
      <c r="AC89" s="80">
        <f>'Standing charge factors'!AC52</f>
        <v>0</v>
      </c>
      <c r="AD89" s="80">
        <f>'Standing charge factors'!AD52</f>
        <v>0</v>
      </c>
      <c r="AE89" s="80">
        <f>'Standing charge factors'!AE52</f>
        <v>0</v>
      </c>
      <c r="AF89" s="80">
        <f>'Standing charge factors'!AF52</f>
        <v>0</v>
      </c>
      <c r="AG89" s="80">
        <f>'Standing charge factors'!AG52</f>
        <v>0</v>
      </c>
      <c r="AH89" s="80">
        <f>'Standing charge factors'!AH52</f>
        <v>0</v>
      </c>
      <c r="AI89" s="80">
        <f>'Standing charge factors'!AI52</f>
        <v>0</v>
      </c>
      <c r="AJ89" s="80">
        <f>'Standing charge factors'!AJ52</f>
        <v>0</v>
      </c>
      <c r="AK89" s="80">
        <f>'Standing charge factors'!AK52</f>
        <v>0</v>
      </c>
      <c r="AL89" s="80">
        <f>'Standing charge factors'!AL52</f>
        <v>0</v>
      </c>
      <c r="AM89" s="80">
        <f>'Standing charge factors'!AM52</f>
        <v>0</v>
      </c>
      <c r="AN89" s="80">
        <f>'Standing charge factors'!AN52</f>
        <v>0</v>
      </c>
      <c r="AO89" s="80">
        <f>'Standing charge factors'!AO52</f>
        <v>0</v>
      </c>
      <c r="AP89" s="80">
        <f>'Standing charge factors'!AP52</f>
        <v>0</v>
      </c>
      <c r="BG89" s="136"/>
    </row>
    <row r="90" spans="1:59" s="131" customFormat="1" x14ac:dyDescent="0.25">
      <c r="C90" s="132"/>
      <c r="D90" s="147"/>
      <c r="E90" s="175"/>
    </row>
    <row r="91" spans="1:59" x14ac:dyDescent="0.25">
      <c r="A91" s="160"/>
      <c r="D91" s="172" t="s">
        <v>495</v>
      </c>
      <c r="E91" s="172"/>
      <c r="I91" s="88" t="s">
        <v>525</v>
      </c>
      <c r="AR91" s="160" t="s">
        <v>1093</v>
      </c>
    </row>
    <row r="92" spans="1:59" x14ac:dyDescent="0.25">
      <c r="A92" s="160"/>
      <c r="D92" s="152" t="s">
        <v>487</v>
      </c>
      <c r="E92" s="160"/>
      <c r="AR92" s="126"/>
    </row>
    <row r="93" spans="1:59" x14ac:dyDescent="0.25">
      <c r="A93" s="160"/>
      <c r="D93" s="88"/>
      <c r="E93" s="72" t="s">
        <v>397</v>
      </c>
      <c r="F93" s="180"/>
      <c r="G93" s="40" t="s">
        <v>636</v>
      </c>
      <c r="H93" s="13"/>
      <c r="I93" s="13"/>
      <c r="J93" s="402"/>
      <c r="K93" s="402"/>
      <c r="L93" s="402"/>
      <c r="M93" s="402"/>
      <c r="N93" s="402"/>
      <c r="O93" s="402"/>
      <c r="P93" s="402"/>
      <c r="Q93" s="402"/>
      <c r="R93" s="402"/>
      <c r="S93" s="402"/>
      <c r="T93" s="402"/>
      <c r="U93" s="402"/>
      <c r="V93" s="402"/>
      <c r="W93" s="402"/>
      <c r="X93" s="402"/>
      <c r="Y93" s="402"/>
      <c r="Z93" s="402"/>
      <c r="AA93" s="402"/>
      <c r="AB93" s="402"/>
      <c r="AC93" s="438">
        <f t="array" ref="AC93:AP102">TRANSPOSE('Load &amp; loss characteristics'!J285:S298)</f>
        <v>-1.089</v>
      </c>
      <c r="AD93" s="438">
        <v>-1.046</v>
      </c>
      <c r="AE93" s="438">
        <v>-1.089</v>
      </c>
      <c r="AF93" s="438">
        <v>-1.089</v>
      </c>
      <c r="AG93" s="438">
        <v>-1.089</v>
      </c>
      <c r="AH93" s="438">
        <v>-1.089</v>
      </c>
      <c r="AI93" s="438">
        <v>-1.046</v>
      </c>
      <c r="AJ93" s="438">
        <v>-1.046</v>
      </c>
      <c r="AK93" s="438">
        <v>-1.046</v>
      </c>
      <c r="AL93" s="438">
        <v>-1.046</v>
      </c>
      <c r="AM93" s="438">
        <v>-1.0309999999999999</v>
      </c>
      <c r="AN93" s="438">
        <v>-1.0309999999999999</v>
      </c>
      <c r="AO93" s="438">
        <v>-1.0309999999999999</v>
      </c>
      <c r="AP93" s="438">
        <v>-1.0309999999999999</v>
      </c>
    </row>
    <row r="94" spans="1:59" x14ac:dyDescent="0.25">
      <c r="A94" s="160"/>
      <c r="D94" s="88"/>
      <c r="E94" s="66" t="s">
        <v>43</v>
      </c>
      <c r="F94" s="176"/>
      <c r="G94" s="145" t="s">
        <v>636</v>
      </c>
      <c r="H94" s="90"/>
      <c r="I94" s="90"/>
      <c r="J94" s="403"/>
      <c r="K94" s="403"/>
      <c r="L94" s="403"/>
      <c r="M94" s="403"/>
      <c r="N94" s="403"/>
      <c r="O94" s="403"/>
      <c r="P94" s="403"/>
      <c r="Q94" s="403"/>
      <c r="R94" s="403"/>
      <c r="S94" s="403"/>
      <c r="T94" s="403"/>
      <c r="U94" s="403"/>
      <c r="V94" s="403"/>
      <c r="W94" s="403"/>
      <c r="X94" s="403"/>
      <c r="Y94" s="403"/>
      <c r="Z94" s="403"/>
      <c r="AA94" s="403"/>
      <c r="AB94" s="403"/>
      <c r="AC94" s="437">
        <v>-1.089</v>
      </c>
      <c r="AD94" s="437">
        <v>-1.046</v>
      </c>
      <c r="AE94" s="437">
        <v>-1.089</v>
      </c>
      <c r="AF94" s="437">
        <v>-1.089</v>
      </c>
      <c r="AG94" s="437">
        <v>-1.089</v>
      </c>
      <c r="AH94" s="437">
        <v>-1.089</v>
      </c>
      <c r="AI94" s="437">
        <v>-1.046</v>
      </c>
      <c r="AJ94" s="437">
        <v>-1.046</v>
      </c>
      <c r="AK94" s="437">
        <v>-1.046</v>
      </c>
      <c r="AL94" s="437">
        <v>-1.046</v>
      </c>
      <c r="AM94" s="437">
        <v>-1.0309999999999999</v>
      </c>
      <c r="AN94" s="437">
        <v>-1.0309999999999999</v>
      </c>
      <c r="AO94" s="437">
        <v>-1.0309999999999999</v>
      </c>
      <c r="AP94" s="437">
        <v>-1.0309999999999999</v>
      </c>
    </row>
    <row r="95" spans="1:59" x14ac:dyDescent="0.25">
      <c r="A95" s="160"/>
      <c r="D95" s="88"/>
      <c r="E95" s="66" t="s">
        <v>44</v>
      </c>
      <c r="F95" s="176"/>
      <c r="G95" s="145" t="s">
        <v>636</v>
      </c>
      <c r="H95" s="90"/>
      <c r="I95" s="90"/>
      <c r="J95" s="403"/>
      <c r="K95" s="403"/>
      <c r="L95" s="403"/>
      <c r="M95" s="403"/>
      <c r="N95" s="403"/>
      <c r="O95" s="403"/>
      <c r="P95" s="403"/>
      <c r="Q95" s="403"/>
      <c r="R95" s="403"/>
      <c r="S95" s="403"/>
      <c r="T95" s="403"/>
      <c r="U95" s="403"/>
      <c r="V95" s="403"/>
      <c r="W95" s="403"/>
      <c r="X95" s="403"/>
      <c r="Y95" s="403"/>
      <c r="Z95" s="403"/>
      <c r="AA95" s="403"/>
      <c r="AB95" s="403"/>
      <c r="AC95" s="437">
        <v>-1.089</v>
      </c>
      <c r="AD95" s="437">
        <v>-1.046</v>
      </c>
      <c r="AE95" s="437">
        <v>-1.089</v>
      </c>
      <c r="AF95" s="437">
        <v>-1.089</v>
      </c>
      <c r="AG95" s="437">
        <v>-1.089</v>
      </c>
      <c r="AH95" s="437">
        <v>-1.089</v>
      </c>
      <c r="AI95" s="437">
        <v>-1.046</v>
      </c>
      <c r="AJ95" s="437">
        <v>-1.046</v>
      </c>
      <c r="AK95" s="437">
        <v>-1.046</v>
      </c>
      <c r="AL95" s="437">
        <v>-1.046</v>
      </c>
      <c r="AM95" s="437">
        <v>-1.0309999999999999</v>
      </c>
      <c r="AN95" s="437">
        <v>-1.0309999999999999</v>
      </c>
      <c r="AO95" s="437">
        <v>-1.0309999999999999</v>
      </c>
      <c r="AP95" s="437">
        <v>-1.0309999999999999</v>
      </c>
    </row>
    <row r="96" spans="1:59" x14ac:dyDescent="0.25">
      <c r="A96" s="160"/>
      <c r="D96" s="88"/>
      <c r="E96" s="66" t="s">
        <v>45</v>
      </c>
      <c r="F96" s="176"/>
      <c r="G96" s="145" t="s">
        <v>636</v>
      </c>
      <c r="H96" s="90"/>
      <c r="I96" s="90"/>
      <c r="J96" s="403"/>
      <c r="K96" s="403"/>
      <c r="L96" s="403"/>
      <c r="M96" s="403"/>
      <c r="N96" s="403"/>
      <c r="O96" s="403"/>
      <c r="P96" s="403"/>
      <c r="Q96" s="403"/>
      <c r="R96" s="403"/>
      <c r="S96" s="403"/>
      <c r="T96" s="403"/>
      <c r="U96" s="403"/>
      <c r="V96" s="403"/>
      <c r="W96" s="403"/>
      <c r="X96" s="403"/>
      <c r="Y96" s="403"/>
      <c r="Z96" s="403"/>
      <c r="AA96" s="403"/>
      <c r="AB96" s="403"/>
      <c r="AC96" s="437">
        <v>-1.089</v>
      </c>
      <c r="AD96" s="437">
        <v>-1.046</v>
      </c>
      <c r="AE96" s="437">
        <v>-1.089</v>
      </c>
      <c r="AF96" s="437">
        <v>-1.089</v>
      </c>
      <c r="AG96" s="437">
        <v>-1.089</v>
      </c>
      <c r="AH96" s="437">
        <v>-1.089</v>
      </c>
      <c r="AI96" s="437">
        <v>-1.046</v>
      </c>
      <c r="AJ96" s="437">
        <v>-1.046</v>
      </c>
      <c r="AK96" s="437">
        <v>-1.046</v>
      </c>
      <c r="AL96" s="437">
        <v>-1.046</v>
      </c>
      <c r="AM96" s="437">
        <v>-1.0309999999999999</v>
      </c>
      <c r="AN96" s="437">
        <v>-1.0309999999999999</v>
      </c>
      <c r="AO96" s="437">
        <v>-1.0309999999999999</v>
      </c>
      <c r="AP96" s="437">
        <v>-1.0309999999999999</v>
      </c>
    </row>
    <row r="97" spans="1:42" x14ac:dyDescent="0.25">
      <c r="A97" s="160"/>
      <c r="D97" s="88"/>
      <c r="E97" s="66" t="s">
        <v>46</v>
      </c>
      <c r="F97" s="176"/>
      <c r="G97" s="145" t="s">
        <v>636</v>
      </c>
      <c r="H97" s="90"/>
      <c r="I97" s="90"/>
      <c r="J97" s="403"/>
      <c r="K97" s="403"/>
      <c r="L97" s="403"/>
      <c r="M97" s="403"/>
      <c r="N97" s="403"/>
      <c r="O97" s="403"/>
      <c r="P97" s="403"/>
      <c r="Q97" s="403"/>
      <c r="R97" s="403"/>
      <c r="S97" s="403"/>
      <c r="T97" s="403"/>
      <c r="U97" s="403"/>
      <c r="V97" s="403"/>
      <c r="W97" s="403"/>
      <c r="X97" s="403"/>
      <c r="Y97" s="403"/>
      <c r="Z97" s="403"/>
      <c r="AA97" s="403"/>
      <c r="AB97" s="403"/>
      <c r="AC97" s="437">
        <v>-1.089</v>
      </c>
      <c r="AD97" s="437">
        <v>-1.046</v>
      </c>
      <c r="AE97" s="437">
        <v>-1.089</v>
      </c>
      <c r="AF97" s="437">
        <v>-1.089</v>
      </c>
      <c r="AG97" s="437">
        <v>-1.089</v>
      </c>
      <c r="AH97" s="437">
        <v>-1.089</v>
      </c>
      <c r="AI97" s="437">
        <v>-1.046</v>
      </c>
      <c r="AJ97" s="437">
        <v>-1.046</v>
      </c>
      <c r="AK97" s="437">
        <v>-1.046</v>
      </c>
      <c r="AL97" s="437">
        <v>-1.046</v>
      </c>
      <c r="AM97" s="437">
        <v>-1.0309999999999999</v>
      </c>
      <c r="AN97" s="437">
        <v>-1.0309999999999999</v>
      </c>
      <c r="AO97" s="437">
        <v>-1.0309999999999999</v>
      </c>
      <c r="AP97" s="437">
        <v>-1.0309999999999999</v>
      </c>
    </row>
    <row r="98" spans="1:42" x14ac:dyDescent="0.25">
      <c r="A98" s="160"/>
      <c r="D98" s="88"/>
      <c r="E98" s="66" t="s">
        <v>47</v>
      </c>
      <c r="F98" s="176"/>
      <c r="G98" s="145" t="s">
        <v>636</v>
      </c>
      <c r="H98" s="90"/>
      <c r="I98" s="90"/>
      <c r="J98" s="403"/>
      <c r="K98" s="403"/>
      <c r="L98" s="403"/>
      <c r="M98" s="403"/>
      <c r="N98" s="403"/>
      <c r="O98" s="403"/>
      <c r="P98" s="403"/>
      <c r="Q98" s="403"/>
      <c r="R98" s="403"/>
      <c r="S98" s="403"/>
      <c r="T98" s="403"/>
      <c r="U98" s="403"/>
      <c r="V98" s="403"/>
      <c r="W98" s="403"/>
      <c r="X98" s="403"/>
      <c r="Y98" s="403"/>
      <c r="Z98" s="403"/>
      <c r="AA98" s="403"/>
      <c r="AB98" s="403"/>
      <c r="AC98" s="437">
        <v>-1.089</v>
      </c>
      <c r="AD98" s="437">
        <v>-1.046</v>
      </c>
      <c r="AE98" s="437">
        <v>-1.089</v>
      </c>
      <c r="AF98" s="437">
        <v>-1.089</v>
      </c>
      <c r="AG98" s="437">
        <v>-1.089</v>
      </c>
      <c r="AH98" s="437">
        <v>-1.089</v>
      </c>
      <c r="AI98" s="437">
        <v>-1.046</v>
      </c>
      <c r="AJ98" s="437">
        <v>-1.046</v>
      </c>
      <c r="AK98" s="437">
        <v>-1.046</v>
      </c>
      <c r="AL98" s="437">
        <v>-1.046</v>
      </c>
      <c r="AM98" s="437">
        <v>-1.0309999999999999</v>
      </c>
      <c r="AN98" s="437">
        <v>-1.0309999999999999</v>
      </c>
      <c r="AO98" s="437">
        <v>-1.0309999999999999</v>
      </c>
      <c r="AP98" s="437">
        <v>-1.0309999999999999</v>
      </c>
    </row>
    <row r="99" spans="1:42" x14ac:dyDescent="0.25">
      <c r="A99" s="160"/>
      <c r="D99" s="88"/>
      <c r="E99" s="66" t="s">
        <v>51</v>
      </c>
      <c r="F99" s="176"/>
      <c r="G99" s="145" t="s">
        <v>636</v>
      </c>
      <c r="H99" s="90"/>
      <c r="I99" s="90"/>
      <c r="J99" s="403"/>
      <c r="K99" s="403"/>
      <c r="L99" s="403"/>
      <c r="M99" s="403"/>
      <c r="N99" s="403"/>
      <c r="O99" s="403"/>
      <c r="P99" s="403"/>
      <c r="Q99" s="403"/>
      <c r="R99" s="403"/>
      <c r="S99" s="403"/>
      <c r="T99" s="403"/>
      <c r="U99" s="403"/>
      <c r="V99" s="403"/>
      <c r="W99" s="403"/>
      <c r="X99" s="403"/>
      <c r="Y99" s="403"/>
      <c r="Z99" s="403"/>
      <c r="AA99" s="403"/>
      <c r="AB99" s="403"/>
      <c r="AC99" s="437">
        <v>0</v>
      </c>
      <c r="AD99" s="437">
        <v>0</v>
      </c>
      <c r="AE99" s="437">
        <v>0</v>
      </c>
      <c r="AF99" s="437">
        <v>0</v>
      </c>
      <c r="AG99" s="437">
        <v>0</v>
      </c>
      <c r="AH99" s="437">
        <v>0</v>
      </c>
      <c r="AI99" s="437">
        <v>0</v>
      </c>
      <c r="AJ99" s="437">
        <v>0</v>
      </c>
      <c r="AK99" s="437">
        <v>0</v>
      </c>
      <c r="AL99" s="437">
        <v>0</v>
      </c>
      <c r="AM99" s="437">
        <v>0</v>
      </c>
      <c r="AN99" s="437">
        <v>0</v>
      </c>
      <c r="AO99" s="437">
        <v>0</v>
      </c>
      <c r="AP99" s="437">
        <v>0</v>
      </c>
    </row>
    <row r="100" spans="1:42" x14ac:dyDescent="0.25">
      <c r="A100" s="160"/>
      <c r="D100" s="88"/>
      <c r="E100" s="66" t="s">
        <v>48</v>
      </c>
      <c r="F100" s="176"/>
      <c r="G100" s="145" t="s">
        <v>636</v>
      </c>
      <c r="H100" s="90"/>
      <c r="I100" s="90"/>
      <c r="J100" s="403"/>
      <c r="K100" s="403"/>
      <c r="L100" s="403"/>
      <c r="M100" s="403"/>
      <c r="N100" s="403"/>
      <c r="O100" s="403"/>
      <c r="P100" s="403"/>
      <c r="Q100" s="403"/>
      <c r="R100" s="403"/>
      <c r="S100" s="403"/>
      <c r="T100" s="403"/>
      <c r="U100" s="403"/>
      <c r="V100" s="403"/>
      <c r="W100" s="403"/>
      <c r="X100" s="403"/>
      <c r="Y100" s="403"/>
      <c r="Z100" s="403"/>
      <c r="AA100" s="403"/>
      <c r="AB100" s="403"/>
      <c r="AC100" s="437">
        <v>-1.089</v>
      </c>
      <c r="AD100" s="437">
        <v>-1.046</v>
      </c>
      <c r="AE100" s="437">
        <v>-1.089</v>
      </c>
      <c r="AF100" s="437">
        <v>-1.089</v>
      </c>
      <c r="AG100" s="437">
        <v>-1.089</v>
      </c>
      <c r="AH100" s="437">
        <v>-1.089</v>
      </c>
      <c r="AI100" s="437">
        <v>-1.046</v>
      </c>
      <c r="AJ100" s="437">
        <v>-1.046</v>
      </c>
      <c r="AK100" s="437">
        <v>-1.046</v>
      </c>
      <c r="AL100" s="437">
        <v>-1.046</v>
      </c>
      <c r="AM100" s="437">
        <v>-1.0309999999999999</v>
      </c>
      <c r="AN100" s="437">
        <v>-1.0309999999999999</v>
      </c>
      <c r="AO100" s="437">
        <v>-1.0309999999999999</v>
      </c>
      <c r="AP100" s="437">
        <v>-1.0309999999999999</v>
      </c>
    </row>
    <row r="101" spans="1:42" x14ac:dyDescent="0.25">
      <c r="A101" s="160"/>
      <c r="D101" s="88"/>
      <c r="E101" s="66" t="s">
        <v>49</v>
      </c>
      <c r="F101" s="176"/>
      <c r="G101" s="145" t="s">
        <v>636</v>
      </c>
      <c r="H101" s="90"/>
      <c r="I101" s="90"/>
      <c r="J101" s="403"/>
      <c r="K101" s="403"/>
      <c r="L101" s="403"/>
      <c r="M101" s="403"/>
      <c r="N101" s="403"/>
      <c r="O101" s="403"/>
      <c r="P101" s="403"/>
      <c r="Q101" s="403"/>
      <c r="R101" s="403"/>
      <c r="S101" s="403"/>
      <c r="T101" s="403"/>
      <c r="U101" s="403"/>
      <c r="V101" s="403"/>
      <c r="W101" s="403"/>
      <c r="X101" s="403"/>
      <c r="Y101" s="403"/>
      <c r="Z101" s="403"/>
      <c r="AA101" s="403"/>
      <c r="AB101" s="403"/>
      <c r="AC101" s="437">
        <v>-1.089</v>
      </c>
      <c r="AD101" s="437">
        <v>-1.046</v>
      </c>
      <c r="AE101" s="437">
        <v>-1.089</v>
      </c>
      <c r="AF101" s="437">
        <v>-1.089</v>
      </c>
      <c r="AG101" s="437">
        <v>-1.089</v>
      </c>
      <c r="AH101" s="437">
        <v>-1.089</v>
      </c>
      <c r="AI101" s="437">
        <v>-1.046</v>
      </c>
      <c r="AJ101" s="437">
        <v>-1.046</v>
      </c>
      <c r="AK101" s="437">
        <v>-1.046</v>
      </c>
      <c r="AL101" s="437">
        <v>-1.046</v>
      </c>
      <c r="AM101" s="437">
        <v>0</v>
      </c>
      <c r="AN101" s="437">
        <v>0</v>
      </c>
      <c r="AO101" s="437">
        <v>0</v>
      </c>
      <c r="AP101" s="437">
        <v>0</v>
      </c>
    </row>
    <row r="102" spans="1:42" x14ac:dyDescent="0.25">
      <c r="A102" s="160"/>
      <c r="D102" s="88"/>
      <c r="E102" s="66" t="s">
        <v>50</v>
      </c>
      <c r="F102" s="176"/>
      <c r="G102" s="145" t="s">
        <v>636</v>
      </c>
      <c r="H102" s="90"/>
      <c r="I102" s="90"/>
      <c r="J102" s="403"/>
      <c r="K102" s="403"/>
      <c r="L102" s="403"/>
      <c r="M102" s="403"/>
      <c r="N102" s="403"/>
      <c r="O102" s="403"/>
      <c r="P102" s="403"/>
      <c r="Q102" s="403"/>
      <c r="R102" s="403"/>
      <c r="S102" s="403"/>
      <c r="T102" s="403"/>
      <c r="U102" s="403"/>
      <c r="V102" s="403"/>
      <c r="W102" s="403"/>
      <c r="X102" s="403"/>
      <c r="Y102" s="403"/>
      <c r="Z102" s="403"/>
      <c r="AA102" s="403"/>
      <c r="AB102" s="403"/>
      <c r="AC102" s="437">
        <v>-1.089</v>
      </c>
      <c r="AD102" s="437">
        <v>0</v>
      </c>
      <c r="AE102" s="437">
        <v>-1.089</v>
      </c>
      <c r="AF102" s="437">
        <v>-1.089</v>
      </c>
      <c r="AG102" s="437">
        <v>-1.089</v>
      </c>
      <c r="AH102" s="437">
        <v>-1.089</v>
      </c>
      <c r="AI102" s="437">
        <v>0</v>
      </c>
      <c r="AJ102" s="437">
        <v>0</v>
      </c>
      <c r="AK102" s="437">
        <v>0</v>
      </c>
      <c r="AL102" s="437">
        <v>0</v>
      </c>
      <c r="AM102" s="437">
        <v>0</v>
      </c>
      <c r="AN102" s="437">
        <v>0</v>
      </c>
      <c r="AO102" s="437">
        <v>0</v>
      </c>
      <c r="AP102" s="437">
        <v>0</v>
      </c>
    </row>
    <row r="103" spans="1:42" x14ac:dyDescent="0.25">
      <c r="A103" s="160"/>
      <c r="D103" s="88"/>
      <c r="E103" s="66" t="s">
        <v>141</v>
      </c>
      <c r="F103" s="176"/>
      <c r="G103" s="145" t="s">
        <v>636</v>
      </c>
      <c r="H103" s="90"/>
      <c r="I103" s="90"/>
      <c r="J103" s="403"/>
      <c r="K103" s="403"/>
      <c r="L103" s="403"/>
      <c r="M103" s="403"/>
      <c r="N103" s="403"/>
      <c r="O103" s="403"/>
      <c r="P103" s="403"/>
      <c r="Q103" s="403"/>
      <c r="R103" s="403"/>
      <c r="S103" s="403"/>
      <c r="T103" s="403"/>
      <c r="U103" s="403"/>
      <c r="V103" s="403"/>
      <c r="W103" s="403"/>
      <c r="X103" s="403"/>
      <c r="Y103" s="403"/>
      <c r="Z103" s="403"/>
      <c r="AA103" s="403"/>
      <c r="AB103" s="403"/>
      <c r="AC103" s="403"/>
      <c r="AD103" s="403"/>
      <c r="AE103" s="403"/>
      <c r="AF103" s="403"/>
      <c r="AG103" s="403"/>
      <c r="AH103" s="403"/>
      <c r="AI103" s="403"/>
      <c r="AJ103" s="403"/>
      <c r="AK103" s="403"/>
      <c r="AL103" s="403"/>
      <c r="AM103" s="403"/>
      <c r="AN103" s="403"/>
      <c r="AO103" s="403"/>
      <c r="AP103" s="403"/>
    </row>
    <row r="104" spans="1:42" x14ac:dyDescent="0.25">
      <c r="A104" s="160"/>
      <c r="D104" s="88"/>
      <c r="E104" s="67" t="s">
        <v>140</v>
      </c>
      <c r="F104" s="177"/>
      <c r="G104" s="38" t="s">
        <v>636</v>
      </c>
      <c r="H104" s="16"/>
      <c r="I104" s="16"/>
      <c r="J104" s="404"/>
      <c r="K104" s="404"/>
      <c r="L104" s="404"/>
      <c r="M104" s="404"/>
      <c r="N104" s="404"/>
      <c r="O104" s="404"/>
      <c r="P104" s="404"/>
      <c r="Q104" s="404"/>
      <c r="R104" s="404"/>
      <c r="S104" s="404"/>
      <c r="T104" s="404"/>
      <c r="U104" s="404"/>
      <c r="V104" s="404"/>
      <c r="W104" s="404"/>
      <c r="X104" s="404"/>
      <c r="Y104" s="404"/>
      <c r="Z104" s="404"/>
      <c r="AA104" s="404"/>
      <c r="AB104" s="404"/>
      <c r="AC104" s="404"/>
      <c r="AD104" s="404"/>
      <c r="AE104" s="404"/>
      <c r="AF104" s="404"/>
      <c r="AG104" s="404"/>
      <c r="AH104" s="404"/>
      <c r="AI104" s="404"/>
      <c r="AJ104" s="404"/>
      <c r="AK104" s="404"/>
      <c r="AL104" s="404"/>
      <c r="AM104" s="404"/>
      <c r="AN104" s="404"/>
      <c r="AO104" s="404"/>
      <c r="AP104" s="404"/>
    </row>
    <row r="105" spans="1:42" x14ac:dyDescent="0.25">
      <c r="A105" s="160"/>
      <c r="C105" s="89"/>
    </row>
    <row r="106" spans="1:42" x14ac:dyDescent="0.25">
      <c r="A106" s="160"/>
      <c r="D106" s="87" t="s">
        <v>737</v>
      </c>
      <c r="E106" s="160"/>
    </row>
    <row r="107" spans="1:42" x14ac:dyDescent="0.25">
      <c r="C107" s="89"/>
      <c r="E107" s="72" t="s">
        <v>397</v>
      </c>
      <c r="F107" s="180"/>
      <c r="G107" s="13" t="s">
        <v>111</v>
      </c>
      <c r="H107" s="13"/>
      <c r="I107" s="13"/>
      <c r="J107" s="185"/>
      <c r="K107" s="185"/>
      <c r="L107" s="185"/>
      <c r="M107" s="185"/>
      <c r="N107" s="185"/>
      <c r="O107" s="185"/>
      <c r="P107" s="185"/>
      <c r="Q107" s="185"/>
      <c r="R107" s="185"/>
      <c r="S107" s="185"/>
      <c r="T107" s="185"/>
      <c r="U107" s="185"/>
      <c r="V107" s="185"/>
      <c r="W107" s="185"/>
      <c r="X107" s="185"/>
      <c r="Y107" s="185"/>
      <c r="Z107" s="185"/>
      <c r="AA107" s="185"/>
      <c r="AB107" s="185"/>
      <c r="AC107" s="185"/>
      <c r="AD107" s="185"/>
      <c r="AE107" s="185"/>
      <c r="AF107" s="185"/>
      <c r="AG107" s="185"/>
      <c r="AH107" s="185"/>
      <c r="AI107" s="185"/>
      <c r="AJ107" s="185"/>
      <c r="AK107" s="185"/>
      <c r="AL107" s="185"/>
      <c r="AM107" s="185"/>
      <c r="AN107" s="185"/>
      <c r="AO107" s="185"/>
      <c r="AP107" s="185"/>
    </row>
    <row r="108" spans="1:42" x14ac:dyDescent="0.25">
      <c r="C108" s="89"/>
      <c r="E108" s="66" t="s">
        <v>43</v>
      </c>
      <c r="F108" s="176"/>
      <c r="G108" s="90" t="s">
        <v>111</v>
      </c>
      <c r="H108" s="90"/>
      <c r="I108" s="90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  <c r="V108" s="178"/>
      <c r="W108" s="178"/>
      <c r="X108" s="178"/>
      <c r="Y108" s="178"/>
      <c r="Z108" s="178"/>
      <c r="AA108" s="178"/>
      <c r="AB108" s="178"/>
      <c r="AC108" s="178"/>
      <c r="AD108" s="178"/>
      <c r="AE108" s="178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</row>
    <row r="109" spans="1:42" x14ac:dyDescent="0.25">
      <c r="C109" s="89"/>
      <c r="E109" s="66" t="s">
        <v>44</v>
      </c>
      <c r="F109" s="176"/>
      <c r="G109" s="90" t="s">
        <v>111</v>
      </c>
      <c r="H109" s="90"/>
      <c r="I109" s="90"/>
      <c r="J109" s="260">
        <f t="array" ref="J109:AP116">TRANSPOSE('Customer contributions'!L68:S100)</f>
        <v>0</v>
      </c>
      <c r="K109" s="260">
        <v>0</v>
      </c>
      <c r="L109" s="260">
        <v>0</v>
      </c>
      <c r="M109" s="260">
        <v>0</v>
      </c>
      <c r="N109" s="260">
        <v>0</v>
      </c>
      <c r="O109" s="260">
        <v>0</v>
      </c>
      <c r="P109" s="260">
        <v>0</v>
      </c>
      <c r="Q109" s="260">
        <v>0</v>
      </c>
      <c r="R109" s="260">
        <v>0</v>
      </c>
      <c r="S109" s="260">
        <v>0</v>
      </c>
      <c r="T109" s="260">
        <v>0</v>
      </c>
      <c r="U109" s="260">
        <v>0</v>
      </c>
      <c r="V109" s="260">
        <v>0</v>
      </c>
      <c r="W109" s="260">
        <v>0</v>
      </c>
      <c r="X109" s="260">
        <v>0</v>
      </c>
      <c r="Y109" s="260">
        <v>0</v>
      </c>
      <c r="Z109" s="260">
        <v>0</v>
      </c>
      <c r="AA109" s="260">
        <v>0</v>
      </c>
      <c r="AB109" s="260">
        <v>0</v>
      </c>
      <c r="AC109" s="260">
        <v>0</v>
      </c>
      <c r="AD109" s="260">
        <v>0</v>
      </c>
      <c r="AE109" s="260">
        <v>0</v>
      </c>
      <c r="AF109" s="260">
        <v>0</v>
      </c>
      <c r="AG109" s="260">
        <v>0</v>
      </c>
      <c r="AH109" s="260">
        <v>0</v>
      </c>
      <c r="AI109" s="260">
        <v>0</v>
      </c>
      <c r="AJ109" s="260">
        <v>0</v>
      </c>
      <c r="AK109" s="260">
        <v>0</v>
      </c>
      <c r="AL109" s="260">
        <v>0</v>
      </c>
      <c r="AM109" s="260">
        <v>0</v>
      </c>
      <c r="AN109" s="260">
        <v>0</v>
      </c>
      <c r="AO109" s="260">
        <v>0</v>
      </c>
      <c r="AP109" s="260">
        <v>0</v>
      </c>
    </row>
    <row r="110" spans="1:42" x14ac:dyDescent="0.25">
      <c r="C110" s="89"/>
      <c r="E110" s="66" t="s">
        <v>45</v>
      </c>
      <c r="F110" s="176"/>
      <c r="G110" s="90" t="s">
        <v>111</v>
      </c>
      <c r="H110" s="90"/>
      <c r="I110" s="90"/>
      <c r="J110" s="260">
        <v>0</v>
      </c>
      <c r="K110" s="260">
        <v>0</v>
      </c>
      <c r="L110" s="260">
        <v>0</v>
      </c>
      <c r="M110" s="260">
        <v>0</v>
      </c>
      <c r="N110" s="260">
        <v>0</v>
      </c>
      <c r="O110" s="260">
        <v>0</v>
      </c>
      <c r="P110" s="260">
        <v>0</v>
      </c>
      <c r="Q110" s="260">
        <v>0</v>
      </c>
      <c r="R110" s="260">
        <v>0</v>
      </c>
      <c r="S110" s="260">
        <v>0</v>
      </c>
      <c r="T110" s="260">
        <v>0</v>
      </c>
      <c r="U110" s="260">
        <v>0</v>
      </c>
      <c r="V110" s="260">
        <v>0</v>
      </c>
      <c r="W110" s="260">
        <v>0</v>
      </c>
      <c r="X110" s="260">
        <v>0</v>
      </c>
      <c r="Y110" s="260">
        <v>0</v>
      </c>
      <c r="Z110" s="260">
        <v>0</v>
      </c>
      <c r="AA110" s="260">
        <v>0</v>
      </c>
      <c r="AB110" s="260">
        <v>0</v>
      </c>
      <c r="AC110" s="260">
        <v>0</v>
      </c>
      <c r="AD110" s="260">
        <v>0</v>
      </c>
      <c r="AE110" s="260">
        <v>0</v>
      </c>
      <c r="AF110" s="260">
        <v>0</v>
      </c>
      <c r="AG110" s="260">
        <v>0</v>
      </c>
      <c r="AH110" s="260">
        <v>0</v>
      </c>
      <c r="AI110" s="260">
        <v>0</v>
      </c>
      <c r="AJ110" s="260">
        <v>0</v>
      </c>
      <c r="AK110" s="260">
        <v>0</v>
      </c>
      <c r="AL110" s="260">
        <v>0</v>
      </c>
      <c r="AM110" s="260">
        <v>0</v>
      </c>
      <c r="AN110" s="260">
        <v>0</v>
      </c>
      <c r="AO110" s="260">
        <v>0</v>
      </c>
      <c r="AP110" s="260">
        <v>0</v>
      </c>
    </row>
    <row r="111" spans="1:42" x14ac:dyDescent="0.25">
      <c r="C111" s="89"/>
      <c r="E111" s="66" t="s">
        <v>46</v>
      </c>
      <c r="F111" s="176"/>
      <c r="G111" s="90" t="s">
        <v>111</v>
      </c>
      <c r="H111" s="90"/>
      <c r="I111" s="90"/>
      <c r="J111" s="260">
        <v>1.2370413198693E-2</v>
      </c>
      <c r="K111" s="260">
        <v>1.2370413198693E-2</v>
      </c>
      <c r="L111" s="260">
        <v>1.2370413198693E-2</v>
      </c>
      <c r="M111" s="260">
        <v>1.2370413198693E-2</v>
      </c>
      <c r="N111" s="260">
        <v>1.2370413198693E-2</v>
      </c>
      <c r="O111" s="260">
        <v>1.2370413198693E-2</v>
      </c>
      <c r="P111" s="260">
        <v>1.2370413198693E-2</v>
      </c>
      <c r="Q111" s="260">
        <v>1.2370413198693E-2</v>
      </c>
      <c r="R111" s="260">
        <v>3.4530744799792602E-2</v>
      </c>
      <c r="S111" s="260">
        <v>1.2370413198693E-2</v>
      </c>
      <c r="T111" s="260">
        <v>1.2370413198693E-2</v>
      </c>
      <c r="U111" s="260">
        <v>1.2370413198693E-2</v>
      </c>
      <c r="V111" s="260">
        <v>1.2370413198693E-2</v>
      </c>
      <c r="W111" s="260">
        <v>3.4530744799792602E-2</v>
      </c>
      <c r="X111" s="260">
        <v>1.2370413198693E-2</v>
      </c>
      <c r="Y111" s="260">
        <v>1.2370413198693E-2</v>
      </c>
      <c r="Z111" s="260">
        <v>1.2370413198693E-2</v>
      </c>
      <c r="AA111" s="260">
        <v>1.2370413198693E-2</v>
      </c>
      <c r="AB111" s="260">
        <v>1.2370413198693E-2</v>
      </c>
      <c r="AC111" s="260">
        <v>1.2370413198693E-2</v>
      </c>
      <c r="AD111" s="260">
        <v>1.2370413198693E-2</v>
      </c>
      <c r="AE111" s="260">
        <v>1.2370413198693E-2</v>
      </c>
      <c r="AF111" s="260">
        <v>1.2370413198693E-2</v>
      </c>
      <c r="AG111" s="260">
        <v>1.2370413198693E-2</v>
      </c>
      <c r="AH111" s="260">
        <v>1.2370413198693E-2</v>
      </c>
      <c r="AI111" s="260">
        <v>1.2370413198693E-2</v>
      </c>
      <c r="AJ111" s="260">
        <v>1.2370413198693E-2</v>
      </c>
      <c r="AK111" s="260">
        <v>1.2370413198693E-2</v>
      </c>
      <c r="AL111" s="260">
        <v>1.2370413198693E-2</v>
      </c>
      <c r="AM111" s="260">
        <v>3.4530744799792602E-2</v>
      </c>
      <c r="AN111" s="260">
        <v>3.4530744799792602E-2</v>
      </c>
      <c r="AO111" s="260">
        <v>3.4530744799792602E-2</v>
      </c>
      <c r="AP111" s="260">
        <v>3.4530744799792602E-2</v>
      </c>
    </row>
    <row r="112" spans="1:42" x14ac:dyDescent="0.25">
      <c r="C112" s="89"/>
      <c r="E112" s="66" t="s">
        <v>47</v>
      </c>
      <c r="F112" s="176"/>
      <c r="G112" s="90" t="s">
        <v>111</v>
      </c>
      <c r="H112" s="90"/>
      <c r="I112" s="90"/>
      <c r="J112" s="260">
        <v>2.4400925983857801E-2</v>
      </c>
      <c r="K112" s="260">
        <v>2.4400925983857801E-2</v>
      </c>
      <c r="L112" s="260">
        <v>2.4400925983857801E-2</v>
      </c>
      <c r="M112" s="260">
        <v>2.4400925983857801E-2</v>
      </c>
      <c r="N112" s="260">
        <v>2.4400925983857801E-2</v>
      </c>
      <c r="O112" s="260">
        <v>2.4400925983857801E-2</v>
      </c>
      <c r="P112" s="260">
        <v>2.4400925983857801E-2</v>
      </c>
      <c r="Q112" s="260">
        <v>2.4400925983857801E-2</v>
      </c>
      <c r="R112" s="260">
        <v>6.6381013698021907E-2</v>
      </c>
      <c r="S112" s="260">
        <v>2.4400925983857801E-2</v>
      </c>
      <c r="T112" s="260">
        <v>2.4400925983857801E-2</v>
      </c>
      <c r="U112" s="260">
        <v>2.4400925983857801E-2</v>
      </c>
      <c r="V112" s="260">
        <v>2.4400925983857801E-2</v>
      </c>
      <c r="W112" s="260">
        <v>6.6381013698021907E-2</v>
      </c>
      <c r="X112" s="260">
        <v>2.4400925983857801E-2</v>
      </c>
      <c r="Y112" s="260">
        <v>2.4400925983857801E-2</v>
      </c>
      <c r="Z112" s="260">
        <v>2.4400925983857801E-2</v>
      </c>
      <c r="AA112" s="260">
        <v>2.4400925983857801E-2</v>
      </c>
      <c r="AB112" s="260">
        <v>2.4400925983857801E-2</v>
      </c>
      <c r="AC112" s="260">
        <v>2.4400925983857801E-2</v>
      </c>
      <c r="AD112" s="260">
        <v>2.4400925983857801E-2</v>
      </c>
      <c r="AE112" s="260">
        <v>2.4400925983857801E-2</v>
      </c>
      <c r="AF112" s="260">
        <v>2.4400925983857801E-2</v>
      </c>
      <c r="AG112" s="260">
        <v>2.4400925983857801E-2</v>
      </c>
      <c r="AH112" s="260">
        <v>2.4400925983857801E-2</v>
      </c>
      <c r="AI112" s="260">
        <v>2.4400925983857801E-2</v>
      </c>
      <c r="AJ112" s="260">
        <v>2.4400925983857801E-2</v>
      </c>
      <c r="AK112" s="260">
        <v>2.4400925983857801E-2</v>
      </c>
      <c r="AL112" s="260">
        <v>2.4400925983857801E-2</v>
      </c>
      <c r="AM112" s="260">
        <v>6.6381013698021907E-2</v>
      </c>
      <c r="AN112" s="260">
        <v>6.6381013698021907E-2</v>
      </c>
      <c r="AO112" s="260">
        <v>6.6381013698021907E-2</v>
      </c>
      <c r="AP112" s="260">
        <v>6.6381013698021907E-2</v>
      </c>
    </row>
    <row r="113" spans="3:44" x14ac:dyDescent="0.25">
      <c r="C113" s="89"/>
      <c r="E113" s="66" t="s">
        <v>51</v>
      </c>
      <c r="F113" s="176"/>
      <c r="G113" s="90" t="s">
        <v>111</v>
      </c>
      <c r="H113" s="90"/>
      <c r="I113" s="90"/>
      <c r="J113" s="260">
        <v>0</v>
      </c>
      <c r="K113" s="260">
        <v>0</v>
      </c>
      <c r="L113" s="260">
        <v>0</v>
      </c>
      <c r="M113" s="260">
        <v>0</v>
      </c>
      <c r="N113" s="260">
        <v>0</v>
      </c>
      <c r="O113" s="260">
        <v>0</v>
      </c>
      <c r="P113" s="260">
        <v>0</v>
      </c>
      <c r="Q113" s="260">
        <v>0</v>
      </c>
      <c r="R113" s="260">
        <v>0</v>
      </c>
      <c r="S113" s="260">
        <v>0</v>
      </c>
      <c r="T113" s="260">
        <v>0</v>
      </c>
      <c r="U113" s="260">
        <v>0</v>
      </c>
      <c r="V113" s="260">
        <v>0</v>
      </c>
      <c r="W113" s="260">
        <v>0</v>
      </c>
      <c r="X113" s="260">
        <v>0</v>
      </c>
      <c r="Y113" s="260">
        <v>0</v>
      </c>
      <c r="Z113" s="260">
        <v>0</v>
      </c>
      <c r="AA113" s="260">
        <v>0</v>
      </c>
      <c r="AB113" s="260">
        <v>0</v>
      </c>
      <c r="AC113" s="260">
        <v>0</v>
      </c>
      <c r="AD113" s="260">
        <v>0</v>
      </c>
      <c r="AE113" s="260">
        <v>0</v>
      </c>
      <c r="AF113" s="260">
        <v>0</v>
      </c>
      <c r="AG113" s="260">
        <v>0</v>
      </c>
      <c r="AH113" s="260">
        <v>0</v>
      </c>
      <c r="AI113" s="260">
        <v>0</v>
      </c>
      <c r="AJ113" s="260">
        <v>0</v>
      </c>
      <c r="AK113" s="260">
        <v>0</v>
      </c>
      <c r="AL113" s="260">
        <v>0</v>
      </c>
      <c r="AM113" s="260">
        <v>0</v>
      </c>
      <c r="AN113" s="260">
        <v>0</v>
      </c>
      <c r="AO113" s="260">
        <v>0</v>
      </c>
      <c r="AP113" s="260">
        <v>0</v>
      </c>
    </row>
    <row r="114" spans="3:44" x14ac:dyDescent="0.25">
      <c r="C114" s="89"/>
      <c r="E114" s="66" t="s">
        <v>48</v>
      </c>
      <c r="F114" s="176"/>
      <c r="G114" s="90" t="s">
        <v>111</v>
      </c>
      <c r="H114" s="90"/>
      <c r="I114" s="90"/>
      <c r="J114" s="260">
        <v>0.34379931777325301</v>
      </c>
      <c r="K114" s="260">
        <v>0.34379931777325301</v>
      </c>
      <c r="L114" s="260">
        <v>0.34379931777325301</v>
      </c>
      <c r="M114" s="260">
        <v>0.34379931777325301</v>
      </c>
      <c r="N114" s="260">
        <v>0.34379931777325301</v>
      </c>
      <c r="O114" s="260">
        <v>0.34379931777325301</v>
      </c>
      <c r="P114" s="260">
        <v>0.34379931777325301</v>
      </c>
      <c r="Q114" s="260">
        <v>0.34379931777325301</v>
      </c>
      <c r="R114" s="260">
        <v>0.38323267678152101</v>
      </c>
      <c r="S114" s="260">
        <v>0.34379931777325301</v>
      </c>
      <c r="T114" s="260">
        <v>0.34379931777325301</v>
      </c>
      <c r="U114" s="260">
        <v>0.34379931777325301</v>
      </c>
      <c r="V114" s="260">
        <v>0.34379931777325301</v>
      </c>
      <c r="W114" s="260">
        <v>0.38323267678152101</v>
      </c>
      <c r="X114" s="260">
        <v>0.34379931777325301</v>
      </c>
      <c r="Y114" s="260">
        <v>0.34379931777325301</v>
      </c>
      <c r="Z114" s="260">
        <v>0.34379931777325301</v>
      </c>
      <c r="AA114" s="260">
        <v>0.34379931777325301</v>
      </c>
      <c r="AB114" s="260">
        <v>0.34379931777325301</v>
      </c>
      <c r="AC114" s="260">
        <v>0.34379931777325301</v>
      </c>
      <c r="AD114" s="260">
        <v>0.34379931777325301</v>
      </c>
      <c r="AE114" s="260">
        <v>0.34379931777325301</v>
      </c>
      <c r="AF114" s="260">
        <v>0.34379931777325301</v>
      </c>
      <c r="AG114" s="260">
        <v>0.34379931777325301</v>
      </c>
      <c r="AH114" s="260">
        <v>0.34379931777325301</v>
      </c>
      <c r="AI114" s="260">
        <v>0.34379931777325301</v>
      </c>
      <c r="AJ114" s="260">
        <v>0.34379931777325301</v>
      </c>
      <c r="AK114" s="260">
        <v>0.34379931777325301</v>
      </c>
      <c r="AL114" s="260">
        <v>0.34379931777325301</v>
      </c>
      <c r="AM114" s="260">
        <v>0.38323267678152101</v>
      </c>
      <c r="AN114" s="260">
        <v>0.38323267678152101</v>
      </c>
      <c r="AO114" s="260">
        <v>0.38323267678152101</v>
      </c>
      <c r="AP114" s="260">
        <v>0.38323267678152101</v>
      </c>
    </row>
    <row r="115" spans="3:44" x14ac:dyDescent="0.25">
      <c r="C115" s="89"/>
      <c r="E115" s="66" t="s">
        <v>49</v>
      </c>
      <c r="F115" s="176"/>
      <c r="G115" s="90" t="s">
        <v>111</v>
      </c>
      <c r="H115" s="90"/>
      <c r="I115" s="90"/>
      <c r="J115" s="260">
        <v>0.42351973684210498</v>
      </c>
      <c r="K115" s="260">
        <v>0.42351973684210498</v>
      </c>
      <c r="L115" s="260">
        <v>0.42351973684210498</v>
      </c>
      <c r="M115" s="260">
        <v>0.42351973684210498</v>
      </c>
      <c r="N115" s="260">
        <v>0.42351973684210498</v>
      </c>
      <c r="O115" s="260">
        <v>0.42351973684210498</v>
      </c>
      <c r="P115" s="260">
        <v>0.42351973684210498</v>
      </c>
      <c r="Q115" s="260">
        <v>0.42351973684210498</v>
      </c>
      <c r="R115" s="260">
        <v>0</v>
      </c>
      <c r="S115" s="260">
        <v>0.42351973684210498</v>
      </c>
      <c r="T115" s="260">
        <v>0.42351973684210498</v>
      </c>
      <c r="U115" s="260">
        <v>0.42351973684210498</v>
      </c>
      <c r="V115" s="260">
        <v>0.42351973684210498</v>
      </c>
      <c r="W115" s="260">
        <v>0</v>
      </c>
      <c r="X115" s="260">
        <v>0.42351973684210498</v>
      </c>
      <c r="Y115" s="260">
        <v>0.42351973684210498</v>
      </c>
      <c r="Z115" s="260">
        <v>0.42351973684210498</v>
      </c>
      <c r="AA115" s="260">
        <v>0.42351973684210498</v>
      </c>
      <c r="AB115" s="260">
        <v>0.42351973684210498</v>
      </c>
      <c r="AC115" s="260">
        <v>0.42351973684210498</v>
      </c>
      <c r="AD115" s="260">
        <v>0.42351973684210498</v>
      </c>
      <c r="AE115" s="260">
        <v>0.42351973684210498</v>
      </c>
      <c r="AF115" s="260">
        <v>0.42351973684210498</v>
      </c>
      <c r="AG115" s="260">
        <v>0.42351973684210498</v>
      </c>
      <c r="AH115" s="260">
        <v>0.42351973684210498</v>
      </c>
      <c r="AI115" s="260">
        <v>0.42351973684210498</v>
      </c>
      <c r="AJ115" s="260">
        <v>0.42351973684210498</v>
      </c>
      <c r="AK115" s="260">
        <v>0.42351973684210498</v>
      </c>
      <c r="AL115" s="260">
        <v>0.42351973684210498</v>
      </c>
      <c r="AM115" s="260">
        <v>0</v>
      </c>
      <c r="AN115" s="260">
        <v>0</v>
      </c>
      <c r="AO115" s="260">
        <v>0</v>
      </c>
      <c r="AP115" s="260">
        <v>0</v>
      </c>
    </row>
    <row r="116" spans="3:44" x14ac:dyDescent="0.25">
      <c r="C116" s="89"/>
      <c r="E116" s="66" t="s">
        <v>50</v>
      </c>
      <c r="F116" s="176"/>
      <c r="G116" s="90" t="s">
        <v>111</v>
      </c>
      <c r="H116" s="90"/>
      <c r="I116" s="90"/>
      <c r="J116" s="260">
        <v>0.95595667870036105</v>
      </c>
      <c r="K116" s="260">
        <v>0.95595667870036105</v>
      </c>
      <c r="L116" s="260">
        <v>0.95595667870036105</v>
      </c>
      <c r="M116" s="260">
        <v>0.95595667870036105</v>
      </c>
      <c r="N116" s="260">
        <v>0.95595667870036105</v>
      </c>
      <c r="O116" s="260">
        <v>0.95595667870036105</v>
      </c>
      <c r="P116" s="260">
        <v>0.95595667870036105</v>
      </c>
      <c r="Q116" s="260">
        <v>0</v>
      </c>
      <c r="R116" s="260">
        <v>0</v>
      </c>
      <c r="S116" s="260">
        <v>0.95595667870036105</v>
      </c>
      <c r="T116" s="260">
        <v>0.95595667870036105</v>
      </c>
      <c r="U116" s="260">
        <v>0.95595667870036105</v>
      </c>
      <c r="V116" s="260">
        <v>0</v>
      </c>
      <c r="W116" s="260">
        <v>0</v>
      </c>
      <c r="X116" s="260">
        <v>0.95595667870036105</v>
      </c>
      <c r="Y116" s="260">
        <v>0.95595667870036105</v>
      </c>
      <c r="Z116" s="260">
        <v>0.95595667870036105</v>
      </c>
      <c r="AA116" s="260">
        <v>0.95595667870036105</v>
      </c>
      <c r="AB116" s="260">
        <v>0.95595667870036105</v>
      </c>
      <c r="AC116" s="260">
        <v>0.95595667870036105</v>
      </c>
      <c r="AD116" s="260">
        <v>0</v>
      </c>
      <c r="AE116" s="260">
        <v>0.95595667870036105</v>
      </c>
      <c r="AF116" s="260">
        <v>0.95595667870036105</v>
      </c>
      <c r="AG116" s="260">
        <v>0.95595667870036105</v>
      </c>
      <c r="AH116" s="260">
        <v>0.95595667870036105</v>
      </c>
      <c r="AI116" s="260">
        <v>0</v>
      </c>
      <c r="AJ116" s="260">
        <v>0</v>
      </c>
      <c r="AK116" s="260">
        <v>0</v>
      </c>
      <c r="AL116" s="260">
        <v>0</v>
      </c>
      <c r="AM116" s="260">
        <v>0</v>
      </c>
      <c r="AN116" s="260">
        <v>0</v>
      </c>
      <c r="AO116" s="260">
        <v>0</v>
      </c>
      <c r="AP116" s="260">
        <v>0</v>
      </c>
    </row>
    <row r="117" spans="3:44" x14ac:dyDescent="0.25">
      <c r="C117" s="89"/>
      <c r="E117" s="66" t="s">
        <v>141</v>
      </c>
      <c r="F117" s="176"/>
      <c r="G117" s="64" t="s">
        <v>111</v>
      </c>
      <c r="H117" s="90"/>
      <c r="I117" s="90"/>
      <c r="J117" s="178"/>
      <c r="K117" s="178"/>
      <c r="L117" s="178"/>
      <c r="M117" s="178"/>
      <c r="N117" s="178"/>
      <c r="O117" s="178"/>
      <c r="P117" s="178"/>
      <c r="Q117" s="178"/>
      <c r="R117" s="178"/>
      <c r="S117" s="178"/>
      <c r="T117" s="178"/>
      <c r="U117" s="178"/>
      <c r="V117" s="178"/>
      <c r="W117" s="178"/>
      <c r="X117" s="178"/>
      <c r="Y117" s="178"/>
      <c r="Z117" s="178"/>
      <c r="AA117" s="178"/>
      <c r="AB117" s="178"/>
      <c r="AC117" s="178"/>
      <c r="AD117" s="178"/>
      <c r="AE117" s="178"/>
      <c r="AF117" s="178"/>
      <c r="AG117" s="178"/>
      <c r="AH117" s="178"/>
      <c r="AI117" s="178"/>
      <c r="AJ117" s="178"/>
      <c r="AK117" s="178"/>
      <c r="AL117" s="178"/>
      <c r="AM117" s="178"/>
      <c r="AN117" s="178"/>
      <c r="AO117" s="178"/>
      <c r="AP117" s="178"/>
    </row>
    <row r="118" spans="3:44" x14ac:dyDescent="0.25">
      <c r="C118" s="89"/>
      <c r="E118" s="67" t="s">
        <v>140</v>
      </c>
      <c r="F118" s="177"/>
      <c r="G118" s="16" t="s">
        <v>111</v>
      </c>
      <c r="H118" s="16"/>
      <c r="I118" s="16"/>
      <c r="J118" s="179"/>
      <c r="K118" s="179"/>
      <c r="L118" s="179"/>
      <c r="M118" s="179"/>
      <c r="N118" s="179"/>
      <c r="O118" s="179"/>
      <c r="P118" s="179"/>
      <c r="Q118" s="179"/>
      <c r="R118" s="179"/>
      <c r="S118" s="179"/>
      <c r="T118" s="179"/>
      <c r="U118" s="179"/>
      <c r="V118" s="179"/>
      <c r="W118" s="179"/>
      <c r="X118" s="179"/>
      <c r="Y118" s="179"/>
      <c r="Z118" s="179"/>
      <c r="AA118" s="179"/>
      <c r="AB118" s="179"/>
      <c r="AC118" s="179"/>
      <c r="AD118" s="179"/>
      <c r="AE118" s="179"/>
      <c r="AF118" s="179"/>
      <c r="AG118" s="179"/>
      <c r="AH118" s="179"/>
      <c r="AI118" s="179"/>
      <c r="AJ118" s="179"/>
      <c r="AK118" s="179"/>
      <c r="AL118" s="179"/>
      <c r="AM118" s="179"/>
      <c r="AN118" s="179"/>
      <c r="AO118" s="179"/>
      <c r="AP118" s="179"/>
    </row>
    <row r="120" spans="3:44" x14ac:dyDescent="0.25">
      <c r="C120" s="22" t="str">
        <f ca="1">INDEX('Version control'!$H$34:$H$59,MATCH($A$1,'Version control'!$F$34:$F$59,0),1)&amp;"-B: Yardstick charge (demand)"</f>
        <v>Section 515-B: Yardstick charge (demand)</v>
      </c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</row>
    <row r="121" spans="3:44" s="160" customFormat="1" x14ac:dyDescent="0.25">
      <c r="C121" s="172"/>
      <c r="E121" s="172"/>
    </row>
    <row r="122" spans="3:44" x14ac:dyDescent="0.25">
      <c r="D122" s="172" t="s">
        <v>156</v>
      </c>
      <c r="E122" s="88"/>
    </row>
    <row r="123" spans="3:44" x14ac:dyDescent="0.25">
      <c r="D123" s="175"/>
      <c r="E123" s="72" t="s">
        <v>397</v>
      </c>
      <c r="F123" s="180"/>
      <c r="G123" s="13" t="s">
        <v>201</v>
      </c>
      <c r="H123" s="569"/>
      <c r="I123" s="569"/>
      <c r="J123" s="583"/>
      <c r="K123" s="583"/>
      <c r="L123" s="583"/>
      <c r="M123" s="583"/>
      <c r="N123" s="583"/>
      <c r="O123" s="583"/>
      <c r="P123" s="583"/>
      <c r="Q123" s="583"/>
      <c r="R123" s="583"/>
      <c r="S123" s="583"/>
      <c r="T123" s="583"/>
      <c r="U123" s="583"/>
      <c r="V123" s="583"/>
      <c r="W123" s="583"/>
      <c r="X123" s="583"/>
      <c r="Y123" s="583"/>
      <c r="Z123" s="583"/>
      <c r="AA123" s="583"/>
      <c r="AB123" s="583"/>
      <c r="AC123" s="583"/>
      <c r="AD123" s="583"/>
      <c r="AE123" s="583"/>
      <c r="AF123" s="583"/>
      <c r="AG123" s="583"/>
      <c r="AH123" s="583"/>
      <c r="AI123" s="583"/>
      <c r="AJ123" s="583"/>
      <c r="AK123" s="583"/>
      <c r="AL123" s="583"/>
      <c r="AM123" s="583"/>
      <c r="AN123" s="583"/>
      <c r="AO123" s="583"/>
      <c r="AP123" s="583"/>
      <c r="AQ123" s="571"/>
      <c r="AR123" s="586"/>
    </row>
    <row r="124" spans="3:44" x14ac:dyDescent="0.25">
      <c r="D124" s="175"/>
      <c r="E124" s="66" t="s">
        <v>43</v>
      </c>
      <c r="F124" s="176"/>
      <c r="G124" s="90" t="s">
        <v>201</v>
      </c>
      <c r="H124" s="572"/>
      <c r="I124" s="572"/>
      <c r="J124" s="587"/>
      <c r="K124" s="587"/>
      <c r="L124" s="587"/>
      <c r="M124" s="587"/>
      <c r="N124" s="587"/>
      <c r="O124" s="587"/>
      <c r="P124" s="587"/>
      <c r="Q124" s="587"/>
      <c r="R124" s="587"/>
      <c r="S124" s="587"/>
      <c r="T124" s="587"/>
      <c r="U124" s="587"/>
      <c r="V124" s="587"/>
      <c r="W124" s="587"/>
      <c r="X124" s="587"/>
      <c r="Y124" s="587"/>
      <c r="Z124" s="587"/>
      <c r="AA124" s="587"/>
      <c r="AB124" s="587"/>
      <c r="AC124" s="587"/>
      <c r="AD124" s="587"/>
      <c r="AE124" s="587"/>
      <c r="AF124" s="587"/>
      <c r="AG124" s="587"/>
      <c r="AH124" s="587"/>
      <c r="AI124" s="587"/>
      <c r="AJ124" s="587"/>
      <c r="AK124" s="587"/>
      <c r="AL124" s="587"/>
      <c r="AM124" s="587"/>
      <c r="AN124" s="587"/>
      <c r="AO124" s="587"/>
      <c r="AP124" s="587"/>
      <c r="AQ124" s="571"/>
      <c r="AR124" s="586"/>
    </row>
    <row r="125" spans="3:44" x14ac:dyDescent="0.25">
      <c r="D125" s="175"/>
      <c r="E125" s="66" t="s">
        <v>44</v>
      </c>
      <c r="F125" s="176"/>
      <c r="G125" s="90" t="s">
        <v>201</v>
      </c>
      <c r="H125" s="572"/>
      <c r="I125" s="572"/>
      <c r="J125" s="582">
        <f>'Initial unit rates'!J125</f>
        <v>0.28891541291245054</v>
      </c>
      <c r="K125" s="582">
        <f>'Initial unit rates'!K125</f>
        <v>0.20261592829231309</v>
      </c>
      <c r="L125" s="582">
        <f>'Initial unit rates'!L125</f>
        <v>0</v>
      </c>
      <c r="M125" s="582">
        <f>'Initial unit rates'!M125</f>
        <v>0.22969548310982604</v>
      </c>
      <c r="N125" s="582">
        <f>'Initial unit rates'!N125</f>
        <v>0.2446315938413561</v>
      </c>
      <c r="O125" s="582">
        <f>'Initial unit rates'!O125</f>
        <v>0</v>
      </c>
      <c r="P125" s="582">
        <f>'Initial unit rates'!P125</f>
        <v>0.17805109877346414</v>
      </c>
      <c r="Q125" s="582">
        <f>'Initial unit rates'!Q125</f>
        <v>0.14846292122009</v>
      </c>
      <c r="R125" s="582">
        <f>'Initial unit rates'!R125</f>
        <v>0.1806599995447945</v>
      </c>
      <c r="S125" s="582">
        <f>'Initial unit rates'!S125</f>
        <v>0.43763870324274629</v>
      </c>
      <c r="T125" s="582">
        <f>'Initial unit rates'!T125</f>
        <v>0.21989191711227182</v>
      </c>
      <c r="U125" s="582">
        <f>'Initial unit rates'!U125</f>
        <v>0.18259308766252824</v>
      </c>
      <c r="V125" s="582">
        <f>'Initial unit rates'!V125</f>
        <v>0.15963973609125506</v>
      </c>
      <c r="W125" s="582">
        <f>'Initial unit rates'!W125</f>
        <v>0.13986277062765781</v>
      </c>
      <c r="X125" s="582">
        <f>'Initial unit rates'!X125</f>
        <v>0.13199619064209961</v>
      </c>
      <c r="Y125" s="582">
        <f>'Initial unit rates'!Y125</f>
        <v>0.23356923627094764</v>
      </c>
      <c r="Z125" s="582">
        <f>'Initial unit rates'!Z125</f>
        <v>0.43740636686892403</v>
      </c>
      <c r="AA125" s="582">
        <f>'Initial unit rates'!AA125</f>
        <v>6.7942275612409078E-2</v>
      </c>
      <c r="AB125" s="582">
        <f>'Initial unit rates'!AB125</f>
        <v>0.2279250498776467</v>
      </c>
      <c r="AC125" s="587"/>
      <c r="AD125" s="587"/>
      <c r="AE125" s="587"/>
      <c r="AF125" s="587"/>
      <c r="AG125" s="587"/>
      <c r="AH125" s="587"/>
      <c r="AI125" s="587"/>
      <c r="AJ125" s="587"/>
      <c r="AK125" s="587"/>
      <c r="AL125" s="587"/>
      <c r="AM125" s="587"/>
      <c r="AN125" s="587"/>
      <c r="AO125" s="587"/>
      <c r="AP125" s="587"/>
      <c r="AQ125" s="571"/>
      <c r="AR125" s="586"/>
    </row>
    <row r="126" spans="3:44" x14ac:dyDescent="0.25">
      <c r="D126" s="175"/>
      <c r="E126" s="66" t="s">
        <v>45</v>
      </c>
      <c r="F126" s="176"/>
      <c r="G126" s="90" t="s">
        <v>201</v>
      </c>
      <c r="H126" s="572"/>
      <c r="I126" s="572"/>
      <c r="J126" s="582">
        <f>'Initial unit rates'!J126</f>
        <v>8.0406234699449214E-2</v>
      </c>
      <c r="K126" s="582">
        <f>'Initial unit rates'!K126</f>
        <v>5.6388766940084656E-2</v>
      </c>
      <c r="L126" s="582">
        <f>'Initial unit rates'!L126</f>
        <v>0</v>
      </c>
      <c r="M126" s="582">
        <f>'Initial unit rates'!M126</f>
        <v>6.3925107830535358E-2</v>
      </c>
      <c r="N126" s="582">
        <f>'Initial unit rates'!N126</f>
        <v>6.8081883036364518E-2</v>
      </c>
      <c r="O126" s="582">
        <f>'Initial unit rates'!O126</f>
        <v>0</v>
      </c>
      <c r="P126" s="582">
        <f>'Initial unit rates'!P126</f>
        <v>4.9552283459561398E-2</v>
      </c>
      <c r="Q126" s="582">
        <f>'Initial unit rates'!Q126</f>
        <v>4.1317783525123816E-2</v>
      </c>
      <c r="R126" s="582">
        <f>'Initial unit rates'!R126</f>
        <v>5.0278350254034307E-2</v>
      </c>
      <c r="S126" s="582">
        <f>'Initial unit rates'!S126</f>
        <v>0.12179647991698551</v>
      </c>
      <c r="T126" s="582">
        <f>'Initial unit rates'!T126</f>
        <v>6.1196738926486076E-2</v>
      </c>
      <c r="U126" s="582">
        <f>'Initial unit rates'!U126</f>
        <v>5.0816335871770514E-2</v>
      </c>
      <c r="V126" s="582">
        <f>'Initial unit rates'!V126</f>
        <v>4.4428332701659162E-2</v>
      </c>
      <c r="W126" s="582">
        <f>'Initial unit rates'!W126</f>
        <v>3.8924329607193685E-2</v>
      </c>
      <c r="X126" s="582">
        <f>'Initial unit rates'!X126</f>
        <v>3.6735031119361009E-2</v>
      </c>
      <c r="Y126" s="582">
        <f>'Initial unit rates'!Y126</f>
        <v>6.5003187752617111E-2</v>
      </c>
      <c r="Z126" s="582">
        <f>'Initial unit rates'!Z126</f>
        <v>0.12173181983944084</v>
      </c>
      <c r="AA126" s="582">
        <f>'Initial unit rates'!AA126</f>
        <v>1.8908588170619568E-2</v>
      </c>
      <c r="AB126" s="582">
        <f>'Initial unit rates'!AB126</f>
        <v>6.3432389672818182E-2</v>
      </c>
      <c r="AC126" s="587"/>
      <c r="AD126" s="587"/>
      <c r="AE126" s="587"/>
      <c r="AF126" s="587"/>
      <c r="AG126" s="587"/>
      <c r="AH126" s="587"/>
      <c r="AI126" s="587"/>
      <c r="AJ126" s="587"/>
      <c r="AK126" s="587"/>
      <c r="AL126" s="587"/>
      <c r="AM126" s="587"/>
      <c r="AN126" s="587"/>
      <c r="AO126" s="587"/>
      <c r="AP126" s="587"/>
      <c r="AQ126" s="571"/>
      <c r="AR126" s="586"/>
    </row>
    <row r="127" spans="3:44" x14ac:dyDescent="0.25">
      <c r="D127" s="175"/>
      <c r="E127" s="66" t="s">
        <v>46</v>
      </c>
      <c r="F127" s="176"/>
      <c r="G127" s="90" t="s">
        <v>201</v>
      </c>
      <c r="H127" s="572"/>
      <c r="I127" s="572"/>
      <c r="J127" s="582">
        <f>'Initial unit rates'!J127</f>
        <v>0.19051414151288595</v>
      </c>
      <c r="K127" s="582">
        <f>'Initial unit rates'!K127</f>
        <v>0.13360727019137514</v>
      </c>
      <c r="L127" s="582">
        <f>'Initial unit rates'!L127</f>
        <v>0</v>
      </c>
      <c r="M127" s="582">
        <f>'Initial unit rates'!M127</f>
        <v>0.15146383965093857</v>
      </c>
      <c r="N127" s="582">
        <f>'Initial unit rates'!N127</f>
        <v>0.16131288261086235</v>
      </c>
      <c r="O127" s="582">
        <f>'Initial unit rates'!O127</f>
        <v>0</v>
      </c>
      <c r="P127" s="582">
        <f>'Initial unit rates'!P127</f>
        <v>0.11740893947576164</v>
      </c>
      <c r="Q127" s="582">
        <f>'Initial unit rates'!Q127</f>
        <v>9.7898155372249357E-2</v>
      </c>
      <c r="R127" s="582">
        <f>'Initial unit rates'!R127</f>
        <v>0.1164562680455119</v>
      </c>
      <c r="S127" s="582">
        <f>'Initial unit rates'!S127</f>
        <v>0.28858398726678469</v>
      </c>
      <c r="T127" s="582">
        <f>'Initial unit rates'!T127</f>
        <v>0.14499925563667226</v>
      </c>
      <c r="U127" s="582">
        <f>'Initial unit rates'!U127</f>
        <v>0.12040397911465872</v>
      </c>
      <c r="V127" s="582">
        <f>'Initial unit rates'!V127</f>
        <v>0.10526827546575132</v>
      </c>
      <c r="W127" s="582">
        <f>'Initial unit rates'!W127</f>
        <v>9.0157734677531076E-2</v>
      </c>
      <c r="X127" s="582">
        <f>'Initial unit rates'!X127</f>
        <v>8.7039804106162827E-2</v>
      </c>
      <c r="Y127" s="582">
        <f>'Initial unit rates'!Y127</f>
        <v>0.1540182369760392</v>
      </c>
      <c r="Z127" s="582">
        <f>'Initial unit rates'!Z127</f>
        <v>0.28843078199346694</v>
      </c>
      <c r="AA127" s="582">
        <f>'Initial unit rates'!AA127</f>
        <v>4.4801916866416505E-2</v>
      </c>
      <c r="AB127" s="582">
        <f>'Initial unit rates'!AB127</f>
        <v>0.15029639564393868</v>
      </c>
      <c r="AC127" s="587"/>
      <c r="AD127" s="587"/>
      <c r="AE127" s="587"/>
      <c r="AF127" s="587"/>
      <c r="AG127" s="587"/>
      <c r="AH127" s="587"/>
      <c r="AI127" s="587"/>
      <c r="AJ127" s="587"/>
      <c r="AK127" s="587"/>
      <c r="AL127" s="587"/>
      <c r="AM127" s="587"/>
      <c r="AN127" s="587"/>
      <c r="AO127" s="587"/>
      <c r="AP127" s="587"/>
      <c r="AQ127" s="571"/>
      <c r="AR127" s="586"/>
    </row>
    <row r="128" spans="3:44" x14ac:dyDescent="0.25">
      <c r="D128" s="175"/>
      <c r="E128" s="66" t="s">
        <v>47</v>
      </c>
      <c r="F128" s="176"/>
      <c r="G128" s="90" t="s">
        <v>201</v>
      </c>
      <c r="H128" s="572"/>
      <c r="I128" s="572"/>
      <c r="J128" s="582">
        <f>'Initial unit rates'!J128</f>
        <v>0.14334383474220794</v>
      </c>
      <c r="K128" s="582">
        <f>'Initial unit rates'!K128</f>
        <v>0.10052680765104578</v>
      </c>
      <c r="L128" s="582">
        <f>'Initial unit rates'!L128</f>
        <v>0</v>
      </c>
      <c r="M128" s="582">
        <f>'Initial unit rates'!M128</f>
        <v>0.11396218374096867</v>
      </c>
      <c r="N128" s="582">
        <f>'Initial unit rates'!N128</f>
        <v>0.12137265508553675</v>
      </c>
      <c r="O128" s="582">
        <f>'Initial unit rates'!O128</f>
        <v>0</v>
      </c>
      <c r="P128" s="582">
        <f>'Initial unit rates'!P128</f>
        <v>8.8339099049679404E-2</v>
      </c>
      <c r="Q128" s="582">
        <f>'Initial unit rates'!Q128</f>
        <v>7.3659083225050478E-2</v>
      </c>
      <c r="R128" s="582">
        <f>'Initial unit rates'!R128</f>
        <v>8.5776556596483741E-2</v>
      </c>
      <c r="S128" s="582">
        <f>'Initial unit rates'!S128</f>
        <v>0.21713209870680111</v>
      </c>
      <c r="T128" s="582">
        <f>'Initial unit rates'!T128</f>
        <v>0.10909819697725945</v>
      </c>
      <c r="U128" s="582">
        <f>'Initial unit rates'!U128</f>
        <v>9.0592582510986591E-2</v>
      </c>
      <c r="V128" s="582">
        <f>'Initial unit rates'!V128</f>
        <v>7.9204400062550001E-2</v>
      </c>
      <c r="W128" s="582">
        <f>'Initial unit rates'!W128</f>
        <v>6.6406215491601861E-2</v>
      </c>
      <c r="X128" s="582">
        <f>'Initial unit rates'!X128</f>
        <v>6.5489203041360924E-2</v>
      </c>
      <c r="Y128" s="582">
        <f>'Initial unit rates'!Y128</f>
        <v>0.11588412562479675</v>
      </c>
      <c r="Z128" s="582">
        <f>'Initial unit rates'!Z128</f>
        <v>0.21701682625927726</v>
      </c>
      <c r="AA128" s="582">
        <f>'Initial unit rates'!AA128</f>
        <v>3.3709196159589921E-2</v>
      </c>
      <c r="AB128" s="582">
        <f>'Initial unit rates'!AB128</f>
        <v>0.11308379277491616</v>
      </c>
      <c r="AC128" s="587"/>
      <c r="AD128" s="587"/>
      <c r="AE128" s="587"/>
      <c r="AF128" s="587"/>
      <c r="AG128" s="587"/>
      <c r="AH128" s="587"/>
      <c r="AI128" s="587"/>
      <c r="AJ128" s="587"/>
      <c r="AK128" s="587"/>
      <c r="AL128" s="587"/>
      <c r="AM128" s="587"/>
      <c r="AN128" s="587"/>
      <c r="AO128" s="587"/>
      <c r="AP128" s="587"/>
      <c r="AQ128" s="571"/>
      <c r="AR128" s="586"/>
    </row>
    <row r="129" spans="4:44" x14ac:dyDescent="0.25">
      <c r="D129" s="175"/>
      <c r="E129" s="66" t="s">
        <v>51</v>
      </c>
      <c r="F129" s="176"/>
      <c r="G129" s="90" t="s">
        <v>201</v>
      </c>
      <c r="H129" s="572"/>
      <c r="I129" s="572"/>
      <c r="J129" s="582">
        <f>'Initial unit rates'!J129</f>
        <v>0</v>
      </c>
      <c r="K129" s="582">
        <f>'Initial unit rates'!K129</f>
        <v>0</v>
      </c>
      <c r="L129" s="582">
        <f>'Initial unit rates'!L129</f>
        <v>0</v>
      </c>
      <c r="M129" s="582">
        <f>'Initial unit rates'!M129</f>
        <v>0</v>
      </c>
      <c r="N129" s="582">
        <f>'Initial unit rates'!N129</f>
        <v>0</v>
      </c>
      <c r="O129" s="582">
        <f>'Initial unit rates'!O129</f>
        <v>0</v>
      </c>
      <c r="P129" s="582">
        <f>'Initial unit rates'!P129</f>
        <v>0</v>
      </c>
      <c r="Q129" s="582">
        <f>'Initial unit rates'!Q129</f>
        <v>0</v>
      </c>
      <c r="R129" s="582">
        <f>'Initial unit rates'!R129</f>
        <v>0</v>
      </c>
      <c r="S129" s="582">
        <f>'Initial unit rates'!S129</f>
        <v>0</v>
      </c>
      <c r="T129" s="582">
        <f>'Initial unit rates'!T129</f>
        <v>0</v>
      </c>
      <c r="U129" s="582">
        <f>'Initial unit rates'!U129</f>
        <v>0</v>
      </c>
      <c r="V129" s="582">
        <f>'Initial unit rates'!V129</f>
        <v>0</v>
      </c>
      <c r="W129" s="582">
        <f>'Initial unit rates'!W129</f>
        <v>0</v>
      </c>
      <c r="X129" s="582">
        <f>'Initial unit rates'!X129</f>
        <v>0</v>
      </c>
      <c r="Y129" s="582">
        <f>'Initial unit rates'!Y129</f>
        <v>0</v>
      </c>
      <c r="Z129" s="582">
        <f>'Initial unit rates'!Z129</f>
        <v>0</v>
      </c>
      <c r="AA129" s="582">
        <f>'Initial unit rates'!AA129</f>
        <v>0</v>
      </c>
      <c r="AB129" s="582">
        <f>'Initial unit rates'!AB129</f>
        <v>0</v>
      </c>
      <c r="AC129" s="587"/>
      <c r="AD129" s="587"/>
      <c r="AE129" s="587"/>
      <c r="AF129" s="587"/>
      <c r="AG129" s="587"/>
      <c r="AH129" s="587"/>
      <c r="AI129" s="587"/>
      <c r="AJ129" s="587"/>
      <c r="AK129" s="587"/>
      <c r="AL129" s="587"/>
      <c r="AM129" s="587"/>
      <c r="AN129" s="587"/>
      <c r="AO129" s="587"/>
      <c r="AP129" s="587"/>
      <c r="AQ129" s="571"/>
      <c r="AR129" s="586"/>
    </row>
    <row r="130" spans="4:44" x14ac:dyDescent="0.25">
      <c r="D130" s="175"/>
      <c r="E130" s="66" t="s">
        <v>48</v>
      </c>
      <c r="F130" s="176"/>
      <c r="G130" s="90" t="s">
        <v>201</v>
      </c>
      <c r="H130" s="572"/>
      <c r="I130" s="572"/>
      <c r="J130" s="582">
        <f>'Initial unit rates'!J130</f>
        <v>0.31523455295112635</v>
      </c>
      <c r="K130" s="582">
        <f>'Initial unit rates'!K130</f>
        <v>0.22107350013673258</v>
      </c>
      <c r="L130" s="582">
        <f>'Initial unit rates'!L130</f>
        <v>0</v>
      </c>
      <c r="M130" s="582">
        <f>'Initial unit rates'!M130</f>
        <v>0.25061990360119912</v>
      </c>
      <c r="N130" s="582">
        <f>'Initial unit rates'!N130</f>
        <v>0.26691663952753469</v>
      </c>
      <c r="O130" s="582">
        <f>'Initial unit rates'!O130</f>
        <v>0</v>
      </c>
      <c r="P130" s="582">
        <f>'Initial unit rates'!P130</f>
        <v>0.19427090427092628</v>
      </c>
      <c r="Q130" s="582">
        <f>'Initial unit rates'!Q130</f>
        <v>0.161987351691809</v>
      </c>
      <c r="R130" s="582">
        <f>'Initial unit rates'!R130</f>
        <v>0.18527199893918439</v>
      </c>
      <c r="S130" s="582">
        <f>'Initial unit rates'!S130</f>
        <v>0.47750599242915137</v>
      </c>
      <c r="T130" s="582">
        <f>'Initial unit rates'!T130</f>
        <v>0.23992326850855231</v>
      </c>
      <c r="U130" s="582">
        <f>'Initial unit rates'!U130</f>
        <v>0.19922665177681295</v>
      </c>
      <c r="V130" s="582">
        <f>'Initial unit rates'!V130</f>
        <v>0.17418233362029784</v>
      </c>
      <c r="W130" s="582">
        <f>'Initial unit rates'!W130</f>
        <v>0.14343327331257846</v>
      </c>
      <c r="X130" s="582">
        <f>'Initial unit rates'!X130</f>
        <v>0.144020562035307</v>
      </c>
      <c r="Y130" s="582">
        <f>'Initial unit rates'!Y130</f>
        <v>0.2548465415423159</v>
      </c>
      <c r="Z130" s="582">
        <f>'Initial unit rates'!Z130</f>
        <v>0.47725249105932888</v>
      </c>
      <c r="AA130" s="582">
        <f>'Initial unit rates'!AA130</f>
        <v>7.4131569040417275E-2</v>
      </c>
      <c r="AB130" s="582">
        <f>'Initial unit rates'!AB130</f>
        <v>0.24868819036080866</v>
      </c>
      <c r="AC130" s="587"/>
      <c r="AD130" s="587"/>
      <c r="AE130" s="587"/>
      <c r="AF130" s="587"/>
      <c r="AG130" s="587"/>
      <c r="AH130" s="587"/>
      <c r="AI130" s="587"/>
      <c r="AJ130" s="587"/>
      <c r="AK130" s="587"/>
      <c r="AL130" s="587"/>
      <c r="AM130" s="587"/>
      <c r="AN130" s="587"/>
      <c r="AO130" s="587"/>
      <c r="AP130" s="587"/>
      <c r="AQ130" s="571"/>
      <c r="AR130" s="586"/>
    </row>
    <row r="131" spans="4:44" x14ac:dyDescent="0.25">
      <c r="D131" s="175"/>
      <c r="E131" s="66" t="s">
        <v>49</v>
      </c>
      <c r="F131" s="176"/>
      <c r="G131" s="90" t="s">
        <v>201</v>
      </c>
      <c r="H131" s="572"/>
      <c r="I131" s="572"/>
      <c r="J131" s="582">
        <f>'Initial unit rates'!J131</f>
        <v>9.0808001516866715E-2</v>
      </c>
      <c r="K131" s="582">
        <f>'Initial unit rates'!K131</f>
        <v>6.3683509779677919E-2</v>
      </c>
      <c r="L131" s="582">
        <f>'Initial unit rates'!L131</f>
        <v>0</v>
      </c>
      <c r="M131" s="582">
        <f>'Initial unit rates'!M131</f>
        <v>7.2194790746505214E-2</v>
      </c>
      <c r="N131" s="582">
        <f>'Initial unit rates'!N131</f>
        <v>7.6889307914323732E-2</v>
      </c>
      <c r="O131" s="582">
        <f>'Initial unit rates'!O131</f>
        <v>0</v>
      </c>
      <c r="P131" s="582">
        <f>'Initial unit rates'!P131</f>
        <v>5.5962623400780689E-2</v>
      </c>
      <c r="Q131" s="582">
        <f>'Initial unit rates'!Q131</f>
        <v>4.6662865921375071E-2</v>
      </c>
      <c r="R131" s="582">
        <f>'Initial unit rates'!R131</f>
        <v>0</v>
      </c>
      <c r="S131" s="582">
        <f>'Initial unit rates'!S131</f>
        <v>0.13755270315034926</v>
      </c>
      <c r="T131" s="582">
        <f>'Initial unit rates'!T131</f>
        <v>6.9113465915121519E-2</v>
      </c>
      <c r="U131" s="582">
        <f>'Initial unit rates'!U131</f>
        <v>5.7390200177561052E-2</v>
      </c>
      <c r="V131" s="582">
        <f>'Initial unit rates'!V131</f>
        <v>5.0175811844000717E-2</v>
      </c>
      <c r="W131" s="582">
        <f>'Initial unit rates'!W131</f>
        <v>0</v>
      </c>
      <c r="X131" s="582">
        <f>'Initial unit rates'!X131</f>
        <v>4.1487264937577428E-2</v>
      </c>
      <c r="Y131" s="582">
        <f>'Initial unit rates'!Y131</f>
        <v>7.3412336668978007E-2</v>
      </c>
      <c r="Z131" s="582">
        <f>'Initial unit rates'!Z131</f>
        <v>0.13747967831040114</v>
      </c>
      <c r="AA131" s="582">
        <f>'Initial unit rates'!AA131</f>
        <v>2.1354701034037995E-2</v>
      </c>
      <c r="AB131" s="582">
        <f>'Initial unit rates'!AB131</f>
        <v>7.1638332016897843E-2</v>
      </c>
      <c r="AC131" s="587"/>
      <c r="AD131" s="587"/>
      <c r="AE131" s="587"/>
      <c r="AF131" s="587"/>
      <c r="AG131" s="587"/>
      <c r="AH131" s="587"/>
      <c r="AI131" s="587"/>
      <c r="AJ131" s="587"/>
      <c r="AK131" s="587"/>
      <c r="AL131" s="587"/>
      <c r="AM131" s="587"/>
      <c r="AN131" s="587"/>
      <c r="AO131" s="587"/>
      <c r="AP131" s="587"/>
      <c r="AQ131" s="571"/>
      <c r="AR131" s="586"/>
    </row>
    <row r="132" spans="4:44" x14ac:dyDescent="0.25">
      <c r="D132" s="175"/>
      <c r="E132" s="66" t="s">
        <v>50</v>
      </c>
      <c r="F132" s="176"/>
      <c r="G132" s="90" t="s">
        <v>201</v>
      </c>
      <c r="H132" s="572"/>
      <c r="I132" s="572"/>
      <c r="J132" s="582">
        <f>'Initial unit rates'!J132</f>
        <v>1.2478821818567343E-2</v>
      </c>
      <c r="K132" s="582">
        <f>'Initial unit rates'!K132</f>
        <v>8.7513782711536106E-3</v>
      </c>
      <c r="L132" s="582">
        <f>'Initial unit rates'!L132</f>
        <v>0</v>
      </c>
      <c r="M132" s="582">
        <f>'Initial unit rates'!M132</f>
        <v>9.9209972128618904E-3</v>
      </c>
      <c r="N132" s="582">
        <f>'Initial unit rates'!N132</f>
        <v>1.0566117051233529E-2</v>
      </c>
      <c r="O132" s="582">
        <f>'Initial unit rates'!O132</f>
        <v>0</v>
      </c>
      <c r="P132" s="582">
        <f>'Initial unit rates'!P132</f>
        <v>7.6903752340394598E-3</v>
      </c>
      <c r="Q132" s="582">
        <f>'Initial unit rates'!Q132</f>
        <v>0</v>
      </c>
      <c r="R132" s="582">
        <f>'Initial unit rates'!R132</f>
        <v>0</v>
      </c>
      <c r="S132" s="582">
        <f>'Initial unit rates'!S132</f>
        <v>1.8902471639095288E-2</v>
      </c>
      <c r="T132" s="582">
        <f>'Initial unit rates'!T132</f>
        <v>9.4975620210982856E-3</v>
      </c>
      <c r="U132" s="582">
        <f>'Initial unit rates'!U132</f>
        <v>7.8865526185451403E-3</v>
      </c>
      <c r="V132" s="582">
        <f>'Initial unit rates'!V132</f>
        <v>0</v>
      </c>
      <c r="W132" s="582">
        <f>'Initial unit rates'!W132</f>
        <v>0</v>
      </c>
      <c r="X132" s="582">
        <f>'Initial unit rates'!X132</f>
        <v>5.7011736658422662E-3</v>
      </c>
      <c r="Y132" s="582">
        <f>'Initial unit rates'!Y132</f>
        <v>1.0088312189170881E-2</v>
      </c>
      <c r="Z132" s="582">
        <f>'Initial unit rates'!Z132</f>
        <v>1.8892436576646826E-2</v>
      </c>
      <c r="AA132" s="582">
        <f>'Initial unit rates'!AA132</f>
        <v>2.9345597826314846E-3</v>
      </c>
      <c r="AB132" s="582">
        <f>'Initial unit rates'!AB132</f>
        <v>9.8445287384965885E-3</v>
      </c>
      <c r="AC132" s="587"/>
      <c r="AD132" s="587"/>
      <c r="AE132" s="587"/>
      <c r="AF132" s="587"/>
      <c r="AG132" s="587"/>
      <c r="AH132" s="587"/>
      <c r="AI132" s="587"/>
      <c r="AJ132" s="587"/>
      <c r="AK132" s="587"/>
      <c r="AL132" s="587"/>
      <c r="AM132" s="587"/>
      <c r="AN132" s="587"/>
      <c r="AO132" s="587"/>
      <c r="AP132" s="587"/>
      <c r="AQ132" s="571"/>
      <c r="AR132" s="586"/>
    </row>
    <row r="133" spans="4:44" x14ac:dyDescent="0.25">
      <c r="D133" s="175"/>
      <c r="E133" s="66" t="s">
        <v>141</v>
      </c>
      <c r="F133" s="176"/>
      <c r="G133" s="90" t="s">
        <v>201</v>
      </c>
      <c r="H133" s="572"/>
      <c r="I133" s="572"/>
      <c r="J133" s="587"/>
      <c r="K133" s="587"/>
      <c r="L133" s="587"/>
      <c r="M133" s="587"/>
      <c r="N133" s="587"/>
      <c r="O133" s="587"/>
      <c r="P133" s="587"/>
      <c r="Q133" s="587"/>
      <c r="R133" s="587"/>
      <c r="S133" s="587"/>
      <c r="T133" s="587"/>
      <c r="U133" s="587"/>
      <c r="V133" s="587"/>
      <c r="W133" s="587"/>
      <c r="X133" s="587"/>
      <c r="Y133" s="587"/>
      <c r="Z133" s="587"/>
      <c r="AA133" s="587"/>
      <c r="AB133" s="587"/>
      <c r="AC133" s="587"/>
      <c r="AD133" s="587"/>
      <c r="AE133" s="587"/>
      <c r="AF133" s="587"/>
      <c r="AG133" s="587"/>
      <c r="AH133" s="587"/>
      <c r="AI133" s="587"/>
      <c r="AJ133" s="587"/>
      <c r="AK133" s="587"/>
      <c r="AL133" s="587"/>
      <c r="AM133" s="587"/>
      <c r="AN133" s="587"/>
      <c r="AO133" s="587"/>
      <c r="AP133" s="587"/>
      <c r="AQ133" s="571"/>
      <c r="AR133" s="586"/>
    </row>
    <row r="134" spans="4:44" x14ac:dyDescent="0.25">
      <c r="D134" s="175"/>
      <c r="E134" s="67" t="s">
        <v>140</v>
      </c>
      <c r="F134" s="177"/>
      <c r="G134" s="16" t="s">
        <v>201</v>
      </c>
      <c r="H134" s="574"/>
      <c r="I134" s="574"/>
      <c r="J134" s="579"/>
      <c r="K134" s="579"/>
      <c r="L134" s="579"/>
      <c r="M134" s="579"/>
      <c r="N134" s="579"/>
      <c r="O134" s="579"/>
      <c r="P134" s="579"/>
      <c r="Q134" s="579"/>
      <c r="R134" s="579"/>
      <c r="S134" s="579"/>
      <c r="T134" s="579"/>
      <c r="U134" s="579"/>
      <c r="V134" s="579"/>
      <c r="W134" s="579"/>
      <c r="X134" s="579"/>
      <c r="Y134" s="579"/>
      <c r="Z134" s="579"/>
      <c r="AA134" s="579"/>
      <c r="AB134" s="579"/>
      <c r="AC134" s="579"/>
      <c r="AD134" s="579"/>
      <c r="AE134" s="579"/>
      <c r="AF134" s="579"/>
      <c r="AG134" s="579"/>
      <c r="AH134" s="579"/>
      <c r="AI134" s="579"/>
      <c r="AJ134" s="579"/>
      <c r="AK134" s="579"/>
      <c r="AL134" s="579"/>
      <c r="AM134" s="579"/>
      <c r="AN134" s="579"/>
      <c r="AO134" s="579"/>
      <c r="AP134" s="579"/>
      <c r="AQ134" s="571"/>
      <c r="AR134" s="586"/>
    </row>
    <row r="135" spans="4:44" s="160" customFormat="1" x14ac:dyDescent="0.25">
      <c r="D135" s="175"/>
      <c r="E135" s="117"/>
      <c r="F135" s="117"/>
      <c r="J135" s="416"/>
      <c r="K135" s="416"/>
      <c r="L135" s="416"/>
      <c r="M135" s="416"/>
      <c r="N135" s="416"/>
      <c r="O135" s="416"/>
      <c r="P135" s="416"/>
      <c r="Q135" s="416"/>
      <c r="R135" s="416"/>
      <c r="S135" s="416"/>
      <c r="T135" s="416"/>
      <c r="U135" s="416"/>
      <c r="V135" s="416"/>
      <c r="W135" s="416"/>
      <c r="X135" s="416"/>
      <c r="Y135" s="416"/>
      <c r="Z135" s="416"/>
      <c r="AA135" s="416"/>
      <c r="AB135" s="416"/>
      <c r="AC135" s="416"/>
      <c r="AD135" s="416"/>
      <c r="AE135" s="416"/>
      <c r="AF135" s="416"/>
      <c r="AG135" s="416"/>
      <c r="AH135" s="416"/>
      <c r="AI135" s="416"/>
      <c r="AJ135" s="416"/>
      <c r="AK135" s="416"/>
      <c r="AL135" s="416"/>
      <c r="AM135" s="416"/>
      <c r="AN135" s="416"/>
      <c r="AO135" s="416"/>
      <c r="AP135" s="416"/>
      <c r="AR135" s="143"/>
    </row>
    <row r="136" spans="4:44" x14ac:dyDescent="0.25">
      <c r="D136" s="172" t="s">
        <v>133</v>
      </c>
      <c r="E136" s="117"/>
      <c r="F136" s="117"/>
      <c r="J136" s="416"/>
      <c r="K136" s="416"/>
      <c r="L136" s="416"/>
      <c r="M136" s="416"/>
      <c r="N136" s="416"/>
      <c r="O136" s="416"/>
      <c r="P136" s="416"/>
      <c r="Q136" s="416"/>
      <c r="R136" s="416"/>
      <c r="S136" s="416"/>
      <c r="T136" s="416"/>
      <c r="U136" s="416"/>
      <c r="V136" s="416"/>
      <c r="W136" s="416"/>
      <c r="X136" s="416"/>
      <c r="Y136" s="416"/>
      <c r="Z136" s="416"/>
      <c r="AA136" s="416"/>
      <c r="AB136" s="416"/>
      <c r="AC136" s="416"/>
      <c r="AD136" s="416"/>
      <c r="AE136" s="416"/>
      <c r="AF136" s="416"/>
      <c r="AG136" s="416"/>
      <c r="AH136" s="416"/>
      <c r="AI136" s="416"/>
      <c r="AJ136" s="416"/>
      <c r="AK136" s="416"/>
      <c r="AL136" s="416"/>
      <c r="AM136" s="416"/>
      <c r="AN136" s="416"/>
      <c r="AO136" s="416"/>
      <c r="AP136" s="416"/>
      <c r="AR136" s="31"/>
    </row>
    <row r="137" spans="4:44" x14ac:dyDescent="0.25">
      <c r="D137" s="175"/>
      <c r="E137" s="72" t="s">
        <v>397</v>
      </c>
      <c r="F137" s="180"/>
      <c r="G137" s="13" t="s">
        <v>201</v>
      </c>
      <c r="H137" s="569"/>
      <c r="I137" s="569"/>
      <c r="J137" s="581">
        <f>'Initial unit rates'!J135</f>
        <v>8.4041936407787204E-2</v>
      </c>
      <c r="K137" s="581">
        <f>'Initial unit rates'!K135</f>
        <v>5.8938478875501819E-2</v>
      </c>
      <c r="L137" s="581">
        <f>'Initial unit rates'!L135</f>
        <v>0</v>
      </c>
      <c r="M137" s="581">
        <f>'Initial unit rates'!M135</f>
        <v>6.6815587960762868E-2</v>
      </c>
      <c r="N137" s="581">
        <f>'Initial unit rates'!N135</f>
        <v>7.1160318674936635E-2</v>
      </c>
      <c r="O137" s="581">
        <f>'Initial unit rates'!O135</f>
        <v>0</v>
      </c>
      <c r="P137" s="581">
        <f>'Initial unit rates'!P135</f>
        <v>5.1792872417611567E-2</v>
      </c>
      <c r="Q137" s="581">
        <f>'Initial unit rates'!Q135</f>
        <v>4.3186035865362571E-2</v>
      </c>
      <c r="R137" s="581">
        <f>'Initial unit rates'!R135</f>
        <v>5.2551769530465878E-2</v>
      </c>
      <c r="S137" s="581">
        <f>'Initial unit rates'!S135</f>
        <v>0.12730371044157035</v>
      </c>
      <c r="T137" s="581">
        <f>'Initial unit rates'!T135</f>
        <v>6.3963851316357304E-2</v>
      </c>
      <c r="U137" s="581">
        <f>'Initial unit rates'!U135</f>
        <v>5.3114081063185867E-2</v>
      </c>
      <c r="V137" s="581">
        <f>'Initial unit rates'!V135</f>
        <v>4.643723369927219E-2</v>
      </c>
      <c r="W137" s="581">
        <f>'Initial unit rates'!W135</f>
        <v>4.0684357945515497E-2</v>
      </c>
      <c r="X137" s="581">
        <f>'Initial unit rates'!X135</f>
        <v>3.839606668327885E-2</v>
      </c>
      <c r="Y137" s="581">
        <f>'Initial unit rates'!Y135</f>
        <v>6.7942415060586361E-2</v>
      </c>
      <c r="Z137" s="581">
        <f>'Initial unit rates'!Z135</f>
        <v>0.12723612665101675</v>
      </c>
      <c r="AA137" s="581">
        <f>'Initial unit rates'!AA135</f>
        <v>1.9763571451097094E-2</v>
      </c>
      <c r="AB137" s="581">
        <f>'Initial unit rates'!AB135</f>
        <v>6.6300590731597608E-2</v>
      </c>
      <c r="AC137" s="583"/>
      <c r="AD137" s="583"/>
      <c r="AE137" s="583"/>
      <c r="AF137" s="583"/>
      <c r="AG137" s="583"/>
      <c r="AH137" s="583"/>
      <c r="AI137" s="583"/>
      <c r="AJ137" s="583"/>
      <c r="AK137" s="583"/>
      <c r="AL137" s="583"/>
      <c r="AM137" s="583"/>
      <c r="AN137" s="583"/>
      <c r="AO137" s="583"/>
      <c r="AP137" s="583"/>
      <c r="AQ137" s="571"/>
      <c r="AR137" s="586"/>
    </row>
    <row r="138" spans="4:44" x14ac:dyDescent="0.25">
      <c r="D138" s="175"/>
      <c r="E138" s="66" t="s">
        <v>43</v>
      </c>
      <c r="F138" s="176"/>
      <c r="G138" s="90" t="s">
        <v>201</v>
      </c>
      <c r="H138" s="572"/>
      <c r="I138" s="572"/>
      <c r="J138" s="582">
        <f>'Initial unit rates'!J136</f>
        <v>0</v>
      </c>
      <c r="K138" s="582">
        <f>'Initial unit rates'!K136</f>
        <v>0</v>
      </c>
      <c r="L138" s="582">
        <f>'Initial unit rates'!L136</f>
        <v>0</v>
      </c>
      <c r="M138" s="582">
        <f>'Initial unit rates'!M136</f>
        <v>0</v>
      </c>
      <c r="N138" s="582">
        <f>'Initial unit rates'!N136</f>
        <v>0</v>
      </c>
      <c r="O138" s="582">
        <f>'Initial unit rates'!O136</f>
        <v>0</v>
      </c>
      <c r="P138" s="582">
        <f>'Initial unit rates'!P136</f>
        <v>0</v>
      </c>
      <c r="Q138" s="582">
        <f>'Initial unit rates'!Q136</f>
        <v>0</v>
      </c>
      <c r="R138" s="582">
        <f>'Initial unit rates'!R136</f>
        <v>0</v>
      </c>
      <c r="S138" s="582">
        <f>'Initial unit rates'!S136</f>
        <v>0</v>
      </c>
      <c r="T138" s="582">
        <f>'Initial unit rates'!T136</f>
        <v>0</v>
      </c>
      <c r="U138" s="582">
        <f>'Initial unit rates'!U136</f>
        <v>0</v>
      </c>
      <c r="V138" s="582">
        <f>'Initial unit rates'!V136</f>
        <v>0</v>
      </c>
      <c r="W138" s="582">
        <f>'Initial unit rates'!W136</f>
        <v>0</v>
      </c>
      <c r="X138" s="582">
        <f>'Initial unit rates'!X136</f>
        <v>0</v>
      </c>
      <c r="Y138" s="582">
        <f>'Initial unit rates'!Y136</f>
        <v>0</v>
      </c>
      <c r="Z138" s="582">
        <f>'Initial unit rates'!Z136</f>
        <v>0</v>
      </c>
      <c r="AA138" s="582">
        <f>'Initial unit rates'!AA136</f>
        <v>0</v>
      </c>
      <c r="AB138" s="582">
        <f>'Initial unit rates'!AB136</f>
        <v>0</v>
      </c>
      <c r="AC138" s="587"/>
      <c r="AD138" s="587"/>
      <c r="AE138" s="587"/>
      <c r="AF138" s="587"/>
      <c r="AG138" s="587"/>
      <c r="AH138" s="587"/>
      <c r="AI138" s="587"/>
      <c r="AJ138" s="587"/>
      <c r="AK138" s="587"/>
      <c r="AL138" s="587"/>
      <c r="AM138" s="587"/>
      <c r="AN138" s="587"/>
      <c r="AO138" s="587"/>
      <c r="AP138" s="587"/>
      <c r="AQ138" s="571"/>
      <c r="AR138" s="586"/>
    </row>
    <row r="139" spans="4:44" x14ac:dyDescent="0.25">
      <c r="D139" s="175"/>
      <c r="E139" s="66" t="s">
        <v>44</v>
      </c>
      <c r="F139" s="176"/>
      <c r="G139" s="90" t="s">
        <v>201</v>
      </c>
      <c r="H139" s="572"/>
      <c r="I139" s="572"/>
      <c r="J139" s="582">
        <f>'Initial unit rates'!J137</f>
        <v>0.11675475543267033</v>
      </c>
      <c r="K139" s="582">
        <f>'Initial unit rates'!K137</f>
        <v>8.187992781714637E-2</v>
      </c>
      <c r="L139" s="582">
        <f>'Initial unit rates'!L137</f>
        <v>0</v>
      </c>
      <c r="M139" s="582">
        <f>'Initial unit rates'!M137</f>
        <v>9.2823154307116948E-2</v>
      </c>
      <c r="N139" s="582">
        <f>'Initial unit rates'!N137</f>
        <v>9.8859045359089015E-2</v>
      </c>
      <c r="O139" s="582">
        <f>'Initial unit rates'!O137</f>
        <v>0</v>
      </c>
      <c r="P139" s="582">
        <f>'Initial unit rates'!P137</f>
        <v>7.1952936959142011E-2</v>
      </c>
      <c r="Q139" s="582">
        <f>'Initial unit rates'!Q137</f>
        <v>5.9995940968106197E-2</v>
      </c>
      <c r="R139" s="582">
        <f>'Initial unit rates'!R137</f>
        <v>7.3007230215546046E-2</v>
      </c>
      <c r="S139" s="582">
        <f>'Initial unit rates'!S137</f>
        <v>0.17685591519640204</v>
      </c>
      <c r="T139" s="582">
        <f>'Initial unit rates'!T137</f>
        <v>8.8861396300252346E-2</v>
      </c>
      <c r="U139" s="582">
        <f>'Initial unit rates'!U137</f>
        <v>7.3788418135361855E-2</v>
      </c>
      <c r="V139" s="582">
        <f>'Initial unit rates'!V137</f>
        <v>6.4512648033487122E-2</v>
      </c>
      <c r="W139" s="582">
        <f>'Initial unit rates'!W137</f>
        <v>5.6520499942023517E-2</v>
      </c>
      <c r="X139" s="582">
        <f>'Initial unit rates'!X137</f>
        <v>5.3341505048512212E-2</v>
      </c>
      <c r="Y139" s="582">
        <f>'Initial unit rates'!Y137</f>
        <v>9.4388592088279336E-2</v>
      </c>
      <c r="Z139" s="582">
        <f>'Initial unit rates'!Z137</f>
        <v>0.17676202482125636</v>
      </c>
      <c r="AA139" s="582">
        <f>'Initial unit rates'!AA137</f>
        <v>2.7456422946427233E-2</v>
      </c>
      <c r="AB139" s="582">
        <f>'Initial unit rates'!AB137</f>
        <v>9.2107697499363969E-2</v>
      </c>
      <c r="AC139" s="587"/>
      <c r="AD139" s="587"/>
      <c r="AE139" s="587"/>
      <c r="AF139" s="587"/>
      <c r="AG139" s="587"/>
      <c r="AH139" s="587"/>
      <c r="AI139" s="587"/>
      <c r="AJ139" s="587"/>
      <c r="AK139" s="587"/>
      <c r="AL139" s="587"/>
      <c r="AM139" s="587"/>
      <c r="AN139" s="587"/>
      <c r="AO139" s="587"/>
      <c r="AP139" s="587"/>
      <c r="AQ139" s="571"/>
      <c r="AR139" s="586"/>
    </row>
    <row r="140" spans="4:44" x14ac:dyDescent="0.25">
      <c r="D140" s="175"/>
      <c r="E140" s="66" t="s">
        <v>45</v>
      </c>
      <c r="F140" s="176"/>
      <c r="G140" s="90" t="s">
        <v>201</v>
      </c>
      <c r="H140" s="572"/>
      <c r="I140" s="572"/>
      <c r="J140" s="582">
        <f>'Initial unit rates'!J138</f>
        <v>3.2493282974975286E-2</v>
      </c>
      <c r="K140" s="582">
        <f>'Initial unit rates'!K138</f>
        <v>2.2787488652377515E-2</v>
      </c>
      <c r="L140" s="582">
        <f>'Initial unit rates'!L138</f>
        <v>0</v>
      </c>
      <c r="M140" s="582">
        <f>'Initial unit rates'!M138</f>
        <v>2.5833029313056765E-2</v>
      </c>
      <c r="N140" s="582">
        <f>'Initial unit rates'!N138</f>
        <v>2.7512840257210996E-2</v>
      </c>
      <c r="O140" s="582">
        <f>'Initial unit rates'!O138</f>
        <v>0</v>
      </c>
      <c r="P140" s="582">
        <f>'Initial unit rates'!P138</f>
        <v>2.0024770150302105E-2</v>
      </c>
      <c r="Q140" s="582">
        <f>'Initial unit rates'!Q138</f>
        <v>1.6697093664427204E-2</v>
      </c>
      <c r="R140" s="582">
        <f>'Initial unit rates'!R138</f>
        <v>2.0318183887429918E-2</v>
      </c>
      <c r="S140" s="582">
        <f>'Initial unit rates'!S138</f>
        <v>4.9219659421828578E-2</v>
      </c>
      <c r="T140" s="582">
        <f>'Initial unit rates'!T138</f>
        <v>2.4730457314868129E-2</v>
      </c>
      <c r="U140" s="582">
        <f>'Initial unit rates'!U138</f>
        <v>2.0535591392941293E-2</v>
      </c>
      <c r="V140" s="582">
        <f>'Initial unit rates'!V138</f>
        <v>1.7954110051011361E-2</v>
      </c>
      <c r="W140" s="582">
        <f>'Initial unit rates'!W138</f>
        <v>1.5729865491965596E-2</v>
      </c>
      <c r="X140" s="582">
        <f>'Initial unit rates'!X138</f>
        <v>1.4845139381512372E-2</v>
      </c>
      <c r="Y140" s="582">
        <f>'Initial unit rates'!Y138</f>
        <v>2.626869647380347E-2</v>
      </c>
      <c r="Z140" s="582">
        <f>'Initial unit rates'!Z138</f>
        <v>4.9193529380984154E-2</v>
      </c>
      <c r="AA140" s="582">
        <f>'Initial unit rates'!AA138</f>
        <v>7.64122469335603E-3</v>
      </c>
      <c r="AB140" s="582">
        <f>'Initial unit rates'!AB138</f>
        <v>2.5633915020670656E-2</v>
      </c>
      <c r="AC140" s="587"/>
      <c r="AD140" s="587"/>
      <c r="AE140" s="587"/>
      <c r="AF140" s="587"/>
      <c r="AG140" s="587"/>
      <c r="AH140" s="587"/>
      <c r="AI140" s="587"/>
      <c r="AJ140" s="587"/>
      <c r="AK140" s="587"/>
      <c r="AL140" s="587"/>
      <c r="AM140" s="587"/>
      <c r="AN140" s="587"/>
      <c r="AO140" s="587"/>
      <c r="AP140" s="587"/>
      <c r="AQ140" s="571"/>
      <c r="AR140" s="586"/>
    </row>
    <row r="141" spans="4:44" x14ac:dyDescent="0.25">
      <c r="D141" s="175"/>
      <c r="E141" s="66" t="s">
        <v>46</v>
      </c>
      <c r="F141" s="176"/>
      <c r="G141" s="90" t="s">
        <v>201</v>
      </c>
      <c r="H141" s="572"/>
      <c r="I141" s="572"/>
      <c r="J141" s="582">
        <f>'Initial unit rates'!J139</f>
        <v>7.7953746736327822E-2</v>
      </c>
      <c r="K141" s="582">
        <f>'Initial unit rates'!K139</f>
        <v>5.466884095806672E-2</v>
      </c>
      <c r="L141" s="582">
        <f>'Initial unit rates'!L139</f>
        <v>0</v>
      </c>
      <c r="M141" s="582">
        <f>'Initial unit rates'!M139</f>
        <v>6.1975314284280672E-2</v>
      </c>
      <c r="N141" s="582">
        <f>'Initial unit rates'!N139</f>
        <v>6.6005302790100764E-2</v>
      </c>
      <c r="O141" s="582">
        <f>'Initial unit rates'!O139</f>
        <v>0</v>
      </c>
      <c r="P141" s="582">
        <f>'Initial unit rates'!P139</f>
        <v>4.8040878539482655E-2</v>
      </c>
      <c r="Q141" s="582">
        <f>'Initial unit rates'!Q139</f>
        <v>4.0057540869352301E-2</v>
      </c>
      <c r="R141" s="582">
        <f>'Initial unit rates'!R139</f>
        <v>4.8744799413548735E-2</v>
      </c>
      <c r="S141" s="582">
        <f>'Initial unit rates'!S139</f>
        <v>0.11808153912833286</v>
      </c>
      <c r="T141" s="582">
        <f>'Initial unit rates'!T139</f>
        <v>5.9330163950546834E-2</v>
      </c>
      <c r="U141" s="582">
        <f>'Initial unit rates'!U139</f>
        <v>4.926637581554736E-2</v>
      </c>
      <c r="V141" s="582">
        <f>'Initial unit rates'!V139</f>
        <v>4.3073214512383745E-2</v>
      </c>
      <c r="W141" s="582">
        <f>'Initial unit rates'!W139</f>
        <v>3.7737090207276024E-2</v>
      </c>
      <c r="X141" s="582">
        <f>'Initial unit rates'!X139</f>
        <v>3.5614567986348017E-2</v>
      </c>
      <c r="Y141" s="582">
        <f>'Initial unit rates'!Y139</f>
        <v>6.3020511457380704E-2</v>
      </c>
      <c r="Z141" s="582">
        <f>'Initial unit rates'!Z139</f>
        <v>0.11801885126180472</v>
      </c>
      <c r="AA141" s="582">
        <f>'Initial unit rates'!AA139</f>
        <v>1.8331853231327827E-2</v>
      </c>
      <c r="AB141" s="582">
        <f>'Initial unit rates'!AB139</f>
        <v>6.1497624629707939E-2</v>
      </c>
      <c r="AC141" s="587"/>
      <c r="AD141" s="587"/>
      <c r="AE141" s="587"/>
      <c r="AF141" s="587"/>
      <c r="AG141" s="587"/>
      <c r="AH141" s="587"/>
      <c r="AI141" s="587"/>
      <c r="AJ141" s="587"/>
      <c r="AK141" s="587"/>
      <c r="AL141" s="587"/>
      <c r="AM141" s="587"/>
      <c r="AN141" s="587"/>
      <c r="AO141" s="587"/>
      <c r="AP141" s="587"/>
      <c r="AQ141" s="571"/>
      <c r="AR141" s="586"/>
    </row>
    <row r="142" spans="4:44" x14ac:dyDescent="0.25">
      <c r="D142" s="175"/>
      <c r="E142" s="66" t="s">
        <v>47</v>
      </c>
      <c r="F142" s="176"/>
      <c r="G142" s="90" t="s">
        <v>201</v>
      </c>
      <c r="H142" s="572"/>
      <c r="I142" s="572"/>
      <c r="J142" s="582">
        <f>'Initial unit rates'!J140</f>
        <v>5.9376077873750384E-2</v>
      </c>
      <c r="K142" s="582">
        <f>'Initial unit rates'!K140</f>
        <v>4.1640350770736474E-2</v>
      </c>
      <c r="L142" s="582">
        <f>'Initial unit rates'!L140</f>
        <v>0</v>
      </c>
      <c r="M142" s="582">
        <f>'Initial unit rates'!M140</f>
        <v>4.7205570498624005E-2</v>
      </c>
      <c r="N142" s="582">
        <f>'Initial unit rates'!N140</f>
        <v>5.0275146001662427E-2</v>
      </c>
      <c r="O142" s="582">
        <f>'Initial unit rates'!O140</f>
        <v>0</v>
      </c>
      <c r="P142" s="582">
        <f>'Initial unit rates'!P140</f>
        <v>3.659194156416859E-2</v>
      </c>
      <c r="Q142" s="582">
        <f>'Initial unit rates'!Q140</f>
        <v>3.0511165475272748E-2</v>
      </c>
      <c r="R142" s="582">
        <f>'Initial unit rates'!R140</f>
        <v>3.7128106436100636E-2</v>
      </c>
      <c r="S142" s="582">
        <f>'Initial unit rates'!S140</f>
        <v>8.9940752770371238E-2</v>
      </c>
      <c r="T142" s="582">
        <f>'Initial unit rates'!T140</f>
        <v>4.5190803296544603E-2</v>
      </c>
      <c r="U142" s="582">
        <f>'Initial unit rates'!U140</f>
        <v>3.7525382543520218E-2</v>
      </c>
      <c r="V142" s="582">
        <f>'Initial unit rates'!V140</f>
        <v>3.2808154145696801E-2</v>
      </c>
      <c r="W142" s="582">
        <f>'Initial unit rates'!W140</f>
        <v>2.8743716635646555E-2</v>
      </c>
      <c r="X142" s="582">
        <f>'Initial unit rates'!X140</f>
        <v>2.7127026611690894E-2</v>
      </c>
      <c r="Y142" s="582">
        <f>'Initial unit rates'!Y140</f>
        <v>4.8001679875551366E-2</v>
      </c>
      <c r="Z142" s="582">
        <f>'Initial unit rates'!Z140</f>
        <v>8.9893004460629269E-2</v>
      </c>
      <c r="AA142" s="582">
        <f>'Initial unit rates'!AA140</f>
        <v>1.3963069006999194E-2</v>
      </c>
      <c r="AB142" s="582">
        <f>'Initial unit rates'!AB140</f>
        <v>4.6841722199897164E-2</v>
      </c>
      <c r="AC142" s="587"/>
      <c r="AD142" s="587"/>
      <c r="AE142" s="587"/>
      <c r="AF142" s="587"/>
      <c r="AG142" s="587"/>
      <c r="AH142" s="587"/>
      <c r="AI142" s="587"/>
      <c r="AJ142" s="587"/>
      <c r="AK142" s="587"/>
      <c r="AL142" s="587"/>
      <c r="AM142" s="587"/>
      <c r="AN142" s="587"/>
      <c r="AO142" s="587"/>
      <c r="AP142" s="587"/>
      <c r="AQ142" s="571"/>
      <c r="AR142" s="586"/>
    </row>
    <row r="143" spans="4:44" x14ac:dyDescent="0.25">
      <c r="D143" s="175"/>
      <c r="E143" s="66" t="s">
        <v>51</v>
      </c>
      <c r="F143" s="176"/>
      <c r="G143" s="90" t="s">
        <v>201</v>
      </c>
      <c r="H143" s="572"/>
      <c r="I143" s="572"/>
      <c r="J143" s="582">
        <f>'Initial unit rates'!J141</f>
        <v>0</v>
      </c>
      <c r="K143" s="582">
        <f>'Initial unit rates'!K141</f>
        <v>0</v>
      </c>
      <c r="L143" s="582">
        <f>'Initial unit rates'!L141</f>
        <v>0</v>
      </c>
      <c r="M143" s="582">
        <f>'Initial unit rates'!M141</f>
        <v>0</v>
      </c>
      <c r="N143" s="582">
        <f>'Initial unit rates'!N141</f>
        <v>0</v>
      </c>
      <c r="O143" s="582">
        <f>'Initial unit rates'!O141</f>
        <v>0</v>
      </c>
      <c r="P143" s="582">
        <f>'Initial unit rates'!P141</f>
        <v>0</v>
      </c>
      <c r="Q143" s="582">
        <f>'Initial unit rates'!Q141</f>
        <v>0</v>
      </c>
      <c r="R143" s="582">
        <f>'Initial unit rates'!R141</f>
        <v>0</v>
      </c>
      <c r="S143" s="582">
        <f>'Initial unit rates'!S141</f>
        <v>0</v>
      </c>
      <c r="T143" s="582">
        <f>'Initial unit rates'!T141</f>
        <v>0</v>
      </c>
      <c r="U143" s="582">
        <f>'Initial unit rates'!U141</f>
        <v>0</v>
      </c>
      <c r="V143" s="582">
        <f>'Initial unit rates'!V141</f>
        <v>0</v>
      </c>
      <c r="W143" s="582">
        <f>'Initial unit rates'!W141</f>
        <v>0</v>
      </c>
      <c r="X143" s="582">
        <f>'Initial unit rates'!X141</f>
        <v>0</v>
      </c>
      <c r="Y143" s="582">
        <f>'Initial unit rates'!Y141</f>
        <v>0</v>
      </c>
      <c r="Z143" s="582">
        <f>'Initial unit rates'!Z141</f>
        <v>0</v>
      </c>
      <c r="AA143" s="582">
        <f>'Initial unit rates'!AA141</f>
        <v>0</v>
      </c>
      <c r="AB143" s="582">
        <f>'Initial unit rates'!AB141</f>
        <v>0</v>
      </c>
      <c r="AC143" s="587"/>
      <c r="AD143" s="587"/>
      <c r="AE143" s="587"/>
      <c r="AF143" s="587"/>
      <c r="AG143" s="587"/>
      <c r="AH143" s="587"/>
      <c r="AI143" s="587"/>
      <c r="AJ143" s="587"/>
      <c r="AK143" s="587"/>
      <c r="AL143" s="587"/>
      <c r="AM143" s="587"/>
      <c r="AN143" s="587"/>
      <c r="AO143" s="587"/>
      <c r="AP143" s="587"/>
      <c r="AQ143" s="571"/>
      <c r="AR143" s="586"/>
    </row>
    <row r="144" spans="4:44" x14ac:dyDescent="0.25">
      <c r="D144" s="175"/>
      <c r="E144" s="66" t="s">
        <v>48</v>
      </c>
      <c r="F144" s="176"/>
      <c r="G144" s="90" t="s">
        <v>201</v>
      </c>
      <c r="H144" s="572"/>
      <c r="I144" s="572"/>
      <c r="J144" s="582">
        <f>'Initial unit rates'!J142</f>
        <v>0.19413373246244323</v>
      </c>
      <c r="K144" s="582">
        <f>'Initial unit rates'!K142</f>
        <v>0.13614568367679636</v>
      </c>
      <c r="L144" s="582">
        <f>'Initial unit rates'!L142</f>
        <v>0</v>
      </c>
      <c r="M144" s="582">
        <f>'Initial unit rates'!M142</f>
        <v>0.15434151129689688</v>
      </c>
      <c r="N144" s="582">
        <f>'Initial unit rates'!N142</f>
        <v>0.16437767688444535</v>
      </c>
      <c r="O144" s="582">
        <f>'Initial unit rates'!O142</f>
        <v>0</v>
      </c>
      <c r="P144" s="582">
        <f>'Initial unit rates'!P142</f>
        <v>0.11963959978973543</v>
      </c>
      <c r="Q144" s="582">
        <f>'Initial unit rates'!Q142</f>
        <v>9.9758128990742018E-2</v>
      </c>
      <c r="R144" s="582">
        <f>'Initial unit rates'!R142</f>
        <v>0.1213926237605126</v>
      </c>
      <c r="S144" s="582">
        <f>'Initial unit rates'!S142</f>
        <v>0.2940668137919083</v>
      </c>
      <c r="T144" s="582">
        <f>'Initial unit rates'!T142</f>
        <v>0.14775410621745996</v>
      </c>
      <c r="U144" s="582">
        <f>'Initial unit rates'!U142</f>
        <v>0.12269154238756476</v>
      </c>
      <c r="V144" s="582">
        <f>'Initial unit rates'!V142</f>
        <v>0.10726827449010493</v>
      </c>
      <c r="W144" s="582">
        <f>'Initial unit rates'!W142</f>
        <v>9.3979346483372375E-2</v>
      </c>
      <c r="X144" s="582">
        <f>'Initial unit rates'!X142</f>
        <v>8.8693479180842763E-2</v>
      </c>
      <c r="Y144" s="582">
        <f>'Initial unit rates'!Y142</f>
        <v>0.15694443978806263</v>
      </c>
      <c r="Z144" s="582">
        <f>'Initial unit rates'!Z142</f>
        <v>0.29391069776132955</v>
      </c>
      <c r="AA144" s="582">
        <f>'Initial unit rates'!AA142</f>
        <v>4.5653111489160708E-2</v>
      </c>
      <c r="AB144" s="582">
        <f>'Initial unit rates'!AB142</f>
        <v>0.15315188694292489</v>
      </c>
      <c r="AC144" s="587"/>
      <c r="AD144" s="587"/>
      <c r="AE144" s="587"/>
      <c r="AF144" s="587"/>
      <c r="AG144" s="587"/>
      <c r="AH144" s="587"/>
      <c r="AI144" s="587"/>
      <c r="AJ144" s="587"/>
      <c r="AK144" s="587"/>
      <c r="AL144" s="587"/>
      <c r="AM144" s="587"/>
      <c r="AN144" s="587"/>
      <c r="AO144" s="587"/>
      <c r="AP144" s="587"/>
      <c r="AQ144" s="571"/>
      <c r="AR144" s="586"/>
    </row>
    <row r="145" spans="1:44" x14ac:dyDescent="0.25">
      <c r="D145" s="175"/>
      <c r="E145" s="66" t="s">
        <v>49</v>
      </c>
      <c r="F145" s="176"/>
      <c r="G145" s="90" t="s">
        <v>201</v>
      </c>
      <c r="H145" s="572"/>
      <c r="I145" s="572"/>
      <c r="J145" s="582">
        <f>'Initial unit rates'!J143</f>
        <v>6.3656615216814788E-2</v>
      </c>
      <c r="K145" s="582">
        <f>'Initial unit rates'!K143</f>
        <v>4.4642284930675957E-2</v>
      </c>
      <c r="L145" s="582">
        <f>'Initial unit rates'!L143</f>
        <v>0</v>
      </c>
      <c r="M145" s="582">
        <f>'Initial unit rates'!M143</f>
        <v>5.0608712210841247E-2</v>
      </c>
      <c r="N145" s="582">
        <f>'Initial unit rates'!N143</f>
        <v>5.3899579403035185E-2</v>
      </c>
      <c r="O145" s="582">
        <f>'Initial unit rates'!O143</f>
        <v>0</v>
      </c>
      <c r="P145" s="582">
        <f>'Initial unit rates'!P143</f>
        <v>3.9229926051013594E-2</v>
      </c>
      <c r="Q145" s="582">
        <f>'Initial unit rates'!Q143</f>
        <v>3.2710774945521395E-2</v>
      </c>
      <c r="R145" s="582">
        <f>'Initial unit rates'!R143</f>
        <v>0</v>
      </c>
      <c r="S145" s="582">
        <f>'Initial unit rates'!S143</f>
        <v>9.6424757182307988E-2</v>
      </c>
      <c r="T145" s="582">
        <f>'Initial unit rates'!T143</f>
        <v>4.8448696508778075E-2</v>
      </c>
      <c r="U145" s="582">
        <f>'Initial unit rates'!U143</f>
        <v>4.0230660612439753E-2</v>
      </c>
      <c r="V145" s="582">
        <f>'Initial unit rates'!V143</f>
        <v>3.5173358012416917E-2</v>
      </c>
      <c r="W145" s="582">
        <f>'Initial unit rates'!W143</f>
        <v>0</v>
      </c>
      <c r="X145" s="582">
        <f>'Initial unit rates'!X143</f>
        <v>2.9082666906163422E-2</v>
      </c>
      <c r="Y145" s="582">
        <f>'Initial unit rates'!Y143</f>
        <v>5.1462214666583073E-2</v>
      </c>
      <c r="Z145" s="582">
        <f>'Initial unit rates'!Z143</f>
        <v>9.6373566603722441E-2</v>
      </c>
      <c r="AA145" s="582">
        <f>'Initial unit rates'!AA143</f>
        <v>1.4969693904577162E-2</v>
      </c>
      <c r="AB145" s="582">
        <f>'Initial unit rates'!AB143</f>
        <v>5.0218633378106725E-2</v>
      </c>
      <c r="AC145" s="587"/>
      <c r="AD145" s="587"/>
      <c r="AE145" s="587"/>
      <c r="AF145" s="587"/>
      <c r="AG145" s="587"/>
      <c r="AH145" s="587"/>
      <c r="AI145" s="587"/>
      <c r="AJ145" s="587"/>
      <c r="AK145" s="587"/>
      <c r="AL145" s="587"/>
      <c r="AM145" s="587"/>
      <c r="AN145" s="587"/>
      <c r="AO145" s="587"/>
      <c r="AP145" s="587"/>
      <c r="AQ145" s="571"/>
      <c r="AR145" s="586"/>
    </row>
    <row r="146" spans="1:44" x14ac:dyDescent="0.25">
      <c r="D146" s="175"/>
      <c r="E146" s="66" t="s">
        <v>50</v>
      </c>
      <c r="F146" s="176"/>
      <c r="G146" s="90" t="s">
        <v>201</v>
      </c>
      <c r="H146" s="572"/>
      <c r="I146" s="572"/>
      <c r="J146" s="582">
        <f>'Initial unit rates'!J144</f>
        <v>0.11449786522070403</v>
      </c>
      <c r="K146" s="582">
        <f>'Initial unit rates'!K144</f>
        <v>8.0297174232830129E-2</v>
      </c>
      <c r="L146" s="582">
        <f>'Initial unit rates'!L144</f>
        <v>0</v>
      </c>
      <c r="M146" s="582">
        <f>'Initial unit rates'!M144</f>
        <v>9.1028866206189191E-2</v>
      </c>
      <c r="N146" s="582">
        <f>'Initial unit rates'!N144</f>
        <v>9.6948082409370667E-2</v>
      </c>
      <c r="O146" s="582">
        <f>'Initial unit rates'!O144</f>
        <v>0</v>
      </c>
      <c r="P146" s="582">
        <f>'Initial unit rates'!P144</f>
        <v>7.0562073875719583E-2</v>
      </c>
      <c r="Q146" s="582">
        <f>'Initial unit rates'!Q144</f>
        <v>0</v>
      </c>
      <c r="R146" s="582">
        <f>'Initial unit rates'!R144</f>
        <v>0</v>
      </c>
      <c r="S146" s="582">
        <f>'Initial unit rates'!S144</f>
        <v>0.17343725886453831</v>
      </c>
      <c r="T146" s="582">
        <f>'Initial unit rates'!T144</f>
        <v>8.7143689687031359E-2</v>
      </c>
      <c r="U146" s="582">
        <f>'Initial unit rates'!U144</f>
        <v>7.2362074873975724E-2</v>
      </c>
      <c r="V146" s="582">
        <f>'Initial unit rates'!V144</f>
        <v>0</v>
      </c>
      <c r="W146" s="582">
        <f>'Initial unit rates'!W144</f>
        <v>0</v>
      </c>
      <c r="X146" s="582">
        <f>'Initial unit rates'!X144</f>
        <v>5.2310404257889929E-2</v>
      </c>
      <c r="Y146" s="582">
        <f>'Initial unit rates'!Y144</f>
        <v>9.2564043796298512E-2</v>
      </c>
      <c r="Z146" s="582">
        <f>'Initial unit rates'!Z144</f>
        <v>0.17334518340706234</v>
      </c>
      <c r="AA146" s="582">
        <f>'Initial unit rates'!AA144</f>
        <v>2.6925685401958364E-2</v>
      </c>
      <c r="AB146" s="582">
        <f>'Initial unit rates'!AB144</f>
        <v>9.0327239305924956E-2</v>
      </c>
      <c r="AC146" s="587"/>
      <c r="AD146" s="587"/>
      <c r="AE146" s="587"/>
      <c r="AF146" s="587"/>
      <c r="AG146" s="587"/>
      <c r="AH146" s="587"/>
      <c r="AI146" s="587"/>
      <c r="AJ146" s="587"/>
      <c r="AK146" s="587"/>
      <c r="AL146" s="587"/>
      <c r="AM146" s="587"/>
      <c r="AN146" s="587"/>
      <c r="AO146" s="587"/>
      <c r="AP146" s="587"/>
      <c r="AQ146" s="571"/>
      <c r="AR146" s="586"/>
    </row>
    <row r="147" spans="1:44" x14ac:dyDescent="0.25">
      <c r="D147" s="175"/>
      <c r="E147" s="66" t="s">
        <v>141</v>
      </c>
      <c r="F147" s="176"/>
      <c r="G147" s="90" t="s">
        <v>201</v>
      </c>
      <c r="H147" s="572"/>
      <c r="I147" s="572"/>
      <c r="J147" s="587"/>
      <c r="K147" s="587"/>
      <c r="L147" s="587"/>
      <c r="M147" s="587"/>
      <c r="N147" s="587"/>
      <c r="O147" s="587"/>
      <c r="P147" s="587"/>
      <c r="Q147" s="587"/>
      <c r="R147" s="587"/>
      <c r="S147" s="587"/>
      <c r="T147" s="587"/>
      <c r="U147" s="587"/>
      <c r="V147" s="587"/>
      <c r="W147" s="587"/>
      <c r="X147" s="587"/>
      <c r="Y147" s="587"/>
      <c r="Z147" s="587"/>
      <c r="AA147" s="587"/>
      <c r="AB147" s="587"/>
      <c r="AC147" s="587"/>
      <c r="AD147" s="587"/>
      <c r="AE147" s="587"/>
      <c r="AF147" s="587"/>
      <c r="AG147" s="587"/>
      <c r="AH147" s="587"/>
      <c r="AI147" s="587"/>
      <c r="AJ147" s="587"/>
      <c r="AK147" s="587"/>
      <c r="AL147" s="587"/>
      <c r="AM147" s="587"/>
      <c r="AN147" s="587"/>
      <c r="AO147" s="587"/>
      <c r="AP147" s="587"/>
      <c r="AQ147" s="571"/>
      <c r="AR147" s="586"/>
    </row>
    <row r="148" spans="1:44" x14ac:dyDescent="0.25">
      <c r="D148" s="175"/>
      <c r="E148" s="67" t="s">
        <v>140</v>
      </c>
      <c r="F148" s="177"/>
      <c r="G148" s="16" t="s">
        <v>201</v>
      </c>
      <c r="H148" s="574"/>
      <c r="I148" s="574"/>
      <c r="J148" s="579"/>
      <c r="K148" s="579"/>
      <c r="L148" s="579"/>
      <c r="M148" s="579"/>
      <c r="N148" s="579"/>
      <c r="O148" s="579"/>
      <c r="P148" s="579"/>
      <c r="Q148" s="579"/>
      <c r="R148" s="579"/>
      <c r="S148" s="579"/>
      <c r="T148" s="579"/>
      <c r="U148" s="579"/>
      <c r="V148" s="579"/>
      <c r="W148" s="579"/>
      <c r="X148" s="579"/>
      <c r="Y148" s="579"/>
      <c r="Z148" s="579"/>
      <c r="AA148" s="579"/>
      <c r="AB148" s="579"/>
      <c r="AC148" s="579"/>
      <c r="AD148" s="579"/>
      <c r="AE148" s="579"/>
      <c r="AF148" s="579"/>
      <c r="AG148" s="579"/>
      <c r="AH148" s="579"/>
      <c r="AI148" s="579"/>
      <c r="AJ148" s="579"/>
      <c r="AK148" s="579"/>
      <c r="AL148" s="579"/>
      <c r="AM148" s="579"/>
      <c r="AN148" s="579"/>
      <c r="AO148" s="579"/>
      <c r="AP148" s="579"/>
      <c r="AQ148" s="571"/>
      <c r="AR148" s="586"/>
    </row>
    <row r="149" spans="1:44" x14ac:dyDescent="0.25">
      <c r="D149" s="88"/>
      <c r="E149" s="160"/>
      <c r="J149" s="416"/>
      <c r="K149" s="416"/>
      <c r="L149" s="416"/>
      <c r="M149" s="416"/>
      <c r="N149" s="416"/>
      <c r="O149" s="416"/>
      <c r="P149" s="416"/>
      <c r="Q149" s="416"/>
      <c r="R149" s="416"/>
      <c r="S149" s="416"/>
      <c r="T149" s="416"/>
      <c r="U149" s="416"/>
      <c r="V149" s="416"/>
      <c r="W149" s="416"/>
      <c r="X149" s="416"/>
      <c r="Y149" s="416"/>
      <c r="Z149" s="416"/>
      <c r="AA149" s="416"/>
      <c r="AB149" s="416"/>
      <c r="AC149" s="416"/>
      <c r="AD149" s="416"/>
      <c r="AE149" s="416"/>
      <c r="AF149" s="416"/>
      <c r="AG149" s="416"/>
      <c r="AH149" s="416"/>
      <c r="AI149" s="416"/>
      <c r="AJ149" s="416"/>
      <c r="AK149" s="416"/>
      <c r="AL149" s="416"/>
      <c r="AM149" s="416"/>
      <c r="AN149" s="416"/>
      <c r="AO149" s="416"/>
      <c r="AP149" s="416"/>
    </row>
    <row r="150" spans="1:44" x14ac:dyDescent="0.25">
      <c r="B150" s="171" t="s">
        <v>570</v>
      </c>
      <c r="C150" s="171"/>
      <c r="D150" s="171"/>
      <c r="E150" s="171"/>
      <c r="F150" s="171"/>
      <c r="G150" s="171"/>
      <c r="H150" s="171"/>
      <c r="I150" s="171"/>
      <c r="J150" s="454"/>
      <c r="K150" s="454"/>
      <c r="L150" s="454"/>
      <c r="M150" s="454"/>
      <c r="N150" s="454"/>
      <c r="O150" s="454"/>
      <c r="P150" s="454"/>
      <c r="Q150" s="454"/>
      <c r="R150" s="454"/>
      <c r="S150" s="454"/>
      <c r="T150" s="454"/>
      <c r="U150" s="454"/>
      <c r="V150" s="454"/>
      <c r="W150" s="454"/>
      <c r="X150" s="454"/>
      <c r="Y150" s="454"/>
      <c r="Z150" s="454"/>
      <c r="AA150" s="454"/>
      <c r="AB150" s="454"/>
      <c r="AC150" s="454"/>
      <c r="AD150" s="454"/>
      <c r="AE150" s="454"/>
      <c r="AF150" s="454"/>
      <c r="AG150" s="454"/>
      <c r="AH150" s="454"/>
      <c r="AI150" s="454"/>
      <c r="AJ150" s="454"/>
      <c r="AK150" s="454"/>
      <c r="AL150" s="454"/>
      <c r="AM150" s="454"/>
      <c r="AN150" s="454"/>
      <c r="AO150" s="454"/>
      <c r="AP150" s="454"/>
      <c r="AQ150" s="171"/>
      <c r="AR150" s="171"/>
    </row>
    <row r="151" spans="1:44" s="160" customFormat="1" x14ac:dyDescent="0.25">
      <c r="C151" s="127"/>
      <c r="J151" s="416"/>
      <c r="K151" s="416"/>
      <c r="L151" s="416"/>
      <c r="M151" s="416"/>
      <c r="N151" s="416"/>
      <c r="O151" s="416"/>
      <c r="P151" s="416"/>
      <c r="Q151" s="416"/>
      <c r="R151" s="416"/>
      <c r="S151" s="416"/>
      <c r="T151" s="416"/>
      <c r="U151" s="416"/>
      <c r="V151" s="416"/>
      <c r="W151" s="416"/>
      <c r="X151" s="416"/>
      <c r="Y151" s="416"/>
      <c r="Z151" s="416"/>
      <c r="AA151" s="416"/>
      <c r="AB151" s="416"/>
      <c r="AC151" s="416"/>
      <c r="AD151" s="416"/>
      <c r="AE151" s="416"/>
      <c r="AF151" s="416"/>
      <c r="AG151" s="416"/>
      <c r="AH151" s="416"/>
      <c r="AI151" s="416"/>
      <c r="AJ151" s="416"/>
      <c r="AK151" s="416"/>
      <c r="AL151" s="416"/>
      <c r="AM151" s="416"/>
      <c r="AN151" s="416"/>
      <c r="AO151" s="416"/>
      <c r="AP151" s="416"/>
    </row>
    <row r="152" spans="1:44" x14ac:dyDescent="0.25">
      <c r="C152" s="152" t="s">
        <v>766</v>
      </c>
      <c r="D152" s="88"/>
      <c r="E152" s="160"/>
      <c r="J152" s="416"/>
      <c r="K152" s="416"/>
      <c r="L152" s="416"/>
      <c r="M152" s="416"/>
      <c r="N152" s="416"/>
      <c r="O152" s="416"/>
      <c r="P152" s="416"/>
      <c r="Q152" s="416"/>
      <c r="R152" s="416"/>
      <c r="S152" s="416"/>
      <c r="T152" s="416"/>
      <c r="U152" s="416"/>
      <c r="V152" s="416"/>
      <c r="W152" s="416"/>
      <c r="X152" s="416"/>
      <c r="Y152" s="416"/>
      <c r="Z152" s="416"/>
      <c r="AA152" s="416"/>
      <c r="AB152" s="416"/>
      <c r="AC152" s="416"/>
      <c r="AD152" s="416"/>
      <c r="AE152" s="416"/>
      <c r="AF152" s="416"/>
      <c r="AG152" s="416"/>
      <c r="AH152" s="416"/>
      <c r="AI152" s="416"/>
      <c r="AJ152" s="416"/>
      <c r="AK152" s="416"/>
      <c r="AL152" s="416"/>
      <c r="AM152" s="416"/>
      <c r="AN152" s="416"/>
      <c r="AO152" s="416"/>
      <c r="AP152" s="416"/>
    </row>
    <row r="153" spans="1:44" s="160" customFormat="1" x14ac:dyDescent="0.25">
      <c r="C153" s="152" t="s">
        <v>767</v>
      </c>
      <c r="J153" s="416"/>
      <c r="K153" s="416"/>
      <c r="L153" s="416"/>
      <c r="M153" s="416"/>
      <c r="N153" s="416"/>
      <c r="O153" s="416"/>
      <c r="P153" s="416"/>
      <c r="Q153" s="416"/>
      <c r="R153" s="416"/>
      <c r="S153" s="416"/>
      <c r="T153" s="416"/>
      <c r="U153" s="416"/>
      <c r="V153" s="416"/>
      <c r="W153" s="416"/>
      <c r="X153" s="416"/>
      <c r="Y153" s="416"/>
      <c r="Z153" s="416"/>
      <c r="AA153" s="416"/>
      <c r="AB153" s="416"/>
      <c r="AC153" s="416"/>
      <c r="AD153" s="416"/>
      <c r="AE153" s="416"/>
      <c r="AF153" s="416"/>
      <c r="AG153" s="416"/>
      <c r="AH153" s="416"/>
      <c r="AI153" s="416"/>
      <c r="AJ153" s="416"/>
      <c r="AK153" s="416"/>
      <c r="AL153" s="416"/>
      <c r="AM153" s="416"/>
      <c r="AN153" s="416"/>
      <c r="AO153" s="416"/>
      <c r="AP153" s="416"/>
    </row>
    <row r="154" spans="1:44" s="160" customFormat="1" x14ac:dyDescent="0.25">
      <c r="C154" s="127"/>
      <c r="J154" s="416"/>
      <c r="K154" s="416"/>
      <c r="L154" s="416"/>
      <c r="M154" s="416"/>
      <c r="N154" s="416"/>
      <c r="O154" s="416"/>
      <c r="P154" s="416"/>
      <c r="Q154" s="416"/>
      <c r="R154" s="416"/>
      <c r="S154" s="416"/>
      <c r="T154" s="416"/>
      <c r="U154" s="416"/>
      <c r="V154" s="416"/>
      <c r="W154" s="416"/>
      <c r="X154" s="416"/>
      <c r="Y154" s="416"/>
      <c r="Z154" s="416"/>
      <c r="AA154" s="416"/>
      <c r="AB154" s="416"/>
      <c r="AC154" s="416"/>
      <c r="AD154" s="416"/>
      <c r="AE154" s="416"/>
      <c r="AF154" s="416"/>
      <c r="AG154" s="416"/>
      <c r="AH154" s="416"/>
      <c r="AI154" s="416"/>
      <c r="AJ154" s="416"/>
      <c r="AK154" s="416"/>
      <c r="AL154" s="416"/>
      <c r="AM154" s="416"/>
      <c r="AN154" s="416"/>
      <c r="AO154" s="416"/>
      <c r="AP154" s="416"/>
    </row>
    <row r="155" spans="1:44" s="160" customFormat="1" x14ac:dyDescent="0.25">
      <c r="C155" s="22" t="str">
        <f ca="1">INDEX('Version control'!$H$34:$H$59,MATCH($A$1,'Version control'!$F$34:$F$59,0),1)&amp;"-C: Yardstick charge used for generation"</f>
        <v>Section 515-C: Yardstick charge used for generation</v>
      </c>
      <c r="D155" s="22"/>
      <c r="E155" s="22"/>
      <c r="F155" s="22"/>
      <c r="G155" s="22"/>
      <c r="H155" s="22"/>
      <c r="I155" s="22"/>
      <c r="J155" s="406"/>
      <c r="K155" s="406"/>
      <c r="L155" s="406"/>
      <c r="M155" s="406"/>
      <c r="N155" s="406"/>
      <c r="O155" s="406"/>
      <c r="P155" s="406"/>
      <c r="Q155" s="406"/>
      <c r="R155" s="406"/>
      <c r="S155" s="406"/>
      <c r="T155" s="406"/>
      <c r="U155" s="406"/>
      <c r="V155" s="406"/>
      <c r="W155" s="406"/>
      <c r="X155" s="406"/>
      <c r="Y155" s="406"/>
      <c r="Z155" s="406"/>
      <c r="AA155" s="406"/>
      <c r="AB155" s="406"/>
      <c r="AC155" s="406"/>
      <c r="AD155" s="406"/>
      <c r="AE155" s="406"/>
      <c r="AF155" s="406"/>
      <c r="AG155" s="406"/>
      <c r="AH155" s="406"/>
      <c r="AI155" s="406"/>
      <c r="AJ155" s="406"/>
      <c r="AK155" s="406"/>
      <c r="AL155" s="406"/>
      <c r="AM155" s="406"/>
      <c r="AN155" s="406"/>
      <c r="AO155" s="406"/>
      <c r="AP155" s="406"/>
      <c r="AQ155" s="22"/>
      <c r="AR155" s="22"/>
    </row>
    <row r="156" spans="1:44" s="160" customFormat="1" x14ac:dyDescent="0.25">
      <c r="D156" s="172"/>
      <c r="E156" s="172"/>
      <c r="I156" s="160" t="s">
        <v>525</v>
      </c>
      <c r="J156" s="416"/>
      <c r="K156" s="416"/>
      <c r="L156" s="416"/>
      <c r="M156" s="416"/>
      <c r="N156" s="416"/>
      <c r="O156" s="416"/>
      <c r="P156" s="416"/>
      <c r="Q156" s="416"/>
      <c r="R156" s="416"/>
      <c r="S156" s="416"/>
      <c r="T156" s="416"/>
      <c r="U156" s="416"/>
      <c r="V156" s="416"/>
      <c r="W156" s="416"/>
      <c r="X156" s="416"/>
      <c r="Y156" s="416"/>
      <c r="Z156" s="416"/>
      <c r="AA156" s="416"/>
      <c r="AB156" s="416"/>
      <c r="AC156" s="416"/>
      <c r="AD156" s="416"/>
      <c r="AE156" s="416"/>
      <c r="AF156" s="416"/>
      <c r="AG156" s="416"/>
      <c r="AH156" s="416"/>
      <c r="AI156" s="416"/>
      <c r="AJ156" s="416"/>
      <c r="AK156" s="416"/>
      <c r="AL156" s="416"/>
      <c r="AM156" s="416"/>
      <c r="AN156" s="416"/>
      <c r="AO156" s="416"/>
      <c r="AP156" s="416"/>
      <c r="AR156" s="160" t="s">
        <v>986</v>
      </c>
    </row>
    <row r="157" spans="1:44" s="131" customFormat="1" x14ac:dyDescent="0.25">
      <c r="A157" s="160"/>
      <c r="E157" s="172" t="s">
        <v>156</v>
      </c>
      <c r="J157" s="416"/>
      <c r="K157" s="416"/>
      <c r="L157" s="416"/>
      <c r="M157" s="416"/>
      <c r="N157" s="416"/>
      <c r="O157" s="416"/>
      <c r="P157" s="416"/>
      <c r="Q157" s="416"/>
      <c r="R157" s="416"/>
      <c r="S157" s="416"/>
      <c r="T157" s="416"/>
      <c r="U157" s="416"/>
      <c r="V157" s="416"/>
      <c r="W157" s="416"/>
      <c r="X157" s="416"/>
      <c r="Y157" s="416"/>
      <c r="Z157" s="416"/>
      <c r="AA157" s="416"/>
      <c r="AB157" s="416"/>
      <c r="AC157" s="416"/>
      <c r="AD157" s="416"/>
      <c r="AE157" s="416"/>
      <c r="AF157" s="416"/>
      <c r="AG157" s="416"/>
      <c r="AH157" s="416"/>
      <c r="AI157" s="416"/>
      <c r="AJ157" s="416"/>
      <c r="AK157" s="416"/>
      <c r="AL157" s="416"/>
      <c r="AM157" s="416"/>
      <c r="AN157" s="416"/>
      <c r="AO157" s="416"/>
      <c r="AP157" s="416"/>
    </row>
    <row r="158" spans="1:44" s="131" customFormat="1" x14ac:dyDescent="0.25">
      <c r="A158" s="160"/>
      <c r="E158" s="175"/>
      <c r="F158" s="72" t="s">
        <v>397</v>
      </c>
      <c r="G158" s="137" t="s">
        <v>201</v>
      </c>
      <c r="H158" s="569"/>
      <c r="I158" s="569"/>
      <c r="J158" s="583"/>
      <c r="K158" s="583"/>
      <c r="L158" s="583"/>
      <c r="M158" s="583"/>
      <c r="N158" s="583"/>
      <c r="O158" s="583"/>
      <c r="P158" s="583"/>
      <c r="Q158" s="583"/>
      <c r="R158" s="583"/>
      <c r="S158" s="583"/>
      <c r="T158" s="583"/>
      <c r="U158" s="583"/>
      <c r="V158" s="583"/>
      <c r="W158" s="583"/>
      <c r="X158" s="583"/>
      <c r="Y158" s="583"/>
      <c r="Z158" s="583"/>
      <c r="AA158" s="583"/>
      <c r="AB158" s="583"/>
      <c r="AC158" s="583"/>
      <c r="AD158" s="583"/>
      <c r="AE158" s="583"/>
      <c r="AF158" s="583"/>
      <c r="AG158" s="583"/>
      <c r="AH158" s="583"/>
      <c r="AI158" s="583"/>
      <c r="AJ158" s="583"/>
      <c r="AK158" s="583"/>
      <c r="AL158" s="583"/>
      <c r="AM158" s="583"/>
      <c r="AN158" s="583"/>
      <c r="AO158" s="583"/>
      <c r="AP158" s="583"/>
      <c r="AQ158" s="571"/>
      <c r="AR158" s="586"/>
    </row>
    <row r="159" spans="1:44" s="131" customFormat="1" x14ac:dyDescent="0.25">
      <c r="A159" s="160"/>
      <c r="E159" s="175"/>
      <c r="F159" s="66" t="s">
        <v>43</v>
      </c>
      <c r="G159" s="139" t="s">
        <v>201</v>
      </c>
      <c r="H159" s="572"/>
      <c r="I159" s="572"/>
      <c r="J159" s="587"/>
      <c r="K159" s="587"/>
      <c r="L159" s="587"/>
      <c r="M159" s="587"/>
      <c r="N159" s="587"/>
      <c r="O159" s="587"/>
      <c r="P159" s="587"/>
      <c r="Q159" s="587"/>
      <c r="R159" s="587"/>
      <c r="S159" s="587"/>
      <c r="T159" s="587"/>
      <c r="U159" s="587"/>
      <c r="V159" s="587"/>
      <c r="W159" s="587"/>
      <c r="X159" s="587"/>
      <c r="Y159" s="587"/>
      <c r="Z159" s="587"/>
      <c r="AA159" s="587"/>
      <c r="AB159" s="587"/>
      <c r="AC159" s="587"/>
      <c r="AD159" s="587"/>
      <c r="AE159" s="587"/>
      <c r="AF159" s="587"/>
      <c r="AG159" s="587"/>
      <c r="AH159" s="587"/>
      <c r="AI159" s="587"/>
      <c r="AJ159" s="587"/>
      <c r="AK159" s="587"/>
      <c r="AL159" s="587"/>
      <c r="AM159" s="587"/>
      <c r="AN159" s="587"/>
      <c r="AO159" s="587"/>
      <c r="AP159" s="587"/>
      <c r="AQ159" s="571"/>
      <c r="AR159" s="586"/>
    </row>
    <row r="160" spans="1:44" s="131" customFormat="1" x14ac:dyDescent="0.25">
      <c r="A160" s="160"/>
      <c r="E160" s="175"/>
      <c r="F160" s="66" t="s">
        <v>44</v>
      </c>
      <c r="G160" s="139" t="s">
        <v>201</v>
      </c>
      <c r="H160" s="572"/>
      <c r="I160" s="572"/>
      <c r="J160" s="587"/>
      <c r="K160" s="587"/>
      <c r="L160" s="587"/>
      <c r="M160" s="587"/>
      <c r="N160" s="587"/>
      <c r="O160" s="587"/>
      <c r="P160" s="587"/>
      <c r="Q160" s="587"/>
      <c r="R160" s="587"/>
      <c r="S160" s="587"/>
      <c r="T160" s="587"/>
      <c r="U160" s="587"/>
      <c r="V160" s="587"/>
      <c r="W160" s="587"/>
      <c r="X160" s="587"/>
      <c r="Y160" s="587"/>
      <c r="Z160" s="587"/>
      <c r="AA160" s="587"/>
      <c r="AB160" s="587"/>
      <c r="AC160" s="585">
        <f t="shared" ref="AC160:AP160" si="0">hundred * $H51 * AC95 / $H37 * (1 - AC109) / hours_in_year</f>
        <v>-0.13198113630699324</v>
      </c>
      <c r="AD160" s="585">
        <f t="shared" si="0"/>
        <v>-0.12676975994225431</v>
      </c>
      <c r="AE160" s="585">
        <f t="shared" si="0"/>
        <v>-0.13198113630699324</v>
      </c>
      <c r="AF160" s="585">
        <f t="shared" si="0"/>
        <v>-0.13198113630699324</v>
      </c>
      <c r="AG160" s="585">
        <f t="shared" si="0"/>
        <v>-0.13198113630699324</v>
      </c>
      <c r="AH160" s="585">
        <f t="shared" si="0"/>
        <v>-0.13198113630699324</v>
      </c>
      <c r="AI160" s="585">
        <f t="shared" si="0"/>
        <v>-0.12676975994225431</v>
      </c>
      <c r="AJ160" s="585">
        <f t="shared" si="0"/>
        <v>-0.12676975994225431</v>
      </c>
      <c r="AK160" s="585">
        <f t="shared" si="0"/>
        <v>-0.12676975994225431</v>
      </c>
      <c r="AL160" s="585">
        <f t="shared" si="0"/>
        <v>-0.12676975994225431</v>
      </c>
      <c r="AM160" s="585">
        <f t="shared" si="0"/>
        <v>-0.12495183795455464</v>
      </c>
      <c r="AN160" s="585">
        <f t="shared" si="0"/>
        <v>-0.12495183795455464</v>
      </c>
      <c r="AO160" s="585">
        <f t="shared" si="0"/>
        <v>-0.12495183795455464</v>
      </c>
      <c r="AP160" s="585">
        <f t="shared" si="0"/>
        <v>-0.12495183795455464</v>
      </c>
      <c r="AQ160" s="571"/>
      <c r="AR160" s="586"/>
    </row>
    <row r="161" spans="1:44" s="131" customFormat="1" x14ac:dyDescent="0.25">
      <c r="A161" s="160"/>
      <c r="E161" s="175"/>
      <c r="F161" s="66" t="s">
        <v>45</v>
      </c>
      <c r="G161" s="139" t="s">
        <v>201</v>
      </c>
      <c r="H161" s="572"/>
      <c r="I161" s="572"/>
      <c r="J161" s="587"/>
      <c r="K161" s="587"/>
      <c r="L161" s="587"/>
      <c r="M161" s="587"/>
      <c r="N161" s="587"/>
      <c r="O161" s="587"/>
      <c r="P161" s="587"/>
      <c r="Q161" s="587"/>
      <c r="R161" s="587"/>
      <c r="S161" s="587"/>
      <c r="T161" s="587"/>
      <c r="U161" s="587"/>
      <c r="V161" s="587"/>
      <c r="W161" s="587"/>
      <c r="X161" s="587"/>
      <c r="Y161" s="587"/>
      <c r="Z161" s="587"/>
      <c r="AA161" s="587"/>
      <c r="AB161" s="587"/>
      <c r="AC161" s="585">
        <f t="shared" ref="AC161:AP161" si="1">hundred * $H52 * AC96 / $H38 * (1 - AC110) / hours_in_year</f>
        <v>-3.6730841441871644E-2</v>
      </c>
      <c r="AD161" s="585">
        <f t="shared" si="1"/>
        <v>-3.5280496003854675E-2</v>
      </c>
      <c r="AE161" s="585">
        <f t="shared" si="1"/>
        <v>-3.6730841441871644E-2</v>
      </c>
      <c r="AF161" s="585">
        <f t="shared" si="1"/>
        <v>-3.6730841441871644E-2</v>
      </c>
      <c r="AG161" s="585">
        <f t="shared" si="1"/>
        <v>-3.6730841441871644E-2</v>
      </c>
      <c r="AH161" s="585">
        <f t="shared" si="1"/>
        <v>-3.6730841441871644E-2</v>
      </c>
      <c r="AI161" s="585">
        <f t="shared" si="1"/>
        <v>-3.5280496003854675E-2</v>
      </c>
      <c r="AJ161" s="585">
        <f t="shared" si="1"/>
        <v>-3.5280496003854675E-2</v>
      </c>
      <c r="AK161" s="585">
        <f t="shared" si="1"/>
        <v>-3.5280496003854675E-2</v>
      </c>
      <c r="AL161" s="585">
        <f t="shared" si="1"/>
        <v>-3.5280496003854675E-2</v>
      </c>
      <c r="AM161" s="585">
        <f t="shared" si="1"/>
        <v>-3.4774561548732472E-2</v>
      </c>
      <c r="AN161" s="585">
        <f t="shared" si="1"/>
        <v>-3.4774561548732472E-2</v>
      </c>
      <c r="AO161" s="585">
        <f t="shared" si="1"/>
        <v>-3.4774561548732472E-2</v>
      </c>
      <c r="AP161" s="585">
        <f t="shared" si="1"/>
        <v>-3.4774561548732472E-2</v>
      </c>
      <c r="AQ161" s="571"/>
      <c r="AR161" s="586"/>
    </row>
    <row r="162" spans="1:44" s="131" customFormat="1" x14ac:dyDescent="0.25">
      <c r="A162" s="160"/>
      <c r="E162" s="175"/>
      <c r="F162" s="66" t="s">
        <v>46</v>
      </c>
      <c r="G162" s="139" t="s">
        <v>201</v>
      </c>
      <c r="H162" s="572"/>
      <c r="I162" s="572"/>
      <c r="J162" s="587"/>
      <c r="K162" s="587"/>
      <c r="L162" s="587"/>
      <c r="M162" s="587"/>
      <c r="N162" s="587"/>
      <c r="O162" s="587"/>
      <c r="P162" s="587"/>
      <c r="Q162" s="587"/>
      <c r="R162" s="587"/>
      <c r="S162" s="587"/>
      <c r="T162" s="587"/>
      <c r="U162" s="587"/>
      <c r="V162" s="587"/>
      <c r="W162" s="587"/>
      <c r="X162" s="587"/>
      <c r="Y162" s="587"/>
      <c r="Z162" s="587"/>
      <c r="AA162" s="587"/>
      <c r="AB162" s="587"/>
      <c r="AC162" s="585">
        <f t="shared" ref="AC162:AP162" si="2">hundred * $H53 * AC97 / $H39 * (1 - AC111) / hours_in_year</f>
        <v>-8.7029877104692288E-2</v>
      </c>
      <c r="AD162" s="585">
        <f t="shared" si="2"/>
        <v>-8.3593435676316011E-2</v>
      </c>
      <c r="AE162" s="585">
        <f t="shared" si="2"/>
        <v>-8.7029877104692288E-2</v>
      </c>
      <c r="AF162" s="585">
        <f t="shared" si="2"/>
        <v>-8.7029877104692288E-2</v>
      </c>
      <c r="AG162" s="585">
        <f t="shared" si="2"/>
        <v>-8.7029877104692288E-2</v>
      </c>
      <c r="AH162" s="585">
        <f t="shared" si="2"/>
        <v>-8.7029877104692288E-2</v>
      </c>
      <c r="AI162" s="585">
        <f t="shared" si="2"/>
        <v>-8.3593435676316011E-2</v>
      </c>
      <c r="AJ162" s="585">
        <f t="shared" si="2"/>
        <v>-8.3593435676316011E-2</v>
      </c>
      <c r="AK162" s="585">
        <f t="shared" si="2"/>
        <v>-8.3593435676316011E-2</v>
      </c>
      <c r="AL162" s="585">
        <f t="shared" si="2"/>
        <v>-8.3593435676316011E-2</v>
      </c>
      <c r="AM162" s="585">
        <f t="shared" si="2"/>
        <v>-8.054591370685224E-2</v>
      </c>
      <c r="AN162" s="585">
        <f t="shared" si="2"/>
        <v>-8.054591370685224E-2</v>
      </c>
      <c r="AO162" s="585">
        <f t="shared" si="2"/>
        <v>-8.054591370685224E-2</v>
      </c>
      <c r="AP162" s="585">
        <f t="shared" si="2"/>
        <v>-8.054591370685224E-2</v>
      </c>
      <c r="AQ162" s="571"/>
      <c r="AR162" s="586"/>
    </row>
    <row r="163" spans="1:44" s="131" customFormat="1" x14ac:dyDescent="0.25">
      <c r="A163" s="160"/>
      <c r="E163" s="175"/>
      <c r="F163" s="66" t="s">
        <v>47</v>
      </c>
      <c r="G163" s="139" t="s">
        <v>201</v>
      </c>
      <c r="H163" s="572"/>
      <c r="I163" s="572"/>
      <c r="J163" s="587"/>
      <c r="K163" s="587"/>
      <c r="L163" s="587"/>
      <c r="M163" s="587"/>
      <c r="N163" s="587"/>
      <c r="O163" s="587"/>
      <c r="P163" s="587"/>
      <c r="Q163" s="587"/>
      <c r="R163" s="587"/>
      <c r="S163" s="587"/>
      <c r="T163" s="587"/>
      <c r="U163" s="587"/>
      <c r="V163" s="587"/>
      <c r="W163" s="587"/>
      <c r="X163" s="587"/>
      <c r="Y163" s="587"/>
      <c r="Z163" s="587"/>
      <c r="AA163" s="587"/>
      <c r="AB163" s="587"/>
      <c r="AC163" s="585">
        <f t="shared" ref="AC163:AP163" si="3">hundred * $H54 * AC98 / $H40 * (1 - AC112) / hours_in_year</f>
        <v>-6.5481733913625953E-2</v>
      </c>
      <c r="AD163" s="585">
        <f t="shared" si="3"/>
        <v>-6.2896137441370764E-2</v>
      </c>
      <c r="AE163" s="585">
        <f t="shared" si="3"/>
        <v>-6.5481733913625953E-2</v>
      </c>
      <c r="AF163" s="585">
        <f t="shared" si="3"/>
        <v>-6.5481733913625953E-2</v>
      </c>
      <c r="AG163" s="585">
        <f t="shared" si="3"/>
        <v>-6.5481733913625953E-2</v>
      </c>
      <c r="AH163" s="585">
        <f t="shared" si="3"/>
        <v>-6.5481733913625953E-2</v>
      </c>
      <c r="AI163" s="585">
        <f t="shared" si="3"/>
        <v>-6.2896137441370764E-2</v>
      </c>
      <c r="AJ163" s="585">
        <f t="shared" si="3"/>
        <v>-6.2896137441370764E-2</v>
      </c>
      <c r="AK163" s="585">
        <f t="shared" si="3"/>
        <v>-6.2896137441370764E-2</v>
      </c>
      <c r="AL163" s="585">
        <f t="shared" si="3"/>
        <v>-6.2896137441370764E-2</v>
      </c>
      <c r="AM163" s="585">
        <f t="shared" si="3"/>
        <v>-5.9326571610479932E-2</v>
      </c>
      <c r="AN163" s="585">
        <f t="shared" si="3"/>
        <v>-5.9326571610479932E-2</v>
      </c>
      <c r="AO163" s="585">
        <f t="shared" si="3"/>
        <v>-5.9326571610479932E-2</v>
      </c>
      <c r="AP163" s="585">
        <f t="shared" si="3"/>
        <v>-5.9326571610479932E-2</v>
      </c>
      <c r="AQ163" s="571"/>
      <c r="AR163" s="586"/>
    </row>
    <row r="164" spans="1:44" s="131" customFormat="1" x14ac:dyDescent="0.25">
      <c r="A164" s="160"/>
      <c r="E164" s="175"/>
      <c r="F164" s="66" t="s">
        <v>51</v>
      </c>
      <c r="G164" s="139" t="s">
        <v>201</v>
      </c>
      <c r="H164" s="572"/>
      <c r="I164" s="572"/>
      <c r="J164" s="587"/>
      <c r="K164" s="587"/>
      <c r="L164" s="587"/>
      <c r="M164" s="587"/>
      <c r="N164" s="587"/>
      <c r="O164" s="587"/>
      <c r="P164" s="587"/>
      <c r="Q164" s="587"/>
      <c r="R164" s="587"/>
      <c r="S164" s="587"/>
      <c r="T164" s="587"/>
      <c r="U164" s="587"/>
      <c r="V164" s="587"/>
      <c r="W164" s="587"/>
      <c r="X164" s="587"/>
      <c r="Y164" s="587"/>
      <c r="Z164" s="587"/>
      <c r="AA164" s="587"/>
      <c r="AB164" s="587"/>
      <c r="AC164" s="585">
        <f t="shared" ref="AC164:AP164" si="4">hundred * $H55 * AC99 / $H41 * (1 - AC113) / hours_in_year</f>
        <v>0</v>
      </c>
      <c r="AD164" s="585">
        <f t="shared" si="4"/>
        <v>0</v>
      </c>
      <c r="AE164" s="585">
        <f t="shared" si="4"/>
        <v>0</v>
      </c>
      <c r="AF164" s="585">
        <f t="shared" si="4"/>
        <v>0</v>
      </c>
      <c r="AG164" s="585">
        <f t="shared" si="4"/>
        <v>0</v>
      </c>
      <c r="AH164" s="585">
        <f t="shared" si="4"/>
        <v>0</v>
      </c>
      <c r="AI164" s="585">
        <f t="shared" si="4"/>
        <v>0</v>
      </c>
      <c r="AJ164" s="585">
        <f t="shared" si="4"/>
        <v>0</v>
      </c>
      <c r="AK164" s="585">
        <f t="shared" si="4"/>
        <v>0</v>
      </c>
      <c r="AL164" s="585">
        <f t="shared" si="4"/>
        <v>0</v>
      </c>
      <c r="AM164" s="585">
        <f t="shared" si="4"/>
        <v>0</v>
      </c>
      <c r="AN164" s="585">
        <f t="shared" si="4"/>
        <v>0</v>
      </c>
      <c r="AO164" s="585">
        <f t="shared" si="4"/>
        <v>0</v>
      </c>
      <c r="AP164" s="585">
        <f t="shared" si="4"/>
        <v>0</v>
      </c>
      <c r="AQ164" s="571"/>
      <c r="AR164" s="586"/>
    </row>
    <row r="165" spans="1:44" s="131" customFormat="1" x14ac:dyDescent="0.25">
      <c r="A165" s="160"/>
      <c r="E165" s="175"/>
      <c r="F165" s="66" t="s">
        <v>48</v>
      </c>
      <c r="G165" s="139" t="s">
        <v>201</v>
      </c>
      <c r="H165" s="572"/>
      <c r="I165" s="572"/>
      <c r="J165" s="587"/>
      <c r="K165" s="587"/>
      <c r="L165" s="587"/>
      <c r="M165" s="587"/>
      <c r="N165" s="587"/>
      <c r="O165" s="587"/>
      <c r="P165" s="587"/>
      <c r="Q165" s="587"/>
      <c r="R165" s="587"/>
      <c r="S165" s="587"/>
      <c r="T165" s="587"/>
      <c r="U165" s="587"/>
      <c r="V165" s="587"/>
      <c r="W165" s="587"/>
      <c r="X165" s="587"/>
      <c r="Y165" s="587"/>
      <c r="Z165" s="587"/>
      <c r="AA165" s="587"/>
      <c r="AB165" s="587"/>
      <c r="AC165" s="585">
        <f t="shared" ref="AC165:AP165" si="5">hundred * $H56 * AC100 / $H42 * (1 - AC114) / hours_in_year</f>
        <v>-0.14400413630519657</v>
      </c>
      <c r="AD165" s="585">
        <f t="shared" si="5"/>
        <v>-0.13831802256679121</v>
      </c>
      <c r="AE165" s="585">
        <f t="shared" si="5"/>
        <v>-0.14400413630519657</v>
      </c>
      <c r="AF165" s="585">
        <f t="shared" si="5"/>
        <v>-0.14400413630519657</v>
      </c>
      <c r="AG165" s="585">
        <f t="shared" si="5"/>
        <v>-0.14400413630519657</v>
      </c>
      <c r="AH165" s="585">
        <f t="shared" si="5"/>
        <v>-0.14400413630519657</v>
      </c>
      <c r="AI165" s="585">
        <f t="shared" si="5"/>
        <v>-0.13831802256679121</v>
      </c>
      <c r="AJ165" s="585">
        <f t="shared" si="5"/>
        <v>-0.13831802256679121</v>
      </c>
      <c r="AK165" s="585">
        <f t="shared" si="5"/>
        <v>-0.13831802256679121</v>
      </c>
      <c r="AL165" s="585">
        <f t="shared" si="5"/>
        <v>-0.13831802256679121</v>
      </c>
      <c r="AM165" s="585">
        <f t="shared" si="5"/>
        <v>-0.12814168519482005</v>
      </c>
      <c r="AN165" s="585">
        <f t="shared" si="5"/>
        <v>-0.12814168519482005</v>
      </c>
      <c r="AO165" s="585">
        <f t="shared" si="5"/>
        <v>-0.12814168519482005</v>
      </c>
      <c r="AP165" s="585">
        <f t="shared" si="5"/>
        <v>-0.12814168519482005</v>
      </c>
      <c r="AQ165" s="571"/>
      <c r="AR165" s="586"/>
    </row>
    <row r="166" spans="1:44" s="131" customFormat="1" x14ac:dyDescent="0.25">
      <c r="A166" s="160"/>
      <c r="E166" s="175"/>
      <c r="F166" s="66" t="s">
        <v>49</v>
      </c>
      <c r="G166" s="139" t="s">
        <v>201</v>
      </c>
      <c r="H166" s="572"/>
      <c r="I166" s="572"/>
      <c r="J166" s="587"/>
      <c r="K166" s="587"/>
      <c r="L166" s="587"/>
      <c r="M166" s="587"/>
      <c r="N166" s="587"/>
      <c r="O166" s="587"/>
      <c r="P166" s="587"/>
      <c r="Q166" s="587"/>
      <c r="R166" s="587"/>
      <c r="S166" s="587"/>
      <c r="T166" s="587"/>
      <c r="U166" s="587"/>
      <c r="V166" s="587"/>
      <c r="W166" s="587"/>
      <c r="X166" s="587"/>
      <c r="Y166" s="587"/>
      <c r="Z166" s="587"/>
      <c r="AA166" s="587"/>
      <c r="AB166" s="587"/>
      <c r="AC166" s="585">
        <f t="shared" ref="AC166:AP166" si="6">hundred * $H57 * AC101 / $H43 * (1 - AC115) / hours_in_year</f>
        <v>-4.1482533261716317E-2</v>
      </c>
      <c r="AD166" s="585">
        <f t="shared" si="6"/>
        <v>-3.9844563628792726E-2</v>
      </c>
      <c r="AE166" s="585">
        <f t="shared" si="6"/>
        <v>-4.1482533261716317E-2</v>
      </c>
      <c r="AF166" s="585">
        <f t="shared" si="6"/>
        <v>-4.1482533261716317E-2</v>
      </c>
      <c r="AG166" s="585">
        <f t="shared" si="6"/>
        <v>-4.1482533261716317E-2</v>
      </c>
      <c r="AH166" s="585">
        <f t="shared" si="6"/>
        <v>-4.1482533261716317E-2</v>
      </c>
      <c r="AI166" s="585">
        <f t="shared" si="6"/>
        <v>-3.9844563628792726E-2</v>
      </c>
      <c r="AJ166" s="585">
        <f t="shared" si="6"/>
        <v>-3.9844563628792726E-2</v>
      </c>
      <c r="AK166" s="585">
        <f t="shared" si="6"/>
        <v>-3.9844563628792726E-2</v>
      </c>
      <c r="AL166" s="585">
        <f t="shared" si="6"/>
        <v>-3.9844563628792726E-2</v>
      </c>
      <c r="AM166" s="585">
        <f t="shared" si="6"/>
        <v>0</v>
      </c>
      <c r="AN166" s="585">
        <f t="shared" si="6"/>
        <v>0</v>
      </c>
      <c r="AO166" s="585">
        <f t="shared" si="6"/>
        <v>0</v>
      </c>
      <c r="AP166" s="585">
        <f t="shared" si="6"/>
        <v>0</v>
      </c>
      <c r="AQ166" s="571"/>
      <c r="AR166" s="586"/>
    </row>
    <row r="167" spans="1:44" s="131" customFormat="1" x14ac:dyDescent="0.25">
      <c r="A167" s="160"/>
      <c r="E167" s="175"/>
      <c r="F167" s="66" t="s">
        <v>50</v>
      </c>
      <c r="G167" s="139" t="s">
        <v>201</v>
      </c>
      <c r="H167" s="572"/>
      <c r="I167" s="572"/>
      <c r="J167" s="587"/>
      <c r="K167" s="587"/>
      <c r="L167" s="587"/>
      <c r="M167" s="587"/>
      <c r="N167" s="587"/>
      <c r="O167" s="587"/>
      <c r="P167" s="587"/>
      <c r="Q167" s="587"/>
      <c r="R167" s="587"/>
      <c r="S167" s="587"/>
      <c r="T167" s="587"/>
      <c r="U167" s="587"/>
      <c r="V167" s="587"/>
      <c r="W167" s="587"/>
      <c r="X167" s="587"/>
      <c r="Y167" s="587"/>
      <c r="Z167" s="587"/>
      <c r="AA167" s="587"/>
      <c r="AB167" s="587"/>
      <c r="AC167" s="585">
        <f t="shared" ref="AC167:AP167" si="7">hundred * $H58 * AC102 / $H44 * (1 - AC116) / hours_in_year</f>
        <v>-5.7005234396618892E-3</v>
      </c>
      <c r="AD167" s="585">
        <f t="shared" si="7"/>
        <v>0</v>
      </c>
      <c r="AE167" s="585">
        <f t="shared" si="7"/>
        <v>-5.7005234396618892E-3</v>
      </c>
      <c r="AF167" s="585">
        <f t="shared" si="7"/>
        <v>-5.7005234396618892E-3</v>
      </c>
      <c r="AG167" s="585">
        <f t="shared" si="7"/>
        <v>-5.7005234396618892E-3</v>
      </c>
      <c r="AH167" s="585">
        <f t="shared" si="7"/>
        <v>-5.7005234396618892E-3</v>
      </c>
      <c r="AI167" s="585">
        <f t="shared" si="7"/>
        <v>0</v>
      </c>
      <c r="AJ167" s="585">
        <f t="shared" si="7"/>
        <v>0</v>
      </c>
      <c r="AK167" s="585">
        <f t="shared" si="7"/>
        <v>0</v>
      </c>
      <c r="AL167" s="585">
        <f t="shared" si="7"/>
        <v>0</v>
      </c>
      <c r="AM167" s="585">
        <f t="shared" si="7"/>
        <v>0</v>
      </c>
      <c r="AN167" s="585">
        <f t="shared" si="7"/>
        <v>0</v>
      </c>
      <c r="AO167" s="585">
        <f t="shared" si="7"/>
        <v>0</v>
      </c>
      <c r="AP167" s="585">
        <f t="shared" si="7"/>
        <v>0</v>
      </c>
      <c r="AQ167" s="571"/>
      <c r="AR167" s="586"/>
    </row>
    <row r="168" spans="1:44" s="131" customFormat="1" x14ac:dyDescent="0.25">
      <c r="A168" s="160"/>
      <c r="E168" s="175"/>
      <c r="F168" s="66" t="s">
        <v>141</v>
      </c>
      <c r="G168" s="139" t="s">
        <v>201</v>
      </c>
      <c r="H168" s="572"/>
      <c r="I168" s="572"/>
      <c r="J168" s="587"/>
      <c r="K168" s="587"/>
      <c r="L168" s="587"/>
      <c r="M168" s="587"/>
      <c r="N168" s="587"/>
      <c r="O168" s="587"/>
      <c r="P168" s="587"/>
      <c r="Q168" s="587"/>
      <c r="R168" s="587"/>
      <c r="S168" s="587"/>
      <c r="T168" s="587"/>
      <c r="U168" s="587"/>
      <c r="V168" s="587"/>
      <c r="W168" s="587"/>
      <c r="X168" s="587"/>
      <c r="Y168" s="587"/>
      <c r="Z168" s="587"/>
      <c r="AA168" s="587"/>
      <c r="AB168" s="587"/>
      <c r="AC168" s="587"/>
      <c r="AD168" s="587"/>
      <c r="AE168" s="587"/>
      <c r="AF168" s="587"/>
      <c r="AG168" s="587"/>
      <c r="AH168" s="587"/>
      <c r="AI168" s="587"/>
      <c r="AJ168" s="587"/>
      <c r="AK168" s="587"/>
      <c r="AL168" s="587"/>
      <c r="AM168" s="587"/>
      <c r="AN168" s="587"/>
      <c r="AO168" s="587"/>
      <c r="AP168" s="587"/>
      <c r="AQ168" s="571"/>
      <c r="AR168" s="586"/>
    </row>
    <row r="169" spans="1:44" s="131" customFormat="1" x14ac:dyDescent="0.25">
      <c r="A169" s="160"/>
      <c r="E169" s="175"/>
      <c r="F169" s="67" t="s">
        <v>140</v>
      </c>
      <c r="G169" s="140" t="s">
        <v>201</v>
      </c>
      <c r="H169" s="574"/>
      <c r="I169" s="574"/>
      <c r="J169" s="579"/>
      <c r="K169" s="579"/>
      <c r="L169" s="579"/>
      <c r="M169" s="579"/>
      <c r="N169" s="579"/>
      <c r="O169" s="579"/>
      <c r="P169" s="579"/>
      <c r="Q169" s="579"/>
      <c r="R169" s="579"/>
      <c r="S169" s="579"/>
      <c r="T169" s="579"/>
      <c r="U169" s="579"/>
      <c r="V169" s="579"/>
      <c r="W169" s="579"/>
      <c r="X169" s="579"/>
      <c r="Y169" s="579"/>
      <c r="Z169" s="579"/>
      <c r="AA169" s="579"/>
      <c r="AB169" s="579"/>
      <c r="AC169" s="579"/>
      <c r="AD169" s="579"/>
      <c r="AE169" s="579"/>
      <c r="AF169" s="579"/>
      <c r="AG169" s="579"/>
      <c r="AH169" s="579"/>
      <c r="AI169" s="579"/>
      <c r="AJ169" s="579"/>
      <c r="AK169" s="579"/>
      <c r="AL169" s="579"/>
      <c r="AM169" s="579"/>
      <c r="AN169" s="579"/>
      <c r="AO169" s="579"/>
      <c r="AP169" s="579"/>
      <c r="AQ169" s="571"/>
      <c r="AR169" s="586"/>
    </row>
    <row r="170" spans="1:44" s="160" customFormat="1" x14ac:dyDescent="0.25">
      <c r="E170" s="175"/>
      <c r="F170" s="117"/>
      <c r="J170" s="416"/>
      <c r="K170" s="416"/>
      <c r="L170" s="416"/>
      <c r="M170" s="416"/>
      <c r="N170" s="416"/>
      <c r="O170" s="416"/>
      <c r="P170" s="416"/>
      <c r="Q170" s="416"/>
      <c r="R170" s="416"/>
      <c r="S170" s="416"/>
      <c r="T170" s="416"/>
      <c r="U170" s="416"/>
      <c r="V170" s="416"/>
      <c r="W170" s="416"/>
      <c r="X170" s="416"/>
      <c r="Y170" s="416"/>
      <c r="Z170" s="416"/>
      <c r="AA170" s="416"/>
      <c r="AB170" s="416"/>
      <c r="AC170" s="416"/>
      <c r="AD170" s="416"/>
      <c r="AE170" s="416"/>
      <c r="AF170" s="416"/>
      <c r="AG170" s="416"/>
      <c r="AH170" s="416"/>
      <c r="AI170" s="416"/>
      <c r="AJ170" s="416"/>
      <c r="AK170" s="416"/>
      <c r="AL170" s="416"/>
      <c r="AM170" s="416"/>
      <c r="AN170" s="416"/>
      <c r="AO170" s="416"/>
      <c r="AP170" s="416"/>
      <c r="AR170" s="143"/>
    </row>
    <row r="171" spans="1:44" s="131" customFormat="1" x14ac:dyDescent="0.25">
      <c r="A171" s="160"/>
      <c r="E171" s="172" t="s">
        <v>133</v>
      </c>
      <c r="F171" s="117"/>
      <c r="J171" s="416"/>
      <c r="K171" s="416"/>
      <c r="L171" s="416"/>
      <c r="M171" s="416"/>
      <c r="N171" s="416"/>
      <c r="O171" s="416"/>
      <c r="P171" s="416"/>
      <c r="Q171" s="416"/>
      <c r="R171" s="416"/>
      <c r="S171" s="416"/>
      <c r="T171" s="416"/>
      <c r="U171" s="416"/>
      <c r="V171" s="416"/>
      <c r="W171" s="416"/>
      <c r="X171" s="416"/>
      <c r="Y171" s="416"/>
      <c r="Z171" s="416"/>
      <c r="AA171" s="416"/>
      <c r="AB171" s="416"/>
      <c r="AC171" s="416"/>
      <c r="AD171" s="416"/>
      <c r="AE171" s="416"/>
      <c r="AF171" s="416"/>
      <c r="AG171" s="416"/>
      <c r="AH171" s="416"/>
      <c r="AI171" s="416"/>
      <c r="AJ171" s="416"/>
      <c r="AK171" s="416"/>
      <c r="AL171" s="416"/>
      <c r="AM171" s="416"/>
      <c r="AN171" s="416"/>
      <c r="AO171" s="416"/>
      <c r="AP171" s="416"/>
      <c r="AR171" s="143"/>
    </row>
    <row r="172" spans="1:44" s="131" customFormat="1" x14ac:dyDescent="0.25">
      <c r="A172" s="160"/>
      <c r="E172" s="175"/>
      <c r="F172" s="72" t="s">
        <v>397</v>
      </c>
      <c r="G172" s="137" t="s">
        <v>201</v>
      </c>
      <c r="H172" s="569"/>
      <c r="I172" s="569"/>
      <c r="J172" s="583"/>
      <c r="K172" s="583"/>
      <c r="L172" s="583"/>
      <c r="M172" s="583"/>
      <c r="N172" s="583"/>
      <c r="O172" s="583"/>
      <c r="P172" s="583"/>
      <c r="Q172" s="583"/>
      <c r="R172" s="583"/>
      <c r="S172" s="583"/>
      <c r="T172" s="583"/>
      <c r="U172" s="583"/>
      <c r="V172" s="583"/>
      <c r="W172" s="583"/>
      <c r="X172" s="583"/>
      <c r="Y172" s="583"/>
      <c r="Z172" s="583"/>
      <c r="AA172" s="583"/>
      <c r="AB172" s="583"/>
      <c r="AC172" s="584">
        <f t="shared" ref="AC172:AP172" si="8">hundred * $H63 * AC93 / $H35 / hours_in_year</f>
        <v>-3.839168756254964E-2</v>
      </c>
      <c r="AD172" s="584">
        <f t="shared" si="8"/>
        <v>-3.6875762341989832E-2</v>
      </c>
      <c r="AE172" s="584">
        <f t="shared" si="8"/>
        <v>-3.839168756254964E-2</v>
      </c>
      <c r="AF172" s="584">
        <f t="shared" si="8"/>
        <v>-3.839168756254964E-2</v>
      </c>
      <c r="AG172" s="584">
        <f t="shared" si="8"/>
        <v>-3.839168756254964E-2</v>
      </c>
      <c r="AH172" s="584">
        <f t="shared" si="8"/>
        <v>-3.839168756254964E-2</v>
      </c>
      <c r="AI172" s="584">
        <f t="shared" si="8"/>
        <v>-3.6875762341989832E-2</v>
      </c>
      <c r="AJ172" s="584">
        <f t="shared" si="8"/>
        <v>-3.6875762341989832E-2</v>
      </c>
      <c r="AK172" s="584">
        <f t="shared" si="8"/>
        <v>-3.6875762341989832E-2</v>
      </c>
      <c r="AL172" s="584">
        <f t="shared" si="8"/>
        <v>-3.6875762341989832E-2</v>
      </c>
      <c r="AM172" s="584">
        <f t="shared" si="8"/>
        <v>-3.6346951218538724E-2</v>
      </c>
      <c r="AN172" s="584">
        <f t="shared" si="8"/>
        <v>-3.6346951218538724E-2</v>
      </c>
      <c r="AO172" s="584">
        <f t="shared" si="8"/>
        <v>-3.6346951218538724E-2</v>
      </c>
      <c r="AP172" s="584">
        <f t="shared" si="8"/>
        <v>-3.6346951218538724E-2</v>
      </c>
      <c r="AQ172" s="571"/>
      <c r="AR172" s="586"/>
    </row>
    <row r="173" spans="1:44" s="131" customFormat="1" x14ac:dyDescent="0.25">
      <c r="A173" s="160"/>
      <c r="E173" s="175"/>
      <c r="F173" s="66" t="s">
        <v>43</v>
      </c>
      <c r="G173" s="139" t="s">
        <v>201</v>
      </c>
      <c r="H173" s="572"/>
      <c r="I173" s="572"/>
      <c r="J173" s="587"/>
      <c r="K173" s="587"/>
      <c r="L173" s="587"/>
      <c r="M173" s="587"/>
      <c r="N173" s="587"/>
      <c r="O173" s="587"/>
      <c r="P173" s="587"/>
      <c r="Q173" s="587"/>
      <c r="R173" s="587"/>
      <c r="S173" s="587"/>
      <c r="T173" s="587"/>
      <c r="U173" s="587"/>
      <c r="V173" s="587"/>
      <c r="W173" s="587"/>
      <c r="X173" s="587"/>
      <c r="Y173" s="587"/>
      <c r="Z173" s="587"/>
      <c r="AA173" s="587"/>
      <c r="AB173" s="587"/>
      <c r="AC173" s="585">
        <f t="shared" ref="AC173:AP173" si="9">hundred * $H64 * AC94 / $H36 / hours_in_year</f>
        <v>0</v>
      </c>
      <c r="AD173" s="585">
        <f t="shared" si="9"/>
        <v>0</v>
      </c>
      <c r="AE173" s="585">
        <f t="shared" si="9"/>
        <v>0</v>
      </c>
      <c r="AF173" s="585">
        <f t="shared" si="9"/>
        <v>0</v>
      </c>
      <c r="AG173" s="585">
        <f t="shared" si="9"/>
        <v>0</v>
      </c>
      <c r="AH173" s="585">
        <f t="shared" si="9"/>
        <v>0</v>
      </c>
      <c r="AI173" s="585">
        <f t="shared" si="9"/>
        <v>0</v>
      </c>
      <c r="AJ173" s="585">
        <f t="shared" si="9"/>
        <v>0</v>
      </c>
      <c r="AK173" s="585">
        <f t="shared" si="9"/>
        <v>0</v>
      </c>
      <c r="AL173" s="585">
        <f t="shared" si="9"/>
        <v>0</v>
      </c>
      <c r="AM173" s="585">
        <f t="shared" si="9"/>
        <v>0</v>
      </c>
      <c r="AN173" s="585">
        <f t="shared" si="9"/>
        <v>0</v>
      </c>
      <c r="AO173" s="585">
        <f t="shared" si="9"/>
        <v>0</v>
      </c>
      <c r="AP173" s="585">
        <f t="shared" si="9"/>
        <v>0</v>
      </c>
      <c r="AQ173" s="571"/>
      <c r="AR173" s="586"/>
    </row>
    <row r="174" spans="1:44" s="131" customFormat="1" x14ac:dyDescent="0.25">
      <c r="A174" s="160"/>
      <c r="E174" s="175"/>
      <c r="F174" s="66" t="s">
        <v>44</v>
      </c>
      <c r="G174" s="139" t="s">
        <v>201</v>
      </c>
      <c r="H174" s="572"/>
      <c r="I174" s="572"/>
      <c r="J174" s="587"/>
      <c r="K174" s="587"/>
      <c r="L174" s="587"/>
      <c r="M174" s="587"/>
      <c r="N174" s="587"/>
      <c r="O174" s="587"/>
      <c r="P174" s="587"/>
      <c r="Q174" s="587"/>
      <c r="R174" s="587"/>
      <c r="S174" s="587"/>
      <c r="T174" s="587"/>
      <c r="U174" s="587"/>
      <c r="V174" s="587"/>
      <c r="W174" s="587"/>
      <c r="X174" s="587"/>
      <c r="Y174" s="587"/>
      <c r="Z174" s="587"/>
      <c r="AA174" s="587"/>
      <c r="AB174" s="587"/>
      <c r="AC174" s="585">
        <f t="shared" ref="AC174:AP174" si="10">hundred * $H65 * AC95 / $H37 / hours_in_year</f>
        <v>-5.3335421381338385E-2</v>
      </c>
      <c r="AD174" s="585">
        <f t="shared" si="10"/>
        <v>-5.122943137270887E-2</v>
      </c>
      <c r="AE174" s="585">
        <f t="shared" si="10"/>
        <v>-5.3335421381338385E-2</v>
      </c>
      <c r="AF174" s="585">
        <f t="shared" si="10"/>
        <v>-5.3335421381338385E-2</v>
      </c>
      <c r="AG174" s="585">
        <f t="shared" si="10"/>
        <v>-5.3335421381338385E-2</v>
      </c>
      <c r="AH174" s="585">
        <f t="shared" si="10"/>
        <v>-5.3335421381338385E-2</v>
      </c>
      <c r="AI174" s="585">
        <f t="shared" si="10"/>
        <v>-5.122943137270887E-2</v>
      </c>
      <c r="AJ174" s="585">
        <f t="shared" si="10"/>
        <v>-5.122943137270887E-2</v>
      </c>
      <c r="AK174" s="585">
        <f t="shared" si="10"/>
        <v>-5.122943137270887E-2</v>
      </c>
      <c r="AL174" s="585">
        <f t="shared" si="10"/>
        <v>-5.122943137270887E-2</v>
      </c>
      <c r="AM174" s="585">
        <f t="shared" si="10"/>
        <v>-5.049478369527996E-2</v>
      </c>
      <c r="AN174" s="585">
        <f t="shared" si="10"/>
        <v>-5.049478369527996E-2</v>
      </c>
      <c r="AO174" s="585">
        <f t="shared" si="10"/>
        <v>-5.049478369527996E-2</v>
      </c>
      <c r="AP174" s="585">
        <f t="shared" si="10"/>
        <v>-5.049478369527996E-2</v>
      </c>
      <c r="AQ174" s="571"/>
      <c r="AR174" s="586"/>
    </row>
    <row r="175" spans="1:44" s="131" customFormat="1" x14ac:dyDescent="0.25">
      <c r="A175" s="160"/>
      <c r="E175" s="175"/>
      <c r="F175" s="66" t="s">
        <v>45</v>
      </c>
      <c r="G175" s="139" t="s">
        <v>201</v>
      </c>
      <c r="H175" s="572"/>
      <c r="I175" s="572"/>
      <c r="J175" s="587"/>
      <c r="K175" s="587"/>
      <c r="L175" s="587"/>
      <c r="M175" s="587"/>
      <c r="N175" s="587"/>
      <c r="O175" s="587"/>
      <c r="P175" s="587"/>
      <c r="Q175" s="587"/>
      <c r="R175" s="587"/>
      <c r="S175" s="587"/>
      <c r="T175" s="587"/>
      <c r="U175" s="587"/>
      <c r="V175" s="587"/>
      <c r="W175" s="587"/>
      <c r="X175" s="587"/>
      <c r="Y175" s="587"/>
      <c r="Z175" s="587"/>
      <c r="AA175" s="587"/>
      <c r="AB175" s="587"/>
      <c r="AC175" s="585">
        <f t="shared" ref="AC175:AP175" si="11">hundred * $H66 * AC96 / $H38 / hours_in_year</f>
        <v>-1.4843446274295694E-2</v>
      </c>
      <c r="AD175" s="585">
        <f t="shared" si="11"/>
        <v>-1.4257341416816617E-2</v>
      </c>
      <c r="AE175" s="585">
        <f t="shared" si="11"/>
        <v>-1.4843446274295694E-2</v>
      </c>
      <c r="AF175" s="585">
        <f t="shared" si="11"/>
        <v>-1.4843446274295694E-2</v>
      </c>
      <c r="AG175" s="585">
        <f t="shared" si="11"/>
        <v>-1.4843446274295694E-2</v>
      </c>
      <c r="AH175" s="585">
        <f t="shared" si="11"/>
        <v>-1.4843446274295694E-2</v>
      </c>
      <c r="AI175" s="585">
        <f t="shared" si="11"/>
        <v>-1.4257341416816617E-2</v>
      </c>
      <c r="AJ175" s="585">
        <f t="shared" si="11"/>
        <v>-1.4257341416816617E-2</v>
      </c>
      <c r="AK175" s="585">
        <f t="shared" si="11"/>
        <v>-1.4257341416816617E-2</v>
      </c>
      <c r="AL175" s="585">
        <f t="shared" si="11"/>
        <v>-1.4257341416816617E-2</v>
      </c>
      <c r="AM175" s="585">
        <f t="shared" si="11"/>
        <v>-1.4052886233975078E-2</v>
      </c>
      <c r="AN175" s="585">
        <f t="shared" si="11"/>
        <v>-1.4052886233975078E-2</v>
      </c>
      <c r="AO175" s="585">
        <f t="shared" si="11"/>
        <v>-1.4052886233975078E-2</v>
      </c>
      <c r="AP175" s="585">
        <f t="shared" si="11"/>
        <v>-1.4052886233975078E-2</v>
      </c>
      <c r="AQ175" s="571"/>
      <c r="AR175" s="586"/>
    </row>
    <row r="176" spans="1:44" s="131" customFormat="1" x14ac:dyDescent="0.25">
      <c r="A176" s="160"/>
      <c r="E176" s="175"/>
      <c r="F176" s="66" t="s">
        <v>46</v>
      </c>
      <c r="G176" s="139" t="s">
        <v>201</v>
      </c>
      <c r="H176" s="572"/>
      <c r="I176" s="572"/>
      <c r="J176" s="587"/>
      <c r="K176" s="587"/>
      <c r="L176" s="587"/>
      <c r="M176" s="587"/>
      <c r="N176" s="587"/>
      <c r="O176" s="587"/>
      <c r="P176" s="587"/>
      <c r="Q176" s="587"/>
      <c r="R176" s="587"/>
      <c r="S176" s="587"/>
      <c r="T176" s="587"/>
      <c r="U176" s="587"/>
      <c r="V176" s="587"/>
      <c r="W176" s="587"/>
      <c r="X176" s="587"/>
      <c r="Y176" s="587"/>
      <c r="Z176" s="587"/>
      <c r="AA176" s="587"/>
      <c r="AB176" s="587"/>
      <c r="AC176" s="585">
        <f t="shared" ref="AC176:AP176" si="12">hundred * $H67 * AC97 / $H39 / hours_in_year</f>
        <v>-3.5610506099118332E-2</v>
      </c>
      <c r="AD176" s="585">
        <f t="shared" si="12"/>
        <v>-3.4204397961136619E-2</v>
      </c>
      <c r="AE176" s="585">
        <f t="shared" si="12"/>
        <v>-3.5610506099118332E-2</v>
      </c>
      <c r="AF176" s="585">
        <f t="shared" si="12"/>
        <v>-3.5610506099118332E-2</v>
      </c>
      <c r="AG176" s="585">
        <f t="shared" si="12"/>
        <v>-3.5610506099118332E-2</v>
      </c>
      <c r="AH176" s="585">
        <f t="shared" si="12"/>
        <v>-3.5610506099118332E-2</v>
      </c>
      <c r="AI176" s="585">
        <f t="shared" si="12"/>
        <v>-3.4204397961136619E-2</v>
      </c>
      <c r="AJ176" s="585">
        <f t="shared" si="12"/>
        <v>-3.4204397961136619E-2</v>
      </c>
      <c r="AK176" s="585">
        <f t="shared" si="12"/>
        <v>-3.4204397961136619E-2</v>
      </c>
      <c r="AL176" s="585">
        <f t="shared" si="12"/>
        <v>-3.4204397961136619E-2</v>
      </c>
      <c r="AM176" s="585">
        <f t="shared" si="12"/>
        <v>-3.3713895122305784E-2</v>
      </c>
      <c r="AN176" s="585">
        <f t="shared" si="12"/>
        <v>-3.3713895122305784E-2</v>
      </c>
      <c r="AO176" s="585">
        <f t="shared" si="12"/>
        <v>-3.3713895122305784E-2</v>
      </c>
      <c r="AP176" s="585">
        <f t="shared" si="12"/>
        <v>-3.3713895122305784E-2</v>
      </c>
      <c r="AQ176" s="571"/>
      <c r="AR176" s="586"/>
    </row>
    <row r="177" spans="1:44" s="131" customFormat="1" x14ac:dyDescent="0.25">
      <c r="A177" s="160"/>
      <c r="E177" s="175"/>
      <c r="F177" s="66" t="s">
        <v>47</v>
      </c>
      <c r="G177" s="139" t="s">
        <v>201</v>
      </c>
      <c r="H177" s="572"/>
      <c r="I177" s="572"/>
      <c r="J177" s="587"/>
      <c r="K177" s="587"/>
      <c r="L177" s="587"/>
      <c r="M177" s="587"/>
      <c r="N177" s="587"/>
      <c r="O177" s="587"/>
      <c r="P177" s="587"/>
      <c r="Q177" s="587"/>
      <c r="R177" s="587"/>
      <c r="S177" s="587"/>
      <c r="T177" s="587"/>
      <c r="U177" s="587"/>
      <c r="V177" s="587"/>
      <c r="W177" s="587"/>
      <c r="X177" s="587"/>
      <c r="Y177" s="587"/>
      <c r="Z177" s="587"/>
      <c r="AA177" s="587"/>
      <c r="AB177" s="587"/>
      <c r="AC177" s="585">
        <f t="shared" ref="AC177:AP177" si="13">hundred * $H68 * AC98 / $H40 / hours_in_year</f>
        <v>-2.7123932739458172E-2</v>
      </c>
      <c r="AD177" s="585">
        <f t="shared" si="13"/>
        <v>-2.6052923457734849E-2</v>
      </c>
      <c r="AE177" s="585">
        <f t="shared" si="13"/>
        <v>-2.7123932739458172E-2</v>
      </c>
      <c r="AF177" s="585">
        <f t="shared" si="13"/>
        <v>-2.7123932739458172E-2</v>
      </c>
      <c r="AG177" s="585">
        <f t="shared" si="13"/>
        <v>-2.7123932739458172E-2</v>
      </c>
      <c r="AH177" s="585">
        <f t="shared" si="13"/>
        <v>-2.7123932739458172E-2</v>
      </c>
      <c r="AI177" s="585">
        <f t="shared" si="13"/>
        <v>-2.6052923457734849E-2</v>
      </c>
      <c r="AJ177" s="585">
        <f t="shared" si="13"/>
        <v>-2.6052923457734849E-2</v>
      </c>
      <c r="AK177" s="585">
        <f t="shared" si="13"/>
        <v>-2.6052923457734849E-2</v>
      </c>
      <c r="AL177" s="585">
        <f t="shared" si="13"/>
        <v>-2.6052923457734849E-2</v>
      </c>
      <c r="AM177" s="585">
        <f t="shared" si="13"/>
        <v>-2.5679315568761591E-2</v>
      </c>
      <c r="AN177" s="585">
        <f t="shared" si="13"/>
        <v>-2.5679315568761591E-2</v>
      </c>
      <c r="AO177" s="585">
        <f t="shared" si="13"/>
        <v>-2.5679315568761591E-2</v>
      </c>
      <c r="AP177" s="585">
        <f t="shared" si="13"/>
        <v>-2.5679315568761591E-2</v>
      </c>
      <c r="AQ177" s="571"/>
      <c r="AR177" s="586"/>
    </row>
    <row r="178" spans="1:44" s="131" customFormat="1" x14ac:dyDescent="0.25">
      <c r="A178" s="160"/>
      <c r="E178" s="175"/>
      <c r="F178" s="66" t="s">
        <v>51</v>
      </c>
      <c r="G178" s="139" t="s">
        <v>201</v>
      </c>
      <c r="H178" s="572"/>
      <c r="I178" s="572"/>
      <c r="J178" s="587"/>
      <c r="K178" s="587"/>
      <c r="L178" s="587"/>
      <c r="M178" s="587"/>
      <c r="N178" s="587"/>
      <c r="O178" s="587"/>
      <c r="P178" s="587"/>
      <c r="Q178" s="587"/>
      <c r="R178" s="587"/>
      <c r="S178" s="587"/>
      <c r="T178" s="587"/>
      <c r="U178" s="587"/>
      <c r="V178" s="587"/>
      <c r="W178" s="587"/>
      <c r="X178" s="587"/>
      <c r="Y178" s="587"/>
      <c r="Z178" s="587"/>
      <c r="AA178" s="587"/>
      <c r="AB178" s="587"/>
      <c r="AC178" s="585">
        <f t="shared" ref="AC178:AP178" si="14">hundred * $H69 * AC99 / $H41 / hours_in_year</f>
        <v>0</v>
      </c>
      <c r="AD178" s="585">
        <f t="shared" si="14"/>
        <v>0</v>
      </c>
      <c r="AE178" s="585">
        <f t="shared" si="14"/>
        <v>0</v>
      </c>
      <c r="AF178" s="585">
        <f t="shared" si="14"/>
        <v>0</v>
      </c>
      <c r="AG178" s="585">
        <f t="shared" si="14"/>
        <v>0</v>
      </c>
      <c r="AH178" s="585">
        <f t="shared" si="14"/>
        <v>0</v>
      </c>
      <c r="AI178" s="585">
        <f t="shared" si="14"/>
        <v>0</v>
      </c>
      <c r="AJ178" s="585">
        <f t="shared" si="14"/>
        <v>0</v>
      </c>
      <c r="AK178" s="585">
        <f t="shared" si="14"/>
        <v>0</v>
      </c>
      <c r="AL178" s="585">
        <f t="shared" si="14"/>
        <v>0</v>
      </c>
      <c r="AM178" s="585">
        <f t="shared" si="14"/>
        <v>0</v>
      </c>
      <c r="AN178" s="585">
        <f t="shared" si="14"/>
        <v>0</v>
      </c>
      <c r="AO178" s="585">
        <f t="shared" si="14"/>
        <v>0</v>
      </c>
      <c r="AP178" s="585">
        <f t="shared" si="14"/>
        <v>0</v>
      </c>
      <c r="AQ178" s="571"/>
      <c r="AR178" s="586"/>
    </row>
    <row r="179" spans="1:44" s="131" customFormat="1" x14ac:dyDescent="0.25">
      <c r="A179" s="160"/>
      <c r="E179" s="175"/>
      <c r="F179" s="66" t="s">
        <v>48</v>
      </c>
      <c r="G179" s="139" t="s">
        <v>201</v>
      </c>
      <c r="H179" s="572"/>
      <c r="I179" s="572"/>
      <c r="J179" s="587"/>
      <c r="K179" s="587"/>
      <c r="L179" s="587"/>
      <c r="M179" s="587"/>
      <c r="N179" s="587"/>
      <c r="O179" s="587"/>
      <c r="P179" s="587"/>
      <c r="Q179" s="587"/>
      <c r="R179" s="587"/>
      <c r="S179" s="587"/>
      <c r="T179" s="587"/>
      <c r="U179" s="587"/>
      <c r="V179" s="587"/>
      <c r="W179" s="587"/>
      <c r="X179" s="587"/>
      <c r="Y179" s="587"/>
      <c r="Z179" s="587"/>
      <c r="AA179" s="587"/>
      <c r="AB179" s="587"/>
      <c r="AC179" s="585">
        <f t="shared" ref="AC179:AP179" si="15">hundred * $H70 * AC100 / $H42 / hours_in_year</f>
        <v>-8.868336357560562E-2</v>
      </c>
      <c r="AD179" s="585">
        <f t="shared" si="15"/>
        <v>-8.518163296610054E-2</v>
      </c>
      <c r="AE179" s="585">
        <f t="shared" si="15"/>
        <v>-8.868336357560562E-2</v>
      </c>
      <c r="AF179" s="585">
        <f t="shared" si="15"/>
        <v>-8.868336357560562E-2</v>
      </c>
      <c r="AG179" s="585">
        <f t="shared" si="15"/>
        <v>-8.868336357560562E-2</v>
      </c>
      <c r="AH179" s="585">
        <f t="shared" si="15"/>
        <v>-8.868336357560562E-2</v>
      </c>
      <c r="AI179" s="585">
        <f t="shared" si="15"/>
        <v>-8.518163296610054E-2</v>
      </c>
      <c r="AJ179" s="585">
        <f t="shared" si="15"/>
        <v>-8.518163296610054E-2</v>
      </c>
      <c r="AK179" s="585">
        <f t="shared" si="15"/>
        <v>-8.518163296610054E-2</v>
      </c>
      <c r="AL179" s="585">
        <f t="shared" si="15"/>
        <v>-8.518163296610054E-2</v>
      </c>
      <c r="AM179" s="585">
        <f t="shared" si="15"/>
        <v>-8.3960099032552249E-2</v>
      </c>
      <c r="AN179" s="585">
        <f t="shared" si="15"/>
        <v>-8.3960099032552249E-2</v>
      </c>
      <c r="AO179" s="585">
        <f t="shared" si="15"/>
        <v>-8.3960099032552249E-2</v>
      </c>
      <c r="AP179" s="585">
        <f t="shared" si="15"/>
        <v>-8.3960099032552249E-2</v>
      </c>
      <c r="AQ179" s="571"/>
      <c r="AR179" s="586"/>
    </row>
    <row r="180" spans="1:44" s="131" customFormat="1" x14ac:dyDescent="0.25">
      <c r="A180" s="160"/>
      <c r="E180" s="175"/>
      <c r="F180" s="66" t="s">
        <v>49</v>
      </c>
      <c r="G180" s="139" t="s">
        <v>201</v>
      </c>
      <c r="H180" s="572"/>
      <c r="I180" s="572"/>
      <c r="J180" s="587"/>
      <c r="K180" s="587"/>
      <c r="L180" s="587"/>
      <c r="M180" s="587"/>
      <c r="N180" s="587"/>
      <c r="O180" s="587"/>
      <c r="P180" s="587"/>
      <c r="Q180" s="587"/>
      <c r="R180" s="587"/>
      <c r="S180" s="587"/>
      <c r="T180" s="587"/>
      <c r="U180" s="587"/>
      <c r="V180" s="587"/>
      <c r="W180" s="587"/>
      <c r="X180" s="587"/>
      <c r="Y180" s="587"/>
      <c r="Z180" s="587"/>
      <c r="AA180" s="587"/>
      <c r="AB180" s="587"/>
      <c r="AC180" s="585">
        <f t="shared" ref="AC180:AP180" si="16">hundred * $H71 * AC101 / $H43 / hours_in_year</f>
        <v>-2.9079349990642878E-2</v>
      </c>
      <c r="AD180" s="585">
        <f t="shared" si="16"/>
        <v>-2.7931129559423742E-2</v>
      </c>
      <c r="AE180" s="585">
        <f t="shared" si="16"/>
        <v>-2.9079349990642878E-2</v>
      </c>
      <c r="AF180" s="585">
        <f t="shared" si="16"/>
        <v>-2.9079349990642878E-2</v>
      </c>
      <c r="AG180" s="585">
        <f t="shared" si="16"/>
        <v>-2.9079349990642878E-2</v>
      </c>
      <c r="AH180" s="585">
        <f t="shared" si="16"/>
        <v>-2.9079349990642878E-2</v>
      </c>
      <c r="AI180" s="585">
        <f t="shared" si="16"/>
        <v>-2.7931129559423742E-2</v>
      </c>
      <c r="AJ180" s="585">
        <f t="shared" si="16"/>
        <v>-2.7931129559423742E-2</v>
      </c>
      <c r="AK180" s="585">
        <f t="shared" si="16"/>
        <v>-2.7931129559423742E-2</v>
      </c>
      <c r="AL180" s="585">
        <f t="shared" si="16"/>
        <v>-2.7931129559423742E-2</v>
      </c>
      <c r="AM180" s="585">
        <f t="shared" si="16"/>
        <v>0</v>
      </c>
      <c r="AN180" s="585">
        <f t="shared" si="16"/>
        <v>0</v>
      </c>
      <c r="AO180" s="585">
        <f t="shared" si="16"/>
        <v>0</v>
      </c>
      <c r="AP180" s="585">
        <f t="shared" si="16"/>
        <v>0</v>
      </c>
      <c r="AQ180" s="571"/>
      <c r="AR180" s="586"/>
    </row>
    <row r="181" spans="1:44" s="131" customFormat="1" x14ac:dyDescent="0.25">
      <c r="A181" s="160"/>
      <c r="E181" s="175"/>
      <c r="F181" s="66" t="s">
        <v>50</v>
      </c>
      <c r="G181" s="139" t="s">
        <v>201</v>
      </c>
      <c r="H181" s="572"/>
      <c r="I181" s="572"/>
      <c r="J181" s="587"/>
      <c r="K181" s="587"/>
      <c r="L181" s="587"/>
      <c r="M181" s="587"/>
      <c r="N181" s="587"/>
      <c r="O181" s="587"/>
      <c r="P181" s="587"/>
      <c r="Q181" s="587"/>
      <c r="R181" s="587"/>
      <c r="S181" s="587"/>
      <c r="T181" s="587"/>
      <c r="U181" s="587"/>
      <c r="V181" s="587"/>
      <c r="W181" s="587"/>
      <c r="X181" s="587"/>
      <c r="Y181" s="587"/>
      <c r="Z181" s="587"/>
      <c r="AA181" s="587"/>
      <c r="AB181" s="587"/>
      <c r="AC181" s="585">
        <f t="shared" ref="AC181:AP181" si="17">hundred * $H72 * AC102 / $H44 / hours_in_year</f>
        <v>-5.2304438189085832E-2</v>
      </c>
      <c r="AD181" s="585">
        <f t="shared" si="17"/>
        <v>0</v>
      </c>
      <c r="AE181" s="585">
        <f t="shared" si="17"/>
        <v>-5.2304438189085832E-2</v>
      </c>
      <c r="AF181" s="585">
        <f t="shared" si="17"/>
        <v>-5.2304438189085832E-2</v>
      </c>
      <c r="AG181" s="585">
        <f t="shared" si="17"/>
        <v>-5.2304438189085832E-2</v>
      </c>
      <c r="AH181" s="585">
        <f t="shared" si="17"/>
        <v>-5.2304438189085832E-2</v>
      </c>
      <c r="AI181" s="585">
        <f t="shared" si="17"/>
        <v>0</v>
      </c>
      <c r="AJ181" s="585">
        <f t="shared" si="17"/>
        <v>0</v>
      </c>
      <c r="AK181" s="585">
        <f t="shared" si="17"/>
        <v>0</v>
      </c>
      <c r="AL181" s="585">
        <f t="shared" si="17"/>
        <v>0</v>
      </c>
      <c r="AM181" s="585">
        <f t="shared" si="17"/>
        <v>0</v>
      </c>
      <c r="AN181" s="585">
        <f t="shared" si="17"/>
        <v>0</v>
      </c>
      <c r="AO181" s="585">
        <f t="shared" si="17"/>
        <v>0</v>
      </c>
      <c r="AP181" s="585">
        <f t="shared" si="17"/>
        <v>0</v>
      </c>
      <c r="AQ181" s="571"/>
      <c r="AR181" s="586"/>
    </row>
    <row r="182" spans="1:44" s="131" customFormat="1" x14ac:dyDescent="0.25">
      <c r="A182" s="160"/>
      <c r="E182" s="175"/>
      <c r="F182" s="66" t="s">
        <v>141</v>
      </c>
      <c r="G182" s="139" t="s">
        <v>201</v>
      </c>
      <c r="H182" s="572"/>
      <c r="I182" s="572"/>
      <c r="J182" s="587"/>
      <c r="K182" s="587"/>
      <c r="L182" s="587"/>
      <c r="M182" s="587"/>
      <c r="N182" s="587"/>
      <c r="O182" s="587"/>
      <c r="P182" s="587"/>
      <c r="Q182" s="587"/>
      <c r="R182" s="587"/>
      <c r="S182" s="587"/>
      <c r="T182" s="587"/>
      <c r="U182" s="587"/>
      <c r="V182" s="587"/>
      <c r="W182" s="587"/>
      <c r="X182" s="587"/>
      <c r="Y182" s="587"/>
      <c r="Z182" s="587"/>
      <c r="AA182" s="587"/>
      <c r="AB182" s="587"/>
      <c r="AC182" s="587"/>
      <c r="AD182" s="587"/>
      <c r="AE182" s="587"/>
      <c r="AF182" s="587"/>
      <c r="AG182" s="587"/>
      <c r="AH182" s="587"/>
      <c r="AI182" s="587"/>
      <c r="AJ182" s="587"/>
      <c r="AK182" s="587"/>
      <c r="AL182" s="587"/>
      <c r="AM182" s="587"/>
      <c r="AN182" s="587"/>
      <c r="AO182" s="587"/>
      <c r="AP182" s="587"/>
      <c r="AQ182" s="571"/>
      <c r="AR182" s="586"/>
    </row>
    <row r="183" spans="1:44" s="131" customFormat="1" x14ac:dyDescent="0.25">
      <c r="A183" s="160"/>
      <c r="E183" s="175"/>
      <c r="F183" s="67" t="s">
        <v>140</v>
      </c>
      <c r="G183" s="140" t="s">
        <v>201</v>
      </c>
      <c r="H183" s="574"/>
      <c r="I183" s="574"/>
      <c r="J183" s="579"/>
      <c r="K183" s="579"/>
      <c r="L183" s="579"/>
      <c r="M183" s="579"/>
      <c r="N183" s="579"/>
      <c r="O183" s="579"/>
      <c r="P183" s="579"/>
      <c r="Q183" s="579"/>
      <c r="R183" s="579"/>
      <c r="S183" s="579"/>
      <c r="T183" s="579"/>
      <c r="U183" s="579"/>
      <c r="V183" s="579"/>
      <c r="W183" s="579"/>
      <c r="X183" s="579"/>
      <c r="Y183" s="579"/>
      <c r="Z183" s="579"/>
      <c r="AA183" s="579"/>
      <c r="AB183" s="579"/>
      <c r="AC183" s="579"/>
      <c r="AD183" s="579"/>
      <c r="AE183" s="579"/>
      <c r="AF183" s="579"/>
      <c r="AG183" s="579"/>
      <c r="AH183" s="579"/>
      <c r="AI183" s="579"/>
      <c r="AJ183" s="579"/>
      <c r="AK183" s="579"/>
      <c r="AL183" s="579"/>
      <c r="AM183" s="579"/>
      <c r="AN183" s="579"/>
      <c r="AO183" s="579"/>
      <c r="AP183" s="579"/>
      <c r="AQ183" s="571"/>
      <c r="AR183" s="586"/>
    </row>
    <row r="184" spans="1:44" s="131" customFormat="1" x14ac:dyDescent="0.25">
      <c r="A184" s="160"/>
      <c r="E184" s="160"/>
      <c r="J184" s="416"/>
      <c r="K184" s="416"/>
      <c r="L184" s="416"/>
      <c r="M184" s="416"/>
      <c r="N184" s="416"/>
      <c r="O184" s="416"/>
      <c r="P184" s="416"/>
      <c r="Q184" s="416"/>
      <c r="R184" s="416"/>
      <c r="S184" s="416"/>
      <c r="T184" s="416"/>
      <c r="U184" s="416"/>
      <c r="V184" s="416"/>
      <c r="W184" s="416"/>
      <c r="X184" s="416"/>
      <c r="Y184" s="416"/>
      <c r="Z184" s="416"/>
      <c r="AA184" s="416"/>
      <c r="AB184" s="416"/>
      <c r="AC184" s="416"/>
      <c r="AD184" s="416"/>
      <c r="AE184" s="416"/>
      <c r="AF184" s="416"/>
      <c r="AG184" s="416"/>
      <c r="AH184" s="416"/>
      <c r="AI184" s="416"/>
      <c r="AJ184" s="416"/>
      <c r="AK184" s="416"/>
      <c r="AL184" s="416"/>
      <c r="AM184" s="416"/>
      <c r="AN184" s="416"/>
      <c r="AO184" s="416"/>
      <c r="AP184" s="416"/>
    </row>
    <row r="185" spans="1:44" s="160" customFormat="1" x14ac:dyDescent="0.25">
      <c r="B185" s="171" t="s">
        <v>571</v>
      </c>
      <c r="C185" s="171"/>
      <c r="D185" s="171"/>
      <c r="E185" s="171"/>
      <c r="F185" s="171"/>
      <c r="G185" s="171"/>
      <c r="H185" s="171"/>
      <c r="I185" s="171"/>
      <c r="J185" s="454"/>
      <c r="K185" s="454"/>
      <c r="L185" s="454"/>
      <c r="M185" s="454"/>
      <c r="N185" s="454"/>
      <c r="O185" s="454"/>
      <c r="P185" s="454"/>
      <c r="Q185" s="454"/>
      <c r="R185" s="454"/>
      <c r="S185" s="454"/>
      <c r="T185" s="454"/>
      <c r="U185" s="454"/>
      <c r="V185" s="454"/>
      <c r="W185" s="454"/>
      <c r="X185" s="454"/>
      <c r="Y185" s="454"/>
      <c r="Z185" s="454"/>
      <c r="AA185" s="454"/>
      <c r="AB185" s="454"/>
      <c r="AC185" s="454"/>
      <c r="AD185" s="454"/>
      <c r="AE185" s="454"/>
      <c r="AF185" s="454"/>
      <c r="AG185" s="454"/>
      <c r="AH185" s="454"/>
      <c r="AI185" s="454"/>
      <c r="AJ185" s="454"/>
      <c r="AK185" s="454"/>
      <c r="AL185" s="454"/>
      <c r="AM185" s="454"/>
      <c r="AN185" s="454"/>
      <c r="AO185" s="454"/>
      <c r="AP185" s="454"/>
      <c r="AQ185" s="171"/>
      <c r="AR185" s="171"/>
    </row>
    <row r="186" spans="1:44" s="11" customFormat="1" x14ac:dyDescent="0.25">
      <c r="A186" s="160"/>
      <c r="B186" s="203"/>
      <c r="D186" s="204"/>
      <c r="E186" s="204"/>
      <c r="J186" s="444"/>
      <c r="K186" s="444"/>
      <c r="L186" s="444"/>
      <c r="M186" s="444"/>
      <c r="N186" s="444"/>
      <c r="O186" s="444"/>
      <c r="P186" s="444"/>
      <c r="Q186" s="444"/>
      <c r="R186" s="444"/>
      <c r="S186" s="444"/>
      <c r="T186" s="444"/>
      <c r="U186" s="444"/>
      <c r="V186" s="444"/>
      <c r="W186" s="444"/>
      <c r="X186" s="444"/>
      <c r="Y186" s="444"/>
      <c r="Z186" s="444"/>
      <c r="AA186" s="444"/>
      <c r="AB186" s="444"/>
      <c r="AC186" s="444"/>
      <c r="AD186" s="444"/>
      <c r="AE186" s="444"/>
      <c r="AF186" s="444"/>
      <c r="AG186" s="444"/>
      <c r="AH186" s="444"/>
      <c r="AI186" s="444"/>
      <c r="AJ186" s="444"/>
      <c r="AK186" s="444"/>
      <c r="AL186" s="444"/>
      <c r="AM186" s="444"/>
      <c r="AN186" s="444"/>
      <c r="AO186" s="444"/>
      <c r="AP186" s="444"/>
    </row>
    <row r="187" spans="1:44" s="11" customFormat="1" x14ac:dyDescent="0.25">
      <c r="A187" s="160"/>
      <c r="B187" s="203"/>
      <c r="C187" s="152" t="s">
        <v>751</v>
      </c>
      <c r="D187" s="204"/>
      <c r="E187" s="204"/>
      <c r="J187" s="444"/>
      <c r="K187" s="444"/>
      <c r="L187" s="444"/>
      <c r="M187" s="444"/>
      <c r="N187" s="444"/>
      <c r="O187" s="444"/>
      <c r="P187" s="444"/>
      <c r="Q187" s="444"/>
      <c r="R187" s="444"/>
      <c r="S187" s="444"/>
      <c r="T187" s="444"/>
      <c r="U187" s="444"/>
      <c r="V187" s="444"/>
      <c r="W187" s="444"/>
      <c r="X187" s="444"/>
      <c r="Y187" s="444"/>
      <c r="Z187" s="444"/>
      <c r="AA187" s="444"/>
      <c r="AB187" s="444"/>
      <c r="AC187" s="444"/>
      <c r="AD187" s="444"/>
      <c r="AE187" s="444"/>
      <c r="AF187" s="444"/>
      <c r="AG187" s="444"/>
      <c r="AH187" s="444"/>
      <c r="AI187" s="444"/>
      <c r="AJ187" s="444"/>
      <c r="AK187" s="444"/>
      <c r="AL187" s="444"/>
      <c r="AM187" s="444"/>
      <c r="AN187" s="444"/>
      <c r="AO187" s="444"/>
      <c r="AP187" s="444"/>
    </row>
    <row r="188" spans="1:44" s="11" customFormat="1" x14ac:dyDescent="0.25">
      <c r="A188" s="160"/>
      <c r="B188" s="203"/>
      <c r="C188" s="152" t="s">
        <v>987</v>
      </c>
      <c r="D188" s="204"/>
      <c r="E188" s="204"/>
      <c r="I188" s="338" t="s">
        <v>525</v>
      </c>
      <c r="J188" s="444"/>
      <c r="K188" s="444"/>
      <c r="L188" s="444"/>
      <c r="M188" s="444"/>
      <c r="N188" s="444"/>
      <c r="O188" s="444"/>
      <c r="P188" s="444"/>
      <c r="Q188" s="444"/>
      <c r="R188" s="444"/>
      <c r="S188" s="444"/>
      <c r="T188" s="444"/>
      <c r="U188" s="444"/>
      <c r="V188" s="444"/>
      <c r="W188" s="444"/>
      <c r="X188" s="444"/>
      <c r="Y188" s="444"/>
      <c r="Z188" s="444"/>
      <c r="AA188" s="444"/>
      <c r="AB188" s="444"/>
      <c r="AC188" s="444"/>
      <c r="AD188" s="444"/>
      <c r="AE188" s="444"/>
      <c r="AF188" s="444"/>
      <c r="AG188" s="444"/>
      <c r="AH188" s="444"/>
      <c r="AI188" s="444"/>
      <c r="AJ188" s="444"/>
      <c r="AK188" s="444"/>
      <c r="AL188" s="444"/>
      <c r="AM188" s="444"/>
      <c r="AN188" s="444"/>
      <c r="AO188" s="444"/>
      <c r="AP188" s="444"/>
      <c r="AR188" s="11" t="s">
        <v>988</v>
      </c>
    </row>
    <row r="189" spans="1:44" s="73" customFormat="1" x14ac:dyDescent="0.25">
      <c r="A189" s="338"/>
      <c r="B189" s="203"/>
      <c r="D189" s="204"/>
      <c r="E189" s="204"/>
      <c r="J189" s="444"/>
      <c r="K189" s="444"/>
      <c r="L189" s="444"/>
      <c r="M189" s="444"/>
      <c r="N189" s="444"/>
      <c r="O189" s="444"/>
      <c r="P189" s="444"/>
      <c r="Q189" s="444"/>
      <c r="R189" s="444"/>
      <c r="S189" s="444"/>
      <c r="T189" s="444"/>
      <c r="U189" s="444"/>
      <c r="V189" s="444"/>
      <c r="W189" s="444"/>
      <c r="X189" s="444"/>
      <c r="Y189" s="444"/>
      <c r="Z189" s="444"/>
      <c r="AA189" s="444"/>
      <c r="AB189" s="444"/>
      <c r="AC189" s="444"/>
      <c r="AD189" s="444"/>
      <c r="AE189" s="444"/>
      <c r="AF189" s="444"/>
      <c r="AG189" s="444"/>
      <c r="AH189" s="444"/>
      <c r="AI189" s="444"/>
      <c r="AJ189" s="444"/>
      <c r="AK189" s="444"/>
      <c r="AL189" s="444"/>
      <c r="AM189" s="444"/>
      <c r="AN189" s="444"/>
      <c r="AO189" s="444"/>
      <c r="AP189" s="444"/>
    </row>
    <row r="190" spans="1:44" x14ac:dyDescent="0.25">
      <c r="A190" s="160"/>
      <c r="C190" s="22" t="str">
        <f ca="1">INDEX('Version control'!$H$34:$H$59,MATCH($A$1,'Version control'!$F$34:$F$59,0),1)&amp;"-D: Reactive power charges, all customer categories"</f>
        <v>Section 515-D: Reactive power charges, all customer categories</v>
      </c>
      <c r="D190" s="22"/>
      <c r="E190" s="22"/>
      <c r="F190" s="22"/>
      <c r="G190" s="22"/>
      <c r="H190" s="22"/>
      <c r="I190" s="22"/>
      <c r="J190" s="406"/>
      <c r="K190" s="406"/>
      <c r="L190" s="406"/>
      <c r="M190" s="406"/>
      <c r="N190" s="406"/>
      <c r="O190" s="406"/>
      <c r="P190" s="406"/>
      <c r="Q190" s="406"/>
      <c r="R190" s="406"/>
      <c r="S190" s="406"/>
      <c r="T190" s="406"/>
      <c r="U190" s="406"/>
      <c r="V190" s="406"/>
      <c r="W190" s="406"/>
      <c r="X190" s="406"/>
      <c r="Y190" s="406"/>
      <c r="Z190" s="406"/>
      <c r="AA190" s="406"/>
      <c r="AB190" s="406"/>
      <c r="AC190" s="406"/>
      <c r="AD190" s="406"/>
      <c r="AE190" s="406"/>
      <c r="AF190" s="406"/>
      <c r="AG190" s="406"/>
      <c r="AH190" s="406"/>
      <c r="AI190" s="406"/>
      <c r="AJ190" s="406"/>
      <c r="AK190" s="406"/>
      <c r="AL190" s="406"/>
      <c r="AM190" s="406"/>
      <c r="AN190" s="406"/>
      <c r="AO190" s="406"/>
      <c r="AP190" s="406"/>
      <c r="AQ190" s="22"/>
      <c r="AR190" s="22"/>
    </row>
    <row r="191" spans="1:44" s="160" customFormat="1" x14ac:dyDescent="0.25">
      <c r="C191" s="172"/>
      <c r="E191" s="172"/>
      <c r="I191" s="88" t="s">
        <v>525</v>
      </c>
      <c r="J191" s="416"/>
      <c r="K191" s="416"/>
      <c r="L191" s="416"/>
      <c r="M191" s="416"/>
      <c r="N191" s="416"/>
      <c r="O191" s="416"/>
      <c r="P191" s="416"/>
      <c r="Q191" s="416"/>
      <c r="R191" s="416"/>
      <c r="S191" s="416"/>
      <c r="T191" s="416"/>
      <c r="U191" s="416"/>
      <c r="V191" s="416"/>
      <c r="W191" s="416"/>
      <c r="X191" s="416"/>
      <c r="Y191" s="416"/>
      <c r="Z191" s="416"/>
      <c r="AA191" s="416"/>
      <c r="AB191" s="416"/>
      <c r="AC191" s="416"/>
      <c r="AD191" s="416"/>
      <c r="AE191" s="416"/>
      <c r="AF191" s="416"/>
      <c r="AG191" s="416"/>
      <c r="AH191" s="416"/>
      <c r="AI191" s="416"/>
      <c r="AJ191" s="416"/>
      <c r="AK191" s="416"/>
      <c r="AL191" s="416"/>
      <c r="AM191" s="416"/>
      <c r="AN191" s="416"/>
      <c r="AO191" s="416"/>
      <c r="AP191" s="416"/>
      <c r="AQ191" s="88"/>
      <c r="AR191" s="160" t="s">
        <v>1076</v>
      </c>
    </row>
    <row r="192" spans="1:44" x14ac:dyDescent="0.25">
      <c r="A192" s="160"/>
      <c r="E192" s="172" t="s">
        <v>156</v>
      </c>
      <c r="J192" s="416"/>
      <c r="K192" s="416"/>
      <c r="L192" s="416"/>
      <c r="M192" s="416"/>
      <c r="N192" s="416"/>
      <c r="O192" s="416"/>
      <c r="P192" s="416"/>
      <c r="Q192" s="416"/>
      <c r="R192" s="416"/>
      <c r="S192" s="416"/>
      <c r="T192" s="416"/>
      <c r="U192" s="416"/>
      <c r="V192" s="416"/>
      <c r="W192" s="416"/>
      <c r="X192" s="416"/>
      <c r="Y192" s="416"/>
      <c r="Z192" s="416"/>
      <c r="AA192" s="416"/>
      <c r="AB192" s="416"/>
      <c r="AC192" s="416"/>
      <c r="AD192" s="416"/>
      <c r="AE192" s="416"/>
      <c r="AF192" s="416"/>
      <c r="AG192" s="416"/>
      <c r="AH192" s="416"/>
      <c r="AI192" s="416"/>
      <c r="AJ192" s="416"/>
      <c r="AK192" s="416"/>
      <c r="AL192" s="416"/>
      <c r="AM192" s="416"/>
      <c r="AN192" s="416"/>
      <c r="AO192" s="416"/>
      <c r="AP192" s="416"/>
    </row>
    <row r="193" spans="1:44" x14ac:dyDescent="0.25">
      <c r="A193" s="160"/>
      <c r="F193" s="180" t="s">
        <v>397</v>
      </c>
      <c r="G193" s="166" t="s">
        <v>388</v>
      </c>
      <c r="H193" s="569"/>
      <c r="I193" s="569"/>
      <c r="J193" s="583"/>
      <c r="K193" s="583"/>
      <c r="L193" s="583"/>
      <c r="M193" s="583"/>
      <c r="N193" s="583"/>
      <c r="O193" s="583"/>
      <c r="P193" s="583"/>
      <c r="Q193" s="583"/>
      <c r="R193" s="583"/>
      <c r="S193" s="583"/>
      <c r="T193" s="583"/>
      <c r="U193" s="583"/>
      <c r="V193" s="583"/>
      <c r="W193" s="583"/>
      <c r="X193" s="583"/>
      <c r="Y193" s="583"/>
      <c r="Z193" s="583"/>
      <c r="AA193" s="583"/>
      <c r="AB193" s="583"/>
      <c r="AC193" s="583"/>
      <c r="AD193" s="583"/>
      <c r="AE193" s="583"/>
      <c r="AF193" s="583"/>
      <c r="AG193" s="583"/>
      <c r="AH193" s="583"/>
      <c r="AI193" s="583"/>
      <c r="AJ193" s="583"/>
      <c r="AK193" s="583"/>
      <c r="AL193" s="583"/>
      <c r="AM193" s="583"/>
      <c r="AN193" s="583"/>
      <c r="AO193" s="583"/>
      <c r="AP193" s="583"/>
      <c r="AQ193" s="571"/>
      <c r="AR193" s="571"/>
    </row>
    <row r="194" spans="1:44" x14ac:dyDescent="0.25">
      <c r="A194" s="160"/>
      <c r="F194" s="176" t="s">
        <v>43</v>
      </c>
      <c r="G194" s="339" t="s">
        <v>388</v>
      </c>
      <c r="H194" s="572"/>
      <c r="I194" s="572"/>
      <c r="J194" s="587"/>
      <c r="K194" s="587"/>
      <c r="L194" s="587"/>
      <c r="M194" s="587"/>
      <c r="N194" s="587"/>
      <c r="O194" s="587"/>
      <c r="P194" s="587"/>
      <c r="Q194" s="587"/>
      <c r="R194" s="587"/>
      <c r="S194" s="587"/>
      <c r="T194" s="587"/>
      <c r="U194" s="587"/>
      <c r="V194" s="587"/>
      <c r="W194" s="587"/>
      <c r="X194" s="587"/>
      <c r="Y194" s="587"/>
      <c r="Z194" s="587"/>
      <c r="AA194" s="587"/>
      <c r="AB194" s="587"/>
      <c r="AC194" s="587"/>
      <c r="AD194" s="587"/>
      <c r="AE194" s="587"/>
      <c r="AF194" s="587"/>
      <c r="AG194" s="587"/>
      <c r="AH194" s="587"/>
      <c r="AI194" s="587"/>
      <c r="AJ194" s="587"/>
      <c r="AK194" s="587"/>
      <c r="AL194" s="587"/>
      <c r="AM194" s="587"/>
      <c r="AN194" s="587"/>
      <c r="AO194" s="587"/>
      <c r="AP194" s="587"/>
      <c r="AQ194" s="571"/>
      <c r="AR194" s="571"/>
    </row>
    <row r="195" spans="1:44" x14ac:dyDescent="0.25">
      <c r="A195" s="160"/>
      <c r="F195" s="176" t="s">
        <v>44</v>
      </c>
      <c r="G195" s="339" t="s">
        <v>388</v>
      </c>
      <c r="H195" s="572"/>
      <c r="I195" s="572"/>
      <c r="J195" s="585">
        <f t="shared" ref="J195:AP195" si="18">ABS(J125 + J160)*(1-J82)*PowerFactor*$H23</f>
        <v>6.3048555669038983E-2</v>
      </c>
      <c r="K195" s="585">
        <f t="shared" si="18"/>
        <v>4.4215853718551822E-2</v>
      </c>
      <c r="L195" s="585">
        <f t="shared" si="18"/>
        <v>0</v>
      </c>
      <c r="M195" s="585">
        <f t="shared" si="18"/>
        <v>5.0125288601910317E-2</v>
      </c>
      <c r="N195" s="585">
        <f t="shared" si="18"/>
        <v>5.3384720833105151E-2</v>
      </c>
      <c r="O195" s="585">
        <f t="shared" si="18"/>
        <v>0</v>
      </c>
      <c r="P195" s="585">
        <f t="shared" si="18"/>
        <v>3.8855194673722941E-2</v>
      </c>
      <c r="Q195" s="585">
        <f t="shared" si="18"/>
        <v>3.2398315683384631E-2</v>
      </c>
      <c r="R195" s="585">
        <f t="shared" si="18"/>
        <v>3.9424521951413265E-2</v>
      </c>
      <c r="S195" s="585">
        <f t="shared" si="18"/>
        <v>9.5503690392203536E-2</v>
      </c>
      <c r="T195" s="585">
        <f t="shared" si="18"/>
        <v>4.79859057620644E-2</v>
      </c>
      <c r="U195" s="585">
        <f t="shared" si="18"/>
        <v>3.984637003689781E-2</v>
      </c>
      <c r="V195" s="585">
        <f t="shared" si="18"/>
        <v>3.4837375709651668E-2</v>
      </c>
      <c r="W195" s="585">
        <f t="shared" si="18"/>
        <v>3.052154812736162E-2</v>
      </c>
      <c r="X195" s="585">
        <f t="shared" si="18"/>
        <v>2.8804863990836482E-2</v>
      </c>
      <c r="Y195" s="585">
        <f t="shared" si="18"/>
        <v>5.0970638247209793E-2</v>
      </c>
      <c r="Z195" s="585">
        <f t="shared" si="18"/>
        <v>9.5452988795320187E-2</v>
      </c>
      <c r="AA195" s="585">
        <f t="shared" si="18"/>
        <v>1.4826700670096246E-2</v>
      </c>
      <c r="AB195" s="585">
        <f t="shared" si="18"/>
        <v>4.9738935873019384E-2</v>
      </c>
      <c r="AC195" s="585">
        <f t="shared" si="18"/>
        <v>2.8801578759095305E-2</v>
      </c>
      <c r="AD195" s="585">
        <f t="shared" si="18"/>
        <v>2.7664326337937278E-2</v>
      </c>
      <c r="AE195" s="585">
        <f t="shared" si="18"/>
        <v>2.8801578759095305E-2</v>
      </c>
      <c r="AF195" s="585">
        <f t="shared" si="18"/>
        <v>2.8801578759095305E-2</v>
      </c>
      <c r="AG195" s="585">
        <f t="shared" si="18"/>
        <v>2.8801578759095305E-2</v>
      </c>
      <c r="AH195" s="585">
        <f t="shared" si="18"/>
        <v>2.8801578759095305E-2</v>
      </c>
      <c r="AI195" s="585">
        <f t="shared" si="18"/>
        <v>2.7664326337937278E-2</v>
      </c>
      <c r="AJ195" s="585">
        <f t="shared" si="18"/>
        <v>2.7664326337937278E-2</v>
      </c>
      <c r="AK195" s="585">
        <f t="shared" si="18"/>
        <v>2.7664326337937278E-2</v>
      </c>
      <c r="AL195" s="585">
        <f t="shared" si="18"/>
        <v>2.7664326337937278E-2</v>
      </c>
      <c r="AM195" s="585">
        <f t="shared" si="18"/>
        <v>2.7267610377068187E-2</v>
      </c>
      <c r="AN195" s="585">
        <f t="shared" si="18"/>
        <v>2.7267610377068187E-2</v>
      </c>
      <c r="AO195" s="585">
        <f t="shared" si="18"/>
        <v>2.7267610377068187E-2</v>
      </c>
      <c r="AP195" s="585">
        <f t="shared" si="18"/>
        <v>2.7267610377068187E-2</v>
      </c>
      <c r="AQ195" s="571"/>
      <c r="AR195" s="571"/>
    </row>
    <row r="196" spans="1:44" x14ac:dyDescent="0.25">
      <c r="A196" s="160"/>
      <c r="F196" s="176" t="s">
        <v>45</v>
      </c>
      <c r="G196" s="339" t="s">
        <v>388</v>
      </c>
      <c r="H196" s="572"/>
      <c r="I196" s="572"/>
      <c r="J196" s="585">
        <f t="shared" ref="J196:AP196" si="19">ABS(J126 + J161)*(1-J83)*PowerFactor*$H24</f>
        <v>1.7546647696923795E-2</v>
      </c>
      <c r="K196" s="585">
        <f t="shared" si="19"/>
        <v>1.2305436652518523E-2</v>
      </c>
      <c r="L196" s="585">
        <f t="shared" si="19"/>
        <v>0</v>
      </c>
      <c r="M196" s="585">
        <f t="shared" si="19"/>
        <v>1.3950054374302792E-2</v>
      </c>
      <c r="N196" s="585">
        <f t="shared" si="19"/>
        <v>1.4857166495205175E-2</v>
      </c>
      <c r="O196" s="585">
        <f t="shared" si="19"/>
        <v>0</v>
      </c>
      <c r="P196" s="585">
        <f t="shared" si="19"/>
        <v>1.0813545289031971E-2</v>
      </c>
      <c r="Q196" s="585">
        <f t="shared" si="19"/>
        <v>9.0165718347967362E-3</v>
      </c>
      <c r="R196" s="585">
        <f t="shared" si="19"/>
        <v>1.0971991189336493E-2</v>
      </c>
      <c r="S196" s="585">
        <f t="shared" si="19"/>
        <v>2.6579032481960488E-2</v>
      </c>
      <c r="T196" s="585">
        <f t="shared" si="19"/>
        <v>1.3354656167614689E-2</v>
      </c>
      <c r="U196" s="585">
        <f t="shared" si="19"/>
        <v>1.1089393081561821E-2</v>
      </c>
      <c r="V196" s="585">
        <f t="shared" si="19"/>
        <v>9.6953713178049346E-3</v>
      </c>
      <c r="W196" s="585">
        <f t="shared" si="19"/>
        <v>8.4942604389985979E-3</v>
      </c>
      <c r="X196" s="585">
        <f t="shared" si="19"/>
        <v>8.0165008546454804E-3</v>
      </c>
      <c r="Y196" s="585">
        <f t="shared" si="19"/>
        <v>1.4185318326813495E-2</v>
      </c>
      <c r="Z196" s="585">
        <f t="shared" si="19"/>
        <v>2.6564922038846556E-2</v>
      </c>
      <c r="AA196" s="585">
        <f t="shared" si="19"/>
        <v>4.1263259785295622E-3</v>
      </c>
      <c r="AB196" s="585">
        <f t="shared" si="19"/>
        <v>1.3842530971924148E-2</v>
      </c>
      <c r="AC196" s="585">
        <f t="shared" si="19"/>
        <v>8.0155865624249294E-3</v>
      </c>
      <c r="AD196" s="585">
        <f t="shared" si="19"/>
        <v>7.6990849809884998E-3</v>
      </c>
      <c r="AE196" s="585">
        <f t="shared" si="19"/>
        <v>8.0155865624249294E-3</v>
      </c>
      <c r="AF196" s="585">
        <f t="shared" si="19"/>
        <v>8.0155865624249294E-3</v>
      </c>
      <c r="AG196" s="585">
        <f t="shared" si="19"/>
        <v>8.0155865624249294E-3</v>
      </c>
      <c r="AH196" s="585">
        <f t="shared" si="19"/>
        <v>8.0155865624249294E-3</v>
      </c>
      <c r="AI196" s="585">
        <f t="shared" si="19"/>
        <v>7.6990849809884998E-3</v>
      </c>
      <c r="AJ196" s="585">
        <f t="shared" si="19"/>
        <v>7.6990849809884998E-3</v>
      </c>
      <c r="AK196" s="585">
        <f t="shared" si="19"/>
        <v>7.6990849809884998E-3</v>
      </c>
      <c r="AL196" s="585">
        <f t="shared" si="19"/>
        <v>7.6990849809884998E-3</v>
      </c>
      <c r="AM196" s="585">
        <f t="shared" si="19"/>
        <v>7.5886774525804413E-3</v>
      </c>
      <c r="AN196" s="585">
        <f t="shared" si="19"/>
        <v>7.5886774525804413E-3</v>
      </c>
      <c r="AO196" s="585">
        <f t="shared" si="19"/>
        <v>7.5886774525804413E-3</v>
      </c>
      <c r="AP196" s="585">
        <f t="shared" si="19"/>
        <v>7.5886774525804413E-3</v>
      </c>
      <c r="AQ196" s="571"/>
      <c r="AR196" s="571"/>
    </row>
    <row r="197" spans="1:44" x14ac:dyDescent="0.25">
      <c r="A197" s="160"/>
      <c r="F197" s="176" t="s">
        <v>46</v>
      </c>
      <c r="G197" s="339" t="s">
        <v>388</v>
      </c>
      <c r="H197" s="572"/>
      <c r="I197" s="572"/>
      <c r="J197" s="585">
        <f t="shared" ref="J197:AP197" si="20">ABS(J127 + J162)*(1-J84)*PowerFactor*$H25</f>
        <v>4.157494173062419E-2</v>
      </c>
      <c r="K197" s="585">
        <f t="shared" si="20"/>
        <v>2.9156441767964378E-2</v>
      </c>
      <c r="L197" s="585">
        <f t="shared" si="20"/>
        <v>0</v>
      </c>
      <c r="M197" s="585">
        <f t="shared" si="20"/>
        <v>3.3053191000828964E-2</v>
      </c>
      <c r="N197" s="585">
        <f t="shared" si="20"/>
        <v>3.5202498049164532E-2</v>
      </c>
      <c r="O197" s="585">
        <f t="shared" si="20"/>
        <v>0</v>
      </c>
      <c r="P197" s="585">
        <f t="shared" si="20"/>
        <v>2.5621561625802012E-2</v>
      </c>
      <c r="Q197" s="585">
        <f t="shared" si="20"/>
        <v>2.1363821461314294E-2</v>
      </c>
      <c r="R197" s="585">
        <f t="shared" si="20"/>
        <v>2.033093194955559E-2</v>
      </c>
      <c r="S197" s="585">
        <f t="shared" si="20"/>
        <v>6.2976230319344878E-2</v>
      </c>
      <c r="T197" s="585">
        <f t="shared" si="20"/>
        <v>3.1642457385090167E-2</v>
      </c>
      <c r="U197" s="585">
        <f t="shared" si="20"/>
        <v>2.6275154044082594E-2</v>
      </c>
      <c r="V197" s="585">
        <f t="shared" si="20"/>
        <v>2.2972165655618219E-2</v>
      </c>
      <c r="W197" s="585">
        <f t="shared" si="20"/>
        <v>1.5739734745223225E-2</v>
      </c>
      <c r="X197" s="585">
        <f t="shared" si="20"/>
        <v>1.8994258143896919E-2</v>
      </c>
      <c r="Y197" s="585">
        <f t="shared" si="20"/>
        <v>3.3610624265911479E-2</v>
      </c>
      <c r="Z197" s="585">
        <f t="shared" si="20"/>
        <v>6.2942797104044268E-2</v>
      </c>
      <c r="AA197" s="585">
        <f t="shared" si="20"/>
        <v>9.7768967088227993E-3</v>
      </c>
      <c r="AB197" s="585">
        <f t="shared" si="20"/>
        <v>3.2798425574077139E-2</v>
      </c>
      <c r="AC197" s="585">
        <f t="shared" si="20"/>
        <v>1.8992091824355389E-2</v>
      </c>
      <c r="AD197" s="585">
        <f t="shared" si="20"/>
        <v>1.8242174516322991E-2</v>
      </c>
      <c r="AE197" s="585">
        <f t="shared" si="20"/>
        <v>1.8992091824355389E-2</v>
      </c>
      <c r="AF197" s="585">
        <f t="shared" si="20"/>
        <v>1.8992091824355389E-2</v>
      </c>
      <c r="AG197" s="585">
        <f t="shared" si="20"/>
        <v>1.8992091824355389E-2</v>
      </c>
      <c r="AH197" s="585">
        <f t="shared" si="20"/>
        <v>1.8992091824355389E-2</v>
      </c>
      <c r="AI197" s="585">
        <f t="shared" si="20"/>
        <v>1.8242174516322991E-2</v>
      </c>
      <c r="AJ197" s="585">
        <f t="shared" si="20"/>
        <v>1.8242174516322991E-2</v>
      </c>
      <c r="AK197" s="585">
        <f t="shared" si="20"/>
        <v>1.8242174516322991E-2</v>
      </c>
      <c r="AL197" s="585">
        <f t="shared" si="20"/>
        <v>1.8242174516322991E-2</v>
      </c>
      <c r="AM197" s="585">
        <f t="shared" si="20"/>
        <v>1.7577129143328023E-2</v>
      </c>
      <c r="AN197" s="585">
        <f t="shared" si="20"/>
        <v>1.7577129143328023E-2</v>
      </c>
      <c r="AO197" s="585">
        <f t="shared" si="20"/>
        <v>1.7577129143328023E-2</v>
      </c>
      <c r="AP197" s="585">
        <f t="shared" si="20"/>
        <v>1.7577129143328023E-2</v>
      </c>
      <c r="AQ197" s="571"/>
      <c r="AR197" s="571"/>
    </row>
    <row r="198" spans="1:44" x14ac:dyDescent="0.25">
      <c r="A198" s="160"/>
      <c r="F198" s="176" t="s">
        <v>47</v>
      </c>
      <c r="G198" s="339" t="s">
        <v>388</v>
      </c>
      <c r="H198" s="572"/>
      <c r="I198" s="572"/>
      <c r="J198" s="585">
        <f t="shared" ref="J198:AP198" si="21">ABS(J128 + J163)*(1-J85)*PowerFactor*$H26</f>
        <v>3.1281203219491356E-2</v>
      </c>
      <c r="K198" s="585">
        <f t="shared" si="21"/>
        <v>2.1937459011016302E-2</v>
      </c>
      <c r="L198" s="585">
        <f t="shared" si="21"/>
        <v>0</v>
      </c>
      <c r="M198" s="585">
        <f t="shared" si="21"/>
        <v>2.4869393478620036E-2</v>
      </c>
      <c r="N198" s="585">
        <f t="shared" si="21"/>
        <v>2.6486543323247395E-2</v>
      </c>
      <c r="O198" s="585">
        <f t="shared" si="21"/>
        <v>0</v>
      </c>
      <c r="P198" s="585">
        <f t="shared" si="21"/>
        <v>1.9277796736563244E-2</v>
      </c>
      <c r="Q198" s="585">
        <f t="shared" si="21"/>
        <v>1.6074250807284769E-2</v>
      </c>
      <c r="R198" s="585">
        <f t="shared" si="21"/>
        <v>0</v>
      </c>
      <c r="S198" s="585">
        <f t="shared" si="21"/>
        <v>4.7383644489051295E-2</v>
      </c>
      <c r="T198" s="585">
        <f t="shared" si="21"/>
        <v>2.3807950140745507E-2</v>
      </c>
      <c r="U198" s="585">
        <f t="shared" si="21"/>
        <v>1.9769563084461542E-2</v>
      </c>
      <c r="V198" s="585">
        <f t="shared" si="21"/>
        <v>1.7284377376189885E-2</v>
      </c>
      <c r="W198" s="585">
        <f t="shared" si="21"/>
        <v>0</v>
      </c>
      <c r="X198" s="585">
        <f t="shared" si="21"/>
        <v>1.4291378995849707E-2</v>
      </c>
      <c r="Y198" s="585">
        <f t="shared" si="21"/>
        <v>2.5288809177608416E-2</v>
      </c>
      <c r="Z198" s="585">
        <f t="shared" si="21"/>
        <v>4.7358489163305428E-2</v>
      </c>
      <c r="AA198" s="585">
        <f t="shared" si="21"/>
        <v>7.3561881285665112E-3</v>
      </c>
      <c r="AB198" s="585">
        <f t="shared" si="21"/>
        <v>2.4677706641410266E-2</v>
      </c>
      <c r="AC198" s="585">
        <f t="shared" si="21"/>
        <v>1.4289749045716379E-2</v>
      </c>
      <c r="AD198" s="585">
        <f t="shared" si="21"/>
        <v>1.3725507347859812E-2</v>
      </c>
      <c r="AE198" s="585">
        <f t="shared" si="21"/>
        <v>1.4289749045716379E-2</v>
      </c>
      <c r="AF198" s="585">
        <f t="shared" si="21"/>
        <v>1.4289749045716379E-2</v>
      </c>
      <c r="AG198" s="585">
        <f t="shared" si="21"/>
        <v>1.4289749045716379E-2</v>
      </c>
      <c r="AH198" s="585">
        <f t="shared" si="21"/>
        <v>1.4289749045716379E-2</v>
      </c>
      <c r="AI198" s="585">
        <f t="shared" si="21"/>
        <v>1.3725507347859812E-2</v>
      </c>
      <c r="AJ198" s="585">
        <f t="shared" si="21"/>
        <v>1.3725507347859812E-2</v>
      </c>
      <c r="AK198" s="585">
        <f t="shared" si="21"/>
        <v>1.3725507347859812E-2</v>
      </c>
      <c r="AL198" s="585">
        <f t="shared" si="21"/>
        <v>1.3725507347859812E-2</v>
      </c>
      <c r="AM198" s="585">
        <f t="shared" si="21"/>
        <v>1.2946538971840987E-2</v>
      </c>
      <c r="AN198" s="585">
        <f t="shared" si="21"/>
        <v>1.2946538971840987E-2</v>
      </c>
      <c r="AO198" s="585">
        <f t="shared" si="21"/>
        <v>1.2946538971840987E-2</v>
      </c>
      <c r="AP198" s="585">
        <f t="shared" si="21"/>
        <v>1.2946538971840987E-2</v>
      </c>
      <c r="AQ198" s="571"/>
      <c r="AR198" s="571"/>
    </row>
    <row r="199" spans="1:44" x14ac:dyDescent="0.25">
      <c r="A199" s="160"/>
      <c r="F199" s="176" t="s">
        <v>51</v>
      </c>
      <c r="G199" s="339" t="s">
        <v>388</v>
      </c>
      <c r="H199" s="572"/>
      <c r="I199" s="572"/>
      <c r="J199" s="585">
        <f t="shared" ref="J199:AP199" si="22">ABS(J129 + J164)*(1-J86)*PowerFactor*$H27</f>
        <v>0</v>
      </c>
      <c r="K199" s="585">
        <f t="shared" si="22"/>
        <v>0</v>
      </c>
      <c r="L199" s="585">
        <f t="shared" si="22"/>
        <v>0</v>
      </c>
      <c r="M199" s="585">
        <f t="shared" si="22"/>
        <v>0</v>
      </c>
      <c r="N199" s="585">
        <f t="shared" si="22"/>
        <v>0</v>
      </c>
      <c r="O199" s="585">
        <f t="shared" si="22"/>
        <v>0</v>
      </c>
      <c r="P199" s="585">
        <f t="shared" si="22"/>
        <v>0</v>
      </c>
      <c r="Q199" s="585">
        <f t="shared" si="22"/>
        <v>0</v>
      </c>
      <c r="R199" s="585">
        <f t="shared" si="22"/>
        <v>0</v>
      </c>
      <c r="S199" s="585">
        <f t="shared" si="22"/>
        <v>0</v>
      </c>
      <c r="T199" s="585">
        <f t="shared" si="22"/>
        <v>0</v>
      </c>
      <c r="U199" s="585">
        <f t="shared" si="22"/>
        <v>0</v>
      </c>
      <c r="V199" s="585">
        <f t="shared" si="22"/>
        <v>0</v>
      </c>
      <c r="W199" s="585">
        <f t="shared" si="22"/>
        <v>0</v>
      </c>
      <c r="X199" s="585">
        <f t="shared" si="22"/>
        <v>0</v>
      </c>
      <c r="Y199" s="585">
        <f t="shared" si="22"/>
        <v>0</v>
      </c>
      <c r="Z199" s="585">
        <f t="shared" si="22"/>
        <v>0</v>
      </c>
      <c r="AA199" s="585">
        <f t="shared" si="22"/>
        <v>0</v>
      </c>
      <c r="AB199" s="585">
        <f t="shared" si="22"/>
        <v>0</v>
      </c>
      <c r="AC199" s="585">
        <f t="shared" si="22"/>
        <v>0</v>
      </c>
      <c r="AD199" s="585">
        <f t="shared" si="22"/>
        <v>0</v>
      </c>
      <c r="AE199" s="585">
        <f t="shared" si="22"/>
        <v>0</v>
      </c>
      <c r="AF199" s="585">
        <f t="shared" si="22"/>
        <v>0</v>
      </c>
      <c r="AG199" s="585">
        <f t="shared" si="22"/>
        <v>0</v>
      </c>
      <c r="AH199" s="585">
        <f t="shared" si="22"/>
        <v>0</v>
      </c>
      <c r="AI199" s="585">
        <f t="shared" si="22"/>
        <v>0</v>
      </c>
      <c r="AJ199" s="585">
        <f t="shared" si="22"/>
        <v>0</v>
      </c>
      <c r="AK199" s="585">
        <f t="shared" si="22"/>
        <v>0</v>
      </c>
      <c r="AL199" s="585">
        <f t="shared" si="22"/>
        <v>0</v>
      </c>
      <c r="AM199" s="585">
        <f t="shared" si="22"/>
        <v>0</v>
      </c>
      <c r="AN199" s="585">
        <f t="shared" si="22"/>
        <v>0</v>
      </c>
      <c r="AO199" s="585">
        <f t="shared" si="22"/>
        <v>0</v>
      </c>
      <c r="AP199" s="585">
        <f t="shared" si="22"/>
        <v>0</v>
      </c>
      <c r="AQ199" s="571"/>
      <c r="AR199" s="571"/>
    </row>
    <row r="200" spans="1:44" x14ac:dyDescent="0.25">
      <c r="F200" s="176" t="s">
        <v>48</v>
      </c>
      <c r="G200" s="339" t="s">
        <v>388</v>
      </c>
      <c r="H200" s="572"/>
      <c r="I200" s="572"/>
      <c r="J200" s="585">
        <f t="shared" ref="J200:AP200" si="23">ABS(J130 + J165)*(1-J87)*PowerFactor*$H28</f>
        <v>6.8792049064431232E-2</v>
      </c>
      <c r="K200" s="585">
        <f t="shared" si="23"/>
        <v>4.8243756675396883E-2</v>
      </c>
      <c r="L200" s="585">
        <f t="shared" si="23"/>
        <v>0</v>
      </c>
      <c r="M200" s="585">
        <f t="shared" si="23"/>
        <v>5.4691519516674593E-2</v>
      </c>
      <c r="N200" s="585">
        <f t="shared" si="23"/>
        <v>5.8247874132433888E-2</v>
      </c>
      <c r="O200" s="585">
        <f t="shared" si="23"/>
        <v>0</v>
      </c>
      <c r="P200" s="585">
        <f t="shared" si="23"/>
        <v>4.2394761149387616E-2</v>
      </c>
      <c r="Q200" s="585">
        <f t="shared" si="23"/>
        <v>3.5349684040276733E-2</v>
      </c>
      <c r="R200" s="585">
        <f t="shared" si="23"/>
        <v>0</v>
      </c>
      <c r="S200" s="585">
        <f t="shared" si="23"/>
        <v>0.10420372815171353</v>
      </c>
      <c r="T200" s="585">
        <f t="shared" si="23"/>
        <v>5.2357246705433111E-2</v>
      </c>
      <c r="U200" s="585">
        <f t="shared" si="23"/>
        <v>3.478098317755849E-2</v>
      </c>
      <c r="V200" s="585">
        <f t="shared" si="23"/>
        <v>0</v>
      </c>
      <c r="W200" s="585">
        <f t="shared" si="23"/>
        <v>0</v>
      </c>
      <c r="X200" s="585">
        <f t="shared" si="23"/>
        <v>3.1428882008869903E-2</v>
      </c>
      <c r="Y200" s="585">
        <f t="shared" si="23"/>
        <v>5.5613877430491128E-2</v>
      </c>
      <c r="Z200" s="585">
        <f t="shared" si="23"/>
        <v>0.10414840782433357</v>
      </c>
      <c r="AA200" s="585">
        <f t="shared" si="23"/>
        <v>1.6177359007476261E-2</v>
      </c>
      <c r="AB200" s="585">
        <f t="shared" si="23"/>
        <v>5.4269971463749199E-2</v>
      </c>
      <c r="AC200" s="585">
        <f t="shared" si="23"/>
        <v>3.1425297504502916E-2</v>
      </c>
      <c r="AD200" s="585">
        <f t="shared" si="23"/>
        <v>3.0184445536923839E-2</v>
      </c>
      <c r="AE200" s="585">
        <f t="shared" si="23"/>
        <v>3.1425297504502916E-2</v>
      </c>
      <c r="AF200" s="585">
        <f t="shared" si="23"/>
        <v>3.1425297504502916E-2</v>
      </c>
      <c r="AG200" s="585">
        <f t="shared" si="23"/>
        <v>3.1425297504502916E-2</v>
      </c>
      <c r="AH200" s="585">
        <f t="shared" si="23"/>
        <v>3.1425297504502916E-2</v>
      </c>
      <c r="AI200" s="585">
        <f t="shared" si="23"/>
        <v>3.0184445536923839E-2</v>
      </c>
      <c r="AJ200" s="585">
        <f t="shared" si="23"/>
        <v>3.0184445536923839E-2</v>
      </c>
      <c r="AK200" s="585">
        <f t="shared" si="23"/>
        <v>3.0184445536923839E-2</v>
      </c>
      <c r="AL200" s="585">
        <f t="shared" si="23"/>
        <v>3.0184445536923839E-2</v>
      </c>
      <c r="AM200" s="585">
        <f t="shared" si="23"/>
        <v>2.7963714677203075E-2</v>
      </c>
      <c r="AN200" s="585">
        <f t="shared" si="23"/>
        <v>2.7963714677203075E-2</v>
      </c>
      <c r="AO200" s="585">
        <f t="shared" si="23"/>
        <v>2.7963714677203075E-2</v>
      </c>
      <c r="AP200" s="585">
        <f t="shared" si="23"/>
        <v>2.7963714677203075E-2</v>
      </c>
      <c r="AQ200" s="571"/>
      <c r="AR200" s="571"/>
    </row>
    <row r="201" spans="1:44" x14ac:dyDescent="0.25">
      <c r="F201" s="176" t="s">
        <v>49</v>
      </c>
      <c r="G201" s="339" t="s">
        <v>388</v>
      </c>
      <c r="H201" s="572"/>
      <c r="I201" s="572"/>
      <c r="J201" s="585">
        <f t="shared" ref="J201:AP201" si="24">ABS(J131 + J166)*(1-J88)*PowerFactor*$H29</f>
        <v>1.9816572889329642E-2</v>
      </c>
      <c r="K201" s="585">
        <f t="shared" si="24"/>
        <v>1.3897331648279061E-2</v>
      </c>
      <c r="L201" s="585">
        <f t="shared" si="24"/>
        <v>0</v>
      </c>
      <c r="M201" s="585">
        <f t="shared" si="24"/>
        <v>1.5754705633426937E-2</v>
      </c>
      <c r="N201" s="585">
        <f t="shared" si="24"/>
        <v>1.6779166474787992E-2</v>
      </c>
      <c r="O201" s="585">
        <f t="shared" si="24"/>
        <v>0</v>
      </c>
      <c r="P201" s="585">
        <f t="shared" si="24"/>
        <v>1.2212441493866504E-2</v>
      </c>
      <c r="Q201" s="585">
        <f t="shared" si="24"/>
        <v>0</v>
      </c>
      <c r="R201" s="585">
        <f t="shared" si="24"/>
        <v>0</v>
      </c>
      <c r="S201" s="585">
        <f t="shared" si="24"/>
        <v>3.0017433734591373E-2</v>
      </c>
      <c r="T201" s="585">
        <f t="shared" si="24"/>
        <v>1.5082283632096198E-2</v>
      </c>
      <c r="U201" s="585">
        <f t="shared" si="24"/>
        <v>0</v>
      </c>
      <c r="V201" s="585">
        <f t="shared" si="24"/>
        <v>0</v>
      </c>
      <c r="W201" s="585">
        <f t="shared" si="24"/>
        <v>0</v>
      </c>
      <c r="X201" s="585">
        <f t="shared" si="24"/>
        <v>9.0535569099792317E-3</v>
      </c>
      <c r="Y201" s="585">
        <f t="shared" si="24"/>
        <v>1.6020404548894279E-2</v>
      </c>
      <c r="Z201" s="585">
        <f t="shared" si="24"/>
        <v>3.0001497891500552E-2</v>
      </c>
      <c r="AA201" s="585">
        <f t="shared" si="24"/>
        <v>4.6601288708270497E-3</v>
      </c>
      <c r="AB201" s="585">
        <f t="shared" si="24"/>
        <v>1.5633272447022985E-2</v>
      </c>
      <c r="AC201" s="585">
        <f t="shared" si="24"/>
        <v>9.052524340183353E-3</v>
      </c>
      <c r="AD201" s="585">
        <f t="shared" si="24"/>
        <v>8.695078475511285E-3</v>
      </c>
      <c r="AE201" s="585">
        <f t="shared" si="24"/>
        <v>9.052524340183353E-3</v>
      </c>
      <c r="AF201" s="585">
        <f t="shared" si="24"/>
        <v>9.052524340183353E-3</v>
      </c>
      <c r="AG201" s="585">
        <f t="shared" si="24"/>
        <v>9.052524340183353E-3</v>
      </c>
      <c r="AH201" s="585">
        <f t="shared" si="24"/>
        <v>9.052524340183353E-3</v>
      </c>
      <c r="AI201" s="585">
        <f t="shared" si="24"/>
        <v>8.695078475511285E-3</v>
      </c>
      <c r="AJ201" s="585">
        <f t="shared" si="24"/>
        <v>8.695078475511285E-3</v>
      </c>
      <c r="AK201" s="585">
        <f t="shared" si="24"/>
        <v>8.695078475511285E-3</v>
      </c>
      <c r="AL201" s="585">
        <f t="shared" si="24"/>
        <v>8.695078475511285E-3</v>
      </c>
      <c r="AM201" s="585">
        <f t="shared" si="24"/>
        <v>0</v>
      </c>
      <c r="AN201" s="585">
        <f t="shared" si="24"/>
        <v>0</v>
      </c>
      <c r="AO201" s="585">
        <f t="shared" si="24"/>
        <v>0</v>
      </c>
      <c r="AP201" s="585">
        <f t="shared" si="24"/>
        <v>0</v>
      </c>
      <c r="AQ201" s="571"/>
      <c r="AR201" s="571"/>
    </row>
    <row r="202" spans="1:44" x14ac:dyDescent="0.25">
      <c r="F202" s="176" t="s">
        <v>50</v>
      </c>
      <c r="G202" s="339" t="s">
        <v>388</v>
      </c>
      <c r="H202" s="572"/>
      <c r="I202" s="572"/>
      <c r="J202" s="585">
        <f t="shared" ref="J202:AP202" si="25">ABS(J132 + J167)*(1-J89)*PowerFactor*$H30</f>
        <v>0</v>
      </c>
      <c r="K202" s="585">
        <f t="shared" si="25"/>
        <v>0</v>
      </c>
      <c r="L202" s="585">
        <f t="shared" si="25"/>
        <v>0</v>
      </c>
      <c r="M202" s="585">
        <f t="shared" si="25"/>
        <v>0</v>
      </c>
      <c r="N202" s="585">
        <f t="shared" si="25"/>
        <v>0</v>
      </c>
      <c r="O202" s="585">
        <f t="shared" si="25"/>
        <v>0</v>
      </c>
      <c r="P202" s="585">
        <f t="shared" si="25"/>
        <v>0</v>
      </c>
      <c r="Q202" s="585">
        <f t="shared" si="25"/>
        <v>0</v>
      </c>
      <c r="R202" s="585">
        <f t="shared" si="25"/>
        <v>0</v>
      </c>
      <c r="S202" s="585">
        <f t="shared" si="25"/>
        <v>0</v>
      </c>
      <c r="T202" s="585">
        <f t="shared" si="25"/>
        <v>0</v>
      </c>
      <c r="U202" s="585">
        <f t="shared" si="25"/>
        <v>0</v>
      </c>
      <c r="V202" s="585">
        <f t="shared" si="25"/>
        <v>0</v>
      </c>
      <c r="W202" s="585">
        <f t="shared" si="25"/>
        <v>0</v>
      </c>
      <c r="X202" s="585">
        <f t="shared" si="25"/>
        <v>1.2441384197063893E-3</v>
      </c>
      <c r="Y202" s="585">
        <f t="shared" si="25"/>
        <v>2.2015215673465188E-3</v>
      </c>
      <c r="Z202" s="585">
        <f t="shared" si="25"/>
        <v>4.122801297511444E-3</v>
      </c>
      <c r="AA202" s="585">
        <f t="shared" si="25"/>
        <v>6.4039420380604698E-4</v>
      </c>
      <c r="AB202" s="585">
        <f t="shared" si="25"/>
        <v>2.1483219325257692E-3</v>
      </c>
      <c r="AC202" s="585">
        <f t="shared" si="25"/>
        <v>1.2439965241213887E-3</v>
      </c>
      <c r="AD202" s="585">
        <f t="shared" si="25"/>
        <v>0</v>
      </c>
      <c r="AE202" s="585">
        <f t="shared" si="25"/>
        <v>1.2439965241213887E-3</v>
      </c>
      <c r="AF202" s="585">
        <f t="shared" si="25"/>
        <v>1.2439965241213887E-3</v>
      </c>
      <c r="AG202" s="585">
        <f t="shared" si="25"/>
        <v>1.2439965241213887E-3</v>
      </c>
      <c r="AH202" s="585">
        <f t="shared" si="25"/>
        <v>1.2439965241213887E-3</v>
      </c>
      <c r="AI202" s="585">
        <f t="shared" si="25"/>
        <v>0</v>
      </c>
      <c r="AJ202" s="585">
        <f t="shared" si="25"/>
        <v>0</v>
      </c>
      <c r="AK202" s="585">
        <f t="shared" si="25"/>
        <v>0</v>
      </c>
      <c r="AL202" s="585">
        <f t="shared" si="25"/>
        <v>0</v>
      </c>
      <c r="AM202" s="585">
        <f t="shared" si="25"/>
        <v>0</v>
      </c>
      <c r="AN202" s="585">
        <f t="shared" si="25"/>
        <v>0</v>
      </c>
      <c r="AO202" s="585">
        <f t="shared" si="25"/>
        <v>0</v>
      </c>
      <c r="AP202" s="585">
        <f t="shared" si="25"/>
        <v>0</v>
      </c>
      <c r="AQ202" s="571"/>
      <c r="AR202" s="571"/>
    </row>
    <row r="203" spans="1:44" x14ac:dyDescent="0.25">
      <c r="F203" s="176" t="s">
        <v>141</v>
      </c>
      <c r="G203" s="339" t="s">
        <v>388</v>
      </c>
      <c r="H203" s="572"/>
      <c r="I203" s="572"/>
      <c r="J203" s="587"/>
      <c r="K203" s="587"/>
      <c r="L203" s="587"/>
      <c r="M203" s="587"/>
      <c r="N203" s="587"/>
      <c r="O203" s="587"/>
      <c r="P203" s="587"/>
      <c r="Q203" s="587"/>
      <c r="R203" s="587"/>
      <c r="S203" s="587"/>
      <c r="T203" s="587"/>
      <c r="U203" s="587"/>
      <c r="V203" s="587"/>
      <c r="W203" s="587"/>
      <c r="X203" s="587"/>
      <c r="Y203" s="587"/>
      <c r="Z203" s="587"/>
      <c r="AA203" s="587"/>
      <c r="AB203" s="587"/>
      <c r="AC203" s="587"/>
      <c r="AD203" s="587"/>
      <c r="AE203" s="587"/>
      <c r="AF203" s="587"/>
      <c r="AG203" s="587"/>
      <c r="AH203" s="587"/>
      <c r="AI203" s="587"/>
      <c r="AJ203" s="587"/>
      <c r="AK203" s="587"/>
      <c r="AL203" s="587"/>
      <c r="AM203" s="587"/>
      <c r="AN203" s="587"/>
      <c r="AO203" s="587"/>
      <c r="AP203" s="587"/>
      <c r="AQ203" s="571"/>
      <c r="AR203" s="571"/>
    </row>
    <row r="204" spans="1:44" x14ac:dyDescent="0.25">
      <c r="F204" s="177" t="s">
        <v>140</v>
      </c>
      <c r="G204" s="168" t="s">
        <v>388</v>
      </c>
      <c r="H204" s="574"/>
      <c r="I204" s="574"/>
      <c r="J204" s="579"/>
      <c r="K204" s="579"/>
      <c r="L204" s="579"/>
      <c r="M204" s="579"/>
      <c r="N204" s="579"/>
      <c r="O204" s="579"/>
      <c r="P204" s="579"/>
      <c r="Q204" s="579"/>
      <c r="R204" s="579"/>
      <c r="S204" s="579"/>
      <c r="T204" s="579"/>
      <c r="U204" s="579"/>
      <c r="V204" s="579"/>
      <c r="W204" s="579"/>
      <c r="X204" s="579"/>
      <c r="Y204" s="579"/>
      <c r="Z204" s="579"/>
      <c r="AA204" s="579"/>
      <c r="AB204" s="579"/>
      <c r="AC204" s="579"/>
      <c r="AD204" s="579"/>
      <c r="AE204" s="579"/>
      <c r="AF204" s="579"/>
      <c r="AG204" s="579"/>
      <c r="AH204" s="579"/>
      <c r="AI204" s="579"/>
      <c r="AJ204" s="579"/>
      <c r="AK204" s="579"/>
      <c r="AL204" s="579"/>
      <c r="AM204" s="579"/>
      <c r="AN204" s="579"/>
      <c r="AO204" s="579"/>
      <c r="AP204" s="579"/>
      <c r="AQ204" s="571"/>
      <c r="AR204" s="571"/>
    </row>
    <row r="205" spans="1:44" s="160" customFormat="1" x14ac:dyDescent="0.25">
      <c r="E205" s="175"/>
      <c r="F205" s="117"/>
      <c r="J205" s="416"/>
      <c r="K205" s="416"/>
      <c r="L205" s="416"/>
      <c r="M205" s="416"/>
      <c r="N205" s="416"/>
      <c r="O205" s="416"/>
      <c r="P205" s="416"/>
      <c r="Q205" s="416"/>
      <c r="R205" s="416"/>
      <c r="S205" s="416"/>
      <c r="T205" s="416"/>
      <c r="U205" s="416"/>
      <c r="V205" s="416"/>
      <c r="W205" s="416"/>
      <c r="X205" s="416"/>
      <c r="Y205" s="416"/>
      <c r="Z205" s="416"/>
      <c r="AA205" s="416"/>
      <c r="AB205" s="416"/>
      <c r="AC205" s="416"/>
      <c r="AD205" s="416"/>
      <c r="AE205" s="416"/>
      <c r="AF205" s="416"/>
      <c r="AG205" s="416"/>
      <c r="AH205" s="416"/>
      <c r="AI205" s="416"/>
      <c r="AJ205" s="416"/>
      <c r="AK205" s="416"/>
      <c r="AL205" s="416"/>
      <c r="AM205" s="416"/>
      <c r="AN205" s="416"/>
      <c r="AO205" s="416"/>
      <c r="AP205" s="416"/>
    </row>
    <row r="206" spans="1:44" x14ac:dyDescent="0.25">
      <c r="E206" s="172" t="s">
        <v>133</v>
      </c>
      <c r="F206" s="117"/>
      <c r="J206" s="416"/>
      <c r="K206" s="416"/>
      <c r="L206" s="416"/>
      <c r="M206" s="416"/>
      <c r="N206" s="416"/>
      <c r="O206" s="416"/>
      <c r="P206" s="416"/>
      <c r="Q206" s="416"/>
      <c r="R206" s="416"/>
      <c r="S206" s="416"/>
      <c r="T206" s="416"/>
      <c r="U206" s="416"/>
      <c r="V206" s="416"/>
      <c r="W206" s="416"/>
      <c r="X206" s="416"/>
      <c r="Y206" s="416"/>
      <c r="Z206" s="416"/>
      <c r="AA206" s="416"/>
      <c r="AB206" s="416"/>
      <c r="AC206" s="416"/>
      <c r="AD206" s="416"/>
      <c r="AE206" s="416"/>
      <c r="AF206" s="416"/>
      <c r="AG206" s="416"/>
      <c r="AH206" s="416"/>
      <c r="AI206" s="416"/>
      <c r="AJ206" s="416"/>
      <c r="AK206" s="416"/>
      <c r="AL206" s="416"/>
      <c r="AM206" s="416"/>
      <c r="AN206" s="416"/>
      <c r="AO206" s="416"/>
      <c r="AP206" s="416"/>
    </row>
    <row r="207" spans="1:44" x14ac:dyDescent="0.25">
      <c r="F207" s="180" t="s">
        <v>397</v>
      </c>
      <c r="G207" s="166" t="s">
        <v>388</v>
      </c>
      <c r="H207" s="569"/>
      <c r="I207" s="569"/>
      <c r="J207" s="584">
        <f t="shared" ref="J207:AP207" si="26">ABS(J137 + J172)*(1-J81)*PowerFactor*$H22</f>
        <v>1.8340048572437588E-2</v>
      </c>
      <c r="K207" s="584">
        <f t="shared" si="26"/>
        <v>1.2861847448604627E-2</v>
      </c>
      <c r="L207" s="584">
        <f t="shared" si="26"/>
        <v>0</v>
      </c>
      <c r="M207" s="584">
        <f t="shared" si="26"/>
        <v>1.4580829297536549E-2</v>
      </c>
      <c r="N207" s="584">
        <f t="shared" si="26"/>
        <v>1.5528958002537747E-2</v>
      </c>
      <c r="O207" s="584">
        <f t="shared" si="26"/>
        <v>0</v>
      </c>
      <c r="P207" s="584">
        <f t="shared" si="26"/>
        <v>1.130249773441732E-2</v>
      </c>
      <c r="Q207" s="584">
        <f t="shared" si="26"/>
        <v>9.4242711350519606E-3</v>
      </c>
      <c r="R207" s="584">
        <f t="shared" si="26"/>
        <v>1.1468108029778637E-2</v>
      </c>
      <c r="S207" s="584">
        <f t="shared" si="26"/>
        <v>2.778084766658941E-2</v>
      </c>
      <c r="T207" s="584">
        <f t="shared" si="26"/>
        <v>1.3958509170113211E-2</v>
      </c>
      <c r="U207" s="584">
        <f t="shared" si="26"/>
        <v>1.1590818443932907E-2</v>
      </c>
      <c r="V207" s="584">
        <f t="shared" si="26"/>
        <v>1.0133763666294749E-2</v>
      </c>
      <c r="W207" s="584">
        <f t="shared" si="26"/>
        <v>8.8783425602989071E-3</v>
      </c>
      <c r="X207" s="584">
        <f t="shared" si="26"/>
        <v>8.3789802812853555E-3</v>
      </c>
      <c r="Y207" s="584">
        <f t="shared" si="26"/>
        <v>1.4826731101169752E-2</v>
      </c>
      <c r="Z207" s="584">
        <f t="shared" si="26"/>
        <v>2.7766099196308472E-2</v>
      </c>
      <c r="AA207" s="584">
        <f t="shared" si="26"/>
        <v>4.312904674390345E-3</v>
      </c>
      <c r="AB207" s="584">
        <f t="shared" si="26"/>
        <v>1.4468444045586471E-2</v>
      </c>
      <c r="AC207" s="584">
        <f t="shared" si="26"/>
        <v>8.3780246478205502E-3</v>
      </c>
      <c r="AD207" s="584">
        <f t="shared" si="26"/>
        <v>8.0472119206797948E-3</v>
      </c>
      <c r="AE207" s="584">
        <f t="shared" si="26"/>
        <v>8.3780246478205502E-3</v>
      </c>
      <c r="AF207" s="584">
        <f t="shared" si="26"/>
        <v>8.3780246478205502E-3</v>
      </c>
      <c r="AG207" s="584">
        <f t="shared" si="26"/>
        <v>8.3780246478205502E-3</v>
      </c>
      <c r="AH207" s="584">
        <f t="shared" si="26"/>
        <v>8.3780246478205502E-3</v>
      </c>
      <c r="AI207" s="584">
        <f t="shared" si="26"/>
        <v>8.0472119206797948E-3</v>
      </c>
      <c r="AJ207" s="584">
        <f t="shared" si="26"/>
        <v>8.0472119206797948E-3</v>
      </c>
      <c r="AK207" s="584">
        <f t="shared" si="26"/>
        <v>8.0472119206797948E-3</v>
      </c>
      <c r="AL207" s="584">
        <f t="shared" si="26"/>
        <v>8.0472119206797948E-3</v>
      </c>
      <c r="AM207" s="584">
        <f t="shared" si="26"/>
        <v>7.9318121321423195E-3</v>
      </c>
      <c r="AN207" s="584">
        <f t="shared" si="26"/>
        <v>7.9318121321423195E-3</v>
      </c>
      <c r="AO207" s="584">
        <f t="shared" si="26"/>
        <v>7.9318121321423195E-3</v>
      </c>
      <c r="AP207" s="584">
        <f t="shared" si="26"/>
        <v>7.9318121321423195E-3</v>
      </c>
      <c r="AQ207" s="571"/>
      <c r="AR207" s="571"/>
    </row>
    <row r="208" spans="1:44" x14ac:dyDescent="0.25">
      <c r="F208" s="176" t="s">
        <v>43</v>
      </c>
      <c r="G208" s="339" t="s">
        <v>388</v>
      </c>
      <c r="H208" s="572"/>
      <c r="I208" s="572"/>
      <c r="J208" s="585">
        <f t="shared" ref="J208:AP208" si="27">ABS(J138 + J173)*(1-J81)*PowerFactor*$H22</f>
        <v>0</v>
      </c>
      <c r="K208" s="585">
        <f t="shared" si="27"/>
        <v>0</v>
      </c>
      <c r="L208" s="585">
        <f t="shared" si="27"/>
        <v>0</v>
      </c>
      <c r="M208" s="585">
        <f t="shared" si="27"/>
        <v>0</v>
      </c>
      <c r="N208" s="585">
        <f t="shared" si="27"/>
        <v>0</v>
      </c>
      <c r="O208" s="585">
        <f t="shared" si="27"/>
        <v>0</v>
      </c>
      <c r="P208" s="585">
        <f t="shared" si="27"/>
        <v>0</v>
      </c>
      <c r="Q208" s="585">
        <f t="shared" si="27"/>
        <v>0</v>
      </c>
      <c r="R208" s="585">
        <f t="shared" si="27"/>
        <v>0</v>
      </c>
      <c r="S208" s="585">
        <f t="shared" si="27"/>
        <v>0</v>
      </c>
      <c r="T208" s="585">
        <f t="shared" si="27"/>
        <v>0</v>
      </c>
      <c r="U208" s="585">
        <f t="shared" si="27"/>
        <v>0</v>
      </c>
      <c r="V208" s="585">
        <f t="shared" si="27"/>
        <v>0</v>
      </c>
      <c r="W208" s="585">
        <f t="shared" si="27"/>
        <v>0</v>
      </c>
      <c r="X208" s="585">
        <f t="shared" si="27"/>
        <v>0</v>
      </c>
      <c r="Y208" s="585">
        <f t="shared" si="27"/>
        <v>0</v>
      </c>
      <c r="Z208" s="585">
        <f t="shared" si="27"/>
        <v>0</v>
      </c>
      <c r="AA208" s="585">
        <f t="shared" si="27"/>
        <v>0</v>
      </c>
      <c r="AB208" s="585">
        <f t="shared" si="27"/>
        <v>0</v>
      </c>
      <c r="AC208" s="585">
        <f t="shared" si="27"/>
        <v>0</v>
      </c>
      <c r="AD208" s="585">
        <f t="shared" si="27"/>
        <v>0</v>
      </c>
      <c r="AE208" s="585">
        <f t="shared" si="27"/>
        <v>0</v>
      </c>
      <c r="AF208" s="585">
        <f t="shared" si="27"/>
        <v>0</v>
      </c>
      <c r="AG208" s="585">
        <f t="shared" si="27"/>
        <v>0</v>
      </c>
      <c r="AH208" s="585">
        <f t="shared" si="27"/>
        <v>0</v>
      </c>
      <c r="AI208" s="585">
        <f t="shared" si="27"/>
        <v>0</v>
      </c>
      <c r="AJ208" s="585">
        <f t="shared" si="27"/>
        <v>0</v>
      </c>
      <c r="AK208" s="585">
        <f t="shared" si="27"/>
        <v>0</v>
      </c>
      <c r="AL208" s="585">
        <f t="shared" si="27"/>
        <v>0</v>
      </c>
      <c r="AM208" s="585">
        <f t="shared" si="27"/>
        <v>0</v>
      </c>
      <c r="AN208" s="585">
        <f t="shared" si="27"/>
        <v>0</v>
      </c>
      <c r="AO208" s="585">
        <f t="shared" si="27"/>
        <v>0</v>
      </c>
      <c r="AP208" s="585">
        <f t="shared" si="27"/>
        <v>0</v>
      </c>
      <c r="AQ208" s="571"/>
      <c r="AR208" s="571"/>
    </row>
    <row r="209" spans="3:44" x14ac:dyDescent="0.25">
      <c r="F209" s="176" t="s">
        <v>44</v>
      </c>
      <c r="G209" s="339" t="s">
        <v>388</v>
      </c>
      <c r="H209" s="572"/>
      <c r="I209" s="572"/>
      <c r="J209" s="585">
        <f t="shared" ref="J209:AP209" si="28">ABS(J139 + J174)*(1-J82)*PowerFactor*$H23</f>
        <v>2.5478802336351653E-2</v>
      </c>
      <c r="K209" s="585">
        <f t="shared" si="28"/>
        <v>1.786824432492496E-2</v>
      </c>
      <c r="L209" s="585">
        <f t="shared" si="28"/>
        <v>0</v>
      </c>
      <c r="M209" s="585">
        <f t="shared" si="28"/>
        <v>2.0256329535044533E-2</v>
      </c>
      <c r="N209" s="585">
        <f t="shared" si="28"/>
        <v>2.1573511644390267E-2</v>
      </c>
      <c r="O209" s="585">
        <f t="shared" si="28"/>
        <v>0</v>
      </c>
      <c r="P209" s="585">
        <f t="shared" si="28"/>
        <v>1.5701927099313364E-2</v>
      </c>
      <c r="Q209" s="585">
        <f t="shared" si="28"/>
        <v>1.309261207601365E-2</v>
      </c>
      <c r="R209" s="585">
        <f t="shared" si="28"/>
        <v>1.593200020755569E-2</v>
      </c>
      <c r="S209" s="585">
        <f t="shared" si="28"/>
        <v>3.8594375780284552E-2</v>
      </c>
      <c r="T209" s="585">
        <f t="shared" si="28"/>
        <v>1.9391775035424413E-2</v>
      </c>
      <c r="U209" s="585">
        <f t="shared" si="28"/>
        <v>1.6102474913470437E-2</v>
      </c>
      <c r="V209" s="585">
        <f t="shared" si="28"/>
        <v>1.4078270314117772E-2</v>
      </c>
      <c r="W209" s="585">
        <f t="shared" si="28"/>
        <v>1.2334184082163992E-2</v>
      </c>
      <c r="X209" s="585">
        <f t="shared" si="28"/>
        <v>1.1640448035012105E-2</v>
      </c>
      <c r="Y209" s="585">
        <f t="shared" si="28"/>
        <v>2.0597947138955273E-2</v>
      </c>
      <c r="Z209" s="585">
        <f t="shared" si="28"/>
        <v>3.8573886556520109E-2</v>
      </c>
      <c r="AA209" s="585">
        <f t="shared" si="28"/>
        <v>5.9916769173372717E-3</v>
      </c>
      <c r="AB209" s="585">
        <f t="shared" si="28"/>
        <v>2.0100198998713209E-2</v>
      </c>
      <c r="AC209" s="585">
        <f t="shared" si="28"/>
        <v>1.1639120426960274E-2</v>
      </c>
      <c r="AD209" s="585">
        <f t="shared" si="28"/>
        <v>1.1179540832507299E-2</v>
      </c>
      <c r="AE209" s="585">
        <f t="shared" si="28"/>
        <v>1.1639120426960274E-2</v>
      </c>
      <c r="AF209" s="585">
        <f t="shared" si="28"/>
        <v>1.1639120426960274E-2</v>
      </c>
      <c r="AG209" s="585">
        <f t="shared" si="28"/>
        <v>1.1639120426960274E-2</v>
      </c>
      <c r="AH209" s="585">
        <f t="shared" si="28"/>
        <v>1.1639120426960274E-2</v>
      </c>
      <c r="AI209" s="585">
        <f t="shared" si="28"/>
        <v>1.1179540832507299E-2</v>
      </c>
      <c r="AJ209" s="585">
        <f t="shared" si="28"/>
        <v>1.1179540832507299E-2</v>
      </c>
      <c r="AK209" s="585">
        <f t="shared" si="28"/>
        <v>1.1179540832507299E-2</v>
      </c>
      <c r="AL209" s="585">
        <f t="shared" si="28"/>
        <v>1.1179540832507299E-2</v>
      </c>
      <c r="AM209" s="585">
        <f t="shared" si="28"/>
        <v>1.1019222369326027E-2</v>
      </c>
      <c r="AN209" s="585">
        <f t="shared" si="28"/>
        <v>1.1019222369326027E-2</v>
      </c>
      <c r="AO209" s="585">
        <f t="shared" si="28"/>
        <v>1.1019222369326027E-2</v>
      </c>
      <c r="AP209" s="585">
        <f t="shared" si="28"/>
        <v>1.1019222369326027E-2</v>
      </c>
      <c r="AQ209" s="571"/>
      <c r="AR209" s="571"/>
    </row>
    <row r="210" spans="3:44" x14ac:dyDescent="0.25">
      <c r="F210" s="176" t="s">
        <v>45</v>
      </c>
      <c r="G210" s="339" t="s">
        <v>388</v>
      </c>
      <c r="H210" s="572"/>
      <c r="I210" s="572"/>
      <c r="J210" s="585">
        <f t="shared" ref="J210:AP210" si="29">ABS(J140 + J175)*(1-J83)*PowerFactor*$H24</f>
        <v>7.0908455172599798E-3</v>
      </c>
      <c r="K210" s="585">
        <f t="shared" si="29"/>
        <v>4.9727988976911511E-3</v>
      </c>
      <c r="L210" s="585">
        <f t="shared" si="29"/>
        <v>0</v>
      </c>
      <c r="M210" s="585">
        <f t="shared" si="29"/>
        <v>5.6374118996473464E-3</v>
      </c>
      <c r="N210" s="585">
        <f t="shared" si="29"/>
        <v>6.0039885829690576E-3</v>
      </c>
      <c r="O210" s="585">
        <f t="shared" si="29"/>
        <v>0</v>
      </c>
      <c r="P210" s="585">
        <f t="shared" si="29"/>
        <v>4.3699047512000162E-3</v>
      </c>
      <c r="Q210" s="585">
        <f t="shared" si="29"/>
        <v>3.6437226688622619E-3</v>
      </c>
      <c r="R210" s="585">
        <f t="shared" si="29"/>
        <v>4.433934953510371E-3</v>
      </c>
      <c r="S210" s="585">
        <f t="shared" si="29"/>
        <v>1.074095842027183E-2</v>
      </c>
      <c r="T210" s="585">
        <f t="shared" si="29"/>
        <v>5.3968031647025445E-3</v>
      </c>
      <c r="U210" s="585">
        <f t="shared" si="29"/>
        <v>4.4813786986395189E-3</v>
      </c>
      <c r="V210" s="585">
        <f t="shared" si="29"/>
        <v>3.9180350249512783E-3</v>
      </c>
      <c r="W210" s="585">
        <f t="shared" si="29"/>
        <v>3.4326493354552004E-3</v>
      </c>
      <c r="X210" s="585">
        <f t="shared" si="29"/>
        <v>3.2395800115847377E-3</v>
      </c>
      <c r="Y210" s="585">
        <f t="shared" si="29"/>
        <v>5.7324853502487326E-3</v>
      </c>
      <c r="Z210" s="585">
        <f t="shared" si="29"/>
        <v>1.0735256193041352E-2</v>
      </c>
      <c r="AA210" s="585">
        <f t="shared" si="29"/>
        <v>1.6675059859291143E-3</v>
      </c>
      <c r="AB210" s="585">
        <f t="shared" si="29"/>
        <v>5.593960190299424E-3</v>
      </c>
      <c r="AC210" s="585">
        <f t="shared" si="29"/>
        <v>3.2392105333228184E-3</v>
      </c>
      <c r="AD210" s="585">
        <f t="shared" si="29"/>
        <v>3.111307821722377E-3</v>
      </c>
      <c r="AE210" s="585">
        <f t="shared" si="29"/>
        <v>3.2392105333228184E-3</v>
      </c>
      <c r="AF210" s="585">
        <f t="shared" si="29"/>
        <v>3.2392105333228184E-3</v>
      </c>
      <c r="AG210" s="585">
        <f t="shared" si="29"/>
        <v>3.2392105333228184E-3</v>
      </c>
      <c r="AH210" s="585">
        <f t="shared" si="29"/>
        <v>3.2392105333228184E-3</v>
      </c>
      <c r="AI210" s="585">
        <f t="shared" si="29"/>
        <v>3.111307821722377E-3</v>
      </c>
      <c r="AJ210" s="585">
        <f t="shared" si="29"/>
        <v>3.111307821722377E-3</v>
      </c>
      <c r="AK210" s="585">
        <f t="shared" si="29"/>
        <v>3.111307821722377E-3</v>
      </c>
      <c r="AL210" s="585">
        <f t="shared" si="29"/>
        <v>3.111307821722377E-3</v>
      </c>
      <c r="AM210" s="585">
        <f t="shared" si="29"/>
        <v>3.0666905967454785E-3</v>
      </c>
      <c r="AN210" s="585">
        <f t="shared" si="29"/>
        <v>3.0666905967454785E-3</v>
      </c>
      <c r="AO210" s="585">
        <f t="shared" si="29"/>
        <v>3.0666905967454785E-3</v>
      </c>
      <c r="AP210" s="585">
        <f t="shared" si="29"/>
        <v>3.0666905967454785E-3</v>
      </c>
      <c r="AQ210" s="571"/>
      <c r="AR210" s="571"/>
    </row>
    <row r="211" spans="3:44" x14ac:dyDescent="0.25">
      <c r="F211" s="176" t="s">
        <v>46</v>
      </c>
      <c r="G211" s="339" t="s">
        <v>388</v>
      </c>
      <c r="H211" s="572"/>
      <c r="I211" s="572"/>
      <c r="J211" s="585">
        <f t="shared" ref="J211:AP211" si="30">ABS(J141 + J176)*(1-J84)*PowerFactor*$H25</f>
        <v>1.7011453598721207E-2</v>
      </c>
      <c r="K211" s="585">
        <f t="shared" si="30"/>
        <v>1.1930105866491042E-2</v>
      </c>
      <c r="L211" s="585">
        <f t="shared" si="30"/>
        <v>0</v>
      </c>
      <c r="M211" s="585">
        <f t="shared" si="30"/>
        <v>1.3524560747275621E-2</v>
      </c>
      <c r="N211" s="585">
        <f t="shared" si="30"/>
        <v>1.4404004845094591E-2</v>
      </c>
      <c r="O211" s="585">
        <f t="shared" si="30"/>
        <v>0</v>
      </c>
      <c r="P211" s="585">
        <f t="shared" si="30"/>
        <v>1.0483719004302328E-2</v>
      </c>
      <c r="Q211" s="585">
        <f t="shared" si="30"/>
        <v>8.7415554262294786E-3</v>
      </c>
      <c r="R211" s="585">
        <f t="shared" si="30"/>
        <v>8.5098656895333143E-3</v>
      </c>
      <c r="S211" s="585">
        <f t="shared" si="30"/>
        <v>2.5768339660973721E-2</v>
      </c>
      <c r="T211" s="585">
        <f t="shared" si="30"/>
        <v>1.2947322910123847E-2</v>
      </c>
      <c r="U211" s="585">
        <f t="shared" si="30"/>
        <v>1.0751153103623417E-2</v>
      </c>
      <c r="V211" s="585">
        <f t="shared" si="30"/>
        <v>9.3996506993256831E-3</v>
      </c>
      <c r="W211" s="585">
        <f t="shared" si="30"/>
        <v>6.5881401306671682E-3</v>
      </c>
      <c r="X211" s="585">
        <f t="shared" si="30"/>
        <v>7.771987827442318E-3</v>
      </c>
      <c r="Y211" s="585">
        <f t="shared" si="30"/>
        <v>1.3752648863063644E-2</v>
      </c>
      <c r="Z211" s="585">
        <f t="shared" si="30"/>
        <v>2.5754659603538468E-2</v>
      </c>
      <c r="AA211" s="585">
        <f t="shared" si="30"/>
        <v>4.0004680169910614E-3</v>
      </c>
      <c r="AB211" s="585">
        <f t="shared" si="30"/>
        <v>1.342031693945918E-2</v>
      </c>
      <c r="AC211" s="585">
        <f t="shared" si="30"/>
        <v>7.7711014222466212E-3</v>
      </c>
      <c r="AD211" s="585">
        <f t="shared" si="30"/>
        <v>7.4642535240311914E-3</v>
      </c>
      <c r="AE211" s="585">
        <f t="shared" si="30"/>
        <v>7.7711014222466212E-3</v>
      </c>
      <c r="AF211" s="585">
        <f t="shared" si="30"/>
        <v>7.7711014222466212E-3</v>
      </c>
      <c r="AG211" s="585">
        <f t="shared" si="30"/>
        <v>7.7711014222466212E-3</v>
      </c>
      <c r="AH211" s="585">
        <f t="shared" si="30"/>
        <v>7.7711014222466212E-3</v>
      </c>
      <c r="AI211" s="585">
        <f t="shared" si="30"/>
        <v>7.4642535240311914E-3</v>
      </c>
      <c r="AJ211" s="585">
        <f t="shared" si="30"/>
        <v>7.4642535240311914E-3</v>
      </c>
      <c r="AK211" s="585">
        <f t="shared" si="30"/>
        <v>7.4642535240311914E-3</v>
      </c>
      <c r="AL211" s="585">
        <f t="shared" si="30"/>
        <v>7.4642535240311914E-3</v>
      </c>
      <c r="AM211" s="585">
        <f t="shared" si="30"/>
        <v>7.3572135595374351E-3</v>
      </c>
      <c r="AN211" s="585">
        <f t="shared" si="30"/>
        <v>7.3572135595374351E-3</v>
      </c>
      <c r="AO211" s="585">
        <f t="shared" si="30"/>
        <v>7.3572135595374351E-3</v>
      </c>
      <c r="AP211" s="585">
        <f t="shared" si="30"/>
        <v>7.3572135595374351E-3</v>
      </c>
      <c r="AQ211" s="571"/>
      <c r="AR211" s="571"/>
    </row>
    <row r="212" spans="3:44" x14ac:dyDescent="0.25">
      <c r="F212" s="176" t="s">
        <v>47</v>
      </c>
      <c r="G212" s="339" t="s">
        <v>388</v>
      </c>
      <c r="H212" s="572"/>
      <c r="I212" s="572"/>
      <c r="J212" s="585">
        <f t="shared" ref="J212:AP212" si="31">ABS(J142 + J177)*(1-J85)*PowerFactor*$H26</f>
        <v>1.2957342474375895E-2</v>
      </c>
      <c r="K212" s="585">
        <f t="shared" si="31"/>
        <v>9.0869640604554647E-3</v>
      </c>
      <c r="L212" s="585">
        <f t="shared" si="31"/>
        <v>0</v>
      </c>
      <c r="M212" s="585">
        <f t="shared" si="31"/>
        <v>1.0301433936905002E-2</v>
      </c>
      <c r="N212" s="585">
        <f t="shared" si="31"/>
        <v>1.0971291941477026E-2</v>
      </c>
      <c r="O212" s="585">
        <f t="shared" si="31"/>
        <v>0</v>
      </c>
      <c r="P212" s="585">
        <f t="shared" si="31"/>
        <v>7.9852751415716659E-3</v>
      </c>
      <c r="Q212" s="585">
        <f t="shared" si="31"/>
        <v>6.6582979966455591E-3</v>
      </c>
      <c r="R212" s="585">
        <f t="shared" si="31"/>
        <v>0</v>
      </c>
      <c r="S212" s="585">
        <f t="shared" si="31"/>
        <v>1.9627317562584949E-2</v>
      </c>
      <c r="T212" s="585">
        <f t="shared" si="31"/>
        <v>9.86176143615493E-3</v>
      </c>
      <c r="U212" s="585">
        <f t="shared" si="31"/>
        <v>8.1889752659684463E-3</v>
      </c>
      <c r="V212" s="585">
        <f t="shared" si="31"/>
        <v>7.1595582672503259E-3</v>
      </c>
      <c r="W212" s="585">
        <f t="shared" si="31"/>
        <v>0</v>
      </c>
      <c r="X212" s="585">
        <f t="shared" si="31"/>
        <v>5.9197944139483139E-3</v>
      </c>
      <c r="Y212" s="585">
        <f t="shared" si="31"/>
        <v>1.0475164877265249E-2</v>
      </c>
      <c r="Z212" s="585">
        <f t="shared" si="31"/>
        <v>1.9616897689396041E-2</v>
      </c>
      <c r="AA212" s="585">
        <f t="shared" si="31"/>
        <v>3.0470902355949859E-3</v>
      </c>
      <c r="AB212" s="585">
        <f t="shared" si="31"/>
        <v>1.0222033154904093E-2</v>
      </c>
      <c r="AC212" s="585">
        <f t="shared" si="31"/>
        <v>5.9191192537907745E-3</v>
      </c>
      <c r="AD212" s="585">
        <f t="shared" si="31"/>
        <v>5.6853982915198806E-3</v>
      </c>
      <c r="AE212" s="585">
        <f t="shared" si="31"/>
        <v>5.9191192537907745E-3</v>
      </c>
      <c r="AF212" s="585">
        <f t="shared" si="31"/>
        <v>5.9191192537907745E-3</v>
      </c>
      <c r="AG212" s="585">
        <f t="shared" si="31"/>
        <v>5.9191192537907745E-3</v>
      </c>
      <c r="AH212" s="585">
        <f t="shared" si="31"/>
        <v>5.9191192537907745E-3</v>
      </c>
      <c r="AI212" s="585">
        <f t="shared" si="31"/>
        <v>5.6853982915198806E-3</v>
      </c>
      <c r="AJ212" s="585">
        <f t="shared" si="31"/>
        <v>5.6853982915198806E-3</v>
      </c>
      <c r="AK212" s="585">
        <f t="shared" si="31"/>
        <v>5.6853982915198806E-3</v>
      </c>
      <c r="AL212" s="585">
        <f t="shared" si="31"/>
        <v>5.6853982915198806E-3</v>
      </c>
      <c r="AM212" s="585">
        <f t="shared" si="31"/>
        <v>5.6038677232858472E-3</v>
      </c>
      <c r="AN212" s="585">
        <f t="shared" si="31"/>
        <v>5.6038677232858472E-3</v>
      </c>
      <c r="AO212" s="585">
        <f t="shared" si="31"/>
        <v>5.6038677232858472E-3</v>
      </c>
      <c r="AP212" s="585">
        <f t="shared" si="31"/>
        <v>5.6038677232858472E-3</v>
      </c>
      <c r="AQ212" s="571"/>
      <c r="AR212" s="571"/>
    </row>
    <row r="213" spans="3:44" x14ac:dyDescent="0.25">
      <c r="F213" s="176" t="s">
        <v>51</v>
      </c>
      <c r="G213" s="339" t="s">
        <v>388</v>
      </c>
      <c r="H213" s="572"/>
      <c r="I213" s="572"/>
      <c r="J213" s="585">
        <f t="shared" ref="J213:AP213" si="32">ABS(J143 + J178)*(1-J86)*PowerFactor*$H27</f>
        <v>0</v>
      </c>
      <c r="K213" s="585">
        <f t="shared" si="32"/>
        <v>0</v>
      </c>
      <c r="L213" s="585">
        <f t="shared" si="32"/>
        <v>0</v>
      </c>
      <c r="M213" s="585">
        <f t="shared" si="32"/>
        <v>0</v>
      </c>
      <c r="N213" s="585">
        <f t="shared" si="32"/>
        <v>0</v>
      </c>
      <c r="O213" s="585">
        <f t="shared" si="32"/>
        <v>0</v>
      </c>
      <c r="P213" s="585">
        <f t="shared" si="32"/>
        <v>0</v>
      </c>
      <c r="Q213" s="585">
        <f t="shared" si="32"/>
        <v>0</v>
      </c>
      <c r="R213" s="585">
        <f t="shared" si="32"/>
        <v>0</v>
      </c>
      <c r="S213" s="585">
        <f t="shared" si="32"/>
        <v>0</v>
      </c>
      <c r="T213" s="585">
        <f t="shared" si="32"/>
        <v>0</v>
      </c>
      <c r="U213" s="585">
        <f t="shared" si="32"/>
        <v>0</v>
      </c>
      <c r="V213" s="585">
        <f t="shared" si="32"/>
        <v>0</v>
      </c>
      <c r="W213" s="585">
        <f t="shared" si="32"/>
        <v>0</v>
      </c>
      <c r="X213" s="585">
        <f t="shared" si="32"/>
        <v>0</v>
      </c>
      <c r="Y213" s="585">
        <f t="shared" si="32"/>
        <v>0</v>
      </c>
      <c r="Z213" s="585">
        <f t="shared" si="32"/>
        <v>0</v>
      </c>
      <c r="AA213" s="585">
        <f t="shared" si="32"/>
        <v>0</v>
      </c>
      <c r="AB213" s="585">
        <f t="shared" si="32"/>
        <v>0</v>
      </c>
      <c r="AC213" s="585">
        <f t="shared" si="32"/>
        <v>0</v>
      </c>
      <c r="AD213" s="585">
        <f t="shared" si="32"/>
        <v>0</v>
      </c>
      <c r="AE213" s="585">
        <f t="shared" si="32"/>
        <v>0</v>
      </c>
      <c r="AF213" s="585">
        <f t="shared" si="32"/>
        <v>0</v>
      </c>
      <c r="AG213" s="585">
        <f t="shared" si="32"/>
        <v>0</v>
      </c>
      <c r="AH213" s="585">
        <f t="shared" si="32"/>
        <v>0</v>
      </c>
      <c r="AI213" s="585">
        <f t="shared" si="32"/>
        <v>0</v>
      </c>
      <c r="AJ213" s="585">
        <f t="shared" si="32"/>
        <v>0</v>
      </c>
      <c r="AK213" s="585">
        <f t="shared" si="32"/>
        <v>0</v>
      </c>
      <c r="AL213" s="585">
        <f t="shared" si="32"/>
        <v>0</v>
      </c>
      <c r="AM213" s="585">
        <f t="shared" si="32"/>
        <v>0</v>
      </c>
      <c r="AN213" s="585">
        <f t="shared" si="32"/>
        <v>0</v>
      </c>
      <c r="AO213" s="585">
        <f t="shared" si="32"/>
        <v>0</v>
      </c>
      <c r="AP213" s="585">
        <f t="shared" si="32"/>
        <v>0</v>
      </c>
      <c r="AQ213" s="571"/>
      <c r="AR213" s="571"/>
    </row>
    <row r="214" spans="3:44" x14ac:dyDescent="0.25">
      <c r="F214" s="176" t="s">
        <v>48</v>
      </c>
      <c r="G214" s="339" t="s">
        <v>388</v>
      </c>
      <c r="H214" s="572"/>
      <c r="I214" s="572"/>
      <c r="J214" s="585">
        <f t="shared" ref="J214:AP214" si="33">ABS(J144 + J179)*(1-J87)*PowerFactor*$H28</f>
        <v>4.2364826836378197E-2</v>
      </c>
      <c r="K214" s="585">
        <f t="shared" si="33"/>
        <v>2.9710386960203453E-2</v>
      </c>
      <c r="L214" s="585">
        <f t="shared" si="33"/>
        <v>0</v>
      </c>
      <c r="M214" s="585">
        <f t="shared" si="33"/>
        <v>3.3681170793040317E-2</v>
      </c>
      <c r="N214" s="585">
        <f t="shared" si="33"/>
        <v>3.5871312670109325E-2</v>
      </c>
      <c r="O214" s="585">
        <f t="shared" si="33"/>
        <v>0</v>
      </c>
      <c r="P214" s="585">
        <f t="shared" si="33"/>
        <v>2.6108347393188226E-2</v>
      </c>
      <c r="Q214" s="585">
        <f t="shared" si="33"/>
        <v>2.1769714137812014E-2</v>
      </c>
      <c r="R214" s="585">
        <f t="shared" si="33"/>
        <v>0</v>
      </c>
      <c r="S214" s="585">
        <f t="shared" si="33"/>
        <v>6.4172719942062542E-2</v>
      </c>
      <c r="T214" s="585">
        <f t="shared" si="33"/>
        <v>3.2243634554739158E-2</v>
      </c>
      <c r="U214" s="585">
        <f t="shared" si="33"/>
        <v>2.1419485966120373E-2</v>
      </c>
      <c r="V214" s="585">
        <f t="shared" si="33"/>
        <v>0</v>
      </c>
      <c r="W214" s="585">
        <f t="shared" si="33"/>
        <v>0</v>
      </c>
      <c r="X214" s="585">
        <f t="shared" si="33"/>
        <v>1.935513132803561E-2</v>
      </c>
      <c r="Y214" s="585">
        <f t="shared" si="33"/>
        <v>3.4249194770104921E-2</v>
      </c>
      <c r="Z214" s="585">
        <f t="shared" si="33"/>
        <v>6.4138651526862586E-2</v>
      </c>
      <c r="AA214" s="585">
        <f t="shared" si="33"/>
        <v>9.9626486249849763E-3</v>
      </c>
      <c r="AB214" s="585">
        <f t="shared" si="33"/>
        <v>3.3421565060862309E-2</v>
      </c>
      <c r="AC214" s="585">
        <f t="shared" si="33"/>
        <v>1.9352923850443841E-2</v>
      </c>
      <c r="AD214" s="585">
        <f t="shared" si="33"/>
        <v>1.8588758813190321E-2</v>
      </c>
      <c r="AE214" s="585">
        <f t="shared" si="33"/>
        <v>1.9352923850443841E-2</v>
      </c>
      <c r="AF214" s="585">
        <f t="shared" si="33"/>
        <v>1.9352923850443841E-2</v>
      </c>
      <c r="AG214" s="585">
        <f t="shared" si="33"/>
        <v>1.9352923850443841E-2</v>
      </c>
      <c r="AH214" s="585">
        <f t="shared" si="33"/>
        <v>1.9352923850443841E-2</v>
      </c>
      <c r="AI214" s="585">
        <f t="shared" si="33"/>
        <v>1.8588758813190321E-2</v>
      </c>
      <c r="AJ214" s="585">
        <f t="shared" si="33"/>
        <v>1.8588758813190321E-2</v>
      </c>
      <c r="AK214" s="585">
        <f t="shared" si="33"/>
        <v>1.8588758813190321E-2</v>
      </c>
      <c r="AL214" s="585">
        <f t="shared" si="33"/>
        <v>1.8588758813190321E-2</v>
      </c>
      <c r="AM214" s="585">
        <f t="shared" si="33"/>
        <v>1.8322189614148394E-2</v>
      </c>
      <c r="AN214" s="585">
        <f t="shared" si="33"/>
        <v>1.8322189614148394E-2</v>
      </c>
      <c r="AO214" s="585">
        <f t="shared" si="33"/>
        <v>1.8322189614148394E-2</v>
      </c>
      <c r="AP214" s="585">
        <f t="shared" si="33"/>
        <v>1.8322189614148394E-2</v>
      </c>
      <c r="AQ214" s="571"/>
      <c r="AR214" s="571"/>
    </row>
    <row r="215" spans="3:44" x14ac:dyDescent="0.25">
      <c r="F215" s="176" t="s">
        <v>49</v>
      </c>
      <c r="G215" s="339" t="s">
        <v>388</v>
      </c>
      <c r="H215" s="572"/>
      <c r="I215" s="572"/>
      <c r="J215" s="585">
        <f t="shared" ref="J215:AP215" si="34">ABS(J145 + J180)*(1-J88)*PowerFactor*$H29</f>
        <v>1.3891462583258343E-2</v>
      </c>
      <c r="K215" s="585">
        <f t="shared" si="34"/>
        <v>9.7420610353444008E-3</v>
      </c>
      <c r="L215" s="585">
        <f t="shared" si="34"/>
        <v>0</v>
      </c>
      <c r="M215" s="585">
        <f t="shared" si="34"/>
        <v>1.1044084415567337E-2</v>
      </c>
      <c r="N215" s="585">
        <f t="shared" si="34"/>
        <v>1.1762233791105593E-2</v>
      </c>
      <c r="O215" s="585">
        <f t="shared" si="34"/>
        <v>0</v>
      </c>
      <c r="P215" s="585">
        <f t="shared" si="34"/>
        <v>8.5609492120419343E-3</v>
      </c>
      <c r="Q215" s="585">
        <f t="shared" si="34"/>
        <v>0</v>
      </c>
      <c r="R215" s="585">
        <f t="shared" si="34"/>
        <v>0</v>
      </c>
      <c r="S215" s="585">
        <f t="shared" si="34"/>
        <v>2.1042289193912104E-2</v>
      </c>
      <c r="T215" s="585">
        <f t="shared" si="34"/>
        <v>1.0572715066093426E-2</v>
      </c>
      <c r="U215" s="585">
        <f t="shared" si="34"/>
        <v>0</v>
      </c>
      <c r="V215" s="585">
        <f t="shared" si="34"/>
        <v>0</v>
      </c>
      <c r="W215" s="585">
        <f t="shared" si="34"/>
        <v>0</v>
      </c>
      <c r="X215" s="585">
        <f t="shared" si="34"/>
        <v>6.346563947396606E-3</v>
      </c>
      <c r="Y215" s="585">
        <f t="shared" si="34"/>
        <v>1.1230339958503035E-2</v>
      </c>
      <c r="Z215" s="585">
        <f t="shared" si="34"/>
        <v>2.1031118131727689E-2</v>
      </c>
      <c r="AA215" s="585">
        <f t="shared" si="34"/>
        <v>3.2667609179341701E-3</v>
      </c>
      <c r="AB215" s="585">
        <f t="shared" si="34"/>
        <v>1.0958959476218985E-2</v>
      </c>
      <c r="AC215" s="585">
        <f t="shared" si="34"/>
        <v>6.3458401136255423E-3</v>
      </c>
      <c r="AD215" s="585">
        <f t="shared" si="34"/>
        <v>6.0952697510122302E-3</v>
      </c>
      <c r="AE215" s="585">
        <f t="shared" si="34"/>
        <v>6.3458401136255423E-3</v>
      </c>
      <c r="AF215" s="585">
        <f t="shared" si="34"/>
        <v>6.3458401136255423E-3</v>
      </c>
      <c r="AG215" s="585">
        <f t="shared" si="34"/>
        <v>6.3458401136255423E-3</v>
      </c>
      <c r="AH215" s="585">
        <f t="shared" si="34"/>
        <v>6.3458401136255423E-3</v>
      </c>
      <c r="AI215" s="585">
        <f t="shared" si="34"/>
        <v>6.0952697510122302E-3</v>
      </c>
      <c r="AJ215" s="585">
        <f t="shared" si="34"/>
        <v>6.0952697510122302E-3</v>
      </c>
      <c r="AK215" s="585">
        <f t="shared" si="34"/>
        <v>6.0952697510122302E-3</v>
      </c>
      <c r="AL215" s="585">
        <f t="shared" si="34"/>
        <v>6.0952697510122302E-3</v>
      </c>
      <c r="AM215" s="585">
        <f t="shared" si="34"/>
        <v>0</v>
      </c>
      <c r="AN215" s="585">
        <f t="shared" si="34"/>
        <v>0</v>
      </c>
      <c r="AO215" s="585">
        <f t="shared" si="34"/>
        <v>0</v>
      </c>
      <c r="AP215" s="585">
        <f t="shared" si="34"/>
        <v>0</v>
      </c>
      <c r="AQ215" s="571"/>
      <c r="AR215" s="571"/>
    </row>
    <row r="216" spans="3:44" x14ac:dyDescent="0.25">
      <c r="F216" s="176" t="s">
        <v>50</v>
      </c>
      <c r="G216" s="339" t="s">
        <v>388</v>
      </c>
      <c r="H216" s="572"/>
      <c r="I216" s="572"/>
      <c r="J216" s="585">
        <f t="shared" ref="J216:AP216" si="35">ABS(J146 + J181)*(1-J89)*PowerFactor*$H30</f>
        <v>0</v>
      </c>
      <c r="K216" s="585">
        <f t="shared" si="35"/>
        <v>0</v>
      </c>
      <c r="L216" s="585">
        <f t="shared" si="35"/>
        <v>0</v>
      </c>
      <c r="M216" s="585">
        <f t="shared" si="35"/>
        <v>0</v>
      </c>
      <c r="N216" s="585">
        <f t="shared" si="35"/>
        <v>0</v>
      </c>
      <c r="O216" s="585">
        <f t="shared" si="35"/>
        <v>0</v>
      </c>
      <c r="P216" s="585">
        <f t="shared" si="35"/>
        <v>0</v>
      </c>
      <c r="Q216" s="585">
        <f t="shared" si="35"/>
        <v>0</v>
      </c>
      <c r="R216" s="585">
        <f t="shared" si="35"/>
        <v>0</v>
      </c>
      <c r="S216" s="585">
        <f t="shared" si="35"/>
        <v>0</v>
      </c>
      <c r="T216" s="585">
        <f t="shared" si="35"/>
        <v>0</v>
      </c>
      <c r="U216" s="585">
        <f t="shared" si="35"/>
        <v>0</v>
      </c>
      <c r="V216" s="585">
        <f t="shared" si="35"/>
        <v>0</v>
      </c>
      <c r="W216" s="585">
        <f t="shared" si="35"/>
        <v>0</v>
      </c>
      <c r="X216" s="585">
        <f t="shared" si="35"/>
        <v>1.1415436101787073E-2</v>
      </c>
      <c r="Y216" s="585">
        <f t="shared" si="35"/>
        <v>2.0199785153070977E-2</v>
      </c>
      <c r="Z216" s="585">
        <f t="shared" si="35"/>
        <v>3.7828246460882946E-2</v>
      </c>
      <c r="AA216" s="585">
        <f t="shared" si="35"/>
        <v>5.8758567356419654E-3</v>
      </c>
      <c r="AB216" s="585">
        <f t="shared" si="35"/>
        <v>1.9711658573009258E-2</v>
      </c>
      <c r="AC216" s="585">
        <f t="shared" si="35"/>
        <v>1.1414134156635279E-2</v>
      </c>
      <c r="AD216" s="585">
        <f t="shared" si="35"/>
        <v>0</v>
      </c>
      <c r="AE216" s="585">
        <f t="shared" si="35"/>
        <v>1.1414134156635279E-2</v>
      </c>
      <c r="AF216" s="585">
        <f t="shared" si="35"/>
        <v>1.1414134156635279E-2</v>
      </c>
      <c r="AG216" s="585">
        <f t="shared" si="35"/>
        <v>1.1414134156635279E-2</v>
      </c>
      <c r="AH216" s="585">
        <f t="shared" si="35"/>
        <v>1.1414134156635279E-2</v>
      </c>
      <c r="AI216" s="585">
        <f t="shared" si="35"/>
        <v>0</v>
      </c>
      <c r="AJ216" s="585">
        <f t="shared" si="35"/>
        <v>0</v>
      </c>
      <c r="AK216" s="585">
        <f t="shared" si="35"/>
        <v>0</v>
      </c>
      <c r="AL216" s="585">
        <f t="shared" si="35"/>
        <v>0</v>
      </c>
      <c r="AM216" s="585">
        <f t="shared" si="35"/>
        <v>0</v>
      </c>
      <c r="AN216" s="585">
        <f t="shared" si="35"/>
        <v>0</v>
      </c>
      <c r="AO216" s="585">
        <f t="shared" si="35"/>
        <v>0</v>
      </c>
      <c r="AP216" s="585">
        <f t="shared" si="35"/>
        <v>0</v>
      </c>
      <c r="AQ216" s="571"/>
      <c r="AR216" s="571"/>
    </row>
    <row r="217" spans="3:44" x14ac:dyDescent="0.25">
      <c r="F217" s="176" t="s">
        <v>141</v>
      </c>
      <c r="G217" s="339" t="s">
        <v>388</v>
      </c>
      <c r="H217" s="572"/>
      <c r="I217" s="572"/>
      <c r="J217" s="587"/>
      <c r="K217" s="587"/>
      <c r="L217" s="587"/>
      <c r="M217" s="587"/>
      <c r="N217" s="587"/>
      <c r="O217" s="587"/>
      <c r="P217" s="587"/>
      <c r="Q217" s="587"/>
      <c r="R217" s="587"/>
      <c r="S217" s="587"/>
      <c r="T217" s="587"/>
      <c r="U217" s="587"/>
      <c r="V217" s="587"/>
      <c r="W217" s="587"/>
      <c r="X217" s="587"/>
      <c r="Y217" s="587"/>
      <c r="Z217" s="587"/>
      <c r="AA217" s="587"/>
      <c r="AB217" s="587"/>
      <c r="AC217" s="587"/>
      <c r="AD217" s="587"/>
      <c r="AE217" s="587"/>
      <c r="AF217" s="587"/>
      <c r="AG217" s="587"/>
      <c r="AH217" s="587"/>
      <c r="AI217" s="587"/>
      <c r="AJ217" s="587"/>
      <c r="AK217" s="587"/>
      <c r="AL217" s="587"/>
      <c r="AM217" s="587"/>
      <c r="AN217" s="587"/>
      <c r="AO217" s="587"/>
      <c r="AP217" s="587"/>
      <c r="AQ217" s="571"/>
      <c r="AR217" s="571"/>
    </row>
    <row r="218" spans="3:44" x14ac:dyDescent="0.25">
      <c r="F218" s="177" t="s">
        <v>140</v>
      </c>
      <c r="G218" s="168" t="s">
        <v>388</v>
      </c>
      <c r="H218" s="574"/>
      <c r="I218" s="574"/>
      <c r="J218" s="579"/>
      <c r="K218" s="579"/>
      <c r="L218" s="579"/>
      <c r="M218" s="579"/>
      <c r="N218" s="579"/>
      <c r="O218" s="579"/>
      <c r="P218" s="579"/>
      <c r="Q218" s="579"/>
      <c r="R218" s="579"/>
      <c r="S218" s="579"/>
      <c r="T218" s="579"/>
      <c r="U218" s="579"/>
      <c r="V218" s="579"/>
      <c r="W218" s="579"/>
      <c r="X218" s="579"/>
      <c r="Y218" s="579"/>
      <c r="Z218" s="579"/>
      <c r="AA218" s="579"/>
      <c r="AB218" s="579"/>
      <c r="AC218" s="579"/>
      <c r="AD218" s="579"/>
      <c r="AE218" s="579"/>
      <c r="AF218" s="579"/>
      <c r="AG218" s="579"/>
      <c r="AH218" s="579"/>
      <c r="AI218" s="579"/>
      <c r="AJ218" s="579"/>
      <c r="AK218" s="579"/>
      <c r="AL218" s="579"/>
      <c r="AM218" s="579"/>
      <c r="AN218" s="579"/>
      <c r="AO218" s="579"/>
      <c r="AP218" s="579"/>
      <c r="AQ218" s="571"/>
      <c r="AR218" s="571"/>
    </row>
    <row r="219" spans="3:44" s="131" customFormat="1" x14ac:dyDescent="0.25">
      <c r="D219" s="147"/>
      <c r="E219" s="175"/>
      <c r="J219" s="416"/>
      <c r="K219" s="416"/>
      <c r="L219" s="416"/>
      <c r="M219" s="416"/>
      <c r="N219" s="416"/>
      <c r="O219" s="416"/>
      <c r="P219" s="416"/>
      <c r="Q219" s="416"/>
      <c r="R219" s="416"/>
      <c r="S219" s="416"/>
      <c r="T219" s="416"/>
      <c r="U219" s="416"/>
      <c r="V219" s="416"/>
      <c r="W219" s="416"/>
      <c r="X219" s="416"/>
      <c r="Y219" s="416"/>
      <c r="Z219" s="416"/>
      <c r="AA219" s="416"/>
      <c r="AB219" s="416"/>
      <c r="AC219" s="416"/>
      <c r="AD219" s="416"/>
      <c r="AE219" s="416"/>
      <c r="AF219" s="416"/>
      <c r="AG219" s="416"/>
      <c r="AH219" s="416"/>
      <c r="AI219" s="416"/>
      <c r="AJ219" s="416"/>
      <c r="AK219" s="416"/>
      <c r="AL219" s="416"/>
      <c r="AM219" s="416"/>
      <c r="AN219" s="416"/>
      <c r="AO219" s="416"/>
      <c r="AP219" s="416"/>
    </row>
    <row r="220" spans="3:44" s="160" customFormat="1" x14ac:dyDescent="0.25">
      <c r="C220" s="22" t="str">
        <f ca="1">INDEX('Version control'!$H$34:$H$59,MATCH($A$1,'Version control'!$F$34:$F$59,0),1)&amp;"-E: Reactive power charges for applicable customers"</f>
        <v>Section 515-E: Reactive power charges for applicable customers</v>
      </c>
      <c r="D220" s="22"/>
      <c r="E220" s="22"/>
      <c r="F220" s="22"/>
      <c r="G220" s="22"/>
      <c r="H220" s="22"/>
      <c r="I220" s="22"/>
      <c r="J220" s="406"/>
      <c r="K220" s="406"/>
      <c r="L220" s="406"/>
      <c r="M220" s="406"/>
      <c r="N220" s="406"/>
      <c r="O220" s="406"/>
      <c r="P220" s="406"/>
      <c r="Q220" s="406"/>
      <c r="R220" s="406"/>
      <c r="S220" s="406"/>
      <c r="T220" s="406"/>
      <c r="U220" s="406"/>
      <c r="V220" s="406"/>
      <c r="W220" s="406"/>
      <c r="X220" s="406"/>
      <c r="Y220" s="406"/>
      <c r="Z220" s="406"/>
      <c r="AA220" s="406"/>
      <c r="AB220" s="406"/>
      <c r="AC220" s="406"/>
      <c r="AD220" s="406"/>
      <c r="AE220" s="406"/>
      <c r="AF220" s="406"/>
      <c r="AG220" s="406"/>
      <c r="AH220" s="406"/>
      <c r="AI220" s="406"/>
      <c r="AJ220" s="406"/>
      <c r="AK220" s="406"/>
      <c r="AL220" s="406"/>
      <c r="AM220" s="406"/>
      <c r="AN220" s="406"/>
      <c r="AO220" s="406"/>
      <c r="AP220" s="406"/>
      <c r="AQ220" s="22"/>
      <c r="AR220" s="22"/>
    </row>
    <row r="221" spans="3:44" s="160" customFormat="1" x14ac:dyDescent="0.25">
      <c r="D221" s="172"/>
      <c r="E221" s="172"/>
      <c r="J221" s="416"/>
      <c r="K221" s="416"/>
      <c r="L221" s="416"/>
      <c r="M221" s="416"/>
      <c r="N221" s="416"/>
      <c r="O221" s="416"/>
      <c r="P221" s="416"/>
      <c r="Q221" s="416"/>
      <c r="R221" s="416"/>
      <c r="S221" s="416"/>
      <c r="T221" s="416"/>
      <c r="U221" s="416"/>
      <c r="V221" s="416"/>
      <c r="W221" s="416"/>
      <c r="X221" s="416"/>
      <c r="Y221" s="416"/>
      <c r="Z221" s="416"/>
      <c r="AA221" s="416"/>
      <c r="AB221" s="416"/>
      <c r="AC221" s="416"/>
      <c r="AD221" s="416"/>
      <c r="AE221" s="416"/>
      <c r="AF221" s="416"/>
      <c r="AG221" s="416"/>
      <c r="AH221" s="416"/>
      <c r="AI221" s="416"/>
      <c r="AJ221" s="416"/>
      <c r="AK221" s="416"/>
      <c r="AL221" s="416"/>
      <c r="AM221" s="416"/>
      <c r="AN221" s="416"/>
      <c r="AO221" s="416"/>
      <c r="AP221" s="416"/>
      <c r="AQ221" s="131"/>
    </row>
    <row r="222" spans="3:44" s="131" customFormat="1" x14ac:dyDescent="0.25">
      <c r="E222" s="172" t="s">
        <v>156</v>
      </c>
      <c r="J222" s="416"/>
      <c r="K222" s="416"/>
      <c r="L222" s="416"/>
      <c r="M222" s="416"/>
      <c r="N222" s="416"/>
      <c r="O222" s="416"/>
      <c r="P222" s="416"/>
      <c r="Q222" s="416"/>
      <c r="R222" s="416"/>
      <c r="S222" s="416"/>
      <c r="T222" s="416"/>
      <c r="U222" s="416"/>
      <c r="V222" s="416"/>
      <c r="W222" s="416"/>
      <c r="X222" s="416"/>
      <c r="Y222" s="416"/>
      <c r="Z222" s="416"/>
      <c r="AA222" s="416"/>
      <c r="AB222" s="416"/>
      <c r="AC222" s="416"/>
      <c r="AD222" s="416"/>
      <c r="AE222" s="416"/>
      <c r="AF222" s="416"/>
      <c r="AG222" s="416"/>
      <c r="AH222" s="416"/>
      <c r="AI222" s="416"/>
      <c r="AJ222" s="416"/>
      <c r="AK222" s="416"/>
      <c r="AL222" s="416"/>
      <c r="AM222" s="416"/>
      <c r="AN222" s="416"/>
      <c r="AO222" s="416"/>
      <c r="AP222" s="416"/>
    </row>
    <row r="223" spans="3:44" s="131" customFormat="1" x14ac:dyDescent="0.25">
      <c r="E223" s="175"/>
      <c r="F223" s="72" t="s">
        <v>397</v>
      </c>
      <c r="G223" s="137" t="s">
        <v>388</v>
      </c>
      <c r="H223" s="569"/>
      <c r="I223" s="569"/>
      <c r="J223" s="583"/>
      <c r="K223" s="583"/>
      <c r="L223" s="583"/>
      <c r="M223" s="583"/>
      <c r="N223" s="583"/>
      <c r="O223" s="583"/>
      <c r="P223" s="583"/>
      <c r="Q223" s="583"/>
      <c r="R223" s="583"/>
      <c r="S223" s="583"/>
      <c r="T223" s="583"/>
      <c r="U223" s="583"/>
      <c r="V223" s="583"/>
      <c r="W223" s="583"/>
      <c r="X223" s="583"/>
      <c r="Y223" s="583"/>
      <c r="Z223" s="583"/>
      <c r="AA223" s="583"/>
      <c r="AB223" s="583"/>
      <c r="AC223" s="583"/>
      <c r="AD223" s="583"/>
      <c r="AE223" s="583"/>
      <c r="AF223" s="583"/>
      <c r="AG223" s="583"/>
      <c r="AH223" s="583"/>
      <c r="AI223" s="583"/>
      <c r="AJ223" s="583"/>
      <c r="AK223" s="583"/>
      <c r="AL223" s="583"/>
      <c r="AM223" s="583"/>
      <c r="AN223" s="583"/>
      <c r="AO223" s="583"/>
      <c r="AP223" s="583"/>
      <c r="AQ223" s="571"/>
      <c r="AR223" s="571"/>
    </row>
    <row r="224" spans="3:44" s="131" customFormat="1" x14ac:dyDescent="0.25">
      <c r="E224" s="175"/>
      <c r="F224" s="66" t="s">
        <v>43</v>
      </c>
      <c r="G224" s="139" t="s">
        <v>388</v>
      </c>
      <c r="H224" s="572"/>
      <c r="I224" s="572"/>
      <c r="J224" s="587"/>
      <c r="K224" s="587"/>
      <c r="L224" s="587"/>
      <c r="M224" s="587"/>
      <c r="N224" s="587"/>
      <c r="O224" s="587"/>
      <c r="P224" s="587"/>
      <c r="Q224" s="587"/>
      <c r="R224" s="587"/>
      <c r="S224" s="587"/>
      <c r="T224" s="587"/>
      <c r="U224" s="587"/>
      <c r="V224" s="587"/>
      <c r="W224" s="587"/>
      <c r="X224" s="587"/>
      <c r="Y224" s="587"/>
      <c r="Z224" s="587"/>
      <c r="AA224" s="587"/>
      <c r="AB224" s="587"/>
      <c r="AC224" s="587"/>
      <c r="AD224" s="587"/>
      <c r="AE224" s="587"/>
      <c r="AF224" s="587"/>
      <c r="AG224" s="587"/>
      <c r="AH224" s="587"/>
      <c r="AI224" s="587"/>
      <c r="AJ224" s="587"/>
      <c r="AK224" s="587"/>
      <c r="AL224" s="587"/>
      <c r="AM224" s="587"/>
      <c r="AN224" s="587"/>
      <c r="AO224" s="587"/>
      <c r="AP224" s="587"/>
      <c r="AQ224" s="571"/>
      <c r="AR224" s="571"/>
    </row>
    <row r="225" spans="5:16384" s="131" customFormat="1" x14ac:dyDescent="0.25">
      <c r="E225" s="175"/>
      <c r="F225" s="66" t="s">
        <v>44</v>
      </c>
      <c r="G225" s="139" t="s">
        <v>388</v>
      </c>
      <c r="H225" s="572"/>
      <c r="I225" s="572"/>
      <c r="J225" s="585">
        <f t="shared" ref="J225:AP225" si="36">J$78 * J195</f>
        <v>0</v>
      </c>
      <c r="K225" s="585">
        <f t="shared" si="36"/>
        <v>0</v>
      </c>
      <c r="L225" s="585">
        <f t="shared" si="36"/>
        <v>0</v>
      </c>
      <c r="M225" s="585">
        <f t="shared" si="36"/>
        <v>0</v>
      </c>
      <c r="N225" s="585">
        <f t="shared" si="36"/>
        <v>0</v>
      </c>
      <c r="O225" s="585">
        <f t="shared" si="36"/>
        <v>0</v>
      </c>
      <c r="P225" s="585">
        <f t="shared" si="36"/>
        <v>0</v>
      </c>
      <c r="Q225" s="585">
        <f t="shared" si="36"/>
        <v>0</v>
      </c>
      <c r="R225" s="585">
        <f t="shared" si="36"/>
        <v>0</v>
      </c>
      <c r="S225" s="585">
        <f t="shared" si="36"/>
        <v>0</v>
      </c>
      <c r="T225" s="585">
        <f t="shared" si="36"/>
        <v>0</v>
      </c>
      <c r="U225" s="585">
        <f t="shared" si="36"/>
        <v>3.984637003689781E-2</v>
      </c>
      <c r="V225" s="585">
        <f t="shared" si="36"/>
        <v>3.4837375709651668E-2</v>
      </c>
      <c r="W225" s="585">
        <f t="shared" si="36"/>
        <v>3.052154812736162E-2</v>
      </c>
      <c r="X225" s="585">
        <f t="shared" si="36"/>
        <v>0</v>
      </c>
      <c r="Y225" s="585">
        <f t="shared" si="36"/>
        <v>0</v>
      </c>
      <c r="Z225" s="585">
        <f t="shared" si="36"/>
        <v>0</v>
      </c>
      <c r="AA225" s="585">
        <f t="shared" si="36"/>
        <v>0</v>
      </c>
      <c r="AB225" s="585">
        <f t="shared" si="36"/>
        <v>0</v>
      </c>
      <c r="AC225" s="585">
        <f t="shared" si="36"/>
        <v>0</v>
      </c>
      <c r="AD225" s="585">
        <f t="shared" si="36"/>
        <v>0</v>
      </c>
      <c r="AE225" s="585">
        <f t="shared" si="36"/>
        <v>2.8801578759095305E-2</v>
      </c>
      <c r="AF225" s="585">
        <f t="shared" si="36"/>
        <v>0</v>
      </c>
      <c r="AG225" s="585">
        <f t="shared" si="36"/>
        <v>2.8801578759095305E-2</v>
      </c>
      <c r="AH225" s="585">
        <f t="shared" si="36"/>
        <v>0</v>
      </c>
      <c r="AI225" s="585">
        <f t="shared" si="36"/>
        <v>2.7664326337937278E-2</v>
      </c>
      <c r="AJ225" s="585">
        <f t="shared" si="36"/>
        <v>0</v>
      </c>
      <c r="AK225" s="585">
        <f t="shared" si="36"/>
        <v>2.7664326337937278E-2</v>
      </c>
      <c r="AL225" s="585">
        <f t="shared" si="36"/>
        <v>0</v>
      </c>
      <c r="AM225" s="585">
        <f t="shared" si="36"/>
        <v>2.7267610377068187E-2</v>
      </c>
      <c r="AN225" s="585">
        <f t="shared" si="36"/>
        <v>0</v>
      </c>
      <c r="AO225" s="585">
        <f t="shared" si="36"/>
        <v>2.7267610377068187E-2</v>
      </c>
      <c r="AP225" s="585">
        <f t="shared" si="36"/>
        <v>0</v>
      </c>
      <c r="AQ225" s="571"/>
      <c r="AR225" s="571"/>
    </row>
    <row r="226" spans="5:16384" s="131" customFormat="1" x14ac:dyDescent="0.25">
      <c r="E226" s="175"/>
      <c r="F226" s="66" t="s">
        <v>45</v>
      </c>
      <c r="G226" s="139" t="s">
        <v>388</v>
      </c>
      <c r="H226" s="572"/>
      <c r="I226" s="572"/>
      <c r="J226" s="585">
        <f t="shared" ref="J226:AP226" si="37">J$78 * J196</f>
        <v>0</v>
      </c>
      <c r="K226" s="585">
        <f t="shared" si="37"/>
        <v>0</v>
      </c>
      <c r="L226" s="585">
        <f t="shared" si="37"/>
        <v>0</v>
      </c>
      <c r="M226" s="585">
        <f t="shared" si="37"/>
        <v>0</v>
      </c>
      <c r="N226" s="585">
        <f t="shared" si="37"/>
        <v>0</v>
      </c>
      <c r="O226" s="585">
        <f t="shared" si="37"/>
        <v>0</v>
      </c>
      <c r="P226" s="585">
        <f t="shared" si="37"/>
        <v>0</v>
      </c>
      <c r="Q226" s="585">
        <f t="shared" si="37"/>
        <v>0</v>
      </c>
      <c r="R226" s="585">
        <f t="shared" si="37"/>
        <v>0</v>
      </c>
      <c r="S226" s="585">
        <f t="shared" si="37"/>
        <v>0</v>
      </c>
      <c r="T226" s="585">
        <f t="shared" si="37"/>
        <v>0</v>
      </c>
      <c r="U226" s="585">
        <f t="shared" si="37"/>
        <v>1.1089393081561821E-2</v>
      </c>
      <c r="V226" s="585">
        <f t="shared" si="37"/>
        <v>9.6953713178049346E-3</v>
      </c>
      <c r="W226" s="585">
        <f t="shared" si="37"/>
        <v>8.4942604389985979E-3</v>
      </c>
      <c r="X226" s="585">
        <f t="shared" si="37"/>
        <v>0</v>
      </c>
      <c r="Y226" s="585">
        <f t="shared" si="37"/>
        <v>0</v>
      </c>
      <c r="Z226" s="585">
        <f t="shared" si="37"/>
        <v>0</v>
      </c>
      <c r="AA226" s="585">
        <f t="shared" si="37"/>
        <v>0</v>
      </c>
      <c r="AB226" s="585">
        <f t="shared" si="37"/>
        <v>0</v>
      </c>
      <c r="AC226" s="585">
        <f t="shared" si="37"/>
        <v>0</v>
      </c>
      <c r="AD226" s="585">
        <f t="shared" si="37"/>
        <v>0</v>
      </c>
      <c r="AE226" s="585">
        <f t="shared" si="37"/>
        <v>8.0155865624249294E-3</v>
      </c>
      <c r="AF226" s="585">
        <f t="shared" si="37"/>
        <v>0</v>
      </c>
      <c r="AG226" s="585">
        <f t="shared" si="37"/>
        <v>8.0155865624249294E-3</v>
      </c>
      <c r="AH226" s="585">
        <f t="shared" si="37"/>
        <v>0</v>
      </c>
      <c r="AI226" s="585">
        <f t="shared" si="37"/>
        <v>7.6990849809884998E-3</v>
      </c>
      <c r="AJ226" s="585">
        <f t="shared" si="37"/>
        <v>0</v>
      </c>
      <c r="AK226" s="585">
        <f t="shared" si="37"/>
        <v>7.6990849809884998E-3</v>
      </c>
      <c r="AL226" s="585">
        <f t="shared" si="37"/>
        <v>0</v>
      </c>
      <c r="AM226" s="585">
        <f t="shared" si="37"/>
        <v>7.5886774525804413E-3</v>
      </c>
      <c r="AN226" s="585">
        <f t="shared" si="37"/>
        <v>0</v>
      </c>
      <c r="AO226" s="585">
        <f t="shared" si="37"/>
        <v>7.5886774525804413E-3</v>
      </c>
      <c r="AP226" s="585">
        <f t="shared" si="37"/>
        <v>0</v>
      </c>
      <c r="AQ226" s="571"/>
      <c r="AR226" s="571"/>
    </row>
    <row r="227" spans="5:16384" s="131" customFormat="1" x14ac:dyDescent="0.25">
      <c r="E227" s="175"/>
      <c r="F227" s="66" t="s">
        <v>46</v>
      </c>
      <c r="G227" s="139" t="s">
        <v>388</v>
      </c>
      <c r="H227" s="572"/>
      <c r="I227" s="572"/>
      <c r="J227" s="585">
        <f t="shared" ref="J227:AP227" si="38">J$78 * J197</f>
        <v>0</v>
      </c>
      <c r="K227" s="585">
        <f t="shared" si="38"/>
        <v>0</v>
      </c>
      <c r="L227" s="585">
        <f t="shared" si="38"/>
        <v>0</v>
      </c>
      <c r="M227" s="585">
        <f t="shared" si="38"/>
        <v>0</v>
      </c>
      <c r="N227" s="585">
        <f t="shared" si="38"/>
        <v>0</v>
      </c>
      <c r="O227" s="585">
        <f t="shared" si="38"/>
        <v>0</v>
      </c>
      <c r="P227" s="585">
        <f t="shared" si="38"/>
        <v>0</v>
      </c>
      <c r="Q227" s="585">
        <f t="shared" si="38"/>
        <v>0</v>
      </c>
      <c r="R227" s="585">
        <f t="shared" si="38"/>
        <v>0</v>
      </c>
      <c r="S227" s="585">
        <f t="shared" si="38"/>
        <v>0</v>
      </c>
      <c r="T227" s="585">
        <f t="shared" si="38"/>
        <v>0</v>
      </c>
      <c r="U227" s="585">
        <f t="shared" si="38"/>
        <v>2.6275154044082594E-2</v>
      </c>
      <c r="V227" s="585">
        <f t="shared" si="38"/>
        <v>2.2972165655618219E-2</v>
      </c>
      <c r="W227" s="585">
        <f t="shared" si="38"/>
        <v>1.5739734745223225E-2</v>
      </c>
      <c r="X227" s="585">
        <f t="shared" si="38"/>
        <v>0</v>
      </c>
      <c r="Y227" s="585">
        <f t="shared" si="38"/>
        <v>0</v>
      </c>
      <c r="Z227" s="585">
        <f t="shared" si="38"/>
        <v>0</v>
      </c>
      <c r="AA227" s="585">
        <f t="shared" si="38"/>
        <v>0</v>
      </c>
      <c r="AB227" s="585">
        <f t="shared" si="38"/>
        <v>0</v>
      </c>
      <c r="AC227" s="585">
        <f t="shared" si="38"/>
        <v>0</v>
      </c>
      <c r="AD227" s="585">
        <f t="shared" si="38"/>
        <v>0</v>
      </c>
      <c r="AE227" s="585">
        <f t="shared" si="38"/>
        <v>1.8992091824355389E-2</v>
      </c>
      <c r="AF227" s="585">
        <f t="shared" si="38"/>
        <v>0</v>
      </c>
      <c r="AG227" s="585">
        <f t="shared" si="38"/>
        <v>1.8992091824355389E-2</v>
      </c>
      <c r="AH227" s="585">
        <f t="shared" si="38"/>
        <v>0</v>
      </c>
      <c r="AI227" s="585">
        <f t="shared" si="38"/>
        <v>1.8242174516322991E-2</v>
      </c>
      <c r="AJ227" s="585">
        <f t="shared" si="38"/>
        <v>0</v>
      </c>
      <c r="AK227" s="585">
        <f t="shared" si="38"/>
        <v>1.8242174516322991E-2</v>
      </c>
      <c r="AL227" s="585">
        <f t="shared" si="38"/>
        <v>0</v>
      </c>
      <c r="AM227" s="585">
        <f t="shared" si="38"/>
        <v>1.7577129143328023E-2</v>
      </c>
      <c r="AN227" s="585">
        <f t="shared" si="38"/>
        <v>0</v>
      </c>
      <c r="AO227" s="585">
        <f t="shared" si="38"/>
        <v>1.7577129143328023E-2</v>
      </c>
      <c r="AP227" s="585">
        <f t="shared" si="38"/>
        <v>0</v>
      </c>
      <c r="AQ227" s="571"/>
      <c r="AR227" s="571"/>
    </row>
    <row r="228" spans="5:16384" s="131" customFormat="1" x14ac:dyDescent="0.25">
      <c r="E228" s="175"/>
      <c r="F228" s="66" t="s">
        <v>47</v>
      </c>
      <c r="G228" s="139" t="s">
        <v>388</v>
      </c>
      <c r="H228" s="572"/>
      <c r="I228" s="572"/>
      <c r="J228" s="585">
        <f t="shared" ref="J228:AP228" si="39">J$78 * J198</f>
        <v>0</v>
      </c>
      <c r="K228" s="585">
        <f t="shared" si="39"/>
        <v>0</v>
      </c>
      <c r="L228" s="585">
        <f t="shared" si="39"/>
        <v>0</v>
      </c>
      <c r="M228" s="585">
        <f t="shared" si="39"/>
        <v>0</v>
      </c>
      <c r="N228" s="585">
        <f t="shared" si="39"/>
        <v>0</v>
      </c>
      <c r="O228" s="585">
        <f t="shared" si="39"/>
        <v>0</v>
      </c>
      <c r="P228" s="585">
        <f t="shared" si="39"/>
        <v>0</v>
      </c>
      <c r="Q228" s="585">
        <f t="shared" si="39"/>
        <v>0</v>
      </c>
      <c r="R228" s="585">
        <f t="shared" si="39"/>
        <v>0</v>
      </c>
      <c r="S228" s="585">
        <f t="shared" si="39"/>
        <v>0</v>
      </c>
      <c r="T228" s="585">
        <f t="shared" si="39"/>
        <v>0</v>
      </c>
      <c r="U228" s="585">
        <f t="shared" si="39"/>
        <v>1.9769563084461542E-2</v>
      </c>
      <c r="V228" s="585">
        <f t="shared" si="39"/>
        <v>1.7284377376189885E-2</v>
      </c>
      <c r="W228" s="585">
        <f t="shared" si="39"/>
        <v>0</v>
      </c>
      <c r="X228" s="585">
        <f t="shared" si="39"/>
        <v>0</v>
      </c>
      <c r="Y228" s="585">
        <f t="shared" si="39"/>
        <v>0</v>
      </c>
      <c r="Z228" s="585">
        <f t="shared" si="39"/>
        <v>0</v>
      </c>
      <c r="AA228" s="585">
        <f t="shared" si="39"/>
        <v>0</v>
      </c>
      <c r="AB228" s="585">
        <f t="shared" si="39"/>
        <v>0</v>
      </c>
      <c r="AC228" s="585">
        <f t="shared" si="39"/>
        <v>0</v>
      </c>
      <c r="AD228" s="585">
        <f t="shared" si="39"/>
        <v>0</v>
      </c>
      <c r="AE228" s="585">
        <f t="shared" si="39"/>
        <v>1.4289749045716379E-2</v>
      </c>
      <c r="AF228" s="585">
        <f t="shared" si="39"/>
        <v>0</v>
      </c>
      <c r="AG228" s="585">
        <f t="shared" si="39"/>
        <v>1.4289749045716379E-2</v>
      </c>
      <c r="AH228" s="585">
        <f t="shared" si="39"/>
        <v>0</v>
      </c>
      <c r="AI228" s="585">
        <f t="shared" si="39"/>
        <v>1.3725507347859812E-2</v>
      </c>
      <c r="AJ228" s="585">
        <f t="shared" si="39"/>
        <v>0</v>
      </c>
      <c r="AK228" s="585">
        <f t="shared" si="39"/>
        <v>1.3725507347859812E-2</v>
      </c>
      <c r="AL228" s="585">
        <f t="shared" si="39"/>
        <v>0</v>
      </c>
      <c r="AM228" s="585">
        <f t="shared" si="39"/>
        <v>1.2946538971840987E-2</v>
      </c>
      <c r="AN228" s="585">
        <f t="shared" si="39"/>
        <v>0</v>
      </c>
      <c r="AO228" s="585">
        <f t="shared" si="39"/>
        <v>1.2946538971840987E-2</v>
      </c>
      <c r="AP228" s="585">
        <f t="shared" si="39"/>
        <v>0</v>
      </c>
      <c r="AQ228" s="571"/>
      <c r="AR228" s="571"/>
    </row>
    <row r="229" spans="5:16384" s="131" customFormat="1" x14ac:dyDescent="0.25">
      <c r="E229" s="175"/>
      <c r="F229" s="66" t="s">
        <v>51</v>
      </c>
      <c r="G229" s="139" t="s">
        <v>388</v>
      </c>
      <c r="H229" s="572"/>
      <c r="I229" s="572"/>
      <c r="J229" s="585">
        <f t="shared" ref="J229:AP229" si="40">J$78 * J199</f>
        <v>0</v>
      </c>
      <c r="K229" s="585">
        <f t="shared" si="40"/>
        <v>0</v>
      </c>
      <c r="L229" s="585">
        <f t="shared" si="40"/>
        <v>0</v>
      </c>
      <c r="M229" s="585">
        <f t="shared" si="40"/>
        <v>0</v>
      </c>
      <c r="N229" s="585">
        <f t="shared" si="40"/>
        <v>0</v>
      </c>
      <c r="O229" s="585">
        <f t="shared" si="40"/>
        <v>0</v>
      </c>
      <c r="P229" s="585">
        <f t="shared" si="40"/>
        <v>0</v>
      </c>
      <c r="Q229" s="585">
        <f t="shared" si="40"/>
        <v>0</v>
      </c>
      <c r="R229" s="585">
        <f t="shared" si="40"/>
        <v>0</v>
      </c>
      <c r="S229" s="585">
        <f t="shared" si="40"/>
        <v>0</v>
      </c>
      <c r="T229" s="585">
        <f t="shared" si="40"/>
        <v>0</v>
      </c>
      <c r="U229" s="585">
        <f t="shared" si="40"/>
        <v>0</v>
      </c>
      <c r="V229" s="585">
        <f t="shared" si="40"/>
        <v>0</v>
      </c>
      <c r="W229" s="585">
        <f t="shared" si="40"/>
        <v>0</v>
      </c>
      <c r="X229" s="585">
        <f t="shared" si="40"/>
        <v>0</v>
      </c>
      <c r="Y229" s="585">
        <f t="shared" si="40"/>
        <v>0</v>
      </c>
      <c r="Z229" s="585">
        <f t="shared" si="40"/>
        <v>0</v>
      </c>
      <c r="AA229" s="585">
        <f t="shared" si="40"/>
        <v>0</v>
      </c>
      <c r="AB229" s="585">
        <f t="shared" si="40"/>
        <v>0</v>
      </c>
      <c r="AC229" s="585">
        <f t="shared" si="40"/>
        <v>0</v>
      </c>
      <c r="AD229" s="585">
        <f t="shared" si="40"/>
        <v>0</v>
      </c>
      <c r="AE229" s="585">
        <f t="shared" si="40"/>
        <v>0</v>
      </c>
      <c r="AF229" s="585">
        <f t="shared" si="40"/>
        <v>0</v>
      </c>
      <c r="AG229" s="585">
        <f t="shared" si="40"/>
        <v>0</v>
      </c>
      <c r="AH229" s="585">
        <f t="shared" si="40"/>
        <v>0</v>
      </c>
      <c r="AI229" s="585">
        <f t="shared" si="40"/>
        <v>0</v>
      </c>
      <c r="AJ229" s="585">
        <f t="shared" si="40"/>
        <v>0</v>
      </c>
      <c r="AK229" s="585">
        <f t="shared" si="40"/>
        <v>0</v>
      </c>
      <c r="AL229" s="585">
        <f t="shared" si="40"/>
        <v>0</v>
      </c>
      <c r="AM229" s="585">
        <f t="shared" si="40"/>
        <v>0</v>
      </c>
      <c r="AN229" s="585">
        <f t="shared" si="40"/>
        <v>0</v>
      </c>
      <c r="AO229" s="585">
        <f t="shared" si="40"/>
        <v>0</v>
      </c>
      <c r="AP229" s="585">
        <f t="shared" si="40"/>
        <v>0</v>
      </c>
      <c r="AQ229" s="571"/>
      <c r="AR229" s="571"/>
    </row>
    <row r="230" spans="5:16384" s="131" customFormat="1" x14ac:dyDescent="0.25">
      <c r="E230" s="175"/>
      <c r="F230" s="66" t="s">
        <v>48</v>
      </c>
      <c r="G230" s="139" t="s">
        <v>388</v>
      </c>
      <c r="H230" s="572"/>
      <c r="I230" s="572"/>
      <c r="J230" s="585">
        <f t="shared" ref="J230:AP230" si="41">J$78 * J200</f>
        <v>0</v>
      </c>
      <c r="K230" s="585">
        <f t="shared" si="41"/>
        <v>0</v>
      </c>
      <c r="L230" s="585">
        <f t="shared" si="41"/>
        <v>0</v>
      </c>
      <c r="M230" s="585">
        <f t="shared" si="41"/>
        <v>0</v>
      </c>
      <c r="N230" s="585">
        <f t="shared" si="41"/>
        <v>0</v>
      </c>
      <c r="O230" s="585">
        <f t="shared" si="41"/>
        <v>0</v>
      </c>
      <c r="P230" s="585">
        <f t="shared" si="41"/>
        <v>0</v>
      </c>
      <c r="Q230" s="585">
        <f t="shared" si="41"/>
        <v>0</v>
      </c>
      <c r="R230" s="585">
        <f t="shared" si="41"/>
        <v>0</v>
      </c>
      <c r="S230" s="585">
        <f t="shared" si="41"/>
        <v>0</v>
      </c>
      <c r="T230" s="585">
        <f t="shared" si="41"/>
        <v>0</v>
      </c>
      <c r="U230" s="585">
        <f t="shared" si="41"/>
        <v>3.478098317755849E-2</v>
      </c>
      <c r="V230" s="585">
        <f t="shared" si="41"/>
        <v>0</v>
      </c>
      <c r="W230" s="585">
        <f t="shared" si="41"/>
        <v>0</v>
      </c>
      <c r="X230" s="585">
        <f t="shared" si="41"/>
        <v>0</v>
      </c>
      <c r="Y230" s="585">
        <f t="shared" si="41"/>
        <v>0</v>
      </c>
      <c r="Z230" s="585">
        <f t="shared" si="41"/>
        <v>0</v>
      </c>
      <c r="AA230" s="585">
        <f t="shared" si="41"/>
        <v>0</v>
      </c>
      <c r="AB230" s="585">
        <f t="shared" si="41"/>
        <v>0</v>
      </c>
      <c r="AC230" s="585">
        <f t="shared" si="41"/>
        <v>0</v>
      </c>
      <c r="AD230" s="585">
        <f t="shared" si="41"/>
        <v>0</v>
      </c>
      <c r="AE230" s="585">
        <f t="shared" si="41"/>
        <v>3.1425297504502916E-2</v>
      </c>
      <c r="AF230" s="585">
        <f t="shared" si="41"/>
        <v>0</v>
      </c>
      <c r="AG230" s="585">
        <f t="shared" si="41"/>
        <v>3.1425297504502916E-2</v>
      </c>
      <c r="AH230" s="585">
        <f t="shared" si="41"/>
        <v>0</v>
      </c>
      <c r="AI230" s="585">
        <f t="shared" si="41"/>
        <v>3.0184445536923839E-2</v>
      </c>
      <c r="AJ230" s="585">
        <f t="shared" si="41"/>
        <v>0</v>
      </c>
      <c r="AK230" s="585">
        <f t="shared" si="41"/>
        <v>3.0184445536923839E-2</v>
      </c>
      <c r="AL230" s="585">
        <f t="shared" si="41"/>
        <v>0</v>
      </c>
      <c r="AM230" s="585">
        <f t="shared" si="41"/>
        <v>2.7963714677203075E-2</v>
      </c>
      <c r="AN230" s="585">
        <f t="shared" si="41"/>
        <v>0</v>
      </c>
      <c r="AO230" s="585">
        <f t="shared" si="41"/>
        <v>2.7963714677203075E-2</v>
      </c>
      <c r="AP230" s="585">
        <f t="shared" si="41"/>
        <v>0</v>
      </c>
      <c r="AQ230" s="571"/>
      <c r="AR230" s="571"/>
    </row>
    <row r="231" spans="5:16384" s="131" customFormat="1" x14ac:dyDescent="0.25">
      <c r="E231" s="175"/>
      <c r="F231" s="66" t="s">
        <v>49</v>
      </c>
      <c r="G231" s="139" t="s">
        <v>388</v>
      </c>
      <c r="H231" s="572"/>
      <c r="I231" s="572"/>
      <c r="J231" s="585">
        <f t="shared" ref="J231:AP231" si="42">J$78 * J201</f>
        <v>0</v>
      </c>
      <c r="K231" s="585">
        <f t="shared" si="42"/>
        <v>0</v>
      </c>
      <c r="L231" s="585">
        <f t="shared" si="42"/>
        <v>0</v>
      </c>
      <c r="M231" s="585">
        <f t="shared" si="42"/>
        <v>0</v>
      </c>
      <c r="N231" s="585">
        <f t="shared" si="42"/>
        <v>0</v>
      </c>
      <c r="O231" s="585">
        <f t="shared" si="42"/>
        <v>0</v>
      </c>
      <c r="P231" s="585">
        <f t="shared" si="42"/>
        <v>0</v>
      </c>
      <c r="Q231" s="585">
        <f t="shared" si="42"/>
        <v>0</v>
      </c>
      <c r="R231" s="585">
        <f t="shared" si="42"/>
        <v>0</v>
      </c>
      <c r="S231" s="585">
        <f t="shared" si="42"/>
        <v>0</v>
      </c>
      <c r="T231" s="585">
        <f t="shared" si="42"/>
        <v>0</v>
      </c>
      <c r="U231" s="585">
        <f t="shared" si="42"/>
        <v>0</v>
      </c>
      <c r="V231" s="585">
        <f t="shared" si="42"/>
        <v>0</v>
      </c>
      <c r="W231" s="585">
        <f t="shared" si="42"/>
        <v>0</v>
      </c>
      <c r="X231" s="585">
        <f t="shared" si="42"/>
        <v>0</v>
      </c>
      <c r="Y231" s="585">
        <f t="shared" si="42"/>
        <v>0</v>
      </c>
      <c r="Z231" s="585">
        <f t="shared" si="42"/>
        <v>0</v>
      </c>
      <c r="AA231" s="585">
        <f t="shared" si="42"/>
        <v>0</v>
      </c>
      <c r="AB231" s="585">
        <f t="shared" si="42"/>
        <v>0</v>
      </c>
      <c r="AC231" s="585">
        <f t="shared" si="42"/>
        <v>0</v>
      </c>
      <c r="AD231" s="585">
        <f t="shared" si="42"/>
        <v>0</v>
      </c>
      <c r="AE231" s="585">
        <f t="shared" si="42"/>
        <v>9.052524340183353E-3</v>
      </c>
      <c r="AF231" s="585">
        <f t="shared" si="42"/>
        <v>0</v>
      </c>
      <c r="AG231" s="585">
        <f t="shared" si="42"/>
        <v>9.052524340183353E-3</v>
      </c>
      <c r="AH231" s="585">
        <f t="shared" si="42"/>
        <v>0</v>
      </c>
      <c r="AI231" s="585">
        <f t="shared" si="42"/>
        <v>8.695078475511285E-3</v>
      </c>
      <c r="AJ231" s="585">
        <f t="shared" si="42"/>
        <v>0</v>
      </c>
      <c r="AK231" s="585">
        <f t="shared" si="42"/>
        <v>8.695078475511285E-3</v>
      </c>
      <c r="AL231" s="585">
        <f t="shared" si="42"/>
        <v>0</v>
      </c>
      <c r="AM231" s="585">
        <f t="shared" si="42"/>
        <v>0</v>
      </c>
      <c r="AN231" s="585">
        <f t="shared" si="42"/>
        <v>0</v>
      </c>
      <c r="AO231" s="585">
        <f t="shared" si="42"/>
        <v>0</v>
      </c>
      <c r="AP231" s="585">
        <f t="shared" si="42"/>
        <v>0</v>
      </c>
      <c r="AQ231" s="571"/>
      <c r="AR231" s="571"/>
    </row>
    <row r="232" spans="5:16384" s="131" customFormat="1" x14ac:dyDescent="0.25">
      <c r="E232" s="175"/>
      <c r="F232" s="66" t="s">
        <v>50</v>
      </c>
      <c r="G232" s="139" t="s">
        <v>388</v>
      </c>
      <c r="H232" s="572"/>
      <c r="I232" s="572"/>
      <c r="J232" s="585">
        <f t="shared" ref="J232:AP232" si="43">J$78 * J202</f>
        <v>0</v>
      </c>
      <c r="K232" s="585">
        <f t="shared" si="43"/>
        <v>0</v>
      </c>
      <c r="L232" s="585">
        <f t="shared" si="43"/>
        <v>0</v>
      </c>
      <c r="M232" s="585">
        <f t="shared" si="43"/>
        <v>0</v>
      </c>
      <c r="N232" s="585">
        <f t="shared" si="43"/>
        <v>0</v>
      </c>
      <c r="O232" s="585">
        <f t="shared" si="43"/>
        <v>0</v>
      </c>
      <c r="P232" s="585">
        <f t="shared" si="43"/>
        <v>0</v>
      </c>
      <c r="Q232" s="585">
        <f t="shared" si="43"/>
        <v>0</v>
      </c>
      <c r="R232" s="585">
        <f t="shared" si="43"/>
        <v>0</v>
      </c>
      <c r="S232" s="585">
        <f t="shared" si="43"/>
        <v>0</v>
      </c>
      <c r="T232" s="585">
        <f t="shared" si="43"/>
        <v>0</v>
      </c>
      <c r="U232" s="585">
        <f t="shared" si="43"/>
        <v>0</v>
      </c>
      <c r="V232" s="585">
        <f t="shared" si="43"/>
        <v>0</v>
      </c>
      <c r="W232" s="585">
        <f t="shared" si="43"/>
        <v>0</v>
      </c>
      <c r="X232" s="585">
        <f t="shared" si="43"/>
        <v>0</v>
      </c>
      <c r="Y232" s="585">
        <f t="shared" si="43"/>
        <v>0</v>
      </c>
      <c r="Z232" s="585">
        <f t="shared" si="43"/>
        <v>0</v>
      </c>
      <c r="AA232" s="585">
        <f t="shared" si="43"/>
        <v>0</v>
      </c>
      <c r="AB232" s="585">
        <f t="shared" si="43"/>
        <v>0</v>
      </c>
      <c r="AC232" s="585">
        <f t="shared" si="43"/>
        <v>0</v>
      </c>
      <c r="AD232" s="585">
        <f t="shared" si="43"/>
        <v>0</v>
      </c>
      <c r="AE232" s="585">
        <f t="shared" si="43"/>
        <v>1.2439965241213887E-3</v>
      </c>
      <c r="AF232" s="585">
        <f t="shared" si="43"/>
        <v>0</v>
      </c>
      <c r="AG232" s="585">
        <f t="shared" si="43"/>
        <v>1.2439965241213887E-3</v>
      </c>
      <c r="AH232" s="585">
        <f t="shared" si="43"/>
        <v>0</v>
      </c>
      <c r="AI232" s="585">
        <f t="shared" si="43"/>
        <v>0</v>
      </c>
      <c r="AJ232" s="585">
        <f t="shared" si="43"/>
        <v>0</v>
      </c>
      <c r="AK232" s="585">
        <f t="shared" si="43"/>
        <v>0</v>
      </c>
      <c r="AL232" s="585">
        <f t="shared" si="43"/>
        <v>0</v>
      </c>
      <c r="AM232" s="585">
        <f t="shared" si="43"/>
        <v>0</v>
      </c>
      <c r="AN232" s="585">
        <f t="shared" si="43"/>
        <v>0</v>
      </c>
      <c r="AO232" s="585">
        <f t="shared" si="43"/>
        <v>0</v>
      </c>
      <c r="AP232" s="585">
        <f t="shared" si="43"/>
        <v>0</v>
      </c>
      <c r="AQ232" s="571"/>
      <c r="AR232" s="571"/>
    </row>
    <row r="233" spans="5:16384" s="131" customFormat="1" x14ac:dyDescent="0.25">
      <c r="E233" s="175"/>
      <c r="F233" s="66" t="s">
        <v>141</v>
      </c>
      <c r="G233" s="139" t="s">
        <v>388</v>
      </c>
      <c r="H233" s="572"/>
      <c r="I233" s="572"/>
      <c r="J233" s="587"/>
      <c r="K233" s="587"/>
      <c r="L233" s="587"/>
      <c r="M233" s="587"/>
      <c r="N233" s="587"/>
      <c r="O233" s="587"/>
      <c r="P233" s="587"/>
      <c r="Q233" s="587"/>
      <c r="R233" s="587"/>
      <c r="S233" s="587"/>
      <c r="T233" s="587"/>
      <c r="U233" s="587"/>
      <c r="V233" s="587"/>
      <c r="W233" s="587"/>
      <c r="X233" s="587"/>
      <c r="Y233" s="587"/>
      <c r="Z233" s="587"/>
      <c r="AA233" s="587"/>
      <c r="AB233" s="587"/>
      <c r="AC233" s="587"/>
      <c r="AD233" s="587"/>
      <c r="AE233" s="587"/>
      <c r="AF233" s="587"/>
      <c r="AG233" s="587"/>
      <c r="AH233" s="587"/>
      <c r="AI233" s="587"/>
      <c r="AJ233" s="587"/>
      <c r="AK233" s="587"/>
      <c r="AL233" s="587"/>
      <c r="AM233" s="587"/>
      <c r="AN233" s="587"/>
      <c r="AO233" s="587"/>
      <c r="AP233" s="587"/>
      <c r="AQ233" s="571"/>
      <c r="AR233" s="571"/>
    </row>
    <row r="234" spans="5:16384" s="131" customFormat="1" x14ac:dyDescent="0.25">
      <c r="E234" s="175"/>
      <c r="F234" s="67" t="s">
        <v>140</v>
      </c>
      <c r="G234" s="140" t="s">
        <v>388</v>
      </c>
      <c r="H234" s="574"/>
      <c r="I234" s="574"/>
      <c r="J234" s="579"/>
      <c r="K234" s="579"/>
      <c r="L234" s="579"/>
      <c r="M234" s="579"/>
      <c r="N234" s="579"/>
      <c r="O234" s="579"/>
      <c r="P234" s="579"/>
      <c r="Q234" s="579"/>
      <c r="R234" s="579"/>
      <c r="S234" s="579"/>
      <c r="T234" s="579"/>
      <c r="U234" s="579"/>
      <c r="V234" s="579"/>
      <c r="W234" s="579"/>
      <c r="X234" s="579"/>
      <c r="Y234" s="579"/>
      <c r="Z234" s="579"/>
      <c r="AA234" s="579"/>
      <c r="AB234" s="579"/>
      <c r="AC234" s="579"/>
      <c r="AD234" s="579"/>
      <c r="AE234" s="579"/>
      <c r="AF234" s="579"/>
      <c r="AG234" s="579"/>
      <c r="AH234" s="579"/>
      <c r="AI234" s="579"/>
      <c r="AJ234" s="579"/>
      <c r="AK234" s="579"/>
      <c r="AL234" s="579"/>
      <c r="AM234" s="579"/>
      <c r="AN234" s="579"/>
      <c r="AO234" s="579"/>
      <c r="AP234" s="579"/>
      <c r="AQ234" s="571"/>
      <c r="AR234" s="571"/>
    </row>
    <row r="235" spans="5:16384" s="160" customFormat="1" x14ac:dyDescent="0.25">
      <c r="E235" s="175"/>
      <c r="F235" s="117"/>
      <c r="J235" s="416"/>
      <c r="K235" s="416"/>
      <c r="L235" s="416"/>
      <c r="M235" s="416"/>
      <c r="N235" s="416"/>
      <c r="O235" s="416"/>
      <c r="P235" s="416"/>
      <c r="Q235" s="416"/>
      <c r="R235" s="416"/>
      <c r="S235" s="416"/>
      <c r="T235" s="416"/>
      <c r="U235" s="416"/>
      <c r="V235" s="416"/>
      <c r="W235" s="416"/>
      <c r="X235" s="416"/>
      <c r="Y235" s="416"/>
      <c r="Z235" s="416"/>
      <c r="AA235" s="416"/>
      <c r="AB235" s="416"/>
      <c r="AC235" s="416"/>
      <c r="AD235" s="416"/>
      <c r="AE235" s="416"/>
      <c r="AF235" s="416"/>
      <c r="AG235" s="416"/>
      <c r="AH235" s="416"/>
      <c r="AI235" s="416"/>
      <c r="AJ235" s="416"/>
      <c r="AK235" s="416"/>
      <c r="AL235" s="416"/>
      <c r="AM235" s="416"/>
      <c r="AN235" s="416"/>
      <c r="AO235" s="416"/>
      <c r="AP235" s="416"/>
    </row>
    <row r="236" spans="5:16384" s="131" customFormat="1" x14ac:dyDescent="0.25">
      <c r="E236" s="172" t="s">
        <v>133</v>
      </c>
      <c r="F236" s="117"/>
      <c r="J236" s="416"/>
      <c r="K236" s="416"/>
      <c r="L236" s="416"/>
      <c r="M236" s="416"/>
      <c r="N236" s="416"/>
      <c r="O236" s="416"/>
      <c r="P236" s="416"/>
      <c r="Q236" s="416"/>
      <c r="R236" s="416"/>
      <c r="S236" s="416"/>
      <c r="T236" s="416"/>
      <c r="U236" s="416"/>
      <c r="V236" s="416"/>
      <c r="W236" s="416"/>
      <c r="X236" s="416"/>
      <c r="Y236" s="416"/>
      <c r="Z236" s="416"/>
      <c r="AA236" s="416"/>
      <c r="AB236" s="416"/>
      <c r="AC236" s="416"/>
      <c r="AD236" s="416"/>
      <c r="AE236" s="416"/>
      <c r="AF236" s="416"/>
      <c r="AG236" s="416"/>
      <c r="AH236" s="416"/>
      <c r="AI236" s="416"/>
      <c r="AJ236" s="416"/>
      <c r="AK236" s="416"/>
      <c r="AL236" s="416"/>
      <c r="AM236" s="416"/>
      <c r="AN236" s="416"/>
      <c r="AO236" s="416"/>
      <c r="AP236" s="416"/>
    </row>
    <row r="237" spans="5:16384" s="131" customFormat="1" x14ac:dyDescent="0.25">
      <c r="E237" s="175"/>
      <c r="F237" s="72" t="s">
        <v>397</v>
      </c>
      <c r="G237" s="137" t="s">
        <v>388</v>
      </c>
      <c r="H237" s="569"/>
      <c r="I237" s="569"/>
      <c r="J237" s="584">
        <f>J$78 * J207</f>
        <v>0</v>
      </c>
      <c r="K237" s="584">
        <f t="shared" ref="K237:AP237" si="44">K$78 * K207</f>
        <v>0</v>
      </c>
      <c r="L237" s="584">
        <f t="shared" si="44"/>
        <v>0</v>
      </c>
      <c r="M237" s="584">
        <f t="shared" si="44"/>
        <v>0</v>
      </c>
      <c r="N237" s="584">
        <f t="shared" si="44"/>
        <v>0</v>
      </c>
      <c r="O237" s="584">
        <f t="shared" si="44"/>
        <v>0</v>
      </c>
      <c r="P237" s="584">
        <f t="shared" si="44"/>
        <v>0</v>
      </c>
      <c r="Q237" s="584">
        <f t="shared" si="44"/>
        <v>0</v>
      </c>
      <c r="R237" s="584">
        <f t="shared" si="44"/>
        <v>0</v>
      </c>
      <c r="S237" s="584">
        <f t="shared" si="44"/>
        <v>0</v>
      </c>
      <c r="T237" s="584">
        <f t="shared" si="44"/>
        <v>0</v>
      </c>
      <c r="U237" s="584">
        <f t="shared" si="44"/>
        <v>1.1590818443932907E-2</v>
      </c>
      <c r="V237" s="584">
        <f t="shared" si="44"/>
        <v>1.0133763666294749E-2</v>
      </c>
      <c r="W237" s="584">
        <f t="shared" si="44"/>
        <v>8.8783425602989071E-3</v>
      </c>
      <c r="X237" s="584">
        <f t="shared" si="44"/>
        <v>0</v>
      </c>
      <c r="Y237" s="584">
        <f t="shared" si="44"/>
        <v>0</v>
      </c>
      <c r="Z237" s="584">
        <f t="shared" si="44"/>
        <v>0</v>
      </c>
      <c r="AA237" s="584">
        <f t="shared" si="44"/>
        <v>0</v>
      </c>
      <c r="AB237" s="584">
        <f t="shared" si="44"/>
        <v>0</v>
      </c>
      <c r="AC237" s="584">
        <f t="shared" si="44"/>
        <v>0</v>
      </c>
      <c r="AD237" s="584">
        <f t="shared" si="44"/>
        <v>0</v>
      </c>
      <c r="AE237" s="584">
        <f t="shared" si="44"/>
        <v>8.3780246478205502E-3</v>
      </c>
      <c r="AF237" s="584">
        <f t="shared" si="44"/>
        <v>0</v>
      </c>
      <c r="AG237" s="584">
        <f t="shared" si="44"/>
        <v>8.3780246478205502E-3</v>
      </c>
      <c r="AH237" s="584">
        <f t="shared" si="44"/>
        <v>0</v>
      </c>
      <c r="AI237" s="584">
        <f t="shared" si="44"/>
        <v>8.0472119206797948E-3</v>
      </c>
      <c r="AJ237" s="584">
        <f t="shared" si="44"/>
        <v>0</v>
      </c>
      <c r="AK237" s="584">
        <f t="shared" si="44"/>
        <v>8.0472119206797948E-3</v>
      </c>
      <c r="AL237" s="584">
        <f t="shared" si="44"/>
        <v>0</v>
      </c>
      <c r="AM237" s="584">
        <f t="shared" si="44"/>
        <v>7.9318121321423195E-3</v>
      </c>
      <c r="AN237" s="584">
        <f t="shared" si="44"/>
        <v>0</v>
      </c>
      <c r="AO237" s="584">
        <f t="shared" si="44"/>
        <v>7.9318121321423195E-3</v>
      </c>
      <c r="AP237" s="584">
        <f t="shared" si="44"/>
        <v>0</v>
      </c>
      <c r="AQ237" s="571"/>
      <c r="AR237" s="571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  <c r="GB237"/>
      <c r="GC237"/>
      <c r="GD237"/>
      <c r="GE237"/>
      <c r="GF237"/>
      <c r="GG237"/>
      <c r="GH237"/>
      <c r="GI237"/>
      <c r="GJ237"/>
      <c r="GK237"/>
      <c r="GL237"/>
      <c r="GM237"/>
      <c r="GN237"/>
      <c r="GO237"/>
      <c r="GP237"/>
      <c r="GQ237"/>
      <c r="GR237"/>
      <c r="GS237"/>
      <c r="GT237"/>
      <c r="GU237"/>
      <c r="GV237"/>
      <c r="GW237"/>
      <c r="GX237"/>
      <c r="GY237"/>
      <c r="GZ237"/>
      <c r="HA237"/>
      <c r="HB237"/>
      <c r="HC237"/>
      <c r="HD237"/>
      <c r="HE237"/>
      <c r="HF237"/>
      <c r="HG237"/>
      <c r="HH237"/>
      <c r="HI237"/>
      <c r="HJ237"/>
      <c r="HK237"/>
      <c r="HL237"/>
      <c r="HM237"/>
      <c r="HN237"/>
      <c r="HO237"/>
      <c r="HP237"/>
      <c r="HQ237"/>
      <c r="HR237"/>
      <c r="HS237"/>
      <c r="HT237"/>
      <c r="HU237"/>
      <c r="HV237"/>
      <c r="HW237"/>
      <c r="HX237"/>
      <c r="HY237"/>
      <c r="HZ237"/>
      <c r="IA237"/>
      <c r="IB237"/>
      <c r="IC237"/>
      <c r="ID237"/>
      <c r="IE237"/>
      <c r="IF237"/>
      <c r="IG237"/>
      <c r="IH237"/>
      <c r="II237"/>
      <c r="IJ237"/>
      <c r="IK237"/>
      <c r="IL237"/>
      <c r="IM237"/>
      <c r="IN237"/>
      <c r="IO237"/>
      <c r="IP237"/>
      <c r="IQ237"/>
      <c r="IR237"/>
      <c r="IS237"/>
      <c r="IT237"/>
      <c r="IU237"/>
      <c r="IV237"/>
      <c r="IW237"/>
      <c r="IX237"/>
      <c r="IY237"/>
      <c r="IZ237"/>
      <c r="JA237"/>
      <c r="JB237"/>
      <c r="JC237"/>
      <c r="JD237"/>
      <c r="JE237"/>
      <c r="JF237"/>
      <c r="JG237"/>
      <c r="JH237"/>
      <c r="JI237"/>
      <c r="JJ237"/>
      <c r="JK237"/>
      <c r="JL237"/>
      <c r="JM237"/>
      <c r="JN237"/>
      <c r="JO237"/>
      <c r="JP237"/>
      <c r="JQ237"/>
      <c r="JR237"/>
      <c r="JS237"/>
      <c r="JT237"/>
      <c r="JU237"/>
      <c r="JV237"/>
      <c r="JW237"/>
      <c r="JX237"/>
      <c r="JY237"/>
      <c r="JZ237"/>
      <c r="KA237"/>
      <c r="KB237"/>
      <c r="KC237"/>
      <c r="KD237"/>
      <c r="KE237"/>
      <c r="KF237"/>
      <c r="KG237"/>
      <c r="KH237"/>
      <c r="KI237"/>
      <c r="KJ237"/>
      <c r="KK237"/>
      <c r="KL237"/>
      <c r="KM237"/>
      <c r="KN237"/>
      <c r="KO237"/>
      <c r="KP237"/>
      <c r="KQ237"/>
      <c r="KR237"/>
      <c r="KS237"/>
      <c r="KT237"/>
      <c r="KU237"/>
      <c r="KV237"/>
      <c r="KW237"/>
      <c r="KX237"/>
      <c r="KY237"/>
      <c r="KZ237"/>
      <c r="LA237"/>
      <c r="LB237"/>
      <c r="LC237"/>
      <c r="LD237"/>
      <c r="LE237"/>
      <c r="LF237"/>
      <c r="LG237"/>
      <c r="LH237"/>
      <c r="LI237"/>
      <c r="LJ237"/>
      <c r="LK237"/>
      <c r="LL237"/>
      <c r="LM237"/>
      <c r="LN237"/>
      <c r="LO237"/>
      <c r="LP237"/>
      <c r="LQ237"/>
      <c r="LR237"/>
      <c r="LS237"/>
      <c r="LT237"/>
      <c r="LU237"/>
      <c r="LV237"/>
      <c r="LW237"/>
      <c r="LX237"/>
      <c r="LY237"/>
      <c r="LZ237"/>
      <c r="MA237"/>
      <c r="MB237"/>
      <c r="MC237"/>
      <c r="MD237"/>
      <c r="ME237"/>
      <c r="MF237"/>
      <c r="MG237"/>
      <c r="MH237"/>
      <c r="MI237"/>
      <c r="MJ237"/>
      <c r="MK237"/>
      <c r="ML237"/>
      <c r="MM237"/>
      <c r="MN237"/>
      <c r="MO237"/>
      <c r="MP237"/>
      <c r="MQ237"/>
      <c r="MR237"/>
      <c r="MS237"/>
      <c r="MT237"/>
      <c r="MU237"/>
      <c r="MV237"/>
      <c r="MW237"/>
      <c r="MX237"/>
      <c r="MY237"/>
      <c r="MZ237"/>
      <c r="NA237"/>
      <c r="NB237"/>
      <c r="NC237"/>
      <c r="ND237"/>
      <c r="NE237"/>
      <c r="NF237"/>
      <c r="NG237"/>
      <c r="NH237"/>
      <c r="NI237"/>
      <c r="NJ237"/>
      <c r="NK237"/>
      <c r="NL237"/>
      <c r="NM237"/>
      <c r="NN237"/>
      <c r="NO237"/>
      <c r="NP237"/>
      <c r="NQ237"/>
      <c r="NR237"/>
      <c r="NS237"/>
      <c r="NT237"/>
      <c r="NU237"/>
      <c r="NV237"/>
      <c r="NW237"/>
      <c r="NX237"/>
      <c r="NY237"/>
      <c r="NZ237"/>
      <c r="OA237"/>
      <c r="OB237"/>
      <c r="OC237"/>
      <c r="OD237"/>
      <c r="OE237"/>
      <c r="OF237"/>
      <c r="OG237"/>
      <c r="OH237"/>
      <c r="OI237"/>
      <c r="OJ237"/>
      <c r="OK237"/>
      <c r="OL237"/>
      <c r="OM237"/>
      <c r="ON237"/>
      <c r="OO237"/>
      <c r="OP237"/>
      <c r="OQ237"/>
      <c r="OR237"/>
      <c r="OS237"/>
      <c r="OT237"/>
      <c r="OU237"/>
      <c r="OV237"/>
      <c r="OW237"/>
      <c r="OX237"/>
      <c r="OY237"/>
      <c r="OZ237"/>
      <c r="PA237"/>
      <c r="PB237"/>
      <c r="PC237"/>
      <c r="PD237"/>
      <c r="PE237"/>
      <c r="PF237"/>
      <c r="PG237"/>
      <c r="PH237"/>
      <c r="PI237"/>
      <c r="PJ237"/>
      <c r="PK237"/>
      <c r="PL237"/>
      <c r="PM237"/>
      <c r="PN237"/>
      <c r="PO237"/>
      <c r="PP237"/>
      <c r="PQ237"/>
      <c r="PR237"/>
      <c r="PS237"/>
      <c r="PT237"/>
      <c r="PU237"/>
      <c r="PV237"/>
      <c r="PW237"/>
      <c r="PX237"/>
      <c r="PY237"/>
      <c r="PZ237"/>
      <c r="QA237"/>
      <c r="QB237"/>
      <c r="QC237"/>
      <c r="QD237"/>
      <c r="QE237"/>
      <c r="QF237"/>
      <c r="QG237"/>
      <c r="QH237"/>
      <c r="QI237"/>
      <c r="QJ237"/>
      <c r="QK237"/>
      <c r="QL237"/>
      <c r="QM237"/>
      <c r="QN237"/>
      <c r="QO237"/>
      <c r="QP237"/>
      <c r="QQ237"/>
      <c r="QR237"/>
      <c r="QS237"/>
      <c r="QT237"/>
      <c r="QU237"/>
      <c r="QV237"/>
      <c r="QW237"/>
      <c r="QX237"/>
      <c r="QY237"/>
      <c r="QZ237"/>
      <c r="RA237"/>
      <c r="RB237"/>
      <c r="RC237"/>
      <c r="RD237"/>
      <c r="RE237"/>
      <c r="RF237"/>
      <c r="RG237"/>
      <c r="RH237"/>
      <c r="RI237"/>
      <c r="RJ237"/>
      <c r="RK237"/>
      <c r="RL237"/>
      <c r="RM237"/>
      <c r="RN237"/>
      <c r="RO237"/>
      <c r="RP237"/>
      <c r="RQ237"/>
      <c r="RR237"/>
      <c r="RS237"/>
      <c r="RT237"/>
      <c r="RU237"/>
      <c r="RV237"/>
      <c r="RW237"/>
      <c r="RX237"/>
      <c r="RY237"/>
      <c r="RZ237"/>
      <c r="SA237"/>
      <c r="SB237"/>
      <c r="SC237"/>
      <c r="SD237"/>
      <c r="SE237"/>
      <c r="SF237"/>
      <c r="SG237"/>
      <c r="SH237"/>
      <c r="SI237"/>
      <c r="SJ237"/>
      <c r="SK237"/>
      <c r="SL237"/>
      <c r="SM237"/>
      <c r="SN237"/>
      <c r="SO237"/>
      <c r="SP237"/>
      <c r="SQ237"/>
      <c r="SR237"/>
      <c r="SS237"/>
      <c r="ST237"/>
      <c r="SU237"/>
      <c r="SV237"/>
      <c r="SW237"/>
      <c r="SX237"/>
      <c r="SY237"/>
      <c r="SZ237"/>
      <c r="TA237"/>
      <c r="TB237"/>
      <c r="TC237"/>
      <c r="TD237"/>
      <c r="TE237"/>
      <c r="TF237"/>
      <c r="TG237"/>
      <c r="TH237"/>
      <c r="TI237"/>
      <c r="TJ237"/>
      <c r="TK237"/>
      <c r="TL237"/>
      <c r="TM237"/>
      <c r="TN237"/>
      <c r="TO237"/>
      <c r="TP237"/>
      <c r="TQ237"/>
      <c r="TR237"/>
      <c r="TS237"/>
      <c r="TT237"/>
      <c r="TU237"/>
      <c r="TV237"/>
      <c r="TW237"/>
      <c r="TX237"/>
      <c r="TY237"/>
      <c r="TZ237"/>
      <c r="UA237"/>
      <c r="UB237"/>
      <c r="UC237"/>
      <c r="UD237"/>
      <c r="UE237"/>
      <c r="UF237"/>
      <c r="UG237"/>
      <c r="UH237"/>
      <c r="UI237"/>
      <c r="UJ237"/>
      <c r="UK237"/>
      <c r="UL237"/>
      <c r="UM237"/>
      <c r="UN237"/>
      <c r="UO237"/>
      <c r="UP237"/>
      <c r="UQ237"/>
      <c r="UR237"/>
      <c r="US237"/>
      <c r="UT237"/>
      <c r="UU237"/>
      <c r="UV237"/>
      <c r="UW237"/>
      <c r="UX237"/>
      <c r="UY237"/>
      <c r="UZ237"/>
      <c r="VA237"/>
      <c r="VB237"/>
      <c r="VC237"/>
      <c r="VD237"/>
      <c r="VE237"/>
      <c r="VF237"/>
      <c r="VG237"/>
      <c r="VH237"/>
      <c r="VI237"/>
      <c r="VJ237"/>
      <c r="VK237"/>
      <c r="VL237"/>
      <c r="VM237"/>
      <c r="VN237"/>
      <c r="VO237"/>
      <c r="VP237"/>
      <c r="VQ237"/>
      <c r="VR237"/>
      <c r="VS237"/>
      <c r="VT237"/>
      <c r="VU237"/>
      <c r="VV237"/>
      <c r="VW237"/>
      <c r="VX237"/>
      <c r="VY237"/>
      <c r="VZ237"/>
      <c r="WA237"/>
      <c r="WB237"/>
      <c r="WC237"/>
      <c r="WD237"/>
      <c r="WE237"/>
      <c r="WF237"/>
      <c r="WG237"/>
      <c r="WH237"/>
      <c r="WI237"/>
      <c r="WJ237"/>
      <c r="WK237"/>
      <c r="WL237"/>
      <c r="WM237"/>
      <c r="WN237"/>
      <c r="WO237"/>
      <c r="WP237"/>
      <c r="WQ237"/>
      <c r="WR237"/>
      <c r="WS237"/>
      <c r="WT237"/>
      <c r="WU237"/>
      <c r="WV237"/>
      <c r="WW237"/>
      <c r="WX237"/>
      <c r="WY237"/>
      <c r="WZ237"/>
      <c r="XA237"/>
      <c r="XB237"/>
      <c r="XC237"/>
      <c r="XD237"/>
      <c r="XE237"/>
      <c r="XF237"/>
      <c r="XG237"/>
      <c r="XH237"/>
      <c r="XI237"/>
      <c r="XJ237"/>
      <c r="XK237"/>
      <c r="XL237"/>
      <c r="XM237"/>
      <c r="XN237"/>
      <c r="XO237"/>
      <c r="XP237"/>
      <c r="XQ237"/>
      <c r="XR237"/>
      <c r="XS237"/>
      <c r="XT237"/>
      <c r="XU237"/>
      <c r="XV237"/>
      <c r="XW237"/>
      <c r="XX237"/>
      <c r="XY237"/>
      <c r="XZ237"/>
      <c r="YA237"/>
      <c r="YB237"/>
      <c r="YC237"/>
      <c r="YD237"/>
      <c r="YE237"/>
      <c r="YF237"/>
      <c r="YG237"/>
      <c r="YH237"/>
      <c r="YI237"/>
      <c r="YJ237"/>
      <c r="YK237"/>
      <c r="YL237"/>
      <c r="YM237"/>
      <c r="YN237"/>
      <c r="YO237"/>
      <c r="YP237"/>
      <c r="YQ237"/>
      <c r="YR237"/>
      <c r="YS237"/>
      <c r="YT237"/>
      <c r="YU237"/>
      <c r="YV237"/>
      <c r="YW237"/>
      <c r="YX237"/>
      <c r="YY237"/>
      <c r="YZ237"/>
      <c r="ZA237"/>
      <c r="ZB237"/>
      <c r="ZC237"/>
      <c r="ZD237"/>
      <c r="ZE237"/>
      <c r="ZF237"/>
      <c r="ZG237"/>
      <c r="ZH237"/>
      <c r="ZI237"/>
      <c r="ZJ237"/>
      <c r="ZK237"/>
      <c r="ZL237"/>
      <c r="ZM237"/>
      <c r="ZN237"/>
      <c r="ZO237"/>
      <c r="ZP237"/>
      <c r="ZQ237"/>
      <c r="ZR237"/>
      <c r="ZS237"/>
      <c r="ZT237"/>
      <c r="ZU237"/>
      <c r="ZV237"/>
      <c r="ZW237"/>
      <c r="ZX237"/>
      <c r="ZY237"/>
      <c r="ZZ237"/>
      <c r="AAA237"/>
      <c r="AAB237"/>
      <c r="AAC237"/>
      <c r="AAD237"/>
      <c r="AAE237"/>
      <c r="AAF237"/>
      <c r="AAG237"/>
      <c r="AAH237"/>
      <c r="AAI237"/>
      <c r="AAJ237"/>
      <c r="AAK237"/>
      <c r="AAL237"/>
      <c r="AAM237"/>
      <c r="AAN237"/>
      <c r="AAO237"/>
      <c r="AAP237"/>
      <c r="AAQ237"/>
      <c r="AAR237"/>
      <c r="AAS237"/>
      <c r="AAT237"/>
      <c r="AAU237"/>
      <c r="AAV237"/>
      <c r="AAW237"/>
      <c r="AAX237"/>
      <c r="AAY237"/>
      <c r="AAZ237"/>
      <c r="ABA237"/>
      <c r="ABB237"/>
      <c r="ABC237"/>
      <c r="ABD237"/>
      <c r="ABE237"/>
      <c r="ABF237"/>
      <c r="ABG237"/>
      <c r="ABH237"/>
      <c r="ABI237"/>
      <c r="ABJ237"/>
      <c r="ABK237"/>
      <c r="ABL237"/>
      <c r="ABM237"/>
      <c r="ABN237"/>
      <c r="ABO237"/>
      <c r="ABP237"/>
      <c r="ABQ237"/>
      <c r="ABR237"/>
      <c r="ABS237"/>
      <c r="ABT237"/>
      <c r="ABU237"/>
      <c r="ABV237"/>
      <c r="ABW237"/>
      <c r="ABX237"/>
      <c r="ABY237"/>
      <c r="ABZ237"/>
      <c r="ACA237"/>
      <c r="ACB237"/>
      <c r="ACC237"/>
      <c r="ACD237"/>
      <c r="ACE237"/>
      <c r="ACF237"/>
      <c r="ACG237"/>
      <c r="ACH237"/>
      <c r="ACI237"/>
      <c r="ACJ237"/>
      <c r="ACK237"/>
      <c r="ACL237"/>
      <c r="ACM237"/>
      <c r="ACN237"/>
      <c r="ACO237"/>
      <c r="ACP237"/>
      <c r="ACQ237"/>
      <c r="ACR237"/>
      <c r="ACS237"/>
      <c r="ACT237"/>
      <c r="ACU237"/>
      <c r="ACV237"/>
      <c r="ACW237"/>
      <c r="ACX237"/>
      <c r="ACY237"/>
      <c r="ACZ237"/>
      <c r="ADA237"/>
      <c r="ADB237"/>
      <c r="ADC237"/>
      <c r="ADD237"/>
      <c r="ADE237"/>
      <c r="ADF237"/>
      <c r="ADG237"/>
      <c r="ADH237"/>
      <c r="ADI237"/>
      <c r="ADJ237"/>
      <c r="ADK237"/>
      <c r="ADL237"/>
      <c r="ADM237"/>
      <c r="ADN237"/>
      <c r="ADO237"/>
      <c r="ADP237"/>
      <c r="ADQ237"/>
      <c r="ADR237"/>
      <c r="ADS237"/>
      <c r="ADT237"/>
      <c r="ADU237"/>
      <c r="ADV237"/>
      <c r="ADW237"/>
      <c r="ADX237"/>
      <c r="ADY237"/>
      <c r="ADZ237"/>
      <c r="AEA237"/>
      <c r="AEB237"/>
      <c r="AEC237"/>
      <c r="AED237"/>
      <c r="AEE237"/>
      <c r="AEF237"/>
      <c r="AEG237"/>
      <c r="AEH237"/>
      <c r="AEI237"/>
      <c r="AEJ237"/>
      <c r="AEK237"/>
      <c r="AEL237"/>
      <c r="AEM237"/>
      <c r="AEN237"/>
      <c r="AEO237"/>
      <c r="AEP237"/>
      <c r="AEQ237"/>
      <c r="AER237"/>
      <c r="AES237"/>
      <c r="AET237"/>
      <c r="AEU237"/>
      <c r="AEV237"/>
      <c r="AEW237"/>
      <c r="AEX237"/>
      <c r="AEY237"/>
      <c r="AEZ237"/>
      <c r="AFA237"/>
      <c r="AFB237"/>
      <c r="AFC237"/>
      <c r="AFD237"/>
      <c r="AFE237"/>
      <c r="AFF237"/>
      <c r="AFG237"/>
      <c r="AFH237"/>
      <c r="AFI237"/>
      <c r="AFJ237"/>
      <c r="AFK237"/>
      <c r="AFL237"/>
      <c r="AFM237"/>
      <c r="AFN237"/>
      <c r="AFO237"/>
      <c r="AFP237"/>
      <c r="AFQ237"/>
      <c r="AFR237"/>
      <c r="AFS237"/>
      <c r="AFT237"/>
      <c r="AFU237"/>
      <c r="AFV237"/>
      <c r="AFW237"/>
      <c r="AFX237"/>
      <c r="AFY237"/>
      <c r="AFZ237"/>
      <c r="AGA237"/>
      <c r="AGB237"/>
      <c r="AGC237"/>
      <c r="AGD237"/>
      <c r="AGE237"/>
      <c r="AGF237"/>
      <c r="AGG237"/>
      <c r="AGH237"/>
      <c r="AGI237"/>
      <c r="AGJ237"/>
      <c r="AGK237"/>
      <c r="AGL237"/>
      <c r="AGM237"/>
      <c r="AGN237"/>
      <c r="AGO237"/>
      <c r="AGP237"/>
      <c r="AGQ237"/>
      <c r="AGR237"/>
      <c r="AGS237"/>
      <c r="AGT237"/>
      <c r="AGU237"/>
      <c r="AGV237"/>
      <c r="AGW237"/>
      <c r="AGX237"/>
      <c r="AGY237"/>
      <c r="AGZ237"/>
      <c r="AHA237"/>
      <c r="AHB237"/>
      <c r="AHC237"/>
      <c r="AHD237"/>
      <c r="AHE237"/>
      <c r="AHF237"/>
      <c r="AHG237"/>
      <c r="AHH237"/>
      <c r="AHI237"/>
      <c r="AHJ237"/>
      <c r="AHK237"/>
      <c r="AHL237"/>
      <c r="AHM237"/>
      <c r="AHN237"/>
      <c r="AHO237"/>
      <c r="AHP237"/>
      <c r="AHQ237"/>
      <c r="AHR237"/>
      <c r="AHS237"/>
      <c r="AHT237"/>
      <c r="AHU237"/>
      <c r="AHV237"/>
      <c r="AHW237"/>
      <c r="AHX237"/>
      <c r="AHY237"/>
      <c r="AHZ237"/>
      <c r="AIA237"/>
      <c r="AIB237"/>
      <c r="AIC237"/>
      <c r="AID237"/>
      <c r="AIE237"/>
      <c r="AIF237"/>
      <c r="AIG237"/>
      <c r="AIH237"/>
      <c r="AII237"/>
      <c r="AIJ237"/>
      <c r="AIK237"/>
      <c r="AIL237"/>
      <c r="AIM237"/>
      <c r="AIN237"/>
      <c r="AIO237"/>
      <c r="AIP237"/>
      <c r="AIQ237"/>
      <c r="AIR237"/>
      <c r="AIS237"/>
      <c r="AIT237"/>
      <c r="AIU237"/>
      <c r="AIV237"/>
      <c r="AIW237"/>
      <c r="AIX237"/>
      <c r="AIY237"/>
      <c r="AIZ237"/>
      <c r="AJA237"/>
      <c r="AJB237"/>
      <c r="AJC237"/>
      <c r="AJD237"/>
      <c r="AJE237"/>
      <c r="AJF237"/>
      <c r="AJG237"/>
      <c r="AJH237"/>
      <c r="AJI237"/>
      <c r="AJJ237"/>
      <c r="AJK237"/>
      <c r="AJL237"/>
      <c r="AJM237"/>
      <c r="AJN237"/>
      <c r="AJO237"/>
      <c r="AJP237"/>
      <c r="AJQ237"/>
      <c r="AJR237"/>
      <c r="AJS237"/>
      <c r="AJT237"/>
      <c r="AJU237"/>
      <c r="AJV237"/>
      <c r="AJW237"/>
      <c r="AJX237"/>
      <c r="AJY237"/>
      <c r="AJZ237"/>
      <c r="AKA237"/>
      <c r="AKB237"/>
      <c r="AKC237"/>
      <c r="AKD237"/>
      <c r="AKE237"/>
      <c r="AKF237"/>
      <c r="AKG237"/>
      <c r="AKH237"/>
      <c r="AKI237"/>
      <c r="AKJ237"/>
      <c r="AKK237"/>
      <c r="AKL237"/>
      <c r="AKM237"/>
      <c r="AKN237"/>
      <c r="AKO237"/>
      <c r="AKP237"/>
      <c r="AKQ237"/>
      <c r="AKR237"/>
      <c r="AKS237"/>
      <c r="AKT237"/>
      <c r="AKU237"/>
      <c r="AKV237"/>
      <c r="AKW237"/>
      <c r="AKX237"/>
      <c r="AKY237"/>
      <c r="AKZ237"/>
      <c r="ALA237"/>
      <c r="ALB237"/>
      <c r="ALC237"/>
      <c r="ALD237"/>
      <c r="ALE237"/>
      <c r="ALF237"/>
      <c r="ALG237"/>
      <c r="ALH237"/>
      <c r="ALI237"/>
      <c r="ALJ237"/>
      <c r="ALK237"/>
      <c r="ALL237"/>
      <c r="ALM237"/>
      <c r="ALN237"/>
      <c r="ALO237"/>
      <c r="ALP237"/>
      <c r="ALQ237"/>
      <c r="ALR237"/>
      <c r="ALS237"/>
      <c r="ALT237"/>
      <c r="ALU237"/>
      <c r="ALV237"/>
      <c r="ALW237"/>
      <c r="ALX237"/>
      <c r="ALY237"/>
      <c r="ALZ237"/>
      <c r="AMA237"/>
      <c r="AMB237"/>
      <c r="AMC237"/>
      <c r="AMD237"/>
      <c r="AME237"/>
      <c r="AMF237"/>
      <c r="AMG237"/>
      <c r="AMH237"/>
      <c r="AMI237"/>
      <c r="AMJ237"/>
      <c r="AMK237"/>
      <c r="AML237"/>
      <c r="AMM237"/>
      <c r="AMN237"/>
      <c r="AMO237"/>
      <c r="AMP237"/>
      <c r="AMQ237"/>
      <c r="AMR237"/>
      <c r="AMS237"/>
      <c r="AMT237"/>
      <c r="AMU237"/>
      <c r="AMV237"/>
      <c r="AMW237"/>
      <c r="AMX237"/>
      <c r="AMY237"/>
      <c r="AMZ237"/>
      <c r="ANA237"/>
      <c r="ANB237"/>
      <c r="ANC237"/>
      <c r="AND237"/>
      <c r="ANE237"/>
      <c r="ANF237"/>
      <c r="ANG237"/>
      <c r="ANH237"/>
      <c r="ANI237"/>
      <c r="ANJ237"/>
      <c r="ANK237"/>
      <c r="ANL237"/>
      <c r="ANM237"/>
      <c r="ANN237"/>
      <c r="ANO237"/>
      <c r="ANP237"/>
      <c r="ANQ237"/>
      <c r="ANR237"/>
      <c r="ANS237"/>
      <c r="ANT237"/>
      <c r="ANU237"/>
      <c r="ANV237"/>
      <c r="ANW237"/>
      <c r="ANX237"/>
      <c r="ANY237"/>
      <c r="ANZ237"/>
      <c r="AOA237"/>
      <c r="AOB237"/>
      <c r="AOC237"/>
      <c r="AOD237"/>
      <c r="AOE237"/>
      <c r="AOF237"/>
      <c r="AOG237"/>
      <c r="AOH237"/>
      <c r="AOI237"/>
      <c r="AOJ237"/>
      <c r="AOK237"/>
      <c r="AOL237"/>
      <c r="AOM237"/>
      <c r="AON237"/>
      <c r="AOO237"/>
      <c r="AOP237"/>
      <c r="AOQ237"/>
      <c r="AOR237"/>
      <c r="AOS237"/>
      <c r="AOT237"/>
      <c r="AOU237"/>
      <c r="AOV237"/>
      <c r="AOW237"/>
      <c r="AOX237"/>
      <c r="AOY237"/>
      <c r="AOZ237"/>
      <c r="APA237"/>
      <c r="APB237"/>
      <c r="APC237"/>
      <c r="APD237"/>
      <c r="APE237"/>
      <c r="APF237"/>
      <c r="APG237"/>
      <c r="APH237"/>
      <c r="API237"/>
      <c r="APJ237"/>
      <c r="APK237"/>
      <c r="APL237"/>
      <c r="APM237"/>
      <c r="APN237"/>
      <c r="APO237"/>
      <c r="APP237"/>
      <c r="APQ237"/>
      <c r="APR237"/>
      <c r="APS237"/>
      <c r="APT237"/>
      <c r="APU237"/>
      <c r="APV237"/>
      <c r="APW237"/>
      <c r="APX237"/>
      <c r="APY237"/>
      <c r="APZ237"/>
      <c r="AQA237"/>
      <c r="AQB237"/>
      <c r="AQC237"/>
      <c r="AQD237"/>
      <c r="AQE237"/>
      <c r="AQF237"/>
      <c r="AQG237"/>
      <c r="AQH237"/>
      <c r="AQI237"/>
      <c r="AQJ237"/>
      <c r="AQK237"/>
      <c r="AQL237"/>
      <c r="AQM237"/>
      <c r="AQN237"/>
      <c r="AQO237"/>
      <c r="AQP237"/>
      <c r="AQQ237"/>
      <c r="AQR237"/>
      <c r="AQS237"/>
      <c r="AQT237"/>
      <c r="AQU237"/>
      <c r="AQV237"/>
      <c r="AQW237"/>
      <c r="AQX237"/>
      <c r="AQY237"/>
      <c r="AQZ237"/>
      <c r="ARA237"/>
      <c r="ARB237"/>
      <c r="ARC237"/>
      <c r="ARD237"/>
      <c r="ARE237"/>
      <c r="ARF237"/>
      <c r="ARG237"/>
      <c r="ARH237"/>
      <c r="ARI237"/>
      <c r="ARJ237"/>
      <c r="ARK237"/>
      <c r="ARL237"/>
      <c r="ARM237"/>
      <c r="ARN237"/>
      <c r="ARO237"/>
      <c r="ARP237"/>
      <c r="ARQ237"/>
      <c r="ARR237"/>
      <c r="ARS237"/>
      <c r="ART237"/>
      <c r="ARU237"/>
      <c r="ARV237"/>
      <c r="ARW237"/>
      <c r="ARX237"/>
      <c r="ARY237"/>
      <c r="ARZ237"/>
      <c r="ASA237"/>
      <c r="ASB237"/>
      <c r="ASC237"/>
      <c r="ASD237"/>
      <c r="ASE237"/>
      <c r="ASF237"/>
      <c r="ASG237"/>
      <c r="ASH237"/>
      <c r="ASI237"/>
      <c r="ASJ237"/>
      <c r="ASK237"/>
      <c r="ASL237"/>
      <c r="ASM237"/>
      <c r="ASN237"/>
      <c r="ASO237"/>
      <c r="ASP237"/>
      <c r="ASQ237"/>
      <c r="ASR237"/>
      <c r="ASS237"/>
      <c r="AST237"/>
      <c r="ASU237"/>
      <c r="ASV237"/>
      <c r="ASW237"/>
      <c r="ASX237"/>
      <c r="ASY237"/>
      <c r="ASZ237"/>
      <c r="ATA237"/>
      <c r="ATB237"/>
      <c r="ATC237"/>
      <c r="ATD237"/>
      <c r="ATE237"/>
      <c r="ATF237"/>
      <c r="ATG237"/>
      <c r="ATH237"/>
      <c r="ATI237"/>
      <c r="ATJ237"/>
      <c r="ATK237"/>
      <c r="ATL237"/>
      <c r="ATM237"/>
      <c r="ATN237"/>
      <c r="ATO237"/>
      <c r="ATP237"/>
      <c r="ATQ237"/>
      <c r="ATR237"/>
      <c r="ATS237"/>
      <c r="ATT237"/>
      <c r="ATU237"/>
      <c r="ATV237"/>
      <c r="ATW237"/>
      <c r="ATX237"/>
      <c r="ATY237"/>
      <c r="ATZ237"/>
      <c r="AUA237"/>
      <c r="AUB237"/>
      <c r="AUC237"/>
      <c r="AUD237"/>
      <c r="AUE237"/>
      <c r="AUF237"/>
      <c r="AUG237"/>
      <c r="AUH237"/>
      <c r="AUI237"/>
      <c r="AUJ237"/>
      <c r="AUK237"/>
      <c r="AUL237"/>
      <c r="AUM237"/>
      <c r="AUN237"/>
      <c r="AUO237"/>
      <c r="AUP237"/>
      <c r="AUQ237"/>
      <c r="AUR237"/>
      <c r="AUS237"/>
      <c r="AUT237"/>
      <c r="AUU237"/>
      <c r="AUV237"/>
      <c r="AUW237"/>
      <c r="AUX237"/>
      <c r="AUY237"/>
      <c r="AUZ237"/>
      <c r="AVA237"/>
      <c r="AVB237"/>
      <c r="AVC237"/>
      <c r="AVD237"/>
      <c r="AVE237"/>
      <c r="AVF237"/>
      <c r="AVG237"/>
      <c r="AVH237"/>
      <c r="AVI237"/>
      <c r="AVJ237"/>
      <c r="AVK237"/>
      <c r="AVL237"/>
      <c r="AVM237"/>
      <c r="AVN237"/>
      <c r="AVO237"/>
      <c r="AVP237"/>
      <c r="AVQ237"/>
      <c r="AVR237"/>
      <c r="AVS237"/>
      <c r="AVT237"/>
      <c r="AVU237"/>
      <c r="AVV237"/>
      <c r="AVW237"/>
      <c r="AVX237"/>
      <c r="AVY237"/>
      <c r="AVZ237"/>
      <c r="AWA237"/>
      <c r="AWB237"/>
      <c r="AWC237"/>
      <c r="AWD237"/>
      <c r="AWE237"/>
      <c r="AWF237"/>
      <c r="AWG237"/>
      <c r="AWH237"/>
      <c r="AWI237"/>
      <c r="AWJ237"/>
      <c r="AWK237"/>
      <c r="AWL237"/>
      <c r="AWM237"/>
      <c r="AWN237"/>
      <c r="AWO237"/>
      <c r="AWP237"/>
      <c r="AWQ237"/>
      <c r="AWR237"/>
      <c r="AWS237"/>
      <c r="AWT237"/>
      <c r="AWU237"/>
      <c r="AWV237"/>
      <c r="AWW237"/>
      <c r="AWX237"/>
      <c r="AWY237"/>
      <c r="AWZ237"/>
      <c r="AXA237"/>
      <c r="AXB237"/>
      <c r="AXC237"/>
      <c r="AXD237"/>
      <c r="AXE237"/>
      <c r="AXF237"/>
      <c r="AXG237"/>
      <c r="AXH237"/>
      <c r="AXI237"/>
      <c r="AXJ237"/>
      <c r="AXK237"/>
      <c r="AXL237"/>
      <c r="AXM237"/>
      <c r="AXN237"/>
      <c r="AXO237"/>
      <c r="AXP237"/>
      <c r="AXQ237"/>
      <c r="AXR237"/>
      <c r="AXS237"/>
      <c r="AXT237"/>
      <c r="AXU237"/>
      <c r="AXV237"/>
      <c r="AXW237"/>
      <c r="AXX237"/>
      <c r="AXY237"/>
      <c r="AXZ237"/>
      <c r="AYA237"/>
      <c r="AYB237"/>
      <c r="AYC237"/>
      <c r="AYD237"/>
      <c r="AYE237"/>
      <c r="AYF237"/>
      <c r="AYG237"/>
      <c r="AYH237"/>
      <c r="AYI237"/>
      <c r="AYJ237"/>
      <c r="AYK237"/>
      <c r="AYL237"/>
      <c r="AYM237"/>
      <c r="AYN237"/>
      <c r="AYO237"/>
      <c r="AYP237"/>
      <c r="AYQ237"/>
      <c r="AYR237"/>
      <c r="AYS237"/>
      <c r="AYT237"/>
      <c r="AYU237"/>
      <c r="AYV237"/>
      <c r="AYW237"/>
      <c r="AYX237"/>
      <c r="AYY237"/>
      <c r="AYZ237"/>
      <c r="AZA237"/>
      <c r="AZB237"/>
      <c r="AZC237"/>
      <c r="AZD237"/>
      <c r="AZE237"/>
      <c r="AZF237"/>
      <c r="AZG237"/>
      <c r="AZH237"/>
      <c r="AZI237"/>
      <c r="AZJ237"/>
      <c r="AZK237"/>
      <c r="AZL237"/>
      <c r="AZM237"/>
      <c r="AZN237"/>
      <c r="AZO237"/>
      <c r="AZP237"/>
      <c r="AZQ237"/>
      <c r="AZR237"/>
      <c r="AZS237"/>
      <c r="AZT237"/>
      <c r="AZU237"/>
      <c r="AZV237"/>
      <c r="AZW237"/>
      <c r="AZX237"/>
      <c r="AZY237"/>
      <c r="AZZ237"/>
      <c r="BAA237"/>
      <c r="BAB237"/>
      <c r="BAC237"/>
      <c r="BAD237"/>
      <c r="BAE237"/>
      <c r="BAF237"/>
      <c r="BAG237"/>
      <c r="BAH237"/>
      <c r="BAI237"/>
      <c r="BAJ237"/>
      <c r="BAK237"/>
      <c r="BAL237"/>
      <c r="BAM237"/>
      <c r="BAN237"/>
      <c r="BAO237"/>
      <c r="BAP237"/>
      <c r="BAQ237"/>
      <c r="BAR237"/>
      <c r="BAS237"/>
      <c r="BAT237"/>
      <c r="BAU237"/>
      <c r="BAV237"/>
      <c r="BAW237"/>
      <c r="BAX237"/>
      <c r="BAY237"/>
      <c r="BAZ237"/>
      <c r="BBA237"/>
      <c r="BBB237"/>
      <c r="BBC237"/>
      <c r="BBD237"/>
      <c r="BBE237"/>
      <c r="BBF237"/>
      <c r="BBG237"/>
      <c r="BBH237"/>
      <c r="BBI237"/>
      <c r="BBJ237"/>
      <c r="BBK237"/>
      <c r="BBL237"/>
      <c r="BBM237"/>
      <c r="BBN237"/>
      <c r="BBO237"/>
      <c r="BBP237"/>
      <c r="BBQ237"/>
      <c r="BBR237"/>
      <c r="BBS237"/>
      <c r="BBT237"/>
      <c r="BBU237"/>
      <c r="BBV237"/>
      <c r="BBW237"/>
      <c r="BBX237"/>
      <c r="BBY237"/>
      <c r="BBZ237"/>
      <c r="BCA237"/>
      <c r="BCB237"/>
      <c r="BCC237"/>
      <c r="BCD237"/>
      <c r="BCE237"/>
      <c r="BCF237"/>
      <c r="BCG237"/>
      <c r="BCH237"/>
      <c r="BCI237"/>
      <c r="BCJ237"/>
      <c r="BCK237"/>
      <c r="BCL237"/>
      <c r="BCM237"/>
      <c r="BCN237"/>
      <c r="BCO237"/>
      <c r="BCP237"/>
      <c r="BCQ237"/>
      <c r="BCR237"/>
      <c r="BCS237"/>
      <c r="BCT237"/>
      <c r="BCU237"/>
      <c r="BCV237"/>
      <c r="BCW237"/>
      <c r="BCX237"/>
      <c r="BCY237"/>
      <c r="BCZ237"/>
      <c r="BDA237"/>
      <c r="BDB237"/>
      <c r="BDC237"/>
      <c r="BDD237"/>
      <c r="BDE237"/>
      <c r="BDF237"/>
      <c r="BDG237"/>
      <c r="BDH237"/>
      <c r="BDI237"/>
      <c r="BDJ237"/>
      <c r="BDK237"/>
      <c r="BDL237"/>
      <c r="BDM237"/>
      <c r="BDN237"/>
      <c r="BDO237"/>
      <c r="BDP237"/>
      <c r="BDQ237"/>
      <c r="BDR237"/>
      <c r="BDS237"/>
      <c r="BDT237"/>
      <c r="BDU237"/>
      <c r="BDV237"/>
      <c r="BDW237"/>
      <c r="BDX237"/>
      <c r="BDY237"/>
      <c r="BDZ237"/>
      <c r="BEA237"/>
      <c r="BEB237"/>
      <c r="BEC237"/>
      <c r="BED237"/>
      <c r="BEE237"/>
      <c r="BEF237"/>
      <c r="BEG237"/>
      <c r="BEH237"/>
      <c r="BEI237"/>
      <c r="BEJ237"/>
      <c r="BEK237"/>
      <c r="BEL237"/>
      <c r="BEM237"/>
      <c r="BEN237"/>
      <c r="BEO237"/>
      <c r="BEP237"/>
      <c r="BEQ237"/>
      <c r="BER237"/>
      <c r="BES237"/>
      <c r="BET237"/>
      <c r="BEU237"/>
      <c r="BEV237"/>
      <c r="BEW237"/>
      <c r="BEX237"/>
      <c r="BEY237"/>
      <c r="BEZ237"/>
      <c r="BFA237"/>
      <c r="BFB237"/>
      <c r="BFC237"/>
      <c r="BFD237"/>
      <c r="BFE237"/>
      <c r="BFF237"/>
      <c r="BFG237"/>
      <c r="BFH237"/>
      <c r="BFI237"/>
      <c r="BFJ237"/>
      <c r="BFK237"/>
      <c r="BFL237"/>
      <c r="BFM237"/>
      <c r="BFN237"/>
      <c r="BFO237"/>
      <c r="BFP237"/>
      <c r="BFQ237"/>
      <c r="BFR237"/>
      <c r="BFS237"/>
      <c r="BFT237"/>
      <c r="BFU237"/>
      <c r="BFV237"/>
      <c r="BFW237"/>
      <c r="BFX237"/>
      <c r="BFY237"/>
      <c r="BFZ237"/>
      <c r="BGA237"/>
      <c r="BGB237"/>
      <c r="BGC237"/>
      <c r="BGD237"/>
      <c r="BGE237"/>
      <c r="BGF237"/>
      <c r="BGG237"/>
      <c r="BGH237"/>
      <c r="BGI237"/>
      <c r="BGJ237"/>
      <c r="BGK237"/>
      <c r="BGL237"/>
      <c r="BGM237"/>
      <c r="BGN237"/>
      <c r="BGO237"/>
      <c r="BGP237"/>
      <c r="BGQ237"/>
      <c r="BGR237"/>
      <c r="BGS237"/>
      <c r="BGT237"/>
      <c r="BGU237"/>
      <c r="BGV237"/>
      <c r="BGW237"/>
      <c r="BGX237"/>
      <c r="BGY237"/>
      <c r="BGZ237"/>
      <c r="BHA237"/>
      <c r="BHB237"/>
      <c r="BHC237"/>
      <c r="BHD237"/>
      <c r="BHE237"/>
      <c r="BHF237"/>
      <c r="BHG237"/>
      <c r="BHH237"/>
      <c r="BHI237"/>
      <c r="BHJ237"/>
      <c r="BHK237"/>
      <c r="BHL237"/>
      <c r="BHM237"/>
      <c r="BHN237"/>
      <c r="BHO237"/>
      <c r="BHP237"/>
      <c r="BHQ237"/>
      <c r="BHR237"/>
      <c r="BHS237"/>
      <c r="BHT237"/>
      <c r="BHU237"/>
      <c r="BHV237"/>
      <c r="BHW237"/>
      <c r="BHX237"/>
      <c r="BHY237"/>
      <c r="BHZ237"/>
      <c r="BIA237"/>
      <c r="BIB237"/>
      <c r="BIC237"/>
      <c r="BID237"/>
      <c r="BIE237"/>
      <c r="BIF237"/>
      <c r="BIG237"/>
      <c r="BIH237"/>
      <c r="BII237"/>
      <c r="BIJ237"/>
      <c r="BIK237"/>
      <c r="BIL237"/>
      <c r="BIM237"/>
      <c r="BIN237"/>
      <c r="BIO237"/>
      <c r="BIP237"/>
      <c r="BIQ237"/>
      <c r="BIR237"/>
      <c r="BIS237"/>
      <c r="BIT237"/>
      <c r="BIU237"/>
      <c r="BIV237"/>
      <c r="BIW237"/>
      <c r="BIX237"/>
      <c r="BIY237"/>
      <c r="BIZ237"/>
      <c r="BJA237"/>
      <c r="BJB237"/>
      <c r="BJC237"/>
      <c r="BJD237"/>
      <c r="BJE237"/>
      <c r="BJF237"/>
      <c r="BJG237"/>
      <c r="BJH237"/>
      <c r="BJI237"/>
      <c r="BJJ237"/>
      <c r="BJK237"/>
      <c r="BJL237"/>
      <c r="BJM237"/>
      <c r="BJN237"/>
      <c r="BJO237"/>
      <c r="BJP237"/>
      <c r="BJQ237"/>
      <c r="BJR237"/>
      <c r="BJS237"/>
      <c r="BJT237"/>
      <c r="BJU237"/>
      <c r="BJV237"/>
      <c r="BJW237"/>
      <c r="BJX237"/>
      <c r="BJY237"/>
      <c r="BJZ237"/>
      <c r="BKA237"/>
      <c r="BKB237"/>
      <c r="BKC237"/>
      <c r="BKD237"/>
      <c r="BKE237"/>
      <c r="BKF237"/>
      <c r="BKG237"/>
      <c r="BKH237"/>
      <c r="BKI237"/>
      <c r="BKJ237"/>
      <c r="BKK237"/>
      <c r="BKL237"/>
      <c r="BKM237"/>
      <c r="BKN237"/>
      <c r="BKO237"/>
      <c r="BKP237"/>
      <c r="BKQ237"/>
      <c r="BKR237"/>
      <c r="BKS237"/>
      <c r="BKT237"/>
      <c r="BKU237"/>
      <c r="BKV237"/>
      <c r="BKW237"/>
      <c r="BKX237"/>
      <c r="BKY237"/>
      <c r="BKZ237"/>
      <c r="BLA237"/>
      <c r="BLB237"/>
      <c r="BLC237"/>
      <c r="BLD237"/>
      <c r="BLE237"/>
      <c r="BLF237"/>
      <c r="BLG237"/>
      <c r="BLH237"/>
      <c r="BLI237"/>
      <c r="BLJ237"/>
      <c r="BLK237"/>
      <c r="BLL237"/>
      <c r="BLM237"/>
      <c r="BLN237"/>
      <c r="BLO237"/>
      <c r="BLP237"/>
      <c r="BLQ237"/>
      <c r="BLR237"/>
      <c r="BLS237"/>
      <c r="BLT237"/>
      <c r="BLU237"/>
      <c r="BLV237"/>
      <c r="BLW237"/>
      <c r="BLX237"/>
      <c r="BLY237"/>
      <c r="BLZ237"/>
      <c r="BMA237"/>
      <c r="BMB237"/>
      <c r="BMC237"/>
      <c r="BMD237"/>
      <c r="BME237"/>
      <c r="BMF237"/>
      <c r="BMG237"/>
      <c r="BMH237"/>
      <c r="BMI237"/>
      <c r="BMJ237"/>
      <c r="BMK237"/>
      <c r="BML237"/>
      <c r="BMM237"/>
      <c r="BMN237"/>
      <c r="BMO237"/>
      <c r="BMP237"/>
      <c r="BMQ237"/>
      <c r="BMR237"/>
      <c r="BMS237"/>
      <c r="BMT237"/>
      <c r="BMU237"/>
      <c r="BMV237"/>
      <c r="BMW237"/>
      <c r="BMX237"/>
      <c r="BMY237"/>
      <c r="BMZ237"/>
      <c r="BNA237"/>
      <c r="BNB237"/>
      <c r="BNC237"/>
      <c r="BND237"/>
      <c r="BNE237"/>
      <c r="BNF237"/>
      <c r="BNG237"/>
      <c r="BNH237"/>
      <c r="BNI237"/>
      <c r="BNJ237"/>
      <c r="BNK237"/>
      <c r="BNL237"/>
      <c r="BNM237"/>
      <c r="BNN237"/>
      <c r="BNO237"/>
      <c r="BNP237"/>
      <c r="BNQ237"/>
      <c r="BNR237"/>
      <c r="BNS237"/>
      <c r="BNT237"/>
      <c r="BNU237"/>
      <c r="BNV237"/>
      <c r="BNW237"/>
      <c r="BNX237"/>
      <c r="BNY237"/>
      <c r="BNZ237"/>
      <c r="BOA237"/>
      <c r="BOB237"/>
      <c r="BOC237"/>
      <c r="BOD237"/>
      <c r="BOE237"/>
      <c r="BOF237"/>
      <c r="BOG237"/>
      <c r="BOH237"/>
      <c r="BOI237"/>
      <c r="BOJ237"/>
      <c r="BOK237"/>
      <c r="BOL237"/>
      <c r="BOM237"/>
      <c r="BON237"/>
      <c r="BOO237"/>
      <c r="BOP237"/>
      <c r="BOQ237"/>
      <c r="BOR237"/>
      <c r="BOS237"/>
      <c r="BOT237"/>
      <c r="BOU237"/>
      <c r="BOV237"/>
      <c r="BOW237"/>
      <c r="BOX237"/>
      <c r="BOY237"/>
      <c r="BOZ237"/>
      <c r="BPA237"/>
      <c r="BPB237"/>
      <c r="BPC237"/>
      <c r="BPD237"/>
      <c r="BPE237"/>
      <c r="BPF237"/>
      <c r="BPG237"/>
      <c r="BPH237"/>
      <c r="BPI237"/>
      <c r="BPJ237"/>
      <c r="BPK237"/>
      <c r="BPL237"/>
      <c r="BPM237"/>
      <c r="BPN237"/>
      <c r="BPO237"/>
      <c r="BPP237"/>
      <c r="BPQ237"/>
      <c r="BPR237"/>
      <c r="BPS237"/>
      <c r="BPT237"/>
      <c r="BPU237"/>
      <c r="BPV237"/>
      <c r="BPW237"/>
      <c r="BPX237"/>
      <c r="BPY237"/>
      <c r="BPZ237"/>
      <c r="BQA237"/>
      <c r="BQB237"/>
      <c r="BQC237"/>
      <c r="BQD237"/>
      <c r="BQE237"/>
      <c r="BQF237"/>
      <c r="BQG237"/>
      <c r="BQH237"/>
      <c r="BQI237"/>
      <c r="BQJ237"/>
      <c r="BQK237"/>
      <c r="BQL237"/>
      <c r="BQM237"/>
      <c r="BQN237"/>
      <c r="BQO237"/>
      <c r="BQP237"/>
      <c r="BQQ237"/>
      <c r="BQR237"/>
      <c r="BQS237"/>
      <c r="BQT237"/>
      <c r="BQU237"/>
      <c r="BQV237"/>
      <c r="BQW237"/>
      <c r="BQX237"/>
      <c r="BQY237"/>
      <c r="BQZ237"/>
      <c r="BRA237"/>
      <c r="BRB237"/>
      <c r="BRC237"/>
      <c r="BRD237"/>
      <c r="BRE237"/>
      <c r="BRF237"/>
      <c r="BRG237"/>
      <c r="BRH237"/>
      <c r="BRI237"/>
      <c r="BRJ237"/>
      <c r="BRK237"/>
      <c r="BRL237"/>
      <c r="BRM237"/>
      <c r="BRN237"/>
      <c r="BRO237"/>
      <c r="BRP237"/>
      <c r="BRQ237"/>
      <c r="BRR237"/>
      <c r="BRS237"/>
      <c r="BRT237"/>
      <c r="BRU237"/>
      <c r="BRV237"/>
      <c r="BRW237"/>
      <c r="BRX237"/>
      <c r="BRY237"/>
      <c r="BRZ237"/>
      <c r="BSA237"/>
      <c r="BSB237"/>
      <c r="BSC237"/>
      <c r="BSD237"/>
      <c r="BSE237"/>
      <c r="BSF237"/>
      <c r="BSG237"/>
      <c r="BSH237"/>
      <c r="BSI237"/>
      <c r="BSJ237"/>
      <c r="BSK237"/>
      <c r="BSL237"/>
      <c r="BSM237"/>
      <c r="BSN237"/>
      <c r="BSO237"/>
      <c r="BSP237"/>
      <c r="BSQ237"/>
      <c r="BSR237"/>
      <c r="BSS237"/>
      <c r="BST237"/>
      <c r="BSU237"/>
      <c r="BSV237"/>
      <c r="BSW237"/>
      <c r="BSX237"/>
      <c r="BSY237"/>
      <c r="BSZ237"/>
      <c r="BTA237"/>
      <c r="BTB237"/>
      <c r="BTC237"/>
      <c r="BTD237"/>
      <c r="BTE237"/>
      <c r="BTF237"/>
      <c r="BTG237"/>
      <c r="BTH237"/>
      <c r="BTI237"/>
      <c r="BTJ237"/>
      <c r="BTK237"/>
      <c r="BTL237"/>
      <c r="BTM237"/>
      <c r="BTN237"/>
      <c r="BTO237"/>
      <c r="BTP237"/>
      <c r="BTQ237"/>
      <c r="BTR237"/>
      <c r="BTS237"/>
      <c r="BTT237"/>
      <c r="BTU237"/>
      <c r="BTV237"/>
      <c r="BTW237"/>
      <c r="BTX237"/>
      <c r="BTY237"/>
      <c r="BTZ237"/>
      <c r="BUA237"/>
      <c r="BUB237"/>
      <c r="BUC237"/>
      <c r="BUD237"/>
      <c r="BUE237"/>
      <c r="BUF237"/>
      <c r="BUG237"/>
      <c r="BUH237"/>
      <c r="BUI237"/>
      <c r="BUJ237"/>
      <c r="BUK237"/>
      <c r="BUL237"/>
      <c r="BUM237"/>
      <c r="BUN237"/>
      <c r="BUO237"/>
      <c r="BUP237"/>
      <c r="BUQ237"/>
      <c r="BUR237"/>
      <c r="BUS237"/>
      <c r="BUT237"/>
      <c r="BUU237"/>
      <c r="BUV237"/>
      <c r="BUW237"/>
      <c r="BUX237"/>
      <c r="BUY237"/>
      <c r="BUZ237"/>
      <c r="BVA237"/>
      <c r="BVB237"/>
      <c r="BVC237"/>
      <c r="BVD237"/>
      <c r="BVE237"/>
      <c r="BVF237"/>
      <c r="BVG237"/>
      <c r="BVH237"/>
      <c r="BVI237"/>
      <c r="BVJ237"/>
      <c r="BVK237"/>
      <c r="BVL237"/>
      <c r="BVM237"/>
      <c r="BVN237"/>
      <c r="BVO237"/>
      <c r="BVP237"/>
      <c r="BVQ237"/>
      <c r="BVR237"/>
      <c r="BVS237"/>
      <c r="BVT237"/>
      <c r="BVU237"/>
      <c r="BVV237"/>
      <c r="BVW237"/>
      <c r="BVX237"/>
      <c r="BVY237"/>
      <c r="BVZ237"/>
      <c r="BWA237"/>
      <c r="BWB237"/>
      <c r="BWC237"/>
      <c r="BWD237"/>
      <c r="BWE237"/>
      <c r="BWF237"/>
      <c r="BWG237"/>
      <c r="BWH237"/>
      <c r="BWI237"/>
      <c r="BWJ237"/>
      <c r="BWK237"/>
      <c r="BWL237"/>
      <c r="BWM237"/>
      <c r="BWN237"/>
      <c r="BWO237"/>
      <c r="BWP237"/>
      <c r="BWQ237"/>
      <c r="BWR237"/>
      <c r="BWS237"/>
      <c r="BWT237"/>
      <c r="BWU237"/>
      <c r="BWV237"/>
      <c r="BWW237"/>
      <c r="BWX237"/>
      <c r="BWY237"/>
      <c r="BWZ237"/>
      <c r="BXA237"/>
      <c r="BXB237"/>
      <c r="BXC237"/>
      <c r="BXD237"/>
      <c r="BXE237"/>
      <c r="BXF237"/>
      <c r="BXG237"/>
      <c r="BXH237"/>
      <c r="BXI237"/>
      <c r="BXJ237"/>
      <c r="BXK237"/>
      <c r="BXL237"/>
      <c r="BXM237"/>
      <c r="BXN237"/>
      <c r="BXO237"/>
      <c r="BXP237"/>
      <c r="BXQ237"/>
      <c r="BXR237"/>
      <c r="BXS237"/>
      <c r="BXT237"/>
      <c r="BXU237"/>
      <c r="BXV237"/>
      <c r="BXW237"/>
      <c r="BXX237"/>
      <c r="BXY237"/>
      <c r="BXZ237"/>
      <c r="BYA237"/>
      <c r="BYB237"/>
      <c r="BYC237"/>
      <c r="BYD237"/>
      <c r="BYE237"/>
      <c r="BYF237"/>
      <c r="BYG237"/>
      <c r="BYH237"/>
      <c r="BYI237"/>
      <c r="BYJ237"/>
      <c r="BYK237"/>
      <c r="BYL237"/>
      <c r="BYM237"/>
      <c r="BYN237"/>
      <c r="BYO237"/>
      <c r="BYP237"/>
      <c r="BYQ237"/>
      <c r="BYR237"/>
      <c r="BYS237"/>
      <c r="BYT237"/>
      <c r="BYU237"/>
      <c r="BYV237"/>
      <c r="BYW237"/>
      <c r="BYX237"/>
      <c r="BYY237"/>
      <c r="BYZ237"/>
      <c r="BZA237"/>
      <c r="BZB237"/>
      <c r="BZC237"/>
      <c r="BZD237"/>
      <c r="BZE237"/>
      <c r="BZF237"/>
      <c r="BZG237"/>
      <c r="BZH237"/>
      <c r="BZI237"/>
      <c r="BZJ237"/>
      <c r="BZK237"/>
      <c r="BZL237"/>
      <c r="BZM237"/>
      <c r="BZN237"/>
      <c r="BZO237"/>
      <c r="BZP237"/>
      <c r="BZQ237"/>
      <c r="BZR237"/>
      <c r="BZS237"/>
      <c r="BZT237"/>
      <c r="BZU237"/>
      <c r="BZV237"/>
      <c r="BZW237"/>
      <c r="BZX237"/>
      <c r="BZY237"/>
      <c r="BZZ237"/>
      <c r="CAA237"/>
      <c r="CAB237"/>
      <c r="CAC237"/>
      <c r="CAD237"/>
      <c r="CAE237"/>
      <c r="CAF237"/>
      <c r="CAG237"/>
      <c r="CAH237"/>
      <c r="CAI237"/>
      <c r="CAJ237"/>
      <c r="CAK237"/>
      <c r="CAL237"/>
      <c r="CAM237"/>
      <c r="CAN237"/>
      <c r="CAO237"/>
      <c r="CAP237"/>
      <c r="CAQ237"/>
      <c r="CAR237"/>
      <c r="CAS237"/>
      <c r="CAT237"/>
      <c r="CAU237"/>
      <c r="CAV237"/>
      <c r="CAW237"/>
      <c r="CAX237"/>
      <c r="CAY237"/>
      <c r="CAZ237"/>
      <c r="CBA237"/>
      <c r="CBB237"/>
      <c r="CBC237"/>
      <c r="CBD237"/>
      <c r="CBE237"/>
      <c r="CBF237"/>
      <c r="CBG237"/>
      <c r="CBH237"/>
      <c r="CBI237"/>
      <c r="CBJ237"/>
      <c r="CBK237"/>
      <c r="CBL237"/>
      <c r="CBM237"/>
      <c r="CBN237"/>
      <c r="CBO237"/>
      <c r="CBP237"/>
      <c r="CBQ237"/>
      <c r="CBR237"/>
      <c r="CBS237"/>
      <c r="CBT237"/>
      <c r="CBU237"/>
      <c r="CBV237"/>
      <c r="CBW237"/>
      <c r="CBX237"/>
      <c r="CBY237"/>
      <c r="CBZ237"/>
      <c r="CCA237"/>
      <c r="CCB237"/>
      <c r="CCC237"/>
      <c r="CCD237"/>
      <c r="CCE237"/>
      <c r="CCF237"/>
      <c r="CCG237"/>
      <c r="CCH237"/>
      <c r="CCI237"/>
      <c r="CCJ237"/>
      <c r="CCK237"/>
      <c r="CCL237"/>
      <c r="CCM237"/>
      <c r="CCN237"/>
      <c r="CCO237"/>
      <c r="CCP237"/>
      <c r="CCQ237"/>
      <c r="CCR237"/>
      <c r="CCS237"/>
      <c r="CCT237"/>
      <c r="CCU237"/>
      <c r="CCV237"/>
      <c r="CCW237"/>
      <c r="CCX237"/>
      <c r="CCY237"/>
      <c r="CCZ237"/>
      <c r="CDA237"/>
      <c r="CDB237"/>
      <c r="CDC237"/>
      <c r="CDD237"/>
      <c r="CDE237"/>
      <c r="CDF237"/>
      <c r="CDG237"/>
      <c r="CDH237"/>
      <c r="CDI237"/>
      <c r="CDJ237"/>
      <c r="CDK237"/>
      <c r="CDL237"/>
      <c r="CDM237"/>
      <c r="CDN237"/>
      <c r="CDO237"/>
      <c r="CDP237"/>
      <c r="CDQ237"/>
      <c r="CDR237"/>
      <c r="CDS237"/>
      <c r="CDT237"/>
      <c r="CDU237"/>
      <c r="CDV237"/>
      <c r="CDW237"/>
      <c r="CDX237"/>
      <c r="CDY237"/>
      <c r="CDZ237"/>
      <c r="CEA237"/>
      <c r="CEB237"/>
      <c r="CEC237"/>
      <c r="CED237"/>
      <c r="CEE237"/>
      <c r="CEF237"/>
      <c r="CEG237"/>
      <c r="CEH237"/>
      <c r="CEI237"/>
      <c r="CEJ237"/>
      <c r="CEK237"/>
      <c r="CEL237"/>
      <c r="CEM237"/>
      <c r="CEN237"/>
      <c r="CEO237"/>
      <c r="CEP237"/>
      <c r="CEQ237"/>
      <c r="CER237"/>
      <c r="CES237"/>
      <c r="CET237"/>
      <c r="CEU237"/>
      <c r="CEV237"/>
      <c r="CEW237"/>
      <c r="CEX237"/>
      <c r="CEY237"/>
      <c r="CEZ237"/>
      <c r="CFA237"/>
      <c r="CFB237"/>
      <c r="CFC237"/>
      <c r="CFD237"/>
      <c r="CFE237"/>
      <c r="CFF237"/>
      <c r="CFG237"/>
      <c r="CFH237"/>
      <c r="CFI237"/>
      <c r="CFJ237"/>
      <c r="CFK237"/>
      <c r="CFL237"/>
      <c r="CFM237"/>
      <c r="CFN237"/>
      <c r="CFO237"/>
      <c r="CFP237"/>
      <c r="CFQ237"/>
      <c r="CFR237"/>
      <c r="CFS237"/>
      <c r="CFT237"/>
      <c r="CFU237"/>
      <c r="CFV237"/>
      <c r="CFW237"/>
      <c r="CFX237"/>
      <c r="CFY237"/>
      <c r="CFZ237"/>
      <c r="CGA237"/>
      <c r="CGB237"/>
      <c r="CGC237"/>
      <c r="CGD237"/>
      <c r="CGE237"/>
      <c r="CGF237"/>
      <c r="CGG237"/>
      <c r="CGH237"/>
      <c r="CGI237"/>
      <c r="CGJ237"/>
      <c r="CGK237"/>
      <c r="CGL237"/>
      <c r="CGM237"/>
      <c r="CGN237"/>
      <c r="CGO237"/>
      <c r="CGP237"/>
      <c r="CGQ237"/>
      <c r="CGR237"/>
      <c r="CGS237"/>
      <c r="CGT237"/>
      <c r="CGU237"/>
      <c r="CGV237"/>
      <c r="CGW237"/>
      <c r="CGX237"/>
      <c r="CGY237"/>
      <c r="CGZ237"/>
      <c r="CHA237"/>
      <c r="CHB237"/>
      <c r="CHC237"/>
      <c r="CHD237"/>
      <c r="CHE237"/>
      <c r="CHF237"/>
      <c r="CHG237"/>
      <c r="CHH237"/>
      <c r="CHI237"/>
      <c r="CHJ237"/>
      <c r="CHK237"/>
      <c r="CHL237"/>
      <c r="CHM237"/>
      <c r="CHN237"/>
      <c r="CHO237"/>
      <c r="CHP237"/>
      <c r="CHQ237"/>
      <c r="CHR237"/>
      <c r="CHS237"/>
      <c r="CHT237"/>
      <c r="CHU237"/>
      <c r="CHV237"/>
      <c r="CHW237"/>
      <c r="CHX237"/>
      <c r="CHY237"/>
      <c r="CHZ237"/>
      <c r="CIA237"/>
      <c r="CIB237"/>
      <c r="CIC237"/>
      <c r="CID237"/>
      <c r="CIE237"/>
      <c r="CIF237"/>
      <c r="CIG237"/>
      <c r="CIH237"/>
      <c r="CII237"/>
      <c r="CIJ237"/>
      <c r="CIK237"/>
      <c r="CIL237"/>
      <c r="CIM237"/>
      <c r="CIN237"/>
      <c r="CIO237"/>
      <c r="CIP237"/>
      <c r="CIQ237"/>
      <c r="CIR237"/>
      <c r="CIS237"/>
      <c r="CIT237"/>
      <c r="CIU237"/>
      <c r="CIV237"/>
      <c r="CIW237"/>
      <c r="CIX237"/>
      <c r="CIY237"/>
      <c r="CIZ237"/>
      <c r="CJA237"/>
      <c r="CJB237"/>
      <c r="CJC237"/>
      <c r="CJD237"/>
      <c r="CJE237"/>
      <c r="CJF237"/>
      <c r="CJG237"/>
      <c r="CJH237"/>
      <c r="CJI237"/>
      <c r="CJJ237"/>
      <c r="CJK237"/>
      <c r="CJL237"/>
      <c r="CJM237"/>
      <c r="CJN237"/>
      <c r="CJO237"/>
      <c r="CJP237"/>
      <c r="CJQ237"/>
      <c r="CJR237"/>
      <c r="CJS237"/>
      <c r="CJT237"/>
      <c r="CJU237"/>
      <c r="CJV237"/>
      <c r="CJW237"/>
      <c r="CJX237"/>
      <c r="CJY237"/>
      <c r="CJZ237"/>
      <c r="CKA237"/>
      <c r="CKB237"/>
      <c r="CKC237"/>
      <c r="CKD237"/>
      <c r="CKE237"/>
      <c r="CKF237"/>
      <c r="CKG237"/>
      <c r="CKH237"/>
      <c r="CKI237"/>
      <c r="CKJ237"/>
      <c r="CKK237"/>
      <c r="CKL237"/>
      <c r="CKM237"/>
      <c r="CKN237"/>
      <c r="CKO237"/>
      <c r="CKP237"/>
      <c r="CKQ237"/>
      <c r="CKR237"/>
      <c r="CKS237"/>
      <c r="CKT237"/>
      <c r="CKU237"/>
      <c r="CKV237"/>
      <c r="CKW237"/>
      <c r="CKX237"/>
      <c r="CKY237"/>
      <c r="CKZ237"/>
      <c r="CLA237"/>
      <c r="CLB237"/>
      <c r="CLC237"/>
      <c r="CLD237"/>
      <c r="CLE237"/>
      <c r="CLF237"/>
      <c r="CLG237"/>
      <c r="CLH237"/>
      <c r="CLI237"/>
      <c r="CLJ237"/>
      <c r="CLK237"/>
      <c r="CLL237"/>
      <c r="CLM237"/>
      <c r="CLN237"/>
      <c r="CLO237"/>
      <c r="CLP237"/>
      <c r="CLQ237"/>
      <c r="CLR237"/>
      <c r="CLS237"/>
      <c r="CLT237"/>
      <c r="CLU237"/>
      <c r="CLV237"/>
      <c r="CLW237"/>
      <c r="CLX237"/>
      <c r="CLY237"/>
      <c r="CLZ237"/>
      <c r="CMA237"/>
      <c r="CMB237"/>
      <c r="CMC237"/>
      <c r="CMD237"/>
      <c r="CME237"/>
      <c r="CMF237"/>
      <c r="CMG237"/>
      <c r="CMH237"/>
      <c r="CMI237"/>
      <c r="CMJ237"/>
      <c r="CMK237"/>
      <c r="CML237"/>
      <c r="CMM237"/>
      <c r="CMN237"/>
      <c r="CMO237"/>
      <c r="CMP237"/>
      <c r="CMQ237"/>
      <c r="CMR237"/>
      <c r="CMS237"/>
      <c r="CMT237"/>
      <c r="CMU237"/>
      <c r="CMV237"/>
      <c r="CMW237"/>
      <c r="CMX237"/>
      <c r="CMY237"/>
      <c r="CMZ237"/>
      <c r="CNA237"/>
      <c r="CNB237"/>
      <c r="CNC237"/>
      <c r="CND237"/>
      <c r="CNE237"/>
      <c r="CNF237"/>
      <c r="CNG237"/>
      <c r="CNH237"/>
      <c r="CNI237"/>
      <c r="CNJ237"/>
      <c r="CNK237"/>
      <c r="CNL237"/>
      <c r="CNM237"/>
      <c r="CNN237"/>
      <c r="CNO237"/>
      <c r="CNP237"/>
      <c r="CNQ237"/>
      <c r="CNR237"/>
      <c r="CNS237"/>
      <c r="CNT237"/>
      <c r="CNU237"/>
      <c r="CNV237"/>
      <c r="CNW237"/>
      <c r="CNX237"/>
      <c r="CNY237"/>
      <c r="CNZ237"/>
      <c r="COA237"/>
      <c r="COB237"/>
      <c r="COC237"/>
      <c r="COD237"/>
      <c r="COE237"/>
      <c r="COF237"/>
      <c r="COG237"/>
      <c r="COH237"/>
      <c r="COI237"/>
      <c r="COJ237"/>
      <c r="COK237"/>
      <c r="COL237"/>
      <c r="COM237"/>
      <c r="CON237"/>
      <c r="COO237"/>
      <c r="COP237"/>
      <c r="COQ237"/>
      <c r="COR237"/>
      <c r="COS237"/>
      <c r="COT237"/>
      <c r="COU237"/>
      <c r="COV237"/>
      <c r="COW237"/>
      <c r="COX237"/>
      <c r="COY237"/>
      <c r="COZ237"/>
      <c r="CPA237"/>
      <c r="CPB237"/>
      <c r="CPC237"/>
      <c r="CPD237"/>
      <c r="CPE237"/>
      <c r="CPF237"/>
      <c r="CPG237"/>
      <c r="CPH237"/>
      <c r="CPI237"/>
      <c r="CPJ237"/>
      <c r="CPK237"/>
      <c r="CPL237"/>
      <c r="CPM237"/>
      <c r="CPN237"/>
      <c r="CPO237"/>
      <c r="CPP237"/>
      <c r="CPQ237"/>
      <c r="CPR237"/>
      <c r="CPS237"/>
      <c r="CPT237"/>
      <c r="CPU237"/>
      <c r="CPV237"/>
      <c r="CPW237"/>
      <c r="CPX237"/>
      <c r="CPY237"/>
      <c r="CPZ237"/>
      <c r="CQA237"/>
      <c r="CQB237"/>
      <c r="CQC237"/>
      <c r="CQD237"/>
      <c r="CQE237"/>
      <c r="CQF237"/>
      <c r="CQG237"/>
      <c r="CQH237"/>
      <c r="CQI237"/>
      <c r="CQJ237"/>
      <c r="CQK237"/>
      <c r="CQL237"/>
      <c r="CQM237"/>
      <c r="CQN237"/>
      <c r="CQO237"/>
      <c r="CQP237"/>
      <c r="CQQ237"/>
      <c r="CQR237"/>
      <c r="CQS237"/>
      <c r="CQT237"/>
      <c r="CQU237"/>
      <c r="CQV237"/>
      <c r="CQW237"/>
      <c r="CQX237"/>
      <c r="CQY237"/>
      <c r="CQZ237"/>
      <c r="CRA237"/>
      <c r="CRB237"/>
      <c r="CRC237"/>
      <c r="CRD237"/>
      <c r="CRE237"/>
      <c r="CRF237"/>
      <c r="CRG237"/>
      <c r="CRH237"/>
      <c r="CRI237"/>
      <c r="CRJ237"/>
      <c r="CRK237"/>
      <c r="CRL237"/>
      <c r="CRM237"/>
      <c r="CRN237"/>
      <c r="CRO237"/>
      <c r="CRP237"/>
      <c r="CRQ237"/>
      <c r="CRR237"/>
      <c r="CRS237"/>
      <c r="CRT237"/>
      <c r="CRU237"/>
      <c r="CRV237"/>
      <c r="CRW237"/>
      <c r="CRX237"/>
      <c r="CRY237"/>
      <c r="CRZ237"/>
      <c r="CSA237"/>
      <c r="CSB237"/>
      <c r="CSC237"/>
      <c r="CSD237"/>
      <c r="CSE237"/>
      <c r="CSF237"/>
      <c r="CSG237"/>
      <c r="CSH237"/>
      <c r="CSI237"/>
      <c r="CSJ237"/>
      <c r="CSK237"/>
      <c r="CSL237"/>
      <c r="CSM237"/>
      <c r="CSN237"/>
      <c r="CSO237"/>
      <c r="CSP237"/>
      <c r="CSQ237"/>
      <c r="CSR237"/>
      <c r="CSS237"/>
      <c r="CST237"/>
      <c r="CSU237"/>
      <c r="CSV237"/>
      <c r="CSW237"/>
      <c r="CSX237"/>
      <c r="CSY237"/>
      <c r="CSZ237"/>
      <c r="CTA237"/>
      <c r="CTB237"/>
      <c r="CTC237"/>
      <c r="CTD237"/>
      <c r="CTE237"/>
      <c r="CTF237"/>
      <c r="CTG237"/>
      <c r="CTH237"/>
      <c r="CTI237"/>
      <c r="CTJ237"/>
      <c r="CTK237"/>
      <c r="CTL237"/>
      <c r="CTM237"/>
      <c r="CTN237"/>
      <c r="CTO237"/>
      <c r="CTP237"/>
      <c r="CTQ237"/>
      <c r="CTR237"/>
      <c r="CTS237"/>
      <c r="CTT237"/>
      <c r="CTU237"/>
      <c r="CTV237"/>
      <c r="CTW237"/>
      <c r="CTX237"/>
      <c r="CTY237"/>
      <c r="CTZ237"/>
      <c r="CUA237"/>
      <c r="CUB237"/>
      <c r="CUC237"/>
      <c r="CUD237"/>
      <c r="CUE237"/>
      <c r="CUF237"/>
      <c r="CUG237"/>
      <c r="CUH237"/>
      <c r="CUI237"/>
      <c r="CUJ237"/>
      <c r="CUK237"/>
      <c r="CUL237"/>
      <c r="CUM237"/>
      <c r="CUN237"/>
      <c r="CUO237"/>
      <c r="CUP237"/>
      <c r="CUQ237"/>
      <c r="CUR237"/>
      <c r="CUS237"/>
      <c r="CUT237"/>
      <c r="CUU237"/>
      <c r="CUV237"/>
      <c r="CUW237"/>
      <c r="CUX237"/>
      <c r="CUY237"/>
      <c r="CUZ237"/>
      <c r="CVA237"/>
      <c r="CVB237"/>
      <c r="CVC237"/>
      <c r="CVD237"/>
      <c r="CVE237"/>
      <c r="CVF237"/>
      <c r="CVG237"/>
      <c r="CVH237"/>
      <c r="CVI237"/>
      <c r="CVJ237"/>
      <c r="CVK237"/>
      <c r="CVL237"/>
      <c r="CVM237"/>
      <c r="CVN237"/>
      <c r="CVO237"/>
      <c r="CVP237"/>
      <c r="CVQ237"/>
      <c r="CVR237"/>
      <c r="CVS237"/>
      <c r="CVT237"/>
      <c r="CVU237"/>
      <c r="CVV237"/>
      <c r="CVW237"/>
      <c r="CVX237"/>
      <c r="CVY237"/>
      <c r="CVZ237"/>
      <c r="CWA237"/>
      <c r="CWB237"/>
      <c r="CWC237"/>
      <c r="CWD237"/>
      <c r="CWE237"/>
      <c r="CWF237"/>
      <c r="CWG237"/>
      <c r="CWH237"/>
      <c r="CWI237"/>
      <c r="CWJ237"/>
      <c r="CWK237"/>
      <c r="CWL237"/>
      <c r="CWM237"/>
      <c r="CWN237"/>
      <c r="CWO237"/>
      <c r="CWP237"/>
      <c r="CWQ237"/>
      <c r="CWR237"/>
      <c r="CWS237"/>
      <c r="CWT237"/>
      <c r="CWU237"/>
      <c r="CWV237"/>
      <c r="CWW237"/>
      <c r="CWX237"/>
      <c r="CWY237"/>
      <c r="CWZ237"/>
      <c r="CXA237"/>
      <c r="CXB237"/>
      <c r="CXC237"/>
      <c r="CXD237"/>
      <c r="CXE237"/>
      <c r="CXF237"/>
      <c r="CXG237"/>
      <c r="CXH237"/>
      <c r="CXI237"/>
      <c r="CXJ237"/>
      <c r="CXK237"/>
      <c r="CXL237"/>
      <c r="CXM237"/>
      <c r="CXN237"/>
      <c r="CXO237"/>
      <c r="CXP237"/>
      <c r="CXQ237"/>
      <c r="CXR237"/>
      <c r="CXS237"/>
      <c r="CXT237"/>
      <c r="CXU237"/>
      <c r="CXV237"/>
      <c r="CXW237"/>
      <c r="CXX237"/>
      <c r="CXY237"/>
      <c r="CXZ237"/>
      <c r="CYA237"/>
      <c r="CYB237"/>
      <c r="CYC237"/>
      <c r="CYD237"/>
      <c r="CYE237"/>
      <c r="CYF237"/>
      <c r="CYG237"/>
      <c r="CYH237"/>
      <c r="CYI237"/>
      <c r="CYJ237"/>
      <c r="CYK237"/>
      <c r="CYL237"/>
      <c r="CYM237"/>
      <c r="CYN237"/>
      <c r="CYO237"/>
      <c r="CYP237"/>
      <c r="CYQ237"/>
      <c r="CYR237"/>
      <c r="CYS237"/>
      <c r="CYT237"/>
      <c r="CYU237"/>
      <c r="CYV237"/>
      <c r="CYW237"/>
      <c r="CYX237"/>
      <c r="CYY237"/>
      <c r="CYZ237"/>
      <c r="CZA237"/>
      <c r="CZB237"/>
      <c r="CZC237"/>
      <c r="CZD237"/>
      <c r="CZE237"/>
      <c r="CZF237"/>
      <c r="CZG237"/>
      <c r="CZH237"/>
      <c r="CZI237"/>
      <c r="CZJ237"/>
      <c r="CZK237"/>
      <c r="CZL237"/>
      <c r="CZM237"/>
      <c r="CZN237"/>
      <c r="CZO237"/>
      <c r="CZP237"/>
      <c r="CZQ237"/>
      <c r="CZR237"/>
      <c r="CZS237"/>
      <c r="CZT237"/>
      <c r="CZU237"/>
      <c r="CZV237"/>
      <c r="CZW237"/>
      <c r="CZX237"/>
      <c r="CZY237"/>
      <c r="CZZ237"/>
      <c r="DAA237"/>
      <c r="DAB237"/>
      <c r="DAC237"/>
      <c r="DAD237"/>
      <c r="DAE237"/>
      <c r="DAF237"/>
      <c r="DAG237"/>
      <c r="DAH237"/>
      <c r="DAI237"/>
      <c r="DAJ237"/>
      <c r="DAK237"/>
      <c r="DAL237"/>
      <c r="DAM237"/>
      <c r="DAN237"/>
      <c r="DAO237"/>
      <c r="DAP237"/>
      <c r="DAQ237"/>
      <c r="DAR237"/>
      <c r="DAS237"/>
      <c r="DAT237"/>
      <c r="DAU237"/>
      <c r="DAV237"/>
      <c r="DAW237"/>
      <c r="DAX237"/>
      <c r="DAY237"/>
      <c r="DAZ237"/>
      <c r="DBA237"/>
      <c r="DBB237"/>
      <c r="DBC237"/>
      <c r="DBD237"/>
      <c r="DBE237"/>
      <c r="DBF237"/>
      <c r="DBG237"/>
      <c r="DBH237"/>
      <c r="DBI237"/>
      <c r="DBJ237"/>
      <c r="DBK237"/>
      <c r="DBL237"/>
      <c r="DBM237"/>
      <c r="DBN237"/>
      <c r="DBO237"/>
      <c r="DBP237"/>
      <c r="DBQ237"/>
      <c r="DBR237"/>
      <c r="DBS237"/>
      <c r="DBT237"/>
      <c r="DBU237"/>
      <c r="DBV237"/>
      <c r="DBW237"/>
      <c r="DBX237"/>
      <c r="DBY237"/>
      <c r="DBZ237"/>
      <c r="DCA237"/>
      <c r="DCB237"/>
      <c r="DCC237"/>
      <c r="DCD237"/>
      <c r="DCE237"/>
      <c r="DCF237"/>
      <c r="DCG237"/>
      <c r="DCH237"/>
      <c r="DCI237"/>
      <c r="DCJ237"/>
      <c r="DCK237"/>
      <c r="DCL237"/>
      <c r="DCM237"/>
      <c r="DCN237"/>
      <c r="DCO237"/>
      <c r="DCP237"/>
      <c r="DCQ237"/>
      <c r="DCR237"/>
      <c r="DCS237"/>
      <c r="DCT237"/>
      <c r="DCU237"/>
      <c r="DCV237"/>
      <c r="DCW237"/>
      <c r="DCX237"/>
      <c r="DCY237"/>
      <c r="DCZ237"/>
      <c r="DDA237"/>
      <c r="DDB237"/>
      <c r="DDC237"/>
      <c r="DDD237"/>
      <c r="DDE237"/>
      <c r="DDF237"/>
      <c r="DDG237"/>
      <c r="DDH237"/>
      <c r="DDI237"/>
      <c r="DDJ237"/>
      <c r="DDK237"/>
      <c r="DDL237"/>
      <c r="DDM237"/>
      <c r="DDN237"/>
      <c r="DDO237"/>
      <c r="DDP237"/>
      <c r="DDQ237"/>
      <c r="DDR237"/>
      <c r="DDS237"/>
      <c r="DDT237"/>
      <c r="DDU237"/>
      <c r="DDV237"/>
      <c r="DDW237"/>
      <c r="DDX237"/>
      <c r="DDY237"/>
      <c r="DDZ237"/>
      <c r="DEA237"/>
      <c r="DEB237"/>
      <c r="DEC237"/>
      <c r="DED237"/>
      <c r="DEE237"/>
      <c r="DEF237"/>
      <c r="DEG237"/>
      <c r="DEH237"/>
      <c r="DEI237"/>
      <c r="DEJ237"/>
      <c r="DEK237"/>
      <c r="DEL237"/>
      <c r="DEM237"/>
      <c r="DEN237"/>
      <c r="DEO237"/>
      <c r="DEP237"/>
      <c r="DEQ237"/>
      <c r="DER237"/>
      <c r="DES237"/>
      <c r="DET237"/>
      <c r="DEU237"/>
      <c r="DEV237"/>
      <c r="DEW237"/>
      <c r="DEX237"/>
      <c r="DEY237"/>
      <c r="DEZ237"/>
      <c r="DFA237"/>
      <c r="DFB237"/>
      <c r="DFC237"/>
      <c r="DFD237"/>
      <c r="DFE237"/>
      <c r="DFF237"/>
      <c r="DFG237"/>
      <c r="DFH237"/>
      <c r="DFI237"/>
      <c r="DFJ237"/>
      <c r="DFK237"/>
      <c r="DFL237"/>
      <c r="DFM237"/>
      <c r="DFN237"/>
      <c r="DFO237"/>
      <c r="DFP237"/>
      <c r="DFQ237"/>
      <c r="DFR237"/>
      <c r="DFS237"/>
      <c r="DFT237"/>
      <c r="DFU237"/>
      <c r="DFV237"/>
      <c r="DFW237"/>
      <c r="DFX237"/>
      <c r="DFY237"/>
      <c r="DFZ237"/>
      <c r="DGA237"/>
      <c r="DGB237"/>
      <c r="DGC237"/>
      <c r="DGD237"/>
      <c r="DGE237"/>
      <c r="DGF237"/>
      <c r="DGG237"/>
      <c r="DGH237"/>
      <c r="DGI237"/>
      <c r="DGJ237"/>
      <c r="DGK237"/>
      <c r="DGL237"/>
      <c r="DGM237"/>
      <c r="DGN237"/>
      <c r="DGO237"/>
      <c r="DGP237"/>
      <c r="DGQ237"/>
      <c r="DGR237"/>
      <c r="DGS237"/>
      <c r="DGT237"/>
      <c r="DGU237"/>
      <c r="DGV237"/>
      <c r="DGW237"/>
      <c r="DGX237"/>
      <c r="DGY237"/>
      <c r="DGZ237"/>
      <c r="DHA237"/>
      <c r="DHB237"/>
      <c r="DHC237"/>
      <c r="DHD237"/>
      <c r="DHE237"/>
      <c r="DHF237"/>
      <c r="DHG237"/>
      <c r="DHH237"/>
      <c r="DHI237"/>
      <c r="DHJ237"/>
      <c r="DHK237"/>
      <c r="DHL237"/>
      <c r="DHM237"/>
      <c r="DHN237"/>
      <c r="DHO237"/>
      <c r="DHP237"/>
      <c r="DHQ237"/>
      <c r="DHR237"/>
      <c r="DHS237"/>
      <c r="DHT237"/>
      <c r="DHU237"/>
      <c r="DHV237"/>
      <c r="DHW237"/>
      <c r="DHX237"/>
      <c r="DHY237"/>
      <c r="DHZ237"/>
      <c r="DIA237"/>
      <c r="DIB237"/>
      <c r="DIC237"/>
      <c r="DID237"/>
      <c r="DIE237"/>
      <c r="DIF237"/>
      <c r="DIG237"/>
      <c r="DIH237"/>
      <c r="DII237"/>
      <c r="DIJ237"/>
      <c r="DIK237"/>
      <c r="DIL237"/>
      <c r="DIM237"/>
      <c r="DIN237"/>
      <c r="DIO237"/>
      <c r="DIP237"/>
      <c r="DIQ237"/>
      <c r="DIR237"/>
      <c r="DIS237"/>
      <c r="DIT237"/>
      <c r="DIU237"/>
      <c r="DIV237"/>
      <c r="DIW237"/>
      <c r="DIX237"/>
      <c r="DIY237"/>
      <c r="DIZ237"/>
      <c r="DJA237"/>
      <c r="DJB237"/>
      <c r="DJC237"/>
      <c r="DJD237"/>
      <c r="DJE237"/>
      <c r="DJF237"/>
      <c r="DJG237"/>
      <c r="DJH237"/>
      <c r="DJI237"/>
      <c r="DJJ237"/>
      <c r="DJK237"/>
      <c r="DJL237"/>
      <c r="DJM237"/>
      <c r="DJN237"/>
      <c r="DJO237"/>
      <c r="DJP237"/>
      <c r="DJQ237"/>
      <c r="DJR237"/>
      <c r="DJS237"/>
      <c r="DJT237"/>
      <c r="DJU237"/>
      <c r="DJV237"/>
      <c r="DJW237"/>
      <c r="DJX237"/>
      <c r="DJY237"/>
      <c r="DJZ237"/>
      <c r="DKA237"/>
      <c r="DKB237"/>
      <c r="DKC237"/>
      <c r="DKD237"/>
      <c r="DKE237"/>
      <c r="DKF237"/>
      <c r="DKG237"/>
      <c r="DKH237"/>
      <c r="DKI237"/>
      <c r="DKJ237"/>
      <c r="DKK237"/>
      <c r="DKL237"/>
      <c r="DKM237"/>
      <c r="DKN237"/>
      <c r="DKO237"/>
      <c r="DKP237"/>
      <c r="DKQ237"/>
      <c r="DKR237"/>
      <c r="DKS237"/>
      <c r="DKT237"/>
      <c r="DKU237"/>
      <c r="DKV237"/>
      <c r="DKW237"/>
      <c r="DKX237"/>
      <c r="DKY237"/>
      <c r="DKZ237"/>
      <c r="DLA237"/>
      <c r="DLB237"/>
      <c r="DLC237"/>
      <c r="DLD237"/>
      <c r="DLE237"/>
      <c r="DLF237"/>
      <c r="DLG237"/>
      <c r="DLH237"/>
      <c r="DLI237"/>
      <c r="DLJ237"/>
      <c r="DLK237"/>
      <c r="DLL237"/>
      <c r="DLM237"/>
      <c r="DLN237"/>
      <c r="DLO237"/>
      <c r="DLP237"/>
      <c r="DLQ237"/>
      <c r="DLR237"/>
      <c r="DLS237"/>
      <c r="DLT237"/>
      <c r="DLU237"/>
      <c r="DLV237"/>
      <c r="DLW237"/>
      <c r="DLX237"/>
      <c r="DLY237"/>
      <c r="DLZ237"/>
      <c r="DMA237"/>
      <c r="DMB237"/>
      <c r="DMC237"/>
      <c r="DMD237"/>
      <c r="DME237"/>
      <c r="DMF237"/>
      <c r="DMG237"/>
      <c r="DMH237"/>
      <c r="DMI237"/>
      <c r="DMJ237"/>
      <c r="DMK237"/>
      <c r="DML237"/>
      <c r="DMM237"/>
      <c r="DMN237"/>
      <c r="DMO237"/>
      <c r="DMP237"/>
      <c r="DMQ237"/>
      <c r="DMR237"/>
      <c r="DMS237"/>
      <c r="DMT237"/>
      <c r="DMU237"/>
      <c r="DMV237"/>
      <c r="DMW237"/>
      <c r="DMX237"/>
      <c r="DMY237"/>
      <c r="DMZ237"/>
      <c r="DNA237"/>
      <c r="DNB237"/>
      <c r="DNC237"/>
      <c r="DND237"/>
      <c r="DNE237"/>
      <c r="DNF237"/>
      <c r="DNG237"/>
      <c r="DNH237"/>
      <c r="DNI237"/>
      <c r="DNJ237"/>
      <c r="DNK237"/>
      <c r="DNL237"/>
      <c r="DNM237"/>
      <c r="DNN237"/>
      <c r="DNO237"/>
      <c r="DNP237"/>
      <c r="DNQ237"/>
      <c r="DNR237"/>
      <c r="DNS237"/>
      <c r="DNT237"/>
      <c r="DNU237"/>
      <c r="DNV237"/>
      <c r="DNW237"/>
      <c r="DNX237"/>
      <c r="DNY237"/>
      <c r="DNZ237"/>
      <c r="DOA237"/>
      <c r="DOB237"/>
      <c r="DOC237"/>
      <c r="DOD237"/>
      <c r="DOE237"/>
      <c r="DOF237"/>
      <c r="DOG237"/>
      <c r="DOH237"/>
      <c r="DOI237"/>
      <c r="DOJ237"/>
      <c r="DOK237"/>
      <c r="DOL237"/>
      <c r="DOM237"/>
      <c r="DON237"/>
      <c r="DOO237"/>
      <c r="DOP237"/>
      <c r="DOQ237"/>
      <c r="DOR237"/>
      <c r="DOS237"/>
      <c r="DOT237"/>
      <c r="DOU237"/>
      <c r="DOV237"/>
      <c r="DOW237"/>
      <c r="DOX237"/>
      <c r="DOY237"/>
      <c r="DOZ237"/>
      <c r="DPA237"/>
      <c r="DPB237"/>
      <c r="DPC237"/>
      <c r="DPD237"/>
      <c r="DPE237"/>
      <c r="DPF237"/>
      <c r="DPG237"/>
      <c r="DPH237"/>
      <c r="DPI237"/>
      <c r="DPJ237"/>
      <c r="DPK237"/>
      <c r="DPL237"/>
      <c r="DPM237"/>
      <c r="DPN237"/>
      <c r="DPO237"/>
      <c r="DPP237"/>
      <c r="DPQ237"/>
      <c r="DPR237"/>
      <c r="DPS237"/>
      <c r="DPT237"/>
      <c r="DPU237"/>
      <c r="DPV237"/>
      <c r="DPW237"/>
      <c r="DPX237"/>
      <c r="DPY237"/>
      <c r="DPZ237"/>
      <c r="DQA237"/>
      <c r="DQB237"/>
      <c r="DQC237"/>
      <c r="DQD237"/>
      <c r="DQE237"/>
      <c r="DQF237"/>
      <c r="DQG237"/>
      <c r="DQH237"/>
      <c r="DQI237"/>
      <c r="DQJ237"/>
      <c r="DQK237"/>
      <c r="DQL237"/>
      <c r="DQM237"/>
      <c r="DQN237"/>
      <c r="DQO237"/>
      <c r="DQP237"/>
      <c r="DQQ237"/>
      <c r="DQR237"/>
      <c r="DQS237"/>
      <c r="DQT237"/>
      <c r="DQU237"/>
      <c r="DQV237"/>
      <c r="DQW237"/>
      <c r="DQX237"/>
      <c r="DQY237"/>
      <c r="DQZ237"/>
      <c r="DRA237"/>
      <c r="DRB237"/>
      <c r="DRC237"/>
      <c r="DRD237"/>
      <c r="DRE237"/>
      <c r="DRF237"/>
      <c r="DRG237"/>
      <c r="DRH237"/>
      <c r="DRI237"/>
      <c r="DRJ237"/>
      <c r="DRK237"/>
      <c r="DRL237"/>
      <c r="DRM237"/>
      <c r="DRN237"/>
      <c r="DRO237"/>
      <c r="DRP237"/>
      <c r="DRQ237"/>
      <c r="DRR237"/>
      <c r="DRS237"/>
      <c r="DRT237"/>
      <c r="DRU237"/>
      <c r="DRV237"/>
      <c r="DRW237"/>
      <c r="DRX237"/>
      <c r="DRY237"/>
      <c r="DRZ237"/>
      <c r="DSA237"/>
      <c r="DSB237"/>
      <c r="DSC237"/>
      <c r="DSD237"/>
      <c r="DSE237"/>
      <c r="DSF237"/>
      <c r="DSG237"/>
      <c r="DSH237"/>
      <c r="DSI237"/>
      <c r="DSJ237"/>
      <c r="DSK237"/>
      <c r="DSL237"/>
      <c r="DSM237"/>
      <c r="DSN237"/>
      <c r="DSO237"/>
      <c r="DSP237"/>
      <c r="DSQ237"/>
      <c r="DSR237"/>
      <c r="DSS237"/>
      <c r="DST237"/>
      <c r="DSU237"/>
      <c r="DSV237"/>
      <c r="DSW237"/>
      <c r="DSX237"/>
      <c r="DSY237"/>
      <c r="DSZ237"/>
      <c r="DTA237"/>
      <c r="DTB237"/>
      <c r="DTC237"/>
      <c r="DTD237"/>
      <c r="DTE237"/>
      <c r="DTF237"/>
      <c r="DTG237"/>
      <c r="DTH237"/>
      <c r="DTI237"/>
      <c r="DTJ237"/>
      <c r="DTK237"/>
      <c r="DTL237"/>
      <c r="DTM237"/>
      <c r="DTN237"/>
      <c r="DTO237"/>
      <c r="DTP237"/>
      <c r="DTQ237"/>
      <c r="DTR237"/>
      <c r="DTS237"/>
      <c r="DTT237"/>
      <c r="DTU237"/>
      <c r="DTV237"/>
      <c r="DTW237"/>
      <c r="DTX237"/>
      <c r="DTY237"/>
      <c r="DTZ237"/>
      <c r="DUA237"/>
      <c r="DUB237"/>
      <c r="DUC237"/>
      <c r="DUD237"/>
      <c r="DUE237"/>
      <c r="DUF237"/>
      <c r="DUG237"/>
      <c r="DUH237"/>
      <c r="DUI237"/>
      <c r="DUJ237"/>
      <c r="DUK237"/>
      <c r="DUL237"/>
      <c r="DUM237"/>
      <c r="DUN237"/>
      <c r="DUO237"/>
      <c r="DUP237"/>
      <c r="DUQ237"/>
      <c r="DUR237"/>
      <c r="DUS237"/>
      <c r="DUT237"/>
      <c r="DUU237"/>
      <c r="DUV237"/>
      <c r="DUW237"/>
      <c r="DUX237"/>
      <c r="DUY237"/>
      <c r="DUZ237"/>
      <c r="DVA237"/>
      <c r="DVB237"/>
      <c r="DVC237"/>
      <c r="DVD237"/>
      <c r="DVE237"/>
      <c r="DVF237"/>
      <c r="DVG237"/>
      <c r="DVH237"/>
      <c r="DVI237"/>
      <c r="DVJ237"/>
      <c r="DVK237"/>
      <c r="DVL237"/>
      <c r="DVM237"/>
      <c r="DVN237"/>
      <c r="DVO237"/>
      <c r="DVP237"/>
      <c r="DVQ237"/>
      <c r="DVR237"/>
      <c r="DVS237"/>
      <c r="DVT237"/>
      <c r="DVU237"/>
      <c r="DVV237"/>
      <c r="DVW237"/>
      <c r="DVX237"/>
      <c r="DVY237"/>
      <c r="DVZ237"/>
      <c r="DWA237"/>
      <c r="DWB237"/>
      <c r="DWC237"/>
      <c r="DWD237"/>
      <c r="DWE237"/>
      <c r="DWF237"/>
      <c r="DWG237"/>
      <c r="DWH237"/>
      <c r="DWI237"/>
      <c r="DWJ237"/>
      <c r="DWK237"/>
      <c r="DWL237"/>
      <c r="DWM237"/>
      <c r="DWN237"/>
      <c r="DWO237"/>
      <c r="DWP237"/>
      <c r="DWQ237"/>
      <c r="DWR237"/>
      <c r="DWS237"/>
      <c r="DWT237"/>
      <c r="DWU237"/>
      <c r="DWV237"/>
      <c r="DWW237"/>
      <c r="DWX237"/>
      <c r="DWY237"/>
      <c r="DWZ237"/>
      <c r="DXA237"/>
      <c r="DXB237"/>
      <c r="DXC237"/>
      <c r="DXD237"/>
      <c r="DXE237"/>
      <c r="DXF237"/>
      <c r="DXG237"/>
      <c r="DXH237"/>
      <c r="DXI237"/>
      <c r="DXJ237"/>
      <c r="DXK237"/>
      <c r="DXL237"/>
      <c r="DXM237"/>
      <c r="DXN237"/>
      <c r="DXO237"/>
      <c r="DXP237"/>
      <c r="DXQ237"/>
      <c r="DXR237"/>
      <c r="DXS237"/>
      <c r="DXT237"/>
      <c r="DXU237"/>
      <c r="DXV237"/>
      <c r="DXW237"/>
      <c r="DXX237"/>
      <c r="DXY237"/>
      <c r="DXZ237"/>
      <c r="DYA237"/>
      <c r="DYB237"/>
      <c r="DYC237"/>
      <c r="DYD237"/>
      <c r="DYE237"/>
      <c r="DYF237"/>
      <c r="DYG237"/>
      <c r="DYH237"/>
      <c r="DYI237"/>
      <c r="DYJ237"/>
      <c r="DYK237"/>
      <c r="DYL237"/>
      <c r="DYM237"/>
      <c r="DYN237"/>
      <c r="DYO237"/>
      <c r="DYP237"/>
      <c r="DYQ237"/>
      <c r="DYR237"/>
      <c r="DYS237"/>
      <c r="DYT237"/>
      <c r="DYU237"/>
      <c r="DYV237"/>
      <c r="DYW237"/>
      <c r="DYX237"/>
      <c r="DYY237"/>
      <c r="DYZ237"/>
      <c r="DZA237"/>
      <c r="DZB237"/>
      <c r="DZC237"/>
      <c r="DZD237"/>
      <c r="DZE237"/>
      <c r="DZF237"/>
      <c r="DZG237"/>
      <c r="DZH237"/>
      <c r="DZI237"/>
      <c r="DZJ237"/>
      <c r="DZK237"/>
      <c r="DZL237"/>
      <c r="DZM237"/>
      <c r="DZN237"/>
      <c r="DZO237"/>
      <c r="DZP237"/>
      <c r="DZQ237"/>
      <c r="DZR237"/>
      <c r="DZS237"/>
      <c r="DZT237"/>
      <c r="DZU237"/>
      <c r="DZV237"/>
      <c r="DZW237"/>
      <c r="DZX237"/>
      <c r="DZY237"/>
      <c r="DZZ237"/>
      <c r="EAA237"/>
      <c r="EAB237"/>
      <c r="EAC237"/>
      <c r="EAD237"/>
      <c r="EAE237"/>
      <c r="EAF237"/>
      <c r="EAG237"/>
      <c r="EAH237"/>
      <c r="EAI237"/>
      <c r="EAJ237"/>
      <c r="EAK237"/>
      <c r="EAL237"/>
      <c r="EAM237"/>
      <c r="EAN237"/>
      <c r="EAO237"/>
      <c r="EAP237"/>
      <c r="EAQ237"/>
      <c r="EAR237"/>
      <c r="EAS237"/>
      <c r="EAT237"/>
      <c r="EAU237"/>
      <c r="EAV237"/>
      <c r="EAW237"/>
      <c r="EAX237"/>
      <c r="EAY237"/>
      <c r="EAZ237"/>
      <c r="EBA237"/>
      <c r="EBB237"/>
      <c r="EBC237"/>
      <c r="EBD237"/>
      <c r="EBE237"/>
      <c r="EBF237"/>
      <c r="EBG237"/>
      <c r="EBH237"/>
      <c r="EBI237"/>
      <c r="EBJ237"/>
      <c r="EBK237"/>
      <c r="EBL237"/>
      <c r="EBM237"/>
      <c r="EBN237"/>
      <c r="EBO237"/>
      <c r="EBP237"/>
      <c r="EBQ237"/>
      <c r="EBR237"/>
      <c r="EBS237"/>
      <c r="EBT237"/>
      <c r="EBU237"/>
      <c r="EBV237"/>
      <c r="EBW237"/>
      <c r="EBX237"/>
      <c r="EBY237"/>
      <c r="EBZ237"/>
      <c r="ECA237"/>
      <c r="ECB237"/>
      <c r="ECC237"/>
      <c r="ECD237"/>
      <c r="ECE237"/>
      <c r="ECF237"/>
      <c r="ECG237"/>
      <c r="ECH237"/>
      <c r="ECI237"/>
      <c r="ECJ237"/>
      <c r="ECK237"/>
      <c r="ECL237"/>
      <c r="ECM237"/>
      <c r="ECN237"/>
      <c r="ECO237"/>
      <c r="ECP237"/>
      <c r="ECQ237"/>
      <c r="ECR237"/>
      <c r="ECS237"/>
      <c r="ECT237"/>
      <c r="ECU237"/>
      <c r="ECV237"/>
      <c r="ECW237"/>
      <c r="ECX237"/>
      <c r="ECY237"/>
      <c r="ECZ237"/>
      <c r="EDA237"/>
      <c r="EDB237"/>
      <c r="EDC237"/>
      <c r="EDD237"/>
      <c r="EDE237"/>
      <c r="EDF237"/>
      <c r="EDG237"/>
      <c r="EDH237"/>
      <c r="EDI237"/>
      <c r="EDJ237"/>
      <c r="EDK237"/>
      <c r="EDL237"/>
      <c r="EDM237"/>
      <c r="EDN237"/>
      <c r="EDO237"/>
      <c r="EDP237"/>
      <c r="EDQ237"/>
      <c r="EDR237"/>
      <c r="EDS237"/>
      <c r="EDT237"/>
      <c r="EDU237"/>
      <c r="EDV237"/>
      <c r="EDW237"/>
      <c r="EDX237"/>
      <c r="EDY237"/>
      <c r="EDZ237"/>
      <c r="EEA237"/>
      <c r="EEB237"/>
      <c r="EEC237"/>
      <c r="EED237"/>
      <c r="EEE237"/>
      <c r="EEF237"/>
      <c r="EEG237"/>
      <c r="EEH237"/>
      <c r="EEI237"/>
      <c r="EEJ237"/>
      <c r="EEK237"/>
      <c r="EEL237"/>
      <c r="EEM237"/>
      <c r="EEN237"/>
      <c r="EEO237"/>
      <c r="EEP237"/>
      <c r="EEQ237"/>
      <c r="EER237"/>
      <c r="EES237"/>
      <c r="EET237"/>
      <c r="EEU237"/>
      <c r="EEV237"/>
      <c r="EEW237"/>
      <c r="EEX237"/>
      <c r="EEY237"/>
      <c r="EEZ237"/>
      <c r="EFA237"/>
      <c r="EFB237"/>
      <c r="EFC237"/>
      <c r="EFD237"/>
      <c r="EFE237"/>
      <c r="EFF237"/>
      <c r="EFG237"/>
      <c r="EFH237"/>
      <c r="EFI237"/>
      <c r="EFJ237"/>
      <c r="EFK237"/>
      <c r="EFL237"/>
      <c r="EFM237"/>
      <c r="EFN237"/>
      <c r="EFO237"/>
      <c r="EFP237"/>
      <c r="EFQ237"/>
      <c r="EFR237"/>
      <c r="EFS237"/>
      <c r="EFT237"/>
      <c r="EFU237"/>
      <c r="EFV237"/>
      <c r="EFW237"/>
      <c r="EFX237"/>
      <c r="EFY237"/>
      <c r="EFZ237"/>
      <c r="EGA237"/>
      <c r="EGB237"/>
      <c r="EGC237"/>
      <c r="EGD237"/>
      <c r="EGE237"/>
      <c r="EGF237"/>
      <c r="EGG237"/>
      <c r="EGH237"/>
      <c r="EGI237"/>
      <c r="EGJ237"/>
      <c r="EGK237"/>
      <c r="EGL237"/>
      <c r="EGM237"/>
      <c r="EGN237"/>
      <c r="EGO237"/>
      <c r="EGP237"/>
      <c r="EGQ237"/>
      <c r="EGR237"/>
      <c r="EGS237"/>
      <c r="EGT237"/>
      <c r="EGU237"/>
      <c r="EGV237"/>
      <c r="EGW237"/>
      <c r="EGX237"/>
      <c r="EGY237"/>
      <c r="EGZ237"/>
      <c r="EHA237"/>
      <c r="EHB237"/>
      <c r="EHC237"/>
      <c r="EHD237"/>
      <c r="EHE237"/>
      <c r="EHF237"/>
      <c r="EHG237"/>
      <c r="EHH237"/>
      <c r="EHI237"/>
      <c r="EHJ237"/>
      <c r="EHK237"/>
      <c r="EHL237"/>
      <c r="EHM237"/>
      <c r="EHN237"/>
      <c r="EHO237"/>
      <c r="EHP237"/>
      <c r="EHQ237"/>
      <c r="EHR237"/>
      <c r="EHS237"/>
      <c r="EHT237"/>
      <c r="EHU237"/>
      <c r="EHV237"/>
      <c r="EHW237"/>
      <c r="EHX237"/>
      <c r="EHY237"/>
      <c r="EHZ237"/>
      <c r="EIA237"/>
      <c r="EIB237"/>
      <c r="EIC237"/>
      <c r="EID237"/>
      <c r="EIE237"/>
      <c r="EIF237"/>
      <c r="EIG237"/>
      <c r="EIH237"/>
      <c r="EII237"/>
      <c r="EIJ237"/>
      <c r="EIK237"/>
      <c r="EIL237"/>
      <c r="EIM237"/>
      <c r="EIN237"/>
      <c r="EIO237"/>
      <c r="EIP237"/>
      <c r="EIQ237"/>
      <c r="EIR237"/>
      <c r="EIS237"/>
      <c r="EIT237"/>
      <c r="EIU237"/>
      <c r="EIV237"/>
      <c r="EIW237"/>
      <c r="EIX237"/>
      <c r="EIY237"/>
      <c r="EIZ237"/>
      <c r="EJA237"/>
      <c r="EJB237"/>
      <c r="EJC237"/>
      <c r="EJD237"/>
      <c r="EJE237"/>
      <c r="EJF237"/>
      <c r="EJG237"/>
      <c r="EJH237"/>
      <c r="EJI237"/>
      <c r="EJJ237"/>
      <c r="EJK237"/>
      <c r="EJL237"/>
      <c r="EJM237"/>
      <c r="EJN237"/>
      <c r="EJO237"/>
      <c r="EJP237"/>
      <c r="EJQ237"/>
      <c r="EJR237"/>
      <c r="EJS237"/>
      <c r="EJT237"/>
      <c r="EJU237"/>
      <c r="EJV237"/>
      <c r="EJW237"/>
      <c r="EJX237"/>
      <c r="EJY237"/>
      <c r="EJZ237"/>
      <c r="EKA237"/>
      <c r="EKB237"/>
      <c r="EKC237"/>
      <c r="EKD237"/>
      <c r="EKE237"/>
      <c r="EKF237"/>
      <c r="EKG237"/>
      <c r="EKH237"/>
      <c r="EKI237"/>
      <c r="EKJ237"/>
      <c r="EKK237"/>
      <c r="EKL237"/>
      <c r="EKM237"/>
      <c r="EKN237"/>
      <c r="EKO237"/>
      <c r="EKP237"/>
      <c r="EKQ237"/>
      <c r="EKR237"/>
      <c r="EKS237"/>
      <c r="EKT237"/>
      <c r="EKU237"/>
      <c r="EKV237"/>
      <c r="EKW237"/>
      <c r="EKX237"/>
      <c r="EKY237"/>
      <c r="EKZ237"/>
      <c r="ELA237"/>
      <c r="ELB237"/>
      <c r="ELC237"/>
      <c r="ELD237"/>
      <c r="ELE237"/>
      <c r="ELF237"/>
      <c r="ELG237"/>
      <c r="ELH237"/>
      <c r="ELI237"/>
      <c r="ELJ237"/>
      <c r="ELK237"/>
      <c r="ELL237"/>
      <c r="ELM237"/>
      <c r="ELN237"/>
      <c r="ELO237"/>
      <c r="ELP237"/>
      <c r="ELQ237"/>
      <c r="ELR237"/>
      <c r="ELS237"/>
      <c r="ELT237"/>
      <c r="ELU237"/>
      <c r="ELV237"/>
      <c r="ELW237"/>
      <c r="ELX237"/>
      <c r="ELY237"/>
      <c r="ELZ237"/>
      <c r="EMA237"/>
      <c r="EMB237"/>
      <c r="EMC237"/>
      <c r="EMD237"/>
      <c r="EME237"/>
      <c r="EMF237"/>
      <c r="EMG237"/>
      <c r="EMH237"/>
      <c r="EMI237"/>
      <c r="EMJ237"/>
      <c r="EMK237"/>
      <c r="EML237"/>
      <c r="EMM237"/>
      <c r="EMN237"/>
      <c r="EMO237"/>
      <c r="EMP237"/>
      <c r="EMQ237"/>
      <c r="EMR237"/>
      <c r="EMS237"/>
      <c r="EMT237"/>
      <c r="EMU237"/>
      <c r="EMV237"/>
      <c r="EMW237"/>
      <c r="EMX237"/>
      <c r="EMY237"/>
      <c r="EMZ237"/>
      <c r="ENA237"/>
      <c r="ENB237"/>
      <c r="ENC237"/>
      <c r="END237"/>
      <c r="ENE237"/>
      <c r="ENF237"/>
      <c r="ENG237"/>
      <c r="ENH237"/>
      <c r="ENI237"/>
      <c r="ENJ237"/>
      <c r="ENK237"/>
      <c r="ENL237"/>
      <c r="ENM237"/>
      <c r="ENN237"/>
      <c r="ENO237"/>
      <c r="ENP237"/>
      <c r="ENQ237"/>
      <c r="ENR237"/>
      <c r="ENS237"/>
      <c r="ENT237"/>
      <c r="ENU237"/>
      <c r="ENV237"/>
      <c r="ENW237"/>
      <c r="ENX237"/>
      <c r="ENY237"/>
      <c r="ENZ237"/>
      <c r="EOA237"/>
      <c r="EOB237"/>
      <c r="EOC237"/>
      <c r="EOD237"/>
      <c r="EOE237"/>
      <c r="EOF237"/>
      <c r="EOG237"/>
      <c r="EOH237"/>
      <c r="EOI237"/>
      <c r="EOJ237"/>
      <c r="EOK237"/>
      <c r="EOL237"/>
      <c r="EOM237"/>
      <c r="EON237"/>
      <c r="EOO237"/>
      <c r="EOP237"/>
      <c r="EOQ237"/>
      <c r="EOR237"/>
      <c r="EOS237"/>
      <c r="EOT237"/>
      <c r="EOU237"/>
      <c r="EOV237"/>
      <c r="EOW237"/>
      <c r="EOX237"/>
      <c r="EOY237"/>
      <c r="EOZ237"/>
      <c r="EPA237"/>
      <c r="EPB237"/>
      <c r="EPC237"/>
      <c r="EPD237"/>
      <c r="EPE237"/>
      <c r="EPF237"/>
      <c r="EPG237"/>
      <c r="EPH237"/>
      <c r="EPI237"/>
      <c r="EPJ237"/>
      <c r="EPK237"/>
      <c r="EPL237"/>
      <c r="EPM237"/>
      <c r="EPN237"/>
      <c r="EPO237"/>
      <c r="EPP237"/>
      <c r="EPQ237"/>
      <c r="EPR237"/>
      <c r="EPS237"/>
      <c r="EPT237"/>
      <c r="EPU237"/>
      <c r="EPV237"/>
      <c r="EPW237"/>
      <c r="EPX237"/>
      <c r="EPY237"/>
      <c r="EPZ237"/>
      <c r="EQA237"/>
      <c r="EQB237"/>
      <c r="EQC237"/>
      <c r="EQD237"/>
      <c r="EQE237"/>
      <c r="EQF237"/>
      <c r="EQG237"/>
      <c r="EQH237"/>
      <c r="EQI237"/>
      <c r="EQJ237"/>
      <c r="EQK237"/>
      <c r="EQL237"/>
      <c r="EQM237"/>
      <c r="EQN237"/>
      <c r="EQO237"/>
      <c r="EQP237"/>
      <c r="EQQ237"/>
      <c r="EQR237"/>
      <c r="EQS237"/>
      <c r="EQT237"/>
      <c r="EQU237"/>
      <c r="EQV237"/>
      <c r="EQW237"/>
      <c r="EQX237"/>
      <c r="EQY237"/>
      <c r="EQZ237"/>
      <c r="ERA237"/>
      <c r="ERB237"/>
      <c r="ERC237"/>
      <c r="ERD237"/>
      <c r="ERE237"/>
      <c r="ERF237"/>
      <c r="ERG237"/>
      <c r="ERH237"/>
      <c r="ERI237"/>
      <c r="ERJ237"/>
      <c r="ERK237"/>
      <c r="ERL237"/>
      <c r="ERM237"/>
      <c r="ERN237"/>
      <c r="ERO237"/>
      <c r="ERP237"/>
      <c r="ERQ237"/>
      <c r="ERR237"/>
      <c r="ERS237"/>
      <c r="ERT237"/>
      <c r="ERU237"/>
      <c r="ERV237"/>
      <c r="ERW237"/>
      <c r="ERX237"/>
      <c r="ERY237"/>
      <c r="ERZ237"/>
      <c r="ESA237"/>
      <c r="ESB237"/>
      <c r="ESC237"/>
      <c r="ESD237"/>
      <c r="ESE237"/>
      <c r="ESF237"/>
      <c r="ESG237"/>
      <c r="ESH237"/>
      <c r="ESI237"/>
      <c r="ESJ237"/>
      <c r="ESK237"/>
      <c r="ESL237"/>
      <c r="ESM237"/>
      <c r="ESN237"/>
      <c r="ESO237"/>
      <c r="ESP237"/>
      <c r="ESQ237"/>
      <c r="ESR237"/>
      <c r="ESS237"/>
      <c r="EST237"/>
      <c r="ESU237"/>
      <c r="ESV237"/>
      <c r="ESW237"/>
      <c r="ESX237"/>
      <c r="ESY237"/>
      <c r="ESZ237"/>
      <c r="ETA237"/>
      <c r="ETB237"/>
      <c r="ETC237"/>
      <c r="ETD237"/>
      <c r="ETE237"/>
      <c r="ETF237"/>
      <c r="ETG237"/>
      <c r="ETH237"/>
      <c r="ETI237"/>
      <c r="ETJ237"/>
      <c r="ETK237"/>
      <c r="ETL237"/>
      <c r="ETM237"/>
      <c r="ETN237"/>
      <c r="ETO237"/>
      <c r="ETP237"/>
      <c r="ETQ237"/>
      <c r="ETR237"/>
      <c r="ETS237"/>
      <c r="ETT237"/>
      <c r="ETU237"/>
      <c r="ETV237"/>
      <c r="ETW237"/>
      <c r="ETX237"/>
      <c r="ETY237"/>
      <c r="ETZ237"/>
      <c r="EUA237"/>
      <c r="EUB237"/>
      <c r="EUC237"/>
      <c r="EUD237"/>
      <c r="EUE237"/>
      <c r="EUF237"/>
      <c r="EUG237"/>
      <c r="EUH237"/>
      <c r="EUI237"/>
      <c r="EUJ237"/>
      <c r="EUK237"/>
      <c r="EUL237"/>
      <c r="EUM237"/>
      <c r="EUN237"/>
      <c r="EUO237"/>
      <c r="EUP237"/>
      <c r="EUQ237"/>
      <c r="EUR237"/>
      <c r="EUS237"/>
      <c r="EUT237"/>
      <c r="EUU237"/>
      <c r="EUV237"/>
      <c r="EUW237"/>
      <c r="EUX237"/>
      <c r="EUY237"/>
      <c r="EUZ237"/>
      <c r="EVA237"/>
      <c r="EVB237"/>
      <c r="EVC237"/>
      <c r="EVD237"/>
      <c r="EVE237"/>
      <c r="EVF237"/>
      <c r="EVG237"/>
      <c r="EVH237"/>
      <c r="EVI237"/>
      <c r="EVJ237"/>
      <c r="EVK237"/>
      <c r="EVL237"/>
      <c r="EVM237"/>
      <c r="EVN237"/>
      <c r="EVO237"/>
      <c r="EVP237"/>
      <c r="EVQ237"/>
      <c r="EVR237"/>
      <c r="EVS237"/>
      <c r="EVT237"/>
      <c r="EVU237"/>
      <c r="EVV237"/>
      <c r="EVW237"/>
      <c r="EVX237"/>
      <c r="EVY237"/>
      <c r="EVZ237"/>
      <c r="EWA237"/>
      <c r="EWB237"/>
      <c r="EWC237"/>
      <c r="EWD237"/>
      <c r="EWE237"/>
      <c r="EWF237"/>
      <c r="EWG237"/>
      <c r="EWH237"/>
      <c r="EWI237"/>
      <c r="EWJ237"/>
      <c r="EWK237"/>
      <c r="EWL237"/>
      <c r="EWM237"/>
      <c r="EWN237"/>
      <c r="EWO237"/>
      <c r="EWP237"/>
      <c r="EWQ237"/>
      <c r="EWR237"/>
      <c r="EWS237"/>
      <c r="EWT237"/>
      <c r="EWU237"/>
      <c r="EWV237"/>
      <c r="EWW237"/>
      <c r="EWX237"/>
      <c r="EWY237"/>
      <c r="EWZ237"/>
      <c r="EXA237"/>
      <c r="EXB237"/>
      <c r="EXC237"/>
      <c r="EXD237"/>
      <c r="EXE237"/>
      <c r="EXF237"/>
      <c r="EXG237"/>
      <c r="EXH237"/>
      <c r="EXI237"/>
      <c r="EXJ237"/>
      <c r="EXK237"/>
      <c r="EXL237"/>
      <c r="EXM237"/>
      <c r="EXN237"/>
      <c r="EXO237"/>
      <c r="EXP237"/>
      <c r="EXQ237"/>
      <c r="EXR237"/>
      <c r="EXS237"/>
      <c r="EXT237"/>
      <c r="EXU237"/>
      <c r="EXV237"/>
      <c r="EXW237"/>
      <c r="EXX237"/>
      <c r="EXY237"/>
      <c r="EXZ237"/>
      <c r="EYA237"/>
      <c r="EYB237"/>
      <c r="EYC237"/>
      <c r="EYD237"/>
      <c r="EYE237"/>
      <c r="EYF237"/>
      <c r="EYG237"/>
      <c r="EYH237"/>
      <c r="EYI237"/>
      <c r="EYJ237"/>
      <c r="EYK237"/>
      <c r="EYL237"/>
      <c r="EYM237"/>
      <c r="EYN237"/>
      <c r="EYO237"/>
      <c r="EYP237"/>
      <c r="EYQ237"/>
      <c r="EYR237"/>
      <c r="EYS237"/>
      <c r="EYT237"/>
      <c r="EYU237"/>
      <c r="EYV237"/>
      <c r="EYW237"/>
      <c r="EYX237"/>
      <c r="EYY237"/>
      <c r="EYZ237"/>
      <c r="EZA237"/>
      <c r="EZB237"/>
      <c r="EZC237"/>
      <c r="EZD237"/>
      <c r="EZE237"/>
      <c r="EZF237"/>
      <c r="EZG237"/>
      <c r="EZH237"/>
      <c r="EZI237"/>
      <c r="EZJ237"/>
      <c r="EZK237"/>
      <c r="EZL237"/>
      <c r="EZM237"/>
      <c r="EZN237"/>
      <c r="EZO237"/>
      <c r="EZP237"/>
      <c r="EZQ237"/>
      <c r="EZR237"/>
      <c r="EZS237"/>
      <c r="EZT237"/>
      <c r="EZU237"/>
      <c r="EZV237"/>
      <c r="EZW237"/>
      <c r="EZX237"/>
      <c r="EZY237"/>
      <c r="EZZ237"/>
      <c r="FAA237"/>
      <c r="FAB237"/>
      <c r="FAC237"/>
      <c r="FAD237"/>
      <c r="FAE237"/>
      <c r="FAF237"/>
      <c r="FAG237"/>
      <c r="FAH237"/>
      <c r="FAI237"/>
      <c r="FAJ237"/>
      <c r="FAK237"/>
      <c r="FAL237"/>
      <c r="FAM237"/>
      <c r="FAN237"/>
      <c r="FAO237"/>
      <c r="FAP237"/>
      <c r="FAQ237"/>
      <c r="FAR237"/>
      <c r="FAS237"/>
      <c r="FAT237"/>
      <c r="FAU237"/>
      <c r="FAV237"/>
      <c r="FAW237"/>
      <c r="FAX237"/>
      <c r="FAY237"/>
      <c r="FAZ237"/>
      <c r="FBA237"/>
      <c r="FBB237"/>
      <c r="FBC237"/>
      <c r="FBD237"/>
      <c r="FBE237"/>
      <c r="FBF237"/>
      <c r="FBG237"/>
      <c r="FBH237"/>
      <c r="FBI237"/>
      <c r="FBJ237"/>
      <c r="FBK237"/>
      <c r="FBL237"/>
      <c r="FBM237"/>
      <c r="FBN237"/>
      <c r="FBO237"/>
      <c r="FBP237"/>
      <c r="FBQ237"/>
      <c r="FBR237"/>
      <c r="FBS237"/>
      <c r="FBT237"/>
      <c r="FBU237"/>
      <c r="FBV237"/>
      <c r="FBW237"/>
      <c r="FBX237"/>
      <c r="FBY237"/>
      <c r="FBZ237"/>
      <c r="FCA237"/>
      <c r="FCB237"/>
      <c r="FCC237"/>
      <c r="FCD237"/>
      <c r="FCE237"/>
      <c r="FCF237"/>
      <c r="FCG237"/>
      <c r="FCH237"/>
      <c r="FCI237"/>
      <c r="FCJ237"/>
      <c r="FCK237"/>
      <c r="FCL237"/>
      <c r="FCM237"/>
      <c r="FCN237"/>
      <c r="FCO237"/>
      <c r="FCP237"/>
      <c r="FCQ237"/>
      <c r="FCR237"/>
      <c r="FCS237"/>
      <c r="FCT237"/>
      <c r="FCU237"/>
      <c r="FCV237"/>
      <c r="FCW237"/>
      <c r="FCX237"/>
      <c r="FCY237"/>
      <c r="FCZ237"/>
      <c r="FDA237"/>
      <c r="FDB237"/>
      <c r="FDC237"/>
      <c r="FDD237"/>
      <c r="FDE237"/>
      <c r="FDF237"/>
      <c r="FDG237"/>
      <c r="FDH237"/>
      <c r="FDI237"/>
      <c r="FDJ237"/>
      <c r="FDK237"/>
      <c r="FDL237"/>
      <c r="FDM237"/>
      <c r="FDN237"/>
      <c r="FDO237"/>
      <c r="FDP237"/>
      <c r="FDQ237"/>
      <c r="FDR237"/>
      <c r="FDS237"/>
      <c r="FDT237"/>
      <c r="FDU237"/>
      <c r="FDV237"/>
      <c r="FDW237"/>
      <c r="FDX237"/>
      <c r="FDY237"/>
      <c r="FDZ237"/>
      <c r="FEA237"/>
      <c r="FEB237"/>
      <c r="FEC237"/>
      <c r="FED237"/>
      <c r="FEE237"/>
      <c r="FEF237"/>
      <c r="FEG237"/>
      <c r="FEH237"/>
      <c r="FEI237"/>
      <c r="FEJ237"/>
      <c r="FEK237"/>
      <c r="FEL237"/>
      <c r="FEM237"/>
      <c r="FEN237"/>
      <c r="FEO237"/>
      <c r="FEP237"/>
      <c r="FEQ237"/>
      <c r="FER237"/>
      <c r="FES237"/>
      <c r="FET237"/>
      <c r="FEU237"/>
      <c r="FEV237"/>
      <c r="FEW237"/>
      <c r="FEX237"/>
      <c r="FEY237"/>
      <c r="FEZ237"/>
      <c r="FFA237"/>
      <c r="FFB237"/>
      <c r="FFC237"/>
      <c r="FFD237"/>
      <c r="FFE237"/>
      <c r="FFF237"/>
      <c r="FFG237"/>
      <c r="FFH237"/>
      <c r="FFI237"/>
      <c r="FFJ237"/>
      <c r="FFK237"/>
      <c r="FFL237"/>
      <c r="FFM237"/>
      <c r="FFN237"/>
      <c r="FFO237"/>
      <c r="FFP237"/>
      <c r="FFQ237"/>
      <c r="FFR237"/>
      <c r="FFS237"/>
      <c r="FFT237"/>
      <c r="FFU237"/>
      <c r="FFV237"/>
      <c r="FFW237"/>
      <c r="FFX237"/>
      <c r="FFY237"/>
      <c r="FFZ237"/>
      <c r="FGA237"/>
      <c r="FGB237"/>
      <c r="FGC237"/>
      <c r="FGD237"/>
      <c r="FGE237"/>
      <c r="FGF237"/>
      <c r="FGG237"/>
      <c r="FGH237"/>
      <c r="FGI237"/>
      <c r="FGJ237"/>
      <c r="FGK237"/>
      <c r="FGL237"/>
      <c r="FGM237"/>
      <c r="FGN237"/>
      <c r="FGO237"/>
      <c r="FGP237"/>
      <c r="FGQ237"/>
      <c r="FGR237"/>
      <c r="FGS237"/>
      <c r="FGT237"/>
      <c r="FGU237"/>
      <c r="FGV237"/>
      <c r="FGW237"/>
      <c r="FGX237"/>
      <c r="FGY237"/>
      <c r="FGZ237"/>
      <c r="FHA237"/>
      <c r="FHB237"/>
      <c r="FHC237"/>
      <c r="FHD237"/>
      <c r="FHE237"/>
      <c r="FHF237"/>
      <c r="FHG237"/>
      <c r="FHH237"/>
      <c r="FHI237"/>
      <c r="FHJ237"/>
      <c r="FHK237"/>
      <c r="FHL237"/>
      <c r="FHM237"/>
      <c r="FHN237"/>
      <c r="FHO237"/>
      <c r="FHP237"/>
      <c r="FHQ237"/>
      <c r="FHR237"/>
      <c r="FHS237"/>
      <c r="FHT237"/>
      <c r="FHU237"/>
      <c r="FHV237"/>
      <c r="FHW237"/>
      <c r="FHX237"/>
      <c r="FHY237"/>
      <c r="FHZ237"/>
      <c r="FIA237"/>
      <c r="FIB237"/>
      <c r="FIC237"/>
      <c r="FID237"/>
      <c r="FIE237"/>
      <c r="FIF237"/>
      <c r="FIG237"/>
      <c r="FIH237"/>
      <c r="FII237"/>
      <c r="FIJ237"/>
      <c r="FIK237"/>
      <c r="FIL237"/>
      <c r="FIM237"/>
      <c r="FIN237"/>
      <c r="FIO237"/>
      <c r="FIP237"/>
      <c r="FIQ237"/>
      <c r="FIR237"/>
      <c r="FIS237"/>
      <c r="FIT237"/>
      <c r="FIU237"/>
      <c r="FIV237"/>
      <c r="FIW237"/>
      <c r="FIX237"/>
      <c r="FIY237"/>
      <c r="FIZ237"/>
      <c r="FJA237"/>
      <c r="FJB237"/>
      <c r="FJC237"/>
      <c r="FJD237"/>
      <c r="FJE237"/>
      <c r="FJF237"/>
      <c r="FJG237"/>
      <c r="FJH237"/>
      <c r="FJI237"/>
      <c r="FJJ237"/>
      <c r="FJK237"/>
      <c r="FJL237"/>
      <c r="FJM237"/>
      <c r="FJN237"/>
      <c r="FJO237"/>
      <c r="FJP237"/>
      <c r="FJQ237"/>
      <c r="FJR237"/>
      <c r="FJS237"/>
      <c r="FJT237"/>
      <c r="FJU237"/>
      <c r="FJV237"/>
      <c r="FJW237"/>
      <c r="FJX237"/>
      <c r="FJY237"/>
      <c r="FJZ237"/>
      <c r="FKA237"/>
      <c r="FKB237"/>
      <c r="FKC237"/>
      <c r="FKD237"/>
      <c r="FKE237"/>
      <c r="FKF237"/>
      <c r="FKG237"/>
      <c r="FKH237"/>
      <c r="FKI237"/>
      <c r="FKJ237"/>
      <c r="FKK237"/>
      <c r="FKL237"/>
      <c r="FKM237"/>
      <c r="FKN237"/>
      <c r="FKO237"/>
      <c r="FKP237"/>
      <c r="FKQ237"/>
      <c r="FKR237"/>
      <c r="FKS237"/>
      <c r="FKT237"/>
      <c r="FKU237"/>
      <c r="FKV237"/>
      <c r="FKW237"/>
      <c r="FKX237"/>
      <c r="FKY237"/>
      <c r="FKZ237"/>
      <c r="FLA237"/>
      <c r="FLB237"/>
      <c r="FLC237"/>
      <c r="FLD237"/>
      <c r="FLE237"/>
      <c r="FLF237"/>
      <c r="FLG237"/>
      <c r="FLH237"/>
      <c r="FLI237"/>
      <c r="FLJ237"/>
      <c r="FLK237"/>
      <c r="FLL237"/>
      <c r="FLM237"/>
      <c r="FLN237"/>
      <c r="FLO237"/>
      <c r="FLP237"/>
      <c r="FLQ237"/>
      <c r="FLR237"/>
      <c r="FLS237"/>
      <c r="FLT237"/>
      <c r="FLU237"/>
      <c r="FLV237"/>
      <c r="FLW237"/>
      <c r="FLX237"/>
      <c r="FLY237"/>
      <c r="FLZ237"/>
      <c r="FMA237"/>
      <c r="FMB237"/>
      <c r="FMC237"/>
      <c r="FMD237"/>
      <c r="FME237"/>
      <c r="FMF237"/>
      <c r="FMG237"/>
      <c r="FMH237"/>
      <c r="FMI237"/>
      <c r="FMJ237"/>
      <c r="FMK237"/>
      <c r="FML237"/>
      <c r="FMM237"/>
      <c r="FMN237"/>
      <c r="FMO237"/>
      <c r="FMP237"/>
      <c r="FMQ237"/>
      <c r="FMR237"/>
      <c r="FMS237"/>
      <c r="FMT237"/>
      <c r="FMU237"/>
      <c r="FMV237"/>
      <c r="FMW237"/>
      <c r="FMX237"/>
      <c r="FMY237"/>
      <c r="FMZ237"/>
      <c r="FNA237"/>
      <c r="FNB237"/>
      <c r="FNC237"/>
      <c r="FND237"/>
      <c r="FNE237"/>
      <c r="FNF237"/>
      <c r="FNG237"/>
      <c r="FNH237"/>
      <c r="FNI237"/>
      <c r="FNJ237"/>
      <c r="FNK237"/>
      <c r="FNL237"/>
      <c r="FNM237"/>
      <c r="FNN237"/>
      <c r="FNO237"/>
      <c r="FNP237"/>
      <c r="FNQ237"/>
      <c r="FNR237"/>
      <c r="FNS237"/>
      <c r="FNT237"/>
      <c r="FNU237"/>
      <c r="FNV237"/>
      <c r="FNW237"/>
      <c r="FNX237"/>
      <c r="FNY237"/>
      <c r="FNZ237"/>
      <c r="FOA237"/>
      <c r="FOB237"/>
      <c r="FOC237"/>
      <c r="FOD237"/>
      <c r="FOE237"/>
      <c r="FOF237"/>
      <c r="FOG237"/>
      <c r="FOH237"/>
      <c r="FOI237"/>
      <c r="FOJ237"/>
      <c r="FOK237"/>
      <c r="FOL237"/>
      <c r="FOM237"/>
      <c r="FON237"/>
      <c r="FOO237"/>
      <c r="FOP237"/>
      <c r="FOQ237"/>
      <c r="FOR237"/>
      <c r="FOS237"/>
      <c r="FOT237"/>
      <c r="FOU237"/>
      <c r="FOV237"/>
      <c r="FOW237"/>
      <c r="FOX237"/>
      <c r="FOY237"/>
      <c r="FOZ237"/>
      <c r="FPA237"/>
      <c r="FPB237"/>
      <c r="FPC237"/>
      <c r="FPD237"/>
      <c r="FPE237"/>
      <c r="FPF237"/>
      <c r="FPG237"/>
      <c r="FPH237"/>
      <c r="FPI237"/>
      <c r="FPJ237"/>
      <c r="FPK237"/>
      <c r="FPL237"/>
      <c r="FPM237"/>
      <c r="FPN237"/>
      <c r="FPO237"/>
      <c r="FPP237"/>
      <c r="FPQ237"/>
      <c r="FPR237"/>
      <c r="FPS237"/>
      <c r="FPT237"/>
      <c r="FPU237"/>
      <c r="FPV237"/>
      <c r="FPW237"/>
      <c r="FPX237"/>
      <c r="FPY237"/>
      <c r="FPZ237"/>
      <c r="FQA237"/>
      <c r="FQB237"/>
      <c r="FQC237"/>
      <c r="FQD237"/>
      <c r="FQE237"/>
      <c r="FQF237"/>
      <c r="FQG237"/>
      <c r="FQH237"/>
      <c r="FQI237"/>
      <c r="FQJ237"/>
      <c r="FQK237"/>
      <c r="FQL237"/>
      <c r="FQM237"/>
      <c r="FQN237"/>
      <c r="FQO237"/>
      <c r="FQP237"/>
      <c r="FQQ237"/>
      <c r="FQR237"/>
      <c r="FQS237"/>
      <c r="FQT237"/>
      <c r="FQU237"/>
      <c r="FQV237"/>
      <c r="FQW237"/>
      <c r="FQX237"/>
      <c r="FQY237"/>
      <c r="FQZ237"/>
      <c r="FRA237"/>
      <c r="FRB237"/>
      <c r="FRC237"/>
      <c r="FRD237"/>
      <c r="FRE237"/>
      <c r="FRF237"/>
      <c r="FRG237"/>
      <c r="FRH237"/>
      <c r="FRI237"/>
      <c r="FRJ237"/>
      <c r="FRK237"/>
      <c r="FRL237"/>
      <c r="FRM237"/>
      <c r="FRN237"/>
      <c r="FRO237"/>
      <c r="FRP237"/>
      <c r="FRQ237"/>
      <c r="FRR237"/>
      <c r="FRS237"/>
      <c r="FRT237"/>
      <c r="FRU237"/>
      <c r="FRV237"/>
      <c r="FRW237"/>
      <c r="FRX237"/>
      <c r="FRY237"/>
      <c r="FRZ237"/>
      <c r="FSA237"/>
      <c r="FSB237"/>
      <c r="FSC237"/>
      <c r="FSD237"/>
      <c r="FSE237"/>
      <c r="FSF237"/>
      <c r="FSG237"/>
      <c r="FSH237"/>
      <c r="FSI237"/>
      <c r="FSJ237"/>
      <c r="FSK237"/>
      <c r="FSL237"/>
      <c r="FSM237"/>
      <c r="FSN237"/>
      <c r="FSO237"/>
      <c r="FSP237"/>
      <c r="FSQ237"/>
      <c r="FSR237"/>
      <c r="FSS237"/>
      <c r="FST237"/>
      <c r="FSU237"/>
      <c r="FSV237"/>
      <c r="FSW237"/>
      <c r="FSX237"/>
      <c r="FSY237"/>
      <c r="FSZ237"/>
      <c r="FTA237"/>
      <c r="FTB237"/>
      <c r="FTC237"/>
      <c r="FTD237"/>
      <c r="FTE237"/>
      <c r="FTF237"/>
      <c r="FTG237"/>
      <c r="FTH237"/>
      <c r="FTI237"/>
      <c r="FTJ237"/>
      <c r="FTK237"/>
      <c r="FTL237"/>
      <c r="FTM237"/>
      <c r="FTN237"/>
      <c r="FTO237"/>
      <c r="FTP237"/>
      <c r="FTQ237"/>
      <c r="FTR237"/>
      <c r="FTS237"/>
      <c r="FTT237"/>
      <c r="FTU237"/>
      <c r="FTV237"/>
      <c r="FTW237"/>
      <c r="FTX237"/>
      <c r="FTY237"/>
      <c r="FTZ237"/>
      <c r="FUA237"/>
      <c r="FUB237"/>
      <c r="FUC237"/>
      <c r="FUD237"/>
      <c r="FUE237"/>
      <c r="FUF237"/>
      <c r="FUG237"/>
      <c r="FUH237"/>
      <c r="FUI237"/>
      <c r="FUJ237"/>
      <c r="FUK237"/>
      <c r="FUL237"/>
      <c r="FUM237"/>
      <c r="FUN237"/>
      <c r="FUO237"/>
      <c r="FUP237"/>
      <c r="FUQ237"/>
      <c r="FUR237"/>
      <c r="FUS237"/>
      <c r="FUT237"/>
      <c r="FUU237"/>
      <c r="FUV237"/>
      <c r="FUW237"/>
      <c r="FUX237"/>
      <c r="FUY237"/>
      <c r="FUZ237"/>
      <c r="FVA237"/>
      <c r="FVB237"/>
      <c r="FVC237"/>
      <c r="FVD237"/>
      <c r="FVE237"/>
      <c r="FVF237"/>
      <c r="FVG237"/>
      <c r="FVH237"/>
      <c r="FVI237"/>
      <c r="FVJ237"/>
      <c r="FVK237"/>
      <c r="FVL237"/>
      <c r="FVM237"/>
      <c r="FVN237"/>
      <c r="FVO237"/>
      <c r="FVP237"/>
      <c r="FVQ237"/>
      <c r="FVR237"/>
      <c r="FVS237"/>
      <c r="FVT237"/>
      <c r="FVU237"/>
      <c r="FVV237"/>
      <c r="FVW237"/>
      <c r="FVX237"/>
      <c r="FVY237"/>
      <c r="FVZ237"/>
      <c r="FWA237"/>
      <c r="FWB237"/>
      <c r="FWC237"/>
      <c r="FWD237"/>
      <c r="FWE237"/>
      <c r="FWF237"/>
      <c r="FWG237"/>
      <c r="FWH237"/>
      <c r="FWI237"/>
      <c r="FWJ237"/>
      <c r="FWK237"/>
      <c r="FWL237"/>
      <c r="FWM237"/>
      <c r="FWN237"/>
      <c r="FWO237"/>
      <c r="FWP237"/>
      <c r="FWQ237"/>
      <c r="FWR237"/>
      <c r="FWS237"/>
      <c r="FWT237"/>
      <c r="FWU237"/>
      <c r="FWV237"/>
      <c r="FWW237"/>
      <c r="FWX237"/>
      <c r="FWY237"/>
      <c r="FWZ237"/>
      <c r="FXA237"/>
      <c r="FXB237"/>
      <c r="FXC237"/>
      <c r="FXD237"/>
      <c r="FXE237"/>
      <c r="FXF237"/>
      <c r="FXG237"/>
      <c r="FXH237"/>
      <c r="FXI237"/>
      <c r="FXJ237"/>
      <c r="FXK237"/>
      <c r="FXL237"/>
      <c r="FXM237"/>
      <c r="FXN237"/>
      <c r="FXO237"/>
      <c r="FXP237"/>
      <c r="FXQ237"/>
      <c r="FXR237"/>
      <c r="FXS237"/>
      <c r="FXT237"/>
      <c r="FXU237"/>
      <c r="FXV237"/>
      <c r="FXW237"/>
      <c r="FXX237"/>
      <c r="FXY237"/>
      <c r="FXZ237"/>
      <c r="FYA237"/>
      <c r="FYB237"/>
      <c r="FYC237"/>
      <c r="FYD237"/>
      <c r="FYE237"/>
      <c r="FYF237"/>
      <c r="FYG237"/>
      <c r="FYH237"/>
      <c r="FYI237"/>
      <c r="FYJ237"/>
      <c r="FYK237"/>
      <c r="FYL237"/>
      <c r="FYM237"/>
      <c r="FYN237"/>
      <c r="FYO237"/>
      <c r="FYP237"/>
      <c r="FYQ237"/>
      <c r="FYR237"/>
      <c r="FYS237"/>
      <c r="FYT237"/>
      <c r="FYU237"/>
      <c r="FYV237"/>
      <c r="FYW237"/>
      <c r="FYX237"/>
      <c r="FYY237"/>
      <c r="FYZ237"/>
      <c r="FZA237"/>
      <c r="FZB237"/>
      <c r="FZC237"/>
      <c r="FZD237"/>
      <c r="FZE237"/>
      <c r="FZF237"/>
      <c r="FZG237"/>
      <c r="FZH237"/>
      <c r="FZI237"/>
      <c r="FZJ237"/>
      <c r="FZK237"/>
      <c r="FZL237"/>
      <c r="FZM237"/>
      <c r="FZN237"/>
      <c r="FZO237"/>
      <c r="FZP237"/>
      <c r="FZQ237"/>
      <c r="FZR237"/>
      <c r="FZS237"/>
      <c r="FZT237"/>
      <c r="FZU237"/>
      <c r="FZV237"/>
      <c r="FZW237"/>
      <c r="FZX237"/>
      <c r="FZY237"/>
      <c r="FZZ237"/>
      <c r="GAA237"/>
      <c r="GAB237"/>
      <c r="GAC237"/>
      <c r="GAD237"/>
      <c r="GAE237"/>
      <c r="GAF237"/>
      <c r="GAG237"/>
      <c r="GAH237"/>
      <c r="GAI237"/>
      <c r="GAJ237"/>
      <c r="GAK237"/>
      <c r="GAL237"/>
      <c r="GAM237"/>
      <c r="GAN237"/>
      <c r="GAO237"/>
      <c r="GAP237"/>
      <c r="GAQ237"/>
      <c r="GAR237"/>
      <c r="GAS237"/>
      <c r="GAT237"/>
      <c r="GAU237"/>
      <c r="GAV237"/>
      <c r="GAW237"/>
      <c r="GAX237"/>
      <c r="GAY237"/>
      <c r="GAZ237"/>
      <c r="GBA237"/>
      <c r="GBB237"/>
      <c r="GBC237"/>
      <c r="GBD237"/>
      <c r="GBE237"/>
      <c r="GBF237"/>
      <c r="GBG237"/>
      <c r="GBH237"/>
      <c r="GBI237"/>
      <c r="GBJ237"/>
      <c r="GBK237"/>
      <c r="GBL237"/>
      <c r="GBM237"/>
      <c r="GBN237"/>
      <c r="GBO237"/>
      <c r="GBP237"/>
      <c r="GBQ237"/>
      <c r="GBR237"/>
      <c r="GBS237"/>
      <c r="GBT237"/>
      <c r="GBU237"/>
      <c r="GBV237"/>
      <c r="GBW237"/>
      <c r="GBX237"/>
      <c r="GBY237"/>
      <c r="GBZ237"/>
      <c r="GCA237"/>
      <c r="GCB237"/>
      <c r="GCC237"/>
      <c r="GCD237"/>
      <c r="GCE237"/>
      <c r="GCF237"/>
      <c r="GCG237"/>
      <c r="GCH237"/>
      <c r="GCI237"/>
      <c r="GCJ237"/>
      <c r="GCK237"/>
      <c r="GCL237"/>
      <c r="GCM237"/>
      <c r="GCN237"/>
      <c r="GCO237"/>
      <c r="GCP237"/>
      <c r="GCQ237"/>
      <c r="GCR237"/>
      <c r="GCS237"/>
      <c r="GCT237"/>
      <c r="GCU237"/>
      <c r="GCV237"/>
      <c r="GCW237"/>
      <c r="GCX237"/>
      <c r="GCY237"/>
      <c r="GCZ237"/>
      <c r="GDA237"/>
      <c r="GDB237"/>
      <c r="GDC237"/>
      <c r="GDD237"/>
      <c r="GDE237"/>
      <c r="GDF237"/>
      <c r="GDG237"/>
      <c r="GDH237"/>
      <c r="GDI237"/>
      <c r="GDJ237"/>
      <c r="GDK237"/>
      <c r="GDL237"/>
      <c r="GDM237"/>
      <c r="GDN237"/>
      <c r="GDO237"/>
      <c r="GDP237"/>
      <c r="GDQ237"/>
      <c r="GDR237"/>
      <c r="GDS237"/>
      <c r="GDT237"/>
      <c r="GDU237"/>
      <c r="GDV237"/>
      <c r="GDW237"/>
      <c r="GDX237"/>
      <c r="GDY237"/>
      <c r="GDZ237"/>
      <c r="GEA237"/>
      <c r="GEB237"/>
      <c r="GEC237"/>
      <c r="GED237"/>
      <c r="GEE237"/>
      <c r="GEF237"/>
      <c r="GEG237"/>
      <c r="GEH237"/>
      <c r="GEI237"/>
      <c r="GEJ237"/>
      <c r="GEK237"/>
      <c r="GEL237"/>
      <c r="GEM237"/>
      <c r="GEN237"/>
      <c r="GEO237"/>
      <c r="GEP237"/>
      <c r="GEQ237"/>
      <c r="GER237"/>
      <c r="GES237"/>
      <c r="GET237"/>
      <c r="GEU237"/>
      <c r="GEV237"/>
      <c r="GEW237"/>
      <c r="GEX237"/>
      <c r="GEY237"/>
      <c r="GEZ237"/>
      <c r="GFA237"/>
      <c r="GFB237"/>
      <c r="GFC237"/>
      <c r="GFD237"/>
      <c r="GFE237"/>
      <c r="GFF237"/>
      <c r="GFG237"/>
      <c r="GFH237"/>
      <c r="GFI237"/>
      <c r="GFJ237"/>
      <c r="GFK237"/>
      <c r="GFL237"/>
      <c r="GFM237"/>
      <c r="GFN237"/>
      <c r="GFO237"/>
      <c r="GFP237"/>
      <c r="GFQ237"/>
      <c r="GFR237"/>
      <c r="GFS237"/>
      <c r="GFT237"/>
      <c r="GFU237"/>
      <c r="GFV237"/>
      <c r="GFW237"/>
      <c r="GFX237"/>
      <c r="GFY237"/>
      <c r="GFZ237"/>
      <c r="GGA237"/>
      <c r="GGB237"/>
      <c r="GGC237"/>
      <c r="GGD237"/>
      <c r="GGE237"/>
      <c r="GGF237"/>
      <c r="GGG237"/>
      <c r="GGH237"/>
      <c r="GGI237"/>
      <c r="GGJ237"/>
      <c r="GGK237"/>
      <c r="GGL237"/>
      <c r="GGM237"/>
      <c r="GGN237"/>
      <c r="GGO237"/>
      <c r="GGP237"/>
      <c r="GGQ237"/>
      <c r="GGR237"/>
      <c r="GGS237"/>
      <c r="GGT237"/>
      <c r="GGU237"/>
      <c r="GGV237"/>
      <c r="GGW237"/>
      <c r="GGX237"/>
      <c r="GGY237"/>
      <c r="GGZ237"/>
      <c r="GHA237"/>
      <c r="GHB237"/>
      <c r="GHC237"/>
      <c r="GHD237"/>
      <c r="GHE237"/>
      <c r="GHF237"/>
      <c r="GHG237"/>
      <c r="GHH237"/>
      <c r="GHI237"/>
      <c r="GHJ237"/>
      <c r="GHK237"/>
      <c r="GHL237"/>
      <c r="GHM237"/>
      <c r="GHN237"/>
      <c r="GHO237"/>
      <c r="GHP237"/>
      <c r="GHQ237"/>
      <c r="GHR237"/>
      <c r="GHS237"/>
      <c r="GHT237"/>
      <c r="GHU237"/>
      <c r="GHV237"/>
      <c r="GHW237"/>
      <c r="GHX237"/>
      <c r="GHY237"/>
      <c r="GHZ237"/>
      <c r="GIA237"/>
      <c r="GIB237"/>
      <c r="GIC237"/>
      <c r="GID237"/>
      <c r="GIE237"/>
      <c r="GIF237"/>
      <c r="GIG237"/>
      <c r="GIH237"/>
      <c r="GII237"/>
      <c r="GIJ237"/>
      <c r="GIK237"/>
      <c r="GIL237"/>
      <c r="GIM237"/>
      <c r="GIN237"/>
      <c r="GIO237"/>
      <c r="GIP237"/>
      <c r="GIQ237"/>
      <c r="GIR237"/>
      <c r="GIS237"/>
      <c r="GIT237"/>
      <c r="GIU237"/>
      <c r="GIV237"/>
      <c r="GIW237"/>
      <c r="GIX237"/>
      <c r="GIY237"/>
      <c r="GIZ237"/>
      <c r="GJA237"/>
      <c r="GJB237"/>
      <c r="GJC237"/>
      <c r="GJD237"/>
      <c r="GJE237"/>
      <c r="GJF237"/>
      <c r="GJG237"/>
      <c r="GJH237"/>
      <c r="GJI237"/>
      <c r="GJJ237"/>
      <c r="GJK237"/>
      <c r="GJL237"/>
      <c r="GJM237"/>
      <c r="GJN237"/>
      <c r="GJO237"/>
      <c r="GJP237"/>
      <c r="GJQ237"/>
      <c r="GJR237"/>
      <c r="GJS237"/>
      <c r="GJT237"/>
      <c r="GJU237"/>
      <c r="GJV237"/>
      <c r="GJW237"/>
      <c r="GJX237"/>
      <c r="GJY237"/>
      <c r="GJZ237"/>
      <c r="GKA237"/>
      <c r="GKB237"/>
      <c r="GKC237"/>
      <c r="GKD237"/>
      <c r="GKE237"/>
      <c r="GKF237"/>
      <c r="GKG237"/>
      <c r="GKH237"/>
      <c r="GKI237"/>
      <c r="GKJ237"/>
      <c r="GKK237"/>
      <c r="GKL237"/>
      <c r="GKM237"/>
      <c r="GKN237"/>
      <c r="GKO237"/>
      <c r="GKP237"/>
      <c r="GKQ237"/>
      <c r="GKR237"/>
      <c r="GKS237"/>
      <c r="GKT237"/>
      <c r="GKU237"/>
      <c r="GKV237"/>
      <c r="GKW237"/>
      <c r="GKX237"/>
      <c r="GKY237"/>
      <c r="GKZ237"/>
      <c r="GLA237"/>
      <c r="GLB237"/>
      <c r="GLC237"/>
      <c r="GLD237"/>
      <c r="GLE237"/>
      <c r="GLF237"/>
      <c r="GLG237"/>
      <c r="GLH237"/>
      <c r="GLI237"/>
      <c r="GLJ237"/>
      <c r="GLK237"/>
      <c r="GLL237"/>
      <c r="GLM237"/>
      <c r="GLN237"/>
      <c r="GLO237"/>
      <c r="GLP237"/>
      <c r="GLQ237"/>
      <c r="GLR237"/>
      <c r="GLS237"/>
      <c r="GLT237"/>
      <c r="GLU237"/>
      <c r="GLV237"/>
      <c r="GLW237"/>
      <c r="GLX237"/>
      <c r="GLY237"/>
      <c r="GLZ237"/>
      <c r="GMA237"/>
      <c r="GMB237"/>
      <c r="GMC237"/>
      <c r="GMD237"/>
      <c r="GME237"/>
      <c r="GMF237"/>
      <c r="GMG237"/>
      <c r="GMH237"/>
      <c r="GMI237"/>
      <c r="GMJ237"/>
      <c r="GMK237"/>
      <c r="GML237"/>
      <c r="GMM237"/>
      <c r="GMN237"/>
      <c r="GMO237"/>
      <c r="GMP237"/>
      <c r="GMQ237"/>
      <c r="GMR237"/>
      <c r="GMS237"/>
      <c r="GMT237"/>
      <c r="GMU237"/>
      <c r="GMV237"/>
      <c r="GMW237"/>
      <c r="GMX237"/>
      <c r="GMY237"/>
      <c r="GMZ237"/>
      <c r="GNA237"/>
      <c r="GNB237"/>
      <c r="GNC237"/>
      <c r="GND237"/>
      <c r="GNE237"/>
      <c r="GNF237"/>
      <c r="GNG237"/>
      <c r="GNH237"/>
      <c r="GNI237"/>
      <c r="GNJ237"/>
      <c r="GNK237"/>
      <c r="GNL237"/>
      <c r="GNM237"/>
      <c r="GNN237"/>
      <c r="GNO237"/>
      <c r="GNP237"/>
      <c r="GNQ237"/>
      <c r="GNR237"/>
      <c r="GNS237"/>
      <c r="GNT237"/>
      <c r="GNU237"/>
      <c r="GNV237"/>
      <c r="GNW237"/>
      <c r="GNX237"/>
      <c r="GNY237"/>
      <c r="GNZ237"/>
      <c r="GOA237"/>
      <c r="GOB237"/>
      <c r="GOC237"/>
      <c r="GOD237"/>
      <c r="GOE237"/>
      <c r="GOF237"/>
      <c r="GOG237"/>
      <c r="GOH237"/>
      <c r="GOI237"/>
      <c r="GOJ237"/>
      <c r="GOK237"/>
      <c r="GOL237"/>
      <c r="GOM237"/>
      <c r="GON237"/>
      <c r="GOO237"/>
      <c r="GOP237"/>
      <c r="GOQ237"/>
      <c r="GOR237"/>
      <c r="GOS237"/>
      <c r="GOT237"/>
      <c r="GOU237"/>
      <c r="GOV237"/>
      <c r="GOW237"/>
      <c r="GOX237"/>
      <c r="GOY237"/>
      <c r="GOZ237"/>
      <c r="GPA237"/>
      <c r="GPB237"/>
      <c r="GPC237"/>
      <c r="GPD237"/>
      <c r="GPE237"/>
      <c r="GPF237"/>
      <c r="GPG237"/>
      <c r="GPH237"/>
      <c r="GPI237"/>
      <c r="GPJ237"/>
      <c r="GPK237"/>
      <c r="GPL237"/>
      <c r="GPM237"/>
      <c r="GPN237"/>
      <c r="GPO237"/>
      <c r="GPP237"/>
      <c r="GPQ237"/>
      <c r="GPR237"/>
      <c r="GPS237"/>
      <c r="GPT237"/>
      <c r="GPU237"/>
      <c r="GPV237"/>
      <c r="GPW237"/>
      <c r="GPX237"/>
      <c r="GPY237"/>
      <c r="GPZ237"/>
      <c r="GQA237"/>
      <c r="GQB237"/>
      <c r="GQC237"/>
      <c r="GQD237"/>
      <c r="GQE237"/>
      <c r="GQF237"/>
      <c r="GQG237"/>
      <c r="GQH237"/>
      <c r="GQI237"/>
      <c r="GQJ237"/>
      <c r="GQK237"/>
      <c r="GQL237"/>
      <c r="GQM237"/>
      <c r="GQN237"/>
      <c r="GQO237"/>
      <c r="GQP237"/>
      <c r="GQQ237"/>
      <c r="GQR237"/>
      <c r="GQS237"/>
      <c r="GQT237"/>
      <c r="GQU237"/>
      <c r="GQV237"/>
      <c r="GQW237"/>
      <c r="GQX237"/>
      <c r="GQY237"/>
      <c r="GQZ237"/>
      <c r="GRA237"/>
      <c r="GRB237"/>
      <c r="GRC237"/>
      <c r="GRD237"/>
      <c r="GRE237"/>
      <c r="GRF237"/>
      <c r="GRG237"/>
      <c r="GRH237"/>
      <c r="GRI237"/>
      <c r="GRJ237"/>
      <c r="GRK237"/>
      <c r="GRL237"/>
      <c r="GRM237"/>
      <c r="GRN237"/>
      <c r="GRO237"/>
      <c r="GRP237"/>
      <c r="GRQ237"/>
      <c r="GRR237"/>
      <c r="GRS237"/>
      <c r="GRT237"/>
      <c r="GRU237"/>
      <c r="GRV237"/>
      <c r="GRW237"/>
      <c r="GRX237"/>
      <c r="GRY237"/>
      <c r="GRZ237"/>
      <c r="GSA237"/>
      <c r="GSB237"/>
      <c r="GSC237"/>
      <c r="GSD237"/>
      <c r="GSE237"/>
      <c r="GSF237"/>
      <c r="GSG237"/>
      <c r="GSH237"/>
      <c r="GSI237"/>
      <c r="GSJ237"/>
      <c r="GSK237"/>
      <c r="GSL237"/>
      <c r="GSM237"/>
      <c r="GSN237"/>
      <c r="GSO237"/>
      <c r="GSP237"/>
      <c r="GSQ237"/>
      <c r="GSR237"/>
      <c r="GSS237"/>
      <c r="GST237"/>
      <c r="GSU237"/>
      <c r="GSV237"/>
      <c r="GSW237"/>
      <c r="GSX237"/>
      <c r="GSY237"/>
      <c r="GSZ237"/>
      <c r="GTA237"/>
      <c r="GTB237"/>
      <c r="GTC237"/>
      <c r="GTD237"/>
      <c r="GTE237"/>
      <c r="GTF237"/>
      <c r="GTG237"/>
      <c r="GTH237"/>
      <c r="GTI237"/>
      <c r="GTJ237"/>
      <c r="GTK237"/>
      <c r="GTL237"/>
      <c r="GTM237"/>
      <c r="GTN237"/>
      <c r="GTO237"/>
      <c r="GTP237"/>
      <c r="GTQ237"/>
      <c r="GTR237"/>
      <c r="GTS237"/>
      <c r="GTT237"/>
      <c r="GTU237"/>
      <c r="GTV237"/>
      <c r="GTW237"/>
      <c r="GTX237"/>
      <c r="GTY237"/>
      <c r="GTZ237"/>
      <c r="GUA237"/>
      <c r="GUB237"/>
      <c r="GUC237"/>
      <c r="GUD237"/>
      <c r="GUE237"/>
      <c r="GUF237"/>
      <c r="GUG237"/>
      <c r="GUH237"/>
      <c r="GUI237"/>
      <c r="GUJ237"/>
      <c r="GUK237"/>
      <c r="GUL237"/>
      <c r="GUM237"/>
      <c r="GUN237"/>
      <c r="GUO237"/>
      <c r="GUP237"/>
      <c r="GUQ237"/>
      <c r="GUR237"/>
      <c r="GUS237"/>
      <c r="GUT237"/>
      <c r="GUU237"/>
      <c r="GUV237"/>
      <c r="GUW237"/>
      <c r="GUX237"/>
      <c r="GUY237"/>
      <c r="GUZ237"/>
      <c r="GVA237"/>
      <c r="GVB237"/>
      <c r="GVC237"/>
      <c r="GVD237"/>
      <c r="GVE237"/>
      <c r="GVF237"/>
      <c r="GVG237"/>
      <c r="GVH237"/>
      <c r="GVI237"/>
      <c r="GVJ237"/>
      <c r="GVK237"/>
      <c r="GVL237"/>
      <c r="GVM237"/>
      <c r="GVN237"/>
      <c r="GVO237"/>
      <c r="GVP237"/>
      <c r="GVQ237"/>
      <c r="GVR237"/>
      <c r="GVS237"/>
      <c r="GVT237"/>
      <c r="GVU237"/>
      <c r="GVV237"/>
      <c r="GVW237"/>
      <c r="GVX237"/>
      <c r="GVY237"/>
      <c r="GVZ237"/>
      <c r="GWA237"/>
      <c r="GWB237"/>
      <c r="GWC237"/>
      <c r="GWD237"/>
      <c r="GWE237"/>
      <c r="GWF237"/>
      <c r="GWG237"/>
      <c r="GWH237"/>
      <c r="GWI237"/>
      <c r="GWJ237"/>
      <c r="GWK237"/>
      <c r="GWL237"/>
      <c r="GWM237"/>
      <c r="GWN237"/>
      <c r="GWO237"/>
      <c r="GWP237"/>
      <c r="GWQ237"/>
      <c r="GWR237"/>
      <c r="GWS237"/>
      <c r="GWT237"/>
      <c r="GWU237"/>
      <c r="GWV237"/>
      <c r="GWW237"/>
      <c r="GWX237"/>
      <c r="GWY237"/>
      <c r="GWZ237"/>
      <c r="GXA237"/>
      <c r="GXB237"/>
      <c r="GXC237"/>
      <c r="GXD237"/>
      <c r="GXE237"/>
      <c r="GXF237"/>
      <c r="GXG237"/>
      <c r="GXH237"/>
      <c r="GXI237"/>
      <c r="GXJ237"/>
      <c r="GXK237"/>
      <c r="GXL237"/>
      <c r="GXM237"/>
      <c r="GXN237"/>
      <c r="GXO237"/>
      <c r="GXP237"/>
      <c r="GXQ237"/>
      <c r="GXR237"/>
      <c r="GXS237"/>
      <c r="GXT237"/>
      <c r="GXU237"/>
      <c r="GXV237"/>
      <c r="GXW237"/>
      <c r="GXX237"/>
      <c r="GXY237"/>
      <c r="GXZ237"/>
      <c r="GYA237"/>
      <c r="GYB237"/>
      <c r="GYC237"/>
      <c r="GYD237"/>
      <c r="GYE237"/>
      <c r="GYF237"/>
      <c r="GYG237"/>
      <c r="GYH237"/>
      <c r="GYI237"/>
      <c r="GYJ237"/>
      <c r="GYK237"/>
      <c r="GYL237"/>
      <c r="GYM237"/>
      <c r="GYN237"/>
      <c r="GYO237"/>
      <c r="GYP237"/>
      <c r="GYQ237"/>
      <c r="GYR237"/>
      <c r="GYS237"/>
      <c r="GYT237"/>
      <c r="GYU237"/>
      <c r="GYV237"/>
      <c r="GYW237"/>
      <c r="GYX237"/>
      <c r="GYY237"/>
      <c r="GYZ237"/>
      <c r="GZA237"/>
      <c r="GZB237"/>
      <c r="GZC237"/>
      <c r="GZD237"/>
      <c r="GZE237"/>
      <c r="GZF237"/>
      <c r="GZG237"/>
      <c r="GZH237"/>
      <c r="GZI237"/>
      <c r="GZJ237"/>
      <c r="GZK237"/>
      <c r="GZL237"/>
      <c r="GZM237"/>
      <c r="GZN237"/>
      <c r="GZO237"/>
      <c r="GZP237"/>
      <c r="GZQ237"/>
      <c r="GZR237"/>
      <c r="GZS237"/>
      <c r="GZT237"/>
      <c r="GZU237"/>
      <c r="GZV237"/>
      <c r="GZW237"/>
      <c r="GZX237"/>
      <c r="GZY237"/>
      <c r="GZZ237"/>
      <c r="HAA237"/>
      <c r="HAB237"/>
      <c r="HAC237"/>
      <c r="HAD237"/>
      <c r="HAE237"/>
      <c r="HAF237"/>
      <c r="HAG237"/>
      <c r="HAH237"/>
      <c r="HAI237"/>
      <c r="HAJ237"/>
      <c r="HAK237"/>
      <c r="HAL237"/>
      <c r="HAM237"/>
      <c r="HAN237"/>
      <c r="HAO237"/>
      <c r="HAP237"/>
      <c r="HAQ237"/>
      <c r="HAR237"/>
      <c r="HAS237"/>
      <c r="HAT237"/>
      <c r="HAU237"/>
      <c r="HAV237"/>
      <c r="HAW237"/>
      <c r="HAX237"/>
      <c r="HAY237"/>
      <c r="HAZ237"/>
      <c r="HBA237"/>
      <c r="HBB237"/>
      <c r="HBC237"/>
      <c r="HBD237"/>
      <c r="HBE237"/>
      <c r="HBF237"/>
      <c r="HBG237"/>
      <c r="HBH237"/>
      <c r="HBI237"/>
      <c r="HBJ237"/>
      <c r="HBK237"/>
      <c r="HBL237"/>
      <c r="HBM237"/>
      <c r="HBN237"/>
      <c r="HBO237"/>
      <c r="HBP237"/>
      <c r="HBQ237"/>
      <c r="HBR237"/>
      <c r="HBS237"/>
      <c r="HBT237"/>
      <c r="HBU237"/>
      <c r="HBV237"/>
      <c r="HBW237"/>
      <c r="HBX237"/>
      <c r="HBY237"/>
      <c r="HBZ237"/>
      <c r="HCA237"/>
      <c r="HCB237"/>
      <c r="HCC237"/>
      <c r="HCD237"/>
      <c r="HCE237"/>
      <c r="HCF237"/>
      <c r="HCG237"/>
      <c r="HCH237"/>
      <c r="HCI237"/>
      <c r="HCJ237"/>
      <c r="HCK237"/>
      <c r="HCL237"/>
      <c r="HCM237"/>
      <c r="HCN237"/>
      <c r="HCO237"/>
      <c r="HCP237"/>
      <c r="HCQ237"/>
      <c r="HCR237"/>
      <c r="HCS237"/>
      <c r="HCT237"/>
      <c r="HCU237"/>
      <c r="HCV237"/>
      <c r="HCW237"/>
      <c r="HCX237"/>
      <c r="HCY237"/>
      <c r="HCZ237"/>
      <c r="HDA237"/>
      <c r="HDB237"/>
      <c r="HDC237"/>
      <c r="HDD237"/>
      <c r="HDE237"/>
      <c r="HDF237"/>
      <c r="HDG237"/>
      <c r="HDH237"/>
      <c r="HDI237"/>
      <c r="HDJ237"/>
      <c r="HDK237"/>
      <c r="HDL237"/>
      <c r="HDM237"/>
      <c r="HDN237"/>
      <c r="HDO237"/>
      <c r="HDP237"/>
      <c r="HDQ237"/>
      <c r="HDR237"/>
      <c r="HDS237"/>
      <c r="HDT237"/>
      <c r="HDU237"/>
      <c r="HDV237"/>
      <c r="HDW237"/>
      <c r="HDX237"/>
      <c r="HDY237"/>
      <c r="HDZ237"/>
      <c r="HEA237"/>
      <c r="HEB237"/>
      <c r="HEC237"/>
      <c r="HED237"/>
      <c r="HEE237"/>
      <c r="HEF237"/>
      <c r="HEG237"/>
      <c r="HEH237"/>
      <c r="HEI237"/>
      <c r="HEJ237"/>
      <c r="HEK237"/>
      <c r="HEL237"/>
      <c r="HEM237"/>
      <c r="HEN237"/>
      <c r="HEO237"/>
      <c r="HEP237"/>
      <c r="HEQ237"/>
      <c r="HER237"/>
      <c r="HES237"/>
      <c r="HET237"/>
      <c r="HEU237"/>
      <c r="HEV237"/>
      <c r="HEW237"/>
      <c r="HEX237"/>
      <c r="HEY237"/>
      <c r="HEZ237"/>
      <c r="HFA237"/>
      <c r="HFB237"/>
      <c r="HFC237"/>
      <c r="HFD237"/>
      <c r="HFE237"/>
      <c r="HFF237"/>
      <c r="HFG237"/>
      <c r="HFH237"/>
      <c r="HFI237"/>
      <c r="HFJ237"/>
      <c r="HFK237"/>
      <c r="HFL237"/>
      <c r="HFM237"/>
      <c r="HFN237"/>
      <c r="HFO237"/>
      <c r="HFP237"/>
      <c r="HFQ237"/>
      <c r="HFR237"/>
      <c r="HFS237"/>
      <c r="HFT237"/>
      <c r="HFU237"/>
      <c r="HFV237"/>
      <c r="HFW237"/>
      <c r="HFX237"/>
      <c r="HFY237"/>
      <c r="HFZ237"/>
      <c r="HGA237"/>
      <c r="HGB237"/>
      <c r="HGC237"/>
      <c r="HGD237"/>
      <c r="HGE237"/>
      <c r="HGF237"/>
      <c r="HGG237"/>
      <c r="HGH237"/>
      <c r="HGI237"/>
      <c r="HGJ237"/>
      <c r="HGK237"/>
      <c r="HGL237"/>
      <c r="HGM237"/>
      <c r="HGN237"/>
      <c r="HGO237"/>
      <c r="HGP237"/>
      <c r="HGQ237"/>
      <c r="HGR237"/>
      <c r="HGS237"/>
      <c r="HGT237"/>
      <c r="HGU237"/>
      <c r="HGV237"/>
      <c r="HGW237"/>
      <c r="HGX237"/>
      <c r="HGY237"/>
      <c r="HGZ237"/>
      <c r="HHA237"/>
      <c r="HHB237"/>
      <c r="HHC237"/>
      <c r="HHD237"/>
      <c r="HHE237"/>
      <c r="HHF237"/>
      <c r="HHG237"/>
      <c r="HHH237"/>
      <c r="HHI237"/>
      <c r="HHJ237"/>
      <c r="HHK237"/>
      <c r="HHL237"/>
      <c r="HHM237"/>
      <c r="HHN237"/>
      <c r="HHO237"/>
      <c r="HHP237"/>
      <c r="HHQ237"/>
      <c r="HHR237"/>
      <c r="HHS237"/>
      <c r="HHT237"/>
      <c r="HHU237"/>
      <c r="HHV237"/>
      <c r="HHW237"/>
      <c r="HHX237"/>
      <c r="HHY237"/>
      <c r="HHZ237"/>
      <c r="HIA237"/>
      <c r="HIB237"/>
      <c r="HIC237"/>
      <c r="HID237"/>
      <c r="HIE237"/>
      <c r="HIF237"/>
      <c r="HIG237"/>
      <c r="HIH237"/>
      <c r="HII237"/>
      <c r="HIJ237"/>
      <c r="HIK237"/>
      <c r="HIL237"/>
      <c r="HIM237"/>
      <c r="HIN237"/>
      <c r="HIO237"/>
      <c r="HIP237"/>
      <c r="HIQ237"/>
      <c r="HIR237"/>
      <c r="HIS237"/>
      <c r="HIT237"/>
      <c r="HIU237"/>
      <c r="HIV237"/>
      <c r="HIW237"/>
      <c r="HIX237"/>
      <c r="HIY237"/>
      <c r="HIZ237"/>
      <c r="HJA237"/>
      <c r="HJB237"/>
      <c r="HJC237"/>
      <c r="HJD237"/>
      <c r="HJE237"/>
      <c r="HJF237"/>
      <c r="HJG237"/>
      <c r="HJH237"/>
      <c r="HJI237"/>
      <c r="HJJ237"/>
      <c r="HJK237"/>
      <c r="HJL237"/>
      <c r="HJM237"/>
      <c r="HJN237"/>
      <c r="HJO237"/>
      <c r="HJP237"/>
      <c r="HJQ237"/>
      <c r="HJR237"/>
      <c r="HJS237"/>
      <c r="HJT237"/>
      <c r="HJU237"/>
      <c r="HJV237"/>
      <c r="HJW237"/>
      <c r="HJX237"/>
      <c r="HJY237"/>
      <c r="HJZ237"/>
      <c r="HKA237"/>
      <c r="HKB237"/>
      <c r="HKC237"/>
      <c r="HKD237"/>
      <c r="HKE237"/>
      <c r="HKF237"/>
      <c r="HKG237"/>
      <c r="HKH237"/>
      <c r="HKI237"/>
      <c r="HKJ237"/>
      <c r="HKK237"/>
      <c r="HKL237"/>
      <c r="HKM237"/>
      <c r="HKN237"/>
      <c r="HKO237"/>
      <c r="HKP237"/>
      <c r="HKQ237"/>
      <c r="HKR237"/>
      <c r="HKS237"/>
      <c r="HKT237"/>
      <c r="HKU237"/>
      <c r="HKV237"/>
      <c r="HKW237"/>
      <c r="HKX237"/>
      <c r="HKY237"/>
      <c r="HKZ237"/>
      <c r="HLA237"/>
      <c r="HLB237"/>
      <c r="HLC237"/>
      <c r="HLD237"/>
      <c r="HLE237"/>
      <c r="HLF237"/>
      <c r="HLG237"/>
      <c r="HLH237"/>
      <c r="HLI237"/>
      <c r="HLJ237"/>
      <c r="HLK237"/>
      <c r="HLL237"/>
      <c r="HLM237"/>
      <c r="HLN237"/>
      <c r="HLO237"/>
      <c r="HLP237"/>
      <c r="HLQ237"/>
      <c r="HLR237"/>
      <c r="HLS237"/>
      <c r="HLT237"/>
      <c r="HLU237"/>
      <c r="HLV237"/>
      <c r="HLW237"/>
      <c r="HLX237"/>
      <c r="HLY237"/>
      <c r="HLZ237"/>
      <c r="HMA237"/>
      <c r="HMB237"/>
      <c r="HMC237"/>
      <c r="HMD237"/>
      <c r="HME237"/>
      <c r="HMF237"/>
      <c r="HMG237"/>
      <c r="HMH237"/>
      <c r="HMI237"/>
      <c r="HMJ237"/>
      <c r="HMK237"/>
      <c r="HML237"/>
      <c r="HMM237"/>
      <c r="HMN237"/>
      <c r="HMO237"/>
      <c r="HMP237"/>
      <c r="HMQ237"/>
      <c r="HMR237"/>
      <c r="HMS237"/>
      <c r="HMT237"/>
      <c r="HMU237"/>
      <c r="HMV237"/>
      <c r="HMW237"/>
      <c r="HMX237"/>
      <c r="HMY237"/>
      <c r="HMZ237"/>
      <c r="HNA237"/>
      <c r="HNB237"/>
      <c r="HNC237"/>
      <c r="HND237"/>
      <c r="HNE237"/>
      <c r="HNF237"/>
      <c r="HNG237"/>
      <c r="HNH237"/>
      <c r="HNI237"/>
      <c r="HNJ237"/>
      <c r="HNK237"/>
      <c r="HNL237"/>
      <c r="HNM237"/>
      <c r="HNN237"/>
      <c r="HNO237"/>
      <c r="HNP237"/>
      <c r="HNQ237"/>
      <c r="HNR237"/>
      <c r="HNS237"/>
      <c r="HNT237"/>
      <c r="HNU237"/>
      <c r="HNV237"/>
      <c r="HNW237"/>
      <c r="HNX237"/>
      <c r="HNY237"/>
      <c r="HNZ237"/>
      <c r="HOA237"/>
      <c r="HOB237"/>
      <c r="HOC237"/>
      <c r="HOD237"/>
      <c r="HOE237"/>
      <c r="HOF237"/>
      <c r="HOG237"/>
      <c r="HOH237"/>
      <c r="HOI237"/>
      <c r="HOJ237"/>
      <c r="HOK237"/>
      <c r="HOL237"/>
      <c r="HOM237"/>
      <c r="HON237"/>
      <c r="HOO237"/>
      <c r="HOP237"/>
      <c r="HOQ237"/>
      <c r="HOR237"/>
      <c r="HOS237"/>
      <c r="HOT237"/>
      <c r="HOU237"/>
      <c r="HOV237"/>
      <c r="HOW237"/>
      <c r="HOX237"/>
      <c r="HOY237"/>
      <c r="HOZ237"/>
      <c r="HPA237"/>
      <c r="HPB237"/>
      <c r="HPC237"/>
      <c r="HPD237"/>
      <c r="HPE237"/>
      <c r="HPF237"/>
      <c r="HPG237"/>
      <c r="HPH237"/>
      <c r="HPI237"/>
      <c r="HPJ237"/>
      <c r="HPK237"/>
      <c r="HPL237"/>
      <c r="HPM237"/>
      <c r="HPN237"/>
      <c r="HPO237"/>
      <c r="HPP237"/>
      <c r="HPQ237"/>
      <c r="HPR237"/>
      <c r="HPS237"/>
      <c r="HPT237"/>
      <c r="HPU237"/>
      <c r="HPV237"/>
      <c r="HPW237"/>
      <c r="HPX237"/>
      <c r="HPY237"/>
      <c r="HPZ237"/>
      <c r="HQA237"/>
      <c r="HQB237"/>
      <c r="HQC237"/>
      <c r="HQD237"/>
      <c r="HQE237"/>
      <c r="HQF237"/>
      <c r="HQG237"/>
      <c r="HQH237"/>
      <c r="HQI237"/>
      <c r="HQJ237"/>
      <c r="HQK237"/>
      <c r="HQL237"/>
      <c r="HQM237"/>
      <c r="HQN237"/>
      <c r="HQO237"/>
      <c r="HQP237"/>
      <c r="HQQ237"/>
      <c r="HQR237"/>
      <c r="HQS237"/>
      <c r="HQT237"/>
      <c r="HQU237"/>
      <c r="HQV237"/>
      <c r="HQW237"/>
      <c r="HQX237"/>
      <c r="HQY237"/>
      <c r="HQZ237"/>
      <c r="HRA237"/>
      <c r="HRB237"/>
      <c r="HRC237"/>
      <c r="HRD237"/>
      <c r="HRE237"/>
      <c r="HRF237"/>
      <c r="HRG237"/>
      <c r="HRH237"/>
      <c r="HRI237"/>
      <c r="HRJ237"/>
      <c r="HRK237"/>
      <c r="HRL237"/>
      <c r="HRM237"/>
      <c r="HRN237"/>
      <c r="HRO237"/>
      <c r="HRP237"/>
      <c r="HRQ237"/>
      <c r="HRR237"/>
      <c r="HRS237"/>
      <c r="HRT237"/>
      <c r="HRU237"/>
      <c r="HRV237"/>
      <c r="HRW237"/>
      <c r="HRX237"/>
      <c r="HRY237"/>
      <c r="HRZ237"/>
      <c r="HSA237"/>
      <c r="HSB237"/>
      <c r="HSC237"/>
      <c r="HSD237"/>
      <c r="HSE237"/>
      <c r="HSF237"/>
      <c r="HSG237"/>
      <c r="HSH237"/>
      <c r="HSI237"/>
      <c r="HSJ237"/>
      <c r="HSK237"/>
      <c r="HSL237"/>
      <c r="HSM237"/>
      <c r="HSN237"/>
      <c r="HSO237"/>
      <c r="HSP237"/>
      <c r="HSQ237"/>
      <c r="HSR237"/>
      <c r="HSS237"/>
      <c r="HST237"/>
      <c r="HSU237"/>
      <c r="HSV237"/>
      <c r="HSW237"/>
      <c r="HSX237"/>
      <c r="HSY237"/>
      <c r="HSZ237"/>
      <c r="HTA237"/>
      <c r="HTB237"/>
      <c r="HTC237"/>
      <c r="HTD237"/>
      <c r="HTE237"/>
      <c r="HTF237"/>
      <c r="HTG237"/>
      <c r="HTH237"/>
      <c r="HTI237"/>
      <c r="HTJ237"/>
      <c r="HTK237"/>
      <c r="HTL237"/>
      <c r="HTM237"/>
      <c r="HTN237"/>
      <c r="HTO237"/>
      <c r="HTP237"/>
      <c r="HTQ237"/>
      <c r="HTR237"/>
      <c r="HTS237"/>
      <c r="HTT237"/>
      <c r="HTU237"/>
      <c r="HTV237"/>
      <c r="HTW237"/>
      <c r="HTX237"/>
      <c r="HTY237"/>
      <c r="HTZ237"/>
      <c r="HUA237"/>
      <c r="HUB237"/>
      <c r="HUC237"/>
      <c r="HUD237"/>
      <c r="HUE237"/>
      <c r="HUF237"/>
      <c r="HUG237"/>
      <c r="HUH237"/>
      <c r="HUI237"/>
      <c r="HUJ237"/>
      <c r="HUK237"/>
      <c r="HUL237"/>
      <c r="HUM237"/>
      <c r="HUN237"/>
      <c r="HUO237"/>
      <c r="HUP237"/>
      <c r="HUQ237"/>
      <c r="HUR237"/>
      <c r="HUS237"/>
      <c r="HUT237"/>
      <c r="HUU237"/>
      <c r="HUV237"/>
      <c r="HUW237"/>
      <c r="HUX237"/>
      <c r="HUY237"/>
      <c r="HUZ237"/>
      <c r="HVA237"/>
      <c r="HVB237"/>
      <c r="HVC237"/>
      <c r="HVD237"/>
      <c r="HVE237"/>
      <c r="HVF237"/>
      <c r="HVG237"/>
      <c r="HVH237"/>
      <c r="HVI237"/>
      <c r="HVJ237"/>
      <c r="HVK237"/>
      <c r="HVL237"/>
      <c r="HVM237"/>
      <c r="HVN237"/>
      <c r="HVO237"/>
      <c r="HVP237"/>
      <c r="HVQ237"/>
      <c r="HVR237"/>
      <c r="HVS237"/>
      <c r="HVT237"/>
      <c r="HVU237"/>
      <c r="HVV237"/>
      <c r="HVW237"/>
      <c r="HVX237"/>
      <c r="HVY237"/>
      <c r="HVZ237"/>
      <c r="HWA237"/>
      <c r="HWB237"/>
      <c r="HWC237"/>
      <c r="HWD237"/>
      <c r="HWE237"/>
      <c r="HWF237"/>
      <c r="HWG237"/>
      <c r="HWH237"/>
      <c r="HWI237"/>
      <c r="HWJ237"/>
      <c r="HWK237"/>
      <c r="HWL237"/>
      <c r="HWM237"/>
      <c r="HWN237"/>
      <c r="HWO237"/>
      <c r="HWP237"/>
      <c r="HWQ237"/>
      <c r="HWR237"/>
      <c r="HWS237"/>
      <c r="HWT237"/>
      <c r="HWU237"/>
      <c r="HWV237"/>
      <c r="HWW237"/>
      <c r="HWX237"/>
      <c r="HWY237"/>
      <c r="HWZ237"/>
      <c r="HXA237"/>
      <c r="HXB237"/>
      <c r="HXC237"/>
      <c r="HXD237"/>
      <c r="HXE237"/>
      <c r="HXF237"/>
      <c r="HXG237"/>
      <c r="HXH237"/>
      <c r="HXI237"/>
      <c r="HXJ237"/>
      <c r="HXK237"/>
      <c r="HXL237"/>
      <c r="HXM237"/>
      <c r="HXN237"/>
      <c r="HXO237"/>
      <c r="HXP237"/>
      <c r="HXQ237"/>
      <c r="HXR237"/>
      <c r="HXS237"/>
      <c r="HXT237"/>
      <c r="HXU237"/>
      <c r="HXV237"/>
      <c r="HXW237"/>
      <c r="HXX237"/>
      <c r="HXY237"/>
      <c r="HXZ237"/>
      <c r="HYA237"/>
      <c r="HYB237"/>
      <c r="HYC237"/>
      <c r="HYD237"/>
      <c r="HYE237"/>
      <c r="HYF237"/>
      <c r="HYG237"/>
      <c r="HYH237"/>
      <c r="HYI237"/>
      <c r="HYJ237"/>
      <c r="HYK237"/>
      <c r="HYL237"/>
      <c r="HYM237"/>
      <c r="HYN237"/>
      <c r="HYO237"/>
      <c r="HYP237"/>
      <c r="HYQ237"/>
      <c r="HYR237"/>
      <c r="HYS237"/>
      <c r="HYT237"/>
      <c r="HYU237"/>
      <c r="HYV237"/>
      <c r="HYW237"/>
      <c r="HYX237"/>
      <c r="HYY237"/>
      <c r="HYZ237"/>
      <c r="HZA237"/>
      <c r="HZB237"/>
      <c r="HZC237"/>
      <c r="HZD237"/>
      <c r="HZE237"/>
      <c r="HZF237"/>
      <c r="HZG237"/>
      <c r="HZH237"/>
      <c r="HZI237"/>
      <c r="HZJ237"/>
      <c r="HZK237"/>
      <c r="HZL237"/>
      <c r="HZM237"/>
      <c r="HZN237"/>
      <c r="HZO237"/>
      <c r="HZP237"/>
      <c r="HZQ237"/>
      <c r="HZR237"/>
      <c r="HZS237"/>
      <c r="HZT237"/>
      <c r="HZU237"/>
      <c r="HZV237"/>
      <c r="HZW237"/>
      <c r="HZX237"/>
      <c r="HZY237"/>
      <c r="HZZ237"/>
      <c r="IAA237"/>
      <c r="IAB237"/>
      <c r="IAC237"/>
      <c r="IAD237"/>
      <c r="IAE237"/>
      <c r="IAF237"/>
      <c r="IAG237"/>
      <c r="IAH237"/>
      <c r="IAI237"/>
      <c r="IAJ237"/>
      <c r="IAK237"/>
      <c r="IAL237"/>
      <c r="IAM237"/>
      <c r="IAN237"/>
      <c r="IAO237"/>
      <c r="IAP237"/>
      <c r="IAQ237"/>
      <c r="IAR237"/>
      <c r="IAS237"/>
      <c r="IAT237"/>
      <c r="IAU237"/>
      <c r="IAV237"/>
      <c r="IAW237"/>
      <c r="IAX237"/>
      <c r="IAY237"/>
      <c r="IAZ237"/>
      <c r="IBA237"/>
      <c r="IBB237"/>
      <c r="IBC237"/>
      <c r="IBD237"/>
      <c r="IBE237"/>
      <c r="IBF237"/>
      <c r="IBG237"/>
      <c r="IBH237"/>
      <c r="IBI237"/>
      <c r="IBJ237"/>
      <c r="IBK237"/>
      <c r="IBL237"/>
      <c r="IBM237"/>
      <c r="IBN237"/>
      <c r="IBO237"/>
      <c r="IBP237"/>
      <c r="IBQ237"/>
      <c r="IBR237"/>
      <c r="IBS237"/>
      <c r="IBT237"/>
      <c r="IBU237"/>
      <c r="IBV237"/>
      <c r="IBW237"/>
      <c r="IBX237"/>
      <c r="IBY237"/>
      <c r="IBZ237"/>
      <c r="ICA237"/>
      <c r="ICB237"/>
      <c r="ICC237"/>
      <c r="ICD237"/>
      <c r="ICE237"/>
      <c r="ICF237"/>
      <c r="ICG237"/>
      <c r="ICH237"/>
      <c r="ICI237"/>
      <c r="ICJ237"/>
      <c r="ICK237"/>
      <c r="ICL237"/>
      <c r="ICM237"/>
      <c r="ICN237"/>
      <c r="ICO237"/>
      <c r="ICP237"/>
      <c r="ICQ237"/>
      <c r="ICR237"/>
      <c r="ICS237"/>
      <c r="ICT237"/>
      <c r="ICU237"/>
      <c r="ICV237"/>
      <c r="ICW237"/>
      <c r="ICX237"/>
      <c r="ICY237"/>
      <c r="ICZ237"/>
      <c r="IDA237"/>
      <c r="IDB237"/>
      <c r="IDC237"/>
      <c r="IDD237"/>
      <c r="IDE237"/>
      <c r="IDF237"/>
      <c r="IDG237"/>
      <c r="IDH237"/>
      <c r="IDI237"/>
      <c r="IDJ237"/>
      <c r="IDK237"/>
      <c r="IDL237"/>
      <c r="IDM237"/>
      <c r="IDN237"/>
      <c r="IDO237"/>
      <c r="IDP237"/>
      <c r="IDQ237"/>
      <c r="IDR237"/>
      <c r="IDS237"/>
      <c r="IDT237"/>
      <c r="IDU237"/>
      <c r="IDV237"/>
      <c r="IDW237"/>
      <c r="IDX237"/>
      <c r="IDY237"/>
      <c r="IDZ237"/>
      <c r="IEA237"/>
      <c r="IEB237"/>
      <c r="IEC237"/>
      <c r="IED237"/>
      <c r="IEE237"/>
      <c r="IEF237"/>
      <c r="IEG237"/>
      <c r="IEH237"/>
      <c r="IEI237"/>
      <c r="IEJ237"/>
      <c r="IEK237"/>
      <c r="IEL237"/>
      <c r="IEM237"/>
      <c r="IEN237"/>
      <c r="IEO237"/>
      <c r="IEP237"/>
      <c r="IEQ237"/>
      <c r="IER237"/>
      <c r="IES237"/>
      <c r="IET237"/>
      <c r="IEU237"/>
      <c r="IEV237"/>
      <c r="IEW237"/>
      <c r="IEX237"/>
      <c r="IEY237"/>
      <c r="IEZ237"/>
      <c r="IFA237"/>
      <c r="IFB237"/>
      <c r="IFC237"/>
      <c r="IFD237"/>
      <c r="IFE237"/>
      <c r="IFF237"/>
      <c r="IFG237"/>
      <c r="IFH237"/>
      <c r="IFI237"/>
      <c r="IFJ237"/>
      <c r="IFK237"/>
      <c r="IFL237"/>
      <c r="IFM237"/>
      <c r="IFN237"/>
      <c r="IFO237"/>
      <c r="IFP237"/>
      <c r="IFQ237"/>
      <c r="IFR237"/>
      <c r="IFS237"/>
      <c r="IFT237"/>
      <c r="IFU237"/>
      <c r="IFV237"/>
      <c r="IFW237"/>
      <c r="IFX237"/>
      <c r="IFY237"/>
      <c r="IFZ237"/>
      <c r="IGA237"/>
      <c r="IGB237"/>
      <c r="IGC237"/>
      <c r="IGD237"/>
      <c r="IGE237"/>
      <c r="IGF237"/>
      <c r="IGG237"/>
      <c r="IGH237"/>
      <c r="IGI237"/>
      <c r="IGJ237"/>
      <c r="IGK237"/>
      <c r="IGL237"/>
      <c r="IGM237"/>
      <c r="IGN237"/>
      <c r="IGO237"/>
      <c r="IGP237"/>
      <c r="IGQ237"/>
      <c r="IGR237"/>
      <c r="IGS237"/>
      <c r="IGT237"/>
      <c r="IGU237"/>
      <c r="IGV237"/>
      <c r="IGW237"/>
      <c r="IGX237"/>
      <c r="IGY237"/>
      <c r="IGZ237"/>
      <c r="IHA237"/>
      <c r="IHB237"/>
      <c r="IHC237"/>
      <c r="IHD237"/>
      <c r="IHE237"/>
      <c r="IHF237"/>
      <c r="IHG237"/>
      <c r="IHH237"/>
      <c r="IHI237"/>
      <c r="IHJ237"/>
      <c r="IHK237"/>
      <c r="IHL237"/>
      <c r="IHM237"/>
      <c r="IHN237"/>
      <c r="IHO237"/>
      <c r="IHP237"/>
      <c r="IHQ237"/>
      <c r="IHR237"/>
      <c r="IHS237"/>
      <c r="IHT237"/>
      <c r="IHU237"/>
      <c r="IHV237"/>
      <c r="IHW237"/>
      <c r="IHX237"/>
      <c r="IHY237"/>
      <c r="IHZ237"/>
      <c r="IIA237"/>
      <c r="IIB237"/>
      <c r="IIC237"/>
      <c r="IID237"/>
      <c r="IIE237"/>
      <c r="IIF237"/>
      <c r="IIG237"/>
      <c r="IIH237"/>
      <c r="III237"/>
      <c r="IIJ237"/>
      <c r="IIK237"/>
      <c r="IIL237"/>
      <c r="IIM237"/>
      <c r="IIN237"/>
      <c r="IIO237"/>
      <c r="IIP237"/>
      <c r="IIQ237"/>
      <c r="IIR237"/>
      <c r="IIS237"/>
      <c r="IIT237"/>
      <c r="IIU237"/>
      <c r="IIV237"/>
      <c r="IIW237"/>
      <c r="IIX237"/>
      <c r="IIY237"/>
      <c r="IIZ237"/>
      <c r="IJA237"/>
      <c r="IJB237"/>
      <c r="IJC237"/>
      <c r="IJD237"/>
      <c r="IJE237"/>
      <c r="IJF237"/>
      <c r="IJG237"/>
      <c r="IJH237"/>
      <c r="IJI237"/>
      <c r="IJJ237"/>
      <c r="IJK237"/>
      <c r="IJL237"/>
      <c r="IJM237"/>
      <c r="IJN237"/>
      <c r="IJO237"/>
      <c r="IJP237"/>
      <c r="IJQ237"/>
      <c r="IJR237"/>
      <c r="IJS237"/>
      <c r="IJT237"/>
      <c r="IJU237"/>
      <c r="IJV237"/>
      <c r="IJW237"/>
      <c r="IJX237"/>
      <c r="IJY237"/>
      <c r="IJZ237"/>
      <c r="IKA237"/>
      <c r="IKB237"/>
      <c r="IKC237"/>
      <c r="IKD237"/>
      <c r="IKE237"/>
      <c r="IKF237"/>
      <c r="IKG237"/>
      <c r="IKH237"/>
      <c r="IKI237"/>
      <c r="IKJ237"/>
      <c r="IKK237"/>
      <c r="IKL237"/>
      <c r="IKM237"/>
      <c r="IKN237"/>
      <c r="IKO237"/>
      <c r="IKP237"/>
      <c r="IKQ237"/>
      <c r="IKR237"/>
      <c r="IKS237"/>
      <c r="IKT237"/>
      <c r="IKU237"/>
      <c r="IKV237"/>
      <c r="IKW237"/>
      <c r="IKX237"/>
      <c r="IKY237"/>
      <c r="IKZ237"/>
      <c r="ILA237"/>
      <c r="ILB237"/>
      <c r="ILC237"/>
      <c r="ILD237"/>
      <c r="ILE237"/>
      <c r="ILF237"/>
      <c r="ILG237"/>
      <c r="ILH237"/>
      <c r="ILI237"/>
      <c r="ILJ237"/>
      <c r="ILK237"/>
      <c r="ILL237"/>
      <c r="ILM237"/>
      <c r="ILN237"/>
      <c r="ILO237"/>
      <c r="ILP237"/>
      <c r="ILQ237"/>
      <c r="ILR237"/>
      <c r="ILS237"/>
      <c r="ILT237"/>
      <c r="ILU237"/>
      <c r="ILV237"/>
      <c r="ILW237"/>
      <c r="ILX237"/>
      <c r="ILY237"/>
      <c r="ILZ237"/>
      <c r="IMA237"/>
      <c r="IMB237"/>
      <c r="IMC237"/>
      <c r="IMD237"/>
      <c r="IME237"/>
      <c r="IMF237"/>
      <c r="IMG237"/>
      <c r="IMH237"/>
      <c r="IMI237"/>
      <c r="IMJ237"/>
      <c r="IMK237"/>
      <c r="IML237"/>
      <c r="IMM237"/>
      <c r="IMN237"/>
      <c r="IMO237"/>
      <c r="IMP237"/>
      <c r="IMQ237"/>
      <c r="IMR237"/>
      <c r="IMS237"/>
      <c r="IMT237"/>
      <c r="IMU237"/>
      <c r="IMV237"/>
      <c r="IMW237"/>
      <c r="IMX237"/>
      <c r="IMY237"/>
      <c r="IMZ237"/>
      <c r="INA237"/>
      <c r="INB237"/>
      <c r="INC237"/>
      <c r="IND237"/>
      <c r="INE237"/>
      <c r="INF237"/>
      <c r="ING237"/>
      <c r="INH237"/>
      <c r="INI237"/>
      <c r="INJ237"/>
      <c r="INK237"/>
      <c r="INL237"/>
      <c r="INM237"/>
      <c r="INN237"/>
      <c r="INO237"/>
      <c r="INP237"/>
      <c r="INQ237"/>
      <c r="INR237"/>
      <c r="INS237"/>
      <c r="INT237"/>
      <c r="INU237"/>
      <c r="INV237"/>
      <c r="INW237"/>
      <c r="INX237"/>
      <c r="INY237"/>
      <c r="INZ237"/>
      <c r="IOA237"/>
      <c r="IOB237"/>
      <c r="IOC237"/>
      <c r="IOD237"/>
      <c r="IOE237"/>
      <c r="IOF237"/>
      <c r="IOG237"/>
      <c r="IOH237"/>
      <c r="IOI237"/>
      <c r="IOJ237"/>
      <c r="IOK237"/>
      <c r="IOL237"/>
      <c r="IOM237"/>
      <c r="ION237"/>
      <c r="IOO237"/>
      <c r="IOP237"/>
      <c r="IOQ237"/>
      <c r="IOR237"/>
      <c r="IOS237"/>
      <c r="IOT237"/>
      <c r="IOU237"/>
      <c r="IOV237"/>
      <c r="IOW237"/>
      <c r="IOX237"/>
      <c r="IOY237"/>
      <c r="IOZ237"/>
      <c r="IPA237"/>
      <c r="IPB237"/>
      <c r="IPC237"/>
      <c r="IPD237"/>
      <c r="IPE237"/>
      <c r="IPF237"/>
      <c r="IPG237"/>
      <c r="IPH237"/>
      <c r="IPI237"/>
      <c r="IPJ237"/>
      <c r="IPK237"/>
      <c r="IPL237"/>
      <c r="IPM237"/>
      <c r="IPN237"/>
      <c r="IPO237"/>
      <c r="IPP237"/>
      <c r="IPQ237"/>
      <c r="IPR237"/>
      <c r="IPS237"/>
      <c r="IPT237"/>
      <c r="IPU237"/>
      <c r="IPV237"/>
      <c r="IPW237"/>
      <c r="IPX237"/>
      <c r="IPY237"/>
      <c r="IPZ237"/>
      <c r="IQA237"/>
      <c r="IQB237"/>
      <c r="IQC237"/>
      <c r="IQD237"/>
      <c r="IQE237"/>
      <c r="IQF237"/>
      <c r="IQG237"/>
      <c r="IQH237"/>
      <c r="IQI237"/>
      <c r="IQJ237"/>
      <c r="IQK237"/>
      <c r="IQL237"/>
      <c r="IQM237"/>
      <c r="IQN237"/>
      <c r="IQO237"/>
      <c r="IQP237"/>
      <c r="IQQ237"/>
      <c r="IQR237"/>
      <c r="IQS237"/>
      <c r="IQT237"/>
      <c r="IQU237"/>
      <c r="IQV237"/>
      <c r="IQW237"/>
      <c r="IQX237"/>
      <c r="IQY237"/>
      <c r="IQZ237"/>
      <c r="IRA237"/>
      <c r="IRB237"/>
      <c r="IRC237"/>
      <c r="IRD237"/>
      <c r="IRE237"/>
      <c r="IRF237"/>
      <c r="IRG237"/>
      <c r="IRH237"/>
      <c r="IRI237"/>
      <c r="IRJ237"/>
      <c r="IRK237"/>
      <c r="IRL237"/>
      <c r="IRM237"/>
      <c r="IRN237"/>
      <c r="IRO237"/>
      <c r="IRP237"/>
      <c r="IRQ237"/>
      <c r="IRR237"/>
      <c r="IRS237"/>
      <c r="IRT237"/>
      <c r="IRU237"/>
      <c r="IRV237"/>
      <c r="IRW237"/>
      <c r="IRX237"/>
      <c r="IRY237"/>
      <c r="IRZ237"/>
      <c r="ISA237"/>
      <c r="ISB237"/>
      <c r="ISC237"/>
      <c r="ISD237"/>
      <c r="ISE237"/>
      <c r="ISF237"/>
      <c r="ISG237"/>
      <c r="ISH237"/>
      <c r="ISI237"/>
      <c r="ISJ237"/>
      <c r="ISK237"/>
      <c r="ISL237"/>
      <c r="ISM237"/>
      <c r="ISN237"/>
      <c r="ISO237"/>
      <c r="ISP237"/>
      <c r="ISQ237"/>
      <c r="ISR237"/>
      <c r="ISS237"/>
      <c r="IST237"/>
      <c r="ISU237"/>
      <c r="ISV237"/>
      <c r="ISW237"/>
      <c r="ISX237"/>
      <c r="ISY237"/>
      <c r="ISZ237"/>
      <c r="ITA237"/>
      <c r="ITB237"/>
      <c r="ITC237"/>
      <c r="ITD237"/>
      <c r="ITE237"/>
      <c r="ITF237"/>
      <c r="ITG237"/>
      <c r="ITH237"/>
      <c r="ITI237"/>
      <c r="ITJ237"/>
      <c r="ITK237"/>
      <c r="ITL237"/>
      <c r="ITM237"/>
      <c r="ITN237"/>
      <c r="ITO237"/>
      <c r="ITP237"/>
      <c r="ITQ237"/>
      <c r="ITR237"/>
      <c r="ITS237"/>
      <c r="ITT237"/>
      <c r="ITU237"/>
      <c r="ITV237"/>
      <c r="ITW237"/>
      <c r="ITX237"/>
      <c r="ITY237"/>
      <c r="ITZ237"/>
      <c r="IUA237"/>
      <c r="IUB237"/>
      <c r="IUC237"/>
      <c r="IUD237"/>
      <c r="IUE237"/>
      <c r="IUF237"/>
      <c r="IUG237"/>
      <c r="IUH237"/>
      <c r="IUI237"/>
      <c r="IUJ237"/>
      <c r="IUK237"/>
      <c r="IUL237"/>
      <c r="IUM237"/>
      <c r="IUN237"/>
      <c r="IUO237"/>
      <c r="IUP237"/>
      <c r="IUQ237"/>
      <c r="IUR237"/>
      <c r="IUS237"/>
      <c r="IUT237"/>
      <c r="IUU237"/>
      <c r="IUV237"/>
      <c r="IUW237"/>
      <c r="IUX237"/>
      <c r="IUY237"/>
      <c r="IUZ237"/>
      <c r="IVA237"/>
      <c r="IVB237"/>
      <c r="IVC237"/>
      <c r="IVD237"/>
      <c r="IVE237"/>
      <c r="IVF237"/>
      <c r="IVG237"/>
      <c r="IVH237"/>
      <c r="IVI237"/>
      <c r="IVJ237"/>
      <c r="IVK237"/>
      <c r="IVL237"/>
      <c r="IVM237"/>
      <c r="IVN237"/>
      <c r="IVO237"/>
      <c r="IVP237"/>
      <c r="IVQ237"/>
      <c r="IVR237"/>
      <c r="IVS237"/>
      <c r="IVT237"/>
      <c r="IVU237"/>
      <c r="IVV237"/>
      <c r="IVW237"/>
      <c r="IVX237"/>
      <c r="IVY237"/>
      <c r="IVZ237"/>
      <c r="IWA237"/>
      <c r="IWB237"/>
      <c r="IWC237"/>
      <c r="IWD237"/>
      <c r="IWE237"/>
      <c r="IWF237"/>
      <c r="IWG237"/>
      <c r="IWH237"/>
      <c r="IWI237"/>
      <c r="IWJ237"/>
      <c r="IWK237"/>
      <c r="IWL237"/>
      <c r="IWM237"/>
      <c r="IWN237"/>
      <c r="IWO237"/>
      <c r="IWP237"/>
      <c r="IWQ237"/>
      <c r="IWR237"/>
      <c r="IWS237"/>
      <c r="IWT237"/>
      <c r="IWU237"/>
      <c r="IWV237"/>
      <c r="IWW237"/>
      <c r="IWX237"/>
      <c r="IWY237"/>
      <c r="IWZ237"/>
      <c r="IXA237"/>
      <c r="IXB237"/>
      <c r="IXC237"/>
      <c r="IXD237"/>
      <c r="IXE237"/>
      <c r="IXF237"/>
      <c r="IXG237"/>
      <c r="IXH237"/>
      <c r="IXI237"/>
      <c r="IXJ237"/>
      <c r="IXK237"/>
      <c r="IXL237"/>
      <c r="IXM237"/>
      <c r="IXN237"/>
      <c r="IXO237"/>
      <c r="IXP237"/>
      <c r="IXQ237"/>
      <c r="IXR237"/>
      <c r="IXS237"/>
      <c r="IXT237"/>
      <c r="IXU237"/>
      <c r="IXV237"/>
      <c r="IXW237"/>
      <c r="IXX237"/>
      <c r="IXY237"/>
      <c r="IXZ237"/>
      <c r="IYA237"/>
      <c r="IYB237"/>
      <c r="IYC237"/>
      <c r="IYD237"/>
      <c r="IYE237"/>
      <c r="IYF237"/>
      <c r="IYG237"/>
      <c r="IYH237"/>
      <c r="IYI237"/>
      <c r="IYJ237"/>
      <c r="IYK237"/>
      <c r="IYL237"/>
      <c r="IYM237"/>
      <c r="IYN237"/>
      <c r="IYO237"/>
      <c r="IYP237"/>
      <c r="IYQ237"/>
      <c r="IYR237"/>
      <c r="IYS237"/>
      <c r="IYT237"/>
      <c r="IYU237"/>
      <c r="IYV237"/>
      <c r="IYW237"/>
      <c r="IYX237"/>
      <c r="IYY237"/>
      <c r="IYZ237"/>
      <c r="IZA237"/>
      <c r="IZB237"/>
      <c r="IZC237"/>
      <c r="IZD237"/>
      <c r="IZE237"/>
      <c r="IZF237"/>
      <c r="IZG237"/>
      <c r="IZH237"/>
      <c r="IZI237"/>
      <c r="IZJ237"/>
      <c r="IZK237"/>
      <c r="IZL237"/>
      <c r="IZM237"/>
      <c r="IZN237"/>
      <c r="IZO237"/>
      <c r="IZP237"/>
      <c r="IZQ237"/>
      <c r="IZR237"/>
      <c r="IZS237"/>
      <c r="IZT237"/>
      <c r="IZU237"/>
      <c r="IZV237"/>
      <c r="IZW237"/>
      <c r="IZX237"/>
      <c r="IZY237"/>
      <c r="IZZ237"/>
      <c r="JAA237"/>
      <c r="JAB237"/>
      <c r="JAC237"/>
      <c r="JAD237"/>
      <c r="JAE237"/>
      <c r="JAF237"/>
      <c r="JAG237"/>
      <c r="JAH237"/>
      <c r="JAI237"/>
      <c r="JAJ237"/>
      <c r="JAK237"/>
      <c r="JAL237"/>
      <c r="JAM237"/>
      <c r="JAN237"/>
      <c r="JAO237"/>
      <c r="JAP237"/>
      <c r="JAQ237"/>
      <c r="JAR237"/>
      <c r="JAS237"/>
      <c r="JAT237"/>
      <c r="JAU237"/>
      <c r="JAV237"/>
      <c r="JAW237"/>
      <c r="JAX237"/>
      <c r="JAY237"/>
      <c r="JAZ237"/>
      <c r="JBA237"/>
      <c r="JBB237"/>
      <c r="JBC237"/>
      <c r="JBD237"/>
      <c r="JBE237"/>
      <c r="JBF237"/>
      <c r="JBG237"/>
      <c r="JBH237"/>
      <c r="JBI237"/>
      <c r="JBJ237"/>
      <c r="JBK237"/>
      <c r="JBL237"/>
      <c r="JBM237"/>
      <c r="JBN237"/>
      <c r="JBO237"/>
      <c r="JBP237"/>
      <c r="JBQ237"/>
      <c r="JBR237"/>
      <c r="JBS237"/>
      <c r="JBT237"/>
      <c r="JBU237"/>
      <c r="JBV237"/>
      <c r="JBW237"/>
      <c r="JBX237"/>
      <c r="JBY237"/>
      <c r="JBZ237"/>
      <c r="JCA237"/>
      <c r="JCB237"/>
      <c r="JCC237"/>
      <c r="JCD237"/>
      <c r="JCE237"/>
      <c r="JCF237"/>
      <c r="JCG237"/>
      <c r="JCH237"/>
      <c r="JCI237"/>
      <c r="JCJ237"/>
      <c r="JCK237"/>
      <c r="JCL237"/>
      <c r="JCM237"/>
      <c r="JCN237"/>
      <c r="JCO237"/>
      <c r="JCP237"/>
      <c r="JCQ237"/>
      <c r="JCR237"/>
      <c r="JCS237"/>
      <c r="JCT237"/>
      <c r="JCU237"/>
      <c r="JCV237"/>
      <c r="JCW237"/>
      <c r="JCX237"/>
      <c r="JCY237"/>
      <c r="JCZ237"/>
      <c r="JDA237"/>
      <c r="JDB237"/>
      <c r="JDC237"/>
      <c r="JDD237"/>
      <c r="JDE237"/>
      <c r="JDF237"/>
      <c r="JDG237"/>
      <c r="JDH237"/>
      <c r="JDI237"/>
      <c r="JDJ237"/>
      <c r="JDK237"/>
      <c r="JDL237"/>
      <c r="JDM237"/>
      <c r="JDN237"/>
      <c r="JDO237"/>
      <c r="JDP237"/>
      <c r="JDQ237"/>
      <c r="JDR237"/>
      <c r="JDS237"/>
      <c r="JDT237"/>
      <c r="JDU237"/>
      <c r="JDV237"/>
      <c r="JDW237"/>
      <c r="JDX237"/>
      <c r="JDY237"/>
      <c r="JDZ237"/>
      <c r="JEA237"/>
      <c r="JEB237"/>
      <c r="JEC237"/>
      <c r="JED237"/>
      <c r="JEE237"/>
      <c r="JEF237"/>
      <c r="JEG237"/>
      <c r="JEH237"/>
      <c r="JEI237"/>
      <c r="JEJ237"/>
      <c r="JEK237"/>
      <c r="JEL237"/>
      <c r="JEM237"/>
      <c r="JEN237"/>
      <c r="JEO237"/>
      <c r="JEP237"/>
      <c r="JEQ237"/>
      <c r="JER237"/>
      <c r="JES237"/>
      <c r="JET237"/>
      <c r="JEU237"/>
      <c r="JEV237"/>
      <c r="JEW237"/>
      <c r="JEX237"/>
      <c r="JEY237"/>
      <c r="JEZ237"/>
      <c r="JFA237"/>
      <c r="JFB237"/>
      <c r="JFC237"/>
      <c r="JFD237"/>
      <c r="JFE237"/>
      <c r="JFF237"/>
      <c r="JFG237"/>
      <c r="JFH237"/>
      <c r="JFI237"/>
      <c r="JFJ237"/>
      <c r="JFK237"/>
      <c r="JFL237"/>
      <c r="JFM237"/>
      <c r="JFN237"/>
      <c r="JFO237"/>
      <c r="JFP237"/>
      <c r="JFQ237"/>
      <c r="JFR237"/>
      <c r="JFS237"/>
      <c r="JFT237"/>
      <c r="JFU237"/>
      <c r="JFV237"/>
      <c r="JFW237"/>
      <c r="JFX237"/>
      <c r="JFY237"/>
      <c r="JFZ237"/>
      <c r="JGA237"/>
      <c r="JGB237"/>
      <c r="JGC237"/>
      <c r="JGD237"/>
      <c r="JGE237"/>
      <c r="JGF237"/>
      <c r="JGG237"/>
      <c r="JGH237"/>
      <c r="JGI237"/>
      <c r="JGJ237"/>
      <c r="JGK237"/>
      <c r="JGL237"/>
      <c r="JGM237"/>
      <c r="JGN237"/>
      <c r="JGO237"/>
      <c r="JGP237"/>
      <c r="JGQ237"/>
      <c r="JGR237"/>
      <c r="JGS237"/>
      <c r="JGT237"/>
      <c r="JGU237"/>
      <c r="JGV237"/>
      <c r="JGW237"/>
      <c r="JGX237"/>
      <c r="JGY237"/>
      <c r="JGZ237"/>
      <c r="JHA237"/>
      <c r="JHB237"/>
      <c r="JHC237"/>
      <c r="JHD237"/>
      <c r="JHE237"/>
      <c r="JHF237"/>
      <c r="JHG237"/>
      <c r="JHH237"/>
      <c r="JHI237"/>
      <c r="JHJ237"/>
      <c r="JHK237"/>
      <c r="JHL237"/>
      <c r="JHM237"/>
      <c r="JHN237"/>
      <c r="JHO237"/>
      <c r="JHP237"/>
      <c r="JHQ237"/>
      <c r="JHR237"/>
      <c r="JHS237"/>
      <c r="JHT237"/>
      <c r="JHU237"/>
      <c r="JHV237"/>
      <c r="JHW237"/>
      <c r="JHX237"/>
      <c r="JHY237"/>
      <c r="JHZ237"/>
      <c r="JIA237"/>
      <c r="JIB237"/>
      <c r="JIC237"/>
      <c r="JID237"/>
      <c r="JIE237"/>
      <c r="JIF237"/>
      <c r="JIG237"/>
      <c r="JIH237"/>
      <c r="JII237"/>
      <c r="JIJ237"/>
      <c r="JIK237"/>
      <c r="JIL237"/>
      <c r="JIM237"/>
      <c r="JIN237"/>
      <c r="JIO237"/>
      <c r="JIP237"/>
      <c r="JIQ237"/>
      <c r="JIR237"/>
      <c r="JIS237"/>
      <c r="JIT237"/>
      <c r="JIU237"/>
      <c r="JIV237"/>
      <c r="JIW237"/>
      <c r="JIX237"/>
      <c r="JIY237"/>
      <c r="JIZ237"/>
      <c r="JJA237"/>
      <c r="JJB237"/>
      <c r="JJC237"/>
      <c r="JJD237"/>
      <c r="JJE237"/>
      <c r="JJF237"/>
      <c r="JJG237"/>
      <c r="JJH237"/>
      <c r="JJI237"/>
      <c r="JJJ237"/>
      <c r="JJK237"/>
      <c r="JJL237"/>
      <c r="JJM237"/>
      <c r="JJN237"/>
      <c r="JJO237"/>
      <c r="JJP237"/>
      <c r="JJQ237"/>
      <c r="JJR237"/>
      <c r="JJS237"/>
      <c r="JJT237"/>
      <c r="JJU237"/>
      <c r="JJV237"/>
      <c r="JJW237"/>
      <c r="JJX237"/>
      <c r="JJY237"/>
      <c r="JJZ237"/>
      <c r="JKA237"/>
      <c r="JKB237"/>
      <c r="JKC237"/>
      <c r="JKD237"/>
      <c r="JKE237"/>
      <c r="JKF237"/>
      <c r="JKG237"/>
      <c r="JKH237"/>
      <c r="JKI237"/>
      <c r="JKJ237"/>
      <c r="JKK237"/>
      <c r="JKL237"/>
      <c r="JKM237"/>
      <c r="JKN237"/>
      <c r="JKO237"/>
      <c r="JKP237"/>
      <c r="JKQ237"/>
      <c r="JKR237"/>
      <c r="JKS237"/>
      <c r="JKT237"/>
      <c r="JKU237"/>
      <c r="JKV237"/>
      <c r="JKW237"/>
      <c r="JKX237"/>
      <c r="JKY237"/>
      <c r="JKZ237"/>
      <c r="JLA237"/>
      <c r="JLB237"/>
      <c r="JLC237"/>
      <c r="JLD237"/>
      <c r="JLE237"/>
      <c r="JLF237"/>
      <c r="JLG237"/>
      <c r="JLH237"/>
      <c r="JLI237"/>
      <c r="JLJ237"/>
      <c r="JLK237"/>
      <c r="JLL237"/>
      <c r="JLM237"/>
      <c r="JLN237"/>
      <c r="JLO237"/>
      <c r="JLP237"/>
      <c r="JLQ237"/>
      <c r="JLR237"/>
      <c r="JLS237"/>
      <c r="JLT237"/>
      <c r="JLU237"/>
      <c r="JLV237"/>
      <c r="JLW237"/>
      <c r="JLX237"/>
      <c r="JLY237"/>
      <c r="JLZ237"/>
      <c r="JMA237"/>
      <c r="JMB237"/>
      <c r="JMC237"/>
      <c r="JMD237"/>
      <c r="JME237"/>
      <c r="JMF237"/>
      <c r="JMG237"/>
      <c r="JMH237"/>
      <c r="JMI237"/>
      <c r="JMJ237"/>
      <c r="JMK237"/>
      <c r="JML237"/>
      <c r="JMM237"/>
      <c r="JMN237"/>
      <c r="JMO237"/>
      <c r="JMP237"/>
      <c r="JMQ237"/>
      <c r="JMR237"/>
      <c r="JMS237"/>
      <c r="JMT237"/>
      <c r="JMU237"/>
      <c r="JMV237"/>
      <c r="JMW237"/>
      <c r="JMX237"/>
      <c r="JMY237"/>
      <c r="JMZ237"/>
      <c r="JNA237"/>
      <c r="JNB237"/>
      <c r="JNC237"/>
      <c r="JND237"/>
      <c r="JNE237"/>
      <c r="JNF237"/>
      <c r="JNG237"/>
      <c r="JNH237"/>
      <c r="JNI237"/>
      <c r="JNJ237"/>
      <c r="JNK237"/>
      <c r="JNL237"/>
      <c r="JNM237"/>
      <c r="JNN237"/>
      <c r="JNO237"/>
      <c r="JNP237"/>
      <c r="JNQ237"/>
      <c r="JNR237"/>
      <c r="JNS237"/>
      <c r="JNT237"/>
      <c r="JNU237"/>
      <c r="JNV237"/>
      <c r="JNW237"/>
      <c r="JNX237"/>
      <c r="JNY237"/>
      <c r="JNZ237"/>
      <c r="JOA237"/>
      <c r="JOB237"/>
      <c r="JOC237"/>
      <c r="JOD237"/>
      <c r="JOE237"/>
      <c r="JOF237"/>
      <c r="JOG237"/>
      <c r="JOH237"/>
      <c r="JOI237"/>
      <c r="JOJ237"/>
      <c r="JOK237"/>
      <c r="JOL237"/>
      <c r="JOM237"/>
      <c r="JON237"/>
      <c r="JOO237"/>
      <c r="JOP237"/>
      <c r="JOQ237"/>
      <c r="JOR237"/>
      <c r="JOS237"/>
      <c r="JOT237"/>
      <c r="JOU237"/>
      <c r="JOV237"/>
      <c r="JOW237"/>
      <c r="JOX237"/>
      <c r="JOY237"/>
      <c r="JOZ237"/>
      <c r="JPA237"/>
      <c r="JPB237"/>
      <c r="JPC237"/>
      <c r="JPD237"/>
      <c r="JPE237"/>
      <c r="JPF237"/>
      <c r="JPG237"/>
      <c r="JPH237"/>
      <c r="JPI237"/>
      <c r="JPJ237"/>
      <c r="JPK237"/>
      <c r="JPL237"/>
      <c r="JPM237"/>
      <c r="JPN237"/>
      <c r="JPO237"/>
      <c r="JPP237"/>
      <c r="JPQ237"/>
      <c r="JPR237"/>
      <c r="JPS237"/>
      <c r="JPT237"/>
      <c r="JPU237"/>
      <c r="JPV237"/>
      <c r="JPW237"/>
      <c r="JPX237"/>
      <c r="JPY237"/>
      <c r="JPZ237"/>
      <c r="JQA237"/>
      <c r="JQB237"/>
      <c r="JQC237"/>
      <c r="JQD237"/>
      <c r="JQE237"/>
      <c r="JQF237"/>
      <c r="JQG237"/>
      <c r="JQH237"/>
      <c r="JQI237"/>
      <c r="JQJ237"/>
      <c r="JQK237"/>
      <c r="JQL237"/>
      <c r="JQM237"/>
      <c r="JQN237"/>
      <c r="JQO237"/>
      <c r="JQP237"/>
      <c r="JQQ237"/>
      <c r="JQR237"/>
      <c r="JQS237"/>
      <c r="JQT237"/>
      <c r="JQU237"/>
      <c r="JQV237"/>
      <c r="JQW237"/>
      <c r="JQX237"/>
      <c r="JQY237"/>
      <c r="JQZ237"/>
      <c r="JRA237"/>
      <c r="JRB237"/>
      <c r="JRC237"/>
      <c r="JRD237"/>
      <c r="JRE237"/>
      <c r="JRF237"/>
      <c r="JRG237"/>
      <c r="JRH237"/>
      <c r="JRI237"/>
      <c r="JRJ237"/>
      <c r="JRK237"/>
      <c r="JRL237"/>
      <c r="JRM237"/>
      <c r="JRN237"/>
      <c r="JRO237"/>
      <c r="JRP237"/>
      <c r="JRQ237"/>
      <c r="JRR237"/>
      <c r="JRS237"/>
      <c r="JRT237"/>
      <c r="JRU237"/>
      <c r="JRV237"/>
      <c r="JRW237"/>
      <c r="JRX237"/>
      <c r="JRY237"/>
      <c r="JRZ237"/>
      <c r="JSA237"/>
      <c r="JSB237"/>
      <c r="JSC237"/>
      <c r="JSD237"/>
      <c r="JSE237"/>
      <c r="JSF237"/>
      <c r="JSG237"/>
      <c r="JSH237"/>
      <c r="JSI237"/>
      <c r="JSJ237"/>
      <c r="JSK237"/>
      <c r="JSL237"/>
      <c r="JSM237"/>
      <c r="JSN237"/>
      <c r="JSO237"/>
      <c r="JSP237"/>
      <c r="JSQ237"/>
      <c r="JSR237"/>
      <c r="JSS237"/>
      <c r="JST237"/>
      <c r="JSU237"/>
      <c r="JSV237"/>
      <c r="JSW237"/>
      <c r="JSX237"/>
      <c r="JSY237"/>
      <c r="JSZ237"/>
      <c r="JTA237"/>
      <c r="JTB237"/>
      <c r="JTC237"/>
      <c r="JTD237"/>
      <c r="JTE237"/>
      <c r="JTF237"/>
      <c r="JTG237"/>
      <c r="JTH237"/>
      <c r="JTI237"/>
      <c r="JTJ237"/>
      <c r="JTK237"/>
      <c r="JTL237"/>
      <c r="JTM237"/>
      <c r="JTN237"/>
      <c r="JTO237"/>
      <c r="JTP237"/>
      <c r="JTQ237"/>
      <c r="JTR237"/>
      <c r="JTS237"/>
      <c r="JTT237"/>
      <c r="JTU237"/>
      <c r="JTV237"/>
      <c r="JTW237"/>
      <c r="JTX237"/>
      <c r="JTY237"/>
      <c r="JTZ237"/>
      <c r="JUA237"/>
      <c r="JUB237"/>
      <c r="JUC237"/>
      <c r="JUD237"/>
      <c r="JUE237"/>
      <c r="JUF237"/>
      <c r="JUG237"/>
      <c r="JUH237"/>
      <c r="JUI237"/>
      <c r="JUJ237"/>
      <c r="JUK237"/>
      <c r="JUL237"/>
      <c r="JUM237"/>
      <c r="JUN237"/>
      <c r="JUO237"/>
      <c r="JUP237"/>
      <c r="JUQ237"/>
      <c r="JUR237"/>
      <c r="JUS237"/>
      <c r="JUT237"/>
      <c r="JUU237"/>
      <c r="JUV237"/>
      <c r="JUW237"/>
      <c r="JUX237"/>
      <c r="JUY237"/>
      <c r="JUZ237"/>
      <c r="JVA237"/>
      <c r="JVB237"/>
      <c r="JVC237"/>
      <c r="JVD237"/>
      <c r="JVE237"/>
      <c r="JVF237"/>
      <c r="JVG237"/>
      <c r="JVH237"/>
      <c r="JVI237"/>
      <c r="JVJ237"/>
      <c r="JVK237"/>
      <c r="JVL237"/>
      <c r="JVM237"/>
      <c r="JVN237"/>
      <c r="JVO237"/>
      <c r="JVP237"/>
      <c r="JVQ237"/>
      <c r="JVR237"/>
      <c r="JVS237"/>
      <c r="JVT237"/>
      <c r="JVU237"/>
      <c r="JVV237"/>
      <c r="JVW237"/>
      <c r="JVX237"/>
      <c r="JVY237"/>
      <c r="JVZ237"/>
      <c r="JWA237"/>
      <c r="JWB237"/>
      <c r="JWC237"/>
      <c r="JWD237"/>
      <c r="JWE237"/>
      <c r="JWF237"/>
      <c r="JWG237"/>
      <c r="JWH237"/>
      <c r="JWI237"/>
      <c r="JWJ237"/>
      <c r="JWK237"/>
      <c r="JWL237"/>
      <c r="JWM237"/>
      <c r="JWN237"/>
      <c r="JWO237"/>
      <c r="JWP237"/>
      <c r="JWQ237"/>
      <c r="JWR237"/>
      <c r="JWS237"/>
      <c r="JWT237"/>
      <c r="JWU237"/>
      <c r="JWV237"/>
      <c r="JWW237"/>
      <c r="JWX237"/>
      <c r="JWY237"/>
      <c r="JWZ237"/>
      <c r="JXA237"/>
      <c r="JXB237"/>
      <c r="JXC237"/>
      <c r="JXD237"/>
      <c r="JXE237"/>
      <c r="JXF237"/>
      <c r="JXG237"/>
      <c r="JXH237"/>
      <c r="JXI237"/>
      <c r="JXJ237"/>
      <c r="JXK237"/>
      <c r="JXL237"/>
      <c r="JXM237"/>
      <c r="JXN237"/>
      <c r="JXO237"/>
      <c r="JXP237"/>
      <c r="JXQ237"/>
      <c r="JXR237"/>
      <c r="JXS237"/>
      <c r="JXT237"/>
      <c r="JXU237"/>
      <c r="JXV237"/>
      <c r="JXW237"/>
      <c r="JXX237"/>
      <c r="JXY237"/>
      <c r="JXZ237"/>
      <c r="JYA237"/>
      <c r="JYB237"/>
      <c r="JYC237"/>
      <c r="JYD237"/>
      <c r="JYE237"/>
      <c r="JYF237"/>
      <c r="JYG237"/>
      <c r="JYH237"/>
      <c r="JYI237"/>
      <c r="JYJ237"/>
      <c r="JYK237"/>
      <c r="JYL237"/>
      <c r="JYM237"/>
      <c r="JYN237"/>
      <c r="JYO237"/>
      <c r="JYP237"/>
      <c r="JYQ237"/>
      <c r="JYR237"/>
      <c r="JYS237"/>
      <c r="JYT237"/>
      <c r="JYU237"/>
      <c r="JYV237"/>
      <c r="JYW237"/>
      <c r="JYX237"/>
      <c r="JYY237"/>
      <c r="JYZ237"/>
      <c r="JZA237"/>
      <c r="JZB237"/>
      <c r="JZC237"/>
      <c r="JZD237"/>
      <c r="JZE237"/>
      <c r="JZF237"/>
      <c r="JZG237"/>
      <c r="JZH237"/>
      <c r="JZI237"/>
      <c r="JZJ237"/>
      <c r="JZK237"/>
      <c r="JZL237"/>
      <c r="JZM237"/>
      <c r="JZN237"/>
      <c r="JZO237"/>
      <c r="JZP237"/>
      <c r="JZQ237"/>
      <c r="JZR237"/>
      <c r="JZS237"/>
      <c r="JZT237"/>
      <c r="JZU237"/>
      <c r="JZV237"/>
      <c r="JZW237"/>
      <c r="JZX237"/>
      <c r="JZY237"/>
      <c r="JZZ237"/>
      <c r="KAA237"/>
      <c r="KAB237"/>
      <c r="KAC237"/>
      <c r="KAD237"/>
      <c r="KAE237"/>
      <c r="KAF237"/>
      <c r="KAG237"/>
      <c r="KAH237"/>
      <c r="KAI237"/>
      <c r="KAJ237"/>
      <c r="KAK237"/>
      <c r="KAL237"/>
      <c r="KAM237"/>
      <c r="KAN237"/>
      <c r="KAO237"/>
      <c r="KAP237"/>
      <c r="KAQ237"/>
      <c r="KAR237"/>
      <c r="KAS237"/>
      <c r="KAT237"/>
      <c r="KAU237"/>
      <c r="KAV237"/>
      <c r="KAW237"/>
      <c r="KAX237"/>
      <c r="KAY237"/>
      <c r="KAZ237"/>
      <c r="KBA237"/>
      <c r="KBB237"/>
      <c r="KBC237"/>
      <c r="KBD237"/>
      <c r="KBE237"/>
      <c r="KBF237"/>
      <c r="KBG237"/>
      <c r="KBH237"/>
      <c r="KBI237"/>
      <c r="KBJ237"/>
      <c r="KBK237"/>
      <c r="KBL237"/>
      <c r="KBM237"/>
      <c r="KBN237"/>
      <c r="KBO237"/>
      <c r="KBP237"/>
      <c r="KBQ237"/>
      <c r="KBR237"/>
      <c r="KBS237"/>
      <c r="KBT237"/>
      <c r="KBU237"/>
      <c r="KBV237"/>
      <c r="KBW237"/>
      <c r="KBX237"/>
      <c r="KBY237"/>
      <c r="KBZ237"/>
      <c r="KCA237"/>
      <c r="KCB237"/>
      <c r="KCC237"/>
      <c r="KCD237"/>
      <c r="KCE237"/>
      <c r="KCF237"/>
      <c r="KCG237"/>
      <c r="KCH237"/>
      <c r="KCI237"/>
      <c r="KCJ237"/>
      <c r="KCK237"/>
      <c r="KCL237"/>
      <c r="KCM237"/>
      <c r="KCN237"/>
      <c r="KCO237"/>
      <c r="KCP237"/>
      <c r="KCQ237"/>
      <c r="KCR237"/>
      <c r="KCS237"/>
      <c r="KCT237"/>
      <c r="KCU237"/>
      <c r="KCV237"/>
      <c r="KCW237"/>
      <c r="KCX237"/>
      <c r="KCY237"/>
      <c r="KCZ237"/>
      <c r="KDA237"/>
      <c r="KDB237"/>
      <c r="KDC237"/>
      <c r="KDD237"/>
      <c r="KDE237"/>
      <c r="KDF237"/>
      <c r="KDG237"/>
      <c r="KDH237"/>
      <c r="KDI237"/>
      <c r="KDJ237"/>
      <c r="KDK237"/>
      <c r="KDL237"/>
      <c r="KDM237"/>
      <c r="KDN237"/>
      <c r="KDO237"/>
      <c r="KDP237"/>
      <c r="KDQ237"/>
      <c r="KDR237"/>
      <c r="KDS237"/>
      <c r="KDT237"/>
      <c r="KDU237"/>
      <c r="KDV237"/>
      <c r="KDW237"/>
      <c r="KDX237"/>
      <c r="KDY237"/>
      <c r="KDZ237"/>
      <c r="KEA237"/>
      <c r="KEB237"/>
      <c r="KEC237"/>
      <c r="KED237"/>
      <c r="KEE237"/>
      <c r="KEF237"/>
      <c r="KEG237"/>
      <c r="KEH237"/>
      <c r="KEI237"/>
      <c r="KEJ237"/>
      <c r="KEK237"/>
      <c r="KEL237"/>
      <c r="KEM237"/>
      <c r="KEN237"/>
      <c r="KEO237"/>
      <c r="KEP237"/>
      <c r="KEQ237"/>
      <c r="KER237"/>
      <c r="KES237"/>
      <c r="KET237"/>
      <c r="KEU237"/>
      <c r="KEV237"/>
      <c r="KEW237"/>
      <c r="KEX237"/>
      <c r="KEY237"/>
      <c r="KEZ237"/>
      <c r="KFA237"/>
      <c r="KFB237"/>
      <c r="KFC237"/>
      <c r="KFD237"/>
      <c r="KFE237"/>
      <c r="KFF237"/>
      <c r="KFG237"/>
      <c r="KFH237"/>
      <c r="KFI237"/>
      <c r="KFJ237"/>
      <c r="KFK237"/>
      <c r="KFL237"/>
      <c r="KFM237"/>
      <c r="KFN237"/>
      <c r="KFO237"/>
      <c r="KFP237"/>
      <c r="KFQ237"/>
      <c r="KFR237"/>
      <c r="KFS237"/>
      <c r="KFT237"/>
      <c r="KFU237"/>
      <c r="KFV237"/>
      <c r="KFW237"/>
      <c r="KFX237"/>
      <c r="KFY237"/>
      <c r="KFZ237"/>
      <c r="KGA237"/>
      <c r="KGB237"/>
      <c r="KGC237"/>
      <c r="KGD237"/>
      <c r="KGE237"/>
      <c r="KGF237"/>
      <c r="KGG237"/>
      <c r="KGH237"/>
      <c r="KGI237"/>
      <c r="KGJ237"/>
      <c r="KGK237"/>
      <c r="KGL237"/>
      <c r="KGM237"/>
      <c r="KGN237"/>
      <c r="KGO237"/>
      <c r="KGP237"/>
      <c r="KGQ237"/>
      <c r="KGR237"/>
      <c r="KGS237"/>
      <c r="KGT237"/>
      <c r="KGU237"/>
      <c r="KGV237"/>
      <c r="KGW237"/>
      <c r="KGX237"/>
      <c r="KGY237"/>
      <c r="KGZ237"/>
      <c r="KHA237"/>
      <c r="KHB237"/>
      <c r="KHC237"/>
      <c r="KHD237"/>
      <c r="KHE237"/>
      <c r="KHF237"/>
      <c r="KHG237"/>
      <c r="KHH237"/>
      <c r="KHI237"/>
      <c r="KHJ237"/>
      <c r="KHK237"/>
      <c r="KHL237"/>
      <c r="KHM237"/>
      <c r="KHN237"/>
      <c r="KHO237"/>
      <c r="KHP237"/>
      <c r="KHQ237"/>
      <c r="KHR237"/>
      <c r="KHS237"/>
      <c r="KHT237"/>
      <c r="KHU237"/>
      <c r="KHV237"/>
      <c r="KHW237"/>
      <c r="KHX237"/>
      <c r="KHY237"/>
      <c r="KHZ237"/>
      <c r="KIA237"/>
      <c r="KIB237"/>
      <c r="KIC237"/>
      <c r="KID237"/>
      <c r="KIE237"/>
      <c r="KIF237"/>
      <c r="KIG237"/>
      <c r="KIH237"/>
      <c r="KII237"/>
      <c r="KIJ237"/>
      <c r="KIK237"/>
      <c r="KIL237"/>
      <c r="KIM237"/>
      <c r="KIN237"/>
      <c r="KIO237"/>
      <c r="KIP237"/>
      <c r="KIQ237"/>
      <c r="KIR237"/>
      <c r="KIS237"/>
      <c r="KIT237"/>
      <c r="KIU237"/>
      <c r="KIV237"/>
      <c r="KIW237"/>
      <c r="KIX237"/>
      <c r="KIY237"/>
      <c r="KIZ237"/>
      <c r="KJA237"/>
      <c r="KJB237"/>
      <c r="KJC237"/>
      <c r="KJD237"/>
      <c r="KJE237"/>
      <c r="KJF237"/>
      <c r="KJG237"/>
      <c r="KJH237"/>
      <c r="KJI237"/>
      <c r="KJJ237"/>
      <c r="KJK237"/>
      <c r="KJL237"/>
      <c r="KJM237"/>
      <c r="KJN237"/>
      <c r="KJO237"/>
      <c r="KJP237"/>
      <c r="KJQ237"/>
      <c r="KJR237"/>
      <c r="KJS237"/>
      <c r="KJT237"/>
      <c r="KJU237"/>
      <c r="KJV237"/>
      <c r="KJW237"/>
      <c r="KJX237"/>
      <c r="KJY237"/>
      <c r="KJZ237"/>
      <c r="KKA237"/>
      <c r="KKB237"/>
      <c r="KKC237"/>
      <c r="KKD237"/>
      <c r="KKE237"/>
      <c r="KKF237"/>
      <c r="KKG237"/>
      <c r="KKH237"/>
      <c r="KKI237"/>
      <c r="KKJ237"/>
      <c r="KKK237"/>
      <c r="KKL237"/>
      <c r="KKM237"/>
      <c r="KKN237"/>
      <c r="KKO237"/>
      <c r="KKP237"/>
      <c r="KKQ237"/>
      <c r="KKR237"/>
      <c r="KKS237"/>
      <c r="KKT237"/>
      <c r="KKU237"/>
      <c r="KKV237"/>
      <c r="KKW237"/>
      <c r="KKX237"/>
      <c r="KKY237"/>
      <c r="KKZ237"/>
      <c r="KLA237"/>
      <c r="KLB237"/>
      <c r="KLC237"/>
      <c r="KLD237"/>
      <c r="KLE237"/>
      <c r="KLF237"/>
      <c r="KLG237"/>
      <c r="KLH237"/>
      <c r="KLI237"/>
      <c r="KLJ237"/>
      <c r="KLK237"/>
      <c r="KLL237"/>
      <c r="KLM237"/>
      <c r="KLN237"/>
      <c r="KLO237"/>
      <c r="KLP237"/>
      <c r="KLQ237"/>
      <c r="KLR237"/>
      <c r="KLS237"/>
      <c r="KLT237"/>
      <c r="KLU237"/>
      <c r="KLV237"/>
      <c r="KLW237"/>
      <c r="KLX237"/>
      <c r="KLY237"/>
      <c r="KLZ237"/>
      <c r="KMA237"/>
      <c r="KMB237"/>
      <c r="KMC237"/>
      <c r="KMD237"/>
      <c r="KME237"/>
      <c r="KMF237"/>
      <c r="KMG237"/>
      <c r="KMH237"/>
      <c r="KMI237"/>
      <c r="KMJ237"/>
      <c r="KMK237"/>
      <c r="KML237"/>
      <c r="KMM237"/>
      <c r="KMN237"/>
      <c r="KMO237"/>
      <c r="KMP237"/>
      <c r="KMQ237"/>
      <c r="KMR237"/>
      <c r="KMS237"/>
      <c r="KMT237"/>
      <c r="KMU237"/>
      <c r="KMV237"/>
      <c r="KMW237"/>
      <c r="KMX237"/>
      <c r="KMY237"/>
      <c r="KMZ237"/>
      <c r="KNA237"/>
      <c r="KNB237"/>
      <c r="KNC237"/>
      <c r="KND237"/>
      <c r="KNE237"/>
      <c r="KNF237"/>
      <c r="KNG237"/>
      <c r="KNH237"/>
      <c r="KNI237"/>
      <c r="KNJ237"/>
      <c r="KNK237"/>
      <c r="KNL237"/>
      <c r="KNM237"/>
      <c r="KNN237"/>
      <c r="KNO237"/>
      <c r="KNP237"/>
      <c r="KNQ237"/>
      <c r="KNR237"/>
      <c r="KNS237"/>
      <c r="KNT237"/>
      <c r="KNU237"/>
      <c r="KNV237"/>
      <c r="KNW237"/>
      <c r="KNX237"/>
      <c r="KNY237"/>
      <c r="KNZ237"/>
      <c r="KOA237"/>
      <c r="KOB237"/>
      <c r="KOC237"/>
      <c r="KOD237"/>
      <c r="KOE237"/>
      <c r="KOF237"/>
      <c r="KOG237"/>
      <c r="KOH237"/>
      <c r="KOI237"/>
      <c r="KOJ237"/>
      <c r="KOK237"/>
      <c r="KOL237"/>
      <c r="KOM237"/>
      <c r="KON237"/>
      <c r="KOO237"/>
      <c r="KOP237"/>
      <c r="KOQ237"/>
      <c r="KOR237"/>
      <c r="KOS237"/>
      <c r="KOT237"/>
      <c r="KOU237"/>
      <c r="KOV237"/>
      <c r="KOW237"/>
      <c r="KOX237"/>
      <c r="KOY237"/>
      <c r="KOZ237"/>
      <c r="KPA237"/>
      <c r="KPB237"/>
      <c r="KPC237"/>
      <c r="KPD237"/>
      <c r="KPE237"/>
      <c r="KPF237"/>
      <c r="KPG237"/>
      <c r="KPH237"/>
      <c r="KPI237"/>
      <c r="KPJ237"/>
      <c r="KPK237"/>
      <c r="KPL237"/>
      <c r="KPM237"/>
      <c r="KPN237"/>
      <c r="KPO237"/>
      <c r="KPP237"/>
      <c r="KPQ237"/>
      <c r="KPR237"/>
      <c r="KPS237"/>
      <c r="KPT237"/>
      <c r="KPU237"/>
      <c r="KPV237"/>
      <c r="KPW237"/>
      <c r="KPX237"/>
      <c r="KPY237"/>
      <c r="KPZ237"/>
      <c r="KQA237"/>
      <c r="KQB237"/>
      <c r="KQC237"/>
      <c r="KQD237"/>
      <c r="KQE237"/>
      <c r="KQF237"/>
      <c r="KQG237"/>
      <c r="KQH237"/>
      <c r="KQI237"/>
      <c r="KQJ237"/>
      <c r="KQK237"/>
      <c r="KQL237"/>
      <c r="KQM237"/>
      <c r="KQN237"/>
      <c r="KQO237"/>
      <c r="KQP237"/>
      <c r="KQQ237"/>
      <c r="KQR237"/>
      <c r="KQS237"/>
      <c r="KQT237"/>
      <c r="KQU237"/>
      <c r="KQV237"/>
      <c r="KQW237"/>
      <c r="KQX237"/>
      <c r="KQY237"/>
      <c r="KQZ237"/>
      <c r="KRA237"/>
      <c r="KRB237"/>
      <c r="KRC237"/>
      <c r="KRD237"/>
      <c r="KRE237"/>
      <c r="KRF237"/>
      <c r="KRG237"/>
      <c r="KRH237"/>
      <c r="KRI237"/>
      <c r="KRJ237"/>
      <c r="KRK237"/>
      <c r="KRL237"/>
      <c r="KRM237"/>
      <c r="KRN237"/>
      <c r="KRO237"/>
      <c r="KRP237"/>
      <c r="KRQ237"/>
      <c r="KRR237"/>
      <c r="KRS237"/>
      <c r="KRT237"/>
      <c r="KRU237"/>
      <c r="KRV237"/>
      <c r="KRW237"/>
      <c r="KRX237"/>
      <c r="KRY237"/>
      <c r="KRZ237"/>
      <c r="KSA237"/>
      <c r="KSB237"/>
      <c r="KSC237"/>
      <c r="KSD237"/>
      <c r="KSE237"/>
      <c r="KSF237"/>
      <c r="KSG237"/>
      <c r="KSH237"/>
      <c r="KSI237"/>
      <c r="KSJ237"/>
      <c r="KSK237"/>
      <c r="KSL237"/>
      <c r="KSM237"/>
      <c r="KSN237"/>
      <c r="KSO237"/>
      <c r="KSP237"/>
      <c r="KSQ237"/>
      <c r="KSR237"/>
      <c r="KSS237"/>
      <c r="KST237"/>
      <c r="KSU237"/>
      <c r="KSV237"/>
      <c r="KSW237"/>
      <c r="KSX237"/>
      <c r="KSY237"/>
      <c r="KSZ237"/>
      <c r="KTA237"/>
      <c r="KTB237"/>
      <c r="KTC237"/>
      <c r="KTD237"/>
      <c r="KTE237"/>
      <c r="KTF237"/>
      <c r="KTG237"/>
      <c r="KTH237"/>
      <c r="KTI237"/>
      <c r="KTJ237"/>
      <c r="KTK237"/>
      <c r="KTL237"/>
      <c r="KTM237"/>
      <c r="KTN237"/>
      <c r="KTO237"/>
      <c r="KTP237"/>
      <c r="KTQ237"/>
      <c r="KTR237"/>
      <c r="KTS237"/>
      <c r="KTT237"/>
      <c r="KTU237"/>
      <c r="KTV237"/>
      <c r="KTW237"/>
      <c r="KTX237"/>
      <c r="KTY237"/>
      <c r="KTZ237"/>
      <c r="KUA237"/>
      <c r="KUB237"/>
      <c r="KUC237"/>
      <c r="KUD237"/>
      <c r="KUE237"/>
      <c r="KUF237"/>
      <c r="KUG237"/>
      <c r="KUH237"/>
      <c r="KUI237"/>
      <c r="KUJ237"/>
      <c r="KUK237"/>
      <c r="KUL237"/>
      <c r="KUM237"/>
      <c r="KUN237"/>
      <c r="KUO237"/>
      <c r="KUP237"/>
      <c r="KUQ237"/>
      <c r="KUR237"/>
      <c r="KUS237"/>
      <c r="KUT237"/>
      <c r="KUU237"/>
      <c r="KUV237"/>
      <c r="KUW237"/>
      <c r="KUX237"/>
      <c r="KUY237"/>
      <c r="KUZ237"/>
      <c r="KVA237"/>
      <c r="KVB237"/>
      <c r="KVC237"/>
      <c r="KVD237"/>
      <c r="KVE237"/>
      <c r="KVF237"/>
      <c r="KVG237"/>
      <c r="KVH237"/>
      <c r="KVI237"/>
      <c r="KVJ237"/>
      <c r="KVK237"/>
      <c r="KVL237"/>
      <c r="KVM237"/>
      <c r="KVN237"/>
      <c r="KVO237"/>
      <c r="KVP237"/>
      <c r="KVQ237"/>
      <c r="KVR237"/>
      <c r="KVS237"/>
      <c r="KVT237"/>
      <c r="KVU237"/>
      <c r="KVV237"/>
      <c r="KVW237"/>
      <c r="KVX237"/>
      <c r="KVY237"/>
      <c r="KVZ237"/>
      <c r="KWA237"/>
      <c r="KWB237"/>
      <c r="KWC237"/>
      <c r="KWD237"/>
      <c r="KWE237"/>
      <c r="KWF237"/>
      <c r="KWG237"/>
      <c r="KWH237"/>
      <c r="KWI237"/>
      <c r="KWJ237"/>
      <c r="KWK237"/>
      <c r="KWL237"/>
      <c r="KWM237"/>
      <c r="KWN237"/>
      <c r="KWO237"/>
      <c r="KWP237"/>
      <c r="KWQ237"/>
      <c r="KWR237"/>
      <c r="KWS237"/>
      <c r="KWT237"/>
      <c r="KWU237"/>
      <c r="KWV237"/>
      <c r="KWW237"/>
      <c r="KWX237"/>
      <c r="KWY237"/>
      <c r="KWZ237"/>
      <c r="KXA237"/>
      <c r="KXB237"/>
      <c r="KXC237"/>
      <c r="KXD237"/>
      <c r="KXE237"/>
      <c r="KXF237"/>
      <c r="KXG237"/>
      <c r="KXH237"/>
      <c r="KXI237"/>
      <c r="KXJ237"/>
      <c r="KXK237"/>
      <c r="KXL237"/>
      <c r="KXM237"/>
      <c r="KXN237"/>
      <c r="KXO237"/>
      <c r="KXP237"/>
      <c r="KXQ237"/>
      <c r="KXR237"/>
      <c r="KXS237"/>
      <c r="KXT237"/>
      <c r="KXU237"/>
      <c r="KXV237"/>
      <c r="KXW237"/>
      <c r="KXX237"/>
      <c r="KXY237"/>
      <c r="KXZ237"/>
      <c r="KYA237"/>
      <c r="KYB237"/>
      <c r="KYC237"/>
      <c r="KYD237"/>
      <c r="KYE237"/>
      <c r="KYF237"/>
      <c r="KYG237"/>
      <c r="KYH237"/>
      <c r="KYI237"/>
      <c r="KYJ237"/>
      <c r="KYK237"/>
      <c r="KYL237"/>
      <c r="KYM237"/>
      <c r="KYN237"/>
      <c r="KYO237"/>
      <c r="KYP237"/>
      <c r="KYQ237"/>
      <c r="KYR237"/>
      <c r="KYS237"/>
      <c r="KYT237"/>
      <c r="KYU237"/>
      <c r="KYV237"/>
      <c r="KYW237"/>
      <c r="KYX237"/>
      <c r="KYY237"/>
      <c r="KYZ237"/>
      <c r="KZA237"/>
      <c r="KZB237"/>
      <c r="KZC237"/>
      <c r="KZD237"/>
      <c r="KZE237"/>
      <c r="KZF237"/>
      <c r="KZG237"/>
      <c r="KZH237"/>
      <c r="KZI237"/>
      <c r="KZJ237"/>
      <c r="KZK237"/>
      <c r="KZL237"/>
      <c r="KZM237"/>
      <c r="KZN237"/>
      <c r="KZO237"/>
      <c r="KZP237"/>
      <c r="KZQ237"/>
      <c r="KZR237"/>
      <c r="KZS237"/>
      <c r="KZT237"/>
      <c r="KZU237"/>
      <c r="KZV237"/>
      <c r="KZW237"/>
      <c r="KZX237"/>
      <c r="KZY237"/>
      <c r="KZZ237"/>
      <c r="LAA237"/>
      <c r="LAB237"/>
      <c r="LAC237"/>
      <c r="LAD237"/>
      <c r="LAE237"/>
      <c r="LAF237"/>
      <c r="LAG237"/>
      <c r="LAH237"/>
      <c r="LAI237"/>
      <c r="LAJ237"/>
      <c r="LAK237"/>
      <c r="LAL237"/>
      <c r="LAM237"/>
      <c r="LAN237"/>
      <c r="LAO237"/>
      <c r="LAP237"/>
      <c r="LAQ237"/>
      <c r="LAR237"/>
      <c r="LAS237"/>
      <c r="LAT237"/>
      <c r="LAU237"/>
      <c r="LAV237"/>
      <c r="LAW237"/>
      <c r="LAX237"/>
      <c r="LAY237"/>
      <c r="LAZ237"/>
      <c r="LBA237"/>
      <c r="LBB237"/>
      <c r="LBC237"/>
      <c r="LBD237"/>
      <c r="LBE237"/>
      <c r="LBF237"/>
      <c r="LBG237"/>
      <c r="LBH237"/>
      <c r="LBI237"/>
      <c r="LBJ237"/>
      <c r="LBK237"/>
      <c r="LBL237"/>
      <c r="LBM237"/>
      <c r="LBN237"/>
      <c r="LBO237"/>
      <c r="LBP237"/>
      <c r="LBQ237"/>
      <c r="LBR237"/>
      <c r="LBS237"/>
      <c r="LBT237"/>
      <c r="LBU237"/>
      <c r="LBV237"/>
      <c r="LBW237"/>
      <c r="LBX237"/>
      <c r="LBY237"/>
      <c r="LBZ237"/>
      <c r="LCA237"/>
      <c r="LCB237"/>
      <c r="LCC237"/>
      <c r="LCD237"/>
      <c r="LCE237"/>
      <c r="LCF237"/>
      <c r="LCG237"/>
      <c r="LCH237"/>
      <c r="LCI237"/>
      <c r="LCJ237"/>
      <c r="LCK237"/>
      <c r="LCL237"/>
      <c r="LCM237"/>
      <c r="LCN237"/>
      <c r="LCO237"/>
      <c r="LCP237"/>
      <c r="LCQ237"/>
      <c r="LCR237"/>
      <c r="LCS237"/>
      <c r="LCT237"/>
      <c r="LCU237"/>
      <c r="LCV237"/>
      <c r="LCW237"/>
      <c r="LCX237"/>
      <c r="LCY237"/>
      <c r="LCZ237"/>
      <c r="LDA237"/>
      <c r="LDB237"/>
      <c r="LDC237"/>
      <c r="LDD237"/>
      <c r="LDE237"/>
      <c r="LDF237"/>
      <c r="LDG237"/>
      <c r="LDH237"/>
      <c r="LDI237"/>
      <c r="LDJ237"/>
      <c r="LDK237"/>
      <c r="LDL237"/>
      <c r="LDM237"/>
      <c r="LDN237"/>
      <c r="LDO237"/>
      <c r="LDP237"/>
      <c r="LDQ237"/>
      <c r="LDR237"/>
      <c r="LDS237"/>
      <c r="LDT237"/>
      <c r="LDU237"/>
      <c r="LDV237"/>
      <c r="LDW237"/>
      <c r="LDX237"/>
      <c r="LDY237"/>
      <c r="LDZ237"/>
      <c r="LEA237"/>
      <c r="LEB237"/>
      <c r="LEC237"/>
      <c r="LED237"/>
      <c r="LEE237"/>
      <c r="LEF237"/>
      <c r="LEG237"/>
      <c r="LEH237"/>
      <c r="LEI237"/>
      <c r="LEJ237"/>
      <c r="LEK237"/>
      <c r="LEL237"/>
      <c r="LEM237"/>
      <c r="LEN237"/>
      <c r="LEO237"/>
      <c r="LEP237"/>
      <c r="LEQ237"/>
      <c r="LER237"/>
      <c r="LES237"/>
      <c r="LET237"/>
      <c r="LEU237"/>
      <c r="LEV237"/>
      <c r="LEW237"/>
      <c r="LEX237"/>
      <c r="LEY237"/>
      <c r="LEZ237"/>
      <c r="LFA237"/>
      <c r="LFB237"/>
      <c r="LFC237"/>
      <c r="LFD237"/>
      <c r="LFE237"/>
      <c r="LFF237"/>
      <c r="LFG237"/>
      <c r="LFH237"/>
      <c r="LFI237"/>
      <c r="LFJ237"/>
      <c r="LFK237"/>
      <c r="LFL237"/>
      <c r="LFM237"/>
      <c r="LFN237"/>
      <c r="LFO237"/>
      <c r="LFP237"/>
      <c r="LFQ237"/>
      <c r="LFR237"/>
      <c r="LFS237"/>
      <c r="LFT237"/>
      <c r="LFU237"/>
      <c r="LFV237"/>
      <c r="LFW237"/>
      <c r="LFX237"/>
      <c r="LFY237"/>
      <c r="LFZ237"/>
      <c r="LGA237"/>
      <c r="LGB237"/>
      <c r="LGC237"/>
      <c r="LGD237"/>
      <c r="LGE237"/>
      <c r="LGF237"/>
      <c r="LGG237"/>
      <c r="LGH237"/>
      <c r="LGI237"/>
      <c r="LGJ237"/>
      <c r="LGK237"/>
      <c r="LGL237"/>
      <c r="LGM237"/>
      <c r="LGN237"/>
      <c r="LGO237"/>
      <c r="LGP237"/>
      <c r="LGQ237"/>
      <c r="LGR237"/>
      <c r="LGS237"/>
      <c r="LGT237"/>
      <c r="LGU237"/>
      <c r="LGV237"/>
      <c r="LGW237"/>
      <c r="LGX237"/>
      <c r="LGY237"/>
      <c r="LGZ237"/>
      <c r="LHA237"/>
      <c r="LHB237"/>
      <c r="LHC237"/>
      <c r="LHD237"/>
      <c r="LHE237"/>
      <c r="LHF237"/>
      <c r="LHG237"/>
      <c r="LHH237"/>
      <c r="LHI237"/>
      <c r="LHJ237"/>
      <c r="LHK237"/>
      <c r="LHL237"/>
      <c r="LHM237"/>
      <c r="LHN237"/>
      <c r="LHO237"/>
      <c r="LHP237"/>
      <c r="LHQ237"/>
      <c r="LHR237"/>
      <c r="LHS237"/>
      <c r="LHT237"/>
      <c r="LHU237"/>
      <c r="LHV237"/>
      <c r="LHW237"/>
      <c r="LHX237"/>
      <c r="LHY237"/>
      <c r="LHZ237"/>
      <c r="LIA237"/>
      <c r="LIB237"/>
      <c r="LIC237"/>
      <c r="LID237"/>
      <c r="LIE237"/>
      <c r="LIF237"/>
      <c r="LIG237"/>
      <c r="LIH237"/>
      <c r="LII237"/>
      <c r="LIJ237"/>
      <c r="LIK237"/>
      <c r="LIL237"/>
      <c r="LIM237"/>
      <c r="LIN237"/>
      <c r="LIO237"/>
      <c r="LIP237"/>
      <c r="LIQ237"/>
      <c r="LIR237"/>
      <c r="LIS237"/>
      <c r="LIT237"/>
      <c r="LIU237"/>
      <c r="LIV237"/>
      <c r="LIW237"/>
      <c r="LIX237"/>
      <c r="LIY237"/>
      <c r="LIZ237"/>
      <c r="LJA237"/>
      <c r="LJB237"/>
      <c r="LJC237"/>
      <c r="LJD237"/>
      <c r="LJE237"/>
      <c r="LJF237"/>
      <c r="LJG237"/>
      <c r="LJH237"/>
      <c r="LJI237"/>
      <c r="LJJ237"/>
      <c r="LJK237"/>
      <c r="LJL237"/>
      <c r="LJM237"/>
      <c r="LJN237"/>
      <c r="LJO237"/>
      <c r="LJP237"/>
      <c r="LJQ237"/>
      <c r="LJR237"/>
      <c r="LJS237"/>
      <c r="LJT237"/>
      <c r="LJU237"/>
      <c r="LJV237"/>
      <c r="LJW237"/>
      <c r="LJX237"/>
      <c r="LJY237"/>
      <c r="LJZ237"/>
      <c r="LKA237"/>
      <c r="LKB237"/>
      <c r="LKC237"/>
      <c r="LKD237"/>
      <c r="LKE237"/>
      <c r="LKF237"/>
      <c r="LKG237"/>
      <c r="LKH237"/>
      <c r="LKI237"/>
      <c r="LKJ237"/>
      <c r="LKK237"/>
      <c r="LKL237"/>
      <c r="LKM237"/>
      <c r="LKN237"/>
      <c r="LKO237"/>
      <c r="LKP237"/>
      <c r="LKQ237"/>
      <c r="LKR237"/>
      <c r="LKS237"/>
      <c r="LKT237"/>
      <c r="LKU237"/>
      <c r="LKV237"/>
      <c r="LKW237"/>
      <c r="LKX237"/>
      <c r="LKY237"/>
      <c r="LKZ237"/>
      <c r="LLA237"/>
      <c r="LLB237"/>
      <c r="LLC237"/>
      <c r="LLD237"/>
      <c r="LLE237"/>
      <c r="LLF237"/>
      <c r="LLG237"/>
      <c r="LLH237"/>
      <c r="LLI237"/>
      <c r="LLJ237"/>
      <c r="LLK237"/>
      <c r="LLL237"/>
      <c r="LLM237"/>
      <c r="LLN237"/>
      <c r="LLO237"/>
      <c r="LLP237"/>
      <c r="LLQ237"/>
      <c r="LLR237"/>
      <c r="LLS237"/>
      <c r="LLT237"/>
      <c r="LLU237"/>
      <c r="LLV237"/>
      <c r="LLW237"/>
      <c r="LLX237"/>
      <c r="LLY237"/>
      <c r="LLZ237"/>
      <c r="LMA237"/>
      <c r="LMB237"/>
      <c r="LMC237"/>
      <c r="LMD237"/>
      <c r="LME237"/>
      <c r="LMF237"/>
      <c r="LMG237"/>
      <c r="LMH237"/>
      <c r="LMI237"/>
      <c r="LMJ237"/>
      <c r="LMK237"/>
      <c r="LML237"/>
      <c r="LMM237"/>
      <c r="LMN237"/>
      <c r="LMO237"/>
      <c r="LMP237"/>
      <c r="LMQ237"/>
      <c r="LMR237"/>
      <c r="LMS237"/>
      <c r="LMT237"/>
      <c r="LMU237"/>
      <c r="LMV237"/>
      <c r="LMW237"/>
      <c r="LMX237"/>
      <c r="LMY237"/>
      <c r="LMZ237"/>
      <c r="LNA237"/>
      <c r="LNB237"/>
      <c r="LNC237"/>
      <c r="LND237"/>
      <c r="LNE237"/>
      <c r="LNF237"/>
      <c r="LNG237"/>
      <c r="LNH237"/>
      <c r="LNI237"/>
      <c r="LNJ237"/>
      <c r="LNK237"/>
      <c r="LNL237"/>
      <c r="LNM237"/>
      <c r="LNN237"/>
      <c r="LNO237"/>
      <c r="LNP237"/>
      <c r="LNQ237"/>
      <c r="LNR237"/>
      <c r="LNS237"/>
      <c r="LNT237"/>
      <c r="LNU237"/>
      <c r="LNV237"/>
      <c r="LNW237"/>
      <c r="LNX237"/>
      <c r="LNY237"/>
      <c r="LNZ237"/>
      <c r="LOA237"/>
      <c r="LOB237"/>
      <c r="LOC237"/>
      <c r="LOD237"/>
      <c r="LOE237"/>
      <c r="LOF237"/>
      <c r="LOG237"/>
      <c r="LOH237"/>
      <c r="LOI237"/>
      <c r="LOJ237"/>
      <c r="LOK237"/>
      <c r="LOL237"/>
      <c r="LOM237"/>
      <c r="LON237"/>
      <c r="LOO237"/>
      <c r="LOP237"/>
      <c r="LOQ237"/>
      <c r="LOR237"/>
      <c r="LOS237"/>
      <c r="LOT237"/>
      <c r="LOU237"/>
      <c r="LOV237"/>
      <c r="LOW237"/>
      <c r="LOX237"/>
      <c r="LOY237"/>
      <c r="LOZ237"/>
      <c r="LPA237"/>
      <c r="LPB237"/>
      <c r="LPC237"/>
      <c r="LPD237"/>
      <c r="LPE237"/>
      <c r="LPF237"/>
      <c r="LPG237"/>
      <c r="LPH237"/>
      <c r="LPI237"/>
      <c r="LPJ237"/>
      <c r="LPK237"/>
      <c r="LPL237"/>
      <c r="LPM237"/>
      <c r="LPN237"/>
      <c r="LPO237"/>
      <c r="LPP237"/>
      <c r="LPQ237"/>
      <c r="LPR237"/>
      <c r="LPS237"/>
      <c r="LPT237"/>
      <c r="LPU237"/>
      <c r="LPV237"/>
      <c r="LPW237"/>
      <c r="LPX237"/>
      <c r="LPY237"/>
      <c r="LPZ237"/>
      <c r="LQA237"/>
      <c r="LQB237"/>
      <c r="LQC237"/>
      <c r="LQD237"/>
      <c r="LQE237"/>
      <c r="LQF237"/>
      <c r="LQG237"/>
      <c r="LQH237"/>
      <c r="LQI237"/>
      <c r="LQJ237"/>
      <c r="LQK237"/>
      <c r="LQL237"/>
      <c r="LQM237"/>
      <c r="LQN237"/>
      <c r="LQO237"/>
      <c r="LQP237"/>
      <c r="LQQ237"/>
      <c r="LQR237"/>
      <c r="LQS237"/>
      <c r="LQT237"/>
      <c r="LQU237"/>
      <c r="LQV237"/>
      <c r="LQW237"/>
      <c r="LQX237"/>
      <c r="LQY237"/>
      <c r="LQZ237"/>
      <c r="LRA237"/>
      <c r="LRB237"/>
      <c r="LRC237"/>
      <c r="LRD237"/>
      <c r="LRE237"/>
      <c r="LRF237"/>
      <c r="LRG237"/>
      <c r="LRH237"/>
      <c r="LRI237"/>
      <c r="LRJ237"/>
      <c r="LRK237"/>
      <c r="LRL237"/>
      <c r="LRM237"/>
      <c r="LRN237"/>
      <c r="LRO237"/>
      <c r="LRP237"/>
      <c r="LRQ237"/>
      <c r="LRR237"/>
      <c r="LRS237"/>
      <c r="LRT237"/>
      <c r="LRU237"/>
      <c r="LRV237"/>
      <c r="LRW237"/>
      <c r="LRX237"/>
      <c r="LRY237"/>
      <c r="LRZ237"/>
      <c r="LSA237"/>
      <c r="LSB237"/>
      <c r="LSC237"/>
      <c r="LSD237"/>
      <c r="LSE237"/>
      <c r="LSF237"/>
      <c r="LSG237"/>
      <c r="LSH237"/>
      <c r="LSI237"/>
      <c r="LSJ237"/>
      <c r="LSK237"/>
      <c r="LSL237"/>
      <c r="LSM237"/>
      <c r="LSN237"/>
      <c r="LSO237"/>
      <c r="LSP237"/>
      <c r="LSQ237"/>
      <c r="LSR237"/>
      <c r="LSS237"/>
      <c r="LST237"/>
      <c r="LSU237"/>
      <c r="LSV237"/>
      <c r="LSW237"/>
      <c r="LSX237"/>
      <c r="LSY237"/>
      <c r="LSZ237"/>
      <c r="LTA237"/>
      <c r="LTB237"/>
      <c r="LTC237"/>
      <c r="LTD237"/>
      <c r="LTE237"/>
      <c r="LTF237"/>
      <c r="LTG237"/>
      <c r="LTH237"/>
      <c r="LTI237"/>
      <c r="LTJ237"/>
      <c r="LTK237"/>
      <c r="LTL237"/>
      <c r="LTM237"/>
      <c r="LTN237"/>
      <c r="LTO237"/>
      <c r="LTP237"/>
      <c r="LTQ237"/>
      <c r="LTR237"/>
      <c r="LTS237"/>
      <c r="LTT237"/>
      <c r="LTU237"/>
      <c r="LTV237"/>
      <c r="LTW237"/>
      <c r="LTX237"/>
      <c r="LTY237"/>
      <c r="LTZ237"/>
      <c r="LUA237"/>
      <c r="LUB237"/>
      <c r="LUC237"/>
      <c r="LUD237"/>
      <c r="LUE237"/>
      <c r="LUF237"/>
      <c r="LUG237"/>
      <c r="LUH237"/>
      <c r="LUI237"/>
      <c r="LUJ237"/>
      <c r="LUK237"/>
      <c r="LUL237"/>
      <c r="LUM237"/>
      <c r="LUN237"/>
      <c r="LUO237"/>
      <c r="LUP237"/>
      <c r="LUQ237"/>
      <c r="LUR237"/>
      <c r="LUS237"/>
      <c r="LUT237"/>
      <c r="LUU237"/>
      <c r="LUV237"/>
      <c r="LUW237"/>
      <c r="LUX237"/>
      <c r="LUY237"/>
      <c r="LUZ237"/>
      <c r="LVA237"/>
      <c r="LVB237"/>
      <c r="LVC237"/>
      <c r="LVD237"/>
      <c r="LVE237"/>
      <c r="LVF237"/>
      <c r="LVG237"/>
      <c r="LVH237"/>
      <c r="LVI237"/>
      <c r="LVJ237"/>
      <c r="LVK237"/>
      <c r="LVL237"/>
      <c r="LVM237"/>
      <c r="LVN237"/>
      <c r="LVO237"/>
      <c r="LVP237"/>
      <c r="LVQ237"/>
      <c r="LVR237"/>
      <c r="LVS237"/>
      <c r="LVT237"/>
      <c r="LVU237"/>
      <c r="LVV237"/>
      <c r="LVW237"/>
      <c r="LVX237"/>
      <c r="LVY237"/>
      <c r="LVZ237"/>
      <c r="LWA237"/>
      <c r="LWB237"/>
      <c r="LWC237"/>
      <c r="LWD237"/>
      <c r="LWE237"/>
      <c r="LWF237"/>
      <c r="LWG237"/>
      <c r="LWH237"/>
      <c r="LWI237"/>
      <c r="LWJ237"/>
      <c r="LWK237"/>
      <c r="LWL237"/>
      <c r="LWM237"/>
      <c r="LWN237"/>
      <c r="LWO237"/>
      <c r="LWP237"/>
      <c r="LWQ237"/>
      <c r="LWR237"/>
      <c r="LWS237"/>
      <c r="LWT237"/>
      <c r="LWU237"/>
      <c r="LWV237"/>
      <c r="LWW237"/>
      <c r="LWX237"/>
      <c r="LWY237"/>
      <c r="LWZ237"/>
      <c r="LXA237"/>
      <c r="LXB237"/>
      <c r="LXC237"/>
      <c r="LXD237"/>
      <c r="LXE237"/>
      <c r="LXF237"/>
      <c r="LXG237"/>
      <c r="LXH237"/>
      <c r="LXI237"/>
      <c r="LXJ237"/>
      <c r="LXK237"/>
      <c r="LXL237"/>
      <c r="LXM237"/>
      <c r="LXN237"/>
      <c r="LXO237"/>
      <c r="LXP237"/>
      <c r="LXQ237"/>
      <c r="LXR237"/>
      <c r="LXS237"/>
      <c r="LXT237"/>
      <c r="LXU237"/>
      <c r="LXV237"/>
      <c r="LXW237"/>
      <c r="LXX237"/>
      <c r="LXY237"/>
      <c r="LXZ237"/>
      <c r="LYA237"/>
      <c r="LYB237"/>
      <c r="LYC237"/>
      <c r="LYD237"/>
      <c r="LYE237"/>
      <c r="LYF237"/>
      <c r="LYG237"/>
      <c r="LYH237"/>
      <c r="LYI237"/>
      <c r="LYJ237"/>
      <c r="LYK237"/>
      <c r="LYL237"/>
      <c r="LYM237"/>
      <c r="LYN237"/>
      <c r="LYO237"/>
      <c r="LYP237"/>
      <c r="LYQ237"/>
      <c r="LYR237"/>
      <c r="LYS237"/>
      <c r="LYT237"/>
      <c r="LYU237"/>
      <c r="LYV237"/>
      <c r="LYW237"/>
      <c r="LYX237"/>
      <c r="LYY237"/>
      <c r="LYZ237"/>
      <c r="LZA237"/>
      <c r="LZB237"/>
      <c r="LZC237"/>
      <c r="LZD237"/>
      <c r="LZE237"/>
      <c r="LZF237"/>
      <c r="LZG237"/>
      <c r="LZH237"/>
      <c r="LZI237"/>
      <c r="LZJ237"/>
      <c r="LZK237"/>
      <c r="LZL237"/>
      <c r="LZM237"/>
      <c r="LZN237"/>
      <c r="LZO237"/>
      <c r="LZP237"/>
      <c r="LZQ237"/>
      <c r="LZR237"/>
      <c r="LZS237"/>
      <c r="LZT237"/>
      <c r="LZU237"/>
      <c r="LZV237"/>
      <c r="LZW237"/>
      <c r="LZX237"/>
      <c r="LZY237"/>
      <c r="LZZ237"/>
      <c r="MAA237"/>
      <c r="MAB237"/>
      <c r="MAC237"/>
      <c r="MAD237"/>
      <c r="MAE237"/>
      <c r="MAF237"/>
      <c r="MAG237"/>
      <c r="MAH237"/>
      <c r="MAI237"/>
      <c r="MAJ237"/>
      <c r="MAK237"/>
      <c r="MAL237"/>
      <c r="MAM237"/>
      <c r="MAN237"/>
      <c r="MAO237"/>
      <c r="MAP237"/>
      <c r="MAQ237"/>
      <c r="MAR237"/>
      <c r="MAS237"/>
      <c r="MAT237"/>
      <c r="MAU237"/>
      <c r="MAV237"/>
      <c r="MAW237"/>
      <c r="MAX237"/>
      <c r="MAY237"/>
      <c r="MAZ237"/>
      <c r="MBA237"/>
      <c r="MBB237"/>
      <c r="MBC237"/>
      <c r="MBD237"/>
      <c r="MBE237"/>
      <c r="MBF237"/>
      <c r="MBG237"/>
      <c r="MBH237"/>
      <c r="MBI237"/>
      <c r="MBJ237"/>
      <c r="MBK237"/>
      <c r="MBL237"/>
      <c r="MBM237"/>
      <c r="MBN237"/>
      <c r="MBO237"/>
      <c r="MBP237"/>
      <c r="MBQ237"/>
      <c r="MBR237"/>
      <c r="MBS237"/>
      <c r="MBT237"/>
      <c r="MBU237"/>
      <c r="MBV237"/>
      <c r="MBW237"/>
      <c r="MBX237"/>
      <c r="MBY237"/>
      <c r="MBZ237"/>
      <c r="MCA237"/>
      <c r="MCB237"/>
      <c r="MCC237"/>
      <c r="MCD237"/>
      <c r="MCE237"/>
      <c r="MCF237"/>
      <c r="MCG237"/>
      <c r="MCH237"/>
      <c r="MCI237"/>
      <c r="MCJ237"/>
      <c r="MCK237"/>
      <c r="MCL237"/>
      <c r="MCM237"/>
      <c r="MCN237"/>
      <c r="MCO237"/>
      <c r="MCP237"/>
      <c r="MCQ237"/>
      <c r="MCR237"/>
      <c r="MCS237"/>
      <c r="MCT237"/>
      <c r="MCU237"/>
      <c r="MCV237"/>
      <c r="MCW237"/>
      <c r="MCX237"/>
      <c r="MCY237"/>
      <c r="MCZ237"/>
      <c r="MDA237"/>
      <c r="MDB237"/>
      <c r="MDC237"/>
      <c r="MDD237"/>
      <c r="MDE237"/>
      <c r="MDF237"/>
      <c r="MDG237"/>
      <c r="MDH237"/>
      <c r="MDI237"/>
      <c r="MDJ237"/>
      <c r="MDK237"/>
      <c r="MDL237"/>
      <c r="MDM237"/>
      <c r="MDN237"/>
      <c r="MDO237"/>
      <c r="MDP237"/>
      <c r="MDQ237"/>
      <c r="MDR237"/>
      <c r="MDS237"/>
      <c r="MDT237"/>
      <c r="MDU237"/>
      <c r="MDV237"/>
      <c r="MDW237"/>
      <c r="MDX237"/>
      <c r="MDY237"/>
      <c r="MDZ237"/>
      <c r="MEA237"/>
      <c r="MEB237"/>
      <c r="MEC237"/>
      <c r="MED237"/>
      <c r="MEE237"/>
      <c r="MEF237"/>
      <c r="MEG237"/>
      <c r="MEH237"/>
      <c r="MEI237"/>
      <c r="MEJ237"/>
      <c r="MEK237"/>
      <c r="MEL237"/>
      <c r="MEM237"/>
      <c r="MEN237"/>
      <c r="MEO237"/>
      <c r="MEP237"/>
      <c r="MEQ237"/>
      <c r="MER237"/>
      <c r="MES237"/>
      <c r="MET237"/>
      <c r="MEU237"/>
      <c r="MEV237"/>
      <c r="MEW237"/>
      <c r="MEX237"/>
      <c r="MEY237"/>
      <c r="MEZ237"/>
      <c r="MFA237"/>
      <c r="MFB237"/>
      <c r="MFC237"/>
      <c r="MFD237"/>
      <c r="MFE237"/>
      <c r="MFF237"/>
      <c r="MFG237"/>
      <c r="MFH237"/>
      <c r="MFI237"/>
      <c r="MFJ237"/>
      <c r="MFK237"/>
      <c r="MFL237"/>
      <c r="MFM237"/>
      <c r="MFN237"/>
      <c r="MFO237"/>
      <c r="MFP237"/>
      <c r="MFQ237"/>
      <c r="MFR237"/>
      <c r="MFS237"/>
      <c r="MFT237"/>
      <c r="MFU237"/>
      <c r="MFV237"/>
      <c r="MFW237"/>
      <c r="MFX237"/>
      <c r="MFY237"/>
      <c r="MFZ237"/>
      <c r="MGA237"/>
      <c r="MGB237"/>
      <c r="MGC237"/>
      <c r="MGD237"/>
      <c r="MGE237"/>
      <c r="MGF237"/>
      <c r="MGG237"/>
      <c r="MGH237"/>
      <c r="MGI237"/>
      <c r="MGJ237"/>
      <c r="MGK237"/>
      <c r="MGL237"/>
      <c r="MGM237"/>
      <c r="MGN237"/>
      <c r="MGO237"/>
      <c r="MGP237"/>
      <c r="MGQ237"/>
      <c r="MGR237"/>
      <c r="MGS237"/>
      <c r="MGT237"/>
      <c r="MGU237"/>
      <c r="MGV237"/>
      <c r="MGW237"/>
      <c r="MGX237"/>
      <c r="MGY237"/>
      <c r="MGZ237"/>
      <c r="MHA237"/>
      <c r="MHB237"/>
      <c r="MHC237"/>
      <c r="MHD237"/>
      <c r="MHE237"/>
      <c r="MHF237"/>
      <c r="MHG237"/>
      <c r="MHH237"/>
      <c r="MHI237"/>
      <c r="MHJ237"/>
      <c r="MHK237"/>
      <c r="MHL237"/>
      <c r="MHM237"/>
      <c r="MHN237"/>
      <c r="MHO237"/>
      <c r="MHP237"/>
      <c r="MHQ237"/>
      <c r="MHR237"/>
      <c r="MHS237"/>
      <c r="MHT237"/>
      <c r="MHU237"/>
      <c r="MHV237"/>
      <c r="MHW237"/>
      <c r="MHX237"/>
      <c r="MHY237"/>
      <c r="MHZ237"/>
      <c r="MIA237"/>
      <c r="MIB237"/>
      <c r="MIC237"/>
      <c r="MID237"/>
      <c r="MIE237"/>
      <c r="MIF237"/>
      <c r="MIG237"/>
      <c r="MIH237"/>
      <c r="MII237"/>
      <c r="MIJ237"/>
      <c r="MIK237"/>
      <c r="MIL237"/>
      <c r="MIM237"/>
      <c r="MIN237"/>
      <c r="MIO237"/>
      <c r="MIP237"/>
      <c r="MIQ237"/>
      <c r="MIR237"/>
      <c r="MIS237"/>
      <c r="MIT237"/>
      <c r="MIU237"/>
      <c r="MIV237"/>
      <c r="MIW237"/>
      <c r="MIX237"/>
      <c r="MIY237"/>
      <c r="MIZ237"/>
      <c r="MJA237"/>
      <c r="MJB237"/>
      <c r="MJC237"/>
      <c r="MJD237"/>
      <c r="MJE237"/>
      <c r="MJF237"/>
      <c r="MJG237"/>
      <c r="MJH237"/>
      <c r="MJI237"/>
      <c r="MJJ237"/>
      <c r="MJK237"/>
      <c r="MJL237"/>
      <c r="MJM237"/>
      <c r="MJN237"/>
      <c r="MJO237"/>
      <c r="MJP237"/>
      <c r="MJQ237"/>
      <c r="MJR237"/>
      <c r="MJS237"/>
      <c r="MJT237"/>
      <c r="MJU237"/>
      <c r="MJV237"/>
      <c r="MJW237"/>
      <c r="MJX237"/>
      <c r="MJY237"/>
      <c r="MJZ237"/>
      <c r="MKA237"/>
      <c r="MKB237"/>
      <c r="MKC237"/>
      <c r="MKD237"/>
      <c r="MKE237"/>
      <c r="MKF237"/>
      <c r="MKG237"/>
      <c r="MKH237"/>
      <c r="MKI237"/>
      <c r="MKJ237"/>
      <c r="MKK237"/>
      <c r="MKL237"/>
      <c r="MKM237"/>
      <c r="MKN237"/>
      <c r="MKO237"/>
      <c r="MKP237"/>
      <c r="MKQ237"/>
      <c r="MKR237"/>
      <c r="MKS237"/>
      <c r="MKT237"/>
      <c r="MKU237"/>
      <c r="MKV237"/>
      <c r="MKW237"/>
      <c r="MKX237"/>
      <c r="MKY237"/>
      <c r="MKZ237"/>
      <c r="MLA237"/>
      <c r="MLB237"/>
      <c r="MLC237"/>
      <c r="MLD237"/>
      <c r="MLE237"/>
      <c r="MLF237"/>
      <c r="MLG237"/>
      <c r="MLH237"/>
      <c r="MLI237"/>
      <c r="MLJ237"/>
      <c r="MLK237"/>
      <c r="MLL237"/>
      <c r="MLM237"/>
      <c r="MLN237"/>
      <c r="MLO237"/>
      <c r="MLP237"/>
      <c r="MLQ237"/>
      <c r="MLR237"/>
      <c r="MLS237"/>
      <c r="MLT237"/>
      <c r="MLU237"/>
      <c r="MLV237"/>
      <c r="MLW237"/>
      <c r="MLX237"/>
      <c r="MLY237"/>
      <c r="MLZ237"/>
      <c r="MMA237"/>
      <c r="MMB237"/>
      <c r="MMC237"/>
      <c r="MMD237"/>
      <c r="MME237"/>
      <c r="MMF237"/>
      <c r="MMG237"/>
      <c r="MMH237"/>
      <c r="MMI237"/>
      <c r="MMJ237"/>
      <c r="MMK237"/>
      <c r="MML237"/>
      <c r="MMM237"/>
      <c r="MMN237"/>
      <c r="MMO237"/>
      <c r="MMP237"/>
      <c r="MMQ237"/>
      <c r="MMR237"/>
      <c r="MMS237"/>
      <c r="MMT237"/>
      <c r="MMU237"/>
      <c r="MMV237"/>
      <c r="MMW237"/>
      <c r="MMX237"/>
      <c r="MMY237"/>
      <c r="MMZ237"/>
      <c r="MNA237"/>
      <c r="MNB237"/>
      <c r="MNC237"/>
      <c r="MND237"/>
      <c r="MNE237"/>
      <c r="MNF237"/>
      <c r="MNG237"/>
      <c r="MNH237"/>
      <c r="MNI237"/>
      <c r="MNJ237"/>
      <c r="MNK237"/>
      <c r="MNL237"/>
      <c r="MNM237"/>
      <c r="MNN237"/>
      <c r="MNO237"/>
      <c r="MNP237"/>
      <c r="MNQ237"/>
      <c r="MNR237"/>
      <c r="MNS237"/>
      <c r="MNT237"/>
      <c r="MNU237"/>
      <c r="MNV237"/>
      <c r="MNW237"/>
      <c r="MNX237"/>
      <c r="MNY237"/>
      <c r="MNZ237"/>
      <c r="MOA237"/>
      <c r="MOB237"/>
      <c r="MOC237"/>
      <c r="MOD237"/>
      <c r="MOE237"/>
      <c r="MOF237"/>
      <c r="MOG237"/>
      <c r="MOH237"/>
      <c r="MOI237"/>
      <c r="MOJ237"/>
      <c r="MOK237"/>
      <c r="MOL237"/>
      <c r="MOM237"/>
      <c r="MON237"/>
      <c r="MOO237"/>
      <c r="MOP237"/>
      <c r="MOQ237"/>
      <c r="MOR237"/>
      <c r="MOS237"/>
      <c r="MOT237"/>
      <c r="MOU237"/>
      <c r="MOV237"/>
      <c r="MOW237"/>
      <c r="MOX237"/>
      <c r="MOY237"/>
      <c r="MOZ237"/>
      <c r="MPA237"/>
      <c r="MPB237"/>
      <c r="MPC237"/>
      <c r="MPD237"/>
      <c r="MPE237"/>
      <c r="MPF237"/>
      <c r="MPG237"/>
      <c r="MPH237"/>
      <c r="MPI237"/>
      <c r="MPJ237"/>
      <c r="MPK237"/>
      <c r="MPL237"/>
      <c r="MPM237"/>
      <c r="MPN237"/>
      <c r="MPO237"/>
      <c r="MPP237"/>
      <c r="MPQ237"/>
      <c r="MPR237"/>
      <c r="MPS237"/>
      <c r="MPT237"/>
      <c r="MPU237"/>
      <c r="MPV237"/>
      <c r="MPW237"/>
      <c r="MPX237"/>
      <c r="MPY237"/>
      <c r="MPZ237"/>
      <c r="MQA237"/>
      <c r="MQB237"/>
      <c r="MQC237"/>
      <c r="MQD237"/>
      <c r="MQE237"/>
      <c r="MQF237"/>
      <c r="MQG237"/>
      <c r="MQH237"/>
      <c r="MQI237"/>
      <c r="MQJ237"/>
      <c r="MQK237"/>
      <c r="MQL237"/>
      <c r="MQM237"/>
      <c r="MQN237"/>
      <c r="MQO237"/>
      <c r="MQP237"/>
      <c r="MQQ237"/>
      <c r="MQR237"/>
      <c r="MQS237"/>
      <c r="MQT237"/>
      <c r="MQU237"/>
      <c r="MQV237"/>
      <c r="MQW237"/>
      <c r="MQX237"/>
      <c r="MQY237"/>
      <c r="MQZ237"/>
      <c r="MRA237"/>
      <c r="MRB237"/>
      <c r="MRC237"/>
      <c r="MRD237"/>
      <c r="MRE237"/>
      <c r="MRF237"/>
      <c r="MRG237"/>
      <c r="MRH237"/>
      <c r="MRI237"/>
      <c r="MRJ237"/>
      <c r="MRK237"/>
      <c r="MRL237"/>
      <c r="MRM237"/>
      <c r="MRN237"/>
      <c r="MRO237"/>
      <c r="MRP237"/>
      <c r="MRQ237"/>
      <c r="MRR237"/>
      <c r="MRS237"/>
      <c r="MRT237"/>
      <c r="MRU237"/>
      <c r="MRV237"/>
      <c r="MRW237"/>
      <c r="MRX237"/>
      <c r="MRY237"/>
      <c r="MRZ237"/>
      <c r="MSA237"/>
      <c r="MSB237"/>
      <c r="MSC237"/>
      <c r="MSD237"/>
      <c r="MSE237"/>
      <c r="MSF237"/>
      <c r="MSG237"/>
      <c r="MSH237"/>
      <c r="MSI237"/>
      <c r="MSJ237"/>
      <c r="MSK237"/>
      <c r="MSL237"/>
      <c r="MSM237"/>
      <c r="MSN237"/>
      <c r="MSO237"/>
      <c r="MSP237"/>
      <c r="MSQ237"/>
      <c r="MSR237"/>
      <c r="MSS237"/>
      <c r="MST237"/>
      <c r="MSU237"/>
      <c r="MSV237"/>
      <c r="MSW237"/>
      <c r="MSX237"/>
      <c r="MSY237"/>
      <c r="MSZ237"/>
      <c r="MTA237"/>
      <c r="MTB237"/>
      <c r="MTC237"/>
      <c r="MTD237"/>
      <c r="MTE237"/>
      <c r="MTF237"/>
      <c r="MTG237"/>
      <c r="MTH237"/>
      <c r="MTI237"/>
      <c r="MTJ237"/>
      <c r="MTK237"/>
      <c r="MTL237"/>
      <c r="MTM237"/>
      <c r="MTN237"/>
      <c r="MTO237"/>
      <c r="MTP237"/>
      <c r="MTQ237"/>
      <c r="MTR237"/>
      <c r="MTS237"/>
      <c r="MTT237"/>
      <c r="MTU237"/>
      <c r="MTV237"/>
      <c r="MTW237"/>
      <c r="MTX237"/>
      <c r="MTY237"/>
      <c r="MTZ237"/>
      <c r="MUA237"/>
      <c r="MUB237"/>
      <c r="MUC237"/>
      <c r="MUD237"/>
      <c r="MUE237"/>
      <c r="MUF237"/>
      <c r="MUG237"/>
      <c r="MUH237"/>
      <c r="MUI237"/>
      <c r="MUJ237"/>
      <c r="MUK237"/>
      <c r="MUL237"/>
      <c r="MUM237"/>
      <c r="MUN237"/>
      <c r="MUO237"/>
      <c r="MUP237"/>
      <c r="MUQ237"/>
      <c r="MUR237"/>
      <c r="MUS237"/>
      <c r="MUT237"/>
      <c r="MUU237"/>
      <c r="MUV237"/>
      <c r="MUW237"/>
      <c r="MUX237"/>
      <c r="MUY237"/>
      <c r="MUZ237"/>
      <c r="MVA237"/>
      <c r="MVB237"/>
      <c r="MVC237"/>
      <c r="MVD237"/>
      <c r="MVE237"/>
      <c r="MVF237"/>
      <c r="MVG237"/>
      <c r="MVH237"/>
      <c r="MVI237"/>
      <c r="MVJ237"/>
      <c r="MVK237"/>
      <c r="MVL237"/>
      <c r="MVM237"/>
      <c r="MVN237"/>
      <c r="MVO237"/>
      <c r="MVP237"/>
      <c r="MVQ237"/>
      <c r="MVR237"/>
      <c r="MVS237"/>
      <c r="MVT237"/>
      <c r="MVU237"/>
      <c r="MVV237"/>
      <c r="MVW237"/>
      <c r="MVX237"/>
      <c r="MVY237"/>
      <c r="MVZ237"/>
      <c r="MWA237"/>
      <c r="MWB237"/>
      <c r="MWC237"/>
      <c r="MWD237"/>
      <c r="MWE237"/>
      <c r="MWF237"/>
      <c r="MWG237"/>
      <c r="MWH237"/>
      <c r="MWI237"/>
      <c r="MWJ237"/>
      <c r="MWK237"/>
      <c r="MWL237"/>
      <c r="MWM237"/>
      <c r="MWN237"/>
      <c r="MWO237"/>
      <c r="MWP237"/>
      <c r="MWQ237"/>
      <c r="MWR237"/>
      <c r="MWS237"/>
      <c r="MWT237"/>
      <c r="MWU237"/>
      <c r="MWV237"/>
      <c r="MWW237"/>
      <c r="MWX237"/>
      <c r="MWY237"/>
      <c r="MWZ237"/>
      <c r="MXA237"/>
      <c r="MXB237"/>
      <c r="MXC237"/>
      <c r="MXD237"/>
      <c r="MXE237"/>
      <c r="MXF237"/>
      <c r="MXG237"/>
      <c r="MXH237"/>
      <c r="MXI237"/>
      <c r="MXJ237"/>
      <c r="MXK237"/>
      <c r="MXL237"/>
      <c r="MXM237"/>
      <c r="MXN237"/>
      <c r="MXO237"/>
      <c r="MXP237"/>
      <c r="MXQ237"/>
      <c r="MXR237"/>
      <c r="MXS237"/>
      <c r="MXT237"/>
      <c r="MXU237"/>
      <c r="MXV237"/>
      <c r="MXW237"/>
      <c r="MXX237"/>
      <c r="MXY237"/>
      <c r="MXZ237"/>
      <c r="MYA237"/>
      <c r="MYB237"/>
      <c r="MYC237"/>
      <c r="MYD237"/>
      <c r="MYE237"/>
      <c r="MYF237"/>
      <c r="MYG237"/>
      <c r="MYH237"/>
      <c r="MYI237"/>
      <c r="MYJ237"/>
      <c r="MYK237"/>
      <c r="MYL237"/>
      <c r="MYM237"/>
      <c r="MYN237"/>
      <c r="MYO237"/>
      <c r="MYP237"/>
      <c r="MYQ237"/>
      <c r="MYR237"/>
      <c r="MYS237"/>
      <c r="MYT237"/>
      <c r="MYU237"/>
      <c r="MYV237"/>
      <c r="MYW237"/>
      <c r="MYX237"/>
      <c r="MYY237"/>
      <c r="MYZ237"/>
      <c r="MZA237"/>
      <c r="MZB237"/>
      <c r="MZC237"/>
      <c r="MZD237"/>
      <c r="MZE237"/>
      <c r="MZF237"/>
      <c r="MZG237"/>
      <c r="MZH237"/>
      <c r="MZI237"/>
      <c r="MZJ237"/>
      <c r="MZK237"/>
      <c r="MZL237"/>
      <c r="MZM237"/>
      <c r="MZN237"/>
      <c r="MZO237"/>
      <c r="MZP237"/>
      <c r="MZQ237"/>
      <c r="MZR237"/>
      <c r="MZS237"/>
      <c r="MZT237"/>
      <c r="MZU237"/>
      <c r="MZV237"/>
      <c r="MZW237"/>
      <c r="MZX237"/>
      <c r="MZY237"/>
      <c r="MZZ237"/>
      <c r="NAA237"/>
      <c r="NAB237"/>
      <c r="NAC237"/>
      <c r="NAD237"/>
      <c r="NAE237"/>
      <c r="NAF237"/>
      <c r="NAG237"/>
      <c r="NAH237"/>
      <c r="NAI237"/>
      <c r="NAJ237"/>
      <c r="NAK237"/>
      <c r="NAL237"/>
      <c r="NAM237"/>
      <c r="NAN237"/>
      <c r="NAO237"/>
      <c r="NAP237"/>
      <c r="NAQ237"/>
      <c r="NAR237"/>
      <c r="NAS237"/>
      <c r="NAT237"/>
      <c r="NAU237"/>
      <c r="NAV237"/>
      <c r="NAW237"/>
      <c r="NAX237"/>
      <c r="NAY237"/>
      <c r="NAZ237"/>
      <c r="NBA237"/>
      <c r="NBB237"/>
      <c r="NBC237"/>
      <c r="NBD237"/>
      <c r="NBE237"/>
      <c r="NBF237"/>
      <c r="NBG237"/>
      <c r="NBH237"/>
      <c r="NBI237"/>
      <c r="NBJ237"/>
      <c r="NBK237"/>
      <c r="NBL237"/>
      <c r="NBM237"/>
      <c r="NBN237"/>
      <c r="NBO237"/>
      <c r="NBP237"/>
      <c r="NBQ237"/>
      <c r="NBR237"/>
      <c r="NBS237"/>
      <c r="NBT237"/>
      <c r="NBU237"/>
      <c r="NBV237"/>
      <c r="NBW237"/>
      <c r="NBX237"/>
      <c r="NBY237"/>
      <c r="NBZ237"/>
      <c r="NCA237"/>
      <c r="NCB237"/>
      <c r="NCC237"/>
      <c r="NCD237"/>
      <c r="NCE237"/>
      <c r="NCF237"/>
      <c r="NCG237"/>
      <c r="NCH237"/>
      <c r="NCI237"/>
      <c r="NCJ237"/>
      <c r="NCK237"/>
      <c r="NCL237"/>
      <c r="NCM237"/>
      <c r="NCN237"/>
      <c r="NCO237"/>
      <c r="NCP237"/>
      <c r="NCQ237"/>
      <c r="NCR237"/>
      <c r="NCS237"/>
      <c r="NCT237"/>
      <c r="NCU237"/>
      <c r="NCV237"/>
      <c r="NCW237"/>
      <c r="NCX237"/>
      <c r="NCY237"/>
      <c r="NCZ237"/>
      <c r="NDA237"/>
      <c r="NDB237"/>
      <c r="NDC237"/>
      <c r="NDD237"/>
      <c r="NDE237"/>
      <c r="NDF237"/>
      <c r="NDG237"/>
      <c r="NDH237"/>
      <c r="NDI237"/>
      <c r="NDJ237"/>
      <c r="NDK237"/>
      <c r="NDL237"/>
      <c r="NDM237"/>
      <c r="NDN237"/>
      <c r="NDO237"/>
      <c r="NDP237"/>
      <c r="NDQ237"/>
      <c r="NDR237"/>
      <c r="NDS237"/>
      <c r="NDT237"/>
      <c r="NDU237"/>
      <c r="NDV237"/>
      <c r="NDW237"/>
      <c r="NDX237"/>
      <c r="NDY237"/>
      <c r="NDZ237"/>
      <c r="NEA237"/>
      <c r="NEB237"/>
      <c r="NEC237"/>
      <c r="NED237"/>
      <c r="NEE237"/>
      <c r="NEF237"/>
      <c r="NEG237"/>
      <c r="NEH237"/>
      <c r="NEI237"/>
      <c r="NEJ237"/>
      <c r="NEK237"/>
      <c r="NEL237"/>
      <c r="NEM237"/>
      <c r="NEN237"/>
      <c r="NEO237"/>
      <c r="NEP237"/>
      <c r="NEQ237"/>
      <c r="NER237"/>
      <c r="NES237"/>
      <c r="NET237"/>
      <c r="NEU237"/>
      <c r="NEV237"/>
      <c r="NEW237"/>
      <c r="NEX237"/>
      <c r="NEY237"/>
      <c r="NEZ237"/>
      <c r="NFA237"/>
      <c r="NFB237"/>
      <c r="NFC237"/>
      <c r="NFD237"/>
      <c r="NFE237"/>
      <c r="NFF237"/>
      <c r="NFG237"/>
      <c r="NFH237"/>
      <c r="NFI237"/>
      <c r="NFJ237"/>
      <c r="NFK237"/>
      <c r="NFL237"/>
      <c r="NFM237"/>
      <c r="NFN237"/>
      <c r="NFO237"/>
      <c r="NFP237"/>
      <c r="NFQ237"/>
      <c r="NFR237"/>
      <c r="NFS237"/>
      <c r="NFT237"/>
      <c r="NFU237"/>
      <c r="NFV237"/>
      <c r="NFW237"/>
      <c r="NFX237"/>
      <c r="NFY237"/>
      <c r="NFZ237"/>
      <c r="NGA237"/>
      <c r="NGB237"/>
      <c r="NGC237"/>
      <c r="NGD237"/>
      <c r="NGE237"/>
      <c r="NGF237"/>
      <c r="NGG237"/>
      <c r="NGH237"/>
      <c r="NGI237"/>
      <c r="NGJ237"/>
      <c r="NGK237"/>
      <c r="NGL237"/>
      <c r="NGM237"/>
      <c r="NGN237"/>
      <c r="NGO237"/>
      <c r="NGP237"/>
      <c r="NGQ237"/>
      <c r="NGR237"/>
      <c r="NGS237"/>
      <c r="NGT237"/>
      <c r="NGU237"/>
      <c r="NGV237"/>
      <c r="NGW237"/>
      <c r="NGX237"/>
      <c r="NGY237"/>
      <c r="NGZ237"/>
      <c r="NHA237"/>
      <c r="NHB237"/>
      <c r="NHC237"/>
      <c r="NHD237"/>
      <c r="NHE237"/>
      <c r="NHF237"/>
      <c r="NHG237"/>
      <c r="NHH237"/>
      <c r="NHI237"/>
      <c r="NHJ237"/>
      <c r="NHK237"/>
      <c r="NHL237"/>
      <c r="NHM237"/>
      <c r="NHN237"/>
      <c r="NHO237"/>
      <c r="NHP237"/>
      <c r="NHQ237"/>
      <c r="NHR237"/>
      <c r="NHS237"/>
      <c r="NHT237"/>
      <c r="NHU237"/>
      <c r="NHV237"/>
      <c r="NHW237"/>
      <c r="NHX237"/>
      <c r="NHY237"/>
      <c r="NHZ237"/>
      <c r="NIA237"/>
      <c r="NIB237"/>
      <c r="NIC237"/>
      <c r="NID237"/>
      <c r="NIE237"/>
      <c r="NIF237"/>
      <c r="NIG237"/>
      <c r="NIH237"/>
      <c r="NII237"/>
      <c r="NIJ237"/>
      <c r="NIK237"/>
      <c r="NIL237"/>
      <c r="NIM237"/>
      <c r="NIN237"/>
      <c r="NIO237"/>
      <c r="NIP237"/>
      <c r="NIQ237"/>
      <c r="NIR237"/>
      <c r="NIS237"/>
      <c r="NIT237"/>
      <c r="NIU237"/>
      <c r="NIV237"/>
      <c r="NIW237"/>
      <c r="NIX237"/>
      <c r="NIY237"/>
      <c r="NIZ237"/>
      <c r="NJA237"/>
      <c r="NJB237"/>
      <c r="NJC237"/>
      <c r="NJD237"/>
      <c r="NJE237"/>
      <c r="NJF237"/>
      <c r="NJG237"/>
      <c r="NJH237"/>
      <c r="NJI237"/>
      <c r="NJJ237"/>
      <c r="NJK237"/>
      <c r="NJL237"/>
      <c r="NJM237"/>
      <c r="NJN237"/>
      <c r="NJO237"/>
      <c r="NJP237"/>
      <c r="NJQ237"/>
      <c r="NJR237"/>
      <c r="NJS237"/>
      <c r="NJT237"/>
      <c r="NJU237"/>
      <c r="NJV237"/>
      <c r="NJW237"/>
      <c r="NJX237"/>
      <c r="NJY237"/>
      <c r="NJZ237"/>
      <c r="NKA237"/>
      <c r="NKB237"/>
      <c r="NKC237"/>
      <c r="NKD237"/>
      <c r="NKE237"/>
      <c r="NKF237"/>
      <c r="NKG237"/>
      <c r="NKH237"/>
      <c r="NKI237"/>
      <c r="NKJ237"/>
      <c r="NKK237"/>
      <c r="NKL237"/>
      <c r="NKM237"/>
      <c r="NKN237"/>
      <c r="NKO237"/>
      <c r="NKP237"/>
      <c r="NKQ237"/>
      <c r="NKR237"/>
      <c r="NKS237"/>
      <c r="NKT237"/>
      <c r="NKU237"/>
      <c r="NKV237"/>
      <c r="NKW237"/>
      <c r="NKX237"/>
      <c r="NKY237"/>
      <c r="NKZ237"/>
      <c r="NLA237"/>
      <c r="NLB237"/>
      <c r="NLC237"/>
      <c r="NLD237"/>
      <c r="NLE237"/>
      <c r="NLF237"/>
      <c r="NLG237"/>
      <c r="NLH237"/>
      <c r="NLI237"/>
      <c r="NLJ237"/>
      <c r="NLK237"/>
      <c r="NLL237"/>
      <c r="NLM237"/>
      <c r="NLN237"/>
      <c r="NLO237"/>
      <c r="NLP237"/>
      <c r="NLQ237"/>
      <c r="NLR237"/>
      <c r="NLS237"/>
      <c r="NLT237"/>
      <c r="NLU237"/>
      <c r="NLV237"/>
      <c r="NLW237"/>
      <c r="NLX237"/>
      <c r="NLY237"/>
      <c r="NLZ237"/>
      <c r="NMA237"/>
      <c r="NMB237"/>
      <c r="NMC237"/>
      <c r="NMD237"/>
      <c r="NME237"/>
      <c r="NMF237"/>
      <c r="NMG237"/>
      <c r="NMH237"/>
      <c r="NMI237"/>
      <c r="NMJ237"/>
      <c r="NMK237"/>
      <c r="NML237"/>
      <c r="NMM237"/>
      <c r="NMN237"/>
      <c r="NMO237"/>
      <c r="NMP237"/>
      <c r="NMQ237"/>
      <c r="NMR237"/>
      <c r="NMS237"/>
      <c r="NMT237"/>
      <c r="NMU237"/>
      <c r="NMV237"/>
      <c r="NMW237"/>
      <c r="NMX237"/>
      <c r="NMY237"/>
      <c r="NMZ237"/>
      <c r="NNA237"/>
      <c r="NNB237"/>
      <c r="NNC237"/>
      <c r="NND237"/>
      <c r="NNE237"/>
      <c r="NNF237"/>
      <c r="NNG237"/>
      <c r="NNH237"/>
      <c r="NNI237"/>
      <c r="NNJ237"/>
      <c r="NNK237"/>
      <c r="NNL237"/>
      <c r="NNM237"/>
      <c r="NNN237"/>
      <c r="NNO237"/>
      <c r="NNP237"/>
      <c r="NNQ237"/>
      <c r="NNR237"/>
      <c r="NNS237"/>
      <c r="NNT237"/>
      <c r="NNU237"/>
      <c r="NNV237"/>
      <c r="NNW237"/>
      <c r="NNX237"/>
      <c r="NNY237"/>
      <c r="NNZ237"/>
      <c r="NOA237"/>
      <c r="NOB237"/>
      <c r="NOC237"/>
      <c r="NOD237"/>
      <c r="NOE237"/>
      <c r="NOF237"/>
      <c r="NOG237"/>
      <c r="NOH237"/>
      <c r="NOI237"/>
      <c r="NOJ237"/>
      <c r="NOK237"/>
      <c r="NOL237"/>
      <c r="NOM237"/>
      <c r="NON237"/>
      <c r="NOO237"/>
      <c r="NOP237"/>
      <c r="NOQ237"/>
      <c r="NOR237"/>
      <c r="NOS237"/>
      <c r="NOT237"/>
      <c r="NOU237"/>
      <c r="NOV237"/>
      <c r="NOW237"/>
      <c r="NOX237"/>
      <c r="NOY237"/>
      <c r="NOZ237"/>
      <c r="NPA237"/>
      <c r="NPB237"/>
      <c r="NPC237"/>
      <c r="NPD237"/>
      <c r="NPE237"/>
      <c r="NPF237"/>
      <c r="NPG237"/>
      <c r="NPH237"/>
      <c r="NPI237"/>
      <c r="NPJ237"/>
      <c r="NPK237"/>
      <c r="NPL237"/>
      <c r="NPM237"/>
      <c r="NPN237"/>
      <c r="NPO237"/>
      <c r="NPP237"/>
      <c r="NPQ237"/>
      <c r="NPR237"/>
      <c r="NPS237"/>
      <c r="NPT237"/>
      <c r="NPU237"/>
      <c r="NPV237"/>
      <c r="NPW237"/>
      <c r="NPX237"/>
      <c r="NPY237"/>
      <c r="NPZ237"/>
      <c r="NQA237"/>
      <c r="NQB237"/>
      <c r="NQC237"/>
      <c r="NQD237"/>
      <c r="NQE237"/>
      <c r="NQF237"/>
      <c r="NQG237"/>
      <c r="NQH237"/>
      <c r="NQI237"/>
      <c r="NQJ237"/>
      <c r="NQK237"/>
      <c r="NQL237"/>
      <c r="NQM237"/>
      <c r="NQN237"/>
      <c r="NQO237"/>
      <c r="NQP237"/>
      <c r="NQQ237"/>
      <c r="NQR237"/>
      <c r="NQS237"/>
      <c r="NQT237"/>
      <c r="NQU237"/>
      <c r="NQV237"/>
      <c r="NQW237"/>
      <c r="NQX237"/>
      <c r="NQY237"/>
      <c r="NQZ237"/>
      <c r="NRA237"/>
      <c r="NRB237"/>
      <c r="NRC237"/>
      <c r="NRD237"/>
      <c r="NRE237"/>
      <c r="NRF237"/>
      <c r="NRG237"/>
      <c r="NRH237"/>
      <c r="NRI237"/>
      <c r="NRJ237"/>
      <c r="NRK237"/>
      <c r="NRL237"/>
      <c r="NRM237"/>
      <c r="NRN237"/>
      <c r="NRO237"/>
      <c r="NRP237"/>
      <c r="NRQ237"/>
      <c r="NRR237"/>
      <c r="NRS237"/>
      <c r="NRT237"/>
      <c r="NRU237"/>
      <c r="NRV237"/>
      <c r="NRW237"/>
      <c r="NRX237"/>
      <c r="NRY237"/>
      <c r="NRZ237"/>
      <c r="NSA237"/>
      <c r="NSB237"/>
      <c r="NSC237"/>
      <c r="NSD237"/>
      <c r="NSE237"/>
      <c r="NSF237"/>
      <c r="NSG237"/>
      <c r="NSH237"/>
      <c r="NSI237"/>
      <c r="NSJ237"/>
      <c r="NSK237"/>
      <c r="NSL237"/>
      <c r="NSM237"/>
      <c r="NSN237"/>
      <c r="NSO237"/>
      <c r="NSP237"/>
      <c r="NSQ237"/>
      <c r="NSR237"/>
      <c r="NSS237"/>
      <c r="NST237"/>
      <c r="NSU237"/>
      <c r="NSV237"/>
      <c r="NSW237"/>
      <c r="NSX237"/>
      <c r="NSY237"/>
      <c r="NSZ237"/>
      <c r="NTA237"/>
      <c r="NTB237"/>
      <c r="NTC237"/>
      <c r="NTD237"/>
      <c r="NTE237"/>
      <c r="NTF237"/>
      <c r="NTG237"/>
      <c r="NTH237"/>
      <c r="NTI237"/>
      <c r="NTJ237"/>
      <c r="NTK237"/>
      <c r="NTL237"/>
      <c r="NTM237"/>
      <c r="NTN237"/>
      <c r="NTO237"/>
      <c r="NTP237"/>
      <c r="NTQ237"/>
      <c r="NTR237"/>
      <c r="NTS237"/>
      <c r="NTT237"/>
      <c r="NTU237"/>
      <c r="NTV237"/>
      <c r="NTW237"/>
      <c r="NTX237"/>
      <c r="NTY237"/>
      <c r="NTZ237"/>
      <c r="NUA237"/>
      <c r="NUB237"/>
      <c r="NUC237"/>
      <c r="NUD237"/>
      <c r="NUE237"/>
      <c r="NUF237"/>
      <c r="NUG237"/>
      <c r="NUH237"/>
      <c r="NUI237"/>
      <c r="NUJ237"/>
      <c r="NUK237"/>
      <c r="NUL237"/>
      <c r="NUM237"/>
      <c r="NUN237"/>
      <c r="NUO237"/>
      <c r="NUP237"/>
      <c r="NUQ237"/>
      <c r="NUR237"/>
      <c r="NUS237"/>
      <c r="NUT237"/>
      <c r="NUU237"/>
      <c r="NUV237"/>
      <c r="NUW237"/>
      <c r="NUX237"/>
      <c r="NUY237"/>
      <c r="NUZ237"/>
      <c r="NVA237"/>
      <c r="NVB237"/>
      <c r="NVC237"/>
      <c r="NVD237"/>
      <c r="NVE237"/>
      <c r="NVF237"/>
      <c r="NVG237"/>
      <c r="NVH237"/>
      <c r="NVI237"/>
      <c r="NVJ237"/>
      <c r="NVK237"/>
      <c r="NVL237"/>
      <c r="NVM237"/>
      <c r="NVN237"/>
      <c r="NVO237"/>
      <c r="NVP237"/>
      <c r="NVQ237"/>
      <c r="NVR237"/>
      <c r="NVS237"/>
      <c r="NVT237"/>
      <c r="NVU237"/>
      <c r="NVV237"/>
      <c r="NVW237"/>
      <c r="NVX237"/>
      <c r="NVY237"/>
      <c r="NVZ237"/>
      <c r="NWA237"/>
      <c r="NWB237"/>
      <c r="NWC237"/>
      <c r="NWD237"/>
      <c r="NWE237"/>
      <c r="NWF237"/>
      <c r="NWG237"/>
      <c r="NWH237"/>
      <c r="NWI237"/>
      <c r="NWJ237"/>
      <c r="NWK237"/>
      <c r="NWL237"/>
      <c r="NWM237"/>
      <c r="NWN237"/>
      <c r="NWO237"/>
      <c r="NWP237"/>
      <c r="NWQ237"/>
      <c r="NWR237"/>
      <c r="NWS237"/>
      <c r="NWT237"/>
      <c r="NWU237"/>
      <c r="NWV237"/>
      <c r="NWW237"/>
      <c r="NWX237"/>
      <c r="NWY237"/>
      <c r="NWZ237"/>
      <c r="NXA237"/>
      <c r="NXB237"/>
      <c r="NXC237"/>
      <c r="NXD237"/>
      <c r="NXE237"/>
      <c r="NXF237"/>
      <c r="NXG237"/>
      <c r="NXH237"/>
      <c r="NXI237"/>
      <c r="NXJ237"/>
      <c r="NXK237"/>
      <c r="NXL237"/>
      <c r="NXM237"/>
      <c r="NXN237"/>
      <c r="NXO237"/>
      <c r="NXP237"/>
      <c r="NXQ237"/>
      <c r="NXR237"/>
      <c r="NXS237"/>
      <c r="NXT237"/>
      <c r="NXU237"/>
      <c r="NXV237"/>
      <c r="NXW237"/>
      <c r="NXX237"/>
      <c r="NXY237"/>
      <c r="NXZ237"/>
      <c r="NYA237"/>
      <c r="NYB237"/>
      <c r="NYC237"/>
      <c r="NYD237"/>
      <c r="NYE237"/>
      <c r="NYF237"/>
      <c r="NYG237"/>
      <c r="NYH237"/>
      <c r="NYI237"/>
      <c r="NYJ237"/>
      <c r="NYK237"/>
      <c r="NYL237"/>
      <c r="NYM237"/>
      <c r="NYN237"/>
      <c r="NYO237"/>
      <c r="NYP237"/>
      <c r="NYQ237"/>
      <c r="NYR237"/>
      <c r="NYS237"/>
      <c r="NYT237"/>
      <c r="NYU237"/>
      <c r="NYV237"/>
      <c r="NYW237"/>
      <c r="NYX237"/>
      <c r="NYY237"/>
      <c r="NYZ237"/>
      <c r="NZA237"/>
      <c r="NZB237"/>
      <c r="NZC237"/>
      <c r="NZD237"/>
      <c r="NZE237"/>
      <c r="NZF237"/>
      <c r="NZG237"/>
      <c r="NZH237"/>
      <c r="NZI237"/>
      <c r="NZJ237"/>
      <c r="NZK237"/>
      <c r="NZL237"/>
      <c r="NZM237"/>
      <c r="NZN237"/>
      <c r="NZO237"/>
      <c r="NZP237"/>
      <c r="NZQ237"/>
      <c r="NZR237"/>
      <c r="NZS237"/>
      <c r="NZT237"/>
      <c r="NZU237"/>
      <c r="NZV237"/>
      <c r="NZW237"/>
      <c r="NZX237"/>
      <c r="NZY237"/>
      <c r="NZZ237"/>
      <c r="OAA237"/>
      <c r="OAB237"/>
      <c r="OAC237"/>
      <c r="OAD237"/>
      <c r="OAE237"/>
      <c r="OAF237"/>
      <c r="OAG237"/>
      <c r="OAH237"/>
      <c r="OAI237"/>
      <c r="OAJ237"/>
      <c r="OAK237"/>
      <c r="OAL237"/>
      <c r="OAM237"/>
      <c r="OAN237"/>
      <c r="OAO237"/>
      <c r="OAP237"/>
      <c r="OAQ237"/>
      <c r="OAR237"/>
      <c r="OAS237"/>
      <c r="OAT237"/>
      <c r="OAU237"/>
      <c r="OAV237"/>
      <c r="OAW237"/>
      <c r="OAX237"/>
      <c r="OAY237"/>
      <c r="OAZ237"/>
      <c r="OBA237"/>
      <c r="OBB237"/>
      <c r="OBC237"/>
      <c r="OBD237"/>
      <c r="OBE237"/>
      <c r="OBF237"/>
      <c r="OBG237"/>
      <c r="OBH237"/>
      <c r="OBI237"/>
      <c r="OBJ237"/>
      <c r="OBK237"/>
      <c r="OBL237"/>
      <c r="OBM237"/>
      <c r="OBN237"/>
      <c r="OBO237"/>
      <c r="OBP237"/>
      <c r="OBQ237"/>
      <c r="OBR237"/>
      <c r="OBS237"/>
      <c r="OBT237"/>
      <c r="OBU237"/>
      <c r="OBV237"/>
      <c r="OBW237"/>
      <c r="OBX237"/>
      <c r="OBY237"/>
      <c r="OBZ237"/>
      <c r="OCA237"/>
      <c r="OCB237"/>
      <c r="OCC237"/>
      <c r="OCD237"/>
      <c r="OCE237"/>
      <c r="OCF237"/>
      <c r="OCG237"/>
      <c r="OCH237"/>
      <c r="OCI237"/>
      <c r="OCJ237"/>
      <c r="OCK237"/>
      <c r="OCL237"/>
      <c r="OCM237"/>
      <c r="OCN237"/>
      <c r="OCO237"/>
      <c r="OCP237"/>
      <c r="OCQ237"/>
      <c r="OCR237"/>
      <c r="OCS237"/>
      <c r="OCT237"/>
      <c r="OCU237"/>
      <c r="OCV237"/>
      <c r="OCW237"/>
      <c r="OCX237"/>
      <c r="OCY237"/>
      <c r="OCZ237"/>
      <c r="ODA237"/>
      <c r="ODB237"/>
      <c r="ODC237"/>
      <c r="ODD237"/>
      <c r="ODE237"/>
      <c r="ODF237"/>
      <c r="ODG237"/>
      <c r="ODH237"/>
      <c r="ODI237"/>
      <c r="ODJ237"/>
      <c r="ODK237"/>
      <c r="ODL237"/>
      <c r="ODM237"/>
      <c r="ODN237"/>
      <c r="ODO237"/>
      <c r="ODP237"/>
      <c r="ODQ237"/>
      <c r="ODR237"/>
      <c r="ODS237"/>
      <c r="ODT237"/>
      <c r="ODU237"/>
      <c r="ODV237"/>
      <c r="ODW237"/>
      <c r="ODX237"/>
      <c r="ODY237"/>
      <c r="ODZ237"/>
      <c r="OEA237"/>
      <c r="OEB237"/>
      <c r="OEC237"/>
      <c r="OED237"/>
      <c r="OEE237"/>
      <c r="OEF237"/>
      <c r="OEG237"/>
      <c r="OEH237"/>
      <c r="OEI237"/>
      <c r="OEJ237"/>
      <c r="OEK237"/>
      <c r="OEL237"/>
      <c r="OEM237"/>
      <c r="OEN237"/>
      <c r="OEO237"/>
      <c r="OEP237"/>
      <c r="OEQ237"/>
      <c r="OER237"/>
      <c r="OES237"/>
      <c r="OET237"/>
      <c r="OEU237"/>
      <c r="OEV237"/>
      <c r="OEW237"/>
      <c r="OEX237"/>
      <c r="OEY237"/>
      <c r="OEZ237"/>
      <c r="OFA237"/>
      <c r="OFB237"/>
      <c r="OFC237"/>
      <c r="OFD237"/>
      <c r="OFE237"/>
      <c r="OFF237"/>
      <c r="OFG237"/>
      <c r="OFH237"/>
      <c r="OFI237"/>
      <c r="OFJ237"/>
      <c r="OFK237"/>
      <c r="OFL237"/>
      <c r="OFM237"/>
      <c r="OFN237"/>
      <c r="OFO237"/>
      <c r="OFP237"/>
      <c r="OFQ237"/>
      <c r="OFR237"/>
      <c r="OFS237"/>
      <c r="OFT237"/>
      <c r="OFU237"/>
      <c r="OFV237"/>
      <c r="OFW237"/>
      <c r="OFX237"/>
      <c r="OFY237"/>
      <c r="OFZ237"/>
      <c r="OGA237"/>
      <c r="OGB237"/>
      <c r="OGC237"/>
      <c r="OGD237"/>
      <c r="OGE237"/>
      <c r="OGF237"/>
      <c r="OGG237"/>
      <c r="OGH237"/>
      <c r="OGI237"/>
      <c r="OGJ237"/>
      <c r="OGK237"/>
      <c r="OGL237"/>
      <c r="OGM237"/>
      <c r="OGN237"/>
      <c r="OGO237"/>
      <c r="OGP237"/>
      <c r="OGQ237"/>
      <c r="OGR237"/>
      <c r="OGS237"/>
      <c r="OGT237"/>
      <c r="OGU237"/>
      <c r="OGV237"/>
      <c r="OGW237"/>
      <c r="OGX237"/>
      <c r="OGY237"/>
      <c r="OGZ237"/>
      <c r="OHA237"/>
      <c r="OHB237"/>
      <c r="OHC237"/>
      <c r="OHD237"/>
      <c r="OHE237"/>
      <c r="OHF237"/>
      <c r="OHG237"/>
      <c r="OHH237"/>
      <c r="OHI237"/>
      <c r="OHJ237"/>
      <c r="OHK237"/>
      <c r="OHL237"/>
      <c r="OHM237"/>
      <c r="OHN237"/>
      <c r="OHO237"/>
      <c r="OHP237"/>
      <c r="OHQ237"/>
      <c r="OHR237"/>
      <c r="OHS237"/>
      <c r="OHT237"/>
      <c r="OHU237"/>
      <c r="OHV237"/>
      <c r="OHW237"/>
      <c r="OHX237"/>
      <c r="OHY237"/>
      <c r="OHZ237"/>
      <c r="OIA237"/>
      <c r="OIB237"/>
      <c r="OIC237"/>
      <c r="OID237"/>
      <c r="OIE237"/>
      <c r="OIF237"/>
      <c r="OIG237"/>
      <c r="OIH237"/>
      <c r="OII237"/>
      <c r="OIJ237"/>
      <c r="OIK237"/>
      <c r="OIL237"/>
      <c r="OIM237"/>
      <c r="OIN237"/>
      <c r="OIO237"/>
      <c r="OIP237"/>
      <c r="OIQ237"/>
      <c r="OIR237"/>
      <c r="OIS237"/>
      <c r="OIT237"/>
      <c r="OIU237"/>
      <c r="OIV237"/>
      <c r="OIW237"/>
      <c r="OIX237"/>
      <c r="OIY237"/>
      <c r="OIZ237"/>
      <c r="OJA237"/>
      <c r="OJB237"/>
      <c r="OJC237"/>
      <c r="OJD237"/>
      <c r="OJE237"/>
      <c r="OJF237"/>
      <c r="OJG237"/>
      <c r="OJH237"/>
      <c r="OJI237"/>
      <c r="OJJ237"/>
      <c r="OJK237"/>
      <c r="OJL237"/>
      <c r="OJM237"/>
      <c r="OJN237"/>
      <c r="OJO237"/>
      <c r="OJP237"/>
      <c r="OJQ237"/>
      <c r="OJR237"/>
      <c r="OJS237"/>
      <c r="OJT237"/>
      <c r="OJU237"/>
      <c r="OJV237"/>
      <c r="OJW237"/>
      <c r="OJX237"/>
      <c r="OJY237"/>
      <c r="OJZ237"/>
      <c r="OKA237"/>
      <c r="OKB237"/>
      <c r="OKC237"/>
      <c r="OKD237"/>
      <c r="OKE237"/>
      <c r="OKF237"/>
      <c r="OKG237"/>
      <c r="OKH237"/>
      <c r="OKI237"/>
      <c r="OKJ237"/>
      <c r="OKK237"/>
      <c r="OKL237"/>
      <c r="OKM237"/>
      <c r="OKN237"/>
      <c r="OKO237"/>
      <c r="OKP237"/>
      <c r="OKQ237"/>
      <c r="OKR237"/>
      <c r="OKS237"/>
      <c r="OKT237"/>
      <c r="OKU237"/>
      <c r="OKV237"/>
      <c r="OKW237"/>
      <c r="OKX237"/>
      <c r="OKY237"/>
      <c r="OKZ237"/>
      <c r="OLA237"/>
      <c r="OLB237"/>
      <c r="OLC237"/>
      <c r="OLD237"/>
      <c r="OLE237"/>
      <c r="OLF237"/>
      <c r="OLG237"/>
      <c r="OLH237"/>
      <c r="OLI237"/>
      <c r="OLJ237"/>
      <c r="OLK237"/>
      <c r="OLL237"/>
      <c r="OLM237"/>
      <c r="OLN237"/>
      <c r="OLO237"/>
      <c r="OLP237"/>
      <c r="OLQ237"/>
      <c r="OLR237"/>
      <c r="OLS237"/>
      <c r="OLT237"/>
      <c r="OLU237"/>
      <c r="OLV237"/>
      <c r="OLW237"/>
      <c r="OLX237"/>
      <c r="OLY237"/>
      <c r="OLZ237"/>
      <c r="OMA237"/>
      <c r="OMB237"/>
      <c r="OMC237"/>
      <c r="OMD237"/>
      <c r="OME237"/>
      <c r="OMF237"/>
      <c r="OMG237"/>
      <c r="OMH237"/>
      <c r="OMI237"/>
      <c r="OMJ237"/>
      <c r="OMK237"/>
      <c r="OML237"/>
      <c r="OMM237"/>
      <c r="OMN237"/>
      <c r="OMO237"/>
      <c r="OMP237"/>
      <c r="OMQ237"/>
      <c r="OMR237"/>
      <c r="OMS237"/>
      <c r="OMT237"/>
      <c r="OMU237"/>
      <c r="OMV237"/>
      <c r="OMW237"/>
      <c r="OMX237"/>
      <c r="OMY237"/>
      <c r="OMZ237"/>
      <c r="ONA237"/>
      <c r="ONB237"/>
      <c r="ONC237"/>
      <c r="OND237"/>
      <c r="ONE237"/>
      <c r="ONF237"/>
      <c r="ONG237"/>
      <c r="ONH237"/>
      <c r="ONI237"/>
      <c r="ONJ237"/>
      <c r="ONK237"/>
      <c r="ONL237"/>
      <c r="ONM237"/>
      <c r="ONN237"/>
      <c r="ONO237"/>
      <c r="ONP237"/>
      <c r="ONQ237"/>
      <c r="ONR237"/>
      <c r="ONS237"/>
      <c r="ONT237"/>
      <c r="ONU237"/>
      <c r="ONV237"/>
      <c r="ONW237"/>
      <c r="ONX237"/>
      <c r="ONY237"/>
      <c r="ONZ237"/>
      <c r="OOA237"/>
      <c r="OOB237"/>
      <c r="OOC237"/>
      <c r="OOD237"/>
      <c r="OOE237"/>
      <c r="OOF237"/>
      <c r="OOG237"/>
      <c r="OOH237"/>
      <c r="OOI237"/>
      <c r="OOJ237"/>
      <c r="OOK237"/>
      <c r="OOL237"/>
      <c r="OOM237"/>
      <c r="OON237"/>
      <c r="OOO237"/>
      <c r="OOP237"/>
      <c r="OOQ237"/>
      <c r="OOR237"/>
      <c r="OOS237"/>
      <c r="OOT237"/>
      <c r="OOU237"/>
      <c r="OOV237"/>
      <c r="OOW237"/>
      <c r="OOX237"/>
      <c r="OOY237"/>
      <c r="OOZ237"/>
      <c r="OPA237"/>
      <c r="OPB237"/>
      <c r="OPC237"/>
      <c r="OPD237"/>
      <c r="OPE237"/>
      <c r="OPF237"/>
      <c r="OPG237"/>
      <c r="OPH237"/>
      <c r="OPI237"/>
      <c r="OPJ237"/>
      <c r="OPK237"/>
      <c r="OPL237"/>
      <c r="OPM237"/>
      <c r="OPN237"/>
      <c r="OPO237"/>
      <c r="OPP237"/>
      <c r="OPQ237"/>
      <c r="OPR237"/>
      <c r="OPS237"/>
      <c r="OPT237"/>
      <c r="OPU237"/>
      <c r="OPV237"/>
      <c r="OPW237"/>
      <c r="OPX237"/>
      <c r="OPY237"/>
      <c r="OPZ237"/>
      <c r="OQA237"/>
      <c r="OQB237"/>
      <c r="OQC237"/>
      <c r="OQD237"/>
      <c r="OQE237"/>
      <c r="OQF237"/>
      <c r="OQG237"/>
      <c r="OQH237"/>
      <c r="OQI237"/>
      <c r="OQJ237"/>
      <c r="OQK237"/>
      <c r="OQL237"/>
      <c r="OQM237"/>
      <c r="OQN237"/>
      <c r="OQO237"/>
      <c r="OQP237"/>
      <c r="OQQ237"/>
      <c r="OQR237"/>
      <c r="OQS237"/>
      <c r="OQT237"/>
      <c r="OQU237"/>
      <c r="OQV237"/>
      <c r="OQW237"/>
      <c r="OQX237"/>
      <c r="OQY237"/>
      <c r="OQZ237"/>
      <c r="ORA237"/>
      <c r="ORB237"/>
      <c r="ORC237"/>
      <c r="ORD237"/>
      <c r="ORE237"/>
      <c r="ORF237"/>
      <c r="ORG237"/>
      <c r="ORH237"/>
      <c r="ORI237"/>
      <c r="ORJ237"/>
      <c r="ORK237"/>
      <c r="ORL237"/>
      <c r="ORM237"/>
      <c r="ORN237"/>
      <c r="ORO237"/>
      <c r="ORP237"/>
      <c r="ORQ237"/>
      <c r="ORR237"/>
      <c r="ORS237"/>
      <c r="ORT237"/>
      <c r="ORU237"/>
      <c r="ORV237"/>
      <c r="ORW237"/>
      <c r="ORX237"/>
      <c r="ORY237"/>
      <c r="ORZ237"/>
      <c r="OSA237"/>
      <c r="OSB237"/>
      <c r="OSC237"/>
      <c r="OSD237"/>
      <c r="OSE237"/>
      <c r="OSF237"/>
      <c r="OSG237"/>
      <c r="OSH237"/>
      <c r="OSI237"/>
      <c r="OSJ237"/>
      <c r="OSK237"/>
      <c r="OSL237"/>
      <c r="OSM237"/>
      <c r="OSN237"/>
      <c r="OSO237"/>
      <c r="OSP237"/>
      <c r="OSQ237"/>
      <c r="OSR237"/>
      <c r="OSS237"/>
      <c r="OST237"/>
      <c r="OSU237"/>
      <c r="OSV237"/>
      <c r="OSW237"/>
      <c r="OSX237"/>
      <c r="OSY237"/>
      <c r="OSZ237"/>
      <c r="OTA237"/>
      <c r="OTB237"/>
      <c r="OTC237"/>
      <c r="OTD237"/>
      <c r="OTE237"/>
      <c r="OTF237"/>
      <c r="OTG237"/>
      <c r="OTH237"/>
      <c r="OTI237"/>
      <c r="OTJ237"/>
      <c r="OTK237"/>
      <c r="OTL237"/>
      <c r="OTM237"/>
      <c r="OTN237"/>
      <c r="OTO237"/>
      <c r="OTP237"/>
      <c r="OTQ237"/>
      <c r="OTR237"/>
      <c r="OTS237"/>
      <c r="OTT237"/>
      <c r="OTU237"/>
      <c r="OTV237"/>
      <c r="OTW237"/>
      <c r="OTX237"/>
      <c r="OTY237"/>
      <c r="OTZ237"/>
      <c r="OUA237"/>
      <c r="OUB237"/>
      <c r="OUC237"/>
      <c r="OUD237"/>
      <c r="OUE237"/>
      <c r="OUF237"/>
      <c r="OUG237"/>
      <c r="OUH237"/>
      <c r="OUI237"/>
      <c r="OUJ237"/>
      <c r="OUK237"/>
      <c r="OUL237"/>
      <c r="OUM237"/>
      <c r="OUN237"/>
      <c r="OUO237"/>
      <c r="OUP237"/>
      <c r="OUQ237"/>
      <c r="OUR237"/>
      <c r="OUS237"/>
      <c r="OUT237"/>
      <c r="OUU237"/>
      <c r="OUV237"/>
      <c r="OUW237"/>
      <c r="OUX237"/>
      <c r="OUY237"/>
      <c r="OUZ237"/>
      <c r="OVA237"/>
      <c r="OVB237"/>
      <c r="OVC237"/>
      <c r="OVD237"/>
      <c r="OVE237"/>
      <c r="OVF237"/>
      <c r="OVG237"/>
      <c r="OVH237"/>
      <c r="OVI237"/>
      <c r="OVJ237"/>
      <c r="OVK237"/>
      <c r="OVL237"/>
      <c r="OVM237"/>
      <c r="OVN237"/>
      <c r="OVO237"/>
      <c r="OVP237"/>
      <c r="OVQ237"/>
      <c r="OVR237"/>
      <c r="OVS237"/>
      <c r="OVT237"/>
      <c r="OVU237"/>
      <c r="OVV237"/>
      <c r="OVW237"/>
      <c r="OVX237"/>
      <c r="OVY237"/>
      <c r="OVZ237"/>
      <c r="OWA237"/>
      <c r="OWB237"/>
      <c r="OWC237"/>
      <c r="OWD237"/>
      <c r="OWE237"/>
      <c r="OWF237"/>
      <c r="OWG237"/>
      <c r="OWH237"/>
      <c r="OWI237"/>
      <c r="OWJ237"/>
      <c r="OWK237"/>
      <c r="OWL237"/>
      <c r="OWM237"/>
      <c r="OWN237"/>
      <c r="OWO237"/>
      <c r="OWP237"/>
      <c r="OWQ237"/>
      <c r="OWR237"/>
      <c r="OWS237"/>
      <c r="OWT237"/>
      <c r="OWU237"/>
      <c r="OWV237"/>
      <c r="OWW237"/>
      <c r="OWX237"/>
      <c r="OWY237"/>
      <c r="OWZ237"/>
      <c r="OXA237"/>
      <c r="OXB237"/>
      <c r="OXC237"/>
      <c r="OXD237"/>
      <c r="OXE237"/>
      <c r="OXF237"/>
      <c r="OXG237"/>
      <c r="OXH237"/>
      <c r="OXI237"/>
      <c r="OXJ237"/>
      <c r="OXK237"/>
      <c r="OXL237"/>
      <c r="OXM237"/>
      <c r="OXN237"/>
      <c r="OXO237"/>
      <c r="OXP237"/>
      <c r="OXQ237"/>
      <c r="OXR237"/>
      <c r="OXS237"/>
      <c r="OXT237"/>
      <c r="OXU237"/>
      <c r="OXV237"/>
      <c r="OXW237"/>
      <c r="OXX237"/>
      <c r="OXY237"/>
      <c r="OXZ237"/>
      <c r="OYA237"/>
      <c r="OYB237"/>
      <c r="OYC237"/>
      <c r="OYD237"/>
      <c r="OYE237"/>
      <c r="OYF237"/>
      <c r="OYG237"/>
      <c r="OYH237"/>
      <c r="OYI237"/>
      <c r="OYJ237"/>
      <c r="OYK237"/>
      <c r="OYL237"/>
      <c r="OYM237"/>
      <c r="OYN237"/>
      <c r="OYO237"/>
      <c r="OYP237"/>
      <c r="OYQ237"/>
      <c r="OYR237"/>
      <c r="OYS237"/>
      <c r="OYT237"/>
      <c r="OYU237"/>
      <c r="OYV237"/>
      <c r="OYW237"/>
      <c r="OYX237"/>
      <c r="OYY237"/>
      <c r="OYZ237"/>
      <c r="OZA237"/>
      <c r="OZB237"/>
      <c r="OZC237"/>
      <c r="OZD237"/>
      <c r="OZE237"/>
      <c r="OZF237"/>
      <c r="OZG237"/>
      <c r="OZH237"/>
      <c r="OZI237"/>
      <c r="OZJ237"/>
      <c r="OZK237"/>
      <c r="OZL237"/>
      <c r="OZM237"/>
      <c r="OZN237"/>
      <c r="OZO237"/>
      <c r="OZP237"/>
      <c r="OZQ237"/>
      <c r="OZR237"/>
      <c r="OZS237"/>
      <c r="OZT237"/>
      <c r="OZU237"/>
      <c r="OZV237"/>
      <c r="OZW237"/>
      <c r="OZX237"/>
      <c r="OZY237"/>
      <c r="OZZ237"/>
      <c r="PAA237"/>
      <c r="PAB237"/>
      <c r="PAC237"/>
      <c r="PAD237"/>
      <c r="PAE237"/>
      <c r="PAF237"/>
      <c r="PAG237"/>
      <c r="PAH237"/>
      <c r="PAI237"/>
      <c r="PAJ237"/>
      <c r="PAK237"/>
      <c r="PAL237"/>
      <c r="PAM237"/>
      <c r="PAN237"/>
      <c r="PAO237"/>
      <c r="PAP237"/>
      <c r="PAQ237"/>
      <c r="PAR237"/>
      <c r="PAS237"/>
      <c r="PAT237"/>
      <c r="PAU237"/>
      <c r="PAV237"/>
      <c r="PAW237"/>
      <c r="PAX237"/>
      <c r="PAY237"/>
      <c r="PAZ237"/>
      <c r="PBA237"/>
      <c r="PBB237"/>
      <c r="PBC237"/>
      <c r="PBD237"/>
      <c r="PBE237"/>
      <c r="PBF237"/>
      <c r="PBG237"/>
      <c r="PBH237"/>
      <c r="PBI237"/>
      <c r="PBJ237"/>
      <c r="PBK237"/>
      <c r="PBL237"/>
      <c r="PBM237"/>
      <c r="PBN237"/>
      <c r="PBO237"/>
      <c r="PBP237"/>
      <c r="PBQ237"/>
      <c r="PBR237"/>
      <c r="PBS237"/>
      <c r="PBT237"/>
      <c r="PBU237"/>
      <c r="PBV237"/>
      <c r="PBW237"/>
      <c r="PBX237"/>
      <c r="PBY237"/>
      <c r="PBZ237"/>
      <c r="PCA237"/>
      <c r="PCB237"/>
      <c r="PCC237"/>
      <c r="PCD237"/>
      <c r="PCE237"/>
      <c r="PCF237"/>
      <c r="PCG237"/>
      <c r="PCH237"/>
      <c r="PCI237"/>
      <c r="PCJ237"/>
      <c r="PCK237"/>
      <c r="PCL237"/>
      <c r="PCM237"/>
      <c r="PCN237"/>
      <c r="PCO237"/>
      <c r="PCP237"/>
      <c r="PCQ237"/>
      <c r="PCR237"/>
      <c r="PCS237"/>
      <c r="PCT237"/>
      <c r="PCU237"/>
      <c r="PCV237"/>
      <c r="PCW237"/>
      <c r="PCX237"/>
      <c r="PCY237"/>
      <c r="PCZ237"/>
      <c r="PDA237"/>
      <c r="PDB237"/>
      <c r="PDC237"/>
      <c r="PDD237"/>
      <c r="PDE237"/>
      <c r="PDF237"/>
      <c r="PDG237"/>
      <c r="PDH237"/>
      <c r="PDI237"/>
      <c r="PDJ237"/>
      <c r="PDK237"/>
      <c r="PDL237"/>
      <c r="PDM237"/>
      <c r="PDN237"/>
      <c r="PDO237"/>
      <c r="PDP237"/>
      <c r="PDQ237"/>
      <c r="PDR237"/>
      <c r="PDS237"/>
      <c r="PDT237"/>
      <c r="PDU237"/>
      <c r="PDV237"/>
      <c r="PDW237"/>
      <c r="PDX237"/>
      <c r="PDY237"/>
      <c r="PDZ237"/>
      <c r="PEA237"/>
      <c r="PEB237"/>
      <c r="PEC237"/>
      <c r="PED237"/>
      <c r="PEE237"/>
      <c r="PEF237"/>
      <c r="PEG237"/>
      <c r="PEH237"/>
      <c r="PEI237"/>
      <c r="PEJ237"/>
      <c r="PEK237"/>
      <c r="PEL237"/>
      <c r="PEM237"/>
      <c r="PEN237"/>
      <c r="PEO237"/>
      <c r="PEP237"/>
      <c r="PEQ237"/>
      <c r="PER237"/>
      <c r="PES237"/>
      <c r="PET237"/>
      <c r="PEU237"/>
      <c r="PEV237"/>
      <c r="PEW237"/>
      <c r="PEX237"/>
      <c r="PEY237"/>
      <c r="PEZ237"/>
      <c r="PFA237"/>
      <c r="PFB237"/>
      <c r="PFC237"/>
      <c r="PFD237"/>
      <c r="PFE237"/>
      <c r="PFF237"/>
      <c r="PFG237"/>
      <c r="PFH237"/>
      <c r="PFI237"/>
      <c r="PFJ237"/>
      <c r="PFK237"/>
      <c r="PFL237"/>
      <c r="PFM237"/>
      <c r="PFN237"/>
      <c r="PFO237"/>
      <c r="PFP237"/>
      <c r="PFQ237"/>
      <c r="PFR237"/>
      <c r="PFS237"/>
      <c r="PFT237"/>
      <c r="PFU237"/>
      <c r="PFV237"/>
      <c r="PFW237"/>
      <c r="PFX237"/>
      <c r="PFY237"/>
      <c r="PFZ237"/>
      <c r="PGA237"/>
      <c r="PGB237"/>
      <c r="PGC237"/>
      <c r="PGD237"/>
      <c r="PGE237"/>
      <c r="PGF237"/>
      <c r="PGG237"/>
      <c r="PGH237"/>
      <c r="PGI237"/>
      <c r="PGJ237"/>
      <c r="PGK237"/>
      <c r="PGL237"/>
      <c r="PGM237"/>
      <c r="PGN237"/>
      <c r="PGO237"/>
      <c r="PGP237"/>
      <c r="PGQ237"/>
      <c r="PGR237"/>
      <c r="PGS237"/>
      <c r="PGT237"/>
      <c r="PGU237"/>
      <c r="PGV237"/>
      <c r="PGW237"/>
      <c r="PGX237"/>
      <c r="PGY237"/>
      <c r="PGZ237"/>
      <c r="PHA237"/>
      <c r="PHB237"/>
      <c r="PHC237"/>
      <c r="PHD237"/>
      <c r="PHE237"/>
      <c r="PHF237"/>
      <c r="PHG237"/>
      <c r="PHH237"/>
      <c r="PHI237"/>
      <c r="PHJ237"/>
      <c r="PHK237"/>
      <c r="PHL237"/>
      <c r="PHM237"/>
      <c r="PHN237"/>
      <c r="PHO237"/>
      <c r="PHP237"/>
      <c r="PHQ237"/>
      <c r="PHR237"/>
      <c r="PHS237"/>
      <c r="PHT237"/>
      <c r="PHU237"/>
      <c r="PHV237"/>
      <c r="PHW237"/>
      <c r="PHX237"/>
      <c r="PHY237"/>
      <c r="PHZ237"/>
      <c r="PIA237"/>
      <c r="PIB237"/>
      <c r="PIC237"/>
      <c r="PID237"/>
      <c r="PIE237"/>
      <c r="PIF237"/>
      <c r="PIG237"/>
      <c r="PIH237"/>
      <c r="PII237"/>
      <c r="PIJ237"/>
      <c r="PIK237"/>
      <c r="PIL237"/>
      <c r="PIM237"/>
      <c r="PIN237"/>
      <c r="PIO237"/>
      <c r="PIP237"/>
      <c r="PIQ237"/>
      <c r="PIR237"/>
      <c r="PIS237"/>
      <c r="PIT237"/>
      <c r="PIU237"/>
      <c r="PIV237"/>
      <c r="PIW237"/>
      <c r="PIX237"/>
      <c r="PIY237"/>
      <c r="PIZ237"/>
      <c r="PJA237"/>
      <c r="PJB237"/>
      <c r="PJC237"/>
      <c r="PJD237"/>
      <c r="PJE237"/>
      <c r="PJF237"/>
      <c r="PJG237"/>
      <c r="PJH237"/>
      <c r="PJI237"/>
      <c r="PJJ237"/>
      <c r="PJK237"/>
      <c r="PJL237"/>
      <c r="PJM237"/>
      <c r="PJN237"/>
      <c r="PJO237"/>
      <c r="PJP237"/>
      <c r="PJQ237"/>
      <c r="PJR237"/>
      <c r="PJS237"/>
      <c r="PJT237"/>
      <c r="PJU237"/>
      <c r="PJV237"/>
      <c r="PJW237"/>
      <c r="PJX237"/>
      <c r="PJY237"/>
      <c r="PJZ237"/>
      <c r="PKA237"/>
      <c r="PKB237"/>
      <c r="PKC237"/>
      <c r="PKD237"/>
      <c r="PKE237"/>
      <c r="PKF237"/>
      <c r="PKG237"/>
      <c r="PKH237"/>
      <c r="PKI237"/>
      <c r="PKJ237"/>
      <c r="PKK237"/>
      <c r="PKL237"/>
      <c r="PKM237"/>
      <c r="PKN237"/>
      <c r="PKO237"/>
      <c r="PKP237"/>
      <c r="PKQ237"/>
      <c r="PKR237"/>
      <c r="PKS237"/>
      <c r="PKT237"/>
      <c r="PKU237"/>
      <c r="PKV237"/>
      <c r="PKW237"/>
      <c r="PKX237"/>
      <c r="PKY237"/>
      <c r="PKZ237"/>
      <c r="PLA237"/>
      <c r="PLB237"/>
      <c r="PLC237"/>
      <c r="PLD237"/>
      <c r="PLE237"/>
      <c r="PLF237"/>
      <c r="PLG237"/>
      <c r="PLH237"/>
      <c r="PLI237"/>
      <c r="PLJ237"/>
      <c r="PLK237"/>
      <c r="PLL237"/>
      <c r="PLM237"/>
      <c r="PLN237"/>
      <c r="PLO237"/>
      <c r="PLP237"/>
      <c r="PLQ237"/>
      <c r="PLR237"/>
      <c r="PLS237"/>
      <c r="PLT237"/>
      <c r="PLU237"/>
      <c r="PLV237"/>
      <c r="PLW237"/>
      <c r="PLX237"/>
      <c r="PLY237"/>
      <c r="PLZ237"/>
      <c r="PMA237"/>
      <c r="PMB237"/>
      <c r="PMC237"/>
      <c r="PMD237"/>
      <c r="PME237"/>
      <c r="PMF237"/>
      <c r="PMG237"/>
      <c r="PMH237"/>
      <c r="PMI237"/>
      <c r="PMJ237"/>
      <c r="PMK237"/>
      <c r="PML237"/>
      <c r="PMM237"/>
      <c r="PMN237"/>
      <c r="PMO237"/>
      <c r="PMP237"/>
      <c r="PMQ237"/>
      <c r="PMR237"/>
      <c r="PMS237"/>
      <c r="PMT237"/>
      <c r="PMU237"/>
      <c r="PMV237"/>
      <c r="PMW237"/>
      <c r="PMX237"/>
      <c r="PMY237"/>
      <c r="PMZ237"/>
      <c r="PNA237"/>
      <c r="PNB237"/>
      <c r="PNC237"/>
      <c r="PND237"/>
      <c r="PNE237"/>
      <c r="PNF237"/>
      <c r="PNG237"/>
      <c r="PNH237"/>
      <c r="PNI237"/>
      <c r="PNJ237"/>
      <c r="PNK237"/>
      <c r="PNL237"/>
      <c r="PNM237"/>
      <c r="PNN237"/>
      <c r="PNO237"/>
      <c r="PNP237"/>
      <c r="PNQ237"/>
      <c r="PNR237"/>
      <c r="PNS237"/>
      <c r="PNT237"/>
      <c r="PNU237"/>
      <c r="PNV237"/>
      <c r="PNW237"/>
      <c r="PNX237"/>
      <c r="PNY237"/>
      <c r="PNZ237"/>
      <c r="POA237"/>
      <c r="POB237"/>
      <c r="POC237"/>
      <c r="POD237"/>
      <c r="POE237"/>
      <c r="POF237"/>
      <c r="POG237"/>
      <c r="POH237"/>
      <c r="POI237"/>
      <c r="POJ237"/>
      <c r="POK237"/>
      <c r="POL237"/>
      <c r="POM237"/>
      <c r="PON237"/>
      <c r="POO237"/>
      <c r="POP237"/>
      <c r="POQ237"/>
      <c r="POR237"/>
      <c r="POS237"/>
      <c r="POT237"/>
      <c r="POU237"/>
      <c r="POV237"/>
      <c r="POW237"/>
      <c r="POX237"/>
      <c r="POY237"/>
      <c r="POZ237"/>
      <c r="PPA237"/>
      <c r="PPB237"/>
      <c r="PPC237"/>
      <c r="PPD237"/>
      <c r="PPE237"/>
      <c r="PPF237"/>
      <c r="PPG237"/>
      <c r="PPH237"/>
      <c r="PPI237"/>
      <c r="PPJ237"/>
      <c r="PPK237"/>
      <c r="PPL237"/>
      <c r="PPM237"/>
      <c r="PPN237"/>
      <c r="PPO237"/>
      <c r="PPP237"/>
      <c r="PPQ237"/>
      <c r="PPR237"/>
      <c r="PPS237"/>
      <c r="PPT237"/>
      <c r="PPU237"/>
      <c r="PPV237"/>
      <c r="PPW237"/>
      <c r="PPX237"/>
      <c r="PPY237"/>
      <c r="PPZ237"/>
      <c r="PQA237"/>
      <c r="PQB237"/>
      <c r="PQC237"/>
      <c r="PQD237"/>
      <c r="PQE237"/>
      <c r="PQF237"/>
      <c r="PQG237"/>
      <c r="PQH237"/>
      <c r="PQI237"/>
      <c r="PQJ237"/>
      <c r="PQK237"/>
      <c r="PQL237"/>
      <c r="PQM237"/>
      <c r="PQN237"/>
      <c r="PQO237"/>
      <c r="PQP237"/>
      <c r="PQQ237"/>
      <c r="PQR237"/>
      <c r="PQS237"/>
      <c r="PQT237"/>
      <c r="PQU237"/>
      <c r="PQV237"/>
      <c r="PQW237"/>
      <c r="PQX237"/>
      <c r="PQY237"/>
      <c r="PQZ237"/>
      <c r="PRA237"/>
      <c r="PRB237"/>
      <c r="PRC237"/>
      <c r="PRD237"/>
      <c r="PRE237"/>
      <c r="PRF237"/>
      <c r="PRG237"/>
      <c r="PRH237"/>
      <c r="PRI237"/>
      <c r="PRJ237"/>
      <c r="PRK237"/>
      <c r="PRL237"/>
      <c r="PRM237"/>
      <c r="PRN237"/>
      <c r="PRO237"/>
      <c r="PRP237"/>
      <c r="PRQ237"/>
      <c r="PRR237"/>
      <c r="PRS237"/>
      <c r="PRT237"/>
      <c r="PRU237"/>
      <c r="PRV237"/>
      <c r="PRW237"/>
      <c r="PRX237"/>
      <c r="PRY237"/>
      <c r="PRZ237"/>
      <c r="PSA237"/>
      <c r="PSB237"/>
      <c r="PSC237"/>
      <c r="PSD237"/>
      <c r="PSE237"/>
      <c r="PSF237"/>
      <c r="PSG237"/>
      <c r="PSH237"/>
      <c r="PSI237"/>
      <c r="PSJ237"/>
      <c r="PSK237"/>
      <c r="PSL237"/>
      <c r="PSM237"/>
      <c r="PSN237"/>
      <c r="PSO237"/>
      <c r="PSP237"/>
      <c r="PSQ237"/>
      <c r="PSR237"/>
      <c r="PSS237"/>
      <c r="PST237"/>
      <c r="PSU237"/>
      <c r="PSV237"/>
      <c r="PSW237"/>
      <c r="PSX237"/>
      <c r="PSY237"/>
      <c r="PSZ237"/>
      <c r="PTA237"/>
      <c r="PTB237"/>
      <c r="PTC237"/>
      <c r="PTD237"/>
      <c r="PTE237"/>
      <c r="PTF237"/>
      <c r="PTG237"/>
      <c r="PTH237"/>
      <c r="PTI237"/>
      <c r="PTJ237"/>
      <c r="PTK237"/>
      <c r="PTL237"/>
      <c r="PTM237"/>
      <c r="PTN237"/>
      <c r="PTO237"/>
      <c r="PTP237"/>
      <c r="PTQ237"/>
      <c r="PTR237"/>
      <c r="PTS237"/>
      <c r="PTT237"/>
      <c r="PTU237"/>
      <c r="PTV237"/>
      <c r="PTW237"/>
      <c r="PTX237"/>
      <c r="PTY237"/>
      <c r="PTZ237"/>
      <c r="PUA237"/>
      <c r="PUB237"/>
      <c r="PUC237"/>
      <c r="PUD237"/>
      <c r="PUE237"/>
      <c r="PUF237"/>
      <c r="PUG237"/>
      <c r="PUH237"/>
      <c r="PUI237"/>
      <c r="PUJ237"/>
      <c r="PUK237"/>
      <c r="PUL237"/>
      <c r="PUM237"/>
      <c r="PUN237"/>
      <c r="PUO237"/>
      <c r="PUP237"/>
      <c r="PUQ237"/>
      <c r="PUR237"/>
      <c r="PUS237"/>
      <c r="PUT237"/>
      <c r="PUU237"/>
      <c r="PUV237"/>
      <c r="PUW237"/>
      <c r="PUX237"/>
      <c r="PUY237"/>
      <c r="PUZ237"/>
      <c r="PVA237"/>
      <c r="PVB237"/>
      <c r="PVC237"/>
      <c r="PVD237"/>
      <c r="PVE237"/>
      <c r="PVF237"/>
      <c r="PVG237"/>
      <c r="PVH237"/>
      <c r="PVI237"/>
      <c r="PVJ237"/>
      <c r="PVK237"/>
      <c r="PVL237"/>
      <c r="PVM237"/>
      <c r="PVN237"/>
      <c r="PVO237"/>
      <c r="PVP237"/>
      <c r="PVQ237"/>
      <c r="PVR237"/>
      <c r="PVS237"/>
      <c r="PVT237"/>
      <c r="PVU237"/>
      <c r="PVV237"/>
      <c r="PVW237"/>
      <c r="PVX237"/>
      <c r="PVY237"/>
      <c r="PVZ237"/>
      <c r="PWA237"/>
      <c r="PWB237"/>
      <c r="PWC237"/>
      <c r="PWD237"/>
      <c r="PWE237"/>
      <c r="PWF237"/>
      <c r="PWG237"/>
      <c r="PWH237"/>
      <c r="PWI237"/>
      <c r="PWJ237"/>
      <c r="PWK237"/>
      <c r="PWL237"/>
      <c r="PWM237"/>
      <c r="PWN237"/>
      <c r="PWO237"/>
      <c r="PWP237"/>
      <c r="PWQ237"/>
      <c r="PWR237"/>
      <c r="PWS237"/>
      <c r="PWT237"/>
      <c r="PWU237"/>
      <c r="PWV237"/>
      <c r="PWW237"/>
      <c r="PWX237"/>
      <c r="PWY237"/>
      <c r="PWZ237"/>
      <c r="PXA237"/>
      <c r="PXB237"/>
      <c r="PXC237"/>
      <c r="PXD237"/>
      <c r="PXE237"/>
      <c r="PXF237"/>
      <c r="PXG237"/>
      <c r="PXH237"/>
      <c r="PXI237"/>
      <c r="PXJ237"/>
      <c r="PXK237"/>
      <c r="PXL237"/>
      <c r="PXM237"/>
      <c r="PXN237"/>
      <c r="PXO237"/>
      <c r="PXP237"/>
      <c r="PXQ237"/>
      <c r="PXR237"/>
      <c r="PXS237"/>
      <c r="PXT237"/>
      <c r="PXU237"/>
      <c r="PXV237"/>
      <c r="PXW237"/>
      <c r="PXX237"/>
      <c r="PXY237"/>
      <c r="PXZ237"/>
      <c r="PYA237"/>
      <c r="PYB237"/>
      <c r="PYC237"/>
      <c r="PYD237"/>
      <c r="PYE237"/>
      <c r="PYF237"/>
      <c r="PYG237"/>
      <c r="PYH237"/>
      <c r="PYI237"/>
      <c r="PYJ237"/>
      <c r="PYK237"/>
      <c r="PYL237"/>
      <c r="PYM237"/>
      <c r="PYN237"/>
      <c r="PYO237"/>
      <c r="PYP237"/>
      <c r="PYQ237"/>
      <c r="PYR237"/>
      <c r="PYS237"/>
      <c r="PYT237"/>
      <c r="PYU237"/>
      <c r="PYV237"/>
      <c r="PYW237"/>
      <c r="PYX237"/>
      <c r="PYY237"/>
      <c r="PYZ237"/>
      <c r="PZA237"/>
      <c r="PZB237"/>
      <c r="PZC237"/>
      <c r="PZD237"/>
      <c r="PZE237"/>
      <c r="PZF237"/>
      <c r="PZG237"/>
      <c r="PZH237"/>
      <c r="PZI237"/>
      <c r="PZJ237"/>
      <c r="PZK237"/>
      <c r="PZL237"/>
      <c r="PZM237"/>
      <c r="PZN237"/>
      <c r="PZO237"/>
      <c r="PZP237"/>
      <c r="PZQ237"/>
      <c r="PZR237"/>
      <c r="PZS237"/>
      <c r="PZT237"/>
      <c r="PZU237"/>
      <c r="PZV237"/>
      <c r="PZW237"/>
      <c r="PZX237"/>
      <c r="PZY237"/>
      <c r="PZZ237"/>
      <c r="QAA237"/>
      <c r="QAB237"/>
      <c r="QAC237"/>
      <c r="QAD237"/>
      <c r="QAE237"/>
      <c r="QAF237"/>
      <c r="QAG237"/>
      <c r="QAH237"/>
      <c r="QAI237"/>
      <c r="QAJ237"/>
      <c r="QAK237"/>
      <c r="QAL237"/>
      <c r="QAM237"/>
      <c r="QAN237"/>
      <c r="QAO237"/>
      <c r="QAP237"/>
      <c r="QAQ237"/>
      <c r="QAR237"/>
      <c r="QAS237"/>
      <c r="QAT237"/>
      <c r="QAU237"/>
      <c r="QAV237"/>
      <c r="QAW237"/>
      <c r="QAX237"/>
      <c r="QAY237"/>
      <c r="QAZ237"/>
      <c r="QBA237"/>
      <c r="QBB237"/>
      <c r="QBC237"/>
      <c r="QBD237"/>
      <c r="QBE237"/>
      <c r="QBF237"/>
      <c r="QBG237"/>
      <c r="QBH237"/>
      <c r="QBI237"/>
      <c r="QBJ237"/>
      <c r="QBK237"/>
      <c r="QBL237"/>
      <c r="QBM237"/>
      <c r="QBN237"/>
      <c r="QBO237"/>
      <c r="QBP237"/>
      <c r="QBQ237"/>
      <c r="QBR237"/>
      <c r="QBS237"/>
      <c r="QBT237"/>
      <c r="QBU237"/>
      <c r="QBV237"/>
      <c r="QBW237"/>
      <c r="QBX237"/>
      <c r="QBY237"/>
      <c r="QBZ237"/>
      <c r="QCA237"/>
      <c r="QCB237"/>
      <c r="QCC237"/>
      <c r="QCD237"/>
      <c r="QCE237"/>
      <c r="QCF237"/>
      <c r="QCG237"/>
      <c r="QCH237"/>
      <c r="QCI237"/>
      <c r="QCJ237"/>
      <c r="QCK237"/>
      <c r="QCL237"/>
      <c r="QCM237"/>
      <c r="QCN237"/>
      <c r="QCO237"/>
      <c r="QCP237"/>
      <c r="QCQ237"/>
      <c r="QCR237"/>
      <c r="QCS237"/>
      <c r="QCT237"/>
      <c r="QCU237"/>
      <c r="QCV237"/>
      <c r="QCW237"/>
      <c r="QCX237"/>
      <c r="QCY237"/>
      <c r="QCZ237"/>
      <c r="QDA237"/>
      <c r="QDB237"/>
      <c r="QDC237"/>
      <c r="QDD237"/>
      <c r="QDE237"/>
      <c r="QDF237"/>
      <c r="QDG237"/>
      <c r="QDH237"/>
      <c r="QDI237"/>
      <c r="QDJ237"/>
      <c r="QDK237"/>
      <c r="QDL237"/>
      <c r="QDM237"/>
      <c r="QDN237"/>
      <c r="QDO237"/>
      <c r="QDP237"/>
      <c r="QDQ237"/>
      <c r="QDR237"/>
      <c r="QDS237"/>
      <c r="QDT237"/>
      <c r="QDU237"/>
      <c r="QDV237"/>
      <c r="QDW237"/>
      <c r="QDX237"/>
      <c r="QDY237"/>
      <c r="QDZ237"/>
      <c r="QEA237"/>
      <c r="QEB237"/>
      <c r="QEC237"/>
      <c r="QED237"/>
      <c r="QEE237"/>
      <c r="QEF237"/>
      <c r="QEG237"/>
      <c r="QEH237"/>
      <c r="QEI237"/>
      <c r="QEJ237"/>
      <c r="QEK237"/>
      <c r="QEL237"/>
      <c r="QEM237"/>
      <c r="QEN237"/>
      <c r="QEO237"/>
      <c r="QEP237"/>
      <c r="QEQ237"/>
      <c r="QER237"/>
      <c r="QES237"/>
      <c r="QET237"/>
      <c r="QEU237"/>
      <c r="QEV237"/>
      <c r="QEW237"/>
      <c r="QEX237"/>
      <c r="QEY237"/>
      <c r="QEZ237"/>
      <c r="QFA237"/>
      <c r="QFB237"/>
      <c r="QFC237"/>
      <c r="QFD237"/>
      <c r="QFE237"/>
      <c r="QFF237"/>
      <c r="QFG237"/>
      <c r="QFH237"/>
      <c r="QFI237"/>
      <c r="QFJ237"/>
      <c r="QFK237"/>
      <c r="QFL237"/>
      <c r="QFM237"/>
      <c r="QFN237"/>
      <c r="QFO237"/>
      <c r="QFP237"/>
      <c r="QFQ237"/>
      <c r="QFR237"/>
      <c r="QFS237"/>
      <c r="QFT237"/>
      <c r="QFU237"/>
      <c r="QFV237"/>
      <c r="QFW237"/>
      <c r="QFX237"/>
      <c r="QFY237"/>
      <c r="QFZ237"/>
      <c r="QGA237"/>
      <c r="QGB237"/>
      <c r="QGC237"/>
      <c r="QGD237"/>
      <c r="QGE237"/>
      <c r="QGF237"/>
      <c r="QGG237"/>
      <c r="QGH237"/>
      <c r="QGI237"/>
      <c r="QGJ237"/>
      <c r="QGK237"/>
      <c r="QGL237"/>
      <c r="QGM237"/>
      <c r="QGN237"/>
      <c r="QGO237"/>
      <c r="QGP237"/>
      <c r="QGQ237"/>
      <c r="QGR237"/>
      <c r="QGS237"/>
      <c r="QGT237"/>
      <c r="QGU237"/>
      <c r="QGV237"/>
      <c r="QGW237"/>
      <c r="QGX237"/>
      <c r="QGY237"/>
      <c r="QGZ237"/>
      <c r="QHA237"/>
      <c r="QHB237"/>
      <c r="QHC237"/>
      <c r="QHD237"/>
      <c r="QHE237"/>
      <c r="QHF237"/>
      <c r="QHG237"/>
      <c r="QHH237"/>
      <c r="QHI237"/>
      <c r="QHJ237"/>
      <c r="QHK237"/>
      <c r="QHL237"/>
      <c r="QHM237"/>
      <c r="QHN237"/>
      <c r="QHO237"/>
      <c r="QHP237"/>
      <c r="QHQ237"/>
      <c r="QHR237"/>
      <c r="QHS237"/>
      <c r="QHT237"/>
      <c r="QHU237"/>
      <c r="QHV237"/>
      <c r="QHW237"/>
      <c r="QHX237"/>
      <c r="QHY237"/>
      <c r="QHZ237"/>
      <c r="QIA237"/>
      <c r="QIB237"/>
      <c r="QIC237"/>
      <c r="QID237"/>
      <c r="QIE237"/>
      <c r="QIF237"/>
      <c r="QIG237"/>
      <c r="QIH237"/>
      <c r="QII237"/>
      <c r="QIJ237"/>
      <c r="QIK237"/>
      <c r="QIL237"/>
      <c r="QIM237"/>
      <c r="QIN237"/>
      <c r="QIO237"/>
      <c r="QIP237"/>
      <c r="QIQ237"/>
      <c r="QIR237"/>
      <c r="QIS237"/>
      <c r="QIT237"/>
      <c r="QIU237"/>
      <c r="QIV237"/>
      <c r="QIW237"/>
      <c r="QIX237"/>
      <c r="QIY237"/>
      <c r="QIZ237"/>
      <c r="QJA237"/>
      <c r="QJB237"/>
      <c r="QJC237"/>
      <c r="QJD237"/>
      <c r="QJE237"/>
      <c r="QJF237"/>
      <c r="QJG237"/>
      <c r="QJH237"/>
      <c r="QJI237"/>
      <c r="QJJ237"/>
      <c r="QJK237"/>
      <c r="QJL237"/>
      <c r="QJM237"/>
      <c r="QJN237"/>
      <c r="QJO237"/>
      <c r="QJP237"/>
      <c r="QJQ237"/>
      <c r="QJR237"/>
      <c r="QJS237"/>
      <c r="QJT237"/>
      <c r="QJU237"/>
      <c r="QJV237"/>
      <c r="QJW237"/>
      <c r="QJX237"/>
      <c r="QJY237"/>
      <c r="QJZ237"/>
      <c r="QKA237"/>
      <c r="QKB237"/>
      <c r="QKC237"/>
      <c r="QKD237"/>
      <c r="QKE237"/>
      <c r="QKF237"/>
      <c r="QKG237"/>
      <c r="QKH237"/>
      <c r="QKI237"/>
      <c r="QKJ237"/>
      <c r="QKK237"/>
      <c r="QKL237"/>
      <c r="QKM237"/>
      <c r="QKN237"/>
      <c r="QKO237"/>
      <c r="QKP237"/>
      <c r="QKQ237"/>
      <c r="QKR237"/>
      <c r="QKS237"/>
      <c r="QKT237"/>
      <c r="QKU237"/>
      <c r="QKV237"/>
      <c r="QKW237"/>
      <c r="QKX237"/>
      <c r="QKY237"/>
      <c r="QKZ237"/>
      <c r="QLA237"/>
      <c r="QLB237"/>
      <c r="QLC237"/>
      <c r="QLD237"/>
      <c r="QLE237"/>
      <c r="QLF237"/>
      <c r="QLG237"/>
      <c r="QLH237"/>
      <c r="QLI237"/>
      <c r="QLJ237"/>
      <c r="QLK237"/>
      <c r="QLL237"/>
      <c r="QLM237"/>
      <c r="QLN237"/>
      <c r="QLO237"/>
      <c r="QLP237"/>
      <c r="QLQ237"/>
      <c r="QLR237"/>
      <c r="QLS237"/>
      <c r="QLT237"/>
      <c r="QLU237"/>
      <c r="QLV237"/>
      <c r="QLW237"/>
      <c r="QLX237"/>
      <c r="QLY237"/>
      <c r="QLZ237"/>
      <c r="QMA237"/>
      <c r="QMB237"/>
      <c r="QMC237"/>
      <c r="QMD237"/>
      <c r="QME237"/>
      <c r="QMF237"/>
      <c r="QMG237"/>
      <c r="QMH237"/>
      <c r="QMI237"/>
      <c r="QMJ237"/>
      <c r="QMK237"/>
      <c r="QML237"/>
      <c r="QMM237"/>
      <c r="QMN237"/>
      <c r="QMO237"/>
      <c r="QMP237"/>
      <c r="QMQ237"/>
      <c r="QMR237"/>
      <c r="QMS237"/>
      <c r="QMT237"/>
      <c r="QMU237"/>
      <c r="QMV237"/>
      <c r="QMW237"/>
      <c r="QMX237"/>
      <c r="QMY237"/>
      <c r="QMZ237"/>
      <c r="QNA237"/>
      <c r="QNB237"/>
      <c r="QNC237"/>
      <c r="QND237"/>
      <c r="QNE237"/>
      <c r="QNF237"/>
      <c r="QNG237"/>
      <c r="QNH237"/>
      <c r="QNI237"/>
      <c r="QNJ237"/>
      <c r="QNK237"/>
      <c r="QNL237"/>
      <c r="QNM237"/>
      <c r="QNN237"/>
      <c r="QNO237"/>
      <c r="QNP237"/>
      <c r="QNQ237"/>
      <c r="QNR237"/>
      <c r="QNS237"/>
      <c r="QNT237"/>
      <c r="QNU237"/>
      <c r="QNV237"/>
      <c r="QNW237"/>
      <c r="QNX237"/>
      <c r="QNY237"/>
      <c r="QNZ237"/>
      <c r="QOA237"/>
      <c r="QOB237"/>
      <c r="QOC237"/>
      <c r="QOD237"/>
      <c r="QOE237"/>
      <c r="QOF237"/>
      <c r="QOG237"/>
      <c r="QOH237"/>
      <c r="QOI237"/>
      <c r="QOJ237"/>
      <c r="QOK237"/>
      <c r="QOL237"/>
      <c r="QOM237"/>
      <c r="QON237"/>
      <c r="QOO237"/>
      <c r="QOP237"/>
      <c r="QOQ237"/>
      <c r="QOR237"/>
      <c r="QOS237"/>
      <c r="QOT237"/>
      <c r="QOU237"/>
      <c r="QOV237"/>
      <c r="QOW237"/>
      <c r="QOX237"/>
      <c r="QOY237"/>
      <c r="QOZ237"/>
      <c r="QPA237"/>
      <c r="QPB237"/>
      <c r="QPC237"/>
      <c r="QPD237"/>
      <c r="QPE237"/>
      <c r="QPF237"/>
      <c r="QPG237"/>
      <c r="QPH237"/>
      <c r="QPI237"/>
      <c r="QPJ237"/>
      <c r="QPK237"/>
      <c r="QPL237"/>
      <c r="QPM237"/>
      <c r="QPN237"/>
      <c r="QPO237"/>
      <c r="QPP237"/>
      <c r="QPQ237"/>
      <c r="QPR237"/>
      <c r="QPS237"/>
      <c r="QPT237"/>
      <c r="QPU237"/>
      <c r="QPV237"/>
      <c r="QPW237"/>
      <c r="QPX237"/>
      <c r="QPY237"/>
      <c r="QPZ237"/>
      <c r="QQA237"/>
      <c r="QQB237"/>
      <c r="QQC237"/>
      <c r="QQD237"/>
      <c r="QQE237"/>
      <c r="QQF237"/>
      <c r="QQG237"/>
      <c r="QQH237"/>
      <c r="QQI237"/>
      <c r="QQJ237"/>
      <c r="QQK237"/>
      <c r="QQL237"/>
      <c r="QQM237"/>
      <c r="QQN237"/>
      <c r="QQO237"/>
      <c r="QQP237"/>
      <c r="QQQ237"/>
      <c r="QQR237"/>
      <c r="QQS237"/>
      <c r="QQT237"/>
      <c r="QQU237"/>
      <c r="QQV237"/>
      <c r="QQW237"/>
      <c r="QQX237"/>
      <c r="QQY237"/>
      <c r="QQZ237"/>
      <c r="QRA237"/>
      <c r="QRB237"/>
      <c r="QRC237"/>
      <c r="QRD237"/>
      <c r="QRE237"/>
      <c r="QRF237"/>
      <c r="QRG237"/>
      <c r="QRH237"/>
      <c r="QRI237"/>
      <c r="QRJ237"/>
      <c r="QRK237"/>
      <c r="QRL237"/>
      <c r="QRM237"/>
      <c r="QRN237"/>
      <c r="QRO237"/>
      <c r="QRP237"/>
      <c r="QRQ237"/>
      <c r="QRR237"/>
      <c r="QRS237"/>
      <c r="QRT237"/>
      <c r="QRU237"/>
      <c r="QRV237"/>
      <c r="QRW237"/>
      <c r="QRX237"/>
      <c r="QRY237"/>
      <c r="QRZ237"/>
      <c r="QSA237"/>
      <c r="QSB237"/>
      <c r="QSC237"/>
      <c r="QSD237"/>
      <c r="QSE237"/>
      <c r="QSF237"/>
      <c r="QSG237"/>
      <c r="QSH237"/>
      <c r="QSI237"/>
      <c r="QSJ237"/>
      <c r="QSK237"/>
      <c r="QSL237"/>
      <c r="QSM237"/>
      <c r="QSN237"/>
      <c r="QSO237"/>
      <c r="QSP237"/>
      <c r="QSQ237"/>
      <c r="QSR237"/>
      <c r="QSS237"/>
      <c r="QST237"/>
      <c r="QSU237"/>
      <c r="QSV237"/>
      <c r="QSW237"/>
      <c r="QSX237"/>
      <c r="QSY237"/>
      <c r="QSZ237"/>
      <c r="QTA237"/>
      <c r="QTB237"/>
      <c r="QTC237"/>
      <c r="QTD237"/>
      <c r="QTE237"/>
      <c r="QTF237"/>
      <c r="QTG237"/>
      <c r="QTH237"/>
      <c r="QTI237"/>
      <c r="QTJ237"/>
      <c r="QTK237"/>
      <c r="QTL237"/>
      <c r="QTM237"/>
      <c r="QTN237"/>
      <c r="QTO237"/>
      <c r="QTP237"/>
      <c r="QTQ237"/>
      <c r="QTR237"/>
      <c r="QTS237"/>
      <c r="QTT237"/>
      <c r="QTU237"/>
      <c r="QTV237"/>
      <c r="QTW237"/>
      <c r="QTX237"/>
      <c r="QTY237"/>
      <c r="QTZ237"/>
      <c r="QUA237"/>
      <c r="QUB237"/>
      <c r="QUC237"/>
      <c r="QUD237"/>
      <c r="QUE237"/>
      <c r="QUF237"/>
      <c r="QUG237"/>
      <c r="QUH237"/>
      <c r="QUI237"/>
      <c r="QUJ237"/>
      <c r="QUK237"/>
      <c r="QUL237"/>
      <c r="QUM237"/>
      <c r="QUN237"/>
      <c r="QUO237"/>
      <c r="QUP237"/>
      <c r="QUQ237"/>
      <c r="QUR237"/>
      <c r="QUS237"/>
      <c r="QUT237"/>
      <c r="QUU237"/>
      <c r="QUV237"/>
      <c r="QUW237"/>
      <c r="QUX237"/>
      <c r="QUY237"/>
      <c r="QUZ237"/>
      <c r="QVA237"/>
      <c r="QVB237"/>
      <c r="QVC237"/>
      <c r="QVD237"/>
      <c r="QVE237"/>
      <c r="QVF237"/>
      <c r="QVG237"/>
      <c r="QVH237"/>
      <c r="QVI237"/>
      <c r="QVJ237"/>
      <c r="QVK237"/>
      <c r="QVL237"/>
      <c r="QVM237"/>
      <c r="QVN237"/>
      <c r="QVO237"/>
      <c r="QVP237"/>
      <c r="QVQ237"/>
      <c r="QVR237"/>
      <c r="QVS237"/>
      <c r="QVT237"/>
      <c r="QVU237"/>
      <c r="QVV237"/>
      <c r="QVW237"/>
      <c r="QVX237"/>
      <c r="QVY237"/>
      <c r="QVZ237"/>
      <c r="QWA237"/>
      <c r="QWB237"/>
      <c r="QWC237"/>
      <c r="QWD237"/>
      <c r="QWE237"/>
      <c r="QWF237"/>
      <c r="QWG237"/>
      <c r="QWH237"/>
      <c r="QWI237"/>
      <c r="QWJ237"/>
      <c r="QWK237"/>
      <c r="QWL237"/>
      <c r="QWM237"/>
      <c r="QWN237"/>
      <c r="QWO237"/>
      <c r="QWP237"/>
      <c r="QWQ237"/>
      <c r="QWR237"/>
      <c r="QWS237"/>
      <c r="QWT237"/>
      <c r="QWU237"/>
      <c r="QWV237"/>
      <c r="QWW237"/>
      <c r="QWX237"/>
      <c r="QWY237"/>
      <c r="QWZ237"/>
      <c r="QXA237"/>
      <c r="QXB237"/>
      <c r="QXC237"/>
      <c r="QXD237"/>
      <c r="QXE237"/>
      <c r="QXF237"/>
      <c r="QXG237"/>
      <c r="QXH237"/>
      <c r="QXI237"/>
      <c r="QXJ237"/>
      <c r="QXK237"/>
      <c r="QXL237"/>
      <c r="QXM237"/>
      <c r="QXN237"/>
      <c r="QXO237"/>
      <c r="QXP237"/>
      <c r="QXQ237"/>
      <c r="QXR237"/>
      <c r="QXS237"/>
      <c r="QXT237"/>
      <c r="QXU237"/>
      <c r="QXV237"/>
      <c r="QXW237"/>
      <c r="QXX237"/>
      <c r="QXY237"/>
      <c r="QXZ237"/>
      <c r="QYA237"/>
      <c r="QYB237"/>
      <c r="QYC237"/>
      <c r="QYD237"/>
      <c r="QYE237"/>
      <c r="QYF237"/>
      <c r="QYG237"/>
      <c r="QYH237"/>
      <c r="QYI237"/>
      <c r="QYJ237"/>
      <c r="QYK237"/>
      <c r="QYL237"/>
      <c r="QYM237"/>
      <c r="QYN237"/>
      <c r="QYO237"/>
      <c r="QYP237"/>
      <c r="QYQ237"/>
      <c r="QYR237"/>
      <c r="QYS237"/>
      <c r="QYT237"/>
      <c r="QYU237"/>
      <c r="QYV237"/>
      <c r="QYW237"/>
      <c r="QYX237"/>
      <c r="QYY237"/>
      <c r="QYZ237"/>
      <c r="QZA237"/>
      <c r="QZB237"/>
      <c r="QZC237"/>
      <c r="QZD237"/>
      <c r="QZE237"/>
      <c r="QZF237"/>
      <c r="QZG237"/>
      <c r="QZH237"/>
      <c r="QZI237"/>
      <c r="QZJ237"/>
      <c r="QZK237"/>
      <c r="QZL237"/>
      <c r="QZM237"/>
      <c r="QZN237"/>
      <c r="QZO237"/>
      <c r="QZP237"/>
      <c r="QZQ237"/>
      <c r="QZR237"/>
      <c r="QZS237"/>
      <c r="QZT237"/>
      <c r="QZU237"/>
      <c r="QZV237"/>
      <c r="QZW237"/>
      <c r="QZX237"/>
      <c r="QZY237"/>
      <c r="QZZ237"/>
      <c r="RAA237"/>
      <c r="RAB237"/>
      <c r="RAC237"/>
      <c r="RAD237"/>
      <c r="RAE237"/>
      <c r="RAF237"/>
      <c r="RAG237"/>
      <c r="RAH237"/>
      <c r="RAI237"/>
      <c r="RAJ237"/>
      <c r="RAK237"/>
      <c r="RAL237"/>
      <c r="RAM237"/>
      <c r="RAN237"/>
      <c r="RAO237"/>
      <c r="RAP237"/>
      <c r="RAQ237"/>
      <c r="RAR237"/>
      <c r="RAS237"/>
      <c r="RAT237"/>
      <c r="RAU237"/>
      <c r="RAV237"/>
      <c r="RAW237"/>
      <c r="RAX237"/>
      <c r="RAY237"/>
      <c r="RAZ237"/>
      <c r="RBA237"/>
      <c r="RBB237"/>
      <c r="RBC237"/>
      <c r="RBD237"/>
      <c r="RBE237"/>
      <c r="RBF237"/>
      <c r="RBG237"/>
      <c r="RBH237"/>
      <c r="RBI237"/>
      <c r="RBJ237"/>
      <c r="RBK237"/>
      <c r="RBL237"/>
      <c r="RBM237"/>
      <c r="RBN237"/>
      <c r="RBO237"/>
      <c r="RBP237"/>
      <c r="RBQ237"/>
      <c r="RBR237"/>
      <c r="RBS237"/>
      <c r="RBT237"/>
      <c r="RBU237"/>
      <c r="RBV237"/>
      <c r="RBW237"/>
      <c r="RBX237"/>
      <c r="RBY237"/>
      <c r="RBZ237"/>
      <c r="RCA237"/>
      <c r="RCB237"/>
      <c r="RCC237"/>
      <c r="RCD237"/>
      <c r="RCE237"/>
      <c r="RCF237"/>
      <c r="RCG237"/>
      <c r="RCH237"/>
      <c r="RCI237"/>
      <c r="RCJ237"/>
      <c r="RCK237"/>
      <c r="RCL237"/>
      <c r="RCM237"/>
      <c r="RCN237"/>
      <c r="RCO237"/>
      <c r="RCP237"/>
      <c r="RCQ237"/>
      <c r="RCR237"/>
      <c r="RCS237"/>
      <c r="RCT237"/>
      <c r="RCU237"/>
      <c r="RCV237"/>
      <c r="RCW237"/>
      <c r="RCX237"/>
      <c r="RCY237"/>
      <c r="RCZ237"/>
      <c r="RDA237"/>
      <c r="RDB237"/>
      <c r="RDC237"/>
      <c r="RDD237"/>
      <c r="RDE237"/>
      <c r="RDF237"/>
      <c r="RDG237"/>
      <c r="RDH237"/>
      <c r="RDI237"/>
      <c r="RDJ237"/>
      <c r="RDK237"/>
      <c r="RDL237"/>
      <c r="RDM237"/>
      <c r="RDN237"/>
      <c r="RDO237"/>
      <c r="RDP237"/>
      <c r="RDQ237"/>
      <c r="RDR237"/>
      <c r="RDS237"/>
      <c r="RDT237"/>
      <c r="RDU237"/>
      <c r="RDV237"/>
      <c r="RDW237"/>
      <c r="RDX237"/>
      <c r="RDY237"/>
      <c r="RDZ237"/>
      <c r="REA237"/>
      <c r="REB237"/>
      <c r="REC237"/>
      <c r="RED237"/>
      <c r="REE237"/>
      <c r="REF237"/>
      <c r="REG237"/>
      <c r="REH237"/>
      <c r="REI237"/>
      <c r="REJ237"/>
      <c r="REK237"/>
      <c r="REL237"/>
      <c r="REM237"/>
      <c r="REN237"/>
      <c r="REO237"/>
      <c r="REP237"/>
      <c r="REQ237"/>
      <c r="RER237"/>
      <c r="RES237"/>
      <c r="RET237"/>
      <c r="REU237"/>
      <c r="REV237"/>
      <c r="REW237"/>
      <c r="REX237"/>
      <c r="REY237"/>
      <c r="REZ237"/>
      <c r="RFA237"/>
      <c r="RFB237"/>
      <c r="RFC237"/>
      <c r="RFD237"/>
      <c r="RFE237"/>
      <c r="RFF237"/>
      <c r="RFG237"/>
      <c r="RFH237"/>
      <c r="RFI237"/>
      <c r="RFJ237"/>
      <c r="RFK237"/>
      <c r="RFL237"/>
      <c r="RFM237"/>
      <c r="RFN237"/>
      <c r="RFO237"/>
      <c r="RFP237"/>
      <c r="RFQ237"/>
      <c r="RFR237"/>
      <c r="RFS237"/>
      <c r="RFT237"/>
      <c r="RFU237"/>
      <c r="RFV237"/>
      <c r="RFW237"/>
      <c r="RFX237"/>
      <c r="RFY237"/>
      <c r="RFZ237"/>
      <c r="RGA237"/>
      <c r="RGB237"/>
      <c r="RGC237"/>
      <c r="RGD237"/>
      <c r="RGE237"/>
      <c r="RGF237"/>
      <c r="RGG237"/>
      <c r="RGH237"/>
      <c r="RGI237"/>
      <c r="RGJ237"/>
      <c r="RGK237"/>
      <c r="RGL237"/>
      <c r="RGM237"/>
      <c r="RGN237"/>
      <c r="RGO237"/>
      <c r="RGP237"/>
      <c r="RGQ237"/>
      <c r="RGR237"/>
      <c r="RGS237"/>
      <c r="RGT237"/>
      <c r="RGU237"/>
      <c r="RGV237"/>
      <c r="RGW237"/>
      <c r="RGX237"/>
      <c r="RGY237"/>
      <c r="RGZ237"/>
      <c r="RHA237"/>
      <c r="RHB237"/>
      <c r="RHC237"/>
      <c r="RHD237"/>
      <c r="RHE237"/>
      <c r="RHF237"/>
      <c r="RHG237"/>
      <c r="RHH237"/>
      <c r="RHI237"/>
      <c r="RHJ237"/>
      <c r="RHK237"/>
      <c r="RHL237"/>
      <c r="RHM237"/>
      <c r="RHN237"/>
      <c r="RHO237"/>
      <c r="RHP237"/>
      <c r="RHQ237"/>
      <c r="RHR237"/>
      <c r="RHS237"/>
      <c r="RHT237"/>
      <c r="RHU237"/>
      <c r="RHV237"/>
      <c r="RHW237"/>
      <c r="RHX237"/>
      <c r="RHY237"/>
      <c r="RHZ237"/>
      <c r="RIA237"/>
      <c r="RIB237"/>
      <c r="RIC237"/>
      <c r="RID237"/>
      <c r="RIE237"/>
      <c r="RIF237"/>
      <c r="RIG237"/>
      <c r="RIH237"/>
      <c r="RII237"/>
      <c r="RIJ237"/>
      <c r="RIK237"/>
      <c r="RIL237"/>
      <c r="RIM237"/>
      <c r="RIN237"/>
      <c r="RIO237"/>
      <c r="RIP237"/>
      <c r="RIQ237"/>
      <c r="RIR237"/>
      <c r="RIS237"/>
      <c r="RIT237"/>
      <c r="RIU237"/>
      <c r="RIV237"/>
      <c r="RIW237"/>
      <c r="RIX237"/>
      <c r="RIY237"/>
      <c r="RIZ237"/>
      <c r="RJA237"/>
      <c r="RJB237"/>
      <c r="RJC237"/>
      <c r="RJD237"/>
      <c r="RJE237"/>
      <c r="RJF237"/>
      <c r="RJG237"/>
      <c r="RJH237"/>
      <c r="RJI237"/>
      <c r="RJJ237"/>
      <c r="RJK237"/>
      <c r="RJL237"/>
      <c r="RJM237"/>
      <c r="RJN237"/>
      <c r="RJO237"/>
      <c r="RJP237"/>
      <c r="RJQ237"/>
      <c r="RJR237"/>
      <c r="RJS237"/>
      <c r="RJT237"/>
      <c r="RJU237"/>
      <c r="RJV237"/>
      <c r="RJW237"/>
      <c r="RJX237"/>
      <c r="RJY237"/>
      <c r="RJZ237"/>
      <c r="RKA237"/>
      <c r="RKB237"/>
      <c r="RKC237"/>
      <c r="RKD237"/>
      <c r="RKE237"/>
      <c r="RKF237"/>
      <c r="RKG237"/>
      <c r="RKH237"/>
      <c r="RKI237"/>
      <c r="RKJ237"/>
      <c r="RKK237"/>
      <c r="RKL237"/>
      <c r="RKM237"/>
      <c r="RKN237"/>
      <c r="RKO237"/>
      <c r="RKP237"/>
      <c r="RKQ237"/>
      <c r="RKR237"/>
      <c r="RKS237"/>
      <c r="RKT237"/>
      <c r="RKU237"/>
      <c r="RKV237"/>
      <c r="RKW237"/>
      <c r="RKX237"/>
      <c r="RKY237"/>
      <c r="RKZ237"/>
      <c r="RLA237"/>
      <c r="RLB237"/>
      <c r="RLC237"/>
      <c r="RLD237"/>
      <c r="RLE237"/>
      <c r="RLF237"/>
      <c r="RLG237"/>
      <c r="RLH237"/>
      <c r="RLI237"/>
      <c r="RLJ237"/>
      <c r="RLK237"/>
      <c r="RLL237"/>
      <c r="RLM237"/>
      <c r="RLN237"/>
      <c r="RLO237"/>
      <c r="RLP237"/>
      <c r="RLQ237"/>
      <c r="RLR237"/>
      <c r="RLS237"/>
      <c r="RLT237"/>
      <c r="RLU237"/>
      <c r="RLV237"/>
      <c r="RLW237"/>
      <c r="RLX237"/>
      <c r="RLY237"/>
      <c r="RLZ237"/>
      <c r="RMA237"/>
      <c r="RMB237"/>
      <c r="RMC237"/>
      <c r="RMD237"/>
      <c r="RME237"/>
      <c r="RMF237"/>
      <c r="RMG237"/>
      <c r="RMH237"/>
      <c r="RMI237"/>
      <c r="RMJ237"/>
      <c r="RMK237"/>
      <c r="RML237"/>
      <c r="RMM237"/>
      <c r="RMN237"/>
      <c r="RMO237"/>
      <c r="RMP237"/>
      <c r="RMQ237"/>
      <c r="RMR237"/>
      <c r="RMS237"/>
      <c r="RMT237"/>
      <c r="RMU237"/>
      <c r="RMV237"/>
      <c r="RMW237"/>
      <c r="RMX237"/>
      <c r="RMY237"/>
      <c r="RMZ237"/>
      <c r="RNA237"/>
      <c r="RNB237"/>
      <c r="RNC237"/>
      <c r="RND237"/>
      <c r="RNE237"/>
      <c r="RNF237"/>
      <c r="RNG237"/>
      <c r="RNH237"/>
      <c r="RNI237"/>
      <c r="RNJ237"/>
      <c r="RNK237"/>
      <c r="RNL237"/>
      <c r="RNM237"/>
      <c r="RNN237"/>
      <c r="RNO237"/>
      <c r="RNP237"/>
      <c r="RNQ237"/>
      <c r="RNR237"/>
      <c r="RNS237"/>
      <c r="RNT237"/>
      <c r="RNU237"/>
      <c r="RNV237"/>
      <c r="RNW237"/>
      <c r="RNX237"/>
      <c r="RNY237"/>
      <c r="RNZ237"/>
      <c r="ROA237"/>
      <c r="ROB237"/>
      <c r="ROC237"/>
      <c r="ROD237"/>
      <c r="ROE237"/>
      <c r="ROF237"/>
      <c r="ROG237"/>
      <c r="ROH237"/>
      <c r="ROI237"/>
      <c r="ROJ237"/>
      <c r="ROK237"/>
      <c r="ROL237"/>
      <c r="ROM237"/>
      <c r="RON237"/>
      <c r="ROO237"/>
      <c r="ROP237"/>
      <c r="ROQ237"/>
      <c r="ROR237"/>
      <c r="ROS237"/>
      <c r="ROT237"/>
      <c r="ROU237"/>
      <c r="ROV237"/>
      <c r="ROW237"/>
      <c r="ROX237"/>
      <c r="ROY237"/>
      <c r="ROZ237"/>
      <c r="RPA237"/>
      <c r="RPB237"/>
      <c r="RPC237"/>
      <c r="RPD237"/>
      <c r="RPE237"/>
      <c r="RPF237"/>
      <c r="RPG237"/>
      <c r="RPH237"/>
      <c r="RPI237"/>
      <c r="RPJ237"/>
      <c r="RPK237"/>
      <c r="RPL237"/>
      <c r="RPM237"/>
      <c r="RPN237"/>
      <c r="RPO237"/>
      <c r="RPP237"/>
      <c r="RPQ237"/>
      <c r="RPR237"/>
      <c r="RPS237"/>
      <c r="RPT237"/>
      <c r="RPU237"/>
      <c r="RPV237"/>
      <c r="RPW237"/>
      <c r="RPX237"/>
      <c r="RPY237"/>
      <c r="RPZ237"/>
      <c r="RQA237"/>
      <c r="RQB237"/>
      <c r="RQC237"/>
      <c r="RQD237"/>
      <c r="RQE237"/>
      <c r="RQF237"/>
      <c r="RQG237"/>
      <c r="RQH237"/>
      <c r="RQI237"/>
      <c r="RQJ237"/>
      <c r="RQK237"/>
      <c r="RQL237"/>
      <c r="RQM237"/>
      <c r="RQN237"/>
      <c r="RQO237"/>
      <c r="RQP237"/>
      <c r="RQQ237"/>
      <c r="RQR237"/>
      <c r="RQS237"/>
      <c r="RQT237"/>
      <c r="RQU237"/>
      <c r="RQV237"/>
      <c r="RQW237"/>
      <c r="RQX237"/>
      <c r="RQY237"/>
      <c r="RQZ237"/>
      <c r="RRA237"/>
      <c r="RRB237"/>
      <c r="RRC237"/>
      <c r="RRD237"/>
      <c r="RRE237"/>
      <c r="RRF237"/>
      <c r="RRG237"/>
      <c r="RRH237"/>
      <c r="RRI237"/>
      <c r="RRJ237"/>
      <c r="RRK237"/>
      <c r="RRL237"/>
      <c r="RRM237"/>
      <c r="RRN237"/>
      <c r="RRO237"/>
      <c r="RRP237"/>
      <c r="RRQ237"/>
      <c r="RRR237"/>
      <c r="RRS237"/>
      <c r="RRT237"/>
      <c r="RRU237"/>
      <c r="RRV237"/>
      <c r="RRW237"/>
      <c r="RRX237"/>
      <c r="RRY237"/>
      <c r="RRZ237"/>
      <c r="RSA237"/>
      <c r="RSB237"/>
      <c r="RSC237"/>
      <c r="RSD237"/>
      <c r="RSE237"/>
      <c r="RSF237"/>
      <c r="RSG237"/>
      <c r="RSH237"/>
      <c r="RSI237"/>
      <c r="RSJ237"/>
      <c r="RSK237"/>
      <c r="RSL237"/>
      <c r="RSM237"/>
      <c r="RSN237"/>
      <c r="RSO237"/>
      <c r="RSP237"/>
      <c r="RSQ237"/>
      <c r="RSR237"/>
      <c r="RSS237"/>
      <c r="RST237"/>
      <c r="RSU237"/>
      <c r="RSV237"/>
      <c r="RSW237"/>
      <c r="RSX237"/>
      <c r="RSY237"/>
      <c r="RSZ237"/>
      <c r="RTA237"/>
      <c r="RTB237"/>
      <c r="RTC237"/>
      <c r="RTD237"/>
      <c r="RTE237"/>
      <c r="RTF237"/>
      <c r="RTG237"/>
      <c r="RTH237"/>
      <c r="RTI237"/>
      <c r="RTJ237"/>
      <c r="RTK237"/>
      <c r="RTL237"/>
      <c r="RTM237"/>
      <c r="RTN237"/>
      <c r="RTO237"/>
      <c r="RTP237"/>
      <c r="RTQ237"/>
      <c r="RTR237"/>
      <c r="RTS237"/>
      <c r="RTT237"/>
      <c r="RTU237"/>
      <c r="RTV237"/>
      <c r="RTW237"/>
      <c r="RTX237"/>
      <c r="RTY237"/>
      <c r="RTZ237"/>
      <c r="RUA237"/>
      <c r="RUB237"/>
      <c r="RUC237"/>
      <c r="RUD237"/>
      <c r="RUE237"/>
      <c r="RUF237"/>
      <c r="RUG237"/>
      <c r="RUH237"/>
      <c r="RUI237"/>
      <c r="RUJ237"/>
      <c r="RUK237"/>
      <c r="RUL237"/>
      <c r="RUM237"/>
      <c r="RUN237"/>
      <c r="RUO237"/>
      <c r="RUP237"/>
      <c r="RUQ237"/>
      <c r="RUR237"/>
      <c r="RUS237"/>
      <c r="RUT237"/>
      <c r="RUU237"/>
      <c r="RUV237"/>
      <c r="RUW237"/>
      <c r="RUX237"/>
      <c r="RUY237"/>
      <c r="RUZ237"/>
      <c r="RVA237"/>
      <c r="RVB237"/>
      <c r="RVC237"/>
      <c r="RVD237"/>
      <c r="RVE237"/>
      <c r="RVF237"/>
      <c r="RVG237"/>
      <c r="RVH237"/>
      <c r="RVI237"/>
      <c r="RVJ237"/>
      <c r="RVK237"/>
      <c r="RVL237"/>
      <c r="RVM237"/>
      <c r="RVN237"/>
      <c r="RVO237"/>
      <c r="RVP237"/>
      <c r="RVQ237"/>
      <c r="RVR237"/>
      <c r="RVS237"/>
      <c r="RVT237"/>
      <c r="RVU237"/>
      <c r="RVV237"/>
      <c r="RVW237"/>
      <c r="RVX237"/>
      <c r="RVY237"/>
      <c r="RVZ237"/>
      <c r="RWA237"/>
      <c r="RWB237"/>
      <c r="RWC237"/>
      <c r="RWD237"/>
      <c r="RWE237"/>
      <c r="RWF237"/>
      <c r="RWG237"/>
      <c r="RWH237"/>
      <c r="RWI237"/>
      <c r="RWJ237"/>
      <c r="RWK237"/>
      <c r="RWL237"/>
      <c r="RWM237"/>
      <c r="RWN237"/>
      <c r="RWO237"/>
      <c r="RWP237"/>
      <c r="RWQ237"/>
      <c r="RWR237"/>
      <c r="RWS237"/>
      <c r="RWT237"/>
      <c r="RWU237"/>
      <c r="RWV237"/>
      <c r="RWW237"/>
      <c r="RWX237"/>
      <c r="RWY237"/>
      <c r="RWZ237"/>
      <c r="RXA237"/>
      <c r="RXB237"/>
      <c r="RXC237"/>
      <c r="RXD237"/>
      <c r="RXE237"/>
      <c r="RXF237"/>
      <c r="RXG237"/>
      <c r="RXH237"/>
      <c r="RXI237"/>
      <c r="RXJ237"/>
      <c r="RXK237"/>
      <c r="RXL237"/>
      <c r="RXM237"/>
      <c r="RXN237"/>
      <c r="RXO237"/>
      <c r="RXP237"/>
      <c r="RXQ237"/>
      <c r="RXR237"/>
      <c r="RXS237"/>
      <c r="RXT237"/>
      <c r="RXU237"/>
      <c r="RXV237"/>
      <c r="RXW237"/>
      <c r="RXX237"/>
      <c r="RXY237"/>
      <c r="RXZ237"/>
      <c r="RYA237"/>
      <c r="RYB237"/>
      <c r="RYC237"/>
      <c r="RYD237"/>
      <c r="RYE237"/>
      <c r="RYF237"/>
      <c r="RYG237"/>
      <c r="RYH237"/>
      <c r="RYI237"/>
      <c r="RYJ237"/>
      <c r="RYK237"/>
      <c r="RYL237"/>
      <c r="RYM237"/>
      <c r="RYN237"/>
      <c r="RYO237"/>
      <c r="RYP237"/>
      <c r="RYQ237"/>
      <c r="RYR237"/>
      <c r="RYS237"/>
      <c r="RYT237"/>
      <c r="RYU237"/>
      <c r="RYV237"/>
      <c r="RYW237"/>
      <c r="RYX237"/>
      <c r="RYY237"/>
      <c r="RYZ237"/>
      <c r="RZA237"/>
      <c r="RZB237"/>
      <c r="RZC237"/>
      <c r="RZD237"/>
      <c r="RZE237"/>
      <c r="RZF237"/>
      <c r="RZG237"/>
      <c r="RZH237"/>
      <c r="RZI237"/>
      <c r="RZJ237"/>
      <c r="RZK237"/>
      <c r="RZL237"/>
      <c r="RZM237"/>
      <c r="RZN237"/>
      <c r="RZO237"/>
      <c r="RZP237"/>
      <c r="RZQ237"/>
      <c r="RZR237"/>
      <c r="RZS237"/>
      <c r="RZT237"/>
      <c r="RZU237"/>
      <c r="RZV237"/>
      <c r="RZW237"/>
      <c r="RZX237"/>
      <c r="RZY237"/>
      <c r="RZZ237"/>
      <c r="SAA237"/>
      <c r="SAB237"/>
      <c r="SAC237"/>
      <c r="SAD237"/>
      <c r="SAE237"/>
      <c r="SAF237"/>
      <c r="SAG237"/>
      <c r="SAH237"/>
      <c r="SAI237"/>
      <c r="SAJ237"/>
      <c r="SAK237"/>
      <c r="SAL237"/>
      <c r="SAM237"/>
      <c r="SAN237"/>
      <c r="SAO237"/>
      <c r="SAP237"/>
      <c r="SAQ237"/>
      <c r="SAR237"/>
      <c r="SAS237"/>
      <c r="SAT237"/>
      <c r="SAU237"/>
      <c r="SAV237"/>
      <c r="SAW237"/>
      <c r="SAX237"/>
      <c r="SAY237"/>
      <c r="SAZ237"/>
      <c r="SBA237"/>
      <c r="SBB237"/>
      <c r="SBC237"/>
      <c r="SBD237"/>
      <c r="SBE237"/>
      <c r="SBF237"/>
      <c r="SBG237"/>
      <c r="SBH237"/>
      <c r="SBI237"/>
      <c r="SBJ237"/>
      <c r="SBK237"/>
      <c r="SBL237"/>
      <c r="SBM237"/>
      <c r="SBN237"/>
      <c r="SBO237"/>
      <c r="SBP237"/>
      <c r="SBQ237"/>
      <c r="SBR237"/>
      <c r="SBS237"/>
      <c r="SBT237"/>
      <c r="SBU237"/>
      <c r="SBV237"/>
      <c r="SBW237"/>
      <c r="SBX237"/>
      <c r="SBY237"/>
      <c r="SBZ237"/>
      <c r="SCA237"/>
      <c r="SCB237"/>
      <c r="SCC237"/>
      <c r="SCD237"/>
      <c r="SCE237"/>
      <c r="SCF237"/>
      <c r="SCG237"/>
      <c r="SCH237"/>
      <c r="SCI237"/>
      <c r="SCJ237"/>
      <c r="SCK237"/>
      <c r="SCL237"/>
      <c r="SCM237"/>
      <c r="SCN237"/>
      <c r="SCO237"/>
      <c r="SCP237"/>
      <c r="SCQ237"/>
      <c r="SCR237"/>
      <c r="SCS237"/>
      <c r="SCT237"/>
      <c r="SCU237"/>
      <c r="SCV237"/>
      <c r="SCW237"/>
      <c r="SCX237"/>
      <c r="SCY237"/>
      <c r="SCZ237"/>
      <c r="SDA237"/>
      <c r="SDB237"/>
      <c r="SDC237"/>
      <c r="SDD237"/>
      <c r="SDE237"/>
      <c r="SDF237"/>
      <c r="SDG237"/>
      <c r="SDH237"/>
      <c r="SDI237"/>
      <c r="SDJ237"/>
      <c r="SDK237"/>
      <c r="SDL237"/>
      <c r="SDM237"/>
      <c r="SDN237"/>
      <c r="SDO237"/>
      <c r="SDP237"/>
      <c r="SDQ237"/>
      <c r="SDR237"/>
      <c r="SDS237"/>
      <c r="SDT237"/>
      <c r="SDU237"/>
      <c r="SDV237"/>
      <c r="SDW237"/>
      <c r="SDX237"/>
      <c r="SDY237"/>
      <c r="SDZ237"/>
      <c r="SEA237"/>
      <c r="SEB237"/>
      <c r="SEC237"/>
      <c r="SED237"/>
      <c r="SEE237"/>
      <c r="SEF237"/>
      <c r="SEG237"/>
      <c r="SEH237"/>
      <c r="SEI237"/>
      <c r="SEJ237"/>
      <c r="SEK237"/>
      <c r="SEL237"/>
      <c r="SEM237"/>
      <c r="SEN237"/>
      <c r="SEO237"/>
      <c r="SEP237"/>
      <c r="SEQ237"/>
      <c r="SER237"/>
      <c r="SES237"/>
      <c r="SET237"/>
      <c r="SEU237"/>
      <c r="SEV237"/>
      <c r="SEW237"/>
      <c r="SEX237"/>
      <c r="SEY237"/>
      <c r="SEZ237"/>
      <c r="SFA237"/>
      <c r="SFB237"/>
      <c r="SFC237"/>
      <c r="SFD237"/>
      <c r="SFE237"/>
      <c r="SFF237"/>
      <c r="SFG237"/>
      <c r="SFH237"/>
      <c r="SFI237"/>
      <c r="SFJ237"/>
      <c r="SFK237"/>
      <c r="SFL237"/>
      <c r="SFM237"/>
      <c r="SFN237"/>
      <c r="SFO237"/>
      <c r="SFP237"/>
      <c r="SFQ237"/>
      <c r="SFR237"/>
      <c r="SFS237"/>
      <c r="SFT237"/>
      <c r="SFU237"/>
      <c r="SFV237"/>
      <c r="SFW237"/>
      <c r="SFX237"/>
      <c r="SFY237"/>
      <c r="SFZ237"/>
      <c r="SGA237"/>
      <c r="SGB237"/>
      <c r="SGC237"/>
      <c r="SGD237"/>
      <c r="SGE237"/>
      <c r="SGF237"/>
      <c r="SGG237"/>
      <c r="SGH237"/>
      <c r="SGI237"/>
      <c r="SGJ237"/>
      <c r="SGK237"/>
      <c r="SGL237"/>
      <c r="SGM237"/>
      <c r="SGN237"/>
      <c r="SGO237"/>
      <c r="SGP237"/>
      <c r="SGQ237"/>
      <c r="SGR237"/>
      <c r="SGS237"/>
      <c r="SGT237"/>
      <c r="SGU237"/>
      <c r="SGV237"/>
      <c r="SGW237"/>
      <c r="SGX237"/>
      <c r="SGY237"/>
      <c r="SGZ237"/>
      <c r="SHA237"/>
      <c r="SHB237"/>
      <c r="SHC237"/>
      <c r="SHD237"/>
      <c r="SHE237"/>
      <c r="SHF237"/>
      <c r="SHG237"/>
      <c r="SHH237"/>
      <c r="SHI237"/>
      <c r="SHJ237"/>
      <c r="SHK237"/>
      <c r="SHL237"/>
      <c r="SHM237"/>
      <c r="SHN237"/>
      <c r="SHO237"/>
      <c r="SHP237"/>
      <c r="SHQ237"/>
      <c r="SHR237"/>
      <c r="SHS237"/>
      <c r="SHT237"/>
      <c r="SHU237"/>
      <c r="SHV237"/>
      <c r="SHW237"/>
      <c r="SHX237"/>
      <c r="SHY237"/>
      <c r="SHZ237"/>
      <c r="SIA237"/>
      <c r="SIB237"/>
      <c r="SIC237"/>
      <c r="SID237"/>
      <c r="SIE237"/>
      <c r="SIF237"/>
      <c r="SIG237"/>
      <c r="SIH237"/>
      <c r="SII237"/>
      <c r="SIJ237"/>
      <c r="SIK237"/>
      <c r="SIL237"/>
      <c r="SIM237"/>
      <c r="SIN237"/>
      <c r="SIO237"/>
      <c r="SIP237"/>
      <c r="SIQ237"/>
      <c r="SIR237"/>
      <c r="SIS237"/>
      <c r="SIT237"/>
      <c r="SIU237"/>
      <c r="SIV237"/>
      <c r="SIW237"/>
      <c r="SIX237"/>
      <c r="SIY237"/>
      <c r="SIZ237"/>
      <c r="SJA237"/>
      <c r="SJB237"/>
      <c r="SJC237"/>
      <c r="SJD237"/>
      <c r="SJE237"/>
      <c r="SJF237"/>
      <c r="SJG237"/>
      <c r="SJH237"/>
      <c r="SJI237"/>
      <c r="SJJ237"/>
      <c r="SJK237"/>
      <c r="SJL237"/>
      <c r="SJM237"/>
      <c r="SJN237"/>
      <c r="SJO237"/>
      <c r="SJP237"/>
      <c r="SJQ237"/>
      <c r="SJR237"/>
      <c r="SJS237"/>
      <c r="SJT237"/>
      <c r="SJU237"/>
      <c r="SJV237"/>
      <c r="SJW237"/>
      <c r="SJX237"/>
      <c r="SJY237"/>
      <c r="SJZ237"/>
      <c r="SKA237"/>
      <c r="SKB237"/>
      <c r="SKC237"/>
      <c r="SKD237"/>
      <c r="SKE237"/>
      <c r="SKF237"/>
      <c r="SKG237"/>
      <c r="SKH237"/>
      <c r="SKI237"/>
      <c r="SKJ237"/>
      <c r="SKK237"/>
      <c r="SKL237"/>
      <c r="SKM237"/>
      <c r="SKN237"/>
      <c r="SKO237"/>
      <c r="SKP237"/>
      <c r="SKQ237"/>
      <c r="SKR237"/>
      <c r="SKS237"/>
      <c r="SKT237"/>
      <c r="SKU237"/>
      <c r="SKV237"/>
      <c r="SKW237"/>
      <c r="SKX237"/>
      <c r="SKY237"/>
      <c r="SKZ237"/>
      <c r="SLA237"/>
      <c r="SLB237"/>
      <c r="SLC237"/>
      <c r="SLD237"/>
      <c r="SLE237"/>
      <c r="SLF237"/>
      <c r="SLG237"/>
      <c r="SLH237"/>
      <c r="SLI237"/>
      <c r="SLJ237"/>
      <c r="SLK237"/>
      <c r="SLL237"/>
      <c r="SLM237"/>
      <c r="SLN237"/>
      <c r="SLO237"/>
      <c r="SLP237"/>
      <c r="SLQ237"/>
      <c r="SLR237"/>
      <c r="SLS237"/>
      <c r="SLT237"/>
      <c r="SLU237"/>
      <c r="SLV237"/>
      <c r="SLW237"/>
      <c r="SLX237"/>
      <c r="SLY237"/>
      <c r="SLZ237"/>
      <c r="SMA237"/>
      <c r="SMB237"/>
      <c r="SMC237"/>
      <c r="SMD237"/>
      <c r="SME237"/>
      <c r="SMF237"/>
      <c r="SMG237"/>
      <c r="SMH237"/>
      <c r="SMI237"/>
      <c r="SMJ237"/>
      <c r="SMK237"/>
      <c r="SML237"/>
      <c r="SMM237"/>
      <c r="SMN237"/>
      <c r="SMO237"/>
      <c r="SMP237"/>
      <c r="SMQ237"/>
      <c r="SMR237"/>
      <c r="SMS237"/>
      <c r="SMT237"/>
      <c r="SMU237"/>
      <c r="SMV237"/>
      <c r="SMW237"/>
      <c r="SMX237"/>
      <c r="SMY237"/>
      <c r="SMZ237"/>
      <c r="SNA237"/>
      <c r="SNB237"/>
      <c r="SNC237"/>
      <c r="SND237"/>
      <c r="SNE237"/>
      <c r="SNF237"/>
      <c r="SNG237"/>
      <c r="SNH237"/>
      <c r="SNI237"/>
      <c r="SNJ237"/>
      <c r="SNK237"/>
      <c r="SNL237"/>
      <c r="SNM237"/>
      <c r="SNN237"/>
      <c r="SNO237"/>
      <c r="SNP237"/>
      <c r="SNQ237"/>
      <c r="SNR237"/>
      <c r="SNS237"/>
      <c r="SNT237"/>
      <c r="SNU237"/>
      <c r="SNV237"/>
      <c r="SNW237"/>
      <c r="SNX237"/>
      <c r="SNY237"/>
      <c r="SNZ237"/>
      <c r="SOA237"/>
      <c r="SOB237"/>
      <c r="SOC237"/>
      <c r="SOD237"/>
      <c r="SOE237"/>
      <c r="SOF237"/>
      <c r="SOG237"/>
      <c r="SOH237"/>
      <c r="SOI237"/>
      <c r="SOJ237"/>
      <c r="SOK237"/>
      <c r="SOL237"/>
      <c r="SOM237"/>
      <c r="SON237"/>
      <c r="SOO237"/>
      <c r="SOP237"/>
      <c r="SOQ237"/>
      <c r="SOR237"/>
      <c r="SOS237"/>
      <c r="SOT237"/>
      <c r="SOU237"/>
      <c r="SOV237"/>
      <c r="SOW237"/>
      <c r="SOX237"/>
      <c r="SOY237"/>
      <c r="SOZ237"/>
      <c r="SPA237"/>
      <c r="SPB237"/>
      <c r="SPC237"/>
      <c r="SPD237"/>
      <c r="SPE237"/>
      <c r="SPF237"/>
      <c r="SPG237"/>
      <c r="SPH237"/>
      <c r="SPI237"/>
      <c r="SPJ237"/>
      <c r="SPK237"/>
      <c r="SPL237"/>
      <c r="SPM237"/>
      <c r="SPN237"/>
      <c r="SPO237"/>
      <c r="SPP237"/>
      <c r="SPQ237"/>
      <c r="SPR237"/>
      <c r="SPS237"/>
      <c r="SPT237"/>
      <c r="SPU237"/>
      <c r="SPV237"/>
      <c r="SPW237"/>
      <c r="SPX237"/>
      <c r="SPY237"/>
      <c r="SPZ237"/>
      <c r="SQA237"/>
      <c r="SQB237"/>
      <c r="SQC237"/>
      <c r="SQD237"/>
      <c r="SQE237"/>
      <c r="SQF237"/>
      <c r="SQG237"/>
      <c r="SQH237"/>
      <c r="SQI237"/>
      <c r="SQJ237"/>
      <c r="SQK237"/>
      <c r="SQL237"/>
      <c r="SQM237"/>
      <c r="SQN237"/>
      <c r="SQO237"/>
      <c r="SQP237"/>
      <c r="SQQ237"/>
      <c r="SQR237"/>
      <c r="SQS237"/>
      <c r="SQT237"/>
      <c r="SQU237"/>
      <c r="SQV237"/>
      <c r="SQW237"/>
      <c r="SQX237"/>
      <c r="SQY237"/>
      <c r="SQZ237"/>
      <c r="SRA237"/>
      <c r="SRB237"/>
      <c r="SRC237"/>
      <c r="SRD237"/>
      <c r="SRE237"/>
      <c r="SRF237"/>
      <c r="SRG237"/>
      <c r="SRH237"/>
      <c r="SRI237"/>
      <c r="SRJ237"/>
      <c r="SRK237"/>
      <c r="SRL237"/>
      <c r="SRM237"/>
      <c r="SRN237"/>
      <c r="SRO237"/>
      <c r="SRP237"/>
      <c r="SRQ237"/>
      <c r="SRR237"/>
      <c r="SRS237"/>
      <c r="SRT237"/>
      <c r="SRU237"/>
      <c r="SRV237"/>
      <c r="SRW237"/>
      <c r="SRX237"/>
      <c r="SRY237"/>
      <c r="SRZ237"/>
      <c r="SSA237"/>
      <c r="SSB237"/>
      <c r="SSC237"/>
      <c r="SSD237"/>
      <c r="SSE237"/>
      <c r="SSF237"/>
      <c r="SSG237"/>
      <c r="SSH237"/>
      <c r="SSI237"/>
      <c r="SSJ237"/>
      <c r="SSK237"/>
      <c r="SSL237"/>
      <c r="SSM237"/>
      <c r="SSN237"/>
      <c r="SSO237"/>
      <c r="SSP237"/>
      <c r="SSQ237"/>
      <c r="SSR237"/>
      <c r="SSS237"/>
      <c r="SST237"/>
      <c r="SSU237"/>
      <c r="SSV237"/>
      <c r="SSW237"/>
      <c r="SSX237"/>
      <c r="SSY237"/>
      <c r="SSZ237"/>
      <c r="STA237"/>
      <c r="STB237"/>
      <c r="STC237"/>
      <c r="STD237"/>
      <c r="STE237"/>
      <c r="STF237"/>
      <c r="STG237"/>
      <c r="STH237"/>
      <c r="STI237"/>
      <c r="STJ237"/>
      <c r="STK237"/>
      <c r="STL237"/>
      <c r="STM237"/>
      <c r="STN237"/>
      <c r="STO237"/>
      <c r="STP237"/>
      <c r="STQ237"/>
      <c r="STR237"/>
      <c r="STS237"/>
      <c r="STT237"/>
      <c r="STU237"/>
      <c r="STV237"/>
      <c r="STW237"/>
      <c r="STX237"/>
      <c r="STY237"/>
      <c r="STZ237"/>
      <c r="SUA237"/>
      <c r="SUB237"/>
      <c r="SUC237"/>
      <c r="SUD237"/>
      <c r="SUE237"/>
      <c r="SUF237"/>
      <c r="SUG237"/>
      <c r="SUH237"/>
      <c r="SUI237"/>
      <c r="SUJ237"/>
      <c r="SUK237"/>
      <c r="SUL237"/>
      <c r="SUM237"/>
      <c r="SUN237"/>
      <c r="SUO237"/>
      <c r="SUP237"/>
      <c r="SUQ237"/>
      <c r="SUR237"/>
      <c r="SUS237"/>
      <c r="SUT237"/>
      <c r="SUU237"/>
      <c r="SUV237"/>
      <c r="SUW237"/>
      <c r="SUX237"/>
      <c r="SUY237"/>
      <c r="SUZ237"/>
      <c r="SVA237"/>
      <c r="SVB237"/>
      <c r="SVC237"/>
      <c r="SVD237"/>
      <c r="SVE237"/>
      <c r="SVF237"/>
      <c r="SVG237"/>
      <c r="SVH237"/>
      <c r="SVI237"/>
      <c r="SVJ237"/>
      <c r="SVK237"/>
      <c r="SVL237"/>
      <c r="SVM237"/>
      <c r="SVN237"/>
      <c r="SVO237"/>
      <c r="SVP237"/>
      <c r="SVQ237"/>
      <c r="SVR237"/>
      <c r="SVS237"/>
      <c r="SVT237"/>
      <c r="SVU237"/>
      <c r="SVV237"/>
      <c r="SVW237"/>
      <c r="SVX237"/>
      <c r="SVY237"/>
      <c r="SVZ237"/>
      <c r="SWA237"/>
      <c r="SWB237"/>
      <c r="SWC237"/>
      <c r="SWD237"/>
      <c r="SWE237"/>
      <c r="SWF237"/>
      <c r="SWG237"/>
      <c r="SWH237"/>
      <c r="SWI237"/>
      <c r="SWJ237"/>
      <c r="SWK237"/>
      <c r="SWL237"/>
      <c r="SWM237"/>
      <c r="SWN237"/>
      <c r="SWO237"/>
      <c r="SWP237"/>
      <c r="SWQ237"/>
      <c r="SWR237"/>
      <c r="SWS237"/>
      <c r="SWT237"/>
      <c r="SWU237"/>
      <c r="SWV237"/>
      <c r="SWW237"/>
      <c r="SWX237"/>
      <c r="SWY237"/>
      <c r="SWZ237"/>
      <c r="SXA237"/>
      <c r="SXB237"/>
      <c r="SXC237"/>
      <c r="SXD237"/>
      <c r="SXE237"/>
      <c r="SXF237"/>
      <c r="SXG237"/>
      <c r="SXH237"/>
      <c r="SXI237"/>
      <c r="SXJ237"/>
      <c r="SXK237"/>
      <c r="SXL237"/>
      <c r="SXM237"/>
      <c r="SXN237"/>
      <c r="SXO237"/>
      <c r="SXP237"/>
      <c r="SXQ237"/>
      <c r="SXR237"/>
      <c r="SXS237"/>
      <c r="SXT237"/>
      <c r="SXU237"/>
      <c r="SXV237"/>
      <c r="SXW237"/>
      <c r="SXX237"/>
      <c r="SXY237"/>
      <c r="SXZ237"/>
      <c r="SYA237"/>
      <c r="SYB237"/>
      <c r="SYC237"/>
      <c r="SYD237"/>
      <c r="SYE237"/>
      <c r="SYF237"/>
      <c r="SYG237"/>
      <c r="SYH237"/>
      <c r="SYI237"/>
      <c r="SYJ237"/>
      <c r="SYK237"/>
      <c r="SYL237"/>
      <c r="SYM237"/>
      <c r="SYN237"/>
      <c r="SYO237"/>
      <c r="SYP237"/>
      <c r="SYQ237"/>
      <c r="SYR237"/>
      <c r="SYS237"/>
      <c r="SYT237"/>
      <c r="SYU237"/>
      <c r="SYV237"/>
      <c r="SYW237"/>
      <c r="SYX237"/>
      <c r="SYY237"/>
      <c r="SYZ237"/>
      <c r="SZA237"/>
      <c r="SZB237"/>
      <c r="SZC237"/>
      <c r="SZD237"/>
      <c r="SZE237"/>
      <c r="SZF237"/>
      <c r="SZG237"/>
      <c r="SZH237"/>
      <c r="SZI237"/>
      <c r="SZJ237"/>
      <c r="SZK237"/>
      <c r="SZL237"/>
      <c r="SZM237"/>
      <c r="SZN237"/>
      <c r="SZO237"/>
      <c r="SZP237"/>
      <c r="SZQ237"/>
      <c r="SZR237"/>
      <c r="SZS237"/>
      <c r="SZT237"/>
      <c r="SZU237"/>
      <c r="SZV237"/>
      <c r="SZW237"/>
      <c r="SZX237"/>
      <c r="SZY237"/>
      <c r="SZZ237"/>
      <c r="TAA237"/>
      <c r="TAB237"/>
      <c r="TAC237"/>
      <c r="TAD237"/>
      <c r="TAE237"/>
      <c r="TAF237"/>
      <c r="TAG237"/>
      <c r="TAH237"/>
      <c r="TAI237"/>
      <c r="TAJ237"/>
      <c r="TAK237"/>
      <c r="TAL237"/>
      <c r="TAM237"/>
      <c r="TAN237"/>
      <c r="TAO237"/>
      <c r="TAP237"/>
      <c r="TAQ237"/>
      <c r="TAR237"/>
      <c r="TAS237"/>
      <c r="TAT237"/>
      <c r="TAU237"/>
      <c r="TAV237"/>
      <c r="TAW237"/>
      <c r="TAX237"/>
      <c r="TAY237"/>
      <c r="TAZ237"/>
      <c r="TBA237"/>
      <c r="TBB237"/>
      <c r="TBC237"/>
      <c r="TBD237"/>
      <c r="TBE237"/>
      <c r="TBF237"/>
      <c r="TBG237"/>
      <c r="TBH237"/>
      <c r="TBI237"/>
      <c r="TBJ237"/>
      <c r="TBK237"/>
      <c r="TBL237"/>
      <c r="TBM237"/>
      <c r="TBN237"/>
      <c r="TBO237"/>
      <c r="TBP237"/>
      <c r="TBQ237"/>
      <c r="TBR237"/>
      <c r="TBS237"/>
      <c r="TBT237"/>
      <c r="TBU237"/>
      <c r="TBV237"/>
      <c r="TBW237"/>
      <c r="TBX237"/>
      <c r="TBY237"/>
      <c r="TBZ237"/>
      <c r="TCA237"/>
      <c r="TCB237"/>
      <c r="TCC237"/>
      <c r="TCD237"/>
      <c r="TCE237"/>
      <c r="TCF237"/>
      <c r="TCG237"/>
      <c r="TCH237"/>
      <c r="TCI237"/>
      <c r="TCJ237"/>
      <c r="TCK237"/>
      <c r="TCL237"/>
      <c r="TCM237"/>
      <c r="TCN237"/>
      <c r="TCO237"/>
      <c r="TCP237"/>
      <c r="TCQ237"/>
      <c r="TCR237"/>
      <c r="TCS237"/>
      <c r="TCT237"/>
      <c r="TCU237"/>
      <c r="TCV237"/>
      <c r="TCW237"/>
      <c r="TCX237"/>
      <c r="TCY237"/>
      <c r="TCZ237"/>
      <c r="TDA237"/>
      <c r="TDB237"/>
      <c r="TDC237"/>
      <c r="TDD237"/>
      <c r="TDE237"/>
      <c r="TDF237"/>
      <c r="TDG237"/>
      <c r="TDH237"/>
      <c r="TDI237"/>
      <c r="TDJ237"/>
      <c r="TDK237"/>
      <c r="TDL237"/>
      <c r="TDM237"/>
      <c r="TDN237"/>
      <c r="TDO237"/>
      <c r="TDP237"/>
      <c r="TDQ237"/>
      <c r="TDR237"/>
      <c r="TDS237"/>
      <c r="TDT237"/>
      <c r="TDU237"/>
      <c r="TDV237"/>
      <c r="TDW237"/>
      <c r="TDX237"/>
      <c r="TDY237"/>
      <c r="TDZ237"/>
      <c r="TEA237"/>
      <c r="TEB237"/>
      <c r="TEC237"/>
      <c r="TED237"/>
      <c r="TEE237"/>
      <c r="TEF237"/>
      <c r="TEG237"/>
      <c r="TEH237"/>
      <c r="TEI237"/>
      <c r="TEJ237"/>
      <c r="TEK237"/>
      <c r="TEL237"/>
      <c r="TEM237"/>
      <c r="TEN237"/>
      <c r="TEO237"/>
      <c r="TEP237"/>
      <c r="TEQ237"/>
      <c r="TER237"/>
      <c r="TES237"/>
      <c r="TET237"/>
      <c r="TEU237"/>
      <c r="TEV237"/>
      <c r="TEW237"/>
      <c r="TEX237"/>
      <c r="TEY237"/>
      <c r="TEZ237"/>
      <c r="TFA237"/>
      <c r="TFB237"/>
      <c r="TFC237"/>
      <c r="TFD237"/>
      <c r="TFE237"/>
      <c r="TFF237"/>
      <c r="TFG237"/>
      <c r="TFH237"/>
      <c r="TFI237"/>
      <c r="TFJ237"/>
      <c r="TFK237"/>
      <c r="TFL237"/>
      <c r="TFM237"/>
      <c r="TFN237"/>
      <c r="TFO237"/>
      <c r="TFP237"/>
      <c r="TFQ237"/>
      <c r="TFR237"/>
      <c r="TFS237"/>
      <c r="TFT237"/>
      <c r="TFU237"/>
      <c r="TFV237"/>
      <c r="TFW237"/>
      <c r="TFX237"/>
      <c r="TFY237"/>
      <c r="TFZ237"/>
      <c r="TGA237"/>
      <c r="TGB237"/>
      <c r="TGC237"/>
      <c r="TGD237"/>
      <c r="TGE237"/>
      <c r="TGF237"/>
      <c r="TGG237"/>
      <c r="TGH237"/>
      <c r="TGI237"/>
      <c r="TGJ237"/>
      <c r="TGK237"/>
      <c r="TGL237"/>
      <c r="TGM237"/>
      <c r="TGN237"/>
      <c r="TGO237"/>
      <c r="TGP237"/>
      <c r="TGQ237"/>
      <c r="TGR237"/>
      <c r="TGS237"/>
      <c r="TGT237"/>
      <c r="TGU237"/>
      <c r="TGV237"/>
      <c r="TGW237"/>
      <c r="TGX237"/>
      <c r="TGY237"/>
      <c r="TGZ237"/>
      <c r="THA237"/>
      <c r="THB237"/>
      <c r="THC237"/>
      <c r="THD237"/>
      <c r="THE237"/>
      <c r="THF237"/>
      <c r="THG237"/>
      <c r="THH237"/>
      <c r="THI237"/>
      <c r="THJ237"/>
      <c r="THK237"/>
      <c r="THL237"/>
      <c r="THM237"/>
      <c r="THN237"/>
      <c r="THO237"/>
      <c r="THP237"/>
      <c r="THQ237"/>
      <c r="THR237"/>
      <c r="THS237"/>
      <c r="THT237"/>
      <c r="THU237"/>
      <c r="THV237"/>
      <c r="THW237"/>
      <c r="THX237"/>
      <c r="THY237"/>
      <c r="THZ237"/>
      <c r="TIA237"/>
      <c r="TIB237"/>
      <c r="TIC237"/>
      <c r="TID237"/>
      <c r="TIE237"/>
      <c r="TIF237"/>
      <c r="TIG237"/>
      <c r="TIH237"/>
      <c r="TII237"/>
      <c r="TIJ237"/>
      <c r="TIK237"/>
      <c r="TIL237"/>
      <c r="TIM237"/>
      <c r="TIN237"/>
      <c r="TIO237"/>
      <c r="TIP237"/>
      <c r="TIQ237"/>
      <c r="TIR237"/>
      <c r="TIS237"/>
      <c r="TIT237"/>
      <c r="TIU237"/>
      <c r="TIV237"/>
      <c r="TIW237"/>
      <c r="TIX237"/>
      <c r="TIY237"/>
      <c r="TIZ237"/>
      <c r="TJA237"/>
      <c r="TJB237"/>
      <c r="TJC237"/>
      <c r="TJD237"/>
      <c r="TJE237"/>
      <c r="TJF237"/>
      <c r="TJG237"/>
      <c r="TJH237"/>
      <c r="TJI237"/>
      <c r="TJJ237"/>
      <c r="TJK237"/>
      <c r="TJL237"/>
      <c r="TJM237"/>
      <c r="TJN237"/>
      <c r="TJO237"/>
      <c r="TJP237"/>
      <c r="TJQ237"/>
      <c r="TJR237"/>
      <c r="TJS237"/>
      <c r="TJT237"/>
      <c r="TJU237"/>
      <c r="TJV237"/>
      <c r="TJW237"/>
      <c r="TJX237"/>
      <c r="TJY237"/>
      <c r="TJZ237"/>
      <c r="TKA237"/>
      <c r="TKB237"/>
      <c r="TKC237"/>
      <c r="TKD237"/>
      <c r="TKE237"/>
      <c r="TKF237"/>
      <c r="TKG237"/>
      <c r="TKH237"/>
      <c r="TKI237"/>
      <c r="TKJ237"/>
      <c r="TKK237"/>
      <c r="TKL237"/>
      <c r="TKM237"/>
      <c r="TKN237"/>
      <c r="TKO237"/>
      <c r="TKP237"/>
      <c r="TKQ237"/>
      <c r="TKR237"/>
      <c r="TKS237"/>
      <c r="TKT237"/>
      <c r="TKU237"/>
      <c r="TKV237"/>
      <c r="TKW237"/>
      <c r="TKX237"/>
      <c r="TKY237"/>
      <c r="TKZ237"/>
      <c r="TLA237"/>
      <c r="TLB237"/>
      <c r="TLC237"/>
      <c r="TLD237"/>
      <c r="TLE237"/>
      <c r="TLF237"/>
      <c r="TLG237"/>
      <c r="TLH237"/>
      <c r="TLI237"/>
      <c r="TLJ237"/>
      <c r="TLK237"/>
      <c r="TLL237"/>
      <c r="TLM237"/>
      <c r="TLN237"/>
      <c r="TLO237"/>
      <c r="TLP237"/>
      <c r="TLQ237"/>
      <c r="TLR237"/>
      <c r="TLS237"/>
      <c r="TLT237"/>
      <c r="TLU237"/>
      <c r="TLV237"/>
      <c r="TLW237"/>
      <c r="TLX237"/>
      <c r="TLY237"/>
      <c r="TLZ237"/>
      <c r="TMA237"/>
      <c r="TMB237"/>
      <c r="TMC237"/>
      <c r="TMD237"/>
      <c r="TME237"/>
      <c r="TMF237"/>
      <c r="TMG237"/>
      <c r="TMH237"/>
      <c r="TMI237"/>
      <c r="TMJ237"/>
      <c r="TMK237"/>
      <c r="TML237"/>
      <c r="TMM237"/>
      <c r="TMN237"/>
      <c r="TMO237"/>
      <c r="TMP237"/>
      <c r="TMQ237"/>
      <c r="TMR237"/>
      <c r="TMS237"/>
      <c r="TMT237"/>
      <c r="TMU237"/>
      <c r="TMV237"/>
      <c r="TMW237"/>
      <c r="TMX237"/>
      <c r="TMY237"/>
      <c r="TMZ237"/>
      <c r="TNA237"/>
      <c r="TNB237"/>
      <c r="TNC237"/>
      <c r="TND237"/>
      <c r="TNE237"/>
      <c r="TNF237"/>
      <c r="TNG237"/>
      <c r="TNH237"/>
      <c r="TNI237"/>
      <c r="TNJ237"/>
      <c r="TNK237"/>
      <c r="TNL237"/>
      <c r="TNM237"/>
      <c r="TNN237"/>
      <c r="TNO237"/>
      <c r="TNP237"/>
      <c r="TNQ237"/>
      <c r="TNR237"/>
      <c r="TNS237"/>
      <c r="TNT237"/>
      <c r="TNU237"/>
      <c r="TNV237"/>
      <c r="TNW237"/>
      <c r="TNX237"/>
      <c r="TNY237"/>
      <c r="TNZ237"/>
      <c r="TOA237"/>
      <c r="TOB237"/>
      <c r="TOC237"/>
      <c r="TOD237"/>
      <c r="TOE237"/>
      <c r="TOF237"/>
      <c r="TOG237"/>
      <c r="TOH237"/>
      <c r="TOI237"/>
      <c r="TOJ237"/>
      <c r="TOK237"/>
      <c r="TOL237"/>
      <c r="TOM237"/>
      <c r="TON237"/>
      <c r="TOO237"/>
      <c r="TOP237"/>
      <c r="TOQ237"/>
      <c r="TOR237"/>
      <c r="TOS237"/>
      <c r="TOT237"/>
      <c r="TOU237"/>
      <c r="TOV237"/>
      <c r="TOW237"/>
      <c r="TOX237"/>
      <c r="TOY237"/>
      <c r="TOZ237"/>
      <c r="TPA237"/>
      <c r="TPB237"/>
      <c r="TPC237"/>
      <c r="TPD237"/>
      <c r="TPE237"/>
      <c r="TPF237"/>
      <c r="TPG237"/>
      <c r="TPH237"/>
      <c r="TPI237"/>
      <c r="TPJ237"/>
      <c r="TPK237"/>
      <c r="TPL237"/>
      <c r="TPM237"/>
      <c r="TPN237"/>
      <c r="TPO237"/>
      <c r="TPP237"/>
      <c r="TPQ237"/>
      <c r="TPR237"/>
      <c r="TPS237"/>
      <c r="TPT237"/>
      <c r="TPU237"/>
      <c r="TPV237"/>
      <c r="TPW237"/>
      <c r="TPX237"/>
      <c r="TPY237"/>
      <c r="TPZ237"/>
      <c r="TQA237"/>
      <c r="TQB237"/>
      <c r="TQC237"/>
      <c r="TQD237"/>
      <c r="TQE237"/>
      <c r="TQF237"/>
      <c r="TQG237"/>
      <c r="TQH237"/>
      <c r="TQI237"/>
      <c r="TQJ237"/>
      <c r="TQK237"/>
      <c r="TQL237"/>
      <c r="TQM237"/>
      <c r="TQN237"/>
      <c r="TQO237"/>
      <c r="TQP237"/>
      <c r="TQQ237"/>
      <c r="TQR237"/>
      <c r="TQS237"/>
      <c r="TQT237"/>
      <c r="TQU237"/>
      <c r="TQV237"/>
      <c r="TQW237"/>
      <c r="TQX237"/>
      <c r="TQY237"/>
      <c r="TQZ237"/>
      <c r="TRA237"/>
      <c r="TRB237"/>
      <c r="TRC237"/>
      <c r="TRD237"/>
      <c r="TRE237"/>
      <c r="TRF237"/>
      <c r="TRG237"/>
      <c r="TRH237"/>
      <c r="TRI237"/>
      <c r="TRJ237"/>
      <c r="TRK237"/>
      <c r="TRL237"/>
      <c r="TRM237"/>
      <c r="TRN237"/>
      <c r="TRO237"/>
      <c r="TRP237"/>
      <c r="TRQ237"/>
      <c r="TRR237"/>
      <c r="TRS237"/>
      <c r="TRT237"/>
      <c r="TRU237"/>
      <c r="TRV237"/>
      <c r="TRW237"/>
      <c r="TRX237"/>
      <c r="TRY237"/>
      <c r="TRZ237"/>
      <c r="TSA237"/>
      <c r="TSB237"/>
      <c r="TSC237"/>
      <c r="TSD237"/>
      <c r="TSE237"/>
      <c r="TSF237"/>
      <c r="TSG237"/>
      <c r="TSH237"/>
      <c r="TSI237"/>
      <c r="TSJ237"/>
      <c r="TSK237"/>
      <c r="TSL237"/>
      <c r="TSM237"/>
      <c r="TSN237"/>
      <c r="TSO237"/>
      <c r="TSP237"/>
      <c r="TSQ237"/>
      <c r="TSR237"/>
      <c r="TSS237"/>
      <c r="TST237"/>
      <c r="TSU237"/>
      <c r="TSV237"/>
      <c r="TSW237"/>
      <c r="TSX237"/>
      <c r="TSY237"/>
      <c r="TSZ237"/>
      <c r="TTA237"/>
      <c r="TTB237"/>
      <c r="TTC237"/>
      <c r="TTD237"/>
      <c r="TTE237"/>
      <c r="TTF237"/>
      <c r="TTG237"/>
      <c r="TTH237"/>
      <c r="TTI237"/>
      <c r="TTJ237"/>
      <c r="TTK237"/>
      <c r="TTL237"/>
      <c r="TTM237"/>
      <c r="TTN237"/>
      <c r="TTO237"/>
      <c r="TTP237"/>
      <c r="TTQ237"/>
      <c r="TTR237"/>
      <c r="TTS237"/>
      <c r="TTT237"/>
      <c r="TTU237"/>
      <c r="TTV237"/>
      <c r="TTW237"/>
      <c r="TTX237"/>
      <c r="TTY237"/>
      <c r="TTZ237"/>
      <c r="TUA237"/>
      <c r="TUB237"/>
      <c r="TUC237"/>
      <c r="TUD237"/>
      <c r="TUE237"/>
      <c r="TUF237"/>
      <c r="TUG237"/>
      <c r="TUH237"/>
      <c r="TUI237"/>
      <c r="TUJ237"/>
      <c r="TUK237"/>
      <c r="TUL237"/>
      <c r="TUM237"/>
      <c r="TUN237"/>
      <c r="TUO237"/>
      <c r="TUP237"/>
      <c r="TUQ237"/>
      <c r="TUR237"/>
      <c r="TUS237"/>
      <c r="TUT237"/>
      <c r="TUU237"/>
      <c r="TUV237"/>
      <c r="TUW237"/>
      <c r="TUX237"/>
      <c r="TUY237"/>
      <c r="TUZ237"/>
      <c r="TVA237"/>
      <c r="TVB237"/>
      <c r="TVC237"/>
      <c r="TVD237"/>
      <c r="TVE237"/>
      <c r="TVF237"/>
      <c r="TVG237"/>
      <c r="TVH237"/>
      <c r="TVI237"/>
      <c r="TVJ237"/>
      <c r="TVK237"/>
      <c r="TVL237"/>
      <c r="TVM237"/>
      <c r="TVN237"/>
      <c r="TVO237"/>
      <c r="TVP237"/>
      <c r="TVQ237"/>
      <c r="TVR237"/>
      <c r="TVS237"/>
      <c r="TVT237"/>
      <c r="TVU237"/>
      <c r="TVV237"/>
      <c r="TVW237"/>
      <c r="TVX237"/>
      <c r="TVY237"/>
      <c r="TVZ237"/>
      <c r="TWA237"/>
      <c r="TWB237"/>
      <c r="TWC237"/>
      <c r="TWD237"/>
      <c r="TWE237"/>
      <c r="TWF237"/>
      <c r="TWG237"/>
      <c r="TWH237"/>
      <c r="TWI237"/>
      <c r="TWJ237"/>
      <c r="TWK237"/>
      <c r="TWL237"/>
      <c r="TWM237"/>
      <c r="TWN237"/>
      <c r="TWO237"/>
      <c r="TWP237"/>
      <c r="TWQ237"/>
      <c r="TWR237"/>
      <c r="TWS237"/>
      <c r="TWT237"/>
      <c r="TWU237"/>
      <c r="TWV237"/>
      <c r="TWW237"/>
      <c r="TWX237"/>
      <c r="TWY237"/>
      <c r="TWZ237"/>
      <c r="TXA237"/>
      <c r="TXB237"/>
      <c r="TXC237"/>
      <c r="TXD237"/>
      <c r="TXE237"/>
      <c r="TXF237"/>
      <c r="TXG237"/>
      <c r="TXH237"/>
      <c r="TXI237"/>
      <c r="TXJ237"/>
      <c r="TXK237"/>
      <c r="TXL237"/>
      <c r="TXM237"/>
      <c r="TXN237"/>
      <c r="TXO237"/>
      <c r="TXP237"/>
      <c r="TXQ237"/>
      <c r="TXR237"/>
      <c r="TXS237"/>
      <c r="TXT237"/>
      <c r="TXU237"/>
      <c r="TXV237"/>
      <c r="TXW237"/>
      <c r="TXX237"/>
      <c r="TXY237"/>
      <c r="TXZ237"/>
      <c r="TYA237"/>
      <c r="TYB237"/>
      <c r="TYC237"/>
      <c r="TYD237"/>
      <c r="TYE237"/>
      <c r="TYF237"/>
      <c r="TYG237"/>
      <c r="TYH237"/>
      <c r="TYI237"/>
      <c r="TYJ237"/>
      <c r="TYK237"/>
      <c r="TYL237"/>
      <c r="TYM237"/>
      <c r="TYN237"/>
      <c r="TYO237"/>
      <c r="TYP237"/>
      <c r="TYQ237"/>
      <c r="TYR237"/>
      <c r="TYS237"/>
      <c r="TYT237"/>
      <c r="TYU237"/>
      <c r="TYV237"/>
      <c r="TYW237"/>
      <c r="TYX237"/>
      <c r="TYY237"/>
      <c r="TYZ237"/>
      <c r="TZA237"/>
      <c r="TZB237"/>
      <c r="TZC237"/>
      <c r="TZD237"/>
      <c r="TZE237"/>
      <c r="TZF237"/>
      <c r="TZG237"/>
      <c r="TZH237"/>
      <c r="TZI237"/>
      <c r="TZJ237"/>
      <c r="TZK237"/>
      <c r="TZL237"/>
      <c r="TZM237"/>
      <c r="TZN237"/>
      <c r="TZO237"/>
      <c r="TZP237"/>
      <c r="TZQ237"/>
      <c r="TZR237"/>
      <c r="TZS237"/>
      <c r="TZT237"/>
      <c r="TZU237"/>
      <c r="TZV237"/>
      <c r="TZW237"/>
      <c r="TZX237"/>
      <c r="TZY237"/>
      <c r="TZZ237"/>
      <c r="UAA237"/>
      <c r="UAB237"/>
      <c r="UAC237"/>
      <c r="UAD237"/>
      <c r="UAE237"/>
      <c r="UAF237"/>
      <c r="UAG237"/>
      <c r="UAH237"/>
      <c r="UAI237"/>
      <c r="UAJ237"/>
      <c r="UAK237"/>
      <c r="UAL237"/>
      <c r="UAM237"/>
      <c r="UAN237"/>
      <c r="UAO237"/>
      <c r="UAP237"/>
      <c r="UAQ237"/>
      <c r="UAR237"/>
      <c r="UAS237"/>
      <c r="UAT237"/>
      <c r="UAU237"/>
      <c r="UAV237"/>
      <c r="UAW237"/>
      <c r="UAX237"/>
      <c r="UAY237"/>
      <c r="UAZ237"/>
      <c r="UBA237"/>
      <c r="UBB237"/>
      <c r="UBC237"/>
      <c r="UBD237"/>
      <c r="UBE237"/>
      <c r="UBF237"/>
      <c r="UBG237"/>
      <c r="UBH237"/>
      <c r="UBI237"/>
      <c r="UBJ237"/>
      <c r="UBK237"/>
      <c r="UBL237"/>
      <c r="UBM237"/>
      <c r="UBN237"/>
      <c r="UBO237"/>
      <c r="UBP237"/>
      <c r="UBQ237"/>
      <c r="UBR237"/>
      <c r="UBS237"/>
      <c r="UBT237"/>
      <c r="UBU237"/>
      <c r="UBV237"/>
      <c r="UBW237"/>
      <c r="UBX237"/>
      <c r="UBY237"/>
      <c r="UBZ237"/>
      <c r="UCA237"/>
      <c r="UCB237"/>
      <c r="UCC237"/>
      <c r="UCD237"/>
      <c r="UCE237"/>
      <c r="UCF237"/>
      <c r="UCG237"/>
      <c r="UCH237"/>
      <c r="UCI237"/>
      <c r="UCJ237"/>
      <c r="UCK237"/>
      <c r="UCL237"/>
      <c r="UCM237"/>
      <c r="UCN237"/>
      <c r="UCO237"/>
      <c r="UCP237"/>
      <c r="UCQ237"/>
      <c r="UCR237"/>
      <c r="UCS237"/>
      <c r="UCT237"/>
      <c r="UCU237"/>
      <c r="UCV237"/>
      <c r="UCW237"/>
      <c r="UCX237"/>
      <c r="UCY237"/>
      <c r="UCZ237"/>
      <c r="UDA237"/>
      <c r="UDB237"/>
      <c r="UDC237"/>
      <c r="UDD237"/>
      <c r="UDE237"/>
      <c r="UDF237"/>
      <c r="UDG237"/>
      <c r="UDH237"/>
      <c r="UDI237"/>
      <c r="UDJ237"/>
      <c r="UDK237"/>
      <c r="UDL237"/>
      <c r="UDM237"/>
      <c r="UDN237"/>
      <c r="UDO237"/>
      <c r="UDP237"/>
      <c r="UDQ237"/>
      <c r="UDR237"/>
      <c r="UDS237"/>
      <c r="UDT237"/>
      <c r="UDU237"/>
      <c r="UDV237"/>
      <c r="UDW237"/>
      <c r="UDX237"/>
      <c r="UDY237"/>
      <c r="UDZ237"/>
      <c r="UEA237"/>
      <c r="UEB237"/>
      <c r="UEC237"/>
      <c r="UED237"/>
      <c r="UEE237"/>
      <c r="UEF237"/>
      <c r="UEG237"/>
      <c r="UEH237"/>
      <c r="UEI237"/>
      <c r="UEJ237"/>
      <c r="UEK237"/>
      <c r="UEL237"/>
      <c r="UEM237"/>
      <c r="UEN237"/>
      <c r="UEO237"/>
      <c r="UEP237"/>
      <c r="UEQ237"/>
      <c r="UER237"/>
      <c r="UES237"/>
      <c r="UET237"/>
      <c r="UEU237"/>
      <c r="UEV237"/>
      <c r="UEW237"/>
      <c r="UEX237"/>
      <c r="UEY237"/>
      <c r="UEZ237"/>
      <c r="UFA237"/>
      <c r="UFB237"/>
      <c r="UFC237"/>
      <c r="UFD237"/>
      <c r="UFE237"/>
      <c r="UFF237"/>
      <c r="UFG237"/>
      <c r="UFH237"/>
      <c r="UFI237"/>
      <c r="UFJ237"/>
      <c r="UFK237"/>
      <c r="UFL237"/>
      <c r="UFM237"/>
      <c r="UFN237"/>
      <c r="UFO237"/>
      <c r="UFP237"/>
      <c r="UFQ237"/>
      <c r="UFR237"/>
      <c r="UFS237"/>
      <c r="UFT237"/>
      <c r="UFU237"/>
      <c r="UFV237"/>
      <c r="UFW237"/>
      <c r="UFX237"/>
      <c r="UFY237"/>
      <c r="UFZ237"/>
      <c r="UGA237"/>
      <c r="UGB237"/>
      <c r="UGC237"/>
      <c r="UGD237"/>
      <c r="UGE237"/>
      <c r="UGF237"/>
      <c r="UGG237"/>
      <c r="UGH237"/>
      <c r="UGI237"/>
      <c r="UGJ237"/>
      <c r="UGK237"/>
      <c r="UGL237"/>
      <c r="UGM237"/>
      <c r="UGN237"/>
      <c r="UGO237"/>
      <c r="UGP237"/>
      <c r="UGQ237"/>
      <c r="UGR237"/>
      <c r="UGS237"/>
      <c r="UGT237"/>
      <c r="UGU237"/>
      <c r="UGV237"/>
      <c r="UGW237"/>
      <c r="UGX237"/>
      <c r="UGY237"/>
      <c r="UGZ237"/>
      <c r="UHA237"/>
      <c r="UHB237"/>
      <c r="UHC237"/>
      <c r="UHD237"/>
      <c r="UHE237"/>
      <c r="UHF237"/>
      <c r="UHG237"/>
      <c r="UHH237"/>
      <c r="UHI237"/>
      <c r="UHJ237"/>
      <c r="UHK237"/>
      <c r="UHL237"/>
      <c r="UHM237"/>
      <c r="UHN237"/>
      <c r="UHO237"/>
      <c r="UHP237"/>
      <c r="UHQ237"/>
      <c r="UHR237"/>
      <c r="UHS237"/>
      <c r="UHT237"/>
      <c r="UHU237"/>
      <c r="UHV237"/>
      <c r="UHW237"/>
      <c r="UHX237"/>
      <c r="UHY237"/>
      <c r="UHZ237"/>
      <c r="UIA237"/>
      <c r="UIB237"/>
      <c r="UIC237"/>
      <c r="UID237"/>
      <c r="UIE237"/>
      <c r="UIF237"/>
      <c r="UIG237"/>
      <c r="UIH237"/>
      <c r="UII237"/>
      <c r="UIJ237"/>
      <c r="UIK237"/>
      <c r="UIL237"/>
      <c r="UIM237"/>
      <c r="UIN237"/>
      <c r="UIO237"/>
      <c r="UIP237"/>
      <c r="UIQ237"/>
      <c r="UIR237"/>
      <c r="UIS237"/>
      <c r="UIT237"/>
      <c r="UIU237"/>
      <c r="UIV237"/>
      <c r="UIW237"/>
      <c r="UIX237"/>
      <c r="UIY237"/>
      <c r="UIZ237"/>
      <c r="UJA237"/>
      <c r="UJB237"/>
      <c r="UJC237"/>
      <c r="UJD237"/>
      <c r="UJE237"/>
      <c r="UJF237"/>
      <c r="UJG237"/>
      <c r="UJH237"/>
      <c r="UJI237"/>
      <c r="UJJ237"/>
      <c r="UJK237"/>
      <c r="UJL237"/>
      <c r="UJM237"/>
      <c r="UJN237"/>
      <c r="UJO237"/>
      <c r="UJP237"/>
      <c r="UJQ237"/>
      <c r="UJR237"/>
      <c r="UJS237"/>
      <c r="UJT237"/>
      <c r="UJU237"/>
      <c r="UJV237"/>
      <c r="UJW237"/>
      <c r="UJX237"/>
      <c r="UJY237"/>
      <c r="UJZ237"/>
      <c r="UKA237"/>
      <c r="UKB237"/>
      <c r="UKC237"/>
      <c r="UKD237"/>
      <c r="UKE237"/>
      <c r="UKF237"/>
      <c r="UKG237"/>
      <c r="UKH237"/>
      <c r="UKI237"/>
      <c r="UKJ237"/>
      <c r="UKK237"/>
      <c r="UKL237"/>
      <c r="UKM237"/>
      <c r="UKN237"/>
      <c r="UKO237"/>
      <c r="UKP237"/>
      <c r="UKQ237"/>
      <c r="UKR237"/>
      <c r="UKS237"/>
      <c r="UKT237"/>
      <c r="UKU237"/>
      <c r="UKV237"/>
      <c r="UKW237"/>
      <c r="UKX237"/>
      <c r="UKY237"/>
      <c r="UKZ237"/>
      <c r="ULA237"/>
      <c r="ULB237"/>
      <c r="ULC237"/>
      <c r="ULD237"/>
      <c r="ULE237"/>
      <c r="ULF237"/>
      <c r="ULG237"/>
      <c r="ULH237"/>
      <c r="ULI237"/>
      <c r="ULJ237"/>
      <c r="ULK237"/>
      <c r="ULL237"/>
      <c r="ULM237"/>
      <c r="ULN237"/>
      <c r="ULO237"/>
      <c r="ULP237"/>
      <c r="ULQ237"/>
      <c r="ULR237"/>
      <c r="ULS237"/>
      <c r="ULT237"/>
      <c r="ULU237"/>
      <c r="ULV237"/>
      <c r="ULW237"/>
      <c r="ULX237"/>
      <c r="ULY237"/>
      <c r="ULZ237"/>
      <c r="UMA237"/>
      <c r="UMB237"/>
      <c r="UMC237"/>
      <c r="UMD237"/>
      <c r="UME237"/>
      <c r="UMF237"/>
      <c r="UMG237"/>
      <c r="UMH237"/>
      <c r="UMI237"/>
      <c r="UMJ237"/>
      <c r="UMK237"/>
      <c r="UML237"/>
      <c r="UMM237"/>
      <c r="UMN237"/>
      <c r="UMO237"/>
      <c r="UMP237"/>
      <c r="UMQ237"/>
      <c r="UMR237"/>
      <c r="UMS237"/>
      <c r="UMT237"/>
      <c r="UMU237"/>
      <c r="UMV237"/>
      <c r="UMW237"/>
      <c r="UMX237"/>
      <c r="UMY237"/>
      <c r="UMZ237"/>
      <c r="UNA237"/>
      <c r="UNB237"/>
      <c r="UNC237"/>
      <c r="UND237"/>
      <c r="UNE237"/>
      <c r="UNF237"/>
      <c r="UNG237"/>
      <c r="UNH237"/>
      <c r="UNI237"/>
      <c r="UNJ237"/>
      <c r="UNK237"/>
      <c r="UNL237"/>
      <c r="UNM237"/>
      <c r="UNN237"/>
      <c r="UNO237"/>
      <c r="UNP237"/>
      <c r="UNQ237"/>
      <c r="UNR237"/>
      <c r="UNS237"/>
      <c r="UNT237"/>
      <c r="UNU237"/>
      <c r="UNV237"/>
      <c r="UNW237"/>
      <c r="UNX237"/>
      <c r="UNY237"/>
      <c r="UNZ237"/>
      <c r="UOA237"/>
      <c r="UOB237"/>
      <c r="UOC237"/>
      <c r="UOD237"/>
      <c r="UOE237"/>
      <c r="UOF237"/>
      <c r="UOG237"/>
      <c r="UOH237"/>
      <c r="UOI237"/>
      <c r="UOJ237"/>
      <c r="UOK237"/>
      <c r="UOL237"/>
      <c r="UOM237"/>
      <c r="UON237"/>
      <c r="UOO237"/>
      <c r="UOP237"/>
      <c r="UOQ237"/>
      <c r="UOR237"/>
      <c r="UOS237"/>
      <c r="UOT237"/>
      <c r="UOU237"/>
      <c r="UOV237"/>
      <c r="UOW237"/>
      <c r="UOX237"/>
      <c r="UOY237"/>
      <c r="UOZ237"/>
      <c r="UPA237"/>
      <c r="UPB237"/>
      <c r="UPC237"/>
      <c r="UPD237"/>
      <c r="UPE237"/>
      <c r="UPF237"/>
      <c r="UPG237"/>
      <c r="UPH237"/>
      <c r="UPI237"/>
      <c r="UPJ237"/>
      <c r="UPK237"/>
      <c r="UPL237"/>
      <c r="UPM237"/>
      <c r="UPN237"/>
      <c r="UPO237"/>
      <c r="UPP237"/>
      <c r="UPQ237"/>
      <c r="UPR237"/>
      <c r="UPS237"/>
      <c r="UPT237"/>
      <c r="UPU237"/>
      <c r="UPV237"/>
      <c r="UPW237"/>
      <c r="UPX237"/>
      <c r="UPY237"/>
      <c r="UPZ237"/>
      <c r="UQA237"/>
      <c r="UQB237"/>
      <c r="UQC237"/>
      <c r="UQD237"/>
      <c r="UQE237"/>
      <c r="UQF237"/>
      <c r="UQG237"/>
      <c r="UQH237"/>
      <c r="UQI237"/>
      <c r="UQJ237"/>
      <c r="UQK237"/>
      <c r="UQL237"/>
      <c r="UQM237"/>
      <c r="UQN237"/>
      <c r="UQO237"/>
      <c r="UQP237"/>
      <c r="UQQ237"/>
      <c r="UQR237"/>
      <c r="UQS237"/>
      <c r="UQT237"/>
      <c r="UQU237"/>
      <c r="UQV237"/>
      <c r="UQW237"/>
      <c r="UQX237"/>
      <c r="UQY237"/>
      <c r="UQZ237"/>
      <c r="URA237"/>
      <c r="URB237"/>
      <c r="URC237"/>
      <c r="URD237"/>
      <c r="URE237"/>
      <c r="URF237"/>
      <c r="URG237"/>
      <c r="URH237"/>
      <c r="URI237"/>
      <c r="URJ237"/>
      <c r="URK237"/>
      <c r="URL237"/>
      <c r="URM237"/>
      <c r="URN237"/>
      <c r="URO237"/>
      <c r="URP237"/>
      <c r="URQ237"/>
      <c r="URR237"/>
      <c r="URS237"/>
      <c r="URT237"/>
      <c r="URU237"/>
      <c r="URV237"/>
      <c r="URW237"/>
      <c r="URX237"/>
      <c r="URY237"/>
      <c r="URZ237"/>
      <c r="USA237"/>
      <c r="USB237"/>
      <c r="USC237"/>
      <c r="USD237"/>
      <c r="USE237"/>
      <c r="USF237"/>
      <c r="USG237"/>
      <c r="USH237"/>
      <c r="USI237"/>
      <c r="USJ237"/>
      <c r="USK237"/>
      <c r="USL237"/>
      <c r="USM237"/>
      <c r="USN237"/>
      <c r="USO237"/>
      <c r="USP237"/>
      <c r="USQ237"/>
      <c r="USR237"/>
      <c r="USS237"/>
      <c r="UST237"/>
      <c r="USU237"/>
      <c r="USV237"/>
      <c r="USW237"/>
      <c r="USX237"/>
      <c r="USY237"/>
      <c r="USZ237"/>
      <c r="UTA237"/>
      <c r="UTB237"/>
      <c r="UTC237"/>
      <c r="UTD237"/>
      <c r="UTE237"/>
      <c r="UTF237"/>
      <c r="UTG237"/>
      <c r="UTH237"/>
      <c r="UTI237"/>
      <c r="UTJ237"/>
      <c r="UTK237"/>
      <c r="UTL237"/>
      <c r="UTM237"/>
      <c r="UTN237"/>
      <c r="UTO237"/>
      <c r="UTP237"/>
      <c r="UTQ237"/>
      <c r="UTR237"/>
      <c r="UTS237"/>
      <c r="UTT237"/>
      <c r="UTU237"/>
      <c r="UTV237"/>
      <c r="UTW237"/>
      <c r="UTX237"/>
      <c r="UTY237"/>
      <c r="UTZ237"/>
      <c r="UUA237"/>
      <c r="UUB237"/>
      <c r="UUC237"/>
      <c r="UUD237"/>
      <c r="UUE237"/>
      <c r="UUF237"/>
      <c r="UUG237"/>
      <c r="UUH237"/>
      <c r="UUI237"/>
      <c r="UUJ237"/>
      <c r="UUK237"/>
      <c r="UUL237"/>
      <c r="UUM237"/>
      <c r="UUN237"/>
      <c r="UUO237"/>
      <c r="UUP237"/>
      <c r="UUQ237"/>
      <c r="UUR237"/>
      <c r="UUS237"/>
      <c r="UUT237"/>
      <c r="UUU237"/>
      <c r="UUV237"/>
      <c r="UUW237"/>
      <c r="UUX237"/>
      <c r="UUY237"/>
      <c r="UUZ237"/>
      <c r="UVA237"/>
      <c r="UVB237"/>
      <c r="UVC237"/>
      <c r="UVD237"/>
      <c r="UVE237"/>
      <c r="UVF237"/>
      <c r="UVG237"/>
      <c r="UVH237"/>
      <c r="UVI237"/>
      <c r="UVJ237"/>
      <c r="UVK237"/>
      <c r="UVL237"/>
      <c r="UVM237"/>
      <c r="UVN237"/>
      <c r="UVO237"/>
      <c r="UVP237"/>
      <c r="UVQ237"/>
      <c r="UVR237"/>
      <c r="UVS237"/>
      <c r="UVT237"/>
      <c r="UVU237"/>
      <c r="UVV237"/>
      <c r="UVW237"/>
      <c r="UVX237"/>
      <c r="UVY237"/>
      <c r="UVZ237"/>
      <c r="UWA237"/>
      <c r="UWB237"/>
      <c r="UWC237"/>
      <c r="UWD237"/>
      <c r="UWE237"/>
      <c r="UWF237"/>
      <c r="UWG237"/>
      <c r="UWH237"/>
      <c r="UWI237"/>
      <c r="UWJ237"/>
      <c r="UWK237"/>
      <c r="UWL237"/>
      <c r="UWM237"/>
      <c r="UWN237"/>
      <c r="UWO237"/>
      <c r="UWP237"/>
      <c r="UWQ237"/>
      <c r="UWR237"/>
      <c r="UWS237"/>
      <c r="UWT237"/>
      <c r="UWU237"/>
      <c r="UWV237"/>
      <c r="UWW237"/>
      <c r="UWX237"/>
      <c r="UWY237"/>
      <c r="UWZ237"/>
      <c r="UXA237"/>
      <c r="UXB237"/>
      <c r="UXC237"/>
      <c r="UXD237"/>
      <c r="UXE237"/>
      <c r="UXF237"/>
      <c r="UXG237"/>
      <c r="UXH237"/>
      <c r="UXI237"/>
      <c r="UXJ237"/>
      <c r="UXK237"/>
      <c r="UXL237"/>
      <c r="UXM237"/>
      <c r="UXN237"/>
      <c r="UXO237"/>
      <c r="UXP237"/>
      <c r="UXQ237"/>
      <c r="UXR237"/>
      <c r="UXS237"/>
      <c r="UXT237"/>
      <c r="UXU237"/>
      <c r="UXV237"/>
      <c r="UXW237"/>
      <c r="UXX237"/>
      <c r="UXY237"/>
      <c r="UXZ237"/>
      <c r="UYA237"/>
      <c r="UYB237"/>
      <c r="UYC237"/>
      <c r="UYD237"/>
      <c r="UYE237"/>
      <c r="UYF237"/>
      <c r="UYG237"/>
      <c r="UYH237"/>
      <c r="UYI237"/>
      <c r="UYJ237"/>
      <c r="UYK237"/>
      <c r="UYL237"/>
      <c r="UYM237"/>
      <c r="UYN237"/>
      <c r="UYO237"/>
      <c r="UYP237"/>
      <c r="UYQ237"/>
      <c r="UYR237"/>
      <c r="UYS237"/>
      <c r="UYT237"/>
      <c r="UYU237"/>
      <c r="UYV237"/>
      <c r="UYW237"/>
      <c r="UYX237"/>
      <c r="UYY237"/>
      <c r="UYZ237"/>
      <c r="UZA237"/>
      <c r="UZB237"/>
      <c r="UZC237"/>
      <c r="UZD237"/>
      <c r="UZE237"/>
      <c r="UZF237"/>
      <c r="UZG237"/>
      <c r="UZH237"/>
      <c r="UZI237"/>
      <c r="UZJ237"/>
      <c r="UZK237"/>
      <c r="UZL237"/>
      <c r="UZM237"/>
      <c r="UZN237"/>
      <c r="UZO237"/>
      <c r="UZP237"/>
      <c r="UZQ237"/>
      <c r="UZR237"/>
      <c r="UZS237"/>
      <c r="UZT237"/>
      <c r="UZU237"/>
      <c r="UZV237"/>
      <c r="UZW237"/>
      <c r="UZX237"/>
      <c r="UZY237"/>
      <c r="UZZ237"/>
      <c r="VAA237"/>
      <c r="VAB237"/>
      <c r="VAC237"/>
      <c r="VAD237"/>
      <c r="VAE237"/>
      <c r="VAF237"/>
      <c r="VAG237"/>
      <c r="VAH237"/>
      <c r="VAI237"/>
      <c r="VAJ237"/>
      <c r="VAK237"/>
      <c r="VAL237"/>
      <c r="VAM237"/>
      <c r="VAN237"/>
      <c r="VAO237"/>
      <c r="VAP237"/>
      <c r="VAQ237"/>
      <c r="VAR237"/>
      <c r="VAS237"/>
      <c r="VAT237"/>
      <c r="VAU237"/>
      <c r="VAV237"/>
      <c r="VAW237"/>
      <c r="VAX237"/>
      <c r="VAY237"/>
      <c r="VAZ237"/>
      <c r="VBA237"/>
      <c r="VBB237"/>
      <c r="VBC237"/>
      <c r="VBD237"/>
      <c r="VBE237"/>
      <c r="VBF237"/>
      <c r="VBG237"/>
      <c r="VBH237"/>
      <c r="VBI237"/>
      <c r="VBJ237"/>
      <c r="VBK237"/>
      <c r="VBL237"/>
      <c r="VBM237"/>
      <c r="VBN237"/>
      <c r="VBO237"/>
      <c r="VBP237"/>
      <c r="VBQ237"/>
      <c r="VBR237"/>
      <c r="VBS237"/>
      <c r="VBT237"/>
      <c r="VBU237"/>
      <c r="VBV237"/>
      <c r="VBW237"/>
      <c r="VBX237"/>
      <c r="VBY237"/>
      <c r="VBZ237"/>
      <c r="VCA237"/>
      <c r="VCB237"/>
      <c r="VCC237"/>
      <c r="VCD237"/>
      <c r="VCE237"/>
      <c r="VCF237"/>
      <c r="VCG237"/>
      <c r="VCH237"/>
      <c r="VCI237"/>
      <c r="VCJ237"/>
      <c r="VCK237"/>
      <c r="VCL237"/>
      <c r="VCM237"/>
      <c r="VCN237"/>
      <c r="VCO237"/>
      <c r="VCP237"/>
      <c r="VCQ237"/>
      <c r="VCR237"/>
      <c r="VCS237"/>
      <c r="VCT237"/>
      <c r="VCU237"/>
      <c r="VCV237"/>
      <c r="VCW237"/>
      <c r="VCX237"/>
      <c r="VCY237"/>
      <c r="VCZ237"/>
      <c r="VDA237"/>
      <c r="VDB237"/>
      <c r="VDC237"/>
      <c r="VDD237"/>
      <c r="VDE237"/>
      <c r="VDF237"/>
      <c r="VDG237"/>
      <c r="VDH237"/>
      <c r="VDI237"/>
      <c r="VDJ237"/>
      <c r="VDK237"/>
      <c r="VDL237"/>
      <c r="VDM237"/>
      <c r="VDN237"/>
      <c r="VDO237"/>
      <c r="VDP237"/>
      <c r="VDQ237"/>
      <c r="VDR237"/>
      <c r="VDS237"/>
      <c r="VDT237"/>
      <c r="VDU237"/>
      <c r="VDV237"/>
      <c r="VDW237"/>
      <c r="VDX237"/>
      <c r="VDY237"/>
      <c r="VDZ237"/>
      <c r="VEA237"/>
      <c r="VEB237"/>
      <c r="VEC237"/>
      <c r="VED237"/>
      <c r="VEE237"/>
      <c r="VEF237"/>
      <c r="VEG237"/>
      <c r="VEH237"/>
      <c r="VEI237"/>
      <c r="VEJ237"/>
      <c r="VEK237"/>
      <c r="VEL237"/>
      <c r="VEM237"/>
      <c r="VEN237"/>
      <c r="VEO237"/>
      <c r="VEP237"/>
      <c r="VEQ237"/>
      <c r="VER237"/>
      <c r="VES237"/>
      <c r="VET237"/>
      <c r="VEU237"/>
      <c r="VEV237"/>
      <c r="VEW237"/>
      <c r="VEX237"/>
      <c r="VEY237"/>
      <c r="VEZ237"/>
      <c r="VFA237"/>
      <c r="VFB237"/>
      <c r="VFC237"/>
      <c r="VFD237"/>
      <c r="VFE237"/>
      <c r="VFF237"/>
      <c r="VFG237"/>
      <c r="VFH237"/>
      <c r="VFI237"/>
      <c r="VFJ237"/>
      <c r="VFK237"/>
      <c r="VFL237"/>
      <c r="VFM237"/>
      <c r="VFN237"/>
      <c r="VFO237"/>
      <c r="VFP237"/>
      <c r="VFQ237"/>
      <c r="VFR237"/>
      <c r="VFS237"/>
      <c r="VFT237"/>
      <c r="VFU237"/>
      <c r="VFV237"/>
      <c r="VFW237"/>
      <c r="VFX237"/>
      <c r="VFY237"/>
      <c r="VFZ237"/>
      <c r="VGA237"/>
      <c r="VGB237"/>
      <c r="VGC237"/>
      <c r="VGD237"/>
      <c r="VGE237"/>
      <c r="VGF237"/>
      <c r="VGG237"/>
      <c r="VGH237"/>
      <c r="VGI237"/>
      <c r="VGJ237"/>
      <c r="VGK237"/>
      <c r="VGL237"/>
      <c r="VGM237"/>
      <c r="VGN237"/>
      <c r="VGO237"/>
      <c r="VGP237"/>
      <c r="VGQ237"/>
      <c r="VGR237"/>
      <c r="VGS237"/>
      <c r="VGT237"/>
      <c r="VGU237"/>
      <c r="VGV237"/>
      <c r="VGW237"/>
      <c r="VGX237"/>
      <c r="VGY237"/>
      <c r="VGZ237"/>
      <c r="VHA237"/>
      <c r="VHB237"/>
      <c r="VHC237"/>
      <c r="VHD237"/>
      <c r="VHE237"/>
      <c r="VHF237"/>
      <c r="VHG237"/>
      <c r="VHH237"/>
      <c r="VHI237"/>
      <c r="VHJ237"/>
      <c r="VHK237"/>
      <c r="VHL237"/>
      <c r="VHM237"/>
      <c r="VHN237"/>
      <c r="VHO237"/>
      <c r="VHP237"/>
      <c r="VHQ237"/>
      <c r="VHR237"/>
      <c r="VHS237"/>
      <c r="VHT237"/>
      <c r="VHU237"/>
      <c r="VHV237"/>
      <c r="VHW237"/>
      <c r="VHX237"/>
      <c r="VHY237"/>
      <c r="VHZ237"/>
      <c r="VIA237"/>
      <c r="VIB237"/>
      <c r="VIC237"/>
      <c r="VID237"/>
      <c r="VIE237"/>
      <c r="VIF237"/>
      <c r="VIG237"/>
      <c r="VIH237"/>
      <c r="VII237"/>
      <c r="VIJ237"/>
      <c r="VIK237"/>
      <c r="VIL237"/>
      <c r="VIM237"/>
      <c r="VIN237"/>
      <c r="VIO237"/>
      <c r="VIP237"/>
      <c r="VIQ237"/>
      <c r="VIR237"/>
      <c r="VIS237"/>
      <c r="VIT237"/>
      <c r="VIU237"/>
      <c r="VIV237"/>
      <c r="VIW237"/>
      <c r="VIX237"/>
      <c r="VIY237"/>
      <c r="VIZ237"/>
      <c r="VJA237"/>
      <c r="VJB237"/>
      <c r="VJC237"/>
      <c r="VJD237"/>
      <c r="VJE237"/>
      <c r="VJF237"/>
      <c r="VJG237"/>
      <c r="VJH237"/>
      <c r="VJI237"/>
      <c r="VJJ237"/>
      <c r="VJK237"/>
      <c r="VJL237"/>
      <c r="VJM237"/>
      <c r="VJN237"/>
      <c r="VJO237"/>
      <c r="VJP237"/>
      <c r="VJQ237"/>
      <c r="VJR237"/>
      <c r="VJS237"/>
      <c r="VJT237"/>
      <c r="VJU237"/>
      <c r="VJV237"/>
      <c r="VJW237"/>
      <c r="VJX237"/>
      <c r="VJY237"/>
      <c r="VJZ237"/>
      <c r="VKA237"/>
      <c r="VKB237"/>
      <c r="VKC237"/>
      <c r="VKD237"/>
      <c r="VKE237"/>
      <c r="VKF237"/>
      <c r="VKG237"/>
      <c r="VKH237"/>
      <c r="VKI237"/>
      <c r="VKJ237"/>
      <c r="VKK237"/>
      <c r="VKL237"/>
      <c r="VKM237"/>
      <c r="VKN237"/>
      <c r="VKO237"/>
      <c r="VKP237"/>
      <c r="VKQ237"/>
      <c r="VKR237"/>
      <c r="VKS237"/>
      <c r="VKT237"/>
      <c r="VKU237"/>
      <c r="VKV237"/>
      <c r="VKW237"/>
      <c r="VKX237"/>
      <c r="VKY237"/>
      <c r="VKZ237"/>
      <c r="VLA237"/>
      <c r="VLB237"/>
      <c r="VLC237"/>
      <c r="VLD237"/>
      <c r="VLE237"/>
      <c r="VLF237"/>
      <c r="VLG237"/>
      <c r="VLH237"/>
      <c r="VLI237"/>
      <c r="VLJ237"/>
      <c r="VLK237"/>
      <c r="VLL237"/>
      <c r="VLM237"/>
      <c r="VLN237"/>
      <c r="VLO237"/>
      <c r="VLP237"/>
      <c r="VLQ237"/>
      <c r="VLR237"/>
      <c r="VLS237"/>
      <c r="VLT237"/>
      <c r="VLU237"/>
      <c r="VLV237"/>
      <c r="VLW237"/>
      <c r="VLX237"/>
      <c r="VLY237"/>
      <c r="VLZ237"/>
      <c r="VMA237"/>
      <c r="VMB237"/>
      <c r="VMC237"/>
      <c r="VMD237"/>
      <c r="VME237"/>
      <c r="VMF237"/>
      <c r="VMG237"/>
      <c r="VMH237"/>
      <c r="VMI237"/>
      <c r="VMJ237"/>
      <c r="VMK237"/>
      <c r="VML237"/>
      <c r="VMM237"/>
      <c r="VMN237"/>
      <c r="VMO237"/>
      <c r="VMP237"/>
      <c r="VMQ237"/>
      <c r="VMR237"/>
      <c r="VMS237"/>
      <c r="VMT237"/>
      <c r="VMU237"/>
      <c r="VMV237"/>
      <c r="VMW237"/>
      <c r="VMX237"/>
      <c r="VMY237"/>
      <c r="VMZ237"/>
      <c r="VNA237"/>
      <c r="VNB237"/>
      <c r="VNC237"/>
      <c r="VND237"/>
      <c r="VNE237"/>
      <c r="VNF237"/>
      <c r="VNG237"/>
      <c r="VNH237"/>
      <c r="VNI237"/>
      <c r="VNJ237"/>
      <c r="VNK237"/>
      <c r="VNL237"/>
      <c r="VNM237"/>
      <c r="VNN237"/>
      <c r="VNO237"/>
      <c r="VNP237"/>
      <c r="VNQ237"/>
      <c r="VNR237"/>
      <c r="VNS237"/>
      <c r="VNT237"/>
      <c r="VNU237"/>
      <c r="VNV237"/>
      <c r="VNW237"/>
      <c r="VNX237"/>
      <c r="VNY237"/>
      <c r="VNZ237"/>
      <c r="VOA237"/>
      <c r="VOB237"/>
      <c r="VOC237"/>
      <c r="VOD237"/>
      <c r="VOE237"/>
      <c r="VOF237"/>
      <c r="VOG237"/>
      <c r="VOH237"/>
      <c r="VOI237"/>
      <c r="VOJ237"/>
      <c r="VOK237"/>
      <c r="VOL237"/>
      <c r="VOM237"/>
      <c r="VON237"/>
      <c r="VOO237"/>
      <c r="VOP237"/>
      <c r="VOQ237"/>
      <c r="VOR237"/>
      <c r="VOS237"/>
      <c r="VOT237"/>
      <c r="VOU237"/>
      <c r="VOV237"/>
      <c r="VOW237"/>
      <c r="VOX237"/>
      <c r="VOY237"/>
      <c r="VOZ237"/>
      <c r="VPA237"/>
      <c r="VPB237"/>
      <c r="VPC237"/>
      <c r="VPD237"/>
      <c r="VPE237"/>
      <c r="VPF237"/>
      <c r="VPG237"/>
      <c r="VPH237"/>
      <c r="VPI237"/>
      <c r="VPJ237"/>
      <c r="VPK237"/>
      <c r="VPL237"/>
      <c r="VPM237"/>
      <c r="VPN237"/>
      <c r="VPO237"/>
      <c r="VPP237"/>
      <c r="VPQ237"/>
      <c r="VPR237"/>
      <c r="VPS237"/>
      <c r="VPT237"/>
      <c r="VPU237"/>
      <c r="VPV237"/>
      <c r="VPW237"/>
      <c r="VPX237"/>
      <c r="VPY237"/>
      <c r="VPZ237"/>
      <c r="VQA237"/>
      <c r="VQB237"/>
      <c r="VQC237"/>
      <c r="VQD237"/>
      <c r="VQE237"/>
      <c r="VQF237"/>
      <c r="VQG237"/>
      <c r="VQH237"/>
      <c r="VQI237"/>
      <c r="VQJ237"/>
      <c r="VQK237"/>
      <c r="VQL237"/>
      <c r="VQM237"/>
      <c r="VQN237"/>
      <c r="VQO237"/>
      <c r="VQP237"/>
      <c r="VQQ237"/>
      <c r="VQR237"/>
      <c r="VQS237"/>
      <c r="VQT237"/>
      <c r="VQU237"/>
      <c r="VQV237"/>
      <c r="VQW237"/>
      <c r="VQX237"/>
      <c r="VQY237"/>
      <c r="VQZ237"/>
      <c r="VRA237"/>
      <c r="VRB237"/>
      <c r="VRC237"/>
      <c r="VRD237"/>
      <c r="VRE237"/>
      <c r="VRF237"/>
      <c r="VRG237"/>
      <c r="VRH237"/>
      <c r="VRI237"/>
      <c r="VRJ237"/>
      <c r="VRK237"/>
      <c r="VRL237"/>
      <c r="VRM237"/>
      <c r="VRN237"/>
      <c r="VRO237"/>
      <c r="VRP237"/>
      <c r="VRQ237"/>
      <c r="VRR237"/>
      <c r="VRS237"/>
      <c r="VRT237"/>
      <c r="VRU237"/>
      <c r="VRV237"/>
      <c r="VRW237"/>
      <c r="VRX237"/>
      <c r="VRY237"/>
      <c r="VRZ237"/>
      <c r="VSA237"/>
      <c r="VSB237"/>
      <c r="VSC237"/>
      <c r="VSD237"/>
      <c r="VSE237"/>
      <c r="VSF237"/>
      <c r="VSG237"/>
      <c r="VSH237"/>
      <c r="VSI237"/>
      <c r="VSJ237"/>
      <c r="VSK237"/>
      <c r="VSL237"/>
      <c r="VSM237"/>
      <c r="VSN237"/>
      <c r="VSO237"/>
      <c r="VSP237"/>
      <c r="VSQ237"/>
      <c r="VSR237"/>
      <c r="VSS237"/>
      <c r="VST237"/>
      <c r="VSU237"/>
      <c r="VSV237"/>
      <c r="VSW237"/>
      <c r="VSX237"/>
      <c r="VSY237"/>
      <c r="VSZ237"/>
      <c r="VTA237"/>
      <c r="VTB237"/>
      <c r="VTC237"/>
      <c r="VTD237"/>
      <c r="VTE237"/>
      <c r="VTF237"/>
      <c r="VTG237"/>
      <c r="VTH237"/>
      <c r="VTI237"/>
      <c r="VTJ237"/>
      <c r="VTK237"/>
      <c r="VTL237"/>
      <c r="VTM237"/>
      <c r="VTN237"/>
      <c r="VTO237"/>
      <c r="VTP237"/>
      <c r="VTQ237"/>
      <c r="VTR237"/>
      <c r="VTS237"/>
      <c r="VTT237"/>
      <c r="VTU237"/>
      <c r="VTV237"/>
      <c r="VTW237"/>
      <c r="VTX237"/>
      <c r="VTY237"/>
      <c r="VTZ237"/>
      <c r="VUA237"/>
      <c r="VUB237"/>
      <c r="VUC237"/>
      <c r="VUD237"/>
      <c r="VUE237"/>
      <c r="VUF237"/>
      <c r="VUG237"/>
      <c r="VUH237"/>
      <c r="VUI237"/>
      <c r="VUJ237"/>
      <c r="VUK237"/>
      <c r="VUL237"/>
      <c r="VUM237"/>
      <c r="VUN237"/>
      <c r="VUO237"/>
      <c r="VUP237"/>
      <c r="VUQ237"/>
      <c r="VUR237"/>
      <c r="VUS237"/>
      <c r="VUT237"/>
      <c r="VUU237"/>
      <c r="VUV237"/>
      <c r="VUW237"/>
      <c r="VUX237"/>
      <c r="VUY237"/>
      <c r="VUZ237"/>
      <c r="VVA237"/>
      <c r="VVB237"/>
      <c r="VVC237"/>
      <c r="VVD237"/>
      <c r="VVE237"/>
      <c r="VVF237"/>
      <c r="VVG237"/>
      <c r="VVH237"/>
      <c r="VVI237"/>
      <c r="VVJ237"/>
      <c r="VVK237"/>
      <c r="VVL237"/>
      <c r="VVM237"/>
      <c r="VVN237"/>
      <c r="VVO237"/>
      <c r="VVP237"/>
      <c r="VVQ237"/>
      <c r="VVR237"/>
      <c r="VVS237"/>
      <c r="VVT237"/>
      <c r="VVU237"/>
      <c r="VVV237"/>
      <c r="VVW237"/>
      <c r="VVX237"/>
      <c r="VVY237"/>
      <c r="VVZ237"/>
      <c r="VWA237"/>
      <c r="VWB237"/>
      <c r="VWC237"/>
      <c r="VWD237"/>
      <c r="VWE237"/>
      <c r="VWF237"/>
      <c r="VWG237"/>
      <c r="VWH237"/>
      <c r="VWI237"/>
      <c r="VWJ237"/>
      <c r="VWK237"/>
      <c r="VWL237"/>
      <c r="VWM237"/>
      <c r="VWN237"/>
      <c r="VWO237"/>
      <c r="VWP237"/>
      <c r="VWQ237"/>
      <c r="VWR237"/>
      <c r="VWS237"/>
      <c r="VWT237"/>
      <c r="VWU237"/>
      <c r="VWV237"/>
      <c r="VWW237"/>
      <c r="VWX237"/>
      <c r="VWY237"/>
      <c r="VWZ237"/>
      <c r="VXA237"/>
      <c r="VXB237"/>
      <c r="VXC237"/>
      <c r="VXD237"/>
      <c r="VXE237"/>
      <c r="VXF237"/>
      <c r="VXG237"/>
      <c r="VXH237"/>
      <c r="VXI237"/>
      <c r="VXJ237"/>
      <c r="VXK237"/>
      <c r="VXL237"/>
      <c r="VXM237"/>
      <c r="VXN237"/>
      <c r="VXO237"/>
      <c r="VXP237"/>
      <c r="VXQ237"/>
      <c r="VXR237"/>
      <c r="VXS237"/>
      <c r="VXT237"/>
      <c r="VXU237"/>
      <c r="VXV237"/>
      <c r="VXW237"/>
      <c r="VXX237"/>
      <c r="VXY237"/>
      <c r="VXZ237"/>
      <c r="VYA237"/>
      <c r="VYB237"/>
      <c r="VYC237"/>
      <c r="VYD237"/>
      <c r="VYE237"/>
      <c r="VYF237"/>
      <c r="VYG237"/>
      <c r="VYH237"/>
      <c r="VYI237"/>
      <c r="VYJ237"/>
      <c r="VYK237"/>
      <c r="VYL237"/>
      <c r="VYM237"/>
      <c r="VYN237"/>
      <c r="VYO237"/>
      <c r="VYP237"/>
      <c r="VYQ237"/>
      <c r="VYR237"/>
      <c r="VYS237"/>
      <c r="VYT237"/>
      <c r="VYU237"/>
      <c r="VYV237"/>
      <c r="VYW237"/>
      <c r="VYX237"/>
      <c r="VYY237"/>
      <c r="VYZ237"/>
      <c r="VZA237"/>
      <c r="VZB237"/>
      <c r="VZC237"/>
      <c r="VZD237"/>
      <c r="VZE237"/>
      <c r="VZF237"/>
      <c r="VZG237"/>
      <c r="VZH237"/>
      <c r="VZI237"/>
      <c r="VZJ237"/>
      <c r="VZK237"/>
      <c r="VZL237"/>
      <c r="VZM237"/>
      <c r="VZN237"/>
      <c r="VZO237"/>
      <c r="VZP237"/>
      <c r="VZQ237"/>
      <c r="VZR237"/>
      <c r="VZS237"/>
      <c r="VZT237"/>
      <c r="VZU237"/>
      <c r="VZV237"/>
      <c r="VZW237"/>
      <c r="VZX237"/>
      <c r="VZY237"/>
      <c r="VZZ237"/>
      <c r="WAA237"/>
      <c r="WAB237"/>
      <c r="WAC237"/>
      <c r="WAD237"/>
      <c r="WAE237"/>
      <c r="WAF237"/>
      <c r="WAG237"/>
      <c r="WAH237"/>
      <c r="WAI237"/>
      <c r="WAJ237"/>
      <c r="WAK237"/>
      <c r="WAL237"/>
      <c r="WAM237"/>
      <c r="WAN237"/>
      <c r="WAO237"/>
      <c r="WAP237"/>
      <c r="WAQ237"/>
      <c r="WAR237"/>
      <c r="WAS237"/>
      <c r="WAT237"/>
      <c r="WAU237"/>
      <c r="WAV237"/>
      <c r="WAW237"/>
      <c r="WAX237"/>
      <c r="WAY237"/>
      <c r="WAZ237"/>
      <c r="WBA237"/>
      <c r="WBB237"/>
      <c r="WBC237"/>
      <c r="WBD237"/>
      <c r="WBE237"/>
      <c r="WBF237"/>
      <c r="WBG237"/>
      <c r="WBH237"/>
      <c r="WBI237"/>
      <c r="WBJ237"/>
      <c r="WBK237"/>
      <c r="WBL237"/>
      <c r="WBM237"/>
      <c r="WBN237"/>
      <c r="WBO237"/>
      <c r="WBP237"/>
      <c r="WBQ237"/>
      <c r="WBR237"/>
      <c r="WBS237"/>
      <c r="WBT237"/>
      <c r="WBU237"/>
      <c r="WBV237"/>
      <c r="WBW237"/>
      <c r="WBX237"/>
      <c r="WBY237"/>
      <c r="WBZ237"/>
      <c r="WCA237"/>
      <c r="WCB237"/>
      <c r="WCC237"/>
      <c r="WCD237"/>
      <c r="WCE237"/>
      <c r="WCF237"/>
      <c r="WCG237"/>
      <c r="WCH237"/>
      <c r="WCI237"/>
      <c r="WCJ237"/>
      <c r="WCK237"/>
      <c r="WCL237"/>
      <c r="WCM237"/>
      <c r="WCN237"/>
      <c r="WCO237"/>
      <c r="WCP237"/>
      <c r="WCQ237"/>
      <c r="WCR237"/>
      <c r="WCS237"/>
      <c r="WCT237"/>
      <c r="WCU237"/>
      <c r="WCV237"/>
      <c r="WCW237"/>
      <c r="WCX237"/>
      <c r="WCY237"/>
      <c r="WCZ237"/>
      <c r="WDA237"/>
      <c r="WDB237"/>
      <c r="WDC237"/>
      <c r="WDD237"/>
      <c r="WDE237"/>
      <c r="WDF237"/>
      <c r="WDG237"/>
      <c r="WDH237"/>
      <c r="WDI237"/>
      <c r="WDJ237"/>
      <c r="WDK237"/>
      <c r="WDL237"/>
      <c r="WDM237"/>
      <c r="WDN237"/>
      <c r="WDO237"/>
      <c r="WDP237"/>
      <c r="WDQ237"/>
      <c r="WDR237"/>
      <c r="WDS237"/>
      <c r="WDT237"/>
      <c r="WDU237"/>
      <c r="WDV237"/>
      <c r="WDW237"/>
      <c r="WDX237"/>
      <c r="WDY237"/>
      <c r="WDZ237"/>
      <c r="WEA237"/>
      <c r="WEB237"/>
      <c r="WEC237"/>
      <c r="WED237"/>
      <c r="WEE237"/>
      <c r="WEF237"/>
      <c r="WEG237"/>
      <c r="WEH237"/>
      <c r="WEI237"/>
      <c r="WEJ237"/>
      <c r="WEK237"/>
      <c r="WEL237"/>
      <c r="WEM237"/>
      <c r="WEN237"/>
      <c r="WEO237"/>
      <c r="WEP237"/>
      <c r="WEQ237"/>
      <c r="WER237"/>
      <c r="WES237"/>
      <c r="WET237"/>
      <c r="WEU237"/>
      <c r="WEV237"/>
      <c r="WEW237"/>
      <c r="WEX237"/>
      <c r="WEY237"/>
      <c r="WEZ237"/>
      <c r="WFA237"/>
      <c r="WFB237"/>
      <c r="WFC237"/>
      <c r="WFD237"/>
      <c r="WFE237"/>
      <c r="WFF237"/>
      <c r="WFG237"/>
      <c r="WFH237"/>
      <c r="WFI237"/>
      <c r="WFJ237"/>
      <c r="WFK237"/>
      <c r="WFL237"/>
      <c r="WFM237"/>
      <c r="WFN237"/>
      <c r="WFO237"/>
      <c r="WFP237"/>
      <c r="WFQ237"/>
      <c r="WFR237"/>
      <c r="WFS237"/>
      <c r="WFT237"/>
      <c r="WFU237"/>
      <c r="WFV237"/>
      <c r="WFW237"/>
      <c r="WFX237"/>
      <c r="WFY237"/>
      <c r="WFZ237"/>
      <c r="WGA237"/>
      <c r="WGB237"/>
      <c r="WGC237"/>
      <c r="WGD237"/>
      <c r="WGE237"/>
      <c r="WGF237"/>
      <c r="WGG237"/>
      <c r="WGH237"/>
      <c r="WGI237"/>
      <c r="WGJ237"/>
      <c r="WGK237"/>
      <c r="WGL237"/>
      <c r="WGM237"/>
      <c r="WGN237"/>
      <c r="WGO237"/>
      <c r="WGP237"/>
      <c r="WGQ237"/>
      <c r="WGR237"/>
      <c r="WGS237"/>
      <c r="WGT237"/>
      <c r="WGU237"/>
      <c r="WGV237"/>
      <c r="WGW237"/>
      <c r="WGX237"/>
      <c r="WGY237"/>
      <c r="WGZ237"/>
      <c r="WHA237"/>
      <c r="WHB237"/>
      <c r="WHC237"/>
      <c r="WHD237"/>
      <c r="WHE237"/>
      <c r="WHF237"/>
      <c r="WHG237"/>
      <c r="WHH237"/>
      <c r="WHI237"/>
      <c r="WHJ237"/>
      <c r="WHK237"/>
      <c r="WHL237"/>
      <c r="WHM237"/>
      <c r="WHN237"/>
      <c r="WHO237"/>
      <c r="WHP237"/>
      <c r="WHQ237"/>
      <c r="WHR237"/>
      <c r="WHS237"/>
      <c r="WHT237"/>
      <c r="WHU237"/>
      <c r="WHV237"/>
      <c r="WHW237"/>
      <c r="WHX237"/>
      <c r="WHY237"/>
      <c r="WHZ237"/>
      <c r="WIA237"/>
      <c r="WIB237"/>
      <c r="WIC237"/>
      <c r="WID237"/>
      <c r="WIE237"/>
      <c r="WIF237"/>
      <c r="WIG237"/>
      <c r="WIH237"/>
      <c r="WII237"/>
      <c r="WIJ237"/>
      <c r="WIK237"/>
      <c r="WIL237"/>
      <c r="WIM237"/>
      <c r="WIN237"/>
      <c r="WIO237"/>
      <c r="WIP237"/>
      <c r="WIQ237"/>
      <c r="WIR237"/>
      <c r="WIS237"/>
      <c r="WIT237"/>
      <c r="WIU237"/>
      <c r="WIV237"/>
      <c r="WIW237"/>
      <c r="WIX237"/>
      <c r="WIY237"/>
      <c r="WIZ237"/>
      <c r="WJA237"/>
      <c r="WJB237"/>
      <c r="WJC237"/>
      <c r="WJD237"/>
      <c r="WJE237"/>
      <c r="WJF237"/>
      <c r="WJG237"/>
      <c r="WJH237"/>
      <c r="WJI237"/>
      <c r="WJJ237"/>
      <c r="WJK237"/>
      <c r="WJL237"/>
      <c r="WJM237"/>
      <c r="WJN237"/>
      <c r="WJO237"/>
      <c r="WJP237"/>
      <c r="WJQ237"/>
      <c r="WJR237"/>
      <c r="WJS237"/>
      <c r="WJT237"/>
      <c r="WJU237"/>
      <c r="WJV237"/>
      <c r="WJW237"/>
      <c r="WJX237"/>
      <c r="WJY237"/>
      <c r="WJZ237"/>
      <c r="WKA237"/>
      <c r="WKB237"/>
      <c r="WKC237"/>
      <c r="WKD237"/>
      <c r="WKE237"/>
      <c r="WKF237"/>
      <c r="WKG237"/>
      <c r="WKH237"/>
      <c r="WKI237"/>
      <c r="WKJ237"/>
      <c r="WKK237"/>
      <c r="WKL237"/>
      <c r="WKM237"/>
      <c r="WKN237"/>
      <c r="WKO237"/>
      <c r="WKP237"/>
      <c r="WKQ237"/>
      <c r="WKR237"/>
      <c r="WKS237"/>
      <c r="WKT237"/>
      <c r="WKU237"/>
      <c r="WKV237"/>
      <c r="WKW237"/>
      <c r="WKX237"/>
      <c r="WKY237"/>
      <c r="WKZ237"/>
      <c r="WLA237"/>
      <c r="WLB237"/>
      <c r="WLC237"/>
      <c r="WLD237"/>
      <c r="WLE237"/>
      <c r="WLF237"/>
      <c r="WLG237"/>
      <c r="WLH237"/>
      <c r="WLI237"/>
      <c r="WLJ237"/>
      <c r="WLK237"/>
      <c r="WLL237"/>
      <c r="WLM237"/>
      <c r="WLN237"/>
      <c r="WLO237"/>
      <c r="WLP237"/>
      <c r="WLQ237"/>
      <c r="WLR237"/>
      <c r="WLS237"/>
      <c r="WLT237"/>
      <c r="WLU237"/>
      <c r="WLV237"/>
      <c r="WLW237"/>
      <c r="WLX237"/>
      <c r="WLY237"/>
      <c r="WLZ237"/>
      <c r="WMA237"/>
      <c r="WMB237"/>
      <c r="WMC237"/>
      <c r="WMD237"/>
      <c r="WME237"/>
      <c r="WMF237"/>
      <c r="WMG237"/>
      <c r="WMH237"/>
      <c r="WMI237"/>
      <c r="WMJ237"/>
      <c r="WMK237"/>
      <c r="WML237"/>
      <c r="WMM237"/>
      <c r="WMN237"/>
      <c r="WMO237"/>
      <c r="WMP237"/>
      <c r="WMQ237"/>
      <c r="WMR237"/>
      <c r="WMS237"/>
      <c r="WMT237"/>
      <c r="WMU237"/>
      <c r="WMV237"/>
      <c r="WMW237"/>
      <c r="WMX237"/>
      <c r="WMY237"/>
      <c r="WMZ237"/>
      <c r="WNA237"/>
      <c r="WNB237"/>
      <c r="WNC237"/>
      <c r="WND237"/>
      <c r="WNE237"/>
      <c r="WNF237"/>
      <c r="WNG237"/>
      <c r="WNH237"/>
      <c r="WNI237"/>
      <c r="WNJ237"/>
      <c r="WNK237"/>
      <c r="WNL237"/>
      <c r="WNM237"/>
      <c r="WNN237"/>
      <c r="WNO237"/>
      <c r="WNP237"/>
      <c r="WNQ237"/>
      <c r="WNR237"/>
      <c r="WNS237"/>
      <c r="WNT237"/>
      <c r="WNU237"/>
      <c r="WNV237"/>
      <c r="WNW237"/>
      <c r="WNX237"/>
      <c r="WNY237"/>
      <c r="WNZ237"/>
      <c r="WOA237"/>
      <c r="WOB237"/>
      <c r="WOC237"/>
      <c r="WOD237"/>
      <c r="WOE237"/>
      <c r="WOF237"/>
      <c r="WOG237"/>
      <c r="WOH237"/>
      <c r="WOI237"/>
      <c r="WOJ237"/>
      <c r="WOK237"/>
      <c r="WOL237"/>
      <c r="WOM237"/>
      <c r="WON237"/>
      <c r="WOO237"/>
      <c r="WOP237"/>
      <c r="WOQ237"/>
      <c r="WOR237"/>
      <c r="WOS237"/>
      <c r="WOT237"/>
      <c r="WOU237"/>
      <c r="WOV237"/>
      <c r="WOW237"/>
      <c r="WOX237"/>
      <c r="WOY237"/>
      <c r="WOZ237"/>
      <c r="WPA237"/>
      <c r="WPB237"/>
      <c r="WPC237"/>
      <c r="WPD237"/>
      <c r="WPE237"/>
      <c r="WPF237"/>
      <c r="WPG237"/>
      <c r="WPH237"/>
      <c r="WPI237"/>
      <c r="WPJ237"/>
      <c r="WPK237"/>
      <c r="WPL237"/>
      <c r="WPM237"/>
      <c r="WPN237"/>
      <c r="WPO237"/>
      <c r="WPP237"/>
      <c r="WPQ237"/>
      <c r="WPR237"/>
      <c r="WPS237"/>
      <c r="WPT237"/>
      <c r="WPU237"/>
      <c r="WPV237"/>
      <c r="WPW237"/>
      <c r="WPX237"/>
      <c r="WPY237"/>
      <c r="WPZ237"/>
      <c r="WQA237"/>
      <c r="WQB237"/>
      <c r="WQC237"/>
      <c r="WQD237"/>
      <c r="WQE237"/>
      <c r="WQF237"/>
      <c r="WQG237"/>
      <c r="WQH237"/>
      <c r="WQI237"/>
      <c r="WQJ237"/>
      <c r="WQK237"/>
      <c r="WQL237"/>
      <c r="WQM237"/>
      <c r="WQN237"/>
      <c r="WQO237"/>
      <c r="WQP237"/>
      <c r="WQQ237"/>
      <c r="WQR237"/>
      <c r="WQS237"/>
      <c r="WQT237"/>
      <c r="WQU237"/>
      <c r="WQV237"/>
      <c r="WQW237"/>
      <c r="WQX237"/>
      <c r="WQY237"/>
      <c r="WQZ237"/>
      <c r="WRA237"/>
      <c r="WRB237"/>
      <c r="WRC237"/>
      <c r="WRD237"/>
      <c r="WRE237"/>
      <c r="WRF237"/>
      <c r="WRG237"/>
      <c r="WRH237"/>
      <c r="WRI237"/>
      <c r="WRJ237"/>
      <c r="WRK237"/>
      <c r="WRL237"/>
      <c r="WRM237"/>
      <c r="WRN237"/>
      <c r="WRO237"/>
      <c r="WRP237"/>
      <c r="WRQ237"/>
      <c r="WRR237"/>
      <c r="WRS237"/>
      <c r="WRT237"/>
      <c r="WRU237"/>
      <c r="WRV237"/>
      <c r="WRW237"/>
      <c r="WRX237"/>
      <c r="WRY237"/>
      <c r="WRZ237"/>
      <c r="WSA237"/>
      <c r="WSB237"/>
      <c r="WSC237"/>
      <c r="WSD237"/>
      <c r="WSE237"/>
      <c r="WSF237"/>
      <c r="WSG237"/>
      <c r="WSH237"/>
      <c r="WSI237"/>
      <c r="WSJ237"/>
      <c r="WSK237"/>
      <c r="WSL237"/>
      <c r="WSM237"/>
      <c r="WSN237"/>
      <c r="WSO237"/>
      <c r="WSP237"/>
      <c r="WSQ237"/>
      <c r="WSR237"/>
      <c r="WSS237"/>
      <c r="WST237"/>
      <c r="WSU237"/>
      <c r="WSV237"/>
      <c r="WSW237"/>
      <c r="WSX237"/>
      <c r="WSY237"/>
      <c r="WSZ237"/>
      <c r="WTA237"/>
      <c r="WTB237"/>
      <c r="WTC237"/>
      <c r="WTD237"/>
      <c r="WTE237"/>
      <c r="WTF237"/>
      <c r="WTG237"/>
      <c r="WTH237"/>
      <c r="WTI237"/>
      <c r="WTJ237"/>
      <c r="WTK237"/>
      <c r="WTL237"/>
      <c r="WTM237"/>
      <c r="WTN237"/>
      <c r="WTO237"/>
      <c r="WTP237"/>
      <c r="WTQ237"/>
      <c r="WTR237"/>
      <c r="WTS237"/>
      <c r="WTT237"/>
      <c r="WTU237"/>
      <c r="WTV237"/>
      <c r="WTW237"/>
      <c r="WTX237"/>
      <c r="WTY237"/>
      <c r="WTZ237"/>
      <c r="WUA237"/>
      <c r="WUB237"/>
      <c r="WUC237"/>
      <c r="WUD237"/>
      <c r="WUE237"/>
      <c r="WUF237"/>
      <c r="WUG237"/>
      <c r="WUH237"/>
      <c r="WUI237"/>
      <c r="WUJ237"/>
      <c r="WUK237"/>
      <c r="WUL237"/>
      <c r="WUM237"/>
      <c r="WUN237"/>
      <c r="WUO237"/>
      <c r="WUP237"/>
      <c r="WUQ237"/>
      <c r="WUR237"/>
      <c r="WUS237"/>
      <c r="WUT237"/>
      <c r="WUU237"/>
      <c r="WUV237"/>
      <c r="WUW237"/>
      <c r="WUX237"/>
      <c r="WUY237"/>
      <c r="WUZ237"/>
      <c r="WVA237"/>
      <c r="WVB237"/>
      <c r="WVC237"/>
      <c r="WVD237"/>
      <c r="WVE237"/>
      <c r="WVF237"/>
      <c r="WVG237"/>
      <c r="WVH237"/>
      <c r="WVI237"/>
      <c r="WVJ237"/>
      <c r="WVK237"/>
      <c r="WVL237"/>
      <c r="WVM237"/>
      <c r="WVN237"/>
      <c r="WVO237"/>
      <c r="WVP237"/>
      <c r="WVQ237"/>
      <c r="WVR237"/>
      <c r="WVS237"/>
      <c r="WVT237"/>
      <c r="WVU237"/>
      <c r="WVV237"/>
      <c r="WVW237"/>
      <c r="WVX237"/>
      <c r="WVY237"/>
      <c r="WVZ237"/>
      <c r="WWA237"/>
      <c r="WWB237"/>
      <c r="WWC237"/>
      <c r="WWD237"/>
      <c r="WWE237"/>
      <c r="WWF237"/>
      <c r="WWG237"/>
      <c r="WWH237"/>
      <c r="WWI237"/>
      <c r="WWJ237"/>
      <c r="WWK237"/>
      <c r="WWL237"/>
      <c r="WWM237"/>
      <c r="WWN237"/>
      <c r="WWO237"/>
      <c r="WWP237"/>
      <c r="WWQ237"/>
      <c r="WWR237"/>
      <c r="WWS237"/>
      <c r="WWT237"/>
      <c r="WWU237"/>
      <c r="WWV237"/>
      <c r="WWW237"/>
      <c r="WWX237"/>
      <c r="WWY237"/>
      <c r="WWZ237"/>
      <c r="WXA237"/>
      <c r="WXB237"/>
      <c r="WXC237"/>
      <c r="WXD237"/>
      <c r="WXE237"/>
      <c r="WXF237"/>
      <c r="WXG237"/>
      <c r="WXH237"/>
      <c r="WXI237"/>
      <c r="WXJ237"/>
      <c r="WXK237"/>
      <c r="WXL237"/>
      <c r="WXM237"/>
      <c r="WXN237"/>
      <c r="WXO237"/>
      <c r="WXP237"/>
      <c r="WXQ237"/>
      <c r="WXR237"/>
      <c r="WXS237"/>
      <c r="WXT237"/>
      <c r="WXU237"/>
      <c r="WXV237"/>
      <c r="WXW237"/>
      <c r="WXX237"/>
      <c r="WXY237"/>
      <c r="WXZ237"/>
      <c r="WYA237"/>
      <c r="WYB237"/>
      <c r="WYC237"/>
      <c r="WYD237"/>
      <c r="WYE237"/>
      <c r="WYF237"/>
      <c r="WYG237"/>
      <c r="WYH237"/>
      <c r="WYI237"/>
      <c r="WYJ237"/>
      <c r="WYK237"/>
      <c r="WYL237"/>
      <c r="WYM237"/>
      <c r="WYN237"/>
      <c r="WYO237"/>
      <c r="WYP237"/>
      <c r="WYQ237"/>
      <c r="WYR237"/>
      <c r="WYS237"/>
      <c r="WYT237"/>
      <c r="WYU237"/>
      <c r="WYV237"/>
      <c r="WYW237"/>
      <c r="WYX237"/>
      <c r="WYY237"/>
      <c r="WYZ237"/>
      <c r="WZA237"/>
      <c r="WZB237"/>
      <c r="WZC237"/>
      <c r="WZD237"/>
      <c r="WZE237"/>
      <c r="WZF237"/>
      <c r="WZG237"/>
      <c r="WZH237"/>
      <c r="WZI237"/>
      <c r="WZJ237"/>
      <c r="WZK237"/>
      <c r="WZL237"/>
      <c r="WZM237"/>
      <c r="WZN237"/>
      <c r="WZO237"/>
      <c r="WZP237"/>
      <c r="WZQ237"/>
      <c r="WZR237"/>
      <c r="WZS237"/>
      <c r="WZT237"/>
      <c r="WZU237"/>
      <c r="WZV237"/>
      <c r="WZW237"/>
      <c r="WZX237"/>
      <c r="WZY237"/>
      <c r="WZZ237"/>
      <c r="XAA237"/>
      <c r="XAB237"/>
      <c r="XAC237"/>
      <c r="XAD237"/>
      <c r="XAE237"/>
      <c r="XAF237"/>
      <c r="XAG237"/>
      <c r="XAH237"/>
      <c r="XAI237"/>
      <c r="XAJ237"/>
      <c r="XAK237"/>
      <c r="XAL237"/>
      <c r="XAM237"/>
      <c r="XAN237"/>
      <c r="XAO237"/>
      <c r="XAP237"/>
      <c r="XAQ237"/>
      <c r="XAR237"/>
      <c r="XAS237"/>
      <c r="XAT237"/>
      <c r="XAU237"/>
      <c r="XAV237"/>
      <c r="XAW237"/>
      <c r="XAX237"/>
      <c r="XAY237"/>
      <c r="XAZ237"/>
      <c r="XBA237"/>
      <c r="XBB237"/>
      <c r="XBC237"/>
      <c r="XBD237"/>
      <c r="XBE237"/>
      <c r="XBF237"/>
      <c r="XBG237"/>
      <c r="XBH237"/>
      <c r="XBI237"/>
      <c r="XBJ237"/>
      <c r="XBK237"/>
      <c r="XBL237"/>
      <c r="XBM237"/>
      <c r="XBN237"/>
      <c r="XBO237"/>
      <c r="XBP237"/>
      <c r="XBQ237"/>
      <c r="XBR237"/>
      <c r="XBS237"/>
      <c r="XBT237"/>
      <c r="XBU237"/>
      <c r="XBV237"/>
      <c r="XBW237"/>
      <c r="XBX237"/>
      <c r="XBY237"/>
      <c r="XBZ237"/>
      <c r="XCA237"/>
      <c r="XCB237"/>
      <c r="XCC237"/>
      <c r="XCD237"/>
      <c r="XCE237"/>
      <c r="XCF237"/>
      <c r="XCG237"/>
      <c r="XCH237"/>
      <c r="XCI237"/>
      <c r="XCJ237"/>
      <c r="XCK237"/>
      <c r="XCL237"/>
      <c r="XCM237"/>
      <c r="XCN237"/>
      <c r="XCO237"/>
      <c r="XCP237"/>
      <c r="XCQ237"/>
      <c r="XCR237"/>
      <c r="XCS237"/>
      <c r="XCT237"/>
      <c r="XCU237"/>
      <c r="XCV237"/>
      <c r="XCW237"/>
      <c r="XCX237"/>
      <c r="XCY237"/>
      <c r="XCZ237"/>
      <c r="XDA237"/>
      <c r="XDB237"/>
      <c r="XDC237"/>
      <c r="XDD237"/>
      <c r="XDE237"/>
      <c r="XDF237"/>
      <c r="XDG237"/>
      <c r="XDH237"/>
      <c r="XDI237"/>
      <c r="XDJ237"/>
      <c r="XDK237"/>
      <c r="XDL237"/>
      <c r="XDM237"/>
      <c r="XDN237"/>
      <c r="XDO237"/>
      <c r="XDP237"/>
      <c r="XDQ237"/>
      <c r="XDR237"/>
      <c r="XDS237"/>
      <c r="XDT237"/>
      <c r="XDU237"/>
      <c r="XDV237"/>
      <c r="XDW237"/>
      <c r="XDX237"/>
      <c r="XDY237"/>
      <c r="XDZ237"/>
      <c r="XEA237"/>
      <c r="XEB237"/>
      <c r="XEC237"/>
      <c r="XED237"/>
      <c r="XEE237"/>
      <c r="XEF237"/>
      <c r="XEG237"/>
      <c r="XEH237"/>
      <c r="XEI237"/>
      <c r="XEJ237"/>
      <c r="XEK237"/>
      <c r="XEL237"/>
      <c r="XEM237"/>
      <c r="XEN237"/>
      <c r="XEO237"/>
      <c r="XEP237"/>
      <c r="XEQ237"/>
      <c r="XER237"/>
      <c r="XES237"/>
      <c r="XET237"/>
      <c r="XEU237"/>
      <c r="XEV237"/>
      <c r="XEW237"/>
      <c r="XEX237"/>
      <c r="XEY237"/>
      <c r="XEZ237"/>
      <c r="XFA237"/>
      <c r="XFB237"/>
      <c r="XFC237"/>
      <c r="XFD237"/>
    </row>
    <row r="238" spans="5:16384" s="131" customFormat="1" x14ac:dyDescent="0.25">
      <c r="E238" s="175"/>
      <c r="F238" s="66" t="s">
        <v>43</v>
      </c>
      <c r="G238" s="139" t="s">
        <v>388</v>
      </c>
      <c r="H238" s="572"/>
      <c r="I238" s="572"/>
      <c r="J238" s="585">
        <f t="shared" ref="J238:AP238" si="45">J$78 * J208</f>
        <v>0</v>
      </c>
      <c r="K238" s="585">
        <f t="shared" si="45"/>
        <v>0</v>
      </c>
      <c r="L238" s="585">
        <f t="shared" si="45"/>
        <v>0</v>
      </c>
      <c r="M238" s="585">
        <f t="shared" si="45"/>
        <v>0</v>
      </c>
      <c r="N238" s="585">
        <f t="shared" si="45"/>
        <v>0</v>
      </c>
      <c r="O238" s="585">
        <f t="shared" si="45"/>
        <v>0</v>
      </c>
      <c r="P238" s="585">
        <f t="shared" si="45"/>
        <v>0</v>
      </c>
      <c r="Q238" s="585">
        <f t="shared" si="45"/>
        <v>0</v>
      </c>
      <c r="R238" s="585">
        <f t="shared" si="45"/>
        <v>0</v>
      </c>
      <c r="S238" s="585">
        <f t="shared" si="45"/>
        <v>0</v>
      </c>
      <c r="T238" s="585">
        <f t="shared" si="45"/>
        <v>0</v>
      </c>
      <c r="U238" s="585">
        <f t="shared" si="45"/>
        <v>0</v>
      </c>
      <c r="V238" s="585">
        <f t="shared" si="45"/>
        <v>0</v>
      </c>
      <c r="W238" s="585">
        <f t="shared" si="45"/>
        <v>0</v>
      </c>
      <c r="X238" s="585">
        <f t="shared" si="45"/>
        <v>0</v>
      </c>
      <c r="Y238" s="585">
        <f t="shared" si="45"/>
        <v>0</v>
      </c>
      <c r="Z238" s="585">
        <f t="shared" si="45"/>
        <v>0</v>
      </c>
      <c r="AA238" s="585">
        <f t="shared" si="45"/>
        <v>0</v>
      </c>
      <c r="AB238" s="585">
        <f t="shared" si="45"/>
        <v>0</v>
      </c>
      <c r="AC238" s="585">
        <f t="shared" si="45"/>
        <v>0</v>
      </c>
      <c r="AD238" s="585">
        <f t="shared" si="45"/>
        <v>0</v>
      </c>
      <c r="AE238" s="585">
        <f t="shared" si="45"/>
        <v>0</v>
      </c>
      <c r="AF238" s="585">
        <f t="shared" si="45"/>
        <v>0</v>
      </c>
      <c r="AG238" s="585">
        <f t="shared" si="45"/>
        <v>0</v>
      </c>
      <c r="AH238" s="585">
        <f t="shared" si="45"/>
        <v>0</v>
      </c>
      <c r="AI238" s="585">
        <f t="shared" si="45"/>
        <v>0</v>
      </c>
      <c r="AJ238" s="585">
        <f t="shared" si="45"/>
        <v>0</v>
      </c>
      <c r="AK238" s="585">
        <f t="shared" si="45"/>
        <v>0</v>
      </c>
      <c r="AL238" s="585">
        <f t="shared" si="45"/>
        <v>0</v>
      </c>
      <c r="AM238" s="585">
        <f t="shared" si="45"/>
        <v>0</v>
      </c>
      <c r="AN238" s="585">
        <f t="shared" si="45"/>
        <v>0</v>
      </c>
      <c r="AO238" s="585">
        <f t="shared" si="45"/>
        <v>0</v>
      </c>
      <c r="AP238" s="585">
        <f t="shared" si="45"/>
        <v>0</v>
      </c>
      <c r="AQ238" s="571"/>
      <c r="AR238" s="571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  <c r="FV238"/>
      <c r="FW238"/>
      <c r="FX238"/>
      <c r="FY238"/>
      <c r="FZ238"/>
      <c r="GA238"/>
      <c r="GB238"/>
      <c r="GC238"/>
      <c r="GD238"/>
      <c r="GE238"/>
      <c r="GF238"/>
      <c r="GG238"/>
      <c r="GH238"/>
      <c r="GI238"/>
      <c r="GJ238"/>
      <c r="GK238"/>
      <c r="GL238"/>
      <c r="GM238"/>
      <c r="GN238"/>
      <c r="GO238"/>
      <c r="GP238"/>
      <c r="GQ238"/>
      <c r="GR238"/>
      <c r="GS238"/>
      <c r="GT238"/>
      <c r="GU238"/>
      <c r="GV238"/>
      <c r="GW238"/>
      <c r="GX238"/>
      <c r="GY238"/>
      <c r="GZ238"/>
      <c r="HA238"/>
      <c r="HB238"/>
      <c r="HC238"/>
      <c r="HD238"/>
      <c r="HE238"/>
      <c r="HF238"/>
      <c r="HG238"/>
      <c r="HH238"/>
      <c r="HI238"/>
      <c r="HJ238"/>
      <c r="HK238"/>
      <c r="HL238"/>
      <c r="HM238"/>
      <c r="HN238"/>
      <c r="HO238"/>
      <c r="HP238"/>
      <c r="HQ238"/>
      <c r="HR238"/>
      <c r="HS238"/>
      <c r="HT238"/>
      <c r="HU238"/>
      <c r="HV238"/>
      <c r="HW238"/>
      <c r="HX238"/>
      <c r="HY238"/>
      <c r="HZ238"/>
      <c r="IA238"/>
      <c r="IB238"/>
      <c r="IC238"/>
      <c r="ID238"/>
      <c r="IE238"/>
      <c r="IF238"/>
      <c r="IG238"/>
      <c r="IH238"/>
      <c r="II238"/>
      <c r="IJ238"/>
      <c r="IK238"/>
      <c r="IL238"/>
      <c r="IM238"/>
      <c r="IN238"/>
      <c r="IO238"/>
      <c r="IP238"/>
      <c r="IQ238"/>
      <c r="IR238"/>
      <c r="IS238"/>
      <c r="IT238"/>
      <c r="IU238"/>
      <c r="IV238"/>
      <c r="IW238"/>
      <c r="IX238"/>
      <c r="IY238"/>
      <c r="IZ238"/>
      <c r="JA238"/>
      <c r="JB238"/>
      <c r="JC238"/>
      <c r="JD238"/>
      <c r="JE238"/>
      <c r="JF238"/>
      <c r="JG238"/>
      <c r="JH238"/>
      <c r="JI238"/>
      <c r="JJ238"/>
      <c r="JK238"/>
      <c r="JL238"/>
      <c r="JM238"/>
      <c r="JN238"/>
      <c r="JO238"/>
      <c r="JP238"/>
      <c r="JQ238"/>
      <c r="JR238"/>
      <c r="JS238"/>
      <c r="JT238"/>
      <c r="JU238"/>
      <c r="JV238"/>
      <c r="JW238"/>
      <c r="JX238"/>
      <c r="JY238"/>
      <c r="JZ238"/>
      <c r="KA238"/>
      <c r="KB238"/>
      <c r="KC238"/>
      <c r="KD238"/>
      <c r="KE238"/>
      <c r="KF238"/>
      <c r="KG238"/>
      <c r="KH238"/>
      <c r="KI238"/>
      <c r="KJ238"/>
      <c r="KK238"/>
      <c r="KL238"/>
      <c r="KM238"/>
      <c r="KN238"/>
      <c r="KO238"/>
      <c r="KP238"/>
      <c r="KQ238"/>
      <c r="KR238"/>
      <c r="KS238"/>
      <c r="KT238"/>
      <c r="KU238"/>
      <c r="KV238"/>
      <c r="KW238"/>
      <c r="KX238"/>
      <c r="KY238"/>
      <c r="KZ238"/>
      <c r="LA238"/>
      <c r="LB238"/>
      <c r="LC238"/>
      <c r="LD238"/>
      <c r="LE238"/>
      <c r="LF238"/>
      <c r="LG238"/>
      <c r="LH238"/>
      <c r="LI238"/>
      <c r="LJ238"/>
      <c r="LK238"/>
      <c r="LL238"/>
      <c r="LM238"/>
      <c r="LN238"/>
      <c r="LO238"/>
      <c r="LP238"/>
      <c r="LQ238"/>
      <c r="LR238"/>
      <c r="LS238"/>
      <c r="LT238"/>
      <c r="LU238"/>
      <c r="LV238"/>
      <c r="LW238"/>
      <c r="LX238"/>
      <c r="LY238"/>
      <c r="LZ238"/>
      <c r="MA238"/>
      <c r="MB238"/>
      <c r="MC238"/>
      <c r="MD238"/>
      <c r="ME238"/>
      <c r="MF238"/>
      <c r="MG238"/>
      <c r="MH238"/>
      <c r="MI238"/>
      <c r="MJ238"/>
      <c r="MK238"/>
      <c r="ML238"/>
      <c r="MM238"/>
      <c r="MN238"/>
      <c r="MO238"/>
      <c r="MP238"/>
      <c r="MQ238"/>
      <c r="MR238"/>
      <c r="MS238"/>
      <c r="MT238"/>
      <c r="MU238"/>
      <c r="MV238"/>
      <c r="MW238"/>
      <c r="MX238"/>
      <c r="MY238"/>
      <c r="MZ238"/>
      <c r="NA238"/>
      <c r="NB238"/>
      <c r="NC238"/>
      <c r="ND238"/>
      <c r="NE238"/>
      <c r="NF238"/>
      <c r="NG238"/>
      <c r="NH238"/>
      <c r="NI238"/>
      <c r="NJ238"/>
      <c r="NK238"/>
      <c r="NL238"/>
      <c r="NM238"/>
      <c r="NN238"/>
      <c r="NO238"/>
      <c r="NP238"/>
      <c r="NQ238"/>
      <c r="NR238"/>
      <c r="NS238"/>
      <c r="NT238"/>
      <c r="NU238"/>
      <c r="NV238"/>
      <c r="NW238"/>
      <c r="NX238"/>
      <c r="NY238"/>
      <c r="NZ238"/>
      <c r="OA238"/>
      <c r="OB238"/>
      <c r="OC238"/>
      <c r="OD238"/>
      <c r="OE238"/>
      <c r="OF238"/>
      <c r="OG238"/>
      <c r="OH238"/>
      <c r="OI238"/>
      <c r="OJ238"/>
      <c r="OK238"/>
      <c r="OL238"/>
      <c r="OM238"/>
      <c r="ON238"/>
      <c r="OO238"/>
      <c r="OP238"/>
      <c r="OQ238"/>
      <c r="OR238"/>
      <c r="OS238"/>
      <c r="OT238"/>
      <c r="OU238"/>
      <c r="OV238"/>
      <c r="OW238"/>
      <c r="OX238"/>
      <c r="OY238"/>
      <c r="OZ238"/>
      <c r="PA238"/>
      <c r="PB238"/>
      <c r="PC238"/>
      <c r="PD238"/>
      <c r="PE238"/>
      <c r="PF238"/>
      <c r="PG238"/>
      <c r="PH238"/>
      <c r="PI238"/>
      <c r="PJ238"/>
      <c r="PK238"/>
      <c r="PL238"/>
      <c r="PM238"/>
      <c r="PN238"/>
      <c r="PO238"/>
      <c r="PP238"/>
      <c r="PQ238"/>
      <c r="PR238"/>
      <c r="PS238"/>
      <c r="PT238"/>
      <c r="PU238"/>
      <c r="PV238"/>
      <c r="PW238"/>
      <c r="PX238"/>
      <c r="PY238"/>
      <c r="PZ238"/>
      <c r="QA238"/>
      <c r="QB238"/>
      <c r="QC238"/>
      <c r="QD238"/>
      <c r="QE238"/>
      <c r="QF238"/>
      <c r="QG238"/>
      <c r="QH238"/>
      <c r="QI238"/>
      <c r="QJ238"/>
      <c r="QK238"/>
      <c r="QL238"/>
      <c r="QM238"/>
      <c r="QN238"/>
      <c r="QO238"/>
      <c r="QP238"/>
      <c r="QQ238"/>
      <c r="QR238"/>
      <c r="QS238"/>
      <c r="QT238"/>
      <c r="QU238"/>
      <c r="QV238"/>
      <c r="QW238"/>
      <c r="QX238"/>
      <c r="QY238"/>
      <c r="QZ238"/>
      <c r="RA238"/>
      <c r="RB238"/>
      <c r="RC238"/>
      <c r="RD238"/>
      <c r="RE238"/>
      <c r="RF238"/>
      <c r="RG238"/>
      <c r="RH238"/>
      <c r="RI238"/>
      <c r="RJ238"/>
      <c r="RK238"/>
      <c r="RL238"/>
      <c r="RM238"/>
      <c r="RN238"/>
      <c r="RO238"/>
      <c r="RP238"/>
      <c r="RQ238"/>
      <c r="RR238"/>
      <c r="RS238"/>
      <c r="RT238"/>
      <c r="RU238"/>
      <c r="RV238"/>
      <c r="RW238"/>
      <c r="RX238"/>
      <c r="RY238"/>
      <c r="RZ238"/>
      <c r="SA238"/>
      <c r="SB238"/>
      <c r="SC238"/>
      <c r="SD238"/>
      <c r="SE238"/>
      <c r="SF238"/>
      <c r="SG238"/>
      <c r="SH238"/>
      <c r="SI238"/>
      <c r="SJ238"/>
      <c r="SK238"/>
      <c r="SL238"/>
      <c r="SM238"/>
      <c r="SN238"/>
      <c r="SO238"/>
      <c r="SP238"/>
      <c r="SQ238"/>
      <c r="SR238"/>
      <c r="SS238"/>
      <c r="ST238"/>
      <c r="SU238"/>
      <c r="SV238"/>
      <c r="SW238"/>
      <c r="SX238"/>
      <c r="SY238"/>
      <c r="SZ238"/>
      <c r="TA238"/>
      <c r="TB238"/>
      <c r="TC238"/>
      <c r="TD238"/>
      <c r="TE238"/>
      <c r="TF238"/>
      <c r="TG238"/>
      <c r="TH238"/>
      <c r="TI238"/>
      <c r="TJ238"/>
      <c r="TK238"/>
      <c r="TL238"/>
      <c r="TM238"/>
      <c r="TN238"/>
      <c r="TO238"/>
      <c r="TP238"/>
      <c r="TQ238"/>
      <c r="TR238"/>
      <c r="TS238"/>
      <c r="TT238"/>
      <c r="TU238"/>
      <c r="TV238"/>
      <c r="TW238"/>
      <c r="TX238"/>
      <c r="TY238"/>
      <c r="TZ238"/>
      <c r="UA238"/>
      <c r="UB238"/>
      <c r="UC238"/>
      <c r="UD238"/>
      <c r="UE238"/>
      <c r="UF238"/>
      <c r="UG238"/>
      <c r="UH238"/>
      <c r="UI238"/>
      <c r="UJ238"/>
      <c r="UK238"/>
      <c r="UL238"/>
      <c r="UM238"/>
      <c r="UN238"/>
      <c r="UO238"/>
      <c r="UP238"/>
      <c r="UQ238"/>
      <c r="UR238"/>
      <c r="US238"/>
      <c r="UT238"/>
      <c r="UU238"/>
      <c r="UV238"/>
      <c r="UW238"/>
      <c r="UX238"/>
      <c r="UY238"/>
      <c r="UZ238"/>
      <c r="VA238"/>
      <c r="VB238"/>
      <c r="VC238"/>
      <c r="VD238"/>
      <c r="VE238"/>
      <c r="VF238"/>
      <c r="VG238"/>
      <c r="VH238"/>
      <c r="VI238"/>
      <c r="VJ238"/>
      <c r="VK238"/>
      <c r="VL238"/>
      <c r="VM238"/>
      <c r="VN238"/>
      <c r="VO238"/>
      <c r="VP238"/>
      <c r="VQ238"/>
      <c r="VR238"/>
      <c r="VS238"/>
      <c r="VT238"/>
      <c r="VU238"/>
      <c r="VV238"/>
      <c r="VW238"/>
      <c r="VX238"/>
      <c r="VY238"/>
      <c r="VZ238"/>
      <c r="WA238"/>
      <c r="WB238"/>
      <c r="WC238"/>
      <c r="WD238"/>
      <c r="WE238"/>
      <c r="WF238"/>
      <c r="WG238"/>
      <c r="WH238"/>
      <c r="WI238"/>
      <c r="WJ238"/>
      <c r="WK238"/>
      <c r="WL238"/>
      <c r="WM238"/>
      <c r="WN238"/>
      <c r="WO238"/>
      <c r="WP238"/>
      <c r="WQ238"/>
      <c r="WR238"/>
      <c r="WS238"/>
      <c r="WT238"/>
      <c r="WU238"/>
      <c r="WV238"/>
      <c r="WW238"/>
      <c r="WX238"/>
      <c r="WY238"/>
      <c r="WZ238"/>
      <c r="XA238"/>
      <c r="XB238"/>
      <c r="XC238"/>
      <c r="XD238"/>
      <c r="XE238"/>
      <c r="XF238"/>
      <c r="XG238"/>
      <c r="XH238"/>
      <c r="XI238"/>
      <c r="XJ238"/>
      <c r="XK238"/>
      <c r="XL238"/>
      <c r="XM238"/>
      <c r="XN238"/>
      <c r="XO238"/>
      <c r="XP238"/>
      <c r="XQ238"/>
      <c r="XR238"/>
      <c r="XS238"/>
      <c r="XT238"/>
      <c r="XU238"/>
      <c r="XV238"/>
      <c r="XW238"/>
      <c r="XX238"/>
      <c r="XY238"/>
      <c r="XZ238"/>
      <c r="YA238"/>
      <c r="YB238"/>
      <c r="YC238"/>
      <c r="YD238"/>
      <c r="YE238"/>
      <c r="YF238"/>
      <c r="YG238"/>
      <c r="YH238"/>
      <c r="YI238"/>
      <c r="YJ238"/>
      <c r="YK238"/>
      <c r="YL238"/>
      <c r="YM238"/>
      <c r="YN238"/>
      <c r="YO238"/>
      <c r="YP238"/>
      <c r="YQ238"/>
      <c r="YR238"/>
      <c r="YS238"/>
      <c r="YT238"/>
      <c r="YU238"/>
      <c r="YV238"/>
      <c r="YW238"/>
      <c r="YX238"/>
      <c r="YY238"/>
      <c r="YZ238"/>
      <c r="ZA238"/>
      <c r="ZB238"/>
      <c r="ZC238"/>
      <c r="ZD238"/>
      <c r="ZE238"/>
      <c r="ZF238"/>
      <c r="ZG238"/>
      <c r="ZH238"/>
      <c r="ZI238"/>
      <c r="ZJ238"/>
      <c r="ZK238"/>
      <c r="ZL238"/>
      <c r="ZM238"/>
      <c r="ZN238"/>
      <c r="ZO238"/>
      <c r="ZP238"/>
      <c r="ZQ238"/>
      <c r="ZR238"/>
      <c r="ZS238"/>
      <c r="ZT238"/>
      <c r="ZU238"/>
      <c r="ZV238"/>
      <c r="ZW238"/>
      <c r="ZX238"/>
      <c r="ZY238"/>
      <c r="ZZ238"/>
      <c r="AAA238"/>
      <c r="AAB238"/>
      <c r="AAC238"/>
      <c r="AAD238"/>
      <c r="AAE238"/>
      <c r="AAF238"/>
      <c r="AAG238"/>
      <c r="AAH238"/>
      <c r="AAI238"/>
      <c r="AAJ238"/>
      <c r="AAK238"/>
      <c r="AAL238"/>
      <c r="AAM238"/>
      <c r="AAN238"/>
      <c r="AAO238"/>
      <c r="AAP238"/>
      <c r="AAQ238"/>
      <c r="AAR238"/>
      <c r="AAS238"/>
      <c r="AAT238"/>
      <c r="AAU238"/>
      <c r="AAV238"/>
      <c r="AAW238"/>
      <c r="AAX238"/>
      <c r="AAY238"/>
      <c r="AAZ238"/>
      <c r="ABA238"/>
      <c r="ABB238"/>
      <c r="ABC238"/>
      <c r="ABD238"/>
      <c r="ABE238"/>
      <c r="ABF238"/>
      <c r="ABG238"/>
      <c r="ABH238"/>
      <c r="ABI238"/>
      <c r="ABJ238"/>
      <c r="ABK238"/>
      <c r="ABL238"/>
      <c r="ABM238"/>
      <c r="ABN238"/>
      <c r="ABO238"/>
      <c r="ABP238"/>
      <c r="ABQ238"/>
      <c r="ABR238"/>
      <c r="ABS238"/>
      <c r="ABT238"/>
      <c r="ABU238"/>
      <c r="ABV238"/>
      <c r="ABW238"/>
      <c r="ABX238"/>
      <c r="ABY238"/>
      <c r="ABZ238"/>
      <c r="ACA238"/>
      <c r="ACB238"/>
      <c r="ACC238"/>
      <c r="ACD238"/>
      <c r="ACE238"/>
      <c r="ACF238"/>
      <c r="ACG238"/>
      <c r="ACH238"/>
      <c r="ACI238"/>
      <c r="ACJ238"/>
      <c r="ACK238"/>
      <c r="ACL238"/>
      <c r="ACM238"/>
      <c r="ACN238"/>
      <c r="ACO238"/>
      <c r="ACP238"/>
      <c r="ACQ238"/>
      <c r="ACR238"/>
      <c r="ACS238"/>
      <c r="ACT238"/>
      <c r="ACU238"/>
      <c r="ACV238"/>
      <c r="ACW238"/>
      <c r="ACX238"/>
      <c r="ACY238"/>
      <c r="ACZ238"/>
      <c r="ADA238"/>
      <c r="ADB238"/>
      <c r="ADC238"/>
      <c r="ADD238"/>
      <c r="ADE238"/>
      <c r="ADF238"/>
      <c r="ADG238"/>
      <c r="ADH238"/>
      <c r="ADI238"/>
      <c r="ADJ238"/>
      <c r="ADK238"/>
      <c r="ADL238"/>
      <c r="ADM238"/>
      <c r="ADN238"/>
      <c r="ADO238"/>
      <c r="ADP238"/>
      <c r="ADQ238"/>
      <c r="ADR238"/>
      <c r="ADS238"/>
      <c r="ADT238"/>
      <c r="ADU238"/>
      <c r="ADV238"/>
      <c r="ADW238"/>
      <c r="ADX238"/>
      <c r="ADY238"/>
      <c r="ADZ238"/>
      <c r="AEA238"/>
      <c r="AEB238"/>
      <c r="AEC238"/>
      <c r="AED238"/>
      <c r="AEE238"/>
      <c r="AEF238"/>
      <c r="AEG238"/>
      <c r="AEH238"/>
      <c r="AEI238"/>
      <c r="AEJ238"/>
      <c r="AEK238"/>
      <c r="AEL238"/>
      <c r="AEM238"/>
      <c r="AEN238"/>
      <c r="AEO238"/>
      <c r="AEP238"/>
      <c r="AEQ238"/>
      <c r="AER238"/>
      <c r="AES238"/>
      <c r="AET238"/>
      <c r="AEU238"/>
      <c r="AEV238"/>
      <c r="AEW238"/>
      <c r="AEX238"/>
      <c r="AEY238"/>
      <c r="AEZ238"/>
      <c r="AFA238"/>
      <c r="AFB238"/>
      <c r="AFC238"/>
      <c r="AFD238"/>
      <c r="AFE238"/>
      <c r="AFF238"/>
      <c r="AFG238"/>
      <c r="AFH238"/>
      <c r="AFI238"/>
      <c r="AFJ238"/>
      <c r="AFK238"/>
      <c r="AFL238"/>
      <c r="AFM238"/>
      <c r="AFN238"/>
      <c r="AFO238"/>
      <c r="AFP238"/>
      <c r="AFQ238"/>
      <c r="AFR238"/>
      <c r="AFS238"/>
      <c r="AFT238"/>
      <c r="AFU238"/>
      <c r="AFV238"/>
      <c r="AFW238"/>
      <c r="AFX238"/>
      <c r="AFY238"/>
      <c r="AFZ238"/>
      <c r="AGA238"/>
      <c r="AGB238"/>
      <c r="AGC238"/>
      <c r="AGD238"/>
      <c r="AGE238"/>
      <c r="AGF238"/>
      <c r="AGG238"/>
      <c r="AGH238"/>
      <c r="AGI238"/>
      <c r="AGJ238"/>
      <c r="AGK238"/>
      <c r="AGL238"/>
      <c r="AGM238"/>
      <c r="AGN238"/>
      <c r="AGO238"/>
      <c r="AGP238"/>
      <c r="AGQ238"/>
      <c r="AGR238"/>
      <c r="AGS238"/>
      <c r="AGT238"/>
      <c r="AGU238"/>
      <c r="AGV238"/>
      <c r="AGW238"/>
      <c r="AGX238"/>
      <c r="AGY238"/>
      <c r="AGZ238"/>
      <c r="AHA238"/>
      <c r="AHB238"/>
      <c r="AHC238"/>
      <c r="AHD238"/>
      <c r="AHE238"/>
      <c r="AHF238"/>
      <c r="AHG238"/>
      <c r="AHH238"/>
      <c r="AHI238"/>
      <c r="AHJ238"/>
      <c r="AHK238"/>
      <c r="AHL238"/>
      <c r="AHM238"/>
      <c r="AHN238"/>
      <c r="AHO238"/>
      <c r="AHP238"/>
      <c r="AHQ238"/>
      <c r="AHR238"/>
      <c r="AHS238"/>
      <c r="AHT238"/>
      <c r="AHU238"/>
      <c r="AHV238"/>
      <c r="AHW238"/>
      <c r="AHX238"/>
      <c r="AHY238"/>
      <c r="AHZ238"/>
      <c r="AIA238"/>
      <c r="AIB238"/>
      <c r="AIC238"/>
      <c r="AID238"/>
      <c r="AIE238"/>
      <c r="AIF238"/>
      <c r="AIG238"/>
      <c r="AIH238"/>
      <c r="AII238"/>
      <c r="AIJ238"/>
      <c r="AIK238"/>
      <c r="AIL238"/>
      <c r="AIM238"/>
      <c r="AIN238"/>
      <c r="AIO238"/>
      <c r="AIP238"/>
      <c r="AIQ238"/>
      <c r="AIR238"/>
      <c r="AIS238"/>
      <c r="AIT238"/>
      <c r="AIU238"/>
      <c r="AIV238"/>
      <c r="AIW238"/>
      <c r="AIX238"/>
      <c r="AIY238"/>
      <c r="AIZ238"/>
      <c r="AJA238"/>
      <c r="AJB238"/>
      <c r="AJC238"/>
      <c r="AJD238"/>
      <c r="AJE238"/>
      <c r="AJF238"/>
      <c r="AJG238"/>
      <c r="AJH238"/>
      <c r="AJI238"/>
      <c r="AJJ238"/>
      <c r="AJK238"/>
      <c r="AJL238"/>
      <c r="AJM238"/>
      <c r="AJN238"/>
      <c r="AJO238"/>
      <c r="AJP238"/>
      <c r="AJQ238"/>
      <c r="AJR238"/>
      <c r="AJS238"/>
      <c r="AJT238"/>
      <c r="AJU238"/>
      <c r="AJV238"/>
      <c r="AJW238"/>
      <c r="AJX238"/>
      <c r="AJY238"/>
      <c r="AJZ238"/>
      <c r="AKA238"/>
      <c r="AKB238"/>
      <c r="AKC238"/>
      <c r="AKD238"/>
      <c r="AKE238"/>
      <c r="AKF238"/>
      <c r="AKG238"/>
      <c r="AKH238"/>
      <c r="AKI238"/>
      <c r="AKJ238"/>
      <c r="AKK238"/>
      <c r="AKL238"/>
      <c r="AKM238"/>
      <c r="AKN238"/>
      <c r="AKO238"/>
      <c r="AKP238"/>
      <c r="AKQ238"/>
      <c r="AKR238"/>
      <c r="AKS238"/>
      <c r="AKT238"/>
      <c r="AKU238"/>
      <c r="AKV238"/>
      <c r="AKW238"/>
      <c r="AKX238"/>
      <c r="AKY238"/>
      <c r="AKZ238"/>
      <c r="ALA238"/>
      <c r="ALB238"/>
      <c r="ALC238"/>
      <c r="ALD238"/>
      <c r="ALE238"/>
      <c r="ALF238"/>
      <c r="ALG238"/>
      <c r="ALH238"/>
      <c r="ALI238"/>
      <c r="ALJ238"/>
      <c r="ALK238"/>
      <c r="ALL238"/>
      <c r="ALM238"/>
      <c r="ALN238"/>
      <c r="ALO238"/>
      <c r="ALP238"/>
      <c r="ALQ238"/>
      <c r="ALR238"/>
      <c r="ALS238"/>
      <c r="ALT238"/>
      <c r="ALU238"/>
      <c r="ALV238"/>
      <c r="ALW238"/>
      <c r="ALX238"/>
      <c r="ALY238"/>
      <c r="ALZ238"/>
      <c r="AMA238"/>
      <c r="AMB238"/>
      <c r="AMC238"/>
      <c r="AMD238"/>
      <c r="AME238"/>
      <c r="AMF238"/>
      <c r="AMG238"/>
      <c r="AMH238"/>
      <c r="AMI238"/>
      <c r="AMJ238"/>
      <c r="AMK238"/>
      <c r="AML238"/>
      <c r="AMM238"/>
      <c r="AMN238"/>
      <c r="AMO238"/>
      <c r="AMP238"/>
      <c r="AMQ238"/>
      <c r="AMR238"/>
      <c r="AMS238"/>
      <c r="AMT238"/>
      <c r="AMU238"/>
      <c r="AMV238"/>
      <c r="AMW238"/>
      <c r="AMX238"/>
      <c r="AMY238"/>
      <c r="AMZ238"/>
      <c r="ANA238"/>
      <c r="ANB238"/>
      <c r="ANC238"/>
      <c r="AND238"/>
      <c r="ANE238"/>
      <c r="ANF238"/>
      <c r="ANG238"/>
      <c r="ANH238"/>
      <c r="ANI238"/>
      <c r="ANJ238"/>
      <c r="ANK238"/>
      <c r="ANL238"/>
      <c r="ANM238"/>
      <c r="ANN238"/>
      <c r="ANO238"/>
      <c r="ANP238"/>
      <c r="ANQ238"/>
      <c r="ANR238"/>
      <c r="ANS238"/>
      <c r="ANT238"/>
      <c r="ANU238"/>
      <c r="ANV238"/>
      <c r="ANW238"/>
      <c r="ANX238"/>
      <c r="ANY238"/>
      <c r="ANZ238"/>
      <c r="AOA238"/>
      <c r="AOB238"/>
      <c r="AOC238"/>
      <c r="AOD238"/>
      <c r="AOE238"/>
      <c r="AOF238"/>
      <c r="AOG238"/>
      <c r="AOH238"/>
      <c r="AOI238"/>
      <c r="AOJ238"/>
      <c r="AOK238"/>
      <c r="AOL238"/>
      <c r="AOM238"/>
      <c r="AON238"/>
      <c r="AOO238"/>
      <c r="AOP238"/>
      <c r="AOQ238"/>
      <c r="AOR238"/>
      <c r="AOS238"/>
      <c r="AOT238"/>
      <c r="AOU238"/>
      <c r="AOV238"/>
      <c r="AOW238"/>
      <c r="AOX238"/>
      <c r="AOY238"/>
      <c r="AOZ238"/>
      <c r="APA238"/>
      <c r="APB238"/>
      <c r="APC238"/>
      <c r="APD238"/>
      <c r="APE238"/>
      <c r="APF238"/>
      <c r="APG238"/>
      <c r="APH238"/>
      <c r="API238"/>
      <c r="APJ238"/>
      <c r="APK238"/>
      <c r="APL238"/>
      <c r="APM238"/>
      <c r="APN238"/>
      <c r="APO238"/>
      <c r="APP238"/>
      <c r="APQ238"/>
      <c r="APR238"/>
      <c r="APS238"/>
      <c r="APT238"/>
      <c r="APU238"/>
      <c r="APV238"/>
      <c r="APW238"/>
      <c r="APX238"/>
      <c r="APY238"/>
      <c r="APZ238"/>
      <c r="AQA238"/>
      <c r="AQB238"/>
      <c r="AQC238"/>
      <c r="AQD238"/>
      <c r="AQE238"/>
      <c r="AQF238"/>
      <c r="AQG238"/>
      <c r="AQH238"/>
      <c r="AQI238"/>
      <c r="AQJ238"/>
      <c r="AQK238"/>
      <c r="AQL238"/>
      <c r="AQM238"/>
      <c r="AQN238"/>
      <c r="AQO238"/>
      <c r="AQP238"/>
      <c r="AQQ238"/>
      <c r="AQR238"/>
      <c r="AQS238"/>
      <c r="AQT238"/>
      <c r="AQU238"/>
      <c r="AQV238"/>
      <c r="AQW238"/>
      <c r="AQX238"/>
      <c r="AQY238"/>
      <c r="AQZ238"/>
      <c r="ARA238"/>
      <c r="ARB238"/>
      <c r="ARC238"/>
      <c r="ARD238"/>
      <c r="ARE238"/>
      <c r="ARF238"/>
      <c r="ARG238"/>
      <c r="ARH238"/>
      <c r="ARI238"/>
      <c r="ARJ238"/>
      <c r="ARK238"/>
      <c r="ARL238"/>
      <c r="ARM238"/>
      <c r="ARN238"/>
      <c r="ARO238"/>
      <c r="ARP238"/>
      <c r="ARQ238"/>
      <c r="ARR238"/>
      <c r="ARS238"/>
      <c r="ART238"/>
      <c r="ARU238"/>
      <c r="ARV238"/>
      <c r="ARW238"/>
      <c r="ARX238"/>
      <c r="ARY238"/>
      <c r="ARZ238"/>
      <c r="ASA238"/>
      <c r="ASB238"/>
      <c r="ASC238"/>
      <c r="ASD238"/>
      <c r="ASE238"/>
      <c r="ASF238"/>
      <c r="ASG238"/>
      <c r="ASH238"/>
      <c r="ASI238"/>
      <c r="ASJ238"/>
      <c r="ASK238"/>
      <c r="ASL238"/>
      <c r="ASM238"/>
      <c r="ASN238"/>
      <c r="ASO238"/>
      <c r="ASP238"/>
      <c r="ASQ238"/>
      <c r="ASR238"/>
      <c r="ASS238"/>
      <c r="AST238"/>
      <c r="ASU238"/>
      <c r="ASV238"/>
      <c r="ASW238"/>
      <c r="ASX238"/>
      <c r="ASY238"/>
      <c r="ASZ238"/>
      <c r="ATA238"/>
      <c r="ATB238"/>
      <c r="ATC238"/>
      <c r="ATD238"/>
      <c r="ATE238"/>
      <c r="ATF238"/>
      <c r="ATG238"/>
      <c r="ATH238"/>
      <c r="ATI238"/>
      <c r="ATJ238"/>
      <c r="ATK238"/>
      <c r="ATL238"/>
      <c r="ATM238"/>
      <c r="ATN238"/>
      <c r="ATO238"/>
      <c r="ATP238"/>
      <c r="ATQ238"/>
      <c r="ATR238"/>
      <c r="ATS238"/>
      <c r="ATT238"/>
      <c r="ATU238"/>
      <c r="ATV238"/>
      <c r="ATW238"/>
      <c r="ATX238"/>
      <c r="ATY238"/>
      <c r="ATZ238"/>
      <c r="AUA238"/>
      <c r="AUB238"/>
      <c r="AUC238"/>
      <c r="AUD238"/>
      <c r="AUE238"/>
      <c r="AUF238"/>
      <c r="AUG238"/>
      <c r="AUH238"/>
      <c r="AUI238"/>
      <c r="AUJ238"/>
      <c r="AUK238"/>
      <c r="AUL238"/>
      <c r="AUM238"/>
      <c r="AUN238"/>
      <c r="AUO238"/>
      <c r="AUP238"/>
      <c r="AUQ238"/>
      <c r="AUR238"/>
      <c r="AUS238"/>
      <c r="AUT238"/>
      <c r="AUU238"/>
      <c r="AUV238"/>
      <c r="AUW238"/>
      <c r="AUX238"/>
      <c r="AUY238"/>
      <c r="AUZ238"/>
      <c r="AVA238"/>
      <c r="AVB238"/>
      <c r="AVC238"/>
      <c r="AVD238"/>
      <c r="AVE238"/>
      <c r="AVF238"/>
      <c r="AVG238"/>
      <c r="AVH238"/>
      <c r="AVI238"/>
      <c r="AVJ238"/>
      <c r="AVK238"/>
      <c r="AVL238"/>
      <c r="AVM238"/>
      <c r="AVN238"/>
      <c r="AVO238"/>
      <c r="AVP238"/>
      <c r="AVQ238"/>
      <c r="AVR238"/>
      <c r="AVS238"/>
      <c r="AVT238"/>
      <c r="AVU238"/>
      <c r="AVV238"/>
      <c r="AVW238"/>
      <c r="AVX238"/>
      <c r="AVY238"/>
      <c r="AVZ238"/>
      <c r="AWA238"/>
      <c r="AWB238"/>
      <c r="AWC238"/>
      <c r="AWD238"/>
      <c r="AWE238"/>
      <c r="AWF238"/>
      <c r="AWG238"/>
      <c r="AWH238"/>
      <c r="AWI238"/>
      <c r="AWJ238"/>
      <c r="AWK238"/>
      <c r="AWL238"/>
      <c r="AWM238"/>
      <c r="AWN238"/>
      <c r="AWO238"/>
      <c r="AWP238"/>
      <c r="AWQ238"/>
      <c r="AWR238"/>
      <c r="AWS238"/>
      <c r="AWT238"/>
      <c r="AWU238"/>
      <c r="AWV238"/>
      <c r="AWW238"/>
      <c r="AWX238"/>
      <c r="AWY238"/>
      <c r="AWZ238"/>
      <c r="AXA238"/>
      <c r="AXB238"/>
      <c r="AXC238"/>
      <c r="AXD238"/>
      <c r="AXE238"/>
      <c r="AXF238"/>
      <c r="AXG238"/>
      <c r="AXH238"/>
      <c r="AXI238"/>
      <c r="AXJ238"/>
      <c r="AXK238"/>
      <c r="AXL238"/>
      <c r="AXM238"/>
      <c r="AXN238"/>
      <c r="AXO238"/>
      <c r="AXP238"/>
      <c r="AXQ238"/>
      <c r="AXR238"/>
      <c r="AXS238"/>
      <c r="AXT238"/>
      <c r="AXU238"/>
      <c r="AXV238"/>
      <c r="AXW238"/>
      <c r="AXX238"/>
      <c r="AXY238"/>
      <c r="AXZ238"/>
      <c r="AYA238"/>
      <c r="AYB238"/>
      <c r="AYC238"/>
      <c r="AYD238"/>
      <c r="AYE238"/>
      <c r="AYF238"/>
      <c r="AYG238"/>
      <c r="AYH238"/>
      <c r="AYI238"/>
      <c r="AYJ238"/>
      <c r="AYK238"/>
      <c r="AYL238"/>
      <c r="AYM238"/>
      <c r="AYN238"/>
      <c r="AYO238"/>
      <c r="AYP238"/>
      <c r="AYQ238"/>
      <c r="AYR238"/>
      <c r="AYS238"/>
      <c r="AYT238"/>
      <c r="AYU238"/>
      <c r="AYV238"/>
      <c r="AYW238"/>
      <c r="AYX238"/>
      <c r="AYY238"/>
      <c r="AYZ238"/>
      <c r="AZA238"/>
      <c r="AZB238"/>
      <c r="AZC238"/>
      <c r="AZD238"/>
      <c r="AZE238"/>
      <c r="AZF238"/>
      <c r="AZG238"/>
      <c r="AZH238"/>
      <c r="AZI238"/>
      <c r="AZJ238"/>
      <c r="AZK238"/>
      <c r="AZL238"/>
      <c r="AZM238"/>
      <c r="AZN238"/>
      <c r="AZO238"/>
      <c r="AZP238"/>
      <c r="AZQ238"/>
      <c r="AZR238"/>
      <c r="AZS238"/>
      <c r="AZT238"/>
      <c r="AZU238"/>
      <c r="AZV238"/>
      <c r="AZW238"/>
      <c r="AZX238"/>
      <c r="AZY238"/>
      <c r="AZZ238"/>
      <c r="BAA238"/>
      <c r="BAB238"/>
      <c r="BAC238"/>
      <c r="BAD238"/>
      <c r="BAE238"/>
      <c r="BAF238"/>
      <c r="BAG238"/>
      <c r="BAH238"/>
      <c r="BAI238"/>
      <c r="BAJ238"/>
      <c r="BAK238"/>
      <c r="BAL238"/>
      <c r="BAM238"/>
      <c r="BAN238"/>
      <c r="BAO238"/>
      <c r="BAP238"/>
      <c r="BAQ238"/>
      <c r="BAR238"/>
      <c r="BAS238"/>
      <c r="BAT238"/>
      <c r="BAU238"/>
      <c r="BAV238"/>
      <c r="BAW238"/>
      <c r="BAX238"/>
      <c r="BAY238"/>
      <c r="BAZ238"/>
      <c r="BBA238"/>
      <c r="BBB238"/>
      <c r="BBC238"/>
      <c r="BBD238"/>
      <c r="BBE238"/>
      <c r="BBF238"/>
      <c r="BBG238"/>
      <c r="BBH238"/>
      <c r="BBI238"/>
      <c r="BBJ238"/>
      <c r="BBK238"/>
      <c r="BBL238"/>
      <c r="BBM238"/>
      <c r="BBN238"/>
      <c r="BBO238"/>
      <c r="BBP238"/>
      <c r="BBQ238"/>
      <c r="BBR238"/>
      <c r="BBS238"/>
      <c r="BBT238"/>
      <c r="BBU238"/>
      <c r="BBV238"/>
      <c r="BBW238"/>
      <c r="BBX238"/>
      <c r="BBY238"/>
      <c r="BBZ238"/>
      <c r="BCA238"/>
      <c r="BCB238"/>
      <c r="BCC238"/>
      <c r="BCD238"/>
      <c r="BCE238"/>
      <c r="BCF238"/>
      <c r="BCG238"/>
      <c r="BCH238"/>
      <c r="BCI238"/>
      <c r="BCJ238"/>
      <c r="BCK238"/>
      <c r="BCL238"/>
      <c r="BCM238"/>
      <c r="BCN238"/>
      <c r="BCO238"/>
      <c r="BCP238"/>
      <c r="BCQ238"/>
      <c r="BCR238"/>
      <c r="BCS238"/>
      <c r="BCT238"/>
      <c r="BCU238"/>
      <c r="BCV238"/>
      <c r="BCW238"/>
      <c r="BCX238"/>
      <c r="BCY238"/>
      <c r="BCZ238"/>
      <c r="BDA238"/>
      <c r="BDB238"/>
      <c r="BDC238"/>
      <c r="BDD238"/>
      <c r="BDE238"/>
      <c r="BDF238"/>
      <c r="BDG238"/>
      <c r="BDH238"/>
      <c r="BDI238"/>
      <c r="BDJ238"/>
      <c r="BDK238"/>
      <c r="BDL238"/>
      <c r="BDM238"/>
      <c r="BDN238"/>
      <c r="BDO238"/>
      <c r="BDP238"/>
      <c r="BDQ238"/>
      <c r="BDR238"/>
      <c r="BDS238"/>
      <c r="BDT238"/>
      <c r="BDU238"/>
      <c r="BDV238"/>
      <c r="BDW238"/>
      <c r="BDX238"/>
      <c r="BDY238"/>
      <c r="BDZ238"/>
      <c r="BEA238"/>
      <c r="BEB238"/>
      <c r="BEC238"/>
      <c r="BED238"/>
      <c r="BEE238"/>
      <c r="BEF238"/>
      <c r="BEG238"/>
      <c r="BEH238"/>
      <c r="BEI238"/>
      <c r="BEJ238"/>
      <c r="BEK238"/>
      <c r="BEL238"/>
      <c r="BEM238"/>
      <c r="BEN238"/>
      <c r="BEO238"/>
      <c r="BEP238"/>
      <c r="BEQ238"/>
      <c r="BER238"/>
      <c r="BES238"/>
      <c r="BET238"/>
      <c r="BEU238"/>
      <c r="BEV238"/>
      <c r="BEW238"/>
      <c r="BEX238"/>
      <c r="BEY238"/>
      <c r="BEZ238"/>
      <c r="BFA238"/>
      <c r="BFB238"/>
      <c r="BFC238"/>
      <c r="BFD238"/>
      <c r="BFE238"/>
      <c r="BFF238"/>
      <c r="BFG238"/>
      <c r="BFH238"/>
      <c r="BFI238"/>
      <c r="BFJ238"/>
      <c r="BFK238"/>
      <c r="BFL238"/>
      <c r="BFM238"/>
      <c r="BFN238"/>
      <c r="BFO238"/>
      <c r="BFP238"/>
      <c r="BFQ238"/>
      <c r="BFR238"/>
      <c r="BFS238"/>
      <c r="BFT238"/>
      <c r="BFU238"/>
      <c r="BFV238"/>
      <c r="BFW238"/>
      <c r="BFX238"/>
      <c r="BFY238"/>
      <c r="BFZ238"/>
      <c r="BGA238"/>
      <c r="BGB238"/>
      <c r="BGC238"/>
      <c r="BGD238"/>
      <c r="BGE238"/>
      <c r="BGF238"/>
      <c r="BGG238"/>
      <c r="BGH238"/>
      <c r="BGI238"/>
      <c r="BGJ238"/>
      <c r="BGK238"/>
      <c r="BGL238"/>
      <c r="BGM238"/>
      <c r="BGN238"/>
      <c r="BGO238"/>
      <c r="BGP238"/>
      <c r="BGQ238"/>
      <c r="BGR238"/>
      <c r="BGS238"/>
      <c r="BGT238"/>
      <c r="BGU238"/>
      <c r="BGV238"/>
      <c r="BGW238"/>
      <c r="BGX238"/>
      <c r="BGY238"/>
      <c r="BGZ238"/>
      <c r="BHA238"/>
      <c r="BHB238"/>
      <c r="BHC238"/>
      <c r="BHD238"/>
      <c r="BHE238"/>
      <c r="BHF238"/>
      <c r="BHG238"/>
      <c r="BHH238"/>
      <c r="BHI238"/>
      <c r="BHJ238"/>
      <c r="BHK238"/>
      <c r="BHL238"/>
      <c r="BHM238"/>
      <c r="BHN238"/>
      <c r="BHO238"/>
      <c r="BHP238"/>
      <c r="BHQ238"/>
      <c r="BHR238"/>
      <c r="BHS238"/>
      <c r="BHT238"/>
      <c r="BHU238"/>
      <c r="BHV238"/>
      <c r="BHW238"/>
      <c r="BHX238"/>
      <c r="BHY238"/>
      <c r="BHZ238"/>
      <c r="BIA238"/>
      <c r="BIB238"/>
      <c r="BIC238"/>
      <c r="BID238"/>
      <c r="BIE238"/>
      <c r="BIF238"/>
      <c r="BIG238"/>
      <c r="BIH238"/>
      <c r="BII238"/>
      <c r="BIJ238"/>
      <c r="BIK238"/>
      <c r="BIL238"/>
      <c r="BIM238"/>
      <c r="BIN238"/>
      <c r="BIO238"/>
      <c r="BIP238"/>
      <c r="BIQ238"/>
      <c r="BIR238"/>
      <c r="BIS238"/>
      <c r="BIT238"/>
      <c r="BIU238"/>
      <c r="BIV238"/>
      <c r="BIW238"/>
      <c r="BIX238"/>
      <c r="BIY238"/>
      <c r="BIZ238"/>
      <c r="BJA238"/>
      <c r="BJB238"/>
      <c r="BJC238"/>
      <c r="BJD238"/>
      <c r="BJE238"/>
      <c r="BJF238"/>
      <c r="BJG238"/>
      <c r="BJH238"/>
      <c r="BJI238"/>
      <c r="BJJ238"/>
      <c r="BJK238"/>
      <c r="BJL238"/>
      <c r="BJM238"/>
      <c r="BJN238"/>
      <c r="BJO238"/>
      <c r="BJP238"/>
      <c r="BJQ238"/>
      <c r="BJR238"/>
      <c r="BJS238"/>
      <c r="BJT238"/>
      <c r="BJU238"/>
      <c r="BJV238"/>
      <c r="BJW238"/>
      <c r="BJX238"/>
      <c r="BJY238"/>
      <c r="BJZ238"/>
      <c r="BKA238"/>
      <c r="BKB238"/>
      <c r="BKC238"/>
      <c r="BKD238"/>
      <c r="BKE238"/>
      <c r="BKF238"/>
      <c r="BKG238"/>
      <c r="BKH238"/>
      <c r="BKI238"/>
      <c r="BKJ238"/>
      <c r="BKK238"/>
      <c r="BKL238"/>
      <c r="BKM238"/>
      <c r="BKN238"/>
      <c r="BKO238"/>
      <c r="BKP238"/>
      <c r="BKQ238"/>
      <c r="BKR238"/>
      <c r="BKS238"/>
      <c r="BKT238"/>
      <c r="BKU238"/>
      <c r="BKV238"/>
      <c r="BKW238"/>
      <c r="BKX238"/>
      <c r="BKY238"/>
      <c r="BKZ238"/>
      <c r="BLA238"/>
      <c r="BLB238"/>
      <c r="BLC238"/>
      <c r="BLD238"/>
      <c r="BLE238"/>
      <c r="BLF238"/>
      <c r="BLG238"/>
      <c r="BLH238"/>
      <c r="BLI238"/>
      <c r="BLJ238"/>
      <c r="BLK238"/>
      <c r="BLL238"/>
      <c r="BLM238"/>
      <c r="BLN238"/>
      <c r="BLO238"/>
      <c r="BLP238"/>
      <c r="BLQ238"/>
      <c r="BLR238"/>
      <c r="BLS238"/>
      <c r="BLT238"/>
      <c r="BLU238"/>
      <c r="BLV238"/>
      <c r="BLW238"/>
      <c r="BLX238"/>
      <c r="BLY238"/>
      <c r="BLZ238"/>
      <c r="BMA238"/>
      <c r="BMB238"/>
      <c r="BMC238"/>
      <c r="BMD238"/>
      <c r="BME238"/>
      <c r="BMF238"/>
      <c r="BMG238"/>
      <c r="BMH238"/>
      <c r="BMI238"/>
      <c r="BMJ238"/>
      <c r="BMK238"/>
      <c r="BML238"/>
      <c r="BMM238"/>
      <c r="BMN238"/>
      <c r="BMO238"/>
      <c r="BMP238"/>
      <c r="BMQ238"/>
      <c r="BMR238"/>
      <c r="BMS238"/>
      <c r="BMT238"/>
      <c r="BMU238"/>
      <c r="BMV238"/>
      <c r="BMW238"/>
      <c r="BMX238"/>
      <c r="BMY238"/>
      <c r="BMZ238"/>
      <c r="BNA238"/>
      <c r="BNB238"/>
      <c r="BNC238"/>
      <c r="BND238"/>
      <c r="BNE238"/>
      <c r="BNF238"/>
      <c r="BNG238"/>
      <c r="BNH238"/>
      <c r="BNI238"/>
      <c r="BNJ238"/>
      <c r="BNK238"/>
      <c r="BNL238"/>
      <c r="BNM238"/>
      <c r="BNN238"/>
      <c r="BNO238"/>
      <c r="BNP238"/>
      <c r="BNQ238"/>
      <c r="BNR238"/>
      <c r="BNS238"/>
      <c r="BNT238"/>
      <c r="BNU238"/>
      <c r="BNV238"/>
      <c r="BNW238"/>
      <c r="BNX238"/>
      <c r="BNY238"/>
      <c r="BNZ238"/>
      <c r="BOA238"/>
      <c r="BOB238"/>
      <c r="BOC238"/>
      <c r="BOD238"/>
      <c r="BOE238"/>
      <c r="BOF238"/>
      <c r="BOG238"/>
      <c r="BOH238"/>
      <c r="BOI238"/>
      <c r="BOJ238"/>
      <c r="BOK238"/>
      <c r="BOL238"/>
      <c r="BOM238"/>
      <c r="BON238"/>
      <c r="BOO238"/>
      <c r="BOP238"/>
      <c r="BOQ238"/>
      <c r="BOR238"/>
      <c r="BOS238"/>
      <c r="BOT238"/>
      <c r="BOU238"/>
      <c r="BOV238"/>
      <c r="BOW238"/>
      <c r="BOX238"/>
      <c r="BOY238"/>
      <c r="BOZ238"/>
      <c r="BPA238"/>
      <c r="BPB238"/>
      <c r="BPC238"/>
      <c r="BPD238"/>
      <c r="BPE238"/>
      <c r="BPF238"/>
      <c r="BPG238"/>
      <c r="BPH238"/>
      <c r="BPI238"/>
      <c r="BPJ238"/>
      <c r="BPK238"/>
      <c r="BPL238"/>
      <c r="BPM238"/>
      <c r="BPN238"/>
      <c r="BPO238"/>
      <c r="BPP238"/>
      <c r="BPQ238"/>
      <c r="BPR238"/>
      <c r="BPS238"/>
      <c r="BPT238"/>
      <c r="BPU238"/>
      <c r="BPV238"/>
      <c r="BPW238"/>
      <c r="BPX238"/>
      <c r="BPY238"/>
      <c r="BPZ238"/>
      <c r="BQA238"/>
      <c r="BQB238"/>
      <c r="BQC238"/>
      <c r="BQD238"/>
      <c r="BQE238"/>
      <c r="BQF238"/>
      <c r="BQG238"/>
      <c r="BQH238"/>
      <c r="BQI238"/>
      <c r="BQJ238"/>
      <c r="BQK238"/>
      <c r="BQL238"/>
      <c r="BQM238"/>
      <c r="BQN238"/>
      <c r="BQO238"/>
      <c r="BQP238"/>
      <c r="BQQ238"/>
      <c r="BQR238"/>
      <c r="BQS238"/>
      <c r="BQT238"/>
      <c r="BQU238"/>
      <c r="BQV238"/>
      <c r="BQW238"/>
      <c r="BQX238"/>
      <c r="BQY238"/>
      <c r="BQZ238"/>
      <c r="BRA238"/>
      <c r="BRB238"/>
      <c r="BRC238"/>
      <c r="BRD238"/>
      <c r="BRE238"/>
      <c r="BRF238"/>
      <c r="BRG238"/>
      <c r="BRH238"/>
      <c r="BRI238"/>
      <c r="BRJ238"/>
      <c r="BRK238"/>
      <c r="BRL238"/>
      <c r="BRM238"/>
      <c r="BRN238"/>
      <c r="BRO238"/>
      <c r="BRP238"/>
      <c r="BRQ238"/>
      <c r="BRR238"/>
      <c r="BRS238"/>
      <c r="BRT238"/>
      <c r="BRU238"/>
      <c r="BRV238"/>
      <c r="BRW238"/>
      <c r="BRX238"/>
      <c r="BRY238"/>
      <c r="BRZ238"/>
      <c r="BSA238"/>
      <c r="BSB238"/>
      <c r="BSC238"/>
      <c r="BSD238"/>
      <c r="BSE238"/>
      <c r="BSF238"/>
      <c r="BSG238"/>
      <c r="BSH238"/>
      <c r="BSI238"/>
      <c r="BSJ238"/>
      <c r="BSK238"/>
      <c r="BSL238"/>
      <c r="BSM238"/>
      <c r="BSN238"/>
      <c r="BSO238"/>
      <c r="BSP238"/>
      <c r="BSQ238"/>
      <c r="BSR238"/>
      <c r="BSS238"/>
      <c r="BST238"/>
      <c r="BSU238"/>
      <c r="BSV238"/>
      <c r="BSW238"/>
      <c r="BSX238"/>
      <c r="BSY238"/>
      <c r="BSZ238"/>
      <c r="BTA238"/>
      <c r="BTB238"/>
      <c r="BTC238"/>
      <c r="BTD238"/>
      <c r="BTE238"/>
      <c r="BTF238"/>
      <c r="BTG238"/>
      <c r="BTH238"/>
      <c r="BTI238"/>
      <c r="BTJ238"/>
      <c r="BTK238"/>
      <c r="BTL238"/>
      <c r="BTM238"/>
      <c r="BTN238"/>
      <c r="BTO238"/>
      <c r="BTP238"/>
      <c r="BTQ238"/>
      <c r="BTR238"/>
      <c r="BTS238"/>
      <c r="BTT238"/>
      <c r="BTU238"/>
      <c r="BTV238"/>
      <c r="BTW238"/>
      <c r="BTX238"/>
      <c r="BTY238"/>
      <c r="BTZ238"/>
      <c r="BUA238"/>
      <c r="BUB238"/>
      <c r="BUC238"/>
      <c r="BUD238"/>
      <c r="BUE238"/>
      <c r="BUF238"/>
      <c r="BUG238"/>
      <c r="BUH238"/>
      <c r="BUI238"/>
      <c r="BUJ238"/>
      <c r="BUK238"/>
      <c r="BUL238"/>
      <c r="BUM238"/>
      <c r="BUN238"/>
      <c r="BUO238"/>
      <c r="BUP238"/>
      <c r="BUQ238"/>
      <c r="BUR238"/>
      <c r="BUS238"/>
      <c r="BUT238"/>
      <c r="BUU238"/>
      <c r="BUV238"/>
      <c r="BUW238"/>
      <c r="BUX238"/>
      <c r="BUY238"/>
      <c r="BUZ238"/>
      <c r="BVA238"/>
      <c r="BVB238"/>
      <c r="BVC238"/>
      <c r="BVD238"/>
      <c r="BVE238"/>
      <c r="BVF238"/>
      <c r="BVG238"/>
      <c r="BVH238"/>
      <c r="BVI238"/>
      <c r="BVJ238"/>
      <c r="BVK238"/>
      <c r="BVL238"/>
      <c r="BVM238"/>
      <c r="BVN238"/>
      <c r="BVO238"/>
      <c r="BVP238"/>
      <c r="BVQ238"/>
      <c r="BVR238"/>
      <c r="BVS238"/>
      <c r="BVT238"/>
      <c r="BVU238"/>
      <c r="BVV238"/>
      <c r="BVW238"/>
      <c r="BVX238"/>
      <c r="BVY238"/>
      <c r="BVZ238"/>
      <c r="BWA238"/>
      <c r="BWB238"/>
      <c r="BWC238"/>
      <c r="BWD238"/>
      <c r="BWE238"/>
      <c r="BWF238"/>
      <c r="BWG238"/>
      <c r="BWH238"/>
      <c r="BWI238"/>
      <c r="BWJ238"/>
      <c r="BWK238"/>
      <c r="BWL238"/>
      <c r="BWM238"/>
      <c r="BWN238"/>
      <c r="BWO238"/>
      <c r="BWP238"/>
      <c r="BWQ238"/>
      <c r="BWR238"/>
      <c r="BWS238"/>
      <c r="BWT238"/>
      <c r="BWU238"/>
      <c r="BWV238"/>
      <c r="BWW238"/>
      <c r="BWX238"/>
      <c r="BWY238"/>
      <c r="BWZ238"/>
      <c r="BXA238"/>
      <c r="BXB238"/>
      <c r="BXC238"/>
      <c r="BXD238"/>
      <c r="BXE238"/>
      <c r="BXF238"/>
      <c r="BXG238"/>
      <c r="BXH238"/>
      <c r="BXI238"/>
      <c r="BXJ238"/>
      <c r="BXK238"/>
      <c r="BXL238"/>
      <c r="BXM238"/>
      <c r="BXN238"/>
      <c r="BXO238"/>
      <c r="BXP238"/>
      <c r="BXQ238"/>
      <c r="BXR238"/>
      <c r="BXS238"/>
      <c r="BXT238"/>
      <c r="BXU238"/>
      <c r="BXV238"/>
      <c r="BXW238"/>
      <c r="BXX238"/>
      <c r="BXY238"/>
      <c r="BXZ238"/>
      <c r="BYA238"/>
      <c r="BYB238"/>
      <c r="BYC238"/>
      <c r="BYD238"/>
      <c r="BYE238"/>
      <c r="BYF238"/>
      <c r="BYG238"/>
      <c r="BYH238"/>
      <c r="BYI238"/>
      <c r="BYJ238"/>
      <c r="BYK238"/>
      <c r="BYL238"/>
      <c r="BYM238"/>
      <c r="BYN238"/>
      <c r="BYO238"/>
      <c r="BYP238"/>
      <c r="BYQ238"/>
      <c r="BYR238"/>
      <c r="BYS238"/>
      <c r="BYT238"/>
      <c r="BYU238"/>
      <c r="BYV238"/>
      <c r="BYW238"/>
      <c r="BYX238"/>
      <c r="BYY238"/>
      <c r="BYZ238"/>
      <c r="BZA238"/>
      <c r="BZB238"/>
      <c r="BZC238"/>
      <c r="BZD238"/>
      <c r="BZE238"/>
      <c r="BZF238"/>
      <c r="BZG238"/>
      <c r="BZH238"/>
      <c r="BZI238"/>
      <c r="BZJ238"/>
      <c r="BZK238"/>
      <c r="BZL238"/>
      <c r="BZM238"/>
      <c r="BZN238"/>
      <c r="BZO238"/>
      <c r="BZP238"/>
      <c r="BZQ238"/>
      <c r="BZR238"/>
      <c r="BZS238"/>
      <c r="BZT238"/>
      <c r="BZU238"/>
      <c r="BZV238"/>
      <c r="BZW238"/>
      <c r="BZX238"/>
      <c r="BZY238"/>
      <c r="BZZ238"/>
      <c r="CAA238"/>
      <c r="CAB238"/>
      <c r="CAC238"/>
      <c r="CAD238"/>
      <c r="CAE238"/>
      <c r="CAF238"/>
      <c r="CAG238"/>
      <c r="CAH238"/>
      <c r="CAI238"/>
      <c r="CAJ238"/>
      <c r="CAK238"/>
      <c r="CAL238"/>
      <c r="CAM238"/>
      <c r="CAN238"/>
      <c r="CAO238"/>
      <c r="CAP238"/>
      <c r="CAQ238"/>
      <c r="CAR238"/>
      <c r="CAS238"/>
      <c r="CAT238"/>
      <c r="CAU238"/>
      <c r="CAV238"/>
      <c r="CAW238"/>
      <c r="CAX238"/>
      <c r="CAY238"/>
      <c r="CAZ238"/>
      <c r="CBA238"/>
      <c r="CBB238"/>
      <c r="CBC238"/>
      <c r="CBD238"/>
      <c r="CBE238"/>
      <c r="CBF238"/>
      <c r="CBG238"/>
      <c r="CBH238"/>
      <c r="CBI238"/>
      <c r="CBJ238"/>
      <c r="CBK238"/>
      <c r="CBL238"/>
      <c r="CBM238"/>
      <c r="CBN238"/>
      <c r="CBO238"/>
      <c r="CBP238"/>
      <c r="CBQ238"/>
      <c r="CBR238"/>
      <c r="CBS238"/>
      <c r="CBT238"/>
      <c r="CBU238"/>
      <c r="CBV238"/>
      <c r="CBW238"/>
      <c r="CBX238"/>
      <c r="CBY238"/>
      <c r="CBZ238"/>
      <c r="CCA238"/>
      <c r="CCB238"/>
      <c r="CCC238"/>
      <c r="CCD238"/>
      <c r="CCE238"/>
      <c r="CCF238"/>
      <c r="CCG238"/>
      <c r="CCH238"/>
      <c r="CCI238"/>
      <c r="CCJ238"/>
      <c r="CCK238"/>
      <c r="CCL238"/>
      <c r="CCM238"/>
      <c r="CCN238"/>
      <c r="CCO238"/>
      <c r="CCP238"/>
      <c r="CCQ238"/>
      <c r="CCR238"/>
      <c r="CCS238"/>
      <c r="CCT238"/>
      <c r="CCU238"/>
      <c r="CCV238"/>
      <c r="CCW238"/>
      <c r="CCX238"/>
      <c r="CCY238"/>
      <c r="CCZ238"/>
      <c r="CDA238"/>
      <c r="CDB238"/>
      <c r="CDC238"/>
      <c r="CDD238"/>
      <c r="CDE238"/>
      <c r="CDF238"/>
      <c r="CDG238"/>
      <c r="CDH238"/>
      <c r="CDI238"/>
      <c r="CDJ238"/>
      <c r="CDK238"/>
      <c r="CDL238"/>
      <c r="CDM238"/>
      <c r="CDN238"/>
      <c r="CDO238"/>
      <c r="CDP238"/>
      <c r="CDQ238"/>
      <c r="CDR238"/>
      <c r="CDS238"/>
      <c r="CDT238"/>
      <c r="CDU238"/>
      <c r="CDV238"/>
      <c r="CDW238"/>
      <c r="CDX238"/>
      <c r="CDY238"/>
      <c r="CDZ238"/>
      <c r="CEA238"/>
      <c r="CEB238"/>
      <c r="CEC238"/>
      <c r="CED238"/>
      <c r="CEE238"/>
      <c r="CEF238"/>
      <c r="CEG238"/>
      <c r="CEH238"/>
      <c r="CEI238"/>
      <c r="CEJ238"/>
      <c r="CEK238"/>
      <c r="CEL238"/>
      <c r="CEM238"/>
      <c r="CEN238"/>
      <c r="CEO238"/>
      <c r="CEP238"/>
      <c r="CEQ238"/>
      <c r="CER238"/>
      <c r="CES238"/>
      <c r="CET238"/>
      <c r="CEU238"/>
      <c r="CEV238"/>
      <c r="CEW238"/>
      <c r="CEX238"/>
      <c r="CEY238"/>
      <c r="CEZ238"/>
      <c r="CFA238"/>
      <c r="CFB238"/>
      <c r="CFC238"/>
      <c r="CFD238"/>
      <c r="CFE238"/>
      <c r="CFF238"/>
      <c r="CFG238"/>
      <c r="CFH238"/>
      <c r="CFI238"/>
      <c r="CFJ238"/>
      <c r="CFK238"/>
      <c r="CFL238"/>
      <c r="CFM238"/>
      <c r="CFN238"/>
      <c r="CFO238"/>
      <c r="CFP238"/>
      <c r="CFQ238"/>
      <c r="CFR238"/>
      <c r="CFS238"/>
      <c r="CFT238"/>
      <c r="CFU238"/>
      <c r="CFV238"/>
      <c r="CFW238"/>
      <c r="CFX238"/>
      <c r="CFY238"/>
      <c r="CFZ238"/>
      <c r="CGA238"/>
      <c r="CGB238"/>
      <c r="CGC238"/>
      <c r="CGD238"/>
      <c r="CGE238"/>
      <c r="CGF238"/>
      <c r="CGG238"/>
      <c r="CGH238"/>
      <c r="CGI238"/>
      <c r="CGJ238"/>
      <c r="CGK238"/>
      <c r="CGL238"/>
      <c r="CGM238"/>
      <c r="CGN238"/>
      <c r="CGO238"/>
      <c r="CGP238"/>
      <c r="CGQ238"/>
      <c r="CGR238"/>
      <c r="CGS238"/>
      <c r="CGT238"/>
      <c r="CGU238"/>
      <c r="CGV238"/>
      <c r="CGW238"/>
      <c r="CGX238"/>
      <c r="CGY238"/>
      <c r="CGZ238"/>
      <c r="CHA238"/>
      <c r="CHB238"/>
      <c r="CHC238"/>
      <c r="CHD238"/>
      <c r="CHE238"/>
      <c r="CHF238"/>
      <c r="CHG238"/>
      <c r="CHH238"/>
      <c r="CHI238"/>
      <c r="CHJ238"/>
      <c r="CHK238"/>
      <c r="CHL238"/>
      <c r="CHM238"/>
      <c r="CHN238"/>
      <c r="CHO238"/>
      <c r="CHP238"/>
      <c r="CHQ238"/>
      <c r="CHR238"/>
      <c r="CHS238"/>
      <c r="CHT238"/>
      <c r="CHU238"/>
      <c r="CHV238"/>
      <c r="CHW238"/>
      <c r="CHX238"/>
      <c r="CHY238"/>
      <c r="CHZ238"/>
      <c r="CIA238"/>
      <c r="CIB238"/>
      <c r="CIC238"/>
      <c r="CID238"/>
      <c r="CIE238"/>
      <c r="CIF238"/>
      <c r="CIG238"/>
      <c r="CIH238"/>
      <c r="CII238"/>
      <c r="CIJ238"/>
      <c r="CIK238"/>
      <c r="CIL238"/>
      <c r="CIM238"/>
      <c r="CIN238"/>
      <c r="CIO238"/>
      <c r="CIP238"/>
      <c r="CIQ238"/>
      <c r="CIR238"/>
      <c r="CIS238"/>
      <c r="CIT238"/>
      <c r="CIU238"/>
      <c r="CIV238"/>
      <c r="CIW238"/>
      <c r="CIX238"/>
      <c r="CIY238"/>
      <c r="CIZ238"/>
      <c r="CJA238"/>
      <c r="CJB238"/>
      <c r="CJC238"/>
      <c r="CJD238"/>
      <c r="CJE238"/>
      <c r="CJF238"/>
      <c r="CJG238"/>
      <c r="CJH238"/>
      <c r="CJI238"/>
      <c r="CJJ238"/>
      <c r="CJK238"/>
      <c r="CJL238"/>
      <c r="CJM238"/>
      <c r="CJN238"/>
      <c r="CJO238"/>
      <c r="CJP238"/>
      <c r="CJQ238"/>
      <c r="CJR238"/>
      <c r="CJS238"/>
      <c r="CJT238"/>
      <c r="CJU238"/>
      <c r="CJV238"/>
      <c r="CJW238"/>
      <c r="CJX238"/>
      <c r="CJY238"/>
      <c r="CJZ238"/>
      <c r="CKA238"/>
      <c r="CKB238"/>
      <c r="CKC238"/>
      <c r="CKD238"/>
      <c r="CKE238"/>
      <c r="CKF238"/>
      <c r="CKG238"/>
      <c r="CKH238"/>
      <c r="CKI238"/>
      <c r="CKJ238"/>
      <c r="CKK238"/>
      <c r="CKL238"/>
      <c r="CKM238"/>
      <c r="CKN238"/>
      <c r="CKO238"/>
      <c r="CKP238"/>
      <c r="CKQ238"/>
      <c r="CKR238"/>
      <c r="CKS238"/>
      <c r="CKT238"/>
      <c r="CKU238"/>
      <c r="CKV238"/>
      <c r="CKW238"/>
      <c r="CKX238"/>
      <c r="CKY238"/>
      <c r="CKZ238"/>
      <c r="CLA238"/>
      <c r="CLB238"/>
      <c r="CLC238"/>
      <c r="CLD238"/>
      <c r="CLE238"/>
      <c r="CLF238"/>
      <c r="CLG238"/>
      <c r="CLH238"/>
      <c r="CLI238"/>
      <c r="CLJ238"/>
      <c r="CLK238"/>
      <c r="CLL238"/>
      <c r="CLM238"/>
      <c r="CLN238"/>
      <c r="CLO238"/>
      <c r="CLP238"/>
      <c r="CLQ238"/>
      <c r="CLR238"/>
      <c r="CLS238"/>
      <c r="CLT238"/>
      <c r="CLU238"/>
      <c r="CLV238"/>
      <c r="CLW238"/>
      <c r="CLX238"/>
      <c r="CLY238"/>
      <c r="CLZ238"/>
      <c r="CMA238"/>
      <c r="CMB238"/>
      <c r="CMC238"/>
      <c r="CMD238"/>
      <c r="CME238"/>
      <c r="CMF238"/>
      <c r="CMG238"/>
      <c r="CMH238"/>
      <c r="CMI238"/>
      <c r="CMJ238"/>
      <c r="CMK238"/>
      <c r="CML238"/>
      <c r="CMM238"/>
      <c r="CMN238"/>
      <c r="CMO238"/>
      <c r="CMP238"/>
      <c r="CMQ238"/>
      <c r="CMR238"/>
      <c r="CMS238"/>
      <c r="CMT238"/>
      <c r="CMU238"/>
      <c r="CMV238"/>
      <c r="CMW238"/>
      <c r="CMX238"/>
      <c r="CMY238"/>
      <c r="CMZ238"/>
      <c r="CNA238"/>
      <c r="CNB238"/>
      <c r="CNC238"/>
      <c r="CND238"/>
      <c r="CNE238"/>
      <c r="CNF238"/>
      <c r="CNG238"/>
      <c r="CNH238"/>
      <c r="CNI238"/>
      <c r="CNJ238"/>
      <c r="CNK238"/>
      <c r="CNL238"/>
      <c r="CNM238"/>
      <c r="CNN238"/>
      <c r="CNO238"/>
      <c r="CNP238"/>
      <c r="CNQ238"/>
      <c r="CNR238"/>
      <c r="CNS238"/>
      <c r="CNT238"/>
      <c r="CNU238"/>
      <c r="CNV238"/>
      <c r="CNW238"/>
      <c r="CNX238"/>
      <c r="CNY238"/>
      <c r="CNZ238"/>
      <c r="COA238"/>
      <c r="COB238"/>
      <c r="COC238"/>
      <c r="COD238"/>
      <c r="COE238"/>
      <c r="COF238"/>
      <c r="COG238"/>
      <c r="COH238"/>
      <c r="COI238"/>
      <c r="COJ238"/>
      <c r="COK238"/>
      <c r="COL238"/>
      <c r="COM238"/>
      <c r="CON238"/>
      <c r="COO238"/>
      <c r="COP238"/>
      <c r="COQ238"/>
      <c r="COR238"/>
      <c r="COS238"/>
      <c r="COT238"/>
      <c r="COU238"/>
      <c r="COV238"/>
      <c r="COW238"/>
      <c r="COX238"/>
      <c r="COY238"/>
      <c r="COZ238"/>
      <c r="CPA238"/>
      <c r="CPB238"/>
      <c r="CPC238"/>
      <c r="CPD238"/>
      <c r="CPE238"/>
      <c r="CPF238"/>
      <c r="CPG238"/>
      <c r="CPH238"/>
      <c r="CPI238"/>
      <c r="CPJ238"/>
      <c r="CPK238"/>
      <c r="CPL238"/>
      <c r="CPM238"/>
      <c r="CPN238"/>
      <c r="CPO238"/>
      <c r="CPP238"/>
      <c r="CPQ238"/>
      <c r="CPR238"/>
      <c r="CPS238"/>
      <c r="CPT238"/>
      <c r="CPU238"/>
      <c r="CPV238"/>
      <c r="CPW238"/>
      <c r="CPX238"/>
      <c r="CPY238"/>
      <c r="CPZ238"/>
      <c r="CQA238"/>
      <c r="CQB238"/>
      <c r="CQC238"/>
      <c r="CQD238"/>
      <c r="CQE238"/>
      <c r="CQF238"/>
      <c r="CQG238"/>
      <c r="CQH238"/>
      <c r="CQI238"/>
      <c r="CQJ238"/>
      <c r="CQK238"/>
      <c r="CQL238"/>
      <c r="CQM238"/>
      <c r="CQN238"/>
      <c r="CQO238"/>
      <c r="CQP238"/>
      <c r="CQQ238"/>
      <c r="CQR238"/>
      <c r="CQS238"/>
      <c r="CQT238"/>
      <c r="CQU238"/>
      <c r="CQV238"/>
      <c r="CQW238"/>
      <c r="CQX238"/>
      <c r="CQY238"/>
      <c r="CQZ238"/>
      <c r="CRA238"/>
      <c r="CRB238"/>
      <c r="CRC238"/>
      <c r="CRD238"/>
      <c r="CRE238"/>
      <c r="CRF238"/>
      <c r="CRG238"/>
      <c r="CRH238"/>
      <c r="CRI238"/>
      <c r="CRJ238"/>
      <c r="CRK238"/>
      <c r="CRL238"/>
      <c r="CRM238"/>
      <c r="CRN238"/>
      <c r="CRO238"/>
      <c r="CRP238"/>
      <c r="CRQ238"/>
      <c r="CRR238"/>
      <c r="CRS238"/>
      <c r="CRT238"/>
      <c r="CRU238"/>
      <c r="CRV238"/>
      <c r="CRW238"/>
      <c r="CRX238"/>
      <c r="CRY238"/>
      <c r="CRZ238"/>
      <c r="CSA238"/>
      <c r="CSB238"/>
      <c r="CSC238"/>
      <c r="CSD238"/>
      <c r="CSE238"/>
      <c r="CSF238"/>
      <c r="CSG238"/>
      <c r="CSH238"/>
      <c r="CSI238"/>
      <c r="CSJ238"/>
      <c r="CSK238"/>
      <c r="CSL238"/>
      <c r="CSM238"/>
      <c r="CSN238"/>
      <c r="CSO238"/>
      <c r="CSP238"/>
      <c r="CSQ238"/>
      <c r="CSR238"/>
      <c r="CSS238"/>
      <c r="CST238"/>
      <c r="CSU238"/>
      <c r="CSV238"/>
      <c r="CSW238"/>
      <c r="CSX238"/>
      <c r="CSY238"/>
      <c r="CSZ238"/>
      <c r="CTA238"/>
      <c r="CTB238"/>
      <c r="CTC238"/>
      <c r="CTD238"/>
      <c r="CTE238"/>
      <c r="CTF238"/>
      <c r="CTG238"/>
      <c r="CTH238"/>
      <c r="CTI238"/>
      <c r="CTJ238"/>
      <c r="CTK238"/>
      <c r="CTL238"/>
      <c r="CTM238"/>
      <c r="CTN238"/>
      <c r="CTO238"/>
      <c r="CTP238"/>
      <c r="CTQ238"/>
      <c r="CTR238"/>
      <c r="CTS238"/>
      <c r="CTT238"/>
      <c r="CTU238"/>
      <c r="CTV238"/>
      <c r="CTW238"/>
      <c r="CTX238"/>
      <c r="CTY238"/>
      <c r="CTZ238"/>
      <c r="CUA238"/>
      <c r="CUB238"/>
      <c r="CUC238"/>
      <c r="CUD238"/>
      <c r="CUE238"/>
      <c r="CUF238"/>
      <c r="CUG238"/>
      <c r="CUH238"/>
      <c r="CUI238"/>
      <c r="CUJ238"/>
      <c r="CUK238"/>
      <c r="CUL238"/>
      <c r="CUM238"/>
      <c r="CUN238"/>
      <c r="CUO238"/>
      <c r="CUP238"/>
      <c r="CUQ238"/>
      <c r="CUR238"/>
      <c r="CUS238"/>
      <c r="CUT238"/>
      <c r="CUU238"/>
      <c r="CUV238"/>
      <c r="CUW238"/>
      <c r="CUX238"/>
      <c r="CUY238"/>
      <c r="CUZ238"/>
      <c r="CVA238"/>
      <c r="CVB238"/>
      <c r="CVC238"/>
      <c r="CVD238"/>
      <c r="CVE238"/>
      <c r="CVF238"/>
      <c r="CVG238"/>
      <c r="CVH238"/>
      <c r="CVI238"/>
      <c r="CVJ238"/>
      <c r="CVK238"/>
      <c r="CVL238"/>
      <c r="CVM238"/>
      <c r="CVN238"/>
      <c r="CVO238"/>
      <c r="CVP238"/>
      <c r="CVQ238"/>
      <c r="CVR238"/>
      <c r="CVS238"/>
      <c r="CVT238"/>
      <c r="CVU238"/>
      <c r="CVV238"/>
      <c r="CVW238"/>
      <c r="CVX238"/>
      <c r="CVY238"/>
      <c r="CVZ238"/>
      <c r="CWA238"/>
      <c r="CWB238"/>
      <c r="CWC238"/>
      <c r="CWD238"/>
      <c r="CWE238"/>
      <c r="CWF238"/>
      <c r="CWG238"/>
      <c r="CWH238"/>
      <c r="CWI238"/>
      <c r="CWJ238"/>
      <c r="CWK238"/>
      <c r="CWL238"/>
      <c r="CWM238"/>
      <c r="CWN238"/>
      <c r="CWO238"/>
      <c r="CWP238"/>
      <c r="CWQ238"/>
      <c r="CWR238"/>
      <c r="CWS238"/>
      <c r="CWT238"/>
      <c r="CWU238"/>
      <c r="CWV238"/>
      <c r="CWW238"/>
      <c r="CWX238"/>
      <c r="CWY238"/>
      <c r="CWZ238"/>
      <c r="CXA238"/>
      <c r="CXB238"/>
      <c r="CXC238"/>
      <c r="CXD238"/>
      <c r="CXE238"/>
      <c r="CXF238"/>
      <c r="CXG238"/>
      <c r="CXH238"/>
      <c r="CXI238"/>
      <c r="CXJ238"/>
      <c r="CXK238"/>
      <c r="CXL238"/>
      <c r="CXM238"/>
      <c r="CXN238"/>
      <c r="CXO238"/>
      <c r="CXP238"/>
      <c r="CXQ238"/>
      <c r="CXR238"/>
      <c r="CXS238"/>
      <c r="CXT238"/>
      <c r="CXU238"/>
      <c r="CXV238"/>
      <c r="CXW238"/>
      <c r="CXX238"/>
      <c r="CXY238"/>
      <c r="CXZ238"/>
      <c r="CYA238"/>
      <c r="CYB238"/>
      <c r="CYC238"/>
      <c r="CYD238"/>
      <c r="CYE238"/>
      <c r="CYF238"/>
      <c r="CYG238"/>
      <c r="CYH238"/>
      <c r="CYI238"/>
      <c r="CYJ238"/>
      <c r="CYK238"/>
      <c r="CYL238"/>
      <c r="CYM238"/>
      <c r="CYN238"/>
      <c r="CYO238"/>
      <c r="CYP238"/>
      <c r="CYQ238"/>
      <c r="CYR238"/>
      <c r="CYS238"/>
      <c r="CYT238"/>
      <c r="CYU238"/>
      <c r="CYV238"/>
      <c r="CYW238"/>
      <c r="CYX238"/>
      <c r="CYY238"/>
      <c r="CYZ238"/>
      <c r="CZA238"/>
      <c r="CZB238"/>
      <c r="CZC238"/>
      <c r="CZD238"/>
      <c r="CZE238"/>
      <c r="CZF238"/>
      <c r="CZG238"/>
      <c r="CZH238"/>
      <c r="CZI238"/>
      <c r="CZJ238"/>
      <c r="CZK238"/>
      <c r="CZL238"/>
      <c r="CZM238"/>
      <c r="CZN238"/>
      <c r="CZO238"/>
      <c r="CZP238"/>
      <c r="CZQ238"/>
      <c r="CZR238"/>
      <c r="CZS238"/>
      <c r="CZT238"/>
      <c r="CZU238"/>
      <c r="CZV238"/>
      <c r="CZW238"/>
      <c r="CZX238"/>
      <c r="CZY238"/>
      <c r="CZZ238"/>
      <c r="DAA238"/>
      <c r="DAB238"/>
      <c r="DAC238"/>
      <c r="DAD238"/>
      <c r="DAE238"/>
      <c r="DAF238"/>
      <c r="DAG238"/>
      <c r="DAH238"/>
      <c r="DAI238"/>
      <c r="DAJ238"/>
      <c r="DAK238"/>
      <c r="DAL238"/>
      <c r="DAM238"/>
      <c r="DAN238"/>
      <c r="DAO238"/>
      <c r="DAP238"/>
      <c r="DAQ238"/>
      <c r="DAR238"/>
      <c r="DAS238"/>
      <c r="DAT238"/>
      <c r="DAU238"/>
      <c r="DAV238"/>
      <c r="DAW238"/>
      <c r="DAX238"/>
      <c r="DAY238"/>
      <c r="DAZ238"/>
      <c r="DBA238"/>
      <c r="DBB238"/>
      <c r="DBC238"/>
      <c r="DBD238"/>
      <c r="DBE238"/>
      <c r="DBF238"/>
      <c r="DBG238"/>
      <c r="DBH238"/>
      <c r="DBI238"/>
      <c r="DBJ238"/>
      <c r="DBK238"/>
      <c r="DBL238"/>
      <c r="DBM238"/>
      <c r="DBN238"/>
      <c r="DBO238"/>
      <c r="DBP238"/>
      <c r="DBQ238"/>
      <c r="DBR238"/>
      <c r="DBS238"/>
      <c r="DBT238"/>
      <c r="DBU238"/>
      <c r="DBV238"/>
      <c r="DBW238"/>
      <c r="DBX238"/>
      <c r="DBY238"/>
      <c r="DBZ238"/>
      <c r="DCA238"/>
      <c r="DCB238"/>
      <c r="DCC238"/>
      <c r="DCD238"/>
      <c r="DCE238"/>
      <c r="DCF238"/>
      <c r="DCG238"/>
      <c r="DCH238"/>
      <c r="DCI238"/>
      <c r="DCJ238"/>
      <c r="DCK238"/>
      <c r="DCL238"/>
      <c r="DCM238"/>
      <c r="DCN238"/>
      <c r="DCO238"/>
      <c r="DCP238"/>
      <c r="DCQ238"/>
      <c r="DCR238"/>
      <c r="DCS238"/>
      <c r="DCT238"/>
      <c r="DCU238"/>
      <c r="DCV238"/>
      <c r="DCW238"/>
      <c r="DCX238"/>
      <c r="DCY238"/>
      <c r="DCZ238"/>
      <c r="DDA238"/>
      <c r="DDB238"/>
      <c r="DDC238"/>
      <c r="DDD238"/>
      <c r="DDE238"/>
      <c r="DDF238"/>
      <c r="DDG238"/>
      <c r="DDH238"/>
      <c r="DDI238"/>
      <c r="DDJ238"/>
      <c r="DDK238"/>
      <c r="DDL238"/>
      <c r="DDM238"/>
      <c r="DDN238"/>
      <c r="DDO238"/>
      <c r="DDP238"/>
      <c r="DDQ238"/>
      <c r="DDR238"/>
      <c r="DDS238"/>
      <c r="DDT238"/>
      <c r="DDU238"/>
      <c r="DDV238"/>
      <c r="DDW238"/>
      <c r="DDX238"/>
      <c r="DDY238"/>
      <c r="DDZ238"/>
      <c r="DEA238"/>
      <c r="DEB238"/>
      <c r="DEC238"/>
      <c r="DED238"/>
      <c r="DEE238"/>
      <c r="DEF238"/>
      <c r="DEG238"/>
      <c r="DEH238"/>
      <c r="DEI238"/>
      <c r="DEJ238"/>
      <c r="DEK238"/>
      <c r="DEL238"/>
      <c r="DEM238"/>
      <c r="DEN238"/>
      <c r="DEO238"/>
      <c r="DEP238"/>
      <c r="DEQ238"/>
      <c r="DER238"/>
      <c r="DES238"/>
      <c r="DET238"/>
      <c r="DEU238"/>
      <c r="DEV238"/>
      <c r="DEW238"/>
      <c r="DEX238"/>
      <c r="DEY238"/>
      <c r="DEZ238"/>
      <c r="DFA238"/>
      <c r="DFB238"/>
      <c r="DFC238"/>
      <c r="DFD238"/>
      <c r="DFE238"/>
      <c r="DFF238"/>
      <c r="DFG238"/>
      <c r="DFH238"/>
      <c r="DFI238"/>
      <c r="DFJ238"/>
      <c r="DFK238"/>
      <c r="DFL238"/>
      <c r="DFM238"/>
      <c r="DFN238"/>
      <c r="DFO238"/>
      <c r="DFP238"/>
      <c r="DFQ238"/>
      <c r="DFR238"/>
      <c r="DFS238"/>
      <c r="DFT238"/>
      <c r="DFU238"/>
      <c r="DFV238"/>
      <c r="DFW238"/>
      <c r="DFX238"/>
      <c r="DFY238"/>
      <c r="DFZ238"/>
      <c r="DGA238"/>
      <c r="DGB238"/>
      <c r="DGC238"/>
      <c r="DGD238"/>
      <c r="DGE238"/>
      <c r="DGF238"/>
      <c r="DGG238"/>
      <c r="DGH238"/>
      <c r="DGI238"/>
      <c r="DGJ238"/>
      <c r="DGK238"/>
      <c r="DGL238"/>
      <c r="DGM238"/>
      <c r="DGN238"/>
      <c r="DGO238"/>
      <c r="DGP238"/>
      <c r="DGQ238"/>
      <c r="DGR238"/>
      <c r="DGS238"/>
      <c r="DGT238"/>
      <c r="DGU238"/>
      <c r="DGV238"/>
      <c r="DGW238"/>
      <c r="DGX238"/>
      <c r="DGY238"/>
      <c r="DGZ238"/>
      <c r="DHA238"/>
      <c r="DHB238"/>
      <c r="DHC238"/>
      <c r="DHD238"/>
      <c r="DHE238"/>
      <c r="DHF238"/>
      <c r="DHG238"/>
      <c r="DHH238"/>
      <c r="DHI238"/>
      <c r="DHJ238"/>
      <c r="DHK238"/>
      <c r="DHL238"/>
      <c r="DHM238"/>
      <c r="DHN238"/>
      <c r="DHO238"/>
      <c r="DHP238"/>
      <c r="DHQ238"/>
      <c r="DHR238"/>
      <c r="DHS238"/>
      <c r="DHT238"/>
      <c r="DHU238"/>
      <c r="DHV238"/>
      <c r="DHW238"/>
      <c r="DHX238"/>
      <c r="DHY238"/>
      <c r="DHZ238"/>
      <c r="DIA238"/>
      <c r="DIB238"/>
      <c r="DIC238"/>
      <c r="DID238"/>
      <c r="DIE238"/>
      <c r="DIF238"/>
      <c r="DIG238"/>
      <c r="DIH238"/>
      <c r="DII238"/>
      <c r="DIJ238"/>
      <c r="DIK238"/>
      <c r="DIL238"/>
      <c r="DIM238"/>
      <c r="DIN238"/>
      <c r="DIO238"/>
      <c r="DIP238"/>
      <c r="DIQ238"/>
      <c r="DIR238"/>
      <c r="DIS238"/>
      <c r="DIT238"/>
      <c r="DIU238"/>
      <c r="DIV238"/>
      <c r="DIW238"/>
      <c r="DIX238"/>
      <c r="DIY238"/>
      <c r="DIZ238"/>
      <c r="DJA238"/>
      <c r="DJB238"/>
      <c r="DJC238"/>
      <c r="DJD238"/>
      <c r="DJE238"/>
      <c r="DJF238"/>
      <c r="DJG238"/>
      <c r="DJH238"/>
      <c r="DJI238"/>
      <c r="DJJ238"/>
      <c r="DJK238"/>
      <c r="DJL238"/>
      <c r="DJM238"/>
      <c r="DJN238"/>
      <c r="DJO238"/>
      <c r="DJP238"/>
      <c r="DJQ238"/>
      <c r="DJR238"/>
      <c r="DJS238"/>
      <c r="DJT238"/>
      <c r="DJU238"/>
      <c r="DJV238"/>
      <c r="DJW238"/>
      <c r="DJX238"/>
      <c r="DJY238"/>
      <c r="DJZ238"/>
      <c r="DKA238"/>
      <c r="DKB238"/>
      <c r="DKC238"/>
      <c r="DKD238"/>
      <c r="DKE238"/>
      <c r="DKF238"/>
      <c r="DKG238"/>
      <c r="DKH238"/>
      <c r="DKI238"/>
      <c r="DKJ238"/>
      <c r="DKK238"/>
      <c r="DKL238"/>
      <c r="DKM238"/>
      <c r="DKN238"/>
      <c r="DKO238"/>
      <c r="DKP238"/>
      <c r="DKQ238"/>
      <c r="DKR238"/>
      <c r="DKS238"/>
      <c r="DKT238"/>
      <c r="DKU238"/>
      <c r="DKV238"/>
      <c r="DKW238"/>
      <c r="DKX238"/>
      <c r="DKY238"/>
      <c r="DKZ238"/>
      <c r="DLA238"/>
      <c r="DLB238"/>
      <c r="DLC238"/>
      <c r="DLD238"/>
      <c r="DLE238"/>
      <c r="DLF238"/>
      <c r="DLG238"/>
      <c r="DLH238"/>
      <c r="DLI238"/>
      <c r="DLJ238"/>
      <c r="DLK238"/>
      <c r="DLL238"/>
      <c r="DLM238"/>
      <c r="DLN238"/>
      <c r="DLO238"/>
      <c r="DLP238"/>
      <c r="DLQ238"/>
      <c r="DLR238"/>
      <c r="DLS238"/>
      <c r="DLT238"/>
      <c r="DLU238"/>
      <c r="DLV238"/>
      <c r="DLW238"/>
      <c r="DLX238"/>
      <c r="DLY238"/>
      <c r="DLZ238"/>
      <c r="DMA238"/>
      <c r="DMB238"/>
      <c r="DMC238"/>
      <c r="DMD238"/>
      <c r="DME238"/>
      <c r="DMF238"/>
      <c r="DMG238"/>
      <c r="DMH238"/>
      <c r="DMI238"/>
      <c r="DMJ238"/>
      <c r="DMK238"/>
      <c r="DML238"/>
      <c r="DMM238"/>
      <c r="DMN238"/>
      <c r="DMO238"/>
      <c r="DMP238"/>
      <c r="DMQ238"/>
      <c r="DMR238"/>
      <c r="DMS238"/>
      <c r="DMT238"/>
      <c r="DMU238"/>
      <c r="DMV238"/>
      <c r="DMW238"/>
      <c r="DMX238"/>
      <c r="DMY238"/>
      <c r="DMZ238"/>
      <c r="DNA238"/>
      <c r="DNB238"/>
      <c r="DNC238"/>
      <c r="DND238"/>
      <c r="DNE238"/>
      <c r="DNF238"/>
      <c r="DNG238"/>
      <c r="DNH238"/>
      <c r="DNI238"/>
      <c r="DNJ238"/>
      <c r="DNK238"/>
      <c r="DNL238"/>
      <c r="DNM238"/>
      <c r="DNN238"/>
      <c r="DNO238"/>
      <c r="DNP238"/>
      <c r="DNQ238"/>
      <c r="DNR238"/>
      <c r="DNS238"/>
      <c r="DNT238"/>
      <c r="DNU238"/>
      <c r="DNV238"/>
      <c r="DNW238"/>
      <c r="DNX238"/>
      <c r="DNY238"/>
      <c r="DNZ238"/>
      <c r="DOA238"/>
      <c r="DOB238"/>
      <c r="DOC238"/>
      <c r="DOD238"/>
      <c r="DOE238"/>
      <c r="DOF238"/>
      <c r="DOG238"/>
      <c r="DOH238"/>
      <c r="DOI238"/>
      <c r="DOJ238"/>
      <c r="DOK238"/>
      <c r="DOL238"/>
      <c r="DOM238"/>
      <c r="DON238"/>
      <c r="DOO238"/>
      <c r="DOP238"/>
      <c r="DOQ238"/>
      <c r="DOR238"/>
      <c r="DOS238"/>
      <c r="DOT238"/>
      <c r="DOU238"/>
      <c r="DOV238"/>
      <c r="DOW238"/>
      <c r="DOX238"/>
      <c r="DOY238"/>
      <c r="DOZ238"/>
      <c r="DPA238"/>
      <c r="DPB238"/>
      <c r="DPC238"/>
      <c r="DPD238"/>
      <c r="DPE238"/>
      <c r="DPF238"/>
      <c r="DPG238"/>
      <c r="DPH238"/>
      <c r="DPI238"/>
      <c r="DPJ238"/>
      <c r="DPK238"/>
      <c r="DPL238"/>
      <c r="DPM238"/>
      <c r="DPN238"/>
      <c r="DPO238"/>
      <c r="DPP238"/>
      <c r="DPQ238"/>
      <c r="DPR238"/>
      <c r="DPS238"/>
      <c r="DPT238"/>
      <c r="DPU238"/>
      <c r="DPV238"/>
      <c r="DPW238"/>
      <c r="DPX238"/>
      <c r="DPY238"/>
      <c r="DPZ238"/>
      <c r="DQA238"/>
      <c r="DQB238"/>
      <c r="DQC238"/>
      <c r="DQD238"/>
      <c r="DQE238"/>
      <c r="DQF238"/>
      <c r="DQG238"/>
      <c r="DQH238"/>
      <c r="DQI238"/>
      <c r="DQJ238"/>
      <c r="DQK238"/>
      <c r="DQL238"/>
      <c r="DQM238"/>
      <c r="DQN238"/>
      <c r="DQO238"/>
      <c r="DQP238"/>
      <c r="DQQ238"/>
      <c r="DQR238"/>
      <c r="DQS238"/>
      <c r="DQT238"/>
      <c r="DQU238"/>
      <c r="DQV238"/>
      <c r="DQW238"/>
      <c r="DQX238"/>
      <c r="DQY238"/>
      <c r="DQZ238"/>
      <c r="DRA238"/>
      <c r="DRB238"/>
      <c r="DRC238"/>
      <c r="DRD238"/>
      <c r="DRE238"/>
      <c r="DRF238"/>
      <c r="DRG238"/>
      <c r="DRH238"/>
      <c r="DRI238"/>
      <c r="DRJ238"/>
      <c r="DRK238"/>
      <c r="DRL238"/>
      <c r="DRM238"/>
      <c r="DRN238"/>
      <c r="DRO238"/>
      <c r="DRP238"/>
      <c r="DRQ238"/>
      <c r="DRR238"/>
      <c r="DRS238"/>
      <c r="DRT238"/>
      <c r="DRU238"/>
      <c r="DRV238"/>
      <c r="DRW238"/>
      <c r="DRX238"/>
      <c r="DRY238"/>
      <c r="DRZ238"/>
      <c r="DSA238"/>
      <c r="DSB238"/>
      <c r="DSC238"/>
      <c r="DSD238"/>
      <c r="DSE238"/>
      <c r="DSF238"/>
      <c r="DSG238"/>
      <c r="DSH238"/>
      <c r="DSI238"/>
      <c r="DSJ238"/>
      <c r="DSK238"/>
      <c r="DSL238"/>
      <c r="DSM238"/>
      <c r="DSN238"/>
      <c r="DSO238"/>
      <c r="DSP238"/>
      <c r="DSQ238"/>
      <c r="DSR238"/>
      <c r="DSS238"/>
      <c r="DST238"/>
      <c r="DSU238"/>
      <c r="DSV238"/>
      <c r="DSW238"/>
      <c r="DSX238"/>
      <c r="DSY238"/>
      <c r="DSZ238"/>
      <c r="DTA238"/>
      <c r="DTB238"/>
      <c r="DTC238"/>
      <c r="DTD238"/>
      <c r="DTE238"/>
      <c r="DTF238"/>
      <c r="DTG238"/>
      <c r="DTH238"/>
      <c r="DTI238"/>
      <c r="DTJ238"/>
      <c r="DTK238"/>
      <c r="DTL238"/>
      <c r="DTM238"/>
      <c r="DTN238"/>
      <c r="DTO238"/>
      <c r="DTP238"/>
      <c r="DTQ238"/>
      <c r="DTR238"/>
      <c r="DTS238"/>
      <c r="DTT238"/>
      <c r="DTU238"/>
      <c r="DTV238"/>
      <c r="DTW238"/>
      <c r="DTX238"/>
      <c r="DTY238"/>
      <c r="DTZ238"/>
      <c r="DUA238"/>
      <c r="DUB238"/>
      <c r="DUC238"/>
      <c r="DUD238"/>
      <c r="DUE238"/>
      <c r="DUF238"/>
      <c r="DUG238"/>
      <c r="DUH238"/>
      <c r="DUI238"/>
      <c r="DUJ238"/>
      <c r="DUK238"/>
      <c r="DUL238"/>
      <c r="DUM238"/>
      <c r="DUN238"/>
      <c r="DUO238"/>
      <c r="DUP238"/>
      <c r="DUQ238"/>
      <c r="DUR238"/>
      <c r="DUS238"/>
      <c r="DUT238"/>
      <c r="DUU238"/>
      <c r="DUV238"/>
      <c r="DUW238"/>
      <c r="DUX238"/>
      <c r="DUY238"/>
      <c r="DUZ238"/>
      <c r="DVA238"/>
      <c r="DVB238"/>
      <c r="DVC238"/>
      <c r="DVD238"/>
      <c r="DVE238"/>
      <c r="DVF238"/>
      <c r="DVG238"/>
      <c r="DVH238"/>
      <c r="DVI238"/>
      <c r="DVJ238"/>
      <c r="DVK238"/>
      <c r="DVL238"/>
      <c r="DVM238"/>
      <c r="DVN238"/>
      <c r="DVO238"/>
      <c r="DVP238"/>
      <c r="DVQ238"/>
      <c r="DVR238"/>
      <c r="DVS238"/>
      <c r="DVT238"/>
      <c r="DVU238"/>
      <c r="DVV238"/>
      <c r="DVW238"/>
      <c r="DVX238"/>
      <c r="DVY238"/>
      <c r="DVZ238"/>
      <c r="DWA238"/>
      <c r="DWB238"/>
      <c r="DWC238"/>
      <c r="DWD238"/>
      <c r="DWE238"/>
      <c r="DWF238"/>
      <c r="DWG238"/>
      <c r="DWH238"/>
      <c r="DWI238"/>
      <c r="DWJ238"/>
      <c r="DWK238"/>
      <c r="DWL238"/>
      <c r="DWM238"/>
      <c r="DWN238"/>
      <c r="DWO238"/>
      <c r="DWP238"/>
      <c r="DWQ238"/>
      <c r="DWR238"/>
      <c r="DWS238"/>
      <c r="DWT238"/>
      <c r="DWU238"/>
      <c r="DWV238"/>
      <c r="DWW238"/>
      <c r="DWX238"/>
      <c r="DWY238"/>
      <c r="DWZ238"/>
      <c r="DXA238"/>
      <c r="DXB238"/>
      <c r="DXC238"/>
      <c r="DXD238"/>
      <c r="DXE238"/>
      <c r="DXF238"/>
      <c r="DXG238"/>
      <c r="DXH238"/>
      <c r="DXI238"/>
      <c r="DXJ238"/>
      <c r="DXK238"/>
      <c r="DXL238"/>
      <c r="DXM238"/>
      <c r="DXN238"/>
      <c r="DXO238"/>
      <c r="DXP238"/>
      <c r="DXQ238"/>
      <c r="DXR238"/>
      <c r="DXS238"/>
      <c r="DXT238"/>
      <c r="DXU238"/>
      <c r="DXV238"/>
      <c r="DXW238"/>
      <c r="DXX238"/>
      <c r="DXY238"/>
      <c r="DXZ238"/>
      <c r="DYA238"/>
      <c r="DYB238"/>
      <c r="DYC238"/>
      <c r="DYD238"/>
      <c r="DYE238"/>
      <c r="DYF238"/>
      <c r="DYG238"/>
      <c r="DYH238"/>
      <c r="DYI238"/>
      <c r="DYJ238"/>
      <c r="DYK238"/>
      <c r="DYL238"/>
      <c r="DYM238"/>
      <c r="DYN238"/>
      <c r="DYO238"/>
      <c r="DYP238"/>
      <c r="DYQ238"/>
      <c r="DYR238"/>
      <c r="DYS238"/>
      <c r="DYT238"/>
      <c r="DYU238"/>
      <c r="DYV238"/>
      <c r="DYW238"/>
      <c r="DYX238"/>
      <c r="DYY238"/>
      <c r="DYZ238"/>
      <c r="DZA238"/>
      <c r="DZB238"/>
      <c r="DZC238"/>
      <c r="DZD238"/>
      <c r="DZE238"/>
      <c r="DZF238"/>
      <c r="DZG238"/>
      <c r="DZH238"/>
      <c r="DZI238"/>
      <c r="DZJ238"/>
      <c r="DZK238"/>
      <c r="DZL238"/>
      <c r="DZM238"/>
      <c r="DZN238"/>
      <c r="DZO238"/>
      <c r="DZP238"/>
      <c r="DZQ238"/>
      <c r="DZR238"/>
      <c r="DZS238"/>
      <c r="DZT238"/>
      <c r="DZU238"/>
      <c r="DZV238"/>
      <c r="DZW238"/>
      <c r="DZX238"/>
      <c r="DZY238"/>
      <c r="DZZ238"/>
      <c r="EAA238"/>
      <c r="EAB238"/>
      <c r="EAC238"/>
      <c r="EAD238"/>
      <c r="EAE238"/>
      <c r="EAF238"/>
      <c r="EAG238"/>
      <c r="EAH238"/>
      <c r="EAI238"/>
      <c r="EAJ238"/>
      <c r="EAK238"/>
      <c r="EAL238"/>
      <c r="EAM238"/>
      <c r="EAN238"/>
      <c r="EAO238"/>
      <c r="EAP238"/>
      <c r="EAQ238"/>
      <c r="EAR238"/>
      <c r="EAS238"/>
      <c r="EAT238"/>
      <c r="EAU238"/>
      <c r="EAV238"/>
      <c r="EAW238"/>
      <c r="EAX238"/>
      <c r="EAY238"/>
      <c r="EAZ238"/>
      <c r="EBA238"/>
      <c r="EBB238"/>
      <c r="EBC238"/>
      <c r="EBD238"/>
      <c r="EBE238"/>
      <c r="EBF238"/>
      <c r="EBG238"/>
      <c r="EBH238"/>
      <c r="EBI238"/>
      <c r="EBJ238"/>
      <c r="EBK238"/>
      <c r="EBL238"/>
      <c r="EBM238"/>
      <c r="EBN238"/>
      <c r="EBO238"/>
      <c r="EBP238"/>
      <c r="EBQ238"/>
      <c r="EBR238"/>
      <c r="EBS238"/>
      <c r="EBT238"/>
      <c r="EBU238"/>
      <c r="EBV238"/>
      <c r="EBW238"/>
      <c r="EBX238"/>
      <c r="EBY238"/>
      <c r="EBZ238"/>
      <c r="ECA238"/>
      <c r="ECB238"/>
      <c r="ECC238"/>
      <c r="ECD238"/>
      <c r="ECE238"/>
      <c r="ECF238"/>
      <c r="ECG238"/>
      <c r="ECH238"/>
      <c r="ECI238"/>
      <c r="ECJ238"/>
      <c r="ECK238"/>
      <c r="ECL238"/>
      <c r="ECM238"/>
      <c r="ECN238"/>
      <c r="ECO238"/>
      <c r="ECP238"/>
      <c r="ECQ238"/>
      <c r="ECR238"/>
      <c r="ECS238"/>
      <c r="ECT238"/>
      <c r="ECU238"/>
      <c r="ECV238"/>
      <c r="ECW238"/>
      <c r="ECX238"/>
      <c r="ECY238"/>
      <c r="ECZ238"/>
      <c r="EDA238"/>
      <c r="EDB238"/>
      <c r="EDC238"/>
      <c r="EDD238"/>
      <c r="EDE238"/>
      <c r="EDF238"/>
      <c r="EDG238"/>
      <c r="EDH238"/>
      <c r="EDI238"/>
      <c r="EDJ238"/>
      <c r="EDK238"/>
      <c r="EDL238"/>
      <c r="EDM238"/>
      <c r="EDN238"/>
      <c r="EDO238"/>
      <c r="EDP238"/>
      <c r="EDQ238"/>
      <c r="EDR238"/>
      <c r="EDS238"/>
      <c r="EDT238"/>
      <c r="EDU238"/>
      <c r="EDV238"/>
      <c r="EDW238"/>
      <c r="EDX238"/>
      <c r="EDY238"/>
      <c r="EDZ238"/>
      <c r="EEA238"/>
      <c r="EEB238"/>
      <c r="EEC238"/>
      <c r="EED238"/>
      <c r="EEE238"/>
      <c r="EEF238"/>
      <c r="EEG238"/>
      <c r="EEH238"/>
      <c r="EEI238"/>
      <c r="EEJ238"/>
      <c r="EEK238"/>
      <c r="EEL238"/>
      <c r="EEM238"/>
      <c r="EEN238"/>
      <c r="EEO238"/>
      <c r="EEP238"/>
      <c r="EEQ238"/>
      <c r="EER238"/>
      <c r="EES238"/>
      <c r="EET238"/>
      <c r="EEU238"/>
      <c r="EEV238"/>
      <c r="EEW238"/>
      <c r="EEX238"/>
      <c r="EEY238"/>
      <c r="EEZ238"/>
      <c r="EFA238"/>
      <c r="EFB238"/>
      <c r="EFC238"/>
      <c r="EFD238"/>
      <c r="EFE238"/>
      <c r="EFF238"/>
      <c r="EFG238"/>
      <c r="EFH238"/>
      <c r="EFI238"/>
      <c r="EFJ238"/>
      <c r="EFK238"/>
      <c r="EFL238"/>
      <c r="EFM238"/>
      <c r="EFN238"/>
      <c r="EFO238"/>
      <c r="EFP238"/>
      <c r="EFQ238"/>
      <c r="EFR238"/>
      <c r="EFS238"/>
      <c r="EFT238"/>
      <c r="EFU238"/>
      <c r="EFV238"/>
      <c r="EFW238"/>
      <c r="EFX238"/>
      <c r="EFY238"/>
      <c r="EFZ238"/>
      <c r="EGA238"/>
      <c r="EGB238"/>
      <c r="EGC238"/>
      <c r="EGD238"/>
      <c r="EGE238"/>
      <c r="EGF238"/>
      <c r="EGG238"/>
      <c r="EGH238"/>
      <c r="EGI238"/>
      <c r="EGJ238"/>
      <c r="EGK238"/>
      <c r="EGL238"/>
      <c r="EGM238"/>
      <c r="EGN238"/>
      <c r="EGO238"/>
      <c r="EGP238"/>
      <c r="EGQ238"/>
      <c r="EGR238"/>
      <c r="EGS238"/>
      <c r="EGT238"/>
      <c r="EGU238"/>
      <c r="EGV238"/>
      <c r="EGW238"/>
      <c r="EGX238"/>
      <c r="EGY238"/>
      <c r="EGZ238"/>
      <c r="EHA238"/>
      <c r="EHB238"/>
      <c r="EHC238"/>
      <c r="EHD238"/>
      <c r="EHE238"/>
      <c r="EHF238"/>
      <c r="EHG238"/>
      <c r="EHH238"/>
      <c r="EHI238"/>
      <c r="EHJ238"/>
      <c r="EHK238"/>
      <c r="EHL238"/>
      <c r="EHM238"/>
      <c r="EHN238"/>
      <c r="EHO238"/>
      <c r="EHP238"/>
      <c r="EHQ238"/>
      <c r="EHR238"/>
      <c r="EHS238"/>
      <c r="EHT238"/>
      <c r="EHU238"/>
      <c r="EHV238"/>
      <c r="EHW238"/>
      <c r="EHX238"/>
      <c r="EHY238"/>
      <c r="EHZ238"/>
      <c r="EIA238"/>
      <c r="EIB238"/>
      <c r="EIC238"/>
      <c r="EID238"/>
      <c r="EIE238"/>
      <c r="EIF238"/>
      <c r="EIG238"/>
      <c r="EIH238"/>
      <c r="EII238"/>
      <c r="EIJ238"/>
      <c r="EIK238"/>
      <c r="EIL238"/>
      <c r="EIM238"/>
      <c r="EIN238"/>
      <c r="EIO238"/>
      <c r="EIP238"/>
      <c r="EIQ238"/>
      <c r="EIR238"/>
      <c r="EIS238"/>
      <c r="EIT238"/>
      <c r="EIU238"/>
      <c r="EIV238"/>
      <c r="EIW238"/>
      <c r="EIX238"/>
      <c r="EIY238"/>
      <c r="EIZ238"/>
      <c r="EJA238"/>
      <c r="EJB238"/>
      <c r="EJC238"/>
      <c r="EJD238"/>
      <c r="EJE238"/>
      <c r="EJF238"/>
      <c r="EJG238"/>
      <c r="EJH238"/>
      <c r="EJI238"/>
      <c r="EJJ238"/>
      <c r="EJK238"/>
      <c r="EJL238"/>
      <c r="EJM238"/>
      <c r="EJN238"/>
      <c r="EJO238"/>
      <c r="EJP238"/>
      <c r="EJQ238"/>
      <c r="EJR238"/>
      <c r="EJS238"/>
      <c r="EJT238"/>
      <c r="EJU238"/>
      <c r="EJV238"/>
      <c r="EJW238"/>
      <c r="EJX238"/>
      <c r="EJY238"/>
      <c r="EJZ238"/>
      <c r="EKA238"/>
      <c r="EKB238"/>
      <c r="EKC238"/>
      <c r="EKD238"/>
      <c r="EKE238"/>
      <c r="EKF238"/>
      <c r="EKG238"/>
      <c r="EKH238"/>
      <c r="EKI238"/>
      <c r="EKJ238"/>
      <c r="EKK238"/>
      <c r="EKL238"/>
      <c r="EKM238"/>
      <c r="EKN238"/>
      <c r="EKO238"/>
      <c r="EKP238"/>
      <c r="EKQ238"/>
      <c r="EKR238"/>
      <c r="EKS238"/>
      <c r="EKT238"/>
      <c r="EKU238"/>
      <c r="EKV238"/>
      <c r="EKW238"/>
      <c r="EKX238"/>
      <c r="EKY238"/>
      <c r="EKZ238"/>
      <c r="ELA238"/>
      <c r="ELB238"/>
      <c r="ELC238"/>
      <c r="ELD238"/>
      <c r="ELE238"/>
      <c r="ELF238"/>
      <c r="ELG238"/>
      <c r="ELH238"/>
      <c r="ELI238"/>
      <c r="ELJ238"/>
      <c r="ELK238"/>
      <c r="ELL238"/>
      <c r="ELM238"/>
      <c r="ELN238"/>
      <c r="ELO238"/>
      <c r="ELP238"/>
      <c r="ELQ238"/>
      <c r="ELR238"/>
      <c r="ELS238"/>
      <c r="ELT238"/>
      <c r="ELU238"/>
      <c r="ELV238"/>
      <c r="ELW238"/>
      <c r="ELX238"/>
      <c r="ELY238"/>
      <c r="ELZ238"/>
      <c r="EMA238"/>
      <c r="EMB238"/>
      <c r="EMC238"/>
      <c r="EMD238"/>
      <c r="EME238"/>
      <c r="EMF238"/>
      <c r="EMG238"/>
      <c r="EMH238"/>
      <c r="EMI238"/>
      <c r="EMJ238"/>
      <c r="EMK238"/>
      <c r="EML238"/>
      <c r="EMM238"/>
      <c r="EMN238"/>
      <c r="EMO238"/>
      <c r="EMP238"/>
      <c r="EMQ238"/>
      <c r="EMR238"/>
      <c r="EMS238"/>
      <c r="EMT238"/>
      <c r="EMU238"/>
      <c r="EMV238"/>
      <c r="EMW238"/>
      <c r="EMX238"/>
      <c r="EMY238"/>
      <c r="EMZ238"/>
      <c r="ENA238"/>
      <c r="ENB238"/>
      <c r="ENC238"/>
      <c r="END238"/>
      <c r="ENE238"/>
      <c r="ENF238"/>
      <c r="ENG238"/>
      <c r="ENH238"/>
      <c r="ENI238"/>
      <c r="ENJ238"/>
      <c r="ENK238"/>
      <c r="ENL238"/>
      <c r="ENM238"/>
      <c r="ENN238"/>
      <c r="ENO238"/>
      <c r="ENP238"/>
      <c r="ENQ238"/>
      <c r="ENR238"/>
      <c r="ENS238"/>
      <c r="ENT238"/>
      <c r="ENU238"/>
      <c r="ENV238"/>
      <c r="ENW238"/>
      <c r="ENX238"/>
      <c r="ENY238"/>
      <c r="ENZ238"/>
      <c r="EOA238"/>
      <c r="EOB238"/>
      <c r="EOC238"/>
      <c r="EOD238"/>
      <c r="EOE238"/>
      <c r="EOF238"/>
      <c r="EOG238"/>
      <c r="EOH238"/>
      <c r="EOI238"/>
      <c r="EOJ238"/>
      <c r="EOK238"/>
      <c r="EOL238"/>
      <c r="EOM238"/>
      <c r="EON238"/>
      <c r="EOO238"/>
      <c r="EOP238"/>
      <c r="EOQ238"/>
      <c r="EOR238"/>
      <c r="EOS238"/>
      <c r="EOT238"/>
      <c r="EOU238"/>
      <c r="EOV238"/>
      <c r="EOW238"/>
      <c r="EOX238"/>
      <c r="EOY238"/>
      <c r="EOZ238"/>
      <c r="EPA238"/>
      <c r="EPB238"/>
      <c r="EPC238"/>
      <c r="EPD238"/>
      <c r="EPE238"/>
      <c r="EPF238"/>
      <c r="EPG238"/>
      <c r="EPH238"/>
      <c r="EPI238"/>
      <c r="EPJ238"/>
      <c r="EPK238"/>
      <c r="EPL238"/>
      <c r="EPM238"/>
      <c r="EPN238"/>
      <c r="EPO238"/>
      <c r="EPP238"/>
      <c r="EPQ238"/>
      <c r="EPR238"/>
      <c r="EPS238"/>
      <c r="EPT238"/>
      <c r="EPU238"/>
      <c r="EPV238"/>
      <c r="EPW238"/>
      <c r="EPX238"/>
      <c r="EPY238"/>
      <c r="EPZ238"/>
      <c r="EQA238"/>
      <c r="EQB238"/>
      <c r="EQC238"/>
      <c r="EQD238"/>
      <c r="EQE238"/>
      <c r="EQF238"/>
      <c r="EQG238"/>
      <c r="EQH238"/>
      <c r="EQI238"/>
      <c r="EQJ238"/>
      <c r="EQK238"/>
      <c r="EQL238"/>
      <c r="EQM238"/>
      <c r="EQN238"/>
      <c r="EQO238"/>
      <c r="EQP238"/>
      <c r="EQQ238"/>
      <c r="EQR238"/>
      <c r="EQS238"/>
      <c r="EQT238"/>
      <c r="EQU238"/>
      <c r="EQV238"/>
      <c r="EQW238"/>
      <c r="EQX238"/>
      <c r="EQY238"/>
      <c r="EQZ238"/>
      <c r="ERA238"/>
      <c r="ERB238"/>
      <c r="ERC238"/>
      <c r="ERD238"/>
      <c r="ERE238"/>
      <c r="ERF238"/>
      <c r="ERG238"/>
      <c r="ERH238"/>
      <c r="ERI238"/>
      <c r="ERJ238"/>
      <c r="ERK238"/>
      <c r="ERL238"/>
      <c r="ERM238"/>
      <c r="ERN238"/>
      <c r="ERO238"/>
      <c r="ERP238"/>
      <c r="ERQ238"/>
      <c r="ERR238"/>
      <c r="ERS238"/>
      <c r="ERT238"/>
      <c r="ERU238"/>
      <c r="ERV238"/>
      <c r="ERW238"/>
      <c r="ERX238"/>
      <c r="ERY238"/>
      <c r="ERZ238"/>
      <c r="ESA238"/>
      <c r="ESB238"/>
      <c r="ESC238"/>
      <c r="ESD238"/>
      <c r="ESE238"/>
      <c r="ESF238"/>
      <c r="ESG238"/>
      <c r="ESH238"/>
      <c r="ESI238"/>
      <c r="ESJ238"/>
      <c r="ESK238"/>
      <c r="ESL238"/>
      <c r="ESM238"/>
      <c r="ESN238"/>
      <c r="ESO238"/>
      <c r="ESP238"/>
      <c r="ESQ238"/>
      <c r="ESR238"/>
      <c r="ESS238"/>
      <c r="EST238"/>
      <c r="ESU238"/>
      <c r="ESV238"/>
      <c r="ESW238"/>
      <c r="ESX238"/>
      <c r="ESY238"/>
      <c r="ESZ238"/>
      <c r="ETA238"/>
      <c r="ETB238"/>
      <c r="ETC238"/>
      <c r="ETD238"/>
      <c r="ETE238"/>
      <c r="ETF238"/>
      <c r="ETG238"/>
      <c r="ETH238"/>
      <c r="ETI238"/>
      <c r="ETJ238"/>
      <c r="ETK238"/>
      <c r="ETL238"/>
      <c r="ETM238"/>
      <c r="ETN238"/>
      <c r="ETO238"/>
      <c r="ETP238"/>
      <c r="ETQ238"/>
      <c r="ETR238"/>
      <c r="ETS238"/>
      <c r="ETT238"/>
      <c r="ETU238"/>
      <c r="ETV238"/>
      <c r="ETW238"/>
      <c r="ETX238"/>
      <c r="ETY238"/>
      <c r="ETZ238"/>
      <c r="EUA238"/>
      <c r="EUB238"/>
      <c r="EUC238"/>
      <c r="EUD238"/>
      <c r="EUE238"/>
      <c r="EUF238"/>
      <c r="EUG238"/>
      <c r="EUH238"/>
      <c r="EUI238"/>
      <c r="EUJ238"/>
      <c r="EUK238"/>
      <c r="EUL238"/>
      <c r="EUM238"/>
      <c r="EUN238"/>
      <c r="EUO238"/>
      <c r="EUP238"/>
      <c r="EUQ238"/>
      <c r="EUR238"/>
      <c r="EUS238"/>
      <c r="EUT238"/>
      <c r="EUU238"/>
      <c r="EUV238"/>
      <c r="EUW238"/>
      <c r="EUX238"/>
      <c r="EUY238"/>
      <c r="EUZ238"/>
      <c r="EVA238"/>
      <c r="EVB238"/>
      <c r="EVC238"/>
      <c r="EVD238"/>
      <c r="EVE238"/>
      <c r="EVF238"/>
      <c r="EVG238"/>
      <c r="EVH238"/>
      <c r="EVI238"/>
      <c r="EVJ238"/>
      <c r="EVK238"/>
      <c r="EVL238"/>
      <c r="EVM238"/>
      <c r="EVN238"/>
      <c r="EVO238"/>
      <c r="EVP238"/>
      <c r="EVQ238"/>
      <c r="EVR238"/>
      <c r="EVS238"/>
      <c r="EVT238"/>
      <c r="EVU238"/>
      <c r="EVV238"/>
      <c r="EVW238"/>
      <c r="EVX238"/>
      <c r="EVY238"/>
      <c r="EVZ238"/>
      <c r="EWA238"/>
      <c r="EWB238"/>
      <c r="EWC238"/>
      <c r="EWD238"/>
      <c r="EWE238"/>
      <c r="EWF238"/>
      <c r="EWG238"/>
      <c r="EWH238"/>
      <c r="EWI238"/>
      <c r="EWJ238"/>
      <c r="EWK238"/>
      <c r="EWL238"/>
      <c r="EWM238"/>
      <c r="EWN238"/>
      <c r="EWO238"/>
      <c r="EWP238"/>
      <c r="EWQ238"/>
      <c r="EWR238"/>
      <c r="EWS238"/>
      <c r="EWT238"/>
      <c r="EWU238"/>
      <c r="EWV238"/>
      <c r="EWW238"/>
      <c r="EWX238"/>
      <c r="EWY238"/>
      <c r="EWZ238"/>
      <c r="EXA238"/>
      <c r="EXB238"/>
      <c r="EXC238"/>
      <c r="EXD238"/>
      <c r="EXE238"/>
      <c r="EXF238"/>
      <c r="EXG238"/>
      <c r="EXH238"/>
      <c r="EXI238"/>
      <c r="EXJ238"/>
      <c r="EXK238"/>
      <c r="EXL238"/>
      <c r="EXM238"/>
      <c r="EXN238"/>
      <c r="EXO238"/>
      <c r="EXP238"/>
      <c r="EXQ238"/>
      <c r="EXR238"/>
      <c r="EXS238"/>
      <c r="EXT238"/>
      <c r="EXU238"/>
      <c r="EXV238"/>
      <c r="EXW238"/>
      <c r="EXX238"/>
      <c r="EXY238"/>
      <c r="EXZ238"/>
      <c r="EYA238"/>
      <c r="EYB238"/>
      <c r="EYC238"/>
      <c r="EYD238"/>
      <c r="EYE238"/>
      <c r="EYF238"/>
      <c r="EYG238"/>
      <c r="EYH238"/>
      <c r="EYI238"/>
      <c r="EYJ238"/>
      <c r="EYK238"/>
      <c r="EYL238"/>
      <c r="EYM238"/>
      <c r="EYN238"/>
      <c r="EYO238"/>
      <c r="EYP238"/>
      <c r="EYQ238"/>
      <c r="EYR238"/>
      <c r="EYS238"/>
      <c r="EYT238"/>
      <c r="EYU238"/>
      <c r="EYV238"/>
      <c r="EYW238"/>
      <c r="EYX238"/>
      <c r="EYY238"/>
      <c r="EYZ238"/>
      <c r="EZA238"/>
      <c r="EZB238"/>
      <c r="EZC238"/>
      <c r="EZD238"/>
      <c r="EZE238"/>
      <c r="EZF238"/>
      <c r="EZG238"/>
      <c r="EZH238"/>
      <c r="EZI238"/>
      <c r="EZJ238"/>
      <c r="EZK238"/>
      <c r="EZL238"/>
      <c r="EZM238"/>
      <c r="EZN238"/>
      <c r="EZO238"/>
      <c r="EZP238"/>
      <c r="EZQ238"/>
      <c r="EZR238"/>
      <c r="EZS238"/>
      <c r="EZT238"/>
      <c r="EZU238"/>
      <c r="EZV238"/>
      <c r="EZW238"/>
      <c r="EZX238"/>
      <c r="EZY238"/>
      <c r="EZZ238"/>
      <c r="FAA238"/>
      <c r="FAB238"/>
      <c r="FAC238"/>
      <c r="FAD238"/>
      <c r="FAE238"/>
      <c r="FAF238"/>
      <c r="FAG238"/>
      <c r="FAH238"/>
      <c r="FAI238"/>
      <c r="FAJ238"/>
      <c r="FAK238"/>
      <c r="FAL238"/>
      <c r="FAM238"/>
      <c r="FAN238"/>
      <c r="FAO238"/>
      <c r="FAP238"/>
      <c r="FAQ238"/>
      <c r="FAR238"/>
      <c r="FAS238"/>
      <c r="FAT238"/>
      <c r="FAU238"/>
      <c r="FAV238"/>
      <c r="FAW238"/>
      <c r="FAX238"/>
      <c r="FAY238"/>
      <c r="FAZ238"/>
      <c r="FBA238"/>
      <c r="FBB238"/>
      <c r="FBC238"/>
      <c r="FBD238"/>
      <c r="FBE238"/>
      <c r="FBF238"/>
      <c r="FBG238"/>
      <c r="FBH238"/>
      <c r="FBI238"/>
      <c r="FBJ238"/>
      <c r="FBK238"/>
      <c r="FBL238"/>
      <c r="FBM238"/>
      <c r="FBN238"/>
      <c r="FBO238"/>
      <c r="FBP238"/>
      <c r="FBQ238"/>
      <c r="FBR238"/>
      <c r="FBS238"/>
      <c r="FBT238"/>
      <c r="FBU238"/>
      <c r="FBV238"/>
      <c r="FBW238"/>
      <c r="FBX238"/>
      <c r="FBY238"/>
      <c r="FBZ238"/>
      <c r="FCA238"/>
      <c r="FCB238"/>
      <c r="FCC238"/>
      <c r="FCD238"/>
      <c r="FCE238"/>
      <c r="FCF238"/>
      <c r="FCG238"/>
      <c r="FCH238"/>
      <c r="FCI238"/>
      <c r="FCJ238"/>
      <c r="FCK238"/>
      <c r="FCL238"/>
      <c r="FCM238"/>
      <c r="FCN238"/>
      <c r="FCO238"/>
      <c r="FCP238"/>
      <c r="FCQ238"/>
      <c r="FCR238"/>
      <c r="FCS238"/>
      <c r="FCT238"/>
      <c r="FCU238"/>
      <c r="FCV238"/>
      <c r="FCW238"/>
      <c r="FCX238"/>
      <c r="FCY238"/>
      <c r="FCZ238"/>
      <c r="FDA238"/>
      <c r="FDB238"/>
      <c r="FDC238"/>
      <c r="FDD238"/>
      <c r="FDE238"/>
      <c r="FDF238"/>
      <c r="FDG238"/>
      <c r="FDH238"/>
      <c r="FDI238"/>
      <c r="FDJ238"/>
      <c r="FDK238"/>
      <c r="FDL238"/>
      <c r="FDM238"/>
      <c r="FDN238"/>
      <c r="FDO238"/>
      <c r="FDP238"/>
      <c r="FDQ238"/>
      <c r="FDR238"/>
      <c r="FDS238"/>
      <c r="FDT238"/>
      <c r="FDU238"/>
      <c r="FDV238"/>
      <c r="FDW238"/>
      <c r="FDX238"/>
      <c r="FDY238"/>
      <c r="FDZ238"/>
      <c r="FEA238"/>
      <c r="FEB238"/>
      <c r="FEC238"/>
      <c r="FED238"/>
      <c r="FEE238"/>
      <c r="FEF238"/>
      <c r="FEG238"/>
      <c r="FEH238"/>
      <c r="FEI238"/>
      <c r="FEJ238"/>
      <c r="FEK238"/>
      <c r="FEL238"/>
      <c r="FEM238"/>
      <c r="FEN238"/>
      <c r="FEO238"/>
      <c r="FEP238"/>
      <c r="FEQ238"/>
      <c r="FER238"/>
      <c r="FES238"/>
      <c r="FET238"/>
      <c r="FEU238"/>
      <c r="FEV238"/>
      <c r="FEW238"/>
      <c r="FEX238"/>
      <c r="FEY238"/>
      <c r="FEZ238"/>
      <c r="FFA238"/>
      <c r="FFB238"/>
      <c r="FFC238"/>
      <c r="FFD238"/>
      <c r="FFE238"/>
      <c r="FFF238"/>
      <c r="FFG238"/>
      <c r="FFH238"/>
      <c r="FFI238"/>
      <c r="FFJ238"/>
      <c r="FFK238"/>
      <c r="FFL238"/>
      <c r="FFM238"/>
      <c r="FFN238"/>
      <c r="FFO238"/>
      <c r="FFP238"/>
      <c r="FFQ238"/>
      <c r="FFR238"/>
      <c r="FFS238"/>
      <c r="FFT238"/>
      <c r="FFU238"/>
      <c r="FFV238"/>
      <c r="FFW238"/>
      <c r="FFX238"/>
      <c r="FFY238"/>
      <c r="FFZ238"/>
      <c r="FGA238"/>
      <c r="FGB238"/>
      <c r="FGC238"/>
      <c r="FGD238"/>
      <c r="FGE238"/>
      <c r="FGF238"/>
      <c r="FGG238"/>
      <c r="FGH238"/>
      <c r="FGI238"/>
      <c r="FGJ238"/>
      <c r="FGK238"/>
      <c r="FGL238"/>
      <c r="FGM238"/>
      <c r="FGN238"/>
      <c r="FGO238"/>
      <c r="FGP238"/>
      <c r="FGQ238"/>
      <c r="FGR238"/>
      <c r="FGS238"/>
      <c r="FGT238"/>
      <c r="FGU238"/>
      <c r="FGV238"/>
      <c r="FGW238"/>
      <c r="FGX238"/>
      <c r="FGY238"/>
      <c r="FGZ238"/>
      <c r="FHA238"/>
      <c r="FHB238"/>
      <c r="FHC238"/>
      <c r="FHD238"/>
      <c r="FHE238"/>
      <c r="FHF238"/>
      <c r="FHG238"/>
      <c r="FHH238"/>
      <c r="FHI238"/>
      <c r="FHJ238"/>
      <c r="FHK238"/>
      <c r="FHL238"/>
      <c r="FHM238"/>
      <c r="FHN238"/>
      <c r="FHO238"/>
      <c r="FHP238"/>
      <c r="FHQ238"/>
      <c r="FHR238"/>
      <c r="FHS238"/>
      <c r="FHT238"/>
      <c r="FHU238"/>
      <c r="FHV238"/>
      <c r="FHW238"/>
      <c r="FHX238"/>
      <c r="FHY238"/>
      <c r="FHZ238"/>
      <c r="FIA238"/>
      <c r="FIB238"/>
      <c r="FIC238"/>
      <c r="FID238"/>
      <c r="FIE238"/>
      <c r="FIF238"/>
      <c r="FIG238"/>
      <c r="FIH238"/>
      <c r="FII238"/>
      <c r="FIJ238"/>
      <c r="FIK238"/>
      <c r="FIL238"/>
      <c r="FIM238"/>
      <c r="FIN238"/>
      <c r="FIO238"/>
      <c r="FIP238"/>
      <c r="FIQ238"/>
      <c r="FIR238"/>
      <c r="FIS238"/>
      <c r="FIT238"/>
      <c r="FIU238"/>
      <c r="FIV238"/>
      <c r="FIW238"/>
      <c r="FIX238"/>
      <c r="FIY238"/>
      <c r="FIZ238"/>
      <c r="FJA238"/>
      <c r="FJB238"/>
      <c r="FJC238"/>
      <c r="FJD238"/>
      <c r="FJE238"/>
      <c r="FJF238"/>
      <c r="FJG238"/>
      <c r="FJH238"/>
      <c r="FJI238"/>
      <c r="FJJ238"/>
      <c r="FJK238"/>
      <c r="FJL238"/>
      <c r="FJM238"/>
      <c r="FJN238"/>
      <c r="FJO238"/>
      <c r="FJP238"/>
      <c r="FJQ238"/>
      <c r="FJR238"/>
      <c r="FJS238"/>
      <c r="FJT238"/>
      <c r="FJU238"/>
      <c r="FJV238"/>
      <c r="FJW238"/>
      <c r="FJX238"/>
      <c r="FJY238"/>
      <c r="FJZ238"/>
      <c r="FKA238"/>
      <c r="FKB238"/>
      <c r="FKC238"/>
      <c r="FKD238"/>
      <c r="FKE238"/>
      <c r="FKF238"/>
      <c r="FKG238"/>
      <c r="FKH238"/>
      <c r="FKI238"/>
      <c r="FKJ238"/>
      <c r="FKK238"/>
      <c r="FKL238"/>
      <c r="FKM238"/>
      <c r="FKN238"/>
      <c r="FKO238"/>
      <c r="FKP238"/>
      <c r="FKQ238"/>
      <c r="FKR238"/>
      <c r="FKS238"/>
      <c r="FKT238"/>
      <c r="FKU238"/>
      <c r="FKV238"/>
      <c r="FKW238"/>
      <c r="FKX238"/>
      <c r="FKY238"/>
      <c r="FKZ238"/>
      <c r="FLA238"/>
      <c r="FLB238"/>
      <c r="FLC238"/>
      <c r="FLD238"/>
      <c r="FLE238"/>
      <c r="FLF238"/>
      <c r="FLG238"/>
      <c r="FLH238"/>
      <c r="FLI238"/>
      <c r="FLJ238"/>
      <c r="FLK238"/>
      <c r="FLL238"/>
      <c r="FLM238"/>
      <c r="FLN238"/>
      <c r="FLO238"/>
      <c r="FLP238"/>
      <c r="FLQ238"/>
      <c r="FLR238"/>
      <c r="FLS238"/>
      <c r="FLT238"/>
      <c r="FLU238"/>
      <c r="FLV238"/>
      <c r="FLW238"/>
      <c r="FLX238"/>
      <c r="FLY238"/>
      <c r="FLZ238"/>
      <c r="FMA238"/>
      <c r="FMB238"/>
      <c r="FMC238"/>
      <c r="FMD238"/>
      <c r="FME238"/>
      <c r="FMF238"/>
      <c r="FMG238"/>
      <c r="FMH238"/>
      <c r="FMI238"/>
      <c r="FMJ238"/>
      <c r="FMK238"/>
      <c r="FML238"/>
      <c r="FMM238"/>
      <c r="FMN238"/>
      <c r="FMO238"/>
      <c r="FMP238"/>
      <c r="FMQ238"/>
      <c r="FMR238"/>
      <c r="FMS238"/>
      <c r="FMT238"/>
      <c r="FMU238"/>
      <c r="FMV238"/>
      <c r="FMW238"/>
      <c r="FMX238"/>
      <c r="FMY238"/>
      <c r="FMZ238"/>
      <c r="FNA238"/>
      <c r="FNB238"/>
      <c r="FNC238"/>
      <c r="FND238"/>
      <c r="FNE238"/>
      <c r="FNF238"/>
      <c r="FNG238"/>
      <c r="FNH238"/>
      <c r="FNI238"/>
      <c r="FNJ238"/>
      <c r="FNK238"/>
      <c r="FNL238"/>
      <c r="FNM238"/>
      <c r="FNN238"/>
      <c r="FNO238"/>
      <c r="FNP238"/>
      <c r="FNQ238"/>
      <c r="FNR238"/>
      <c r="FNS238"/>
      <c r="FNT238"/>
      <c r="FNU238"/>
      <c r="FNV238"/>
      <c r="FNW238"/>
      <c r="FNX238"/>
      <c r="FNY238"/>
      <c r="FNZ238"/>
      <c r="FOA238"/>
      <c r="FOB238"/>
      <c r="FOC238"/>
      <c r="FOD238"/>
      <c r="FOE238"/>
      <c r="FOF238"/>
      <c r="FOG238"/>
      <c r="FOH238"/>
      <c r="FOI238"/>
      <c r="FOJ238"/>
      <c r="FOK238"/>
      <c r="FOL238"/>
      <c r="FOM238"/>
      <c r="FON238"/>
      <c r="FOO238"/>
      <c r="FOP238"/>
      <c r="FOQ238"/>
      <c r="FOR238"/>
      <c r="FOS238"/>
      <c r="FOT238"/>
      <c r="FOU238"/>
      <c r="FOV238"/>
      <c r="FOW238"/>
      <c r="FOX238"/>
      <c r="FOY238"/>
      <c r="FOZ238"/>
      <c r="FPA238"/>
      <c r="FPB238"/>
      <c r="FPC238"/>
      <c r="FPD238"/>
      <c r="FPE238"/>
      <c r="FPF238"/>
      <c r="FPG238"/>
      <c r="FPH238"/>
      <c r="FPI238"/>
      <c r="FPJ238"/>
      <c r="FPK238"/>
      <c r="FPL238"/>
      <c r="FPM238"/>
      <c r="FPN238"/>
      <c r="FPO238"/>
      <c r="FPP238"/>
      <c r="FPQ238"/>
      <c r="FPR238"/>
      <c r="FPS238"/>
      <c r="FPT238"/>
      <c r="FPU238"/>
      <c r="FPV238"/>
      <c r="FPW238"/>
      <c r="FPX238"/>
      <c r="FPY238"/>
      <c r="FPZ238"/>
      <c r="FQA238"/>
      <c r="FQB238"/>
      <c r="FQC238"/>
      <c r="FQD238"/>
      <c r="FQE238"/>
      <c r="FQF238"/>
      <c r="FQG238"/>
      <c r="FQH238"/>
      <c r="FQI238"/>
      <c r="FQJ238"/>
      <c r="FQK238"/>
      <c r="FQL238"/>
      <c r="FQM238"/>
      <c r="FQN238"/>
      <c r="FQO238"/>
      <c r="FQP238"/>
      <c r="FQQ238"/>
      <c r="FQR238"/>
      <c r="FQS238"/>
      <c r="FQT238"/>
      <c r="FQU238"/>
      <c r="FQV238"/>
      <c r="FQW238"/>
      <c r="FQX238"/>
      <c r="FQY238"/>
      <c r="FQZ238"/>
      <c r="FRA238"/>
      <c r="FRB238"/>
      <c r="FRC238"/>
      <c r="FRD238"/>
      <c r="FRE238"/>
      <c r="FRF238"/>
      <c r="FRG238"/>
      <c r="FRH238"/>
      <c r="FRI238"/>
      <c r="FRJ238"/>
      <c r="FRK238"/>
      <c r="FRL238"/>
      <c r="FRM238"/>
      <c r="FRN238"/>
      <c r="FRO238"/>
      <c r="FRP238"/>
      <c r="FRQ238"/>
      <c r="FRR238"/>
      <c r="FRS238"/>
      <c r="FRT238"/>
      <c r="FRU238"/>
      <c r="FRV238"/>
      <c r="FRW238"/>
      <c r="FRX238"/>
      <c r="FRY238"/>
      <c r="FRZ238"/>
      <c r="FSA238"/>
      <c r="FSB238"/>
      <c r="FSC238"/>
      <c r="FSD238"/>
      <c r="FSE238"/>
      <c r="FSF238"/>
      <c r="FSG238"/>
      <c r="FSH238"/>
      <c r="FSI238"/>
      <c r="FSJ238"/>
      <c r="FSK238"/>
      <c r="FSL238"/>
      <c r="FSM238"/>
      <c r="FSN238"/>
      <c r="FSO238"/>
      <c r="FSP238"/>
      <c r="FSQ238"/>
      <c r="FSR238"/>
      <c r="FSS238"/>
      <c r="FST238"/>
      <c r="FSU238"/>
      <c r="FSV238"/>
      <c r="FSW238"/>
      <c r="FSX238"/>
      <c r="FSY238"/>
      <c r="FSZ238"/>
      <c r="FTA238"/>
      <c r="FTB238"/>
      <c r="FTC238"/>
      <c r="FTD238"/>
      <c r="FTE238"/>
      <c r="FTF238"/>
      <c r="FTG238"/>
      <c r="FTH238"/>
      <c r="FTI238"/>
      <c r="FTJ238"/>
      <c r="FTK238"/>
      <c r="FTL238"/>
      <c r="FTM238"/>
      <c r="FTN238"/>
      <c r="FTO238"/>
      <c r="FTP238"/>
      <c r="FTQ238"/>
      <c r="FTR238"/>
      <c r="FTS238"/>
      <c r="FTT238"/>
      <c r="FTU238"/>
      <c r="FTV238"/>
      <c r="FTW238"/>
      <c r="FTX238"/>
      <c r="FTY238"/>
      <c r="FTZ238"/>
      <c r="FUA238"/>
      <c r="FUB238"/>
      <c r="FUC238"/>
      <c r="FUD238"/>
      <c r="FUE238"/>
      <c r="FUF238"/>
      <c r="FUG238"/>
      <c r="FUH238"/>
      <c r="FUI238"/>
      <c r="FUJ238"/>
      <c r="FUK238"/>
      <c r="FUL238"/>
      <c r="FUM238"/>
      <c r="FUN238"/>
      <c r="FUO238"/>
      <c r="FUP238"/>
      <c r="FUQ238"/>
      <c r="FUR238"/>
      <c r="FUS238"/>
      <c r="FUT238"/>
      <c r="FUU238"/>
      <c r="FUV238"/>
      <c r="FUW238"/>
      <c r="FUX238"/>
      <c r="FUY238"/>
      <c r="FUZ238"/>
      <c r="FVA238"/>
      <c r="FVB238"/>
      <c r="FVC238"/>
      <c r="FVD238"/>
      <c r="FVE238"/>
      <c r="FVF238"/>
      <c r="FVG238"/>
      <c r="FVH238"/>
      <c r="FVI238"/>
      <c r="FVJ238"/>
      <c r="FVK238"/>
      <c r="FVL238"/>
      <c r="FVM238"/>
      <c r="FVN238"/>
      <c r="FVO238"/>
      <c r="FVP238"/>
      <c r="FVQ238"/>
      <c r="FVR238"/>
      <c r="FVS238"/>
      <c r="FVT238"/>
      <c r="FVU238"/>
      <c r="FVV238"/>
      <c r="FVW238"/>
      <c r="FVX238"/>
      <c r="FVY238"/>
      <c r="FVZ238"/>
      <c r="FWA238"/>
      <c r="FWB238"/>
      <c r="FWC238"/>
      <c r="FWD238"/>
      <c r="FWE238"/>
      <c r="FWF238"/>
      <c r="FWG238"/>
      <c r="FWH238"/>
      <c r="FWI238"/>
      <c r="FWJ238"/>
      <c r="FWK238"/>
      <c r="FWL238"/>
      <c r="FWM238"/>
      <c r="FWN238"/>
      <c r="FWO238"/>
      <c r="FWP238"/>
      <c r="FWQ238"/>
      <c r="FWR238"/>
      <c r="FWS238"/>
      <c r="FWT238"/>
      <c r="FWU238"/>
      <c r="FWV238"/>
      <c r="FWW238"/>
      <c r="FWX238"/>
      <c r="FWY238"/>
      <c r="FWZ238"/>
      <c r="FXA238"/>
      <c r="FXB238"/>
      <c r="FXC238"/>
      <c r="FXD238"/>
      <c r="FXE238"/>
      <c r="FXF238"/>
      <c r="FXG238"/>
      <c r="FXH238"/>
      <c r="FXI238"/>
      <c r="FXJ238"/>
      <c r="FXK238"/>
      <c r="FXL238"/>
      <c r="FXM238"/>
      <c r="FXN238"/>
      <c r="FXO238"/>
      <c r="FXP238"/>
      <c r="FXQ238"/>
      <c r="FXR238"/>
      <c r="FXS238"/>
      <c r="FXT238"/>
      <c r="FXU238"/>
      <c r="FXV238"/>
      <c r="FXW238"/>
      <c r="FXX238"/>
      <c r="FXY238"/>
      <c r="FXZ238"/>
      <c r="FYA238"/>
      <c r="FYB238"/>
      <c r="FYC238"/>
      <c r="FYD238"/>
      <c r="FYE238"/>
      <c r="FYF238"/>
      <c r="FYG238"/>
      <c r="FYH238"/>
      <c r="FYI238"/>
      <c r="FYJ238"/>
      <c r="FYK238"/>
      <c r="FYL238"/>
      <c r="FYM238"/>
      <c r="FYN238"/>
      <c r="FYO238"/>
      <c r="FYP238"/>
      <c r="FYQ238"/>
      <c r="FYR238"/>
      <c r="FYS238"/>
      <c r="FYT238"/>
      <c r="FYU238"/>
      <c r="FYV238"/>
      <c r="FYW238"/>
      <c r="FYX238"/>
      <c r="FYY238"/>
      <c r="FYZ238"/>
      <c r="FZA238"/>
      <c r="FZB238"/>
      <c r="FZC238"/>
      <c r="FZD238"/>
      <c r="FZE238"/>
      <c r="FZF238"/>
      <c r="FZG238"/>
      <c r="FZH238"/>
      <c r="FZI238"/>
      <c r="FZJ238"/>
      <c r="FZK238"/>
      <c r="FZL238"/>
      <c r="FZM238"/>
      <c r="FZN238"/>
      <c r="FZO238"/>
      <c r="FZP238"/>
      <c r="FZQ238"/>
      <c r="FZR238"/>
      <c r="FZS238"/>
      <c r="FZT238"/>
      <c r="FZU238"/>
      <c r="FZV238"/>
      <c r="FZW238"/>
      <c r="FZX238"/>
      <c r="FZY238"/>
      <c r="FZZ238"/>
      <c r="GAA238"/>
      <c r="GAB238"/>
      <c r="GAC238"/>
      <c r="GAD238"/>
      <c r="GAE238"/>
      <c r="GAF238"/>
      <c r="GAG238"/>
      <c r="GAH238"/>
      <c r="GAI238"/>
      <c r="GAJ238"/>
      <c r="GAK238"/>
      <c r="GAL238"/>
      <c r="GAM238"/>
      <c r="GAN238"/>
      <c r="GAO238"/>
      <c r="GAP238"/>
      <c r="GAQ238"/>
      <c r="GAR238"/>
      <c r="GAS238"/>
      <c r="GAT238"/>
      <c r="GAU238"/>
      <c r="GAV238"/>
      <c r="GAW238"/>
      <c r="GAX238"/>
      <c r="GAY238"/>
      <c r="GAZ238"/>
      <c r="GBA238"/>
      <c r="GBB238"/>
      <c r="GBC238"/>
      <c r="GBD238"/>
      <c r="GBE238"/>
      <c r="GBF238"/>
      <c r="GBG238"/>
      <c r="GBH238"/>
      <c r="GBI238"/>
      <c r="GBJ238"/>
      <c r="GBK238"/>
      <c r="GBL238"/>
      <c r="GBM238"/>
      <c r="GBN238"/>
      <c r="GBO238"/>
      <c r="GBP238"/>
      <c r="GBQ238"/>
      <c r="GBR238"/>
      <c r="GBS238"/>
      <c r="GBT238"/>
      <c r="GBU238"/>
      <c r="GBV238"/>
      <c r="GBW238"/>
      <c r="GBX238"/>
      <c r="GBY238"/>
      <c r="GBZ238"/>
      <c r="GCA238"/>
      <c r="GCB238"/>
      <c r="GCC238"/>
      <c r="GCD238"/>
      <c r="GCE238"/>
      <c r="GCF238"/>
      <c r="GCG238"/>
      <c r="GCH238"/>
      <c r="GCI238"/>
      <c r="GCJ238"/>
      <c r="GCK238"/>
      <c r="GCL238"/>
      <c r="GCM238"/>
      <c r="GCN238"/>
      <c r="GCO238"/>
      <c r="GCP238"/>
      <c r="GCQ238"/>
      <c r="GCR238"/>
      <c r="GCS238"/>
      <c r="GCT238"/>
      <c r="GCU238"/>
      <c r="GCV238"/>
      <c r="GCW238"/>
      <c r="GCX238"/>
      <c r="GCY238"/>
      <c r="GCZ238"/>
      <c r="GDA238"/>
      <c r="GDB238"/>
      <c r="GDC238"/>
      <c r="GDD238"/>
      <c r="GDE238"/>
      <c r="GDF238"/>
      <c r="GDG238"/>
      <c r="GDH238"/>
      <c r="GDI238"/>
      <c r="GDJ238"/>
      <c r="GDK238"/>
      <c r="GDL238"/>
      <c r="GDM238"/>
      <c r="GDN238"/>
      <c r="GDO238"/>
      <c r="GDP238"/>
      <c r="GDQ238"/>
      <c r="GDR238"/>
      <c r="GDS238"/>
      <c r="GDT238"/>
      <c r="GDU238"/>
      <c r="GDV238"/>
      <c r="GDW238"/>
      <c r="GDX238"/>
      <c r="GDY238"/>
      <c r="GDZ238"/>
      <c r="GEA238"/>
      <c r="GEB238"/>
      <c r="GEC238"/>
      <c r="GED238"/>
      <c r="GEE238"/>
      <c r="GEF238"/>
      <c r="GEG238"/>
      <c r="GEH238"/>
      <c r="GEI238"/>
      <c r="GEJ238"/>
      <c r="GEK238"/>
      <c r="GEL238"/>
      <c r="GEM238"/>
      <c r="GEN238"/>
      <c r="GEO238"/>
      <c r="GEP238"/>
      <c r="GEQ238"/>
      <c r="GER238"/>
      <c r="GES238"/>
      <c r="GET238"/>
      <c r="GEU238"/>
      <c r="GEV238"/>
      <c r="GEW238"/>
      <c r="GEX238"/>
      <c r="GEY238"/>
      <c r="GEZ238"/>
      <c r="GFA238"/>
      <c r="GFB238"/>
      <c r="GFC238"/>
      <c r="GFD238"/>
      <c r="GFE238"/>
      <c r="GFF238"/>
      <c r="GFG238"/>
      <c r="GFH238"/>
      <c r="GFI238"/>
      <c r="GFJ238"/>
      <c r="GFK238"/>
      <c r="GFL238"/>
      <c r="GFM238"/>
      <c r="GFN238"/>
      <c r="GFO238"/>
      <c r="GFP238"/>
      <c r="GFQ238"/>
      <c r="GFR238"/>
      <c r="GFS238"/>
      <c r="GFT238"/>
      <c r="GFU238"/>
      <c r="GFV238"/>
      <c r="GFW238"/>
      <c r="GFX238"/>
      <c r="GFY238"/>
      <c r="GFZ238"/>
      <c r="GGA238"/>
      <c r="GGB238"/>
      <c r="GGC238"/>
      <c r="GGD238"/>
      <c r="GGE238"/>
      <c r="GGF238"/>
      <c r="GGG238"/>
      <c r="GGH238"/>
      <c r="GGI238"/>
      <c r="GGJ238"/>
      <c r="GGK238"/>
      <c r="GGL238"/>
      <c r="GGM238"/>
      <c r="GGN238"/>
      <c r="GGO238"/>
      <c r="GGP238"/>
      <c r="GGQ238"/>
      <c r="GGR238"/>
      <c r="GGS238"/>
      <c r="GGT238"/>
      <c r="GGU238"/>
      <c r="GGV238"/>
      <c r="GGW238"/>
      <c r="GGX238"/>
      <c r="GGY238"/>
      <c r="GGZ238"/>
      <c r="GHA238"/>
      <c r="GHB238"/>
      <c r="GHC238"/>
      <c r="GHD238"/>
      <c r="GHE238"/>
      <c r="GHF238"/>
      <c r="GHG238"/>
      <c r="GHH238"/>
      <c r="GHI238"/>
      <c r="GHJ238"/>
      <c r="GHK238"/>
      <c r="GHL238"/>
      <c r="GHM238"/>
      <c r="GHN238"/>
      <c r="GHO238"/>
      <c r="GHP238"/>
      <c r="GHQ238"/>
      <c r="GHR238"/>
      <c r="GHS238"/>
      <c r="GHT238"/>
      <c r="GHU238"/>
      <c r="GHV238"/>
      <c r="GHW238"/>
      <c r="GHX238"/>
      <c r="GHY238"/>
      <c r="GHZ238"/>
      <c r="GIA238"/>
      <c r="GIB238"/>
      <c r="GIC238"/>
      <c r="GID238"/>
      <c r="GIE238"/>
      <c r="GIF238"/>
      <c r="GIG238"/>
      <c r="GIH238"/>
      <c r="GII238"/>
      <c r="GIJ238"/>
      <c r="GIK238"/>
      <c r="GIL238"/>
      <c r="GIM238"/>
      <c r="GIN238"/>
      <c r="GIO238"/>
      <c r="GIP238"/>
      <c r="GIQ238"/>
      <c r="GIR238"/>
      <c r="GIS238"/>
      <c r="GIT238"/>
      <c r="GIU238"/>
      <c r="GIV238"/>
      <c r="GIW238"/>
      <c r="GIX238"/>
      <c r="GIY238"/>
      <c r="GIZ238"/>
      <c r="GJA238"/>
      <c r="GJB238"/>
      <c r="GJC238"/>
      <c r="GJD238"/>
      <c r="GJE238"/>
      <c r="GJF238"/>
      <c r="GJG238"/>
      <c r="GJH238"/>
      <c r="GJI238"/>
      <c r="GJJ238"/>
      <c r="GJK238"/>
      <c r="GJL238"/>
      <c r="GJM238"/>
      <c r="GJN238"/>
      <c r="GJO238"/>
      <c r="GJP238"/>
      <c r="GJQ238"/>
      <c r="GJR238"/>
      <c r="GJS238"/>
      <c r="GJT238"/>
      <c r="GJU238"/>
      <c r="GJV238"/>
      <c r="GJW238"/>
      <c r="GJX238"/>
      <c r="GJY238"/>
      <c r="GJZ238"/>
      <c r="GKA238"/>
      <c r="GKB238"/>
      <c r="GKC238"/>
      <c r="GKD238"/>
      <c r="GKE238"/>
      <c r="GKF238"/>
      <c r="GKG238"/>
      <c r="GKH238"/>
      <c r="GKI238"/>
      <c r="GKJ238"/>
      <c r="GKK238"/>
      <c r="GKL238"/>
      <c r="GKM238"/>
      <c r="GKN238"/>
      <c r="GKO238"/>
      <c r="GKP238"/>
      <c r="GKQ238"/>
      <c r="GKR238"/>
      <c r="GKS238"/>
      <c r="GKT238"/>
      <c r="GKU238"/>
      <c r="GKV238"/>
      <c r="GKW238"/>
      <c r="GKX238"/>
      <c r="GKY238"/>
      <c r="GKZ238"/>
      <c r="GLA238"/>
      <c r="GLB238"/>
      <c r="GLC238"/>
      <c r="GLD238"/>
      <c r="GLE238"/>
      <c r="GLF238"/>
      <c r="GLG238"/>
      <c r="GLH238"/>
      <c r="GLI238"/>
      <c r="GLJ238"/>
      <c r="GLK238"/>
      <c r="GLL238"/>
      <c r="GLM238"/>
      <c r="GLN238"/>
      <c r="GLO238"/>
      <c r="GLP238"/>
      <c r="GLQ238"/>
      <c r="GLR238"/>
      <c r="GLS238"/>
      <c r="GLT238"/>
      <c r="GLU238"/>
      <c r="GLV238"/>
      <c r="GLW238"/>
      <c r="GLX238"/>
      <c r="GLY238"/>
      <c r="GLZ238"/>
      <c r="GMA238"/>
      <c r="GMB238"/>
      <c r="GMC238"/>
      <c r="GMD238"/>
      <c r="GME238"/>
      <c r="GMF238"/>
      <c r="GMG238"/>
      <c r="GMH238"/>
      <c r="GMI238"/>
      <c r="GMJ238"/>
      <c r="GMK238"/>
      <c r="GML238"/>
      <c r="GMM238"/>
      <c r="GMN238"/>
      <c r="GMO238"/>
      <c r="GMP238"/>
      <c r="GMQ238"/>
      <c r="GMR238"/>
      <c r="GMS238"/>
      <c r="GMT238"/>
      <c r="GMU238"/>
      <c r="GMV238"/>
      <c r="GMW238"/>
      <c r="GMX238"/>
      <c r="GMY238"/>
      <c r="GMZ238"/>
      <c r="GNA238"/>
      <c r="GNB238"/>
      <c r="GNC238"/>
      <c r="GND238"/>
      <c r="GNE238"/>
      <c r="GNF238"/>
      <c r="GNG238"/>
      <c r="GNH238"/>
      <c r="GNI238"/>
      <c r="GNJ238"/>
      <c r="GNK238"/>
      <c r="GNL238"/>
      <c r="GNM238"/>
      <c r="GNN238"/>
      <c r="GNO238"/>
      <c r="GNP238"/>
      <c r="GNQ238"/>
      <c r="GNR238"/>
      <c r="GNS238"/>
      <c r="GNT238"/>
      <c r="GNU238"/>
      <c r="GNV238"/>
      <c r="GNW238"/>
      <c r="GNX238"/>
      <c r="GNY238"/>
      <c r="GNZ238"/>
      <c r="GOA238"/>
      <c r="GOB238"/>
      <c r="GOC238"/>
      <c r="GOD238"/>
      <c r="GOE238"/>
      <c r="GOF238"/>
      <c r="GOG238"/>
      <c r="GOH238"/>
      <c r="GOI238"/>
      <c r="GOJ238"/>
      <c r="GOK238"/>
      <c r="GOL238"/>
      <c r="GOM238"/>
      <c r="GON238"/>
      <c r="GOO238"/>
      <c r="GOP238"/>
      <c r="GOQ238"/>
      <c r="GOR238"/>
      <c r="GOS238"/>
      <c r="GOT238"/>
      <c r="GOU238"/>
      <c r="GOV238"/>
      <c r="GOW238"/>
      <c r="GOX238"/>
      <c r="GOY238"/>
      <c r="GOZ238"/>
      <c r="GPA238"/>
      <c r="GPB238"/>
      <c r="GPC238"/>
      <c r="GPD238"/>
      <c r="GPE238"/>
      <c r="GPF238"/>
      <c r="GPG238"/>
      <c r="GPH238"/>
      <c r="GPI238"/>
      <c r="GPJ238"/>
      <c r="GPK238"/>
      <c r="GPL238"/>
      <c r="GPM238"/>
      <c r="GPN238"/>
      <c r="GPO238"/>
      <c r="GPP238"/>
      <c r="GPQ238"/>
      <c r="GPR238"/>
      <c r="GPS238"/>
      <c r="GPT238"/>
      <c r="GPU238"/>
      <c r="GPV238"/>
      <c r="GPW238"/>
      <c r="GPX238"/>
      <c r="GPY238"/>
      <c r="GPZ238"/>
      <c r="GQA238"/>
      <c r="GQB238"/>
      <c r="GQC238"/>
      <c r="GQD238"/>
      <c r="GQE238"/>
      <c r="GQF238"/>
      <c r="GQG238"/>
      <c r="GQH238"/>
      <c r="GQI238"/>
      <c r="GQJ238"/>
      <c r="GQK238"/>
      <c r="GQL238"/>
      <c r="GQM238"/>
      <c r="GQN238"/>
      <c r="GQO238"/>
      <c r="GQP238"/>
      <c r="GQQ238"/>
      <c r="GQR238"/>
      <c r="GQS238"/>
      <c r="GQT238"/>
      <c r="GQU238"/>
      <c r="GQV238"/>
      <c r="GQW238"/>
      <c r="GQX238"/>
      <c r="GQY238"/>
      <c r="GQZ238"/>
      <c r="GRA238"/>
      <c r="GRB238"/>
      <c r="GRC238"/>
      <c r="GRD238"/>
      <c r="GRE238"/>
      <c r="GRF238"/>
      <c r="GRG238"/>
      <c r="GRH238"/>
      <c r="GRI238"/>
      <c r="GRJ238"/>
      <c r="GRK238"/>
      <c r="GRL238"/>
      <c r="GRM238"/>
      <c r="GRN238"/>
      <c r="GRO238"/>
      <c r="GRP238"/>
      <c r="GRQ238"/>
      <c r="GRR238"/>
      <c r="GRS238"/>
      <c r="GRT238"/>
      <c r="GRU238"/>
      <c r="GRV238"/>
      <c r="GRW238"/>
      <c r="GRX238"/>
      <c r="GRY238"/>
      <c r="GRZ238"/>
      <c r="GSA238"/>
      <c r="GSB238"/>
      <c r="GSC238"/>
      <c r="GSD238"/>
      <c r="GSE238"/>
      <c r="GSF238"/>
      <c r="GSG238"/>
      <c r="GSH238"/>
      <c r="GSI238"/>
      <c r="GSJ238"/>
      <c r="GSK238"/>
      <c r="GSL238"/>
      <c r="GSM238"/>
      <c r="GSN238"/>
      <c r="GSO238"/>
      <c r="GSP238"/>
      <c r="GSQ238"/>
      <c r="GSR238"/>
      <c r="GSS238"/>
      <c r="GST238"/>
      <c r="GSU238"/>
      <c r="GSV238"/>
      <c r="GSW238"/>
      <c r="GSX238"/>
      <c r="GSY238"/>
      <c r="GSZ238"/>
      <c r="GTA238"/>
      <c r="GTB238"/>
      <c r="GTC238"/>
      <c r="GTD238"/>
      <c r="GTE238"/>
      <c r="GTF238"/>
      <c r="GTG238"/>
      <c r="GTH238"/>
      <c r="GTI238"/>
      <c r="GTJ238"/>
      <c r="GTK238"/>
      <c r="GTL238"/>
      <c r="GTM238"/>
      <c r="GTN238"/>
      <c r="GTO238"/>
      <c r="GTP238"/>
      <c r="GTQ238"/>
      <c r="GTR238"/>
      <c r="GTS238"/>
      <c r="GTT238"/>
      <c r="GTU238"/>
      <c r="GTV238"/>
      <c r="GTW238"/>
      <c r="GTX238"/>
      <c r="GTY238"/>
      <c r="GTZ238"/>
      <c r="GUA238"/>
      <c r="GUB238"/>
      <c r="GUC238"/>
      <c r="GUD238"/>
      <c r="GUE238"/>
      <c r="GUF238"/>
      <c r="GUG238"/>
      <c r="GUH238"/>
      <c r="GUI238"/>
      <c r="GUJ238"/>
      <c r="GUK238"/>
      <c r="GUL238"/>
      <c r="GUM238"/>
      <c r="GUN238"/>
      <c r="GUO238"/>
      <c r="GUP238"/>
      <c r="GUQ238"/>
      <c r="GUR238"/>
      <c r="GUS238"/>
      <c r="GUT238"/>
      <c r="GUU238"/>
      <c r="GUV238"/>
      <c r="GUW238"/>
      <c r="GUX238"/>
      <c r="GUY238"/>
      <c r="GUZ238"/>
      <c r="GVA238"/>
      <c r="GVB238"/>
      <c r="GVC238"/>
      <c r="GVD238"/>
      <c r="GVE238"/>
      <c r="GVF238"/>
      <c r="GVG238"/>
      <c r="GVH238"/>
      <c r="GVI238"/>
      <c r="GVJ238"/>
      <c r="GVK238"/>
      <c r="GVL238"/>
      <c r="GVM238"/>
      <c r="GVN238"/>
      <c r="GVO238"/>
      <c r="GVP238"/>
      <c r="GVQ238"/>
      <c r="GVR238"/>
      <c r="GVS238"/>
      <c r="GVT238"/>
      <c r="GVU238"/>
      <c r="GVV238"/>
      <c r="GVW238"/>
      <c r="GVX238"/>
      <c r="GVY238"/>
      <c r="GVZ238"/>
      <c r="GWA238"/>
      <c r="GWB238"/>
      <c r="GWC238"/>
      <c r="GWD238"/>
      <c r="GWE238"/>
      <c r="GWF238"/>
      <c r="GWG238"/>
      <c r="GWH238"/>
      <c r="GWI238"/>
      <c r="GWJ238"/>
      <c r="GWK238"/>
      <c r="GWL238"/>
      <c r="GWM238"/>
      <c r="GWN238"/>
      <c r="GWO238"/>
      <c r="GWP238"/>
      <c r="GWQ238"/>
      <c r="GWR238"/>
      <c r="GWS238"/>
      <c r="GWT238"/>
      <c r="GWU238"/>
      <c r="GWV238"/>
      <c r="GWW238"/>
      <c r="GWX238"/>
      <c r="GWY238"/>
      <c r="GWZ238"/>
      <c r="GXA238"/>
      <c r="GXB238"/>
      <c r="GXC238"/>
      <c r="GXD238"/>
      <c r="GXE238"/>
      <c r="GXF238"/>
      <c r="GXG238"/>
      <c r="GXH238"/>
      <c r="GXI238"/>
      <c r="GXJ238"/>
      <c r="GXK238"/>
      <c r="GXL238"/>
      <c r="GXM238"/>
      <c r="GXN238"/>
      <c r="GXO238"/>
      <c r="GXP238"/>
      <c r="GXQ238"/>
      <c r="GXR238"/>
      <c r="GXS238"/>
      <c r="GXT238"/>
      <c r="GXU238"/>
      <c r="GXV238"/>
      <c r="GXW238"/>
      <c r="GXX238"/>
      <c r="GXY238"/>
      <c r="GXZ238"/>
      <c r="GYA238"/>
      <c r="GYB238"/>
      <c r="GYC238"/>
      <c r="GYD238"/>
      <c r="GYE238"/>
      <c r="GYF238"/>
      <c r="GYG238"/>
      <c r="GYH238"/>
      <c r="GYI238"/>
      <c r="GYJ238"/>
      <c r="GYK238"/>
      <c r="GYL238"/>
      <c r="GYM238"/>
      <c r="GYN238"/>
      <c r="GYO238"/>
      <c r="GYP238"/>
      <c r="GYQ238"/>
      <c r="GYR238"/>
      <c r="GYS238"/>
      <c r="GYT238"/>
      <c r="GYU238"/>
      <c r="GYV238"/>
      <c r="GYW238"/>
      <c r="GYX238"/>
      <c r="GYY238"/>
      <c r="GYZ238"/>
      <c r="GZA238"/>
      <c r="GZB238"/>
      <c r="GZC238"/>
      <c r="GZD238"/>
      <c r="GZE238"/>
      <c r="GZF238"/>
      <c r="GZG238"/>
      <c r="GZH238"/>
      <c r="GZI238"/>
      <c r="GZJ238"/>
      <c r="GZK238"/>
      <c r="GZL238"/>
      <c r="GZM238"/>
      <c r="GZN238"/>
      <c r="GZO238"/>
      <c r="GZP238"/>
      <c r="GZQ238"/>
      <c r="GZR238"/>
      <c r="GZS238"/>
      <c r="GZT238"/>
      <c r="GZU238"/>
      <c r="GZV238"/>
      <c r="GZW238"/>
      <c r="GZX238"/>
      <c r="GZY238"/>
      <c r="GZZ238"/>
      <c r="HAA238"/>
      <c r="HAB238"/>
      <c r="HAC238"/>
      <c r="HAD238"/>
      <c r="HAE238"/>
      <c r="HAF238"/>
      <c r="HAG238"/>
      <c r="HAH238"/>
      <c r="HAI238"/>
      <c r="HAJ238"/>
      <c r="HAK238"/>
      <c r="HAL238"/>
      <c r="HAM238"/>
      <c r="HAN238"/>
      <c r="HAO238"/>
      <c r="HAP238"/>
      <c r="HAQ238"/>
      <c r="HAR238"/>
      <c r="HAS238"/>
      <c r="HAT238"/>
      <c r="HAU238"/>
      <c r="HAV238"/>
      <c r="HAW238"/>
      <c r="HAX238"/>
      <c r="HAY238"/>
      <c r="HAZ238"/>
      <c r="HBA238"/>
      <c r="HBB238"/>
      <c r="HBC238"/>
      <c r="HBD238"/>
      <c r="HBE238"/>
      <c r="HBF238"/>
      <c r="HBG238"/>
      <c r="HBH238"/>
      <c r="HBI238"/>
      <c r="HBJ238"/>
      <c r="HBK238"/>
      <c r="HBL238"/>
      <c r="HBM238"/>
      <c r="HBN238"/>
      <c r="HBO238"/>
      <c r="HBP238"/>
      <c r="HBQ238"/>
      <c r="HBR238"/>
      <c r="HBS238"/>
      <c r="HBT238"/>
      <c r="HBU238"/>
      <c r="HBV238"/>
      <c r="HBW238"/>
      <c r="HBX238"/>
      <c r="HBY238"/>
      <c r="HBZ238"/>
      <c r="HCA238"/>
      <c r="HCB238"/>
      <c r="HCC238"/>
      <c r="HCD238"/>
      <c r="HCE238"/>
      <c r="HCF238"/>
      <c r="HCG238"/>
      <c r="HCH238"/>
      <c r="HCI238"/>
      <c r="HCJ238"/>
      <c r="HCK238"/>
      <c r="HCL238"/>
      <c r="HCM238"/>
      <c r="HCN238"/>
      <c r="HCO238"/>
      <c r="HCP238"/>
      <c r="HCQ238"/>
      <c r="HCR238"/>
      <c r="HCS238"/>
      <c r="HCT238"/>
      <c r="HCU238"/>
      <c r="HCV238"/>
      <c r="HCW238"/>
      <c r="HCX238"/>
      <c r="HCY238"/>
      <c r="HCZ238"/>
      <c r="HDA238"/>
      <c r="HDB238"/>
      <c r="HDC238"/>
      <c r="HDD238"/>
      <c r="HDE238"/>
      <c r="HDF238"/>
      <c r="HDG238"/>
      <c r="HDH238"/>
      <c r="HDI238"/>
      <c r="HDJ238"/>
      <c r="HDK238"/>
      <c r="HDL238"/>
      <c r="HDM238"/>
      <c r="HDN238"/>
      <c r="HDO238"/>
      <c r="HDP238"/>
      <c r="HDQ238"/>
      <c r="HDR238"/>
      <c r="HDS238"/>
      <c r="HDT238"/>
      <c r="HDU238"/>
      <c r="HDV238"/>
      <c r="HDW238"/>
      <c r="HDX238"/>
      <c r="HDY238"/>
      <c r="HDZ238"/>
      <c r="HEA238"/>
      <c r="HEB238"/>
      <c r="HEC238"/>
      <c r="HED238"/>
      <c r="HEE238"/>
      <c r="HEF238"/>
      <c r="HEG238"/>
      <c r="HEH238"/>
      <c r="HEI238"/>
      <c r="HEJ238"/>
      <c r="HEK238"/>
      <c r="HEL238"/>
      <c r="HEM238"/>
      <c r="HEN238"/>
      <c r="HEO238"/>
      <c r="HEP238"/>
      <c r="HEQ238"/>
      <c r="HER238"/>
      <c r="HES238"/>
      <c r="HET238"/>
      <c r="HEU238"/>
      <c r="HEV238"/>
      <c r="HEW238"/>
      <c r="HEX238"/>
      <c r="HEY238"/>
      <c r="HEZ238"/>
      <c r="HFA238"/>
      <c r="HFB238"/>
      <c r="HFC238"/>
      <c r="HFD238"/>
      <c r="HFE238"/>
      <c r="HFF238"/>
      <c r="HFG238"/>
      <c r="HFH238"/>
      <c r="HFI238"/>
      <c r="HFJ238"/>
      <c r="HFK238"/>
      <c r="HFL238"/>
      <c r="HFM238"/>
      <c r="HFN238"/>
      <c r="HFO238"/>
      <c r="HFP238"/>
      <c r="HFQ238"/>
      <c r="HFR238"/>
      <c r="HFS238"/>
      <c r="HFT238"/>
      <c r="HFU238"/>
      <c r="HFV238"/>
      <c r="HFW238"/>
      <c r="HFX238"/>
      <c r="HFY238"/>
      <c r="HFZ238"/>
      <c r="HGA238"/>
      <c r="HGB238"/>
      <c r="HGC238"/>
      <c r="HGD238"/>
      <c r="HGE238"/>
      <c r="HGF238"/>
      <c r="HGG238"/>
      <c r="HGH238"/>
      <c r="HGI238"/>
      <c r="HGJ238"/>
      <c r="HGK238"/>
      <c r="HGL238"/>
      <c r="HGM238"/>
      <c r="HGN238"/>
      <c r="HGO238"/>
      <c r="HGP238"/>
      <c r="HGQ238"/>
      <c r="HGR238"/>
      <c r="HGS238"/>
      <c r="HGT238"/>
      <c r="HGU238"/>
      <c r="HGV238"/>
      <c r="HGW238"/>
      <c r="HGX238"/>
      <c r="HGY238"/>
      <c r="HGZ238"/>
      <c r="HHA238"/>
      <c r="HHB238"/>
      <c r="HHC238"/>
      <c r="HHD238"/>
      <c r="HHE238"/>
      <c r="HHF238"/>
      <c r="HHG238"/>
      <c r="HHH238"/>
      <c r="HHI238"/>
      <c r="HHJ238"/>
      <c r="HHK238"/>
      <c r="HHL238"/>
      <c r="HHM238"/>
      <c r="HHN238"/>
      <c r="HHO238"/>
      <c r="HHP238"/>
      <c r="HHQ238"/>
      <c r="HHR238"/>
      <c r="HHS238"/>
      <c r="HHT238"/>
      <c r="HHU238"/>
      <c r="HHV238"/>
      <c r="HHW238"/>
      <c r="HHX238"/>
      <c r="HHY238"/>
      <c r="HHZ238"/>
      <c r="HIA238"/>
      <c r="HIB238"/>
      <c r="HIC238"/>
      <c r="HID238"/>
      <c r="HIE238"/>
      <c r="HIF238"/>
      <c r="HIG238"/>
      <c r="HIH238"/>
      <c r="HII238"/>
      <c r="HIJ238"/>
      <c r="HIK238"/>
      <c r="HIL238"/>
      <c r="HIM238"/>
      <c r="HIN238"/>
      <c r="HIO238"/>
      <c r="HIP238"/>
      <c r="HIQ238"/>
      <c r="HIR238"/>
      <c r="HIS238"/>
      <c r="HIT238"/>
      <c r="HIU238"/>
      <c r="HIV238"/>
      <c r="HIW238"/>
      <c r="HIX238"/>
      <c r="HIY238"/>
      <c r="HIZ238"/>
      <c r="HJA238"/>
      <c r="HJB238"/>
      <c r="HJC238"/>
      <c r="HJD238"/>
      <c r="HJE238"/>
      <c r="HJF238"/>
      <c r="HJG238"/>
      <c r="HJH238"/>
      <c r="HJI238"/>
      <c r="HJJ238"/>
      <c r="HJK238"/>
      <c r="HJL238"/>
      <c r="HJM238"/>
      <c r="HJN238"/>
      <c r="HJO238"/>
      <c r="HJP238"/>
      <c r="HJQ238"/>
      <c r="HJR238"/>
      <c r="HJS238"/>
      <c r="HJT238"/>
      <c r="HJU238"/>
      <c r="HJV238"/>
      <c r="HJW238"/>
      <c r="HJX238"/>
      <c r="HJY238"/>
      <c r="HJZ238"/>
      <c r="HKA238"/>
      <c r="HKB238"/>
      <c r="HKC238"/>
      <c r="HKD238"/>
      <c r="HKE238"/>
      <c r="HKF238"/>
      <c r="HKG238"/>
      <c r="HKH238"/>
      <c r="HKI238"/>
      <c r="HKJ238"/>
      <c r="HKK238"/>
      <c r="HKL238"/>
      <c r="HKM238"/>
      <c r="HKN238"/>
      <c r="HKO238"/>
      <c r="HKP238"/>
      <c r="HKQ238"/>
      <c r="HKR238"/>
      <c r="HKS238"/>
      <c r="HKT238"/>
      <c r="HKU238"/>
      <c r="HKV238"/>
      <c r="HKW238"/>
      <c r="HKX238"/>
      <c r="HKY238"/>
      <c r="HKZ238"/>
      <c r="HLA238"/>
      <c r="HLB238"/>
      <c r="HLC238"/>
      <c r="HLD238"/>
      <c r="HLE238"/>
      <c r="HLF238"/>
      <c r="HLG238"/>
      <c r="HLH238"/>
      <c r="HLI238"/>
      <c r="HLJ238"/>
      <c r="HLK238"/>
      <c r="HLL238"/>
      <c r="HLM238"/>
      <c r="HLN238"/>
      <c r="HLO238"/>
      <c r="HLP238"/>
      <c r="HLQ238"/>
      <c r="HLR238"/>
      <c r="HLS238"/>
      <c r="HLT238"/>
      <c r="HLU238"/>
      <c r="HLV238"/>
      <c r="HLW238"/>
      <c r="HLX238"/>
      <c r="HLY238"/>
      <c r="HLZ238"/>
      <c r="HMA238"/>
      <c r="HMB238"/>
      <c r="HMC238"/>
      <c r="HMD238"/>
      <c r="HME238"/>
      <c r="HMF238"/>
      <c r="HMG238"/>
      <c r="HMH238"/>
      <c r="HMI238"/>
      <c r="HMJ238"/>
      <c r="HMK238"/>
      <c r="HML238"/>
      <c r="HMM238"/>
      <c r="HMN238"/>
      <c r="HMO238"/>
      <c r="HMP238"/>
      <c r="HMQ238"/>
      <c r="HMR238"/>
      <c r="HMS238"/>
      <c r="HMT238"/>
      <c r="HMU238"/>
      <c r="HMV238"/>
      <c r="HMW238"/>
      <c r="HMX238"/>
      <c r="HMY238"/>
      <c r="HMZ238"/>
      <c r="HNA238"/>
      <c r="HNB238"/>
      <c r="HNC238"/>
      <c r="HND238"/>
      <c r="HNE238"/>
      <c r="HNF238"/>
      <c r="HNG238"/>
      <c r="HNH238"/>
      <c r="HNI238"/>
      <c r="HNJ238"/>
      <c r="HNK238"/>
      <c r="HNL238"/>
      <c r="HNM238"/>
      <c r="HNN238"/>
      <c r="HNO238"/>
      <c r="HNP238"/>
      <c r="HNQ238"/>
      <c r="HNR238"/>
      <c r="HNS238"/>
      <c r="HNT238"/>
      <c r="HNU238"/>
      <c r="HNV238"/>
      <c r="HNW238"/>
      <c r="HNX238"/>
      <c r="HNY238"/>
      <c r="HNZ238"/>
      <c r="HOA238"/>
      <c r="HOB238"/>
      <c r="HOC238"/>
      <c r="HOD238"/>
      <c r="HOE238"/>
      <c r="HOF238"/>
      <c r="HOG238"/>
      <c r="HOH238"/>
      <c r="HOI238"/>
      <c r="HOJ238"/>
      <c r="HOK238"/>
      <c r="HOL238"/>
      <c r="HOM238"/>
      <c r="HON238"/>
      <c r="HOO238"/>
      <c r="HOP238"/>
      <c r="HOQ238"/>
      <c r="HOR238"/>
      <c r="HOS238"/>
      <c r="HOT238"/>
      <c r="HOU238"/>
      <c r="HOV238"/>
      <c r="HOW238"/>
      <c r="HOX238"/>
      <c r="HOY238"/>
      <c r="HOZ238"/>
      <c r="HPA238"/>
      <c r="HPB238"/>
      <c r="HPC238"/>
      <c r="HPD238"/>
      <c r="HPE238"/>
      <c r="HPF238"/>
      <c r="HPG238"/>
      <c r="HPH238"/>
      <c r="HPI238"/>
      <c r="HPJ238"/>
      <c r="HPK238"/>
      <c r="HPL238"/>
      <c r="HPM238"/>
      <c r="HPN238"/>
      <c r="HPO238"/>
      <c r="HPP238"/>
      <c r="HPQ238"/>
      <c r="HPR238"/>
      <c r="HPS238"/>
      <c r="HPT238"/>
      <c r="HPU238"/>
      <c r="HPV238"/>
      <c r="HPW238"/>
      <c r="HPX238"/>
      <c r="HPY238"/>
      <c r="HPZ238"/>
      <c r="HQA238"/>
      <c r="HQB238"/>
      <c r="HQC238"/>
      <c r="HQD238"/>
      <c r="HQE238"/>
      <c r="HQF238"/>
      <c r="HQG238"/>
      <c r="HQH238"/>
      <c r="HQI238"/>
      <c r="HQJ238"/>
      <c r="HQK238"/>
      <c r="HQL238"/>
      <c r="HQM238"/>
      <c r="HQN238"/>
      <c r="HQO238"/>
      <c r="HQP238"/>
      <c r="HQQ238"/>
      <c r="HQR238"/>
      <c r="HQS238"/>
      <c r="HQT238"/>
      <c r="HQU238"/>
      <c r="HQV238"/>
      <c r="HQW238"/>
      <c r="HQX238"/>
      <c r="HQY238"/>
      <c r="HQZ238"/>
      <c r="HRA238"/>
      <c r="HRB238"/>
      <c r="HRC238"/>
      <c r="HRD238"/>
      <c r="HRE238"/>
      <c r="HRF238"/>
      <c r="HRG238"/>
      <c r="HRH238"/>
      <c r="HRI238"/>
      <c r="HRJ238"/>
      <c r="HRK238"/>
      <c r="HRL238"/>
      <c r="HRM238"/>
      <c r="HRN238"/>
      <c r="HRO238"/>
      <c r="HRP238"/>
      <c r="HRQ238"/>
      <c r="HRR238"/>
      <c r="HRS238"/>
      <c r="HRT238"/>
      <c r="HRU238"/>
      <c r="HRV238"/>
      <c r="HRW238"/>
      <c r="HRX238"/>
      <c r="HRY238"/>
      <c r="HRZ238"/>
      <c r="HSA238"/>
      <c r="HSB238"/>
      <c r="HSC238"/>
      <c r="HSD238"/>
      <c r="HSE238"/>
      <c r="HSF238"/>
      <c r="HSG238"/>
      <c r="HSH238"/>
      <c r="HSI238"/>
      <c r="HSJ238"/>
      <c r="HSK238"/>
      <c r="HSL238"/>
      <c r="HSM238"/>
      <c r="HSN238"/>
      <c r="HSO238"/>
      <c r="HSP238"/>
      <c r="HSQ238"/>
      <c r="HSR238"/>
      <c r="HSS238"/>
      <c r="HST238"/>
      <c r="HSU238"/>
      <c r="HSV238"/>
      <c r="HSW238"/>
      <c r="HSX238"/>
      <c r="HSY238"/>
      <c r="HSZ238"/>
      <c r="HTA238"/>
      <c r="HTB238"/>
      <c r="HTC238"/>
      <c r="HTD238"/>
      <c r="HTE238"/>
      <c r="HTF238"/>
      <c r="HTG238"/>
      <c r="HTH238"/>
      <c r="HTI238"/>
      <c r="HTJ238"/>
      <c r="HTK238"/>
      <c r="HTL238"/>
      <c r="HTM238"/>
      <c r="HTN238"/>
      <c r="HTO238"/>
      <c r="HTP238"/>
      <c r="HTQ238"/>
      <c r="HTR238"/>
      <c r="HTS238"/>
      <c r="HTT238"/>
      <c r="HTU238"/>
      <c r="HTV238"/>
      <c r="HTW238"/>
      <c r="HTX238"/>
      <c r="HTY238"/>
      <c r="HTZ238"/>
      <c r="HUA238"/>
      <c r="HUB238"/>
      <c r="HUC238"/>
      <c r="HUD238"/>
      <c r="HUE238"/>
      <c r="HUF238"/>
      <c r="HUG238"/>
      <c r="HUH238"/>
      <c r="HUI238"/>
      <c r="HUJ238"/>
      <c r="HUK238"/>
      <c r="HUL238"/>
      <c r="HUM238"/>
      <c r="HUN238"/>
      <c r="HUO238"/>
      <c r="HUP238"/>
      <c r="HUQ238"/>
      <c r="HUR238"/>
      <c r="HUS238"/>
      <c r="HUT238"/>
      <c r="HUU238"/>
      <c r="HUV238"/>
      <c r="HUW238"/>
      <c r="HUX238"/>
      <c r="HUY238"/>
      <c r="HUZ238"/>
      <c r="HVA238"/>
      <c r="HVB238"/>
      <c r="HVC238"/>
      <c r="HVD238"/>
      <c r="HVE238"/>
      <c r="HVF238"/>
      <c r="HVG238"/>
      <c r="HVH238"/>
      <c r="HVI238"/>
      <c r="HVJ238"/>
      <c r="HVK238"/>
      <c r="HVL238"/>
      <c r="HVM238"/>
      <c r="HVN238"/>
      <c r="HVO238"/>
      <c r="HVP238"/>
      <c r="HVQ238"/>
      <c r="HVR238"/>
      <c r="HVS238"/>
      <c r="HVT238"/>
      <c r="HVU238"/>
      <c r="HVV238"/>
      <c r="HVW238"/>
      <c r="HVX238"/>
      <c r="HVY238"/>
      <c r="HVZ238"/>
      <c r="HWA238"/>
      <c r="HWB238"/>
      <c r="HWC238"/>
      <c r="HWD238"/>
      <c r="HWE238"/>
      <c r="HWF238"/>
      <c r="HWG238"/>
      <c r="HWH238"/>
      <c r="HWI238"/>
      <c r="HWJ238"/>
      <c r="HWK238"/>
      <c r="HWL238"/>
      <c r="HWM238"/>
      <c r="HWN238"/>
      <c r="HWO238"/>
      <c r="HWP238"/>
      <c r="HWQ238"/>
      <c r="HWR238"/>
      <c r="HWS238"/>
      <c r="HWT238"/>
      <c r="HWU238"/>
      <c r="HWV238"/>
      <c r="HWW238"/>
      <c r="HWX238"/>
      <c r="HWY238"/>
      <c r="HWZ238"/>
      <c r="HXA238"/>
      <c r="HXB238"/>
      <c r="HXC238"/>
      <c r="HXD238"/>
      <c r="HXE238"/>
      <c r="HXF238"/>
      <c r="HXG238"/>
      <c r="HXH238"/>
      <c r="HXI238"/>
      <c r="HXJ238"/>
      <c r="HXK238"/>
      <c r="HXL238"/>
      <c r="HXM238"/>
      <c r="HXN238"/>
      <c r="HXO238"/>
      <c r="HXP238"/>
      <c r="HXQ238"/>
      <c r="HXR238"/>
      <c r="HXS238"/>
      <c r="HXT238"/>
      <c r="HXU238"/>
      <c r="HXV238"/>
      <c r="HXW238"/>
      <c r="HXX238"/>
      <c r="HXY238"/>
      <c r="HXZ238"/>
      <c r="HYA238"/>
      <c r="HYB238"/>
      <c r="HYC238"/>
      <c r="HYD238"/>
      <c r="HYE238"/>
      <c r="HYF238"/>
      <c r="HYG238"/>
      <c r="HYH238"/>
      <c r="HYI238"/>
      <c r="HYJ238"/>
      <c r="HYK238"/>
      <c r="HYL238"/>
      <c r="HYM238"/>
      <c r="HYN238"/>
      <c r="HYO238"/>
      <c r="HYP238"/>
      <c r="HYQ238"/>
      <c r="HYR238"/>
      <c r="HYS238"/>
      <c r="HYT238"/>
      <c r="HYU238"/>
      <c r="HYV238"/>
      <c r="HYW238"/>
      <c r="HYX238"/>
      <c r="HYY238"/>
      <c r="HYZ238"/>
      <c r="HZA238"/>
      <c r="HZB238"/>
      <c r="HZC238"/>
      <c r="HZD238"/>
      <c r="HZE238"/>
      <c r="HZF238"/>
      <c r="HZG238"/>
      <c r="HZH238"/>
      <c r="HZI238"/>
      <c r="HZJ238"/>
      <c r="HZK238"/>
      <c r="HZL238"/>
      <c r="HZM238"/>
      <c r="HZN238"/>
      <c r="HZO238"/>
      <c r="HZP238"/>
      <c r="HZQ238"/>
      <c r="HZR238"/>
      <c r="HZS238"/>
      <c r="HZT238"/>
      <c r="HZU238"/>
      <c r="HZV238"/>
      <c r="HZW238"/>
      <c r="HZX238"/>
      <c r="HZY238"/>
      <c r="HZZ238"/>
      <c r="IAA238"/>
      <c r="IAB238"/>
      <c r="IAC238"/>
      <c r="IAD238"/>
      <c r="IAE238"/>
      <c r="IAF238"/>
      <c r="IAG238"/>
      <c r="IAH238"/>
      <c r="IAI238"/>
      <c r="IAJ238"/>
      <c r="IAK238"/>
      <c r="IAL238"/>
      <c r="IAM238"/>
      <c r="IAN238"/>
      <c r="IAO238"/>
      <c r="IAP238"/>
      <c r="IAQ238"/>
      <c r="IAR238"/>
      <c r="IAS238"/>
      <c r="IAT238"/>
      <c r="IAU238"/>
      <c r="IAV238"/>
      <c r="IAW238"/>
      <c r="IAX238"/>
      <c r="IAY238"/>
      <c r="IAZ238"/>
      <c r="IBA238"/>
      <c r="IBB238"/>
      <c r="IBC238"/>
      <c r="IBD238"/>
      <c r="IBE238"/>
      <c r="IBF238"/>
      <c r="IBG238"/>
      <c r="IBH238"/>
      <c r="IBI238"/>
      <c r="IBJ238"/>
      <c r="IBK238"/>
      <c r="IBL238"/>
      <c r="IBM238"/>
      <c r="IBN238"/>
      <c r="IBO238"/>
      <c r="IBP238"/>
      <c r="IBQ238"/>
      <c r="IBR238"/>
      <c r="IBS238"/>
      <c r="IBT238"/>
      <c r="IBU238"/>
      <c r="IBV238"/>
      <c r="IBW238"/>
      <c r="IBX238"/>
      <c r="IBY238"/>
      <c r="IBZ238"/>
      <c r="ICA238"/>
      <c r="ICB238"/>
      <c r="ICC238"/>
      <c r="ICD238"/>
      <c r="ICE238"/>
      <c r="ICF238"/>
      <c r="ICG238"/>
      <c r="ICH238"/>
      <c r="ICI238"/>
      <c r="ICJ238"/>
      <c r="ICK238"/>
      <c r="ICL238"/>
      <c r="ICM238"/>
      <c r="ICN238"/>
      <c r="ICO238"/>
      <c r="ICP238"/>
      <c r="ICQ238"/>
      <c r="ICR238"/>
      <c r="ICS238"/>
      <c r="ICT238"/>
      <c r="ICU238"/>
      <c r="ICV238"/>
      <c r="ICW238"/>
      <c r="ICX238"/>
      <c r="ICY238"/>
      <c r="ICZ238"/>
      <c r="IDA238"/>
      <c r="IDB238"/>
      <c r="IDC238"/>
      <c r="IDD238"/>
      <c r="IDE238"/>
      <c r="IDF238"/>
      <c r="IDG238"/>
      <c r="IDH238"/>
      <c r="IDI238"/>
      <c r="IDJ238"/>
      <c r="IDK238"/>
      <c r="IDL238"/>
      <c r="IDM238"/>
      <c r="IDN238"/>
      <c r="IDO238"/>
      <c r="IDP238"/>
      <c r="IDQ238"/>
      <c r="IDR238"/>
      <c r="IDS238"/>
      <c r="IDT238"/>
      <c r="IDU238"/>
      <c r="IDV238"/>
      <c r="IDW238"/>
      <c r="IDX238"/>
      <c r="IDY238"/>
      <c r="IDZ238"/>
      <c r="IEA238"/>
      <c r="IEB238"/>
      <c r="IEC238"/>
      <c r="IED238"/>
      <c r="IEE238"/>
      <c r="IEF238"/>
      <c r="IEG238"/>
      <c r="IEH238"/>
      <c r="IEI238"/>
      <c r="IEJ238"/>
      <c r="IEK238"/>
      <c r="IEL238"/>
      <c r="IEM238"/>
      <c r="IEN238"/>
      <c r="IEO238"/>
      <c r="IEP238"/>
      <c r="IEQ238"/>
      <c r="IER238"/>
      <c r="IES238"/>
      <c r="IET238"/>
      <c r="IEU238"/>
      <c r="IEV238"/>
      <c r="IEW238"/>
      <c r="IEX238"/>
      <c r="IEY238"/>
      <c r="IEZ238"/>
      <c r="IFA238"/>
      <c r="IFB238"/>
      <c r="IFC238"/>
      <c r="IFD238"/>
      <c r="IFE238"/>
      <c r="IFF238"/>
      <c r="IFG238"/>
      <c r="IFH238"/>
      <c r="IFI238"/>
      <c r="IFJ238"/>
      <c r="IFK238"/>
      <c r="IFL238"/>
      <c r="IFM238"/>
      <c r="IFN238"/>
      <c r="IFO238"/>
      <c r="IFP238"/>
      <c r="IFQ238"/>
      <c r="IFR238"/>
      <c r="IFS238"/>
      <c r="IFT238"/>
      <c r="IFU238"/>
      <c r="IFV238"/>
      <c r="IFW238"/>
      <c r="IFX238"/>
      <c r="IFY238"/>
      <c r="IFZ238"/>
      <c r="IGA238"/>
      <c r="IGB238"/>
      <c r="IGC238"/>
      <c r="IGD238"/>
      <c r="IGE238"/>
      <c r="IGF238"/>
      <c r="IGG238"/>
      <c r="IGH238"/>
      <c r="IGI238"/>
      <c r="IGJ238"/>
      <c r="IGK238"/>
      <c r="IGL238"/>
      <c r="IGM238"/>
      <c r="IGN238"/>
      <c r="IGO238"/>
      <c r="IGP238"/>
      <c r="IGQ238"/>
      <c r="IGR238"/>
      <c r="IGS238"/>
      <c r="IGT238"/>
      <c r="IGU238"/>
      <c r="IGV238"/>
      <c r="IGW238"/>
      <c r="IGX238"/>
      <c r="IGY238"/>
      <c r="IGZ238"/>
      <c r="IHA238"/>
      <c r="IHB238"/>
      <c r="IHC238"/>
      <c r="IHD238"/>
      <c r="IHE238"/>
      <c r="IHF238"/>
      <c r="IHG238"/>
      <c r="IHH238"/>
      <c r="IHI238"/>
      <c r="IHJ238"/>
      <c r="IHK238"/>
      <c r="IHL238"/>
      <c r="IHM238"/>
      <c r="IHN238"/>
      <c r="IHO238"/>
      <c r="IHP238"/>
      <c r="IHQ238"/>
      <c r="IHR238"/>
      <c r="IHS238"/>
      <c r="IHT238"/>
      <c r="IHU238"/>
      <c r="IHV238"/>
      <c r="IHW238"/>
      <c r="IHX238"/>
      <c r="IHY238"/>
      <c r="IHZ238"/>
      <c r="IIA238"/>
      <c r="IIB238"/>
      <c r="IIC238"/>
      <c r="IID238"/>
      <c r="IIE238"/>
      <c r="IIF238"/>
      <c r="IIG238"/>
      <c r="IIH238"/>
      <c r="III238"/>
      <c r="IIJ238"/>
      <c r="IIK238"/>
      <c r="IIL238"/>
      <c r="IIM238"/>
      <c r="IIN238"/>
      <c r="IIO238"/>
      <c r="IIP238"/>
      <c r="IIQ238"/>
      <c r="IIR238"/>
      <c r="IIS238"/>
      <c r="IIT238"/>
      <c r="IIU238"/>
      <c r="IIV238"/>
      <c r="IIW238"/>
      <c r="IIX238"/>
      <c r="IIY238"/>
      <c r="IIZ238"/>
      <c r="IJA238"/>
      <c r="IJB238"/>
      <c r="IJC238"/>
      <c r="IJD238"/>
      <c r="IJE238"/>
      <c r="IJF238"/>
      <c r="IJG238"/>
      <c r="IJH238"/>
      <c r="IJI238"/>
      <c r="IJJ238"/>
      <c r="IJK238"/>
      <c r="IJL238"/>
      <c r="IJM238"/>
      <c r="IJN238"/>
      <c r="IJO238"/>
      <c r="IJP238"/>
      <c r="IJQ238"/>
      <c r="IJR238"/>
      <c r="IJS238"/>
      <c r="IJT238"/>
      <c r="IJU238"/>
      <c r="IJV238"/>
      <c r="IJW238"/>
      <c r="IJX238"/>
      <c r="IJY238"/>
      <c r="IJZ238"/>
      <c r="IKA238"/>
      <c r="IKB238"/>
      <c r="IKC238"/>
      <c r="IKD238"/>
      <c r="IKE238"/>
      <c r="IKF238"/>
      <c r="IKG238"/>
      <c r="IKH238"/>
      <c r="IKI238"/>
      <c r="IKJ238"/>
      <c r="IKK238"/>
      <c r="IKL238"/>
      <c r="IKM238"/>
      <c r="IKN238"/>
      <c r="IKO238"/>
      <c r="IKP238"/>
      <c r="IKQ238"/>
      <c r="IKR238"/>
      <c r="IKS238"/>
      <c r="IKT238"/>
      <c r="IKU238"/>
      <c r="IKV238"/>
      <c r="IKW238"/>
      <c r="IKX238"/>
      <c r="IKY238"/>
      <c r="IKZ238"/>
      <c r="ILA238"/>
      <c r="ILB238"/>
      <c r="ILC238"/>
      <c r="ILD238"/>
      <c r="ILE238"/>
      <c r="ILF238"/>
      <c r="ILG238"/>
      <c r="ILH238"/>
      <c r="ILI238"/>
      <c r="ILJ238"/>
      <c r="ILK238"/>
      <c r="ILL238"/>
      <c r="ILM238"/>
      <c r="ILN238"/>
      <c r="ILO238"/>
      <c r="ILP238"/>
      <c r="ILQ238"/>
      <c r="ILR238"/>
      <c r="ILS238"/>
      <c r="ILT238"/>
      <c r="ILU238"/>
      <c r="ILV238"/>
      <c r="ILW238"/>
      <c r="ILX238"/>
      <c r="ILY238"/>
      <c r="ILZ238"/>
      <c r="IMA238"/>
      <c r="IMB238"/>
      <c r="IMC238"/>
      <c r="IMD238"/>
      <c r="IME238"/>
      <c r="IMF238"/>
      <c r="IMG238"/>
      <c r="IMH238"/>
      <c r="IMI238"/>
      <c r="IMJ238"/>
      <c r="IMK238"/>
      <c r="IML238"/>
      <c r="IMM238"/>
      <c r="IMN238"/>
      <c r="IMO238"/>
      <c r="IMP238"/>
      <c r="IMQ238"/>
      <c r="IMR238"/>
      <c r="IMS238"/>
      <c r="IMT238"/>
      <c r="IMU238"/>
      <c r="IMV238"/>
      <c r="IMW238"/>
      <c r="IMX238"/>
      <c r="IMY238"/>
      <c r="IMZ238"/>
      <c r="INA238"/>
      <c r="INB238"/>
      <c r="INC238"/>
      <c r="IND238"/>
      <c r="INE238"/>
      <c r="INF238"/>
      <c r="ING238"/>
      <c r="INH238"/>
      <c r="INI238"/>
      <c r="INJ238"/>
      <c r="INK238"/>
      <c r="INL238"/>
      <c r="INM238"/>
      <c r="INN238"/>
      <c r="INO238"/>
      <c r="INP238"/>
      <c r="INQ238"/>
      <c r="INR238"/>
      <c r="INS238"/>
      <c r="INT238"/>
      <c r="INU238"/>
      <c r="INV238"/>
      <c r="INW238"/>
      <c r="INX238"/>
      <c r="INY238"/>
      <c r="INZ238"/>
      <c r="IOA238"/>
      <c r="IOB238"/>
      <c r="IOC238"/>
      <c r="IOD238"/>
      <c r="IOE238"/>
      <c r="IOF238"/>
      <c r="IOG238"/>
      <c r="IOH238"/>
      <c r="IOI238"/>
      <c r="IOJ238"/>
      <c r="IOK238"/>
      <c r="IOL238"/>
      <c r="IOM238"/>
      <c r="ION238"/>
      <c r="IOO238"/>
      <c r="IOP238"/>
      <c r="IOQ238"/>
      <c r="IOR238"/>
      <c r="IOS238"/>
      <c r="IOT238"/>
      <c r="IOU238"/>
      <c r="IOV238"/>
      <c r="IOW238"/>
      <c r="IOX238"/>
      <c r="IOY238"/>
      <c r="IOZ238"/>
      <c r="IPA238"/>
      <c r="IPB238"/>
      <c r="IPC238"/>
      <c r="IPD238"/>
      <c r="IPE238"/>
      <c r="IPF238"/>
      <c r="IPG238"/>
      <c r="IPH238"/>
      <c r="IPI238"/>
      <c r="IPJ238"/>
      <c r="IPK238"/>
      <c r="IPL238"/>
      <c r="IPM238"/>
      <c r="IPN238"/>
      <c r="IPO238"/>
      <c r="IPP238"/>
      <c r="IPQ238"/>
      <c r="IPR238"/>
      <c r="IPS238"/>
      <c r="IPT238"/>
      <c r="IPU238"/>
      <c r="IPV238"/>
      <c r="IPW238"/>
      <c r="IPX238"/>
      <c r="IPY238"/>
      <c r="IPZ238"/>
      <c r="IQA238"/>
      <c r="IQB238"/>
      <c r="IQC238"/>
      <c r="IQD238"/>
      <c r="IQE238"/>
      <c r="IQF238"/>
      <c r="IQG238"/>
      <c r="IQH238"/>
      <c r="IQI238"/>
      <c r="IQJ238"/>
      <c r="IQK238"/>
      <c r="IQL238"/>
      <c r="IQM238"/>
      <c r="IQN238"/>
      <c r="IQO238"/>
      <c r="IQP238"/>
      <c r="IQQ238"/>
      <c r="IQR238"/>
      <c r="IQS238"/>
      <c r="IQT238"/>
      <c r="IQU238"/>
      <c r="IQV238"/>
      <c r="IQW238"/>
      <c r="IQX238"/>
      <c r="IQY238"/>
      <c r="IQZ238"/>
      <c r="IRA238"/>
      <c r="IRB238"/>
      <c r="IRC238"/>
      <c r="IRD238"/>
      <c r="IRE238"/>
      <c r="IRF238"/>
      <c r="IRG238"/>
      <c r="IRH238"/>
      <c r="IRI238"/>
      <c r="IRJ238"/>
      <c r="IRK238"/>
      <c r="IRL238"/>
      <c r="IRM238"/>
      <c r="IRN238"/>
      <c r="IRO238"/>
      <c r="IRP238"/>
      <c r="IRQ238"/>
      <c r="IRR238"/>
      <c r="IRS238"/>
      <c r="IRT238"/>
      <c r="IRU238"/>
      <c r="IRV238"/>
      <c r="IRW238"/>
      <c r="IRX238"/>
      <c r="IRY238"/>
      <c r="IRZ238"/>
      <c r="ISA238"/>
      <c r="ISB238"/>
      <c r="ISC238"/>
      <c r="ISD238"/>
      <c r="ISE238"/>
      <c r="ISF238"/>
      <c r="ISG238"/>
      <c r="ISH238"/>
      <c r="ISI238"/>
      <c r="ISJ238"/>
      <c r="ISK238"/>
      <c r="ISL238"/>
      <c r="ISM238"/>
      <c r="ISN238"/>
      <c r="ISO238"/>
      <c r="ISP238"/>
      <c r="ISQ238"/>
      <c r="ISR238"/>
      <c r="ISS238"/>
      <c r="IST238"/>
      <c r="ISU238"/>
      <c r="ISV238"/>
      <c r="ISW238"/>
      <c r="ISX238"/>
      <c r="ISY238"/>
      <c r="ISZ238"/>
      <c r="ITA238"/>
      <c r="ITB238"/>
      <c r="ITC238"/>
      <c r="ITD238"/>
      <c r="ITE238"/>
      <c r="ITF238"/>
      <c r="ITG238"/>
      <c r="ITH238"/>
      <c r="ITI238"/>
      <c r="ITJ238"/>
      <c r="ITK238"/>
      <c r="ITL238"/>
      <c r="ITM238"/>
      <c r="ITN238"/>
      <c r="ITO238"/>
      <c r="ITP238"/>
      <c r="ITQ238"/>
      <c r="ITR238"/>
      <c r="ITS238"/>
      <c r="ITT238"/>
      <c r="ITU238"/>
      <c r="ITV238"/>
      <c r="ITW238"/>
      <c r="ITX238"/>
      <c r="ITY238"/>
      <c r="ITZ238"/>
      <c r="IUA238"/>
      <c r="IUB238"/>
      <c r="IUC238"/>
      <c r="IUD238"/>
      <c r="IUE238"/>
      <c r="IUF238"/>
      <c r="IUG238"/>
      <c r="IUH238"/>
      <c r="IUI238"/>
      <c r="IUJ238"/>
      <c r="IUK238"/>
      <c r="IUL238"/>
      <c r="IUM238"/>
      <c r="IUN238"/>
      <c r="IUO238"/>
      <c r="IUP238"/>
      <c r="IUQ238"/>
      <c r="IUR238"/>
      <c r="IUS238"/>
      <c r="IUT238"/>
      <c r="IUU238"/>
      <c r="IUV238"/>
      <c r="IUW238"/>
      <c r="IUX238"/>
      <c r="IUY238"/>
      <c r="IUZ238"/>
      <c r="IVA238"/>
      <c r="IVB238"/>
      <c r="IVC238"/>
      <c r="IVD238"/>
      <c r="IVE238"/>
      <c r="IVF238"/>
      <c r="IVG238"/>
      <c r="IVH238"/>
      <c r="IVI238"/>
      <c r="IVJ238"/>
      <c r="IVK238"/>
      <c r="IVL238"/>
      <c r="IVM238"/>
      <c r="IVN238"/>
      <c r="IVO238"/>
      <c r="IVP238"/>
      <c r="IVQ238"/>
      <c r="IVR238"/>
      <c r="IVS238"/>
      <c r="IVT238"/>
      <c r="IVU238"/>
      <c r="IVV238"/>
      <c r="IVW238"/>
      <c r="IVX238"/>
      <c r="IVY238"/>
      <c r="IVZ238"/>
      <c r="IWA238"/>
      <c r="IWB238"/>
      <c r="IWC238"/>
      <c r="IWD238"/>
      <c r="IWE238"/>
      <c r="IWF238"/>
      <c r="IWG238"/>
      <c r="IWH238"/>
      <c r="IWI238"/>
      <c r="IWJ238"/>
      <c r="IWK238"/>
      <c r="IWL238"/>
      <c r="IWM238"/>
      <c r="IWN238"/>
      <c r="IWO238"/>
      <c r="IWP238"/>
      <c r="IWQ238"/>
      <c r="IWR238"/>
      <c r="IWS238"/>
      <c r="IWT238"/>
      <c r="IWU238"/>
      <c r="IWV238"/>
      <c r="IWW238"/>
      <c r="IWX238"/>
      <c r="IWY238"/>
      <c r="IWZ238"/>
      <c r="IXA238"/>
      <c r="IXB238"/>
      <c r="IXC238"/>
      <c r="IXD238"/>
      <c r="IXE238"/>
      <c r="IXF238"/>
      <c r="IXG238"/>
      <c r="IXH238"/>
      <c r="IXI238"/>
      <c r="IXJ238"/>
      <c r="IXK238"/>
      <c r="IXL238"/>
      <c r="IXM238"/>
      <c r="IXN238"/>
      <c r="IXO238"/>
      <c r="IXP238"/>
      <c r="IXQ238"/>
      <c r="IXR238"/>
      <c r="IXS238"/>
      <c r="IXT238"/>
      <c r="IXU238"/>
      <c r="IXV238"/>
      <c r="IXW238"/>
      <c r="IXX238"/>
      <c r="IXY238"/>
      <c r="IXZ238"/>
      <c r="IYA238"/>
      <c r="IYB238"/>
      <c r="IYC238"/>
      <c r="IYD238"/>
      <c r="IYE238"/>
      <c r="IYF238"/>
      <c r="IYG238"/>
      <c r="IYH238"/>
      <c r="IYI238"/>
      <c r="IYJ238"/>
      <c r="IYK238"/>
      <c r="IYL238"/>
      <c r="IYM238"/>
      <c r="IYN238"/>
      <c r="IYO238"/>
      <c r="IYP238"/>
      <c r="IYQ238"/>
      <c r="IYR238"/>
      <c r="IYS238"/>
      <c r="IYT238"/>
      <c r="IYU238"/>
      <c r="IYV238"/>
      <c r="IYW238"/>
      <c r="IYX238"/>
      <c r="IYY238"/>
      <c r="IYZ238"/>
      <c r="IZA238"/>
      <c r="IZB238"/>
      <c r="IZC238"/>
      <c r="IZD238"/>
      <c r="IZE238"/>
      <c r="IZF238"/>
      <c r="IZG238"/>
      <c r="IZH238"/>
      <c r="IZI238"/>
      <c r="IZJ238"/>
      <c r="IZK238"/>
      <c r="IZL238"/>
      <c r="IZM238"/>
      <c r="IZN238"/>
      <c r="IZO238"/>
      <c r="IZP238"/>
      <c r="IZQ238"/>
      <c r="IZR238"/>
      <c r="IZS238"/>
      <c r="IZT238"/>
      <c r="IZU238"/>
      <c r="IZV238"/>
      <c r="IZW238"/>
      <c r="IZX238"/>
      <c r="IZY238"/>
      <c r="IZZ238"/>
      <c r="JAA238"/>
      <c r="JAB238"/>
      <c r="JAC238"/>
      <c r="JAD238"/>
      <c r="JAE238"/>
      <c r="JAF238"/>
      <c r="JAG238"/>
      <c r="JAH238"/>
      <c r="JAI238"/>
      <c r="JAJ238"/>
      <c r="JAK238"/>
      <c r="JAL238"/>
      <c r="JAM238"/>
      <c r="JAN238"/>
      <c r="JAO238"/>
      <c r="JAP238"/>
      <c r="JAQ238"/>
      <c r="JAR238"/>
      <c r="JAS238"/>
      <c r="JAT238"/>
      <c r="JAU238"/>
      <c r="JAV238"/>
      <c r="JAW238"/>
      <c r="JAX238"/>
      <c r="JAY238"/>
      <c r="JAZ238"/>
      <c r="JBA238"/>
      <c r="JBB238"/>
      <c r="JBC238"/>
      <c r="JBD238"/>
      <c r="JBE238"/>
      <c r="JBF238"/>
      <c r="JBG238"/>
      <c r="JBH238"/>
      <c r="JBI238"/>
      <c r="JBJ238"/>
      <c r="JBK238"/>
      <c r="JBL238"/>
      <c r="JBM238"/>
      <c r="JBN238"/>
      <c r="JBO238"/>
      <c r="JBP238"/>
      <c r="JBQ238"/>
      <c r="JBR238"/>
      <c r="JBS238"/>
      <c r="JBT238"/>
      <c r="JBU238"/>
      <c r="JBV238"/>
      <c r="JBW238"/>
      <c r="JBX238"/>
      <c r="JBY238"/>
      <c r="JBZ238"/>
      <c r="JCA238"/>
      <c r="JCB238"/>
      <c r="JCC238"/>
      <c r="JCD238"/>
      <c r="JCE238"/>
      <c r="JCF238"/>
      <c r="JCG238"/>
      <c r="JCH238"/>
      <c r="JCI238"/>
      <c r="JCJ238"/>
      <c r="JCK238"/>
      <c r="JCL238"/>
      <c r="JCM238"/>
      <c r="JCN238"/>
      <c r="JCO238"/>
      <c r="JCP238"/>
      <c r="JCQ238"/>
      <c r="JCR238"/>
      <c r="JCS238"/>
      <c r="JCT238"/>
      <c r="JCU238"/>
      <c r="JCV238"/>
      <c r="JCW238"/>
      <c r="JCX238"/>
      <c r="JCY238"/>
      <c r="JCZ238"/>
      <c r="JDA238"/>
      <c r="JDB238"/>
      <c r="JDC238"/>
      <c r="JDD238"/>
      <c r="JDE238"/>
      <c r="JDF238"/>
      <c r="JDG238"/>
      <c r="JDH238"/>
      <c r="JDI238"/>
      <c r="JDJ238"/>
      <c r="JDK238"/>
      <c r="JDL238"/>
      <c r="JDM238"/>
      <c r="JDN238"/>
      <c r="JDO238"/>
      <c r="JDP238"/>
      <c r="JDQ238"/>
      <c r="JDR238"/>
      <c r="JDS238"/>
      <c r="JDT238"/>
      <c r="JDU238"/>
      <c r="JDV238"/>
      <c r="JDW238"/>
      <c r="JDX238"/>
      <c r="JDY238"/>
      <c r="JDZ238"/>
      <c r="JEA238"/>
      <c r="JEB238"/>
      <c r="JEC238"/>
      <c r="JED238"/>
      <c r="JEE238"/>
      <c r="JEF238"/>
      <c r="JEG238"/>
      <c r="JEH238"/>
      <c r="JEI238"/>
      <c r="JEJ238"/>
      <c r="JEK238"/>
      <c r="JEL238"/>
      <c r="JEM238"/>
      <c r="JEN238"/>
      <c r="JEO238"/>
      <c r="JEP238"/>
      <c r="JEQ238"/>
      <c r="JER238"/>
      <c r="JES238"/>
      <c r="JET238"/>
      <c r="JEU238"/>
      <c r="JEV238"/>
      <c r="JEW238"/>
      <c r="JEX238"/>
      <c r="JEY238"/>
      <c r="JEZ238"/>
      <c r="JFA238"/>
      <c r="JFB238"/>
      <c r="JFC238"/>
      <c r="JFD238"/>
      <c r="JFE238"/>
      <c r="JFF238"/>
      <c r="JFG238"/>
      <c r="JFH238"/>
      <c r="JFI238"/>
      <c r="JFJ238"/>
      <c r="JFK238"/>
      <c r="JFL238"/>
      <c r="JFM238"/>
      <c r="JFN238"/>
      <c r="JFO238"/>
      <c r="JFP238"/>
      <c r="JFQ238"/>
      <c r="JFR238"/>
      <c r="JFS238"/>
      <c r="JFT238"/>
      <c r="JFU238"/>
      <c r="JFV238"/>
      <c r="JFW238"/>
      <c r="JFX238"/>
      <c r="JFY238"/>
      <c r="JFZ238"/>
      <c r="JGA238"/>
      <c r="JGB238"/>
      <c r="JGC238"/>
      <c r="JGD238"/>
      <c r="JGE238"/>
      <c r="JGF238"/>
      <c r="JGG238"/>
      <c r="JGH238"/>
      <c r="JGI238"/>
      <c r="JGJ238"/>
      <c r="JGK238"/>
      <c r="JGL238"/>
      <c r="JGM238"/>
      <c r="JGN238"/>
      <c r="JGO238"/>
      <c r="JGP238"/>
      <c r="JGQ238"/>
      <c r="JGR238"/>
      <c r="JGS238"/>
      <c r="JGT238"/>
      <c r="JGU238"/>
      <c r="JGV238"/>
      <c r="JGW238"/>
      <c r="JGX238"/>
      <c r="JGY238"/>
      <c r="JGZ238"/>
      <c r="JHA238"/>
      <c r="JHB238"/>
      <c r="JHC238"/>
      <c r="JHD238"/>
      <c r="JHE238"/>
      <c r="JHF238"/>
      <c r="JHG238"/>
      <c r="JHH238"/>
      <c r="JHI238"/>
      <c r="JHJ238"/>
      <c r="JHK238"/>
      <c r="JHL238"/>
      <c r="JHM238"/>
      <c r="JHN238"/>
      <c r="JHO238"/>
      <c r="JHP238"/>
      <c r="JHQ238"/>
      <c r="JHR238"/>
      <c r="JHS238"/>
      <c r="JHT238"/>
      <c r="JHU238"/>
      <c r="JHV238"/>
      <c r="JHW238"/>
      <c r="JHX238"/>
      <c r="JHY238"/>
      <c r="JHZ238"/>
      <c r="JIA238"/>
      <c r="JIB238"/>
      <c r="JIC238"/>
      <c r="JID238"/>
      <c r="JIE238"/>
      <c r="JIF238"/>
      <c r="JIG238"/>
      <c r="JIH238"/>
      <c r="JII238"/>
      <c r="JIJ238"/>
      <c r="JIK238"/>
      <c r="JIL238"/>
      <c r="JIM238"/>
      <c r="JIN238"/>
      <c r="JIO238"/>
      <c r="JIP238"/>
      <c r="JIQ238"/>
      <c r="JIR238"/>
      <c r="JIS238"/>
      <c r="JIT238"/>
      <c r="JIU238"/>
      <c r="JIV238"/>
      <c r="JIW238"/>
      <c r="JIX238"/>
      <c r="JIY238"/>
      <c r="JIZ238"/>
      <c r="JJA238"/>
      <c r="JJB238"/>
      <c r="JJC238"/>
      <c r="JJD238"/>
      <c r="JJE238"/>
      <c r="JJF238"/>
      <c r="JJG238"/>
      <c r="JJH238"/>
      <c r="JJI238"/>
      <c r="JJJ238"/>
      <c r="JJK238"/>
      <c r="JJL238"/>
      <c r="JJM238"/>
      <c r="JJN238"/>
      <c r="JJO238"/>
      <c r="JJP238"/>
      <c r="JJQ238"/>
      <c r="JJR238"/>
      <c r="JJS238"/>
      <c r="JJT238"/>
      <c r="JJU238"/>
      <c r="JJV238"/>
      <c r="JJW238"/>
      <c r="JJX238"/>
      <c r="JJY238"/>
      <c r="JJZ238"/>
      <c r="JKA238"/>
      <c r="JKB238"/>
      <c r="JKC238"/>
      <c r="JKD238"/>
      <c r="JKE238"/>
      <c r="JKF238"/>
      <c r="JKG238"/>
      <c r="JKH238"/>
      <c r="JKI238"/>
      <c r="JKJ238"/>
      <c r="JKK238"/>
      <c r="JKL238"/>
      <c r="JKM238"/>
      <c r="JKN238"/>
      <c r="JKO238"/>
      <c r="JKP238"/>
      <c r="JKQ238"/>
      <c r="JKR238"/>
      <c r="JKS238"/>
      <c r="JKT238"/>
      <c r="JKU238"/>
      <c r="JKV238"/>
      <c r="JKW238"/>
      <c r="JKX238"/>
      <c r="JKY238"/>
      <c r="JKZ238"/>
      <c r="JLA238"/>
      <c r="JLB238"/>
      <c r="JLC238"/>
      <c r="JLD238"/>
      <c r="JLE238"/>
      <c r="JLF238"/>
      <c r="JLG238"/>
      <c r="JLH238"/>
      <c r="JLI238"/>
      <c r="JLJ238"/>
      <c r="JLK238"/>
      <c r="JLL238"/>
      <c r="JLM238"/>
      <c r="JLN238"/>
      <c r="JLO238"/>
      <c r="JLP238"/>
      <c r="JLQ238"/>
      <c r="JLR238"/>
      <c r="JLS238"/>
      <c r="JLT238"/>
      <c r="JLU238"/>
      <c r="JLV238"/>
      <c r="JLW238"/>
      <c r="JLX238"/>
      <c r="JLY238"/>
      <c r="JLZ238"/>
      <c r="JMA238"/>
      <c r="JMB238"/>
      <c r="JMC238"/>
      <c r="JMD238"/>
      <c r="JME238"/>
      <c r="JMF238"/>
      <c r="JMG238"/>
      <c r="JMH238"/>
      <c r="JMI238"/>
      <c r="JMJ238"/>
      <c r="JMK238"/>
      <c r="JML238"/>
      <c r="JMM238"/>
      <c r="JMN238"/>
      <c r="JMO238"/>
      <c r="JMP238"/>
      <c r="JMQ238"/>
      <c r="JMR238"/>
      <c r="JMS238"/>
      <c r="JMT238"/>
      <c r="JMU238"/>
      <c r="JMV238"/>
      <c r="JMW238"/>
      <c r="JMX238"/>
      <c r="JMY238"/>
      <c r="JMZ238"/>
      <c r="JNA238"/>
      <c r="JNB238"/>
      <c r="JNC238"/>
      <c r="JND238"/>
      <c r="JNE238"/>
      <c r="JNF238"/>
      <c r="JNG238"/>
      <c r="JNH238"/>
      <c r="JNI238"/>
      <c r="JNJ238"/>
      <c r="JNK238"/>
      <c r="JNL238"/>
      <c r="JNM238"/>
      <c r="JNN238"/>
      <c r="JNO238"/>
      <c r="JNP238"/>
      <c r="JNQ238"/>
      <c r="JNR238"/>
      <c r="JNS238"/>
      <c r="JNT238"/>
      <c r="JNU238"/>
      <c r="JNV238"/>
      <c r="JNW238"/>
      <c r="JNX238"/>
      <c r="JNY238"/>
      <c r="JNZ238"/>
      <c r="JOA238"/>
      <c r="JOB238"/>
      <c r="JOC238"/>
      <c r="JOD238"/>
      <c r="JOE238"/>
      <c r="JOF238"/>
      <c r="JOG238"/>
      <c r="JOH238"/>
      <c r="JOI238"/>
      <c r="JOJ238"/>
      <c r="JOK238"/>
      <c r="JOL238"/>
      <c r="JOM238"/>
      <c r="JON238"/>
      <c r="JOO238"/>
      <c r="JOP238"/>
      <c r="JOQ238"/>
      <c r="JOR238"/>
      <c r="JOS238"/>
      <c r="JOT238"/>
      <c r="JOU238"/>
      <c r="JOV238"/>
      <c r="JOW238"/>
      <c r="JOX238"/>
      <c r="JOY238"/>
      <c r="JOZ238"/>
      <c r="JPA238"/>
      <c r="JPB238"/>
      <c r="JPC238"/>
      <c r="JPD238"/>
      <c r="JPE238"/>
      <c r="JPF238"/>
      <c r="JPG238"/>
      <c r="JPH238"/>
      <c r="JPI238"/>
      <c r="JPJ238"/>
      <c r="JPK238"/>
      <c r="JPL238"/>
      <c r="JPM238"/>
      <c r="JPN238"/>
      <c r="JPO238"/>
      <c r="JPP238"/>
      <c r="JPQ238"/>
      <c r="JPR238"/>
      <c r="JPS238"/>
      <c r="JPT238"/>
      <c r="JPU238"/>
      <c r="JPV238"/>
      <c r="JPW238"/>
      <c r="JPX238"/>
      <c r="JPY238"/>
      <c r="JPZ238"/>
      <c r="JQA238"/>
      <c r="JQB238"/>
      <c r="JQC238"/>
      <c r="JQD238"/>
      <c r="JQE238"/>
      <c r="JQF238"/>
      <c r="JQG238"/>
      <c r="JQH238"/>
      <c r="JQI238"/>
      <c r="JQJ238"/>
      <c r="JQK238"/>
      <c r="JQL238"/>
      <c r="JQM238"/>
      <c r="JQN238"/>
      <c r="JQO238"/>
      <c r="JQP238"/>
      <c r="JQQ238"/>
      <c r="JQR238"/>
      <c r="JQS238"/>
      <c r="JQT238"/>
      <c r="JQU238"/>
      <c r="JQV238"/>
      <c r="JQW238"/>
      <c r="JQX238"/>
      <c r="JQY238"/>
      <c r="JQZ238"/>
      <c r="JRA238"/>
      <c r="JRB238"/>
      <c r="JRC238"/>
      <c r="JRD238"/>
      <c r="JRE238"/>
      <c r="JRF238"/>
      <c r="JRG238"/>
      <c r="JRH238"/>
      <c r="JRI238"/>
      <c r="JRJ238"/>
      <c r="JRK238"/>
      <c r="JRL238"/>
      <c r="JRM238"/>
      <c r="JRN238"/>
      <c r="JRO238"/>
      <c r="JRP238"/>
      <c r="JRQ238"/>
      <c r="JRR238"/>
      <c r="JRS238"/>
      <c r="JRT238"/>
      <c r="JRU238"/>
      <c r="JRV238"/>
      <c r="JRW238"/>
      <c r="JRX238"/>
      <c r="JRY238"/>
      <c r="JRZ238"/>
      <c r="JSA238"/>
      <c r="JSB238"/>
      <c r="JSC238"/>
      <c r="JSD238"/>
      <c r="JSE238"/>
      <c r="JSF238"/>
      <c r="JSG238"/>
      <c r="JSH238"/>
      <c r="JSI238"/>
      <c r="JSJ238"/>
      <c r="JSK238"/>
      <c r="JSL238"/>
      <c r="JSM238"/>
      <c r="JSN238"/>
      <c r="JSO238"/>
      <c r="JSP238"/>
      <c r="JSQ238"/>
      <c r="JSR238"/>
      <c r="JSS238"/>
      <c r="JST238"/>
      <c r="JSU238"/>
      <c r="JSV238"/>
      <c r="JSW238"/>
      <c r="JSX238"/>
      <c r="JSY238"/>
      <c r="JSZ238"/>
      <c r="JTA238"/>
      <c r="JTB238"/>
      <c r="JTC238"/>
      <c r="JTD238"/>
      <c r="JTE238"/>
      <c r="JTF238"/>
      <c r="JTG238"/>
      <c r="JTH238"/>
      <c r="JTI238"/>
      <c r="JTJ238"/>
      <c r="JTK238"/>
      <c r="JTL238"/>
      <c r="JTM238"/>
      <c r="JTN238"/>
      <c r="JTO238"/>
      <c r="JTP238"/>
      <c r="JTQ238"/>
      <c r="JTR238"/>
      <c r="JTS238"/>
      <c r="JTT238"/>
      <c r="JTU238"/>
      <c r="JTV238"/>
      <c r="JTW238"/>
      <c r="JTX238"/>
      <c r="JTY238"/>
      <c r="JTZ238"/>
      <c r="JUA238"/>
      <c r="JUB238"/>
      <c r="JUC238"/>
      <c r="JUD238"/>
      <c r="JUE238"/>
      <c r="JUF238"/>
      <c r="JUG238"/>
      <c r="JUH238"/>
      <c r="JUI238"/>
      <c r="JUJ238"/>
      <c r="JUK238"/>
      <c r="JUL238"/>
      <c r="JUM238"/>
      <c r="JUN238"/>
      <c r="JUO238"/>
      <c r="JUP238"/>
      <c r="JUQ238"/>
      <c r="JUR238"/>
      <c r="JUS238"/>
      <c r="JUT238"/>
      <c r="JUU238"/>
      <c r="JUV238"/>
      <c r="JUW238"/>
      <c r="JUX238"/>
      <c r="JUY238"/>
      <c r="JUZ238"/>
      <c r="JVA238"/>
      <c r="JVB238"/>
      <c r="JVC238"/>
      <c r="JVD238"/>
      <c r="JVE238"/>
      <c r="JVF238"/>
      <c r="JVG238"/>
      <c r="JVH238"/>
      <c r="JVI238"/>
      <c r="JVJ238"/>
      <c r="JVK238"/>
      <c r="JVL238"/>
      <c r="JVM238"/>
      <c r="JVN238"/>
      <c r="JVO238"/>
      <c r="JVP238"/>
      <c r="JVQ238"/>
      <c r="JVR238"/>
      <c r="JVS238"/>
      <c r="JVT238"/>
      <c r="JVU238"/>
      <c r="JVV238"/>
      <c r="JVW238"/>
      <c r="JVX238"/>
      <c r="JVY238"/>
      <c r="JVZ238"/>
      <c r="JWA238"/>
      <c r="JWB238"/>
      <c r="JWC238"/>
      <c r="JWD238"/>
      <c r="JWE238"/>
      <c r="JWF238"/>
      <c r="JWG238"/>
      <c r="JWH238"/>
      <c r="JWI238"/>
      <c r="JWJ238"/>
      <c r="JWK238"/>
      <c r="JWL238"/>
      <c r="JWM238"/>
      <c r="JWN238"/>
      <c r="JWO238"/>
      <c r="JWP238"/>
      <c r="JWQ238"/>
      <c r="JWR238"/>
      <c r="JWS238"/>
      <c r="JWT238"/>
      <c r="JWU238"/>
      <c r="JWV238"/>
      <c r="JWW238"/>
      <c r="JWX238"/>
      <c r="JWY238"/>
      <c r="JWZ238"/>
      <c r="JXA238"/>
      <c r="JXB238"/>
      <c r="JXC238"/>
      <c r="JXD238"/>
      <c r="JXE238"/>
      <c r="JXF238"/>
      <c r="JXG238"/>
      <c r="JXH238"/>
      <c r="JXI238"/>
      <c r="JXJ238"/>
      <c r="JXK238"/>
      <c r="JXL238"/>
      <c r="JXM238"/>
      <c r="JXN238"/>
      <c r="JXO238"/>
      <c r="JXP238"/>
      <c r="JXQ238"/>
      <c r="JXR238"/>
      <c r="JXS238"/>
      <c r="JXT238"/>
      <c r="JXU238"/>
      <c r="JXV238"/>
      <c r="JXW238"/>
      <c r="JXX238"/>
      <c r="JXY238"/>
      <c r="JXZ238"/>
      <c r="JYA238"/>
      <c r="JYB238"/>
      <c r="JYC238"/>
      <c r="JYD238"/>
      <c r="JYE238"/>
      <c r="JYF238"/>
      <c r="JYG238"/>
      <c r="JYH238"/>
      <c r="JYI238"/>
      <c r="JYJ238"/>
      <c r="JYK238"/>
      <c r="JYL238"/>
      <c r="JYM238"/>
      <c r="JYN238"/>
      <c r="JYO238"/>
      <c r="JYP238"/>
      <c r="JYQ238"/>
      <c r="JYR238"/>
      <c r="JYS238"/>
      <c r="JYT238"/>
      <c r="JYU238"/>
      <c r="JYV238"/>
      <c r="JYW238"/>
      <c r="JYX238"/>
      <c r="JYY238"/>
      <c r="JYZ238"/>
      <c r="JZA238"/>
      <c r="JZB238"/>
      <c r="JZC238"/>
      <c r="JZD238"/>
      <c r="JZE238"/>
      <c r="JZF238"/>
      <c r="JZG238"/>
      <c r="JZH238"/>
      <c r="JZI238"/>
      <c r="JZJ238"/>
      <c r="JZK238"/>
      <c r="JZL238"/>
      <c r="JZM238"/>
      <c r="JZN238"/>
      <c r="JZO238"/>
      <c r="JZP238"/>
      <c r="JZQ238"/>
      <c r="JZR238"/>
      <c r="JZS238"/>
      <c r="JZT238"/>
      <c r="JZU238"/>
      <c r="JZV238"/>
      <c r="JZW238"/>
      <c r="JZX238"/>
      <c r="JZY238"/>
      <c r="JZZ238"/>
      <c r="KAA238"/>
      <c r="KAB238"/>
      <c r="KAC238"/>
      <c r="KAD238"/>
      <c r="KAE238"/>
      <c r="KAF238"/>
      <c r="KAG238"/>
      <c r="KAH238"/>
      <c r="KAI238"/>
      <c r="KAJ238"/>
      <c r="KAK238"/>
      <c r="KAL238"/>
      <c r="KAM238"/>
      <c r="KAN238"/>
      <c r="KAO238"/>
      <c r="KAP238"/>
      <c r="KAQ238"/>
      <c r="KAR238"/>
      <c r="KAS238"/>
      <c r="KAT238"/>
      <c r="KAU238"/>
      <c r="KAV238"/>
      <c r="KAW238"/>
      <c r="KAX238"/>
      <c r="KAY238"/>
      <c r="KAZ238"/>
      <c r="KBA238"/>
      <c r="KBB238"/>
      <c r="KBC238"/>
      <c r="KBD238"/>
      <c r="KBE238"/>
      <c r="KBF238"/>
      <c r="KBG238"/>
      <c r="KBH238"/>
      <c r="KBI238"/>
      <c r="KBJ238"/>
      <c r="KBK238"/>
      <c r="KBL238"/>
      <c r="KBM238"/>
      <c r="KBN238"/>
      <c r="KBO238"/>
      <c r="KBP238"/>
      <c r="KBQ238"/>
      <c r="KBR238"/>
      <c r="KBS238"/>
      <c r="KBT238"/>
      <c r="KBU238"/>
      <c r="KBV238"/>
      <c r="KBW238"/>
      <c r="KBX238"/>
      <c r="KBY238"/>
      <c r="KBZ238"/>
      <c r="KCA238"/>
      <c r="KCB238"/>
      <c r="KCC238"/>
      <c r="KCD238"/>
      <c r="KCE238"/>
      <c r="KCF238"/>
      <c r="KCG238"/>
      <c r="KCH238"/>
      <c r="KCI238"/>
      <c r="KCJ238"/>
      <c r="KCK238"/>
      <c r="KCL238"/>
      <c r="KCM238"/>
      <c r="KCN238"/>
      <c r="KCO238"/>
      <c r="KCP238"/>
      <c r="KCQ238"/>
      <c r="KCR238"/>
      <c r="KCS238"/>
      <c r="KCT238"/>
      <c r="KCU238"/>
      <c r="KCV238"/>
      <c r="KCW238"/>
      <c r="KCX238"/>
      <c r="KCY238"/>
      <c r="KCZ238"/>
      <c r="KDA238"/>
      <c r="KDB238"/>
      <c r="KDC238"/>
      <c r="KDD238"/>
      <c r="KDE238"/>
      <c r="KDF238"/>
      <c r="KDG238"/>
      <c r="KDH238"/>
      <c r="KDI238"/>
      <c r="KDJ238"/>
      <c r="KDK238"/>
      <c r="KDL238"/>
      <c r="KDM238"/>
      <c r="KDN238"/>
      <c r="KDO238"/>
      <c r="KDP238"/>
      <c r="KDQ238"/>
      <c r="KDR238"/>
      <c r="KDS238"/>
      <c r="KDT238"/>
      <c r="KDU238"/>
      <c r="KDV238"/>
      <c r="KDW238"/>
      <c r="KDX238"/>
      <c r="KDY238"/>
      <c r="KDZ238"/>
      <c r="KEA238"/>
      <c r="KEB238"/>
      <c r="KEC238"/>
      <c r="KED238"/>
      <c r="KEE238"/>
      <c r="KEF238"/>
      <c r="KEG238"/>
      <c r="KEH238"/>
      <c r="KEI238"/>
      <c r="KEJ238"/>
      <c r="KEK238"/>
      <c r="KEL238"/>
      <c r="KEM238"/>
      <c r="KEN238"/>
      <c r="KEO238"/>
      <c r="KEP238"/>
      <c r="KEQ238"/>
      <c r="KER238"/>
      <c r="KES238"/>
      <c r="KET238"/>
      <c r="KEU238"/>
      <c r="KEV238"/>
      <c r="KEW238"/>
      <c r="KEX238"/>
      <c r="KEY238"/>
      <c r="KEZ238"/>
      <c r="KFA238"/>
      <c r="KFB238"/>
      <c r="KFC238"/>
      <c r="KFD238"/>
      <c r="KFE238"/>
      <c r="KFF238"/>
      <c r="KFG238"/>
      <c r="KFH238"/>
      <c r="KFI238"/>
      <c r="KFJ238"/>
      <c r="KFK238"/>
      <c r="KFL238"/>
      <c r="KFM238"/>
      <c r="KFN238"/>
      <c r="KFO238"/>
      <c r="KFP238"/>
      <c r="KFQ238"/>
      <c r="KFR238"/>
      <c r="KFS238"/>
      <c r="KFT238"/>
      <c r="KFU238"/>
      <c r="KFV238"/>
      <c r="KFW238"/>
      <c r="KFX238"/>
      <c r="KFY238"/>
      <c r="KFZ238"/>
      <c r="KGA238"/>
      <c r="KGB238"/>
      <c r="KGC238"/>
      <c r="KGD238"/>
      <c r="KGE238"/>
      <c r="KGF238"/>
      <c r="KGG238"/>
      <c r="KGH238"/>
      <c r="KGI238"/>
      <c r="KGJ238"/>
      <c r="KGK238"/>
      <c r="KGL238"/>
      <c r="KGM238"/>
      <c r="KGN238"/>
      <c r="KGO238"/>
      <c r="KGP238"/>
      <c r="KGQ238"/>
      <c r="KGR238"/>
      <c r="KGS238"/>
      <c r="KGT238"/>
      <c r="KGU238"/>
      <c r="KGV238"/>
      <c r="KGW238"/>
      <c r="KGX238"/>
      <c r="KGY238"/>
      <c r="KGZ238"/>
      <c r="KHA238"/>
      <c r="KHB238"/>
      <c r="KHC238"/>
      <c r="KHD238"/>
      <c r="KHE238"/>
      <c r="KHF238"/>
      <c r="KHG238"/>
      <c r="KHH238"/>
      <c r="KHI238"/>
      <c r="KHJ238"/>
      <c r="KHK238"/>
      <c r="KHL238"/>
      <c r="KHM238"/>
      <c r="KHN238"/>
      <c r="KHO238"/>
      <c r="KHP238"/>
      <c r="KHQ238"/>
      <c r="KHR238"/>
      <c r="KHS238"/>
      <c r="KHT238"/>
      <c r="KHU238"/>
      <c r="KHV238"/>
      <c r="KHW238"/>
      <c r="KHX238"/>
      <c r="KHY238"/>
      <c r="KHZ238"/>
      <c r="KIA238"/>
      <c r="KIB238"/>
      <c r="KIC238"/>
      <c r="KID238"/>
      <c r="KIE238"/>
      <c r="KIF238"/>
      <c r="KIG238"/>
      <c r="KIH238"/>
      <c r="KII238"/>
      <c r="KIJ238"/>
      <c r="KIK238"/>
      <c r="KIL238"/>
      <c r="KIM238"/>
      <c r="KIN238"/>
      <c r="KIO238"/>
      <c r="KIP238"/>
      <c r="KIQ238"/>
      <c r="KIR238"/>
      <c r="KIS238"/>
      <c r="KIT238"/>
      <c r="KIU238"/>
      <c r="KIV238"/>
      <c r="KIW238"/>
      <c r="KIX238"/>
      <c r="KIY238"/>
      <c r="KIZ238"/>
      <c r="KJA238"/>
      <c r="KJB238"/>
      <c r="KJC238"/>
      <c r="KJD238"/>
      <c r="KJE238"/>
      <c r="KJF238"/>
      <c r="KJG238"/>
      <c r="KJH238"/>
      <c r="KJI238"/>
      <c r="KJJ238"/>
      <c r="KJK238"/>
      <c r="KJL238"/>
      <c r="KJM238"/>
      <c r="KJN238"/>
      <c r="KJO238"/>
      <c r="KJP238"/>
      <c r="KJQ238"/>
      <c r="KJR238"/>
      <c r="KJS238"/>
      <c r="KJT238"/>
      <c r="KJU238"/>
      <c r="KJV238"/>
      <c r="KJW238"/>
      <c r="KJX238"/>
      <c r="KJY238"/>
      <c r="KJZ238"/>
      <c r="KKA238"/>
      <c r="KKB238"/>
      <c r="KKC238"/>
      <c r="KKD238"/>
      <c r="KKE238"/>
      <c r="KKF238"/>
      <c r="KKG238"/>
      <c r="KKH238"/>
      <c r="KKI238"/>
      <c r="KKJ238"/>
      <c r="KKK238"/>
      <c r="KKL238"/>
      <c r="KKM238"/>
      <c r="KKN238"/>
      <c r="KKO238"/>
      <c r="KKP238"/>
      <c r="KKQ238"/>
      <c r="KKR238"/>
      <c r="KKS238"/>
      <c r="KKT238"/>
      <c r="KKU238"/>
      <c r="KKV238"/>
      <c r="KKW238"/>
      <c r="KKX238"/>
      <c r="KKY238"/>
      <c r="KKZ238"/>
      <c r="KLA238"/>
      <c r="KLB238"/>
      <c r="KLC238"/>
      <c r="KLD238"/>
      <c r="KLE238"/>
      <c r="KLF238"/>
      <c r="KLG238"/>
      <c r="KLH238"/>
      <c r="KLI238"/>
      <c r="KLJ238"/>
      <c r="KLK238"/>
      <c r="KLL238"/>
      <c r="KLM238"/>
      <c r="KLN238"/>
      <c r="KLO238"/>
      <c r="KLP238"/>
      <c r="KLQ238"/>
      <c r="KLR238"/>
      <c r="KLS238"/>
      <c r="KLT238"/>
      <c r="KLU238"/>
      <c r="KLV238"/>
      <c r="KLW238"/>
      <c r="KLX238"/>
      <c r="KLY238"/>
      <c r="KLZ238"/>
      <c r="KMA238"/>
      <c r="KMB238"/>
      <c r="KMC238"/>
      <c r="KMD238"/>
      <c r="KME238"/>
      <c r="KMF238"/>
      <c r="KMG238"/>
      <c r="KMH238"/>
      <c r="KMI238"/>
      <c r="KMJ238"/>
      <c r="KMK238"/>
      <c r="KML238"/>
      <c r="KMM238"/>
      <c r="KMN238"/>
      <c r="KMO238"/>
      <c r="KMP238"/>
      <c r="KMQ238"/>
      <c r="KMR238"/>
      <c r="KMS238"/>
      <c r="KMT238"/>
      <c r="KMU238"/>
      <c r="KMV238"/>
      <c r="KMW238"/>
      <c r="KMX238"/>
      <c r="KMY238"/>
      <c r="KMZ238"/>
      <c r="KNA238"/>
      <c r="KNB238"/>
      <c r="KNC238"/>
      <c r="KND238"/>
      <c r="KNE238"/>
      <c r="KNF238"/>
      <c r="KNG238"/>
      <c r="KNH238"/>
      <c r="KNI238"/>
      <c r="KNJ238"/>
      <c r="KNK238"/>
      <c r="KNL238"/>
      <c r="KNM238"/>
      <c r="KNN238"/>
      <c r="KNO238"/>
      <c r="KNP238"/>
      <c r="KNQ238"/>
      <c r="KNR238"/>
      <c r="KNS238"/>
      <c r="KNT238"/>
      <c r="KNU238"/>
      <c r="KNV238"/>
      <c r="KNW238"/>
      <c r="KNX238"/>
      <c r="KNY238"/>
      <c r="KNZ238"/>
      <c r="KOA238"/>
      <c r="KOB238"/>
      <c r="KOC238"/>
      <c r="KOD238"/>
      <c r="KOE238"/>
      <c r="KOF238"/>
      <c r="KOG238"/>
      <c r="KOH238"/>
      <c r="KOI238"/>
      <c r="KOJ238"/>
      <c r="KOK238"/>
      <c r="KOL238"/>
      <c r="KOM238"/>
      <c r="KON238"/>
      <c r="KOO238"/>
      <c r="KOP238"/>
      <c r="KOQ238"/>
      <c r="KOR238"/>
      <c r="KOS238"/>
      <c r="KOT238"/>
      <c r="KOU238"/>
      <c r="KOV238"/>
      <c r="KOW238"/>
      <c r="KOX238"/>
      <c r="KOY238"/>
      <c r="KOZ238"/>
      <c r="KPA238"/>
      <c r="KPB238"/>
      <c r="KPC238"/>
      <c r="KPD238"/>
      <c r="KPE238"/>
      <c r="KPF238"/>
      <c r="KPG238"/>
      <c r="KPH238"/>
      <c r="KPI238"/>
      <c r="KPJ238"/>
      <c r="KPK238"/>
      <c r="KPL238"/>
      <c r="KPM238"/>
      <c r="KPN238"/>
      <c r="KPO238"/>
      <c r="KPP238"/>
      <c r="KPQ238"/>
      <c r="KPR238"/>
      <c r="KPS238"/>
      <c r="KPT238"/>
      <c r="KPU238"/>
      <c r="KPV238"/>
      <c r="KPW238"/>
      <c r="KPX238"/>
      <c r="KPY238"/>
      <c r="KPZ238"/>
      <c r="KQA238"/>
      <c r="KQB238"/>
      <c r="KQC238"/>
      <c r="KQD238"/>
      <c r="KQE238"/>
      <c r="KQF238"/>
      <c r="KQG238"/>
      <c r="KQH238"/>
      <c r="KQI238"/>
      <c r="KQJ238"/>
      <c r="KQK238"/>
      <c r="KQL238"/>
      <c r="KQM238"/>
      <c r="KQN238"/>
      <c r="KQO238"/>
      <c r="KQP238"/>
      <c r="KQQ238"/>
      <c r="KQR238"/>
      <c r="KQS238"/>
      <c r="KQT238"/>
      <c r="KQU238"/>
      <c r="KQV238"/>
      <c r="KQW238"/>
      <c r="KQX238"/>
      <c r="KQY238"/>
      <c r="KQZ238"/>
      <c r="KRA238"/>
      <c r="KRB238"/>
      <c r="KRC238"/>
      <c r="KRD238"/>
      <c r="KRE238"/>
      <c r="KRF238"/>
      <c r="KRG238"/>
      <c r="KRH238"/>
      <c r="KRI238"/>
      <c r="KRJ238"/>
      <c r="KRK238"/>
      <c r="KRL238"/>
      <c r="KRM238"/>
      <c r="KRN238"/>
      <c r="KRO238"/>
      <c r="KRP238"/>
      <c r="KRQ238"/>
      <c r="KRR238"/>
      <c r="KRS238"/>
      <c r="KRT238"/>
      <c r="KRU238"/>
      <c r="KRV238"/>
      <c r="KRW238"/>
      <c r="KRX238"/>
      <c r="KRY238"/>
      <c r="KRZ238"/>
      <c r="KSA238"/>
      <c r="KSB238"/>
      <c r="KSC238"/>
      <c r="KSD238"/>
      <c r="KSE238"/>
      <c r="KSF238"/>
      <c r="KSG238"/>
      <c r="KSH238"/>
      <c r="KSI238"/>
      <c r="KSJ238"/>
      <c r="KSK238"/>
      <c r="KSL238"/>
      <c r="KSM238"/>
      <c r="KSN238"/>
      <c r="KSO238"/>
      <c r="KSP238"/>
      <c r="KSQ238"/>
      <c r="KSR238"/>
      <c r="KSS238"/>
      <c r="KST238"/>
      <c r="KSU238"/>
      <c r="KSV238"/>
      <c r="KSW238"/>
      <c r="KSX238"/>
      <c r="KSY238"/>
      <c r="KSZ238"/>
      <c r="KTA238"/>
      <c r="KTB238"/>
      <c r="KTC238"/>
      <c r="KTD238"/>
      <c r="KTE238"/>
      <c r="KTF238"/>
      <c r="KTG238"/>
      <c r="KTH238"/>
      <c r="KTI238"/>
      <c r="KTJ238"/>
      <c r="KTK238"/>
      <c r="KTL238"/>
      <c r="KTM238"/>
      <c r="KTN238"/>
      <c r="KTO238"/>
      <c r="KTP238"/>
      <c r="KTQ238"/>
      <c r="KTR238"/>
      <c r="KTS238"/>
      <c r="KTT238"/>
      <c r="KTU238"/>
      <c r="KTV238"/>
      <c r="KTW238"/>
      <c r="KTX238"/>
      <c r="KTY238"/>
      <c r="KTZ238"/>
      <c r="KUA238"/>
      <c r="KUB238"/>
      <c r="KUC238"/>
      <c r="KUD238"/>
      <c r="KUE238"/>
      <c r="KUF238"/>
      <c r="KUG238"/>
      <c r="KUH238"/>
      <c r="KUI238"/>
      <c r="KUJ238"/>
      <c r="KUK238"/>
      <c r="KUL238"/>
      <c r="KUM238"/>
      <c r="KUN238"/>
      <c r="KUO238"/>
      <c r="KUP238"/>
      <c r="KUQ238"/>
      <c r="KUR238"/>
      <c r="KUS238"/>
      <c r="KUT238"/>
      <c r="KUU238"/>
      <c r="KUV238"/>
      <c r="KUW238"/>
      <c r="KUX238"/>
      <c r="KUY238"/>
      <c r="KUZ238"/>
      <c r="KVA238"/>
      <c r="KVB238"/>
      <c r="KVC238"/>
      <c r="KVD238"/>
      <c r="KVE238"/>
      <c r="KVF238"/>
      <c r="KVG238"/>
      <c r="KVH238"/>
      <c r="KVI238"/>
      <c r="KVJ238"/>
      <c r="KVK238"/>
      <c r="KVL238"/>
      <c r="KVM238"/>
      <c r="KVN238"/>
      <c r="KVO238"/>
      <c r="KVP238"/>
      <c r="KVQ238"/>
      <c r="KVR238"/>
      <c r="KVS238"/>
      <c r="KVT238"/>
      <c r="KVU238"/>
      <c r="KVV238"/>
      <c r="KVW238"/>
      <c r="KVX238"/>
      <c r="KVY238"/>
      <c r="KVZ238"/>
      <c r="KWA238"/>
      <c r="KWB238"/>
      <c r="KWC238"/>
      <c r="KWD238"/>
      <c r="KWE238"/>
      <c r="KWF238"/>
      <c r="KWG238"/>
      <c r="KWH238"/>
      <c r="KWI238"/>
      <c r="KWJ238"/>
      <c r="KWK238"/>
      <c r="KWL238"/>
      <c r="KWM238"/>
      <c r="KWN238"/>
      <c r="KWO238"/>
      <c r="KWP238"/>
      <c r="KWQ238"/>
      <c r="KWR238"/>
      <c r="KWS238"/>
      <c r="KWT238"/>
      <c r="KWU238"/>
      <c r="KWV238"/>
      <c r="KWW238"/>
      <c r="KWX238"/>
      <c r="KWY238"/>
      <c r="KWZ238"/>
      <c r="KXA238"/>
      <c r="KXB238"/>
      <c r="KXC238"/>
      <c r="KXD238"/>
      <c r="KXE238"/>
      <c r="KXF238"/>
      <c r="KXG238"/>
      <c r="KXH238"/>
      <c r="KXI238"/>
      <c r="KXJ238"/>
      <c r="KXK238"/>
      <c r="KXL238"/>
      <c r="KXM238"/>
      <c r="KXN238"/>
      <c r="KXO238"/>
      <c r="KXP238"/>
      <c r="KXQ238"/>
      <c r="KXR238"/>
      <c r="KXS238"/>
      <c r="KXT238"/>
      <c r="KXU238"/>
      <c r="KXV238"/>
      <c r="KXW238"/>
      <c r="KXX238"/>
      <c r="KXY238"/>
      <c r="KXZ238"/>
      <c r="KYA238"/>
      <c r="KYB238"/>
      <c r="KYC238"/>
      <c r="KYD238"/>
      <c r="KYE238"/>
      <c r="KYF238"/>
      <c r="KYG238"/>
      <c r="KYH238"/>
      <c r="KYI238"/>
      <c r="KYJ238"/>
      <c r="KYK238"/>
      <c r="KYL238"/>
      <c r="KYM238"/>
      <c r="KYN238"/>
      <c r="KYO238"/>
      <c r="KYP238"/>
      <c r="KYQ238"/>
      <c r="KYR238"/>
      <c r="KYS238"/>
      <c r="KYT238"/>
      <c r="KYU238"/>
      <c r="KYV238"/>
      <c r="KYW238"/>
      <c r="KYX238"/>
      <c r="KYY238"/>
      <c r="KYZ238"/>
      <c r="KZA238"/>
      <c r="KZB238"/>
      <c r="KZC238"/>
      <c r="KZD238"/>
      <c r="KZE238"/>
      <c r="KZF238"/>
      <c r="KZG238"/>
      <c r="KZH238"/>
      <c r="KZI238"/>
      <c r="KZJ238"/>
      <c r="KZK238"/>
      <c r="KZL238"/>
      <c r="KZM238"/>
      <c r="KZN238"/>
      <c r="KZO238"/>
      <c r="KZP238"/>
      <c r="KZQ238"/>
      <c r="KZR238"/>
      <c r="KZS238"/>
      <c r="KZT238"/>
      <c r="KZU238"/>
      <c r="KZV238"/>
      <c r="KZW238"/>
      <c r="KZX238"/>
      <c r="KZY238"/>
      <c r="KZZ238"/>
      <c r="LAA238"/>
      <c r="LAB238"/>
      <c r="LAC238"/>
      <c r="LAD238"/>
      <c r="LAE238"/>
      <c r="LAF238"/>
      <c r="LAG238"/>
      <c r="LAH238"/>
      <c r="LAI238"/>
      <c r="LAJ238"/>
      <c r="LAK238"/>
      <c r="LAL238"/>
      <c r="LAM238"/>
      <c r="LAN238"/>
      <c r="LAO238"/>
      <c r="LAP238"/>
      <c r="LAQ238"/>
      <c r="LAR238"/>
      <c r="LAS238"/>
      <c r="LAT238"/>
      <c r="LAU238"/>
      <c r="LAV238"/>
      <c r="LAW238"/>
      <c r="LAX238"/>
      <c r="LAY238"/>
      <c r="LAZ238"/>
      <c r="LBA238"/>
      <c r="LBB238"/>
      <c r="LBC238"/>
      <c r="LBD238"/>
      <c r="LBE238"/>
      <c r="LBF238"/>
      <c r="LBG238"/>
      <c r="LBH238"/>
      <c r="LBI238"/>
      <c r="LBJ238"/>
      <c r="LBK238"/>
      <c r="LBL238"/>
      <c r="LBM238"/>
      <c r="LBN238"/>
      <c r="LBO238"/>
      <c r="LBP238"/>
      <c r="LBQ238"/>
      <c r="LBR238"/>
      <c r="LBS238"/>
      <c r="LBT238"/>
      <c r="LBU238"/>
      <c r="LBV238"/>
      <c r="LBW238"/>
      <c r="LBX238"/>
      <c r="LBY238"/>
      <c r="LBZ238"/>
      <c r="LCA238"/>
      <c r="LCB238"/>
      <c r="LCC238"/>
      <c r="LCD238"/>
      <c r="LCE238"/>
      <c r="LCF238"/>
      <c r="LCG238"/>
      <c r="LCH238"/>
      <c r="LCI238"/>
      <c r="LCJ238"/>
      <c r="LCK238"/>
      <c r="LCL238"/>
      <c r="LCM238"/>
      <c r="LCN238"/>
      <c r="LCO238"/>
      <c r="LCP238"/>
      <c r="LCQ238"/>
      <c r="LCR238"/>
      <c r="LCS238"/>
      <c r="LCT238"/>
      <c r="LCU238"/>
      <c r="LCV238"/>
      <c r="LCW238"/>
      <c r="LCX238"/>
      <c r="LCY238"/>
      <c r="LCZ238"/>
      <c r="LDA238"/>
      <c r="LDB238"/>
      <c r="LDC238"/>
      <c r="LDD238"/>
      <c r="LDE238"/>
      <c r="LDF238"/>
      <c r="LDG238"/>
      <c r="LDH238"/>
      <c r="LDI238"/>
      <c r="LDJ238"/>
      <c r="LDK238"/>
      <c r="LDL238"/>
      <c r="LDM238"/>
      <c r="LDN238"/>
      <c r="LDO238"/>
      <c r="LDP238"/>
      <c r="LDQ238"/>
      <c r="LDR238"/>
      <c r="LDS238"/>
      <c r="LDT238"/>
      <c r="LDU238"/>
      <c r="LDV238"/>
      <c r="LDW238"/>
      <c r="LDX238"/>
      <c r="LDY238"/>
      <c r="LDZ238"/>
      <c r="LEA238"/>
      <c r="LEB238"/>
      <c r="LEC238"/>
      <c r="LED238"/>
      <c r="LEE238"/>
      <c r="LEF238"/>
      <c r="LEG238"/>
      <c r="LEH238"/>
      <c r="LEI238"/>
      <c r="LEJ238"/>
      <c r="LEK238"/>
      <c r="LEL238"/>
      <c r="LEM238"/>
      <c r="LEN238"/>
      <c r="LEO238"/>
      <c r="LEP238"/>
      <c r="LEQ238"/>
      <c r="LER238"/>
      <c r="LES238"/>
      <c r="LET238"/>
      <c r="LEU238"/>
      <c r="LEV238"/>
      <c r="LEW238"/>
      <c r="LEX238"/>
      <c r="LEY238"/>
      <c r="LEZ238"/>
      <c r="LFA238"/>
      <c r="LFB238"/>
      <c r="LFC238"/>
      <c r="LFD238"/>
      <c r="LFE238"/>
      <c r="LFF238"/>
      <c r="LFG238"/>
      <c r="LFH238"/>
      <c r="LFI238"/>
      <c r="LFJ238"/>
      <c r="LFK238"/>
      <c r="LFL238"/>
      <c r="LFM238"/>
      <c r="LFN238"/>
      <c r="LFO238"/>
      <c r="LFP238"/>
      <c r="LFQ238"/>
      <c r="LFR238"/>
      <c r="LFS238"/>
      <c r="LFT238"/>
      <c r="LFU238"/>
      <c r="LFV238"/>
      <c r="LFW238"/>
      <c r="LFX238"/>
      <c r="LFY238"/>
      <c r="LFZ238"/>
      <c r="LGA238"/>
      <c r="LGB238"/>
      <c r="LGC238"/>
      <c r="LGD238"/>
      <c r="LGE238"/>
      <c r="LGF238"/>
      <c r="LGG238"/>
      <c r="LGH238"/>
      <c r="LGI238"/>
      <c r="LGJ238"/>
      <c r="LGK238"/>
      <c r="LGL238"/>
      <c r="LGM238"/>
      <c r="LGN238"/>
      <c r="LGO238"/>
      <c r="LGP238"/>
      <c r="LGQ238"/>
      <c r="LGR238"/>
      <c r="LGS238"/>
      <c r="LGT238"/>
      <c r="LGU238"/>
      <c r="LGV238"/>
      <c r="LGW238"/>
      <c r="LGX238"/>
      <c r="LGY238"/>
      <c r="LGZ238"/>
      <c r="LHA238"/>
      <c r="LHB238"/>
      <c r="LHC238"/>
      <c r="LHD238"/>
      <c r="LHE238"/>
      <c r="LHF238"/>
      <c r="LHG238"/>
      <c r="LHH238"/>
      <c r="LHI238"/>
      <c r="LHJ238"/>
      <c r="LHK238"/>
      <c r="LHL238"/>
      <c r="LHM238"/>
      <c r="LHN238"/>
      <c r="LHO238"/>
      <c r="LHP238"/>
      <c r="LHQ238"/>
      <c r="LHR238"/>
      <c r="LHS238"/>
      <c r="LHT238"/>
      <c r="LHU238"/>
      <c r="LHV238"/>
      <c r="LHW238"/>
      <c r="LHX238"/>
      <c r="LHY238"/>
      <c r="LHZ238"/>
      <c r="LIA238"/>
      <c r="LIB238"/>
      <c r="LIC238"/>
      <c r="LID238"/>
      <c r="LIE238"/>
      <c r="LIF238"/>
      <c r="LIG238"/>
      <c r="LIH238"/>
      <c r="LII238"/>
      <c r="LIJ238"/>
      <c r="LIK238"/>
      <c r="LIL238"/>
      <c r="LIM238"/>
      <c r="LIN238"/>
      <c r="LIO238"/>
      <c r="LIP238"/>
      <c r="LIQ238"/>
      <c r="LIR238"/>
      <c r="LIS238"/>
      <c r="LIT238"/>
      <c r="LIU238"/>
      <c r="LIV238"/>
      <c r="LIW238"/>
      <c r="LIX238"/>
      <c r="LIY238"/>
      <c r="LIZ238"/>
      <c r="LJA238"/>
      <c r="LJB238"/>
      <c r="LJC238"/>
      <c r="LJD238"/>
      <c r="LJE238"/>
      <c r="LJF238"/>
      <c r="LJG238"/>
      <c r="LJH238"/>
      <c r="LJI238"/>
      <c r="LJJ238"/>
      <c r="LJK238"/>
      <c r="LJL238"/>
      <c r="LJM238"/>
      <c r="LJN238"/>
      <c r="LJO238"/>
      <c r="LJP238"/>
      <c r="LJQ238"/>
      <c r="LJR238"/>
      <c r="LJS238"/>
      <c r="LJT238"/>
      <c r="LJU238"/>
      <c r="LJV238"/>
      <c r="LJW238"/>
      <c r="LJX238"/>
      <c r="LJY238"/>
      <c r="LJZ238"/>
      <c r="LKA238"/>
      <c r="LKB238"/>
      <c r="LKC238"/>
      <c r="LKD238"/>
      <c r="LKE238"/>
      <c r="LKF238"/>
      <c r="LKG238"/>
      <c r="LKH238"/>
      <c r="LKI238"/>
      <c r="LKJ238"/>
      <c r="LKK238"/>
      <c r="LKL238"/>
      <c r="LKM238"/>
      <c r="LKN238"/>
      <c r="LKO238"/>
      <c r="LKP238"/>
      <c r="LKQ238"/>
      <c r="LKR238"/>
      <c r="LKS238"/>
      <c r="LKT238"/>
      <c r="LKU238"/>
      <c r="LKV238"/>
      <c r="LKW238"/>
      <c r="LKX238"/>
      <c r="LKY238"/>
      <c r="LKZ238"/>
      <c r="LLA238"/>
      <c r="LLB238"/>
      <c r="LLC238"/>
      <c r="LLD238"/>
      <c r="LLE238"/>
      <c r="LLF238"/>
      <c r="LLG238"/>
      <c r="LLH238"/>
      <c r="LLI238"/>
      <c r="LLJ238"/>
      <c r="LLK238"/>
      <c r="LLL238"/>
      <c r="LLM238"/>
      <c r="LLN238"/>
      <c r="LLO238"/>
      <c r="LLP238"/>
      <c r="LLQ238"/>
      <c r="LLR238"/>
      <c r="LLS238"/>
      <c r="LLT238"/>
      <c r="LLU238"/>
      <c r="LLV238"/>
      <c r="LLW238"/>
      <c r="LLX238"/>
      <c r="LLY238"/>
      <c r="LLZ238"/>
      <c r="LMA238"/>
      <c r="LMB238"/>
      <c r="LMC238"/>
      <c r="LMD238"/>
      <c r="LME238"/>
      <c r="LMF238"/>
      <c r="LMG238"/>
      <c r="LMH238"/>
      <c r="LMI238"/>
      <c r="LMJ238"/>
      <c r="LMK238"/>
      <c r="LML238"/>
      <c r="LMM238"/>
      <c r="LMN238"/>
      <c r="LMO238"/>
      <c r="LMP238"/>
      <c r="LMQ238"/>
      <c r="LMR238"/>
      <c r="LMS238"/>
      <c r="LMT238"/>
      <c r="LMU238"/>
      <c r="LMV238"/>
      <c r="LMW238"/>
      <c r="LMX238"/>
      <c r="LMY238"/>
      <c r="LMZ238"/>
      <c r="LNA238"/>
      <c r="LNB238"/>
      <c r="LNC238"/>
      <c r="LND238"/>
      <c r="LNE238"/>
      <c r="LNF238"/>
      <c r="LNG238"/>
      <c r="LNH238"/>
      <c r="LNI238"/>
      <c r="LNJ238"/>
      <c r="LNK238"/>
      <c r="LNL238"/>
      <c r="LNM238"/>
      <c r="LNN238"/>
      <c r="LNO238"/>
      <c r="LNP238"/>
      <c r="LNQ238"/>
      <c r="LNR238"/>
      <c r="LNS238"/>
      <c r="LNT238"/>
      <c r="LNU238"/>
      <c r="LNV238"/>
      <c r="LNW238"/>
      <c r="LNX238"/>
      <c r="LNY238"/>
      <c r="LNZ238"/>
      <c r="LOA238"/>
      <c r="LOB238"/>
      <c r="LOC238"/>
      <c r="LOD238"/>
      <c r="LOE238"/>
      <c r="LOF238"/>
      <c r="LOG238"/>
      <c r="LOH238"/>
      <c r="LOI238"/>
      <c r="LOJ238"/>
      <c r="LOK238"/>
      <c r="LOL238"/>
      <c r="LOM238"/>
      <c r="LON238"/>
      <c r="LOO238"/>
      <c r="LOP238"/>
      <c r="LOQ238"/>
      <c r="LOR238"/>
      <c r="LOS238"/>
      <c r="LOT238"/>
      <c r="LOU238"/>
      <c r="LOV238"/>
      <c r="LOW238"/>
      <c r="LOX238"/>
      <c r="LOY238"/>
      <c r="LOZ238"/>
      <c r="LPA238"/>
      <c r="LPB238"/>
      <c r="LPC238"/>
      <c r="LPD238"/>
      <c r="LPE238"/>
      <c r="LPF238"/>
      <c r="LPG238"/>
      <c r="LPH238"/>
      <c r="LPI238"/>
      <c r="LPJ238"/>
      <c r="LPK238"/>
      <c r="LPL238"/>
      <c r="LPM238"/>
      <c r="LPN238"/>
      <c r="LPO238"/>
      <c r="LPP238"/>
      <c r="LPQ238"/>
      <c r="LPR238"/>
      <c r="LPS238"/>
      <c r="LPT238"/>
      <c r="LPU238"/>
      <c r="LPV238"/>
      <c r="LPW238"/>
      <c r="LPX238"/>
      <c r="LPY238"/>
      <c r="LPZ238"/>
      <c r="LQA238"/>
      <c r="LQB238"/>
      <c r="LQC238"/>
      <c r="LQD238"/>
      <c r="LQE238"/>
      <c r="LQF238"/>
      <c r="LQG238"/>
      <c r="LQH238"/>
      <c r="LQI238"/>
      <c r="LQJ238"/>
      <c r="LQK238"/>
      <c r="LQL238"/>
      <c r="LQM238"/>
      <c r="LQN238"/>
      <c r="LQO238"/>
      <c r="LQP238"/>
      <c r="LQQ238"/>
      <c r="LQR238"/>
      <c r="LQS238"/>
      <c r="LQT238"/>
      <c r="LQU238"/>
      <c r="LQV238"/>
      <c r="LQW238"/>
      <c r="LQX238"/>
      <c r="LQY238"/>
      <c r="LQZ238"/>
      <c r="LRA238"/>
      <c r="LRB238"/>
      <c r="LRC238"/>
      <c r="LRD238"/>
      <c r="LRE238"/>
      <c r="LRF238"/>
      <c r="LRG238"/>
      <c r="LRH238"/>
      <c r="LRI238"/>
      <c r="LRJ238"/>
      <c r="LRK238"/>
      <c r="LRL238"/>
      <c r="LRM238"/>
      <c r="LRN238"/>
      <c r="LRO238"/>
      <c r="LRP238"/>
      <c r="LRQ238"/>
      <c r="LRR238"/>
      <c r="LRS238"/>
      <c r="LRT238"/>
      <c r="LRU238"/>
      <c r="LRV238"/>
      <c r="LRW238"/>
      <c r="LRX238"/>
      <c r="LRY238"/>
      <c r="LRZ238"/>
      <c r="LSA238"/>
      <c r="LSB238"/>
      <c r="LSC238"/>
      <c r="LSD238"/>
      <c r="LSE238"/>
      <c r="LSF238"/>
      <c r="LSG238"/>
      <c r="LSH238"/>
      <c r="LSI238"/>
      <c r="LSJ238"/>
      <c r="LSK238"/>
      <c r="LSL238"/>
      <c r="LSM238"/>
      <c r="LSN238"/>
      <c r="LSO238"/>
      <c r="LSP238"/>
      <c r="LSQ238"/>
      <c r="LSR238"/>
      <c r="LSS238"/>
      <c r="LST238"/>
      <c r="LSU238"/>
      <c r="LSV238"/>
      <c r="LSW238"/>
      <c r="LSX238"/>
      <c r="LSY238"/>
      <c r="LSZ238"/>
      <c r="LTA238"/>
      <c r="LTB238"/>
      <c r="LTC238"/>
      <c r="LTD238"/>
      <c r="LTE238"/>
      <c r="LTF238"/>
      <c r="LTG238"/>
      <c r="LTH238"/>
      <c r="LTI238"/>
      <c r="LTJ238"/>
      <c r="LTK238"/>
      <c r="LTL238"/>
      <c r="LTM238"/>
      <c r="LTN238"/>
      <c r="LTO238"/>
      <c r="LTP238"/>
      <c r="LTQ238"/>
      <c r="LTR238"/>
      <c r="LTS238"/>
      <c r="LTT238"/>
      <c r="LTU238"/>
      <c r="LTV238"/>
      <c r="LTW238"/>
      <c r="LTX238"/>
      <c r="LTY238"/>
      <c r="LTZ238"/>
      <c r="LUA238"/>
      <c r="LUB238"/>
      <c r="LUC238"/>
      <c r="LUD238"/>
      <c r="LUE238"/>
      <c r="LUF238"/>
      <c r="LUG238"/>
      <c r="LUH238"/>
      <c r="LUI238"/>
      <c r="LUJ238"/>
      <c r="LUK238"/>
      <c r="LUL238"/>
      <c r="LUM238"/>
      <c r="LUN238"/>
      <c r="LUO238"/>
      <c r="LUP238"/>
      <c r="LUQ238"/>
      <c r="LUR238"/>
      <c r="LUS238"/>
      <c r="LUT238"/>
      <c r="LUU238"/>
      <c r="LUV238"/>
      <c r="LUW238"/>
      <c r="LUX238"/>
      <c r="LUY238"/>
      <c r="LUZ238"/>
      <c r="LVA238"/>
      <c r="LVB238"/>
      <c r="LVC238"/>
      <c r="LVD238"/>
      <c r="LVE238"/>
      <c r="LVF238"/>
      <c r="LVG238"/>
      <c r="LVH238"/>
      <c r="LVI238"/>
      <c r="LVJ238"/>
      <c r="LVK238"/>
      <c r="LVL238"/>
      <c r="LVM238"/>
      <c r="LVN238"/>
      <c r="LVO238"/>
      <c r="LVP238"/>
      <c r="LVQ238"/>
      <c r="LVR238"/>
      <c r="LVS238"/>
      <c r="LVT238"/>
      <c r="LVU238"/>
      <c r="LVV238"/>
      <c r="LVW238"/>
      <c r="LVX238"/>
      <c r="LVY238"/>
      <c r="LVZ238"/>
      <c r="LWA238"/>
      <c r="LWB238"/>
      <c r="LWC238"/>
      <c r="LWD238"/>
      <c r="LWE238"/>
      <c r="LWF238"/>
      <c r="LWG238"/>
      <c r="LWH238"/>
      <c r="LWI238"/>
      <c r="LWJ238"/>
      <c r="LWK238"/>
      <c r="LWL238"/>
      <c r="LWM238"/>
      <c r="LWN238"/>
      <c r="LWO238"/>
      <c r="LWP238"/>
      <c r="LWQ238"/>
      <c r="LWR238"/>
      <c r="LWS238"/>
      <c r="LWT238"/>
      <c r="LWU238"/>
      <c r="LWV238"/>
      <c r="LWW238"/>
      <c r="LWX238"/>
      <c r="LWY238"/>
      <c r="LWZ238"/>
      <c r="LXA238"/>
      <c r="LXB238"/>
      <c r="LXC238"/>
      <c r="LXD238"/>
      <c r="LXE238"/>
      <c r="LXF238"/>
      <c r="LXG238"/>
      <c r="LXH238"/>
      <c r="LXI238"/>
      <c r="LXJ238"/>
      <c r="LXK238"/>
      <c r="LXL238"/>
      <c r="LXM238"/>
      <c r="LXN238"/>
      <c r="LXO238"/>
      <c r="LXP238"/>
      <c r="LXQ238"/>
      <c r="LXR238"/>
      <c r="LXS238"/>
      <c r="LXT238"/>
      <c r="LXU238"/>
      <c r="LXV238"/>
      <c r="LXW238"/>
      <c r="LXX238"/>
      <c r="LXY238"/>
      <c r="LXZ238"/>
      <c r="LYA238"/>
      <c r="LYB238"/>
      <c r="LYC238"/>
      <c r="LYD238"/>
      <c r="LYE238"/>
      <c r="LYF238"/>
      <c r="LYG238"/>
      <c r="LYH238"/>
      <c r="LYI238"/>
      <c r="LYJ238"/>
      <c r="LYK238"/>
      <c r="LYL238"/>
      <c r="LYM238"/>
      <c r="LYN238"/>
      <c r="LYO238"/>
      <c r="LYP238"/>
      <c r="LYQ238"/>
      <c r="LYR238"/>
      <c r="LYS238"/>
      <c r="LYT238"/>
      <c r="LYU238"/>
      <c r="LYV238"/>
      <c r="LYW238"/>
      <c r="LYX238"/>
      <c r="LYY238"/>
      <c r="LYZ238"/>
      <c r="LZA238"/>
      <c r="LZB238"/>
      <c r="LZC238"/>
      <c r="LZD238"/>
      <c r="LZE238"/>
      <c r="LZF238"/>
      <c r="LZG238"/>
      <c r="LZH238"/>
      <c r="LZI238"/>
      <c r="LZJ238"/>
      <c r="LZK238"/>
      <c r="LZL238"/>
      <c r="LZM238"/>
      <c r="LZN238"/>
      <c r="LZO238"/>
      <c r="LZP238"/>
      <c r="LZQ238"/>
      <c r="LZR238"/>
      <c r="LZS238"/>
      <c r="LZT238"/>
      <c r="LZU238"/>
      <c r="LZV238"/>
      <c r="LZW238"/>
      <c r="LZX238"/>
      <c r="LZY238"/>
      <c r="LZZ238"/>
      <c r="MAA238"/>
      <c r="MAB238"/>
      <c r="MAC238"/>
      <c r="MAD238"/>
      <c r="MAE238"/>
      <c r="MAF238"/>
      <c r="MAG238"/>
      <c r="MAH238"/>
      <c r="MAI238"/>
      <c r="MAJ238"/>
      <c r="MAK238"/>
      <c r="MAL238"/>
      <c r="MAM238"/>
      <c r="MAN238"/>
      <c r="MAO238"/>
      <c r="MAP238"/>
      <c r="MAQ238"/>
      <c r="MAR238"/>
      <c r="MAS238"/>
      <c r="MAT238"/>
      <c r="MAU238"/>
      <c r="MAV238"/>
      <c r="MAW238"/>
      <c r="MAX238"/>
      <c r="MAY238"/>
      <c r="MAZ238"/>
      <c r="MBA238"/>
      <c r="MBB238"/>
      <c r="MBC238"/>
      <c r="MBD238"/>
      <c r="MBE238"/>
      <c r="MBF238"/>
      <c r="MBG238"/>
      <c r="MBH238"/>
      <c r="MBI238"/>
      <c r="MBJ238"/>
      <c r="MBK238"/>
      <c r="MBL238"/>
      <c r="MBM238"/>
      <c r="MBN238"/>
      <c r="MBO238"/>
      <c r="MBP238"/>
      <c r="MBQ238"/>
      <c r="MBR238"/>
      <c r="MBS238"/>
      <c r="MBT238"/>
      <c r="MBU238"/>
      <c r="MBV238"/>
      <c r="MBW238"/>
      <c r="MBX238"/>
      <c r="MBY238"/>
      <c r="MBZ238"/>
      <c r="MCA238"/>
      <c r="MCB238"/>
      <c r="MCC238"/>
      <c r="MCD238"/>
      <c r="MCE238"/>
      <c r="MCF238"/>
      <c r="MCG238"/>
      <c r="MCH238"/>
      <c r="MCI238"/>
      <c r="MCJ238"/>
      <c r="MCK238"/>
      <c r="MCL238"/>
      <c r="MCM238"/>
      <c r="MCN238"/>
      <c r="MCO238"/>
      <c r="MCP238"/>
      <c r="MCQ238"/>
      <c r="MCR238"/>
      <c r="MCS238"/>
      <c r="MCT238"/>
      <c r="MCU238"/>
      <c r="MCV238"/>
      <c r="MCW238"/>
      <c r="MCX238"/>
      <c r="MCY238"/>
      <c r="MCZ238"/>
      <c r="MDA238"/>
      <c r="MDB238"/>
      <c r="MDC238"/>
      <c r="MDD238"/>
      <c r="MDE238"/>
      <c r="MDF238"/>
      <c r="MDG238"/>
      <c r="MDH238"/>
      <c r="MDI238"/>
      <c r="MDJ238"/>
      <c r="MDK238"/>
      <c r="MDL238"/>
      <c r="MDM238"/>
      <c r="MDN238"/>
      <c r="MDO238"/>
      <c r="MDP238"/>
      <c r="MDQ238"/>
      <c r="MDR238"/>
      <c r="MDS238"/>
      <c r="MDT238"/>
      <c r="MDU238"/>
      <c r="MDV238"/>
      <c r="MDW238"/>
      <c r="MDX238"/>
      <c r="MDY238"/>
      <c r="MDZ238"/>
      <c r="MEA238"/>
      <c r="MEB238"/>
      <c r="MEC238"/>
      <c r="MED238"/>
      <c r="MEE238"/>
      <c r="MEF238"/>
      <c r="MEG238"/>
      <c r="MEH238"/>
      <c r="MEI238"/>
      <c r="MEJ238"/>
      <c r="MEK238"/>
      <c r="MEL238"/>
      <c r="MEM238"/>
      <c r="MEN238"/>
      <c r="MEO238"/>
      <c r="MEP238"/>
      <c r="MEQ238"/>
      <c r="MER238"/>
      <c r="MES238"/>
      <c r="MET238"/>
      <c r="MEU238"/>
      <c r="MEV238"/>
      <c r="MEW238"/>
      <c r="MEX238"/>
      <c r="MEY238"/>
      <c r="MEZ238"/>
      <c r="MFA238"/>
      <c r="MFB238"/>
      <c r="MFC238"/>
      <c r="MFD238"/>
      <c r="MFE238"/>
      <c r="MFF238"/>
      <c r="MFG238"/>
      <c r="MFH238"/>
      <c r="MFI238"/>
      <c r="MFJ238"/>
      <c r="MFK238"/>
      <c r="MFL238"/>
      <c r="MFM238"/>
      <c r="MFN238"/>
      <c r="MFO238"/>
      <c r="MFP238"/>
      <c r="MFQ238"/>
      <c r="MFR238"/>
      <c r="MFS238"/>
      <c r="MFT238"/>
      <c r="MFU238"/>
      <c r="MFV238"/>
      <c r="MFW238"/>
      <c r="MFX238"/>
      <c r="MFY238"/>
      <c r="MFZ238"/>
      <c r="MGA238"/>
      <c r="MGB238"/>
      <c r="MGC238"/>
      <c r="MGD238"/>
      <c r="MGE238"/>
      <c r="MGF238"/>
      <c r="MGG238"/>
      <c r="MGH238"/>
      <c r="MGI238"/>
      <c r="MGJ238"/>
      <c r="MGK238"/>
      <c r="MGL238"/>
      <c r="MGM238"/>
      <c r="MGN238"/>
      <c r="MGO238"/>
      <c r="MGP238"/>
      <c r="MGQ238"/>
      <c r="MGR238"/>
      <c r="MGS238"/>
      <c r="MGT238"/>
      <c r="MGU238"/>
      <c r="MGV238"/>
      <c r="MGW238"/>
      <c r="MGX238"/>
      <c r="MGY238"/>
      <c r="MGZ238"/>
      <c r="MHA238"/>
      <c r="MHB238"/>
      <c r="MHC238"/>
      <c r="MHD238"/>
      <c r="MHE238"/>
      <c r="MHF238"/>
      <c r="MHG238"/>
      <c r="MHH238"/>
      <c r="MHI238"/>
      <c r="MHJ238"/>
      <c r="MHK238"/>
      <c r="MHL238"/>
      <c r="MHM238"/>
      <c r="MHN238"/>
      <c r="MHO238"/>
      <c r="MHP238"/>
      <c r="MHQ238"/>
      <c r="MHR238"/>
      <c r="MHS238"/>
      <c r="MHT238"/>
      <c r="MHU238"/>
      <c r="MHV238"/>
      <c r="MHW238"/>
      <c r="MHX238"/>
      <c r="MHY238"/>
      <c r="MHZ238"/>
      <c r="MIA238"/>
      <c r="MIB238"/>
      <c r="MIC238"/>
      <c r="MID238"/>
      <c r="MIE238"/>
      <c r="MIF238"/>
      <c r="MIG238"/>
      <c r="MIH238"/>
      <c r="MII238"/>
      <c r="MIJ238"/>
      <c r="MIK238"/>
      <c r="MIL238"/>
      <c r="MIM238"/>
      <c r="MIN238"/>
      <c r="MIO238"/>
      <c r="MIP238"/>
      <c r="MIQ238"/>
      <c r="MIR238"/>
      <c r="MIS238"/>
      <c r="MIT238"/>
      <c r="MIU238"/>
      <c r="MIV238"/>
      <c r="MIW238"/>
      <c r="MIX238"/>
      <c r="MIY238"/>
      <c r="MIZ238"/>
      <c r="MJA238"/>
      <c r="MJB238"/>
      <c r="MJC238"/>
      <c r="MJD238"/>
      <c r="MJE238"/>
      <c r="MJF238"/>
      <c r="MJG238"/>
      <c r="MJH238"/>
      <c r="MJI238"/>
      <c r="MJJ238"/>
      <c r="MJK238"/>
      <c r="MJL238"/>
      <c r="MJM238"/>
      <c r="MJN238"/>
      <c r="MJO238"/>
      <c r="MJP238"/>
      <c r="MJQ238"/>
      <c r="MJR238"/>
      <c r="MJS238"/>
      <c r="MJT238"/>
      <c r="MJU238"/>
      <c r="MJV238"/>
      <c r="MJW238"/>
      <c r="MJX238"/>
      <c r="MJY238"/>
      <c r="MJZ238"/>
      <c r="MKA238"/>
      <c r="MKB238"/>
      <c r="MKC238"/>
      <c r="MKD238"/>
      <c r="MKE238"/>
      <c r="MKF238"/>
      <c r="MKG238"/>
      <c r="MKH238"/>
      <c r="MKI238"/>
      <c r="MKJ238"/>
      <c r="MKK238"/>
      <c r="MKL238"/>
      <c r="MKM238"/>
      <c r="MKN238"/>
      <c r="MKO238"/>
      <c r="MKP238"/>
      <c r="MKQ238"/>
      <c r="MKR238"/>
      <c r="MKS238"/>
      <c r="MKT238"/>
      <c r="MKU238"/>
      <c r="MKV238"/>
      <c r="MKW238"/>
      <c r="MKX238"/>
      <c r="MKY238"/>
      <c r="MKZ238"/>
      <c r="MLA238"/>
      <c r="MLB238"/>
      <c r="MLC238"/>
      <c r="MLD238"/>
      <c r="MLE238"/>
      <c r="MLF238"/>
      <c r="MLG238"/>
      <c r="MLH238"/>
      <c r="MLI238"/>
      <c r="MLJ238"/>
      <c r="MLK238"/>
      <c r="MLL238"/>
      <c r="MLM238"/>
      <c r="MLN238"/>
      <c r="MLO238"/>
      <c r="MLP238"/>
      <c r="MLQ238"/>
      <c r="MLR238"/>
      <c r="MLS238"/>
      <c r="MLT238"/>
      <c r="MLU238"/>
      <c r="MLV238"/>
      <c r="MLW238"/>
      <c r="MLX238"/>
      <c r="MLY238"/>
      <c r="MLZ238"/>
      <c r="MMA238"/>
      <c r="MMB238"/>
      <c r="MMC238"/>
      <c r="MMD238"/>
      <c r="MME238"/>
      <c r="MMF238"/>
      <c r="MMG238"/>
      <c r="MMH238"/>
      <c r="MMI238"/>
      <c r="MMJ238"/>
      <c r="MMK238"/>
      <c r="MML238"/>
      <c r="MMM238"/>
      <c r="MMN238"/>
      <c r="MMO238"/>
      <c r="MMP238"/>
      <c r="MMQ238"/>
      <c r="MMR238"/>
      <c r="MMS238"/>
      <c r="MMT238"/>
      <c r="MMU238"/>
      <c r="MMV238"/>
      <c r="MMW238"/>
      <c r="MMX238"/>
      <c r="MMY238"/>
      <c r="MMZ238"/>
      <c r="MNA238"/>
      <c r="MNB238"/>
      <c r="MNC238"/>
      <c r="MND238"/>
      <c r="MNE238"/>
      <c r="MNF238"/>
      <c r="MNG238"/>
      <c r="MNH238"/>
      <c r="MNI238"/>
      <c r="MNJ238"/>
      <c r="MNK238"/>
      <c r="MNL238"/>
      <c r="MNM238"/>
      <c r="MNN238"/>
      <c r="MNO238"/>
      <c r="MNP238"/>
      <c r="MNQ238"/>
      <c r="MNR238"/>
      <c r="MNS238"/>
      <c r="MNT238"/>
      <c r="MNU238"/>
      <c r="MNV238"/>
      <c r="MNW238"/>
      <c r="MNX238"/>
      <c r="MNY238"/>
      <c r="MNZ238"/>
      <c r="MOA238"/>
      <c r="MOB238"/>
      <c r="MOC238"/>
      <c r="MOD238"/>
      <c r="MOE238"/>
      <c r="MOF238"/>
      <c r="MOG238"/>
      <c r="MOH238"/>
      <c r="MOI238"/>
      <c r="MOJ238"/>
      <c r="MOK238"/>
      <c r="MOL238"/>
      <c r="MOM238"/>
      <c r="MON238"/>
      <c r="MOO238"/>
      <c r="MOP238"/>
      <c r="MOQ238"/>
      <c r="MOR238"/>
      <c r="MOS238"/>
      <c r="MOT238"/>
      <c r="MOU238"/>
      <c r="MOV238"/>
      <c r="MOW238"/>
      <c r="MOX238"/>
      <c r="MOY238"/>
      <c r="MOZ238"/>
      <c r="MPA238"/>
      <c r="MPB238"/>
      <c r="MPC238"/>
      <c r="MPD238"/>
      <c r="MPE238"/>
      <c r="MPF238"/>
      <c r="MPG238"/>
      <c r="MPH238"/>
      <c r="MPI238"/>
      <c r="MPJ238"/>
      <c r="MPK238"/>
      <c r="MPL238"/>
      <c r="MPM238"/>
      <c r="MPN238"/>
      <c r="MPO238"/>
      <c r="MPP238"/>
      <c r="MPQ238"/>
      <c r="MPR238"/>
      <c r="MPS238"/>
      <c r="MPT238"/>
      <c r="MPU238"/>
      <c r="MPV238"/>
      <c r="MPW238"/>
      <c r="MPX238"/>
      <c r="MPY238"/>
      <c r="MPZ238"/>
      <c r="MQA238"/>
      <c r="MQB238"/>
      <c r="MQC238"/>
      <c r="MQD238"/>
      <c r="MQE238"/>
      <c r="MQF238"/>
      <c r="MQG238"/>
      <c r="MQH238"/>
      <c r="MQI238"/>
      <c r="MQJ238"/>
      <c r="MQK238"/>
      <c r="MQL238"/>
      <c r="MQM238"/>
      <c r="MQN238"/>
      <c r="MQO238"/>
      <c r="MQP238"/>
      <c r="MQQ238"/>
      <c r="MQR238"/>
      <c r="MQS238"/>
      <c r="MQT238"/>
      <c r="MQU238"/>
      <c r="MQV238"/>
      <c r="MQW238"/>
      <c r="MQX238"/>
      <c r="MQY238"/>
      <c r="MQZ238"/>
      <c r="MRA238"/>
      <c r="MRB238"/>
      <c r="MRC238"/>
      <c r="MRD238"/>
      <c r="MRE238"/>
      <c r="MRF238"/>
      <c r="MRG238"/>
      <c r="MRH238"/>
      <c r="MRI238"/>
      <c r="MRJ238"/>
      <c r="MRK238"/>
      <c r="MRL238"/>
      <c r="MRM238"/>
      <c r="MRN238"/>
      <c r="MRO238"/>
      <c r="MRP238"/>
      <c r="MRQ238"/>
      <c r="MRR238"/>
      <c r="MRS238"/>
      <c r="MRT238"/>
      <c r="MRU238"/>
      <c r="MRV238"/>
      <c r="MRW238"/>
      <c r="MRX238"/>
      <c r="MRY238"/>
      <c r="MRZ238"/>
      <c r="MSA238"/>
      <c r="MSB238"/>
      <c r="MSC238"/>
      <c r="MSD238"/>
      <c r="MSE238"/>
      <c r="MSF238"/>
      <c r="MSG238"/>
      <c r="MSH238"/>
      <c r="MSI238"/>
      <c r="MSJ238"/>
      <c r="MSK238"/>
      <c r="MSL238"/>
      <c r="MSM238"/>
      <c r="MSN238"/>
      <c r="MSO238"/>
      <c r="MSP238"/>
      <c r="MSQ238"/>
      <c r="MSR238"/>
      <c r="MSS238"/>
      <c r="MST238"/>
      <c r="MSU238"/>
      <c r="MSV238"/>
      <c r="MSW238"/>
      <c r="MSX238"/>
      <c r="MSY238"/>
      <c r="MSZ238"/>
      <c r="MTA238"/>
      <c r="MTB238"/>
      <c r="MTC238"/>
      <c r="MTD238"/>
      <c r="MTE238"/>
      <c r="MTF238"/>
      <c r="MTG238"/>
      <c r="MTH238"/>
      <c r="MTI238"/>
      <c r="MTJ238"/>
      <c r="MTK238"/>
      <c r="MTL238"/>
      <c r="MTM238"/>
      <c r="MTN238"/>
      <c r="MTO238"/>
      <c r="MTP238"/>
      <c r="MTQ238"/>
      <c r="MTR238"/>
      <c r="MTS238"/>
      <c r="MTT238"/>
      <c r="MTU238"/>
      <c r="MTV238"/>
      <c r="MTW238"/>
      <c r="MTX238"/>
      <c r="MTY238"/>
      <c r="MTZ238"/>
      <c r="MUA238"/>
      <c r="MUB238"/>
      <c r="MUC238"/>
      <c r="MUD238"/>
      <c r="MUE238"/>
      <c r="MUF238"/>
      <c r="MUG238"/>
      <c r="MUH238"/>
      <c r="MUI238"/>
      <c r="MUJ238"/>
      <c r="MUK238"/>
      <c r="MUL238"/>
      <c r="MUM238"/>
      <c r="MUN238"/>
      <c r="MUO238"/>
      <c r="MUP238"/>
      <c r="MUQ238"/>
      <c r="MUR238"/>
      <c r="MUS238"/>
      <c r="MUT238"/>
      <c r="MUU238"/>
      <c r="MUV238"/>
      <c r="MUW238"/>
      <c r="MUX238"/>
      <c r="MUY238"/>
      <c r="MUZ238"/>
      <c r="MVA238"/>
      <c r="MVB238"/>
      <c r="MVC238"/>
      <c r="MVD238"/>
      <c r="MVE238"/>
      <c r="MVF238"/>
      <c r="MVG238"/>
      <c r="MVH238"/>
      <c r="MVI238"/>
      <c r="MVJ238"/>
      <c r="MVK238"/>
      <c r="MVL238"/>
      <c r="MVM238"/>
      <c r="MVN238"/>
      <c r="MVO238"/>
      <c r="MVP238"/>
      <c r="MVQ238"/>
      <c r="MVR238"/>
      <c r="MVS238"/>
      <c r="MVT238"/>
      <c r="MVU238"/>
      <c r="MVV238"/>
      <c r="MVW238"/>
      <c r="MVX238"/>
      <c r="MVY238"/>
      <c r="MVZ238"/>
      <c r="MWA238"/>
      <c r="MWB238"/>
      <c r="MWC238"/>
      <c r="MWD238"/>
      <c r="MWE238"/>
      <c r="MWF238"/>
      <c r="MWG238"/>
      <c r="MWH238"/>
      <c r="MWI238"/>
      <c r="MWJ238"/>
      <c r="MWK238"/>
      <c r="MWL238"/>
      <c r="MWM238"/>
      <c r="MWN238"/>
      <c r="MWO238"/>
      <c r="MWP238"/>
      <c r="MWQ238"/>
      <c r="MWR238"/>
      <c r="MWS238"/>
      <c r="MWT238"/>
      <c r="MWU238"/>
      <c r="MWV238"/>
      <c r="MWW238"/>
      <c r="MWX238"/>
      <c r="MWY238"/>
      <c r="MWZ238"/>
      <c r="MXA238"/>
      <c r="MXB238"/>
      <c r="MXC238"/>
      <c r="MXD238"/>
      <c r="MXE238"/>
      <c r="MXF238"/>
      <c r="MXG238"/>
      <c r="MXH238"/>
      <c r="MXI238"/>
      <c r="MXJ238"/>
      <c r="MXK238"/>
      <c r="MXL238"/>
      <c r="MXM238"/>
      <c r="MXN238"/>
      <c r="MXO238"/>
      <c r="MXP238"/>
      <c r="MXQ238"/>
      <c r="MXR238"/>
      <c r="MXS238"/>
      <c r="MXT238"/>
      <c r="MXU238"/>
      <c r="MXV238"/>
      <c r="MXW238"/>
      <c r="MXX238"/>
      <c r="MXY238"/>
      <c r="MXZ238"/>
      <c r="MYA238"/>
      <c r="MYB238"/>
      <c r="MYC238"/>
      <c r="MYD238"/>
      <c r="MYE238"/>
      <c r="MYF238"/>
      <c r="MYG238"/>
      <c r="MYH238"/>
      <c r="MYI238"/>
      <c r="MYJ238"/>
      <c r="MYK238"/>
      <c r="MYL238"/>
      <c r="MYM238"/>
      <c r="MYN238"/>
      <c r="MYO238"/>
      <c r="MYP238"/>
      <c r="MYQ238"/>
      <c r="MYR238"/>
      <c r="MYS238"/>
      <c r="MYT238"/>
      <c r="MYU238"/>
      <c r="MYV238"/>
      <c r="MYW238"/>
      <c r="MYX238"/>
      <c r="MYY238"/>
      <c r="MYZ238"/>
      <c r="MZA238"/>
      <c r="MZB238"/>
      <c r="MZC238"/>
      <c r="MZD238"/>
      <c r="MZE238"/>
      <c r="MZF238"/>
      <c r="MZG238"/>
      <c r="MZH238"/>
      <c r="MZI238"/>
      <c r="MZJ238"/>
      <c r="MZK238"/>
      <c r="MZL238"/>
      <c r="MZM238"/>
      <c r="MZN238"/>
      <c r="MZO238"/>
      <c r="MZP238"/>
      <c r="MZQ238"/>
      <c r="MZR238"/>
      <c r="MZS238"/>
      <c r="MZT238"/>
      <c r="MZU238"/>
      <c r="MZV238"/>
      <c r="MZW238"/>
      <c r="MZX238"/>
      <c r="MZY238"/>
      <c r="MZZ238"/>
      <c r="NAA238"/>
      <c r="NAB238"/>
      <c r="NAC238"/>
      <c r="NAD238"/>
      <c r="NAE238"/>
      <c r="NAF238"/>
      <c r="NAG238"/>
      <c r="NAH238"/>
      <c r="NAI238"/>
      <c r="NAJ238"/>
      <c r="NAK238"/>
      <c r="NAL238"/>
      <c r="NAM238"/>
      <c r="NAN238"/>
      <c r="NAO238"/>
      <c r="NAP238"/>
      <c r="NAQ238"/>
      <c r="NAR238"/>
      <c r="NAS238"/>
      <c r="NAT238"/>
      <c r="NAU238"/>
      <c r="NAV238"/>
      <c r="NAW238"/>
      <c r="NAX238"/>
      <c r="NAY238"/>
      <c r="NAZ238"/>
      <c r="NBA238"/>
      <c r="NBB238"/>
      <c r="NBC238"/>
      <c r="NBD238"/>
      <c r="NBE238"/>
      <c r="NBF238"/>
      <c r="NBG238"/>
      <c r="NBH238"/>
      <c r="NBI238"/>
      <c r="NBJ238"/>
      <c r="NBK238"/>
      <c r="NBL238"/>
      <c r="NBM238"/>
      <c r="NBN238"/>
      <c r="NBO238"/>
      <c r="NBP238"/>
      <c r="NBQ238"/>
      <c r="NBR238"/>
      <c r="NBS238"/>
      <c r="NBT238"/>
      <c r="NBU238"/>
      <c r="NBV238"/>
      <c r="NBW238"/>
      <c r="NBX238"/>
      <c r="NBY238"/>
      <c r="NBZ238"/>
      <c r="NCA238"/>
      <c r="NCB238"/>
      <c r="NCC238"/>
      <c r="NCD238"/>
      <c r="NCE238"/>
      <c r="NCF238"/>
      <c r="NCG238"/>
      <c r="NCH238"/>
      <c r="NCI238"/>
      <c r="NCJ238"/>
      <c r="NCK238"/>
      <c r="NCL238"/>
      <c r="NCM238"/>
      <c r="NCN238"/>
      <c r="NCO238"/>
      <c r="NCP238"/>
      <c r="NCQ238"/>
      <c r="NCR238"/>
      <c r="NCS238"/>
      <c r="NCT238"/>
      <c r="NCU238"/>
      <c r="NCV238"/>
      <c r="NCW238"/>
      <c r="NCX238"/>
      <c r="NCY238"/>
      <c r="NCZ238"/>
      <c r="NDA238"/>
      <c r="NDB238"/>
      <c r="NDC238"/>
      <c r="NDD238"/>
      <c r="NDE238"/>
      <c r="NDF238"/>
      <c r="NDG238"/>
      <c r="NDH238"/>
      <c r="NDI238"/>
      <c r="NDJ238"/>
      <c r="NDK238"/>
      <c r="NDL238"/>
      <c r="NDM238"/>
      <c r="NDN238"/>
      <c r="NDO238"/>
      <c r="NDP238"/>
      <c r="NDQ238"/>
      <c r="NDR238"/>
      <c r="NDS238"/>
      <c r="NDT238"/>
      <c r="NDU238"/>
      <c r="NDV238"/>
      <c r="NDW238"/>
      <c r="NDX238"/>
      <c r="NDY238"/>
      <c r="NDZ238"/>
      <c r="NEA238"/>
      <c r="NEB238"/>
      <c r="NEC238"/>
      <c r="NED238"/>
      <c r="NEE238"/>
      <c r="NEF238"/>
      <c r="NEG238"/>
      <c r="NEH238"/>
      <c r="NEI238"/>
      <c r="NEJ238"/>
      <c r="NEK238"/>
      <c r="NEL238"/>
      <c r="NEM238"/>
      <c r="NEN238"/>
      <c r="NEO238"/>
      <c r="NEP238"/>
      <c r="NEQ238"/>
      <c r="NER238"/>
      <c r="NES238"/>
      <c r="NET238"/>
      <c r="NEU238"/>
      <c r="NEV238"/>
      <c r="NEW238"/>
      <c r="NEX238"/>
      <c r="NEY238"/>
      <c r="NEZ238"/>
      <c r="NFA238"/>
      <c r="NFB238"/>
      <c r="NFC238"/>
      <c r="NFD238"/>
      <c r="NFE238"/>
      <c r="NFF238"/>
      <c r="NFG238"/>
      <c r="NFH238"/>
      <c r="NFI238"/>
      <c r="NFJ238"/>
      <c r="NFK238"/>
      <c r="NFL238"/>
      <c r="NFM238"/>
      <c r="NFN238"/>
      <c r="NFO238"/>
      <c r="NFP238"/>
      <c r="NFQ238"/>
      <c r="NFR238"/>
      <c r="NFS238"/>
      <c r="NFT238"/>
      <c r="NFU238"/>
      <c r="NFV238"/>
      <c r="NFW238"/>
      <c r="NFX238"/>
      <c r="NFY238"/>
      <c r="NFZ238"/>
      <c r="NGA238"/>
      <c r="NGB238"/>
      <c r="NGC238"/>
      <c r="NGD238"/>
      <c r="NGE238"/>
      <c r="NGF238"/>
      <c r="NGG238"/>
      <c r="NGH238"/>
      <c r="NGI238"/>
      <c r="NGJ238"/>
      <c r="NGK238"/>
      <c r="NGL238"/>
      <c r="NGM238"/>
      <c r="NGN238"/>
      <c r="NGO238"/>
      <c r="NGP238"/>
      <c r="NGQ238"/>
      <c r="NGR238"/>
      <c r="NGS238"/>
      <c r="NGT238"/>
      <c r="NGU238"/>
      <c r="NGV238"/>
      <c r="NGW238"/>
      <c r="NGX238"/>
      <c r="NGY238"/>
      <c r="NGZ238"/>
      <c r="NHA238"/>
      <c r="NHB238"/>
      <c r="NHC238"/>
      <c r="NHD238"/>
      <c r="NHE238"/>
      <c r="NHF238"/>
      <c r="NHG238"/>
      <c r="NHH238"/>
      <c r="NHI238"/>
      <c r="NHJ238"/>
      <c r="NHK238"/>
      <c r="NHL238"/>
      <c r="NHM238"/>
      <c r="NHN238"/>
      <c r="NHO238"/>
      <c r="NHP238"/>
      <c r="NHQ238"/>
      <c r="NHR238"/>
      <c r="NHS238"/>
      <c r="NHT238"/>
      <c r="NHU238"/>
      <c r="NHV238"/>
      <c r="NHW238"/>
      <c r="NHX238"/>
      <c r="NHY238"/>
      <c r="NHZ238"/>
      <c r="NIA238"/>
      <c r="NIB238"/>
      <c r="NIC238"/>
      <c r="NID238"/>
      <c r="NIE238"/>
      <c r="NIF238"/>
      <c r="NIG238"/>
      <c r="NIH238"/>
      <c r="NII238"/>
      <c r="NIJ238"/>
      <c r="NIK238"/>
      <c r="NIL238"/>
      <c r="NIM238"/>
      <c r="NIN238"/>
      <c r="NIO238"/>
      <c r="NIP238"/>
      <c r="NIQ238"/>
      <c r="NIR238"/>
      <c r="NIS238"/>
      <c r="NIT238"/>
      <c r="NIU238"/>
      <c r="NIV238"/>
      <c r="NIW238"/>
      <c r="NIX238"/>
      <c r="NIY238"/>
      <c r="NIZ238"/>
      <c r="NJA238"/>
      <c r="NJB238"/>
      <c r="NJC238"/>
      <c r="NJD238"/>
      <c r="NJE238"/>
      <c r="NJF238"/>
      <c r="NJG238"/>
      <c r="NJH238"/>
      <c r="NJI238"/>
      <c r="NJJ238"/>
      <c r="NJK238"/>
      <c r="NJL238"/>
      <c r="NJM238"/>
      <c r="NJN238"/>
      <c r="NJO238"/>
      <c r="NJP238"/>
      <c r="NJQ238"/>
      <c r="NJR238"/>
      <c r="NJS238"/>
      <c r="NJT238"/>
      <c r="NJU238"/>
      <c r="NJV238"/>
      <c r="NJW238"/>
      <c r="NJX238"/>
      <c r="NJY238"/>
      <c r="NJZ238"/>
      <c r="NKA238"/>
      <c r="NKB238"/>
      <c r="NKC238"/>
      <c r="NKD238"/>
      <c r="NKE238"/>
      <c r="NKF238"/>
      <c r="NKG238"/>
      <c r="NKH238"/>
      <c r="NKI238"/>
      <c r="NKJ238"/>
      <c r="NKK238"/>
      <c r="NKL238"/>
      <c r="NKM238"/>
      <c r="NKN238"/>
      <c r="NKO238"/>
      <c r="NKP238"/>
      <c r="NKQ238"/>
      <c r="NKR238"/>
      <c r="NKS238"/>
      <c r="NKT238"/>
      <c r="NKU238"/>
      <c r="NKV238"/>
      <c r="NKW238"/>
      <c r="NKX238"/>
      <c r="NKY238"/>
      <c r="NKZ238"/>
      <c r="NLA238"/>
      <c r="NLB238"/>
      <c r="NLC238"/>
      <c r="NLD238"/>
      <c r="NLE238"/>
      <c r="NLF238"/>
      <c r="NLG238"/>
      <c r="NLH238"/>
      <c r="NLI238"/>
      <c r="NLJ238"/>
      <c r="NLK238"/>
      <c r="NLL238"/>
      <c r="NLM238"/>
      <c r="NLN238"/>
      <c r="NLO238"/>
      <c r="NLP238"/>
      <c r="NLQ238"/>
      <c r="NLR238"/>
      <c r="NLS238"/>
      <c r="NLT238"/>
      <c r="NLU238"/>
      <c r="NLV238"/>
      <c r="NLW238"/>
      <c r="NLX238"/>
      <c r="NLY238"/>
      <c r="NLZ238"/>
      <c r="NMA238"/>
      <c r="NMB238"/>
      <c r="NMC238"/>
      <c r="NMD238"/>
      <c r="NME238"/>
      <c r="NMF238"/>
      <c r="NMG238"/>
      <c r="NMH238"/>
      <c r="NMI238"/>
      <c r="NMJ238"/>
      <c r="NMK238"/>
      <c r="NML238"/>
      <c r="NMM238"/>
      <c r="NMN238"/>
      <c r="NMO238"/>
      <c r="NMP238"/>
      <c r="NMQ238"/>
      <c r="NMR238"/>
      <c r="NMS238"/>
      <c r="NMT238"/>
      <c r="NMU238"/>
      <c r="NMV238"/>
      <c r="NMW238"/>
      <c r="NMX238"/>
      <c r="NMY238"/>
      <c r="NMZ238"/>
      <c r="NNA238"/>
      <c r="NNB238"/>
      <c r="NNC238"/>
      <c r="NND238"/>
      <c r="NNE238"/>
      <c r="NNF238"/>
      <c r="NNG238"/>
      <c r="NNH238"/>
      <c r="NNI238"/>
      <c r="NNJ238"/>
      <c r="NNK238"/>
      <c r="NNL238"/>
      <c r="NNM238"/>
      <c r="NNN238"/>
      <c r="NNO238"/>
      <c r="NNP238"/>
      <c r="NNQ238"/>
      <c r="NNR238"/>
      <c r="NNS238"/>
      <c r="NNT238"/>
      <c r="NNU238"/>
      <c r="NNV238"/>
      <c r="NNW238"/>
      <c r="NNX238"/>
      <c r="NNY238"/>
      <c r="NNZ238"/>
      <c r="NOA238"/>
      <c r="NOB238"/>
      <c r="NOC238"/>
      <c r="NOD238"/>
      <c r="NOE238"/>
      <c r="NOF238"/>
      <c r="NOG238"/>
      <c r="NOH238"/>
      <c r="NOI238"/>
      <c r="NOJ238"/>
      <c r="NOK238"/>
      <c r="NOL238"/>
      <c r="NOM238"/>
      <c r="NON238"/>
      <c r="NOO238"/>
      <c r="NOP238"/>
      <c r="NOQ238"/>
      <c r="NOR238"/>
      <c r="NOS238"/>
      <c r="NOT238"/>
      <c r="NOU238"/>
      <c r="NOV238"/>
      <c r="NOW238"/>
      <c r="NOX238"/>
      <c r="NOY238"/>
      <c r="NOZ238"/>
      <c r="NPA238"/>
      <c r="NPB238"/>
      <c r="NPC238"/>
      <c r="NPD238"/>
      <c r="NPE238"/>
      <c r="NPF238"/>
      <c r="NPG238"/>
      <c r="NPH238"/>
      <c r="NPI238"/>
      <c r="NPJ238"/>
      <c r="NPK238"/>
      <c r="NPL238"/>
      <c r="NPM238"/>
      <c r="NPN238"/>
      <c r="NPO238"/>
      <c r="NPP238"/>
      <c r="NPQ238"/>
      <c r="NPR238"/>
      <c r="NPS238"/>
      <c r="NPT238"/>
      <c r="NPU238"/>
      <c r="NPV238"/>
      <c r="NPW238"/>
      <c r="NPX238"/>
      <c r="NPY238"/>
      <c r="NPZ238"/>
      <c r="NQA238"/>
      <c r="NQB238"/>
      <c r="NQC238"/>
      <c r="NQD238"/>
      <c r="NQE238"/>
      <c r="NQF238"/>
      <c r="NQG238"/>
      <c r="NQH238"/>
      <c r="NQI238"/>
      <c r="NQJ238"/>
      <c r="NQK238"/>
      <c r="NQL238"/>
      <c r="NQM238"/>
      <c r="NQN238"/>
      <c r="NQO238"/>
      <c r="NQP238"/>
      <c r="NQQ238"/>
      <c r="NQR238"/>
      <c r="NQS238"/>
      <c r="NQT238"/>
      <c r="NQU238"/>
      <c r="NQV238"/>
      <c r="NQW238"/>
      <c r="NQX238"/>
      <c r="NQY238"/>
      <c r="NQZ238"/>
      <c r="NRA238"/>
      <c r="NRB238"/>
      <c r="NRC238"/>
      <c r="NRD238"/>
      <c r="NRE238"/>
      <c r="NRF238"/>
      <c r="NRG238"/>
      <c r="NRH238"/>
      <c r="NRI238"/>
      <c r="NRJ238"/>
      <c r="NRK238"/>
      <c r="NRL238"/>
      <c r="NRM238"/>
      <c r="NRN238"/>
      <c r="NRO238"/>
      <c r="NRP238"/>
      <c r="NRQ238"/>
      <c r="NRR238"/>
      <c r="NRS238"/>
      <c r="NRT238"/>
      <c r="NRU238"/>
      <c r="NRV238"/>
      <c r="NRW238"/>
      <c r="NRX238"/>
      <c r="NRY238"/>
      <c r="NRZ238"/>
      <c r="NSA238"/>
      <c r="NSB238"/>
      <c r="NSC238"/>
      <c r="NSD238"/>
      <c r="NSE238"/>
      <c r="NSF238"/>
      <c r="NSG238"/>
      <c r="NSH238"/>
      <c r="NSI238"/>
      <c r="NSJ238"/>
      <c r="NSK238"/>
      <c r="NSL238"/>
      <c r="NSM238"/>
      <c r="NSN238"/>
      <c r="NSO238"/>
      <c r="NSP238"/>
      <c r="NSQ238"/>
      <c r="NSR238"/>
      <c r="NSS238"/>
      <c r="NST238"/>
      <c r="NSU238"/>
      <c r="NSV238"/>
      <c r="NSW238"/>
      <c r="NSX238"/>
      <c r="NSY238"/>
      <c r="NSZ238"/>
      <c r="NTA238"/>
      <c r="NTB238"/>
      <c r="NTC238"/>
      <c r="NTD238"/>
      <c r="NTE238"/>
      <c r="NTF238"/>
      <c r="NTG238"/>
      <c r="NTH238"/>
      <c r="NTI238"/>
      <c r="NTJ238"/>
      <c r="NTK238"/>
      <c r="NTL238"/>
      <c r="NTM238"/>
      <c r="NTN238"/>
      <c r="NTO238"/>
      <c r="NTP238"/>
      <c r="NTQ238"/>
      <c r="NTR238"/>
      <c r="NTS238"/>
      <c r="NTT238"/>
      <c r="NTU238"/>
      <c r="NTV238"/>
      <c r="NTW238"/>
      <c r="NTX238"/>
      <c r="NTY238"/>
      <c r="NTZ238"/>
      <c r="NUA238"/>
      <c r="NUB238"/>
      <c r="NUC238"/>
      <c r="NUD238"/>
      <c r="NUE238"/>
      <c r="NUF238"/>
      <c r="NUG238"/>
      <c r="NUH238"/>
      <c r="NUI238"/>
      <c r="NUJ238"/>
      <c r="NUK238"/>
      <c r="NUL238"/>
      <c r="NUM238"/>
      <c r="NUN238"/>
      <c r="NUO238"/>
      <c r="NUP238"/>
      <c r="NUQ238"/>
      <c r="NUR238"/>
      <c r="NUS238"/>
      <c r="NUT238"/>
      <c r="NUU238"/>
      <c r="NUV238"/>
      <c r="NUW238"/>
      <c r="NUX238"/>
      <c r="NUY238"/>
      <c r="NUZ238"/>
      <c r="NVA238"/>
      <c r="NVB238"/>
      <c r="NVC238"/>
      <c r="NVD238"/>
      <c r="NVE238"/>
      <c r="NVF238"/>
      <c r="NVG238"/>
      <c r="NVH238"/>
      <c r="NVI238"/>
      <c r="NVJ238"/>
      <c r="NVK238"/>
      <c r="NVL238"/>
      <c r="NVM238"/>
      <c r="NVN238"/>
      <c r="NVO238"/>
      <c r="NVP238"/>
      <c r="NVQ238"/>
      <c r="NVR238"/>
      <c r="NVS238"/>
      <c r="NVT238"/>
      <c r="NVU238"/>
      <c r="NVV238"/>
      <c r="NVW238"/>
      <c r="NVX238"/>
      <c r="NVY238"/>
      <c r="NVZ238"/>
      <c r="NWA238"/>
      <c r="NWB238"/>
      <c r="NWC238"/>
      <c r="NWD238"/>
      <c r="NWE238"/>
      <c r="NWF238"/>
      <c r="NWG238"/>
      <c r="NWH238"/>
      <c r="NWI238"/>
      <c r="NWJ238"/>
      <c r="NWK238"/>
      <c r="NWL238"/>
      <c r="NWM238"/>
      <c r="NWN238"/>
      <c r="NWO238"/>
      <c r="NWP238"/>
      <c r="NWQ238"/>
      <c r="NWR238"/>
      <c r="NWS238"/>
      <c r="NWT238"/>
      <c r="NWU238"/>
      <c r="NWV238"/>
      <c r="NWW238"/>
      <c r="NWX238"/>
      <c r="NWY238"/>
      <c r="NWZ238"/>
      <c r="NXA238"/>
      <c r="NXB238"/>
      <c r="NXC238"/>
      <c r="NXD238"/>
      <c r="NXE238"/>
      <c r="NXF238"/>
      <c r="NXG238"/>
      <c r="NXH238"/>
      <c r="NXI238"/>
      <c r="NXJ238"/>
      <c r="NXK238"/>
      <c r="NXL238"/>
      <c r="NXM238"/>
      <c r="NXN238"/>
      <c r="NXO238"/>
      <c r="NXP238"/>
      <c r="NXQ238"/>
      <c r="NXR238"/>
      <c r="NXS238"/>
      <c r="NXT238"/>
      <c r="NXU238"/>
      <c r="NXV238"/>
      <c r="NXW238"/>
      <c r="NXX238"/>
      <c r="NXY238"/>
      <c r="NXZ238"/>
      <c r="NYA238"/>
      <c r="NYB238"/>
      <c r="NYC238"/>
      <c r="NYD238"/>
      <c r="NYE238"/>
      <c r="NYF238"/>
      <c r="NYG238"/>
      <c r="NYH238"/>
      <c r="NYI238"/>
      <c r="NYJ238"/>
      <c r="NYK238"/>
      <c r="NYL238"/>
      <c r="NYM238"/>
      <c r="NYN238"/>
      <c r="NYO238"/>
      <c r="NYP238"/>
      <c r="NYQ238"/>
      <c r="NYR238"/>
      <c r="NYS238"/>
      <c r="NYT238"/>
      <c r="NYU238"/>
      <c r="NYV238"/>
      <c r="NYW238"/>
      <c r="NYX238"/>
      <c r="NYY238"/>
      <c r="NYZ238"/>
      <c r="NZA238"/>
      <c r="NZB238"/>
      <c r="NZC238"/>
      <c r="NZD238"/>
      <c r="NZE238"/>
      <c r="NZF238"/>
      <c r="NZG238"/>
      <c r="NZH238"/>
      <c r="NZI238"/>
      <c r="NZJ238"/>
      <c r="NZK238"/>
      <c r="NZL238"/>
      <c r="NZM238"/>
      <c r="NZN238"/>
      <c r="NZO238"/>
      <c r="NZP238"/>
      <c r="NZQ238"/>
      <c r="NZR238"/>
      <c r="NZS238"/>
      <c r="NZT238"/>
      <c r="NZU238"/>
      <c r="NZV238"/>
      <c r="NZW238"/>
      <c r="NZX238"/>
      <c r="NZY238"/>
      <c r="NZZ238"/>
      <c r="OAA238"/>
      <c r="OAB238"/>
      <c r="OAC238"/>
      <c r="OAD238"/>
      <c r="OAE238"/>
      <c r="OAF238"/>
      <c r="OAG238"/>
      <c r="OAH238"/>
      <c r="OAI238"/>
      <c r="OAJ238"/>
      <c r="OAK238"/>
      <c r="OAL238"/>
      <c r="OAM238"/>
      <c r="OAN238"/>
      <c r="OAO238"/>
      <c r="OAP238"/>
      <c r="OAQ238"/>
      <c r="OAR238"/>
      <c r="OAS238"/>
      <c r="OAT238"/>
      <c r="OAU238"/>
      <c r="OAV238"/>
      <c r="OAW238"/>
      <c r="OAX238"/>
      <c r="OAY238"/>
      <c r="OAZ238"/>
      <c r="OBA238"/>
      <c r="OBB238"/>
      <c r="OBC238"/>
      <c r="OBD238"/>
      <c r="OBE238"/>
      <c r="OBF238"/>
      <c r="OBG238"/>
      <c r="OBH238"/>
      <c r="OBI238"/>
      <c r="OBJ238"/>
      <c r="OBK238"/>
      <c r="OBL238"/>
      <c r="OBM238"/>
      <c r="OBN238"/>
      <c r="OBO238"/>
      <c r="OBP238"/>
      <c r="OBQ238"/>
      <c r="OBR238"/>
      <c r="OBS238"/>
      <c r="OBT238"/>
      <c r="OBU238"/>
      <c r="OBV238"/>
      <c r="OBW238"/>
      <c r="OBX238"/>
      <c r="OBY238"/>
      <c r="OBZ238"/>
      <c r="OCA238"/>
      <c r="OCB238"/>
      <c r="OCC238"/>
      <c r="OCD238"/>
      <c r="OCE238"/>
      <c r="OCF238"/>
      <c r="OCG238"/>
      <c r="OCH238"/>
      <c r="OCI238"/>
      <c r="OCJ238"/>
      <c r="OCK238"/>
      <c r="OCL238"/>
      <c r="OCM238"/>
      <c r="OCN238"/>
      <c r="OCO238"/>
      <c r="OCP238"/>
      <c r="OCQ238"/>
      <c r="OCR238"/>
      <c r="OCS238"/>
      <c r="OCT238"/>
      <c r="OCU238"/>
      <c r="OCV238"/>
      <c r="OCW238"/>
      <c r="OCX238"/>
      <c r="OCY238"/>
      <c r="OCZ238"/>
      <c r="ODA238"/>
      <c r="ODB238"/>
      <c r="ODC238"/>
      <c r="ODD238"/>
      <c r="ODE238"/>
      <c r="ODF238"/>
      <c r="ODG238"/>
      <c r="ODH238"/>
      <c r="ODI238"/>
      <c r="ODJ238"/>
      <c r="ODK238"/>
      <c r="ODL238"/>
      <c r="ODM238"/>
      <c r="ODN238"/>
      <c r="ODO238"/>
      <c r="ODP238"/>
      <c r="ODQ238"/>
      <c r="ODR238"/>
      <c r="ODS238"/>
      <c r="ODT238"/>
      <c r="ODU238"/>
      <c r="ODV238"/>
      <c r="ODW238"/>
      <c r="ODX238"/>
      <c r="ODY238"/>
      <c r="ODZ238"/>
      <c r="OEA238"/>
      <c r="OEB238"/>
      <c r="OEC238"/>
      <c r="OED238"/>
      <c r="OEE238"/>
      <c r="OEF238"/>
      <c r="OEG238"/>
      <c r="OEH238"/>
      <c r="OEI238"/>
      <c r="OEJ238"/>
      <c r="OEK238"/>
      <c r="OEL238"/>
      <c r="OEM238"/>
      <c r="OEN238"/>
      <c r="OEO238"/>
      <c r="OEP238"/>
      <c r="OEQ238"/>
      <c r="OER238"/>
      <c r="OES238"/>
      <c r="OET238"/>
      <c r="OEU238"/>
      <c r="OEV238"/>
      <c r="OEW238"/>
      <c r="OEX238"/>
      <c r="OEY238"/>
      <c r="OEZ238"/>
      <c r="OFA238"/>
      <c r="OFB238"/>
      <c r="OFC238"/>
      <c r="OFD238"/>
      <c r="OFE238"/>
      <c r="OFF238"/>
      <c r="OFG238"/>
      <c r="OFH238"/>
      <c r="OFI238"/>
      <c r="OFJ238"/>
      <c r="OFK238"/>
      <c r="OFL238"/>
      <c r="OFM238"/>
      <c r="OFN238"/>
      <c r="OFO238"/>
      <c r="OFP238"/>
      <c r="OFQ238"/>
      <c r="OFR238"/>
      <c r="OFS238"/>
      <c r="OFT238"/>
      <c r="OFU238"/>
      <c r="OFV238"/>
      <c r="OFW238"/>
      <c r="OFX238"/>
      <c r="OFY238"/>
      <c r="OFZ238"/>
      <c r="OGA238"/>
      <c r="OGB238"/>
      <c r="OGC238"/>
      <c r="OGD238"/>
      <c r="OGE238"/>
      <c r="OGF238"/>
      <c r="OGG238"/>
      <c r="OGH238"/>
      <c r="OGI238"/>
      <c r="OGJ238"/>
      <c r="OGK238"/>
      <c r="OGL238"/>
      <c r="OGM238"/>
      <c r="OGN238"/>
      <c r="OGO238"/>
      <c r="OGP238"/>
      <c r="OGQ238"/>
      <c r="OGR238"/>
      <c r="OGS238"/>
      <c r="OGT238"/>
      <c r="OGU238"/>
      <c r="OGV238"/>
      <c r="OGW238"/>
      <c r="OGX238"/>
      <c r="OGY238"/>
      <c r="OGZ238"/>
      <c r="OHA238"/>
      <c r="OHB238"/>
      <c r="OHC238"/>
      <c r="OHD238"/>
      <c r="OHE238"/>
      <c r="OHF238"/>
      <c r="OHG238"/>
      <c r="OHH238"/>
      <c r="OHI238"/>
      <c r="OHJ238"/>
      <c r="OHK238"/>
      <c r="OHL238"/>
      <c r="OHM238"/>
      <c r="OHN238"/>
      <c r="OHO238"/>
      <c r="OHP238"/>
      <c r="OHQ238"/>
      <c r="OHR238"/>
      <c r="OHS238"/>
      <c r="OHT238"/>
      <c r="OHU238"/>
      <c r="OHV238"/>
      <c r="OHW238"/>
      <c r="OHX238"/>
      <c r="OHY238"/>
      <c r="OHZ238"/>
      <c r="OIA238"/>
      <c r="OIB238"/>
      <c r="OIC238"/>
      <c r="OID238"/>
      <c r="OIE238"/>
      <c r="OIF238"/>
      <c r="OIG238"/>
      <c r="OIH238"/>
      <c r="OII238"/>
      <c r="OIJ238"/>
      <c r="OIK238"/>
      <c r="OIL238"/>
      <c r="OIM238"/>
      <c r="OIN238"/>
      <c r="OIO238"/>
      <c r="OIP238"/>
      <c r="OIQ238"/>
      <c r="OIR238"/>
      <c r="OIS238"/>
      <c r="OIT238"/>
      <c r="OIU238"/>
      <c r="OIV238"/>
      <c r="OIW238"/>
      <c r="OIX238"/>
      <c r="OIY238"/>
      <c r="OIZ238"/>
      <c r="OJA238"/>
      <c r="OJB238"/>
      <c r="OJC238"/>
      <c r="OJD238"/>
      <c r="OJE238"/>
      <c r="OJF238"/>
      <c r="OJG238"/>
      <c r="OJH238"/>
      <c r="OJI238"/>
      <c r="OJJ238"/>
      <c r="OJK238"/>
      <c r="OJL238"/>
      <c r="OJM238"/>
      <c r="OJN238"/>
      <c r="OJO238"/>
      <c r="OJP238"/>
      <c r="OJQ238"/>
      <c r="OJR238"/>
      <c r="OJS238"/>
      <c r="OJT238"/>
      <c r="OJU238"/>
      <c r="OJV238"/>
      <c r="OJW238"/>
      <c r="OJX238"/>
      <c r="OJY238"/>
      <c r="OJZ238"/>
      <c r="OKA238"/>
      <c r="OKB238"/>
      <c r="OKC238"/>
      <c r="OKD238"/>
      <c r="OKE238"/>
      <c r="OKF238"/>
      <c r="OKG238"/>
      <c r="OKH238"/>
      <c r="OKI238"/>
      <c r="OKJ238"/>
      <c r="OKK238"/>
      <c r="OKL238"/>
      <c r="OKM238"/>
      <c r="OKN238"/>
      <c r="OKO238"/>
      <c r="OKP238"/>
      <c r="OKQ238"/>
      <c r="OKR238"/>
      <c r="OKS238"/>
      <c r="OKT238"/>
      <c r="OKU238"/>
      <c r="OKV238"/>
      <c r="OKW238"/>
      <c r="OKX238"/>
      <c r="OKY238"/>
      <c r="OKZ238"/>
      <c r="OLA238"/>
      <c r="OLB238"/>
      <c r="OLC238"/>
      <c r="OLD238"/>
      <c r="OLE238"/>
      <c r="OLF238"/>
      <c r="OLG238"/>
      <c r="OLH238"/>
      <c r="OLI238"/>
      <c r="OLJ238"/>
      <c r="OLK238"/>
      <c r="OLL238"/>
      <c r="OLM238"/>
      <c r="OLN238"/>
      <c r="OLO238"/>
      <c r="OLP238"/>
      <c r="OLQ238"/>
      <c r="OLR238"/>
      <c r="OLS238"/>
      <c r="OLT238"/>
      <c r="OLU238"/>
      <c r="OLV238"/>
      <c r="OLW238"/>
      <c r="OLX238"/>
      <c r="OLY238"/>
      <c r="OLZ238"/>
      <c r="OMA238"/>
      <c r="OMB238"/>
      <c r="OMC238"/>
      <c r="OMD238"/>
      <c r="OME238"/>
      <c r="OMF238"/>
      <c r="OMG238"/>
      <c r="OMH238"/>
      <c r="OMI238"/>
      <c r="OMJ238"/>
      <c r="OMK238"/>
      <c r="OML238"/>
      <c r="OMM238"/>
      <c r="OMN238"/>
      <c r="OMO238"/>
      <c r="OMP238"/>
      <c r="OMQ238"/>
      <c r="OMR238"/>
      <c r="OMS238"/>
      <c r="OMT238"/>
      <c r="OMU238"/>
      <c r="OMV238"/>
      <c r="OMW238"/>
      <c r="OMX238"/>
      <c r="OMY238"/>
      <c r="OMZ238"/>
      <c r="ONA238"/>
      <c r="ONB238"/>
      <c r="ONC238"/>
      <c r="OND238"/>
      <c r="ONE238"/>
      <c r="ONF238"/>
      <c r="ONG238"/>
      <c r="ONH238"/>
      <c r="ONI238"/>
      <c r="ONJ238"/>
      <c r="ONK238"/>
      <c r="ONL238"/>
      <c r="ONM238"/>
      <c r="ONN238"/>
      <c r="ONO238"/>
      <c r="ONP238"/>
      <c r="ONQ238"/>
      <c r="ONR238"/>
      <c r="ONS238"/>
      <c r="ONT238"/>
      <c r="ONU238"/>
      <c r="ONV238"/>
      <c r="ONW238"/>
      <c r="ONX238"/>
      <c r="ONY238"/>
      <c r="ONZ238"/>
      <c r="OOA238"/>
      <c r="OOB238"/>
      <c r="OOC238"/>
      <c r="OOD238"/>
      <c r="OOE238"/>
      <c r="OOF238"/>
      <c r="OOG238"/>
      <c r="OOH238"/>
      <c r="OOI238"/>
      <c r="OOJ238"/>
      <c r="OOK238"/>
      <c r="OOL238"/>
      <c r="OOM238"/>
      <c r="OON238"/>
      <c r="OOO238"/>
      <c r="OOP238"/>
      <c r="OOQ238"/>
      <c r="OOR238"/>
      <c r="OOS238"/>
      <c r="OOT238"/>
      <c r="OOU238"/>
      <c r="OOV238"/>
      <c r="OOW238"/>
      <c r="OOX238"/>
      <c r="OOY238"/>
      <c r="OOZ238"/>
      <c r="OPA238"/>
      <c r="OPB238"/>
      <c r="OPC238"/>
      <c r="OPD238"/>
      <c r="OPE238"/>
      <c r="OPF238"/>
      <c r="OPG238"/>
      <c r="OPH238"/>
      <c r="OPI238"/>
      <c r="OPJ238"/>
      <c r="OPK238"/>
      <c r="OPL238"/>
      <c r="OPM238"/>
      <c r="OPN238"/>
      <c r="OPO238"/>
      <c r="OPP238"/>
      <c r="OPQ238"/>
      <c r="OPR238"/>
      <c r="OPS238"/>
      <c r="OPT238"/>
      <c r="OPU238"/>
      <c r="OPV238"/>
      <c r="OPW238"/>
      <c r="OPX238"/>
      <c r="OPY238"/>
      <c r="OPZ238"/>
      <c r="OQA238"/>
      <c r="OQB238"/>
      <c r="OQC238"/>
      <c r="OQD238"/>
      <c r="OQE238"/>
      <c r="OQF238"/>
      <c r="OQG238"/>
      <c r="OQH238"/>
      <c r="OQI238"/>
      <c r="OQJ238"/>
      <c r="OQK238"/>
      <c r="OQL238"/>
      <c r="OQM238"/>
      <c r="OQN238"/>
      <c r="OQO238"/>
      <c r="OQP238"/>
      <c r="OQQ238"/>
      <c r="OQR238"/>
      <c r="OQS238"/>
      <c r="OQT238"/>
      <c r="OQU238"/>
      <c r="OQV238"/>
      <c r="OQW238"/>
      <c r="OQX238"/>
      <c r="OQY238"/>
      <c r="OQZ238"/>
      <c r="ORA238"/>
      <c r="ORB238"/>
      <c r="ORC238"/>
      <c r="ORD238"/>
      <c r="ORE238"/>
      <c r="ORF238"/>
      <c r="ORG238"/>
      <c r="ORH238"/>
      <c r="ORI238"/>
      <c r="ORJ238"/>
      <c r="ORK238"/>
      <c r="ORL238"/>
      <c r="ORM238"/>
      <c r="ORN238"/>
      <c r="ORO238"/>
      <c r="ORP238"/>
      <c r="ORQ238"/>
      <c r="ORR238"/>
      <c r="ORS238"/>
      <c r="ORT238"/>
      <c r="ORU238"/>
      <c r="ORV238"/>
      <c r="ORW238"/>
      <c r="ORX238"/>
      <c r="ORY238"/>
      <c r="ORZ238"/>
      <c r="OSA238"/>
      <c r="OSB238"/>
      <c r="OSC238"/>
      <c r="OSD238"/>
      <c r="OSE238"/>
      <c r="OSF238"/>
      <c r="OSG238"/>
      <c r="OSH238"/>
      <c r="OSI238"/>
      <c r="OSJ238"/>
      <c r="OSK238"/>
      <c r="OSL238"/>
      <c r="OSM238"/>
      <c r="OSN238"/>
      <c r="OSO238"/>
      <c r="OSP238"/>
      <c r="OSQ238"/>
      <c r="OSR238"/>
      <c r="OSS238"/>
      <c r="OST238"/>
      <c r="OSU238"/>
      <c r="OSV238"/>
      <c r="OSW238"/>
      <c r="OSX238"/>
      <c r="OSY238"/>
      <c r="OSZ238"/>
      <c r="OTA238"/>
      <c r="OTB238"/>
      <c r="OTC238"/>
      <c r="OTD238"/>
      <c r="OTE238"/>
      <c r="OTF238"/>
      <c r="OTG238"/>
      <c r="OTH238"/>
      <c r="OTI238"/>
      <c r="OTJ238"/>
      <c r="OTK238"/>
      <c r="OTL238"/>
      <c r="OTM238"/>
      <c r="OTN238"/>
      <c r="OTO238"/>
      <c r="OTP238"/>
      <c r="OTQ238"/>
      <c r="OTR238"/>
      <c r="OTS238"/>
      <c r="OTT238"/>
      <c r="OTU238"/>
      <c r="OTV238"/>
      <c r="OTW238"/>
      <c r="OTX238"/>
      <c r="OTY238"/>
      <c r="OTZ238"/>
      <c r="OUA238"/>
      <c r="OUB238"/>
      <c r="OUC238"/>
      <c r="OUD238"/>
      <c r="OUE238"/>
      <c r="OUF238"/>
      <c r="OUG238"/>
      <c r="OUH238"/>
      <c r="OUI238"/>
      <c r="OUJ238"/>
      <c r="OUK238"/>
      <c r="OUL238"/>
      <c r="OUM238"/>
      <c r="OUN238"/>
      <c r="OUO238"/>
      <c r="OUP238"/>
      <c r="OUQ238"/>
      <c r="OUR238"/>
      <c r="OUS238"/>
      <c r="OUT238"/>
      <c r="OUU238"/>
      <c r="OUV238"/>
      <c r="OUW238"/>
      <c r="OUX238"/>
      <c r="OUY238"/>
      <c r="OUZ238"/>
      <c r="OVA238"/>
      <c r="OVB238"/>
      <c r="OVC238"/>
      <c r="OVD238"/>
      <c r="OVE238"/>
      <c r="OVF238"/>
      <c r="OVG238"/>
      <c r="OVH238"/>
      <c r="OVI238"/>
      <c r="OVJ238"/>
      <c r="OVK238"/>
      <c r="OVL238"/>
      <c r="OVM238"/>
      <c r="OVN238"/>
      <c r="OVO238"/>
      <c r="OVP238"/>
      <c r="OVQ238"/>
      <c r="OVR238"/>
      <c r="OVS238"/>
      <c r="OVT238"/>
      <c r="OVU238"/>
      <c r="OVV238"/>
      <c r="OVW238"/>
      <c r="OVX238"/>
      <c r="OVY238"/>
      <c r="OVZ238"/>
      <c r="OWA238"/>
      <c r="OWB238"/>
      <c r="OWC238"/>
      <c r="OWD238"/>
      <c r="OWE238"/>
      <c r="OWF238"/>
      <c r="OWG238"/>
      <c r="OWH238"/>
      <c r="OWI238"/>
      <c r="OWJ238"/>
      <c r="OWK238"/>
      <c r="OWL238"/>
      <c r="OWM238"/>
      <c r="OWN238"/>
      <c r="OWO238"/>
      <c r="OWP238"/>
      <c r="OWQ238"/>
      <c r="OWR238"/>
      <c r="OWS238"/>
      <c r="OWT238"/>
      <c r="OWU238"/>
      <c r="OWV238"/>
      <c r="OWW238"/>
      <c r="OWX238"/>
      <c r="OWY238"/>
      <c r="OWZ238"/>
      <c r="OXA238"/>
      <c r="OXB238"/>
      <c r="OXC238"/>
      <c r="OXD238"/>
      <c r="OXE238"/>
      <c r="OXF238"/>
      <c r="OXG238"/>
      <c r="OXH238"/>
      <c r="OXI238"/>
      <c r="OXJ238"/>
      <c r="OXK238"/>
      <c r="OXL238"/>
      <c r="OXM238"/>
      <c r="OXN238"/>
      <c r="OXO238"/>
      <c r="OXP238"/>
      <c r="OXQ238"/>
      <c r="OXR238"/>
      <c r="OXS238"/>
      <c r="OXT238"/>
      <c r="OXU238"/>
      <c r="OXV238"/>
      <c r="OXW238"/>
      <c r="OXX238"/>
      <c r="OXY238"/>
      <c r="OXZ238"/>
      <c r="OYA238"/>
      <c r="OYB238"/>
      <c r="OYC238"/>
      <c r="OYD238"/>
      <c r="OYE238"/>
      <c r="OYF238"/>
      <c r="OYG238"/>
      <c r="OYH238"/>
      <c r="OYI238"/>
      <c r="OYJ238"/>
      <c r="OYK238"/>
      <c r="OYL238"/>
      <c r="OYM238"/>
      <c r="OYN238"/>
      <c r="OYO238"/>
      <c r="OYP238"/>
      <c r="OYQ238"/>
      <c r="OYR238"/>
      <c r="OYS238"/>
      <c r="OYT238"/>
      <c r="OYU238"/>
      <c r="OYV238"/>
      <c r="OYW238"/>
      <c r="OYX238"/>
      <c r="OYY238"/>
      <c r="OYZ238"/>
      <c r="OZA238"/>
      <c r="OZB238"/>
      <c r="OZC238"/>
      <c r="OZD238"/>
      <c r="OZE238"/>
      <c r="OZF238"/>
      <c r="OZG238"/>
      <c r="OZH238"/>
      <c r="OZI238"/>
      <c r="OZJ238"/>
      <c r="OZK238"/>
      <c r="OZL238"/>
      <c r="OZM238"/>
      <c r="OZN238"/>
      <c r="OZO238"/>
      <c r="OZP238"/>
      <c r="OZQ238"/>
      <c r="OZR238"/>
      <c r="OZS238"/>
      <c r="OZT238"/>
      <c r="OZU238"/>
      <c r="OZV238"/>
      <c r="OZW238"/>
      <c r="OZX238"/>
      <c r="OZY238"/>
      <c r="OZZ238"/>
      <c r="PAA238"/>
      <c r="PAB238"/>
      <c r="PAC238"/>
      <c r="PAD238"/>
      <c r="PAE238"/>
      <c r="PAF238"/>
      <c r="PAG238"/>
      <c r="PAH238"/>
      <c r="PAI238"/>
      <c r="PAJ238"/>
      <c r="PAK238"/>
      <c r="PAL238"/>
      <c r="PAM238"/>
      <c r="PAN238"/>
      <c r="PAO238"/>
      <c r="PAP238"/>
      <c r="PAQ238"/>
      <c r="PAR238"/>
      <c r="PAS238"/>
      <c r="PAT238"/>
      <c r="PAU238"/>
      <c r="PAV238"/>
      <c r="PAW238"/>
      <c r="PAX238"/>
      <c r="PAY238"/>
      <c r="PAZ238"/>
      <c r="PBA238"/>
      <c r="PBB238"/>
      <c r="PBC238"/>
      <c r="PBD238"/>
      <c r="PBE238"/>
      <c r="PBF238"/>
      <c r="PBG238"/>
      <c r="PBH238"/>
      <c r="PBI238"/>
      <c r="PBJ238"/>
      <c r="PBK238"/>
      <c r="PBL238"/>
      <c r="PBM238"/>
      <c r="PBN238"/>
      <c r="PBO238"/>
      <c r="PBP238"/>
      <c r="PBQ238"/>
      <c r="PBR238"/>
      <c r="PBS238"/>
      <c r="PBT238"/>
      <c r="PBU238"/>
      <c r="PBV238"/>
      <c r="PBW238"/>
      <c r="PBX238"/>
      <c r="PBY238"/>
      <c r="PBZ238"/>
      <c r="PCA238"/>
      <c r="PCB238"/>
      <c r="PCC238"/>
      <c r="PCD238"/>
      <c r="PCE238"/>
      <c r="PCF238"/>
      <c r="PCG238"/>
      <c r="PCH238"/>
      <c r="PCI238"/>
      <c r="PCJ238"/>
      <c r="PCK238"/>
      <c r="PCL238"/>
      <c r="PCM238"/>
      <c r="PCN238"/>
      <c r="PCO238"/>
      <c r="PCP238"/>
      <c r="PCQ238"/>
      <c r="PCR238"/>
      <c r="PCS238"/>
      <c r="PCT238"/>
      <c r="PCU238"/>
      <c r="PCV238"/>
      <c r="PCW238"/>
      <c r="PCX238"/>
      <c r="PCY238"/>
      <c r="PCZ238"/>
      <c r="PDA238"/>
      <c r="PDB238"/>
      <c r="PDC238"/>
      <c r="PDD238"/>
      <c r="PDE238"/>
      <c r="PDF238"/>
      <c r="PDG238"/>
      <c r="PDH238"/>
      <c r="PDI238"/>
      <c r="PDJ238"/>
      <c r="PDK238"/>
      <c r="PDL238"/>
      <c r="PDM238"/>
      <c r="PDN238"/>
      <c r="PDO238"/>
      <c r="PDP238"/>
      <c r="PDQ238"/>
      <c r="PDR238"/>
      <c r="PDS238"/>
      <c r="PDT238"/>
      <c r="PDU238"/>
      <c r="PDV238"/>
      <c r="PDW238"/>
      <c r="PDX238"/>
      <c r="PDY238"/>
      <c r="PDZ238"/>
      <c r="PEA238"/>
      <c r="PEB238"/>
      <c r="PEC238"/>
      <c r="PED238"/>
      <c r="PEE238"/>
      <c r="PEF238"/>
      <c r="PEG238"/>
      <c r="PEH238"/>
      <c r="PEI238"/>
      <c r="PEJ238"/>
      <c r="PEK238"/>
      <c r="PEL238"/>
      <c r="PEM238"/>
      <c r="PEN238"/>
      <c r="PEO238"/>
      <c r="PEP238"/>
      <c r="PEQ238"/>
      <c r="PER238"/>
      <c r="PES238"/>
      <c r="PET238"/>
      <c r="PEU238"/>
      <c r="PEV238"/>
      <c r="PEW238"/>
      <c r="PEX238"/>
      <c r="PEY238"/>
      <c r="PEZ238"/>
      <c r="PFA238"/>
      <c r="PFB238"/>
      <c r="PFC238"/>
      <c r="PFD238"/>
      <c r="PFE238"/>
      <c r="PFF238"/>
      <c r="PFG238"/>
      <c r="PFH238"/>
      <c r="PFI238"/>
      <c r="PFJ238"/>
      <c r="PFK238"/>
      <c r="PFL238"/>
      <c r="PFM238"/>
      <c r="PFN238"/>
      <c r="PFO238"/>
      <c r="PFP238"/>
      <c r="PFQ238"/>
      <c r="PFR238"/>
      <c r="PFS238"/>
      <c r="PFT238"/>
      <c r="PFU238"/>
      <c r="PFV238"/>
      <c r="PFW238"/>
      <c r="PFX238"/>
      <c r="PFY238"/>
      <c r="PFZ238"/>
      <c r="PGA238"/>
      <c r="PGB238"/>
      <c r="PGC238"/>
      <c r="PGD238"/>
      <c r="PGE238"/>
      <c r="PGF238"/>
      <c r="PGG238"/>
      <c r="PGH238"/>
      <c r="PGI238"/>
      <c r="PGJ238"/>
      <c r="PGK238"/>
      <c r="PGL238"/>
      <c r="PGM238"/>
      <c r="PGN238"/>
      <c r="PGO238"/>
      <c r="PGP238"/>
      <c r="PGQ238"/>
      <c r="PGR238"/>
      <c r="PGS238"/>
      <c r="PGT238"/>
      <c r="PGU238"/>
      <c r="PGV238"/>
      <c r="PGW238"/>
      <c r="PGX238"/>
      <c r="PGY238"/>
      <c r="PGZ238"/>
      <c r="PHA238"/>
      <c r="PHB238"/>
      <c r="PHC238"/>
      <c r="PHD238"/>
      <c r="PHE238"/>
      <c r="PHF238"/>
      <c r="PHG238"/>
      <c r="PHH238"/>
      <c r="PHI238"/>
      <c r="PHJ238"/>
      <c r="PHK238"/>
      <c r="PHL238"/>
      <c r="PHM238"/>
      <c r="PHN238"/>
      <c r="PHO238"/>
      <c r="PHP238"/>
      <c r="PHQ238"/>
      <c r="PHR238"/>
      <c r="PHS238"/>
      <c r="PHT238"/>
      <c r="PHU238"/>
      <c r="PHV238"/>
      <c r="PHW238"/>
      <c r="PHX238"/>
      <c r="PHY238"/>
      <c r="PHZ238"/>
      <c r="PIA238"/>
      <c r="PIB238"/>
      <c r="PIC238"/>
      <c r="PID238"/>
      <c r="PIE238"/>
      <c r="PIF238"/>
      <c r="PIG238"/>
      <c r="PIH238"/>
      <c r="PII238"/>
      <c r="PIJ238"/>
      <c r="PIK238"/>
      <c r="PIL238"/>
      <c r="PIM238"/>
      <c r="PIN238"/>
      <c r="PIO238"/>
      <c r="PIP238"/>
      <c r="PIQ238"/>
      <c r="PIR238"/>
      <c r="PIS238"/>
      <c r="PIT238"/>
      <c r="PIU238"/>
      <c r="PIV238"/>
      <c r="PIW238"/>
      <c r="PIX238"/>
      <c r="PIY238"/>
      <c r="PIZ238"/>
      <c r="PJA238"/>
      <c r="PJB238"/>
      <c r="PJC238"/>
      <c r="PJD238"/>
      <c r="PJE238"/>
      <c r="PJF238"/>
      <c r="PJG238"/>
      <c r="PJH238"/>
      <c r="PJI238"/>
      <c r="PJJ238"/>
      <c r="PJK238"/>
      <c r="PJL238"/>
      <c r="PJM238"/>
      <c r="PJN238"/>
      <c r="PJO238"/>
      <c r="PJP238"/>
      <c r="PJQ238"/>
      <c r="PJR238"/>
      <c r="PJS238"/>
      <c r="PJT238"/>
      <c r="PJU238"/>
      <c r="PJV238"/>
      <c r="PJW238"/>
      <c r="PJX238"/>
      <c r="PJY238"/>
      <c r="PJZ238"/>
      <c r="PKA238"/>
      <c r="PKB238"/>
      <c r="PKC238"/>
      <c r="PKD238"/>
      <c r="PKE238"/>
      <c r="PKF238"/>
      <c r="PKG238"/>
      <c r="PKH238"/>
      <c r="PKI238"/>
      <c r="PKJ238"/>
      <c r="PKK238"/>
      <c r="PKL238"/>
      <c r="PKM238"/>
      <c r="PKN238"/>
      <c r="PKO238"/>
      <c r="PKP238"/>
      <c r="PKQ238"/>
      <c r="PKR238"/>
      <c r="PKS238"/>
      <c r="PKT238"/>
      <c r="PKU238"/>
      <c r="PKV238"/>
      <c r="PKW238"/>
      <c r="PKX238"/>
      <c r="PKY238"/>
      <c r="PKZ238"/>
      <c r="PLA238"/>
      <c r="PLB238"/>
      <c r="PLC238"/>
      <c r="PLD238"/>
      <c r="PLE238"/>
      <c r="PLF238"/>
      <c r="PLG238"/>
      <c r="PLH238"/>
      <c r="PLI238"/>
      <c r="PLJ238"/>
      <c r="PLK238"/>
      <c r="PLL238"/>
      <c r="PLM238"/>
      <c r="PLN238"/>
      <c r="PLO238"/>
      <c r="PLP238"/>
      <c r="PLQ238"/>
      <c r="PLR238"/>
      <c r="PLS238"/>
      <c r="PLT238"/>
      <c r="PLU238"/>
      <c r="PLV238"/>
      <c r="PLW238"/>
      <c r="PLX238"/>
      <c r="PLY238"/>
      <c r="PLZ238"/>
      <c r="PMA238"/>
      <c r="PMB238"/>
      <c r="PMC238"/>
      <c r="PMD238"/>
      <c r="PME238"/>
      <c r="PMF238"/>
      <c r="PMG238"/>
      <c r="PMH238"/>
      <c r="PMI238"/>
      <c r="PMJ238"/>
      <c r="PMK238"/>
      <c r="PML238"/>
      <c r="PMM238"/>
      <c r="PMN238"/>
      <c r="PMO238"/>
      <c r="PMP238"/>
      <c r="PMQ238"/>
      <c r="PMR238"/>
      <c r="PMS238"/>
      <c r="PMT238"/>
      <c r="PMU238"/>
      <c r="PMV238"/>
      <c r="PMW238"/>
      <c r="PMX238"/>
      <c r="PMY238"/>
      <c r="PMZ238"/>
      <c r="PNA238"/>
      <c r="PNB238"/>
      <c r="PNC238"/>
      <c r="PND238"/>
      <c r="PNE238"/>
      <c r="PNF238"/>
      <c r="PNG238"/>
      <c r="PNH238"/>
      <c r="PNI238"/>
      <c r="PNJ238"/>
      <c r="PNK238"/>
      <c r="PNL238"/>
      <c r="PNM238"/>
      <c r="PNN238"/>
      <c r="PNO238"/>
      <c r="PNP238"/>
      <c r="PNQ238"/>
      <c r="PNR238"/>
      <c r="PNS238"/>
      <c r="PNT238"/>
      <c r="PNU238"/>
      <c r="PNV238"/>
      <c r="PNW238"/>
      <c r="PNX238"/>
      <c r="PNY238"/>
      <c r="PNZ238"/>
      <c r="POA238"/>
      <c r="POB238"/>
      <c r="POC238"/>
      <c r="POD238"/>
      <c r="POE238"/>
      <c r="POF238"/>
      <c r="POG238"/>
      <c r="POH238"/>
      <c r="POI238"/>
      <c r="POJ238"/>
      <c r="POK238"/>
      <c r="POL238"/>
      <c r="POM238"/>
      <c r="PON238"/>
      <c r="POO238"/>
      <c r="POP238"/>
      <c r="POQ238"/>
      <c r="POR238"/>
      <c r="POS238"/>
      <c r="POT238"/>
      <c r="POU238"/>
      <c r="POV238"/>
      <c r="POW238"/>
      <c r="POX238"/>
      <c r="POY238"/>
      <c r="POZ238"/>
      <c r="PPA238"/>
      <c r="PPB238"/>
      <c r="PPC238"/>
      <c r="PPD238"/>
      <c r="PPE238"/>
      <c r="PPF238"/>
      <c r="PPG238"/>
      <c r="PPH238"/>
      <c r="PPI238"/>
      <c r="PPJ238"/>
      <c r="PPK238"/>
      <c r="PPL238"/>
      <c r="PPM238"/>
      <c r="PPN238"/>
      <c r="PPO238"/>
      <c r="PPP238"/>
      <c r="PPQ238"/>
      <c r="PPR238"/>
      <c r="PPS238"/>
      <c r="PPT238"/>
      <c r="PPU238"/>
      <c r="PPV238"/>
      <c r="PPW238"/>
      <c r="PPX238"/>
      <c r="PPY238"/>
      <c r="PPZ238"/>
      <c r="PQA238"/>
      <c r="PQB238"/>
      <c r="PQC238"/>
      <c r="PQD238"/>
      <c r="PQE238"/>
      <c r="PQF238"/>
      <c r="PQG238"/>
      <c r="PQH238"/>
      <c r="PQI238"/>
      <c r="PQJ238"/>
      <c r="PQK238"/>
      <c r="PQL238"/>
      <c r="PQM238"/>
      <c r="PQN238"/>
      <c r="PQO238"/>
      <c r="PQP238"/>
      <c r="PQQ238"/>
      <c r="PQR238"/>
      <c r="PQS238"/>
      <c r="PQT238"/>
      <c r="PQU238"/>
      <c r="PQV238"/>
      <c r="PQW238"/>
      <c r="PQX238"/>
      <c r="PQY238"/>
      <c r="PQZ238"/>
      <c r="PRA238"/>
      <c r="PRB238"/>
      <c r="PRC238"/>
      <c r="PRD238"/>
      <c r="PRE238"/>
      <c r="PRF238"/>
      <c r="PRG238"/>
      <c r="PRH238"/>
      <c r="PRI238"/>
      <c r="PRJ238"/>
      <c r="PRK238"/>
      <c r="PRL238"/>
      <c r="PRM238"/>
      <c r="PRN238"/>
      <c r="PRO238"/>
      <c r="PRP238"/>
      <c r="PRQ238"/>
      <c r="PRR238"/>
      <c r="PRS238"/>
      <c r="PRT238"/>
      <c r="PRU238"/>
      <c r="PRV238"/>
      <c r="PRW238"/>
      <c r="PRX238"/>
      <c r="PRY238"/>
      <c r="PRZ238"/>
      <c r="PSA238"/>
      <c r="PSB238"/>
      <c r="PSC238"/>
      <c r="PSD238"/>
      <c r="PSE238"/>
      <c r="PSF238"/>
      <c r="PSG238"/>
      <c r="PSH238"/>
      <c r="PSI238"/>
      <c r="PSJ238"/>
      <c r="PSK238"/>
      <c r="PSL238"/>
      <c r="PSM238"/>
      <c r="PSN238"/>
      <c r="PSO238"/>
      <c r="PSP238"/>
      <c r="PSQ238"/>
      <c r="PSR238"/>
      <c r="PSS238"/>
      <c r="PST238"/>
      <c r="PSU238"/>
      <c r="PSV238"/>
      <c r="PSW238"/>
      <c r="PSX238"/>
      <c r="PSY238"/>
      <c r="PSZ238"/>
      <c r="PTA238"/>
      <c r="PTB238"/>
      <c r="PTC238"/>
      <c r="PTD238"/>
      <c r="PTE238"/>
      <c r="PTF238"/>
      <c r="PTG238"/>
      <c r="PTH238"/>
      <c r="PTI238"/>
      <c r="PTJ238"/>
      <c r="PTK238"/>
      <c r="PTL238"/>
      <c r="PTM238"/>
      <c r="PTN238"/>
      <c r="PTO238"/>
      <c r="PTP238"/>
      <c r="PTQ238"/>
      <c r="PTR238"/>
      <c r="PTS238"/>
      <c r="PTT238"/>
      <c r="PTU238"/>
      <c r="PTV238"/>
      <c r="PTW238"/>
      <c r="PTX238"/>
      <c r="PTY238"/>
      <c r="PTZ238"/>
      <c r="PUA238"/>
      <c r="PUB238"/>
      <c r="PUC238"/>
      <c r="PUD238"/>
      <c r="PUE238"/>
      <c r="PUF238"/>
      <c r="PUG238"/>
      <c r="PUH238"/>
      <c r="PUI238"/>
      <c r="PUJ238"/>
      <c r="PUK238"/>
      <c r="PUL238"/>
      <c r="PUM238"/>
      <c r="PUN238"/>
      <c r="PUO238"/>
      <c r="PUP238"/>
      <c r="PUQ238"/>
      <c r="PUR238"/>
      <c r="PUS238"/>
      <c r="PUT238"/>
      <c r="PUU238"/>
      <c r="PUV238"/>
      <c r="PUW238"/>
      <c r="PUX238"/>
      <c r="PUY238"/>
      <c r="PUZ238"/>
      <c r="PVA238"/>
      <c r="PVB238"/>
      <c r="PVC238"/>
      <c r="PVD238"/>
      <c r="PVE238"/>
      <c r="PVF238"/>
      <c r="PVG238"/>
      <c r="PVH238"/>
      <c r="PVI238"/>
      <c r="PVJ238"/>
      <c r="PVK238"/>
      <c r="PVL238"/>
      <c r="PVM238"/>
      <c r="PVN238"/>
      <c r="PVO238"/>
      <c r="PVP238"/>
      <c r="PVQ238"/>
      <c r="PVR238"/>
      <c r="PVS238"/>
      <c r="PVT238"/>
      <c r="PVU238"/>
      <c r="PVV238"/>
      <c r="PVW238"/>
      <c r="PVX238"/>
      <c r="PVY238"/>
      <c r="PVZ238"/>
      <c r="PWA238"/>
      <c r="PWB238"/>
      <c r="PWC238"/>
      <c r="PWD238"/>
      <c r="PWE238"/>
      <c r="PWF238"/>
      <c r="PWG238"/>
      <c r="PWH238"/>
      <c r="PWI238"/>
      <c r="PWJ238"/>
      <c r="PWK238"/>
      <c r="PWL238"/>
      <c r="PWM238"/>
      <c r="PWN238"/>
      <c r="PWO238"/>
      <c r="PWP238"/>
      <c r="PWQ238"/>
      <c r="PWR238"/>
      <c r="PWS238"/>
      <c r="PWT238"/>
      <c r="PWU238"/>
      <c r="PWV238"/>
      <c r="PWW238"/>
      <c r="PWX238"/>
      <c r="PWY238"/>
      <c r="PWZ238"/>
      <c r="PXA238"/>
      <c r="PXB238"/>
      <c r="PXC238"/>
      <c r="PXD238"/>
      <c r="PXE238"/>
      <c r="PXF238"/>
      <c r="PXG238"/>
      <c r="PXH238"/>
      <c r="PXI238"/>
      <c r="PXJ238"/>
      <c r="PXK238"/>
      <c r="PXL238"/>
      <c r="PXM238"/>
      <c r="PXN238"/>
      <c r="PXO238"/>
      <c r="PXP238"/>
      <c r="PXQ238"/>
      <c r="PXR238"/>
      <c r="PXS238"/>
      <c r="PXT238"/>
      <c r="PXU238"/>
      <c r="PXV238"/>
      <c r="PXW238"/>
      <c r="PXX238"/>
      <c r="PXY238"/>
      <c r="PXZ238"/>
      <c r="PYA238"/>
      <c r="PYB238"/>
      <c r="PYC238"/>
      <c r="PYD238"/>
      <c r="PYE238"/>
      <c r="PYF238"/>
      <c r="PYG238"/>
      <c r="PYH238"/>
      <c r="PYI238"/>
      <c r="PYJ238"/>
      <c r="PYK238"/>
      <c r="PYL238"/>
      <c r="PYM238"/>
      <c r="PYN238"/>
      <c r="PYO238"/>
      <c r="PYP238"/>
      <c r="PYQ238"/>
      <c r="PYR238"/>
      <c r="PYS238"/>
      <c r="PYT238"/>
      <c r="PYU238"/>
      <c r="PYV238"/>
      <c r="PYW238"/>
      <c r="PYX238"/>
      <c r="PYY238"/>
      <c r="PYZ238"/>
      <c r="PZA238"/>
      <c r="PZB238"/>
      <c r="PZC238"/>
      <c r="PZD238"/>
      <c r="PZE238"/>
      <c r="PZF238"/>
      <c r="PZG238"/>
      <c r="PZH238"/>
      <c r="PZI238"/>
      <c r="PZJ238"/>
      <c r="PZK238"/>
      <c r="PZL238"/>
      <c r="PZM238"/>
      <c r="PZN238"/>
      <c r="PZO238"/>
      <c r="PZP238"/>
      <c r="PZQ238"/>
      <c r="PZR238"/>
      <c r="PZS238"/>
      <c r="PZT238"/>
      <c r="PZU238"/>
      <c r="PZV238"/>
      <c r="PZW238"/>
      <c r="PZX238"/>
      <c r="PZY238"/>
      <c r="PZZ238"/>
      <c r="QAA238"/>
      <c r="QAB238"/>
      <c r="QAC238"/>
      <c r="QAD238"/>
      <c r="QAE238"/>
      <c r="QAF238"/>
      <c r="QAG238"/>
      <c r="QAH238"/>
      <c r="QAI238"/>
      <c r="QAJ238"/>
      <c r="QAK238"/>
      <c r="QAL238"/>
      <c r="QAM238"/>
      <c r="QAN238"/>
      <c r="QAO238"/>
      <c r="QAP238"/>
      <c r="QAQ238"/>
      <c r="QAR238"/>
      <c r="QAS238"/>
      <c r="QAT238"/>
      <c r="QAU238"/>
      <c r="QAV238"/>
      <c r="QAW238"/>
      <c r="QAX238"/>
      <c r="QAY238"/>
      <c r="QAZ238"/>
      <c r="QBA238"/>
      <c r="QBB238"/>
      <c r="QBC238"/>
      <c r="QBD238"/>
      <c r="QBE238"/>
      <c r="QBF238"/>
      <c r="QBG238"/>
      <c r="QBH238"/>
      <c r="QBI238"/>
      <c r="QBJ238"/>
      <c r="QBK238"/>
      <c r="QBL238"/>
      <c r="QBM238"/>
      <c r="QBN238"/>
      <c r="QBO238"/>
      <c r="QBP238"/>
      <c r="QBQ238"/>
      <c r="QBR238"/>
      <c r="QBS238"/>
      <c r="QBT238"/>
      <c r="QBU238"/>
      <c r="QBV238"/>
      <c r="QBW238"/>
      <c r="QBX238"/>
      <c r="QBY238"/>
      <c r="QBZ238"/>
      <c r="QCA238"/>
      <c r="QCB238"/>
      <c r="QCC238"/>
      <c r="QCD238"/>
      <c r="QCE238"/>
      <c r="QCF238"/>
      <c r="QCG238"/>
      <c r="QCH238"/>
      <c r="QCI238"/>
      <c r="QCJ238"/>
      <c r="QCK238"/>
      <c r="QCL238"/>
      <c r="QCM238"/>
      <c r="QCN238"/>
      <c r="QCO238"/>
      <c r="QCP238"/>
      <c r="QCQ238"/>
      <c r="QCR238"/>
      <c r="QCS238"/>
      <c r="QCT238"/>
      <c r="QCU238"/>
      <c r="QCV238"/>
      <c r="QCW238"/>
      <c r="QCX238"/>
      <c r="QCY238"/>
      <c r="QCZ238"/>
      <c r="QDA238"/>
      <c r="QDB238"/>
      <c r="QDC238"/>
      <c r="QDD238"/>
      <c r="QDE238"/>
      <c r="QDF238"/>
      <c r="QDG238"/>
      <c r="QDH238"/>
      <c r="QDI238"/>
      <c r="QDJ238"/>
      <c r="QDK238"/>
      <c r="QDL238"/>
      <c r="QDM238"/>
      <c r="QDN238"/>
      <c r="QDO238"/>
      <c r="QDP238"/>
      <c r="QDQ238"/>
      <c r="QDR238"/>
      <c r="QDS238"/>
      <c r="QDT238"/>
      <c r="QDU238"/>
      <c r="QDV238"/>
      <c r="QDW238"/>
      <c r="QDX238"/>
      <c r="QDY238"/>
      <c r="QDZ238"/>
      <c r="QEA238"/>
      <c r="QEB238"/>
      <c r="QEC238"/>
      <c r="QED238"/>
      <c r="QEE238"/>
      <c r="QEF238"/>
      <c r="QEG238"/>
      <c r="QEH238"/>
      <c r="QEI238"/>
      <c r="QEJ238"/>
      <c r="QEK238"/>
      <c r="QEL238"/>
      <c r="QEM238"/>
      <c r="QEN238"/>
      <c r="QEO238"/>
      <c r="QEP238"/>
      <c r="QEQ238"/>
      <c r="QER238"/>
      <c r="QES238"/>
      <c r="QET238"/>
      <c r="QEU238"/>
      <c r="QEV238"/>
      <c r="QEW238"/>
      <c r="QEX238"/>
      <c r="QEY238"/>
      <c r="QEZ238"/>
      <c r="QFA238"/>
      <c r="QFB238"/>
      <c r="QFC238"/>
      <c r="QFD238"/>
      <c r="QFE238"/>
      <c r="QFF238"/>
      <c r="QFG238"/>
      <c r="QFH238"/>
      <c r="QFI238"/>
      <c r="QFJ238"/>
      <c r="QFK238"/>
      <c r="QFL238"/>
      <c r="QFM238"/>
      <c r="QFN238"/>
      <c r="QFO238"/>
      <c r="QFP238"/>
      <c r="QFQ238"/>
      <c r="QFR238"/>
      <c r="QFS238"/>
      <c r="QFT238"/>
      <c r="QFU238"/>
      <c r="QFV238"/>
      <c r="QFW238"/>
      <c r="QFX238"/>
      <c r="QFY238"/>
      <c r="QFZ238"/>
      <c r="QGA238"/>
      <c r="QGB238"/>
      <c r="QGC238"/>
      <c r="QGD238"/>
      <c r="QGE238"/>
      <c r="QGF238"/>
      <c r="QGG238"/>
      <c r="QGH238"/>
      <c r="QGI238"/>
      <c r="QGJ238"/>
      <c r="QGK238"/>
      <c r="QGL238"/>
      <c r="QGM238"/>
      <c r="QGN238"/>
      <c r="QGO238"/>
      <c r="QGP238"/>
      <c r="QGQ238"/>
      <c r="QGR238"/>
      <c r="QGS238"/>
      <c r="QGT238"/>
      <c r="QGU238"/>
      <c r="QGV238"/>
      <c r="QGW238"/>
      <c r="QGX238"/>
      <c r="QGY238"/>
      <c r="QGZ238"/>
      <c r="QHA238"/>
      <c r="QHB238"/>
      <c r="QHC238"/>
      <c r="QHD238"/>
      <c r="QHE238"/>
      <c r="QHF238"/>
      <c r="QHG238"/>
      <c r="QHH238"/>
      <c r="QHI238"/>
      <c r="QHJ238"/>
      <c r="QHK238"/>
      <c r="QHL238"/>
      <c r="QHM238"/>
      <c r="QHN238"/>
      <c r="QHO238"/>
      <c r="QHP238"/>
      <c r="QHQ238"/>
      <c r="QHR238"/>
      <c r="QHS238"/>
      <c r="QHT238"/>
      <c r="QHU238"/>
      <c r="QHV238"/>
      <c r="QHW238"/>
      <c r="QHX238"/>
      <c r="QHY238"/>
      <c r="QHZ238"/>
      <c r="QIA238"/>
      <c r="QIB238"/>
      <c r="QIC238"/>
      <c r="QID238"/>
      <c r="QIE238"/>
      <c r="QIF238"/>
      <c r="QIG238"/>
      <c r="QIH238"/>
      <c r="QII238"/>
      <c r="QIJ238"/>
      <c r="QIK238"/>
      <c r="QIL238"/>
      <c r="QIM238"/>
      <c r="QIN238"/>
      <c r="QIO238"/>
      <c r="QIP238"/>
      <c r="QIQ238"/>
      <c r="QIR238"/>
      <c r="QIS238"/>
      <c r="QIT238"/>
      <c r="QIU238"/>
      <c r="QIV238"/>
      <c r="QIW238"/>
      <c r="QIX238"/>
      <c r="QIY238"/>
      <c r="QIZ238"/>
      <c r="QJA238"/>
      <c r="QJB238"/>
      <c r="QJC238"/>
      <c r="QJD238"/>
      <c r="QJE238"/>
      <c r="QJF238"/>
      <c r="QJG238"/>
      <c r="QJH238"/>
      <c r="QJI238"/>
      <c r="QJJ238"/>
      <c r="QJK238"/>
      <c r="QJL238"/>
      <c r="QJM238"/>
      <c r="QJN238"/>
      <c r="QJO238"/>
      <c r="QJP238"/>
      <c r="QJQ238"/>
      <c r="QJR238"/>
      <c r="QJS238"/>
      <c r="QJT238"/>
      <c r="QJU238"/>
      <c r="QJV238"/>
      <c r="QJW238"/>
      <c r="QJX238"/>
      <c r="QJY238"/>
      <c r="QJZ238"/>
      <c r="QKA238"/>
      <c r="QKB238"/>
      <c r="QKC238"/>
      <c r="QKD238"/>
      <c r="QKE238"/>
      <c r="QKF238"/>
      <c r="QKG238"/>
      <c r="QKH238"/>
      <c r="QKI238"/>
      <c r="QKJ238"/>
      <c r="QKK238"/>
      <c r="QKL238"/>
      <c r="QKM238"/>
      <c r="QKN238"/>
      <c r="QKO238"/>
      <c r="QKP238"/>
      <c r="QKQ238"/>
      <c r="QKR238"/>
      <c r="QKS238"/>
      <c r="QKT238"/>
      <c r="QKU238"/>
      <c r="QKV238"/>
      <c r="QKW238"/>
      <c r="QKX238"/>
      <c r="QKY238"/>
      <c r="QKZ238"/>
      <c r="QLA238"/>
      <c r="QLB238"/>
      <c r="QLC238"/>
      <c r="QLD238"/>
      <c r="QLE238"/>
      <c r="QLF238"/>
      <c r="QLG238"/>
      <c r="QLH238"/>
      <c r="QLI238"/>
      <c r="QLJ238"/>
      <c r="QLK238"/>
      <c r="QLL238"/>
      <c r="QLM238"/>
      <c r="QLN238"/>
      <c r="QLO238"/>
      <c r="QLP238"/>
      <c r="QLQ238"/>
      <c r="QLR238"/>
      <c r="QLS238"/>
      <c r="QLT238"/>
      <c r="QLU238"/>
      <c r="QLV238"/>
      <c r="QLW238"/>
      <c r="QLX238"/>
      <c r="QLY238"/>
      <c r="QLZ238"/>
      <c r="QMA238"/>
      <c r="QMB238"/>
      <c r="QMC238"/>
      <c r="QMD238"/>
      <c r="QME238"/>
      <c r="QMF238"/>
      <c r="QMG238"/>
      <c r="QMH238"/>
      <c r="QMI238"/>
      <c r="QMJ238"/>
      <c r="QMK238"/>
      <c r="QML238"/>
      <c r="QMM238"/>
      <c r="QMN238"/>
      <c r="QMO238"/>
      <c r="QMP238"/>
      <c r="QMQ238"/>
      <c r="QMR238"/>
      <c r="QMS238"/>
      <c r="QMT238"/>
      <c r="QMU238"/>
      <c r="QMV238"/>
      <c r="QMW238"/>
      <c r="QMX238"/>
      <c r="QMY238"/>
      <c r="QMZ238"/>
      <c r="QNA238"/>
      <c r="QNB238"/>
      <c r="QNC238"/>
      <c r="QND238"/>
      <c r="QNE238"/>
      <c r="QNF238"/>
      <c r="QNG238"/>
      <c r="QNH238"/>
      <c r="QNI238"/>
      <c r="QNJ238"/>
      <c r="QNK238"/>
      <c r="QNL238"/>
      <c r="QNM238"/>
      <c r="QNN238"/>
      <c r="QNO238"/>
      <c r="QNP238"/>
      <c r="QNQ238"/>
      <c r="QNR238"/>
      <c r="QNS238"/>
      <c r="QNT238"/>
      <c r="QNU238"/>
      <c r="QNV238"/>
      <c r="QNW238"/>
      <c r="QNX238"/>
      <c r="QNY238"/>
      <c r="QNZ238"/>
      <c r="QOA238"/>
      <c r="QOB238"/>
      <c r="QOC238"/>
      <c r="QOD238"/>
      <c r="QOE238"/>
      <c r="QOF238"/>
      <c r="QOG238"/>
      <c r="QOH238"/>
      <c r="QOI238"/>
      <c r="QOJ238"/>
      <c r="QOK238"/>
      <c r="QOL238"/>
      <c r="QOM238"/>
      <c r="QON238"/>
      <c r="QOO238"/>
      <c r="QOP238"/>
      <c r="QOQ238"/>
      <c r="QOR238"/>
      <c r="QOS238"/>
      <c r="QOT238"/>
      <c r="QOU238"/>
      <c r="QOV238"/>
      <c r="QOW238"/>
      <c r="QOX238"/>
      <c r="QOY238"/>
      <c r="QOZ238"/>
      <c r="QPA238"/>
      <c r="QPB238"/>
      <c r="QPC238"/>
      <c r="QPD238"/>
      <c r="QPE238"/>
      <c r="QPF238"/>
      <c r="QPG238"/>
      <c r="QPH238"/>
      <c r="QPI238"/>
      <c r="QPJ238"/>
      <c r="QPK238"/>
      <c r="QPL238"/>
      <c r="QPM238"/>
      <c r="QPN238"/>
      <c r="QPO238"/>
      <c r="QPP238"/>
      <c r="QPQ238"/>
      <c r="QPR238"/>
      <c r="QPS238"/>
      <c r="QPT238"/>
      <c r="QPU238"/>
      <c r="QPV238"/>
      <c r="QPW238"/>
      <c r="QPX238"/>
      <c r="QPY238"/>
      <c r="QPZ238"/>
      <c r="QQA238"/>
      <c r="QQB238"/>
      <c r="QQC238"/>
      <c r="QQD238"/>
      <c r="QQE238"/>
      <c r="QQF238"/>
      <c r="QQG238"/>
      <c r="QQH238"/>
      <c r="QQI238"/>
      <c r="QQJ238"/>
      <c r="QQK238"/>
      <c r="QQL238"/>
      <c r="QQM238"/>
      <c r="QQN238"/>
      <c r="QQO238"/>
      <c r="QQP238"/>
      <c r="QQQ238"/>
      <c r="QQR238"/>
      <c r="QQS238"/>
      <c r="QQT238"/>
      <c r="QQU238"/>
      <c r="QQV238"/>
      <c r="QQW238"/>
      <c r="QQX238"/>
      <c r="QQY238"/>
      <c r="QQZ238"/>
      <c r="QRA238"/>
      <c r="QRB238"/>
      <c r="QRC238"/>
      <c r="QRD238"/>
      <c r="QRE238"/>
      <c r="QRF238"/>
      <c r="QRG238"/>
      <c r="QRH238"/>
      <c r="QRI238"/>
      <c r="QRJ238"/>
      <c r="QRK238"/>
      <c r="QRL238"/>
      <c r="QRM238"/>
      <c r="QRN238"/>
      <c r="QRO238"/>
      <c r="QRP238"/>
      <c r="QRQ238"/>
      <c r="QRR238"/>
      <c r="QRS238"/>
      <c r="QRT238"/>
      <c r="QRU238"/>
      <c r="QRV238"/>
      <c r="QRW238"/>
      <c r="QRX238"/>
      <c r="QRY238"/>
      <c r="QRZ238"/>
      <c r="QSA238"/>
      <c r="QSB238"/>
      <c r="QSC238"/>
      <c r="QSD238"/>
      <c r="QSE238"/>
      <c r="QSF238"/>
      <c r="QSG238"/>
      <c r="QSH238"/>
      <c r="QSI238"/>
      <c r="QSJ238"/>
      <c r="QSK238"/>
      <c r="QSL238"/>
      <c r="QSM238"/>
      <c r="QSN238"/>
      <c r="QSO238"/>
      <c r="QSP238"/>
      <c r="QSQ238"/>
      <c r="QSR238"/>
      <c r="QSS238"/>
      <c r="QST238"/>
      <c r="QSU238"/>
      <c r="QSV238"/>
      <c r="QSW238"/>
      <c r="QSX238"/>
      <c r="QSY238"/>
      <c r="QSZ238"/>
      <c r="QTA238"/>
      <c r="QTB238"/>
      <c r="QTC238"/>
      <c r="QTD238"/>
      <c r="QTE238"/>
      <c r="QTF238"/>
      <c r="QTG238"/>
      <c r="QTH238"/>
      <c r="QTI238"/>
      <c r="QTJ238"/>
      <c r="QTK238"/>
      <c r="QTL238"/>
      <c r="QTM238"/>
      <c r="QTN238"/>
      <c r="QTO238"/>
      <c r="QTP238"/>
      <c r="QTQ238"/>
      <c r="QTR238"/>
      <c r="QTS238"/>
      <c r="QTT238"/>
      <c r="QTU238"/>
      <c r="QTV238"/>
      <c r="QTW238"/>
      <c r="QTX238"/>
      <c r="QTY238"/>
      <c r="QTZ238"/>
      <c r="QUA238"/>
      <c r="QUB238"/>
      <c r="QUC238"/>
      <c r="QUD238"/>
      <c r="QUE238"/>
      <c r="QUF238"/>
      <c r="QUG238"/>
      <c r="QUH238"/>
      <c r="QUI238"/>
      <c r="QUJ238"/>
      <c r="QUK238"/>
      <c r="QUL238"/>
      <c r="QUM238"/>
      <c r="QUN238"/>
      <c r="QUO238"/>
      <c r="QUP238"/>
      <c r="QUQ238"/>
      <c r="QUR238"/>
      <c r="QUS238"/>
      <c r="QUT238"/>
      <c r="QUU238"/>
      <c r="QUV238"/>
      <c r="QUW238"/>
      <c r="QUX238"/>
      <c r="QUY238"/>
      <c r="QUZ238"/>
      <c r="QVA238"/>
      <c r="QVB238"/>
      <c r="QVC238"/>
      <c r="QVD238"/>
      <c r="QVE238"/>
      <c r="QVF238"/>
      <c r="QVG238"/>
      <c r="QVH238"/>
      <c r="QVI238"/>
      <c r="QVJ238"/>
      <c r="QVK238"/>
      <c r="QVL238"/>
      <c r="QVM238"/>
      <c r="QVN238"/>
      <c r="QVO238"/>
      <c r="QVP238"/>
      <c r="QVQ238"/>
      <c r="QVR238"/>
      <c r="QVS238"/>
      <c r="QVT238"/>
      <c r="QVU238"/>
      <c r="QVV238"/>
      <c r="QVW238"/>
      <c r="QVX238"/>
      <c r="QVY238"/>
      <c r="QVZ238"/>
      <c r="QWA238"/>
      <c r="QWB238"/>
      <c r="QWC238"/>
      <c r="QWD238"/>
      <c r="QWE238"/>
      <c r="QWF238"/>
      <c r="QWG238"/>
      <c r="QWH238"/>
      <c r="QWI238"/>
      <c r="QWJ238"/>
      <c r="QWK238"/>
      <c r="QWL238"/>
      <c r="QWM238"/>
      <c r="QWN238"/>
      <c r="QWO238"/>
      <c r="QWP238"/>
      <c r="QWQ238"/>
      <c r="QWR238"/>
      <c r="QWS238"/>
      <c r="QWT238"/>
      <c r="QWU238"/>
      <c r="QWV238"/>
      <c r="QWW238"/>
      <c r="QWX238"/>
      <c r="QWY238"/>
      <c r="QWZ238"/>
      <c r="QXA238"/>
      <c r="QXB238"/>
      <c r="QXC238"/>
      <c r="QXD238"/>
      <c r="QXE238"/>
      <c r="QXF238"/>
      <c r="QXG238"/>
      <c r="QXH238"/>
      <c r="QXI238"/>
      <c r="QXJ238"/>
      <c r="QXK238"/>
      <c r="QXL238"/>
      <c r="QXM238"/>
      <c r="QXN238"/>
      <c r="QXO238"/>
      <c r="QXP238"/>
      <c r="QXQ238"/>
      <c r="QXR238"/>
      <c r="QXS238"/>
      <c r="QXT238"/>
      <c r="QXU238"/>
      <c r="QXV238"/>
      <c r="QXW238"/>
      <c r="QXX238"/>
      <c r="QXY238"/>
      <c r="QXZ238"/>
      <c r="QYA238"/>
      <c r="QYB238"/>
      <c r="QYC238"/>
      <c r="QYD238"/>
      <c r="QYE238"/>
      <c r="QYF238"/>
      <c r="QYG238"/>
      <c r="QYH238"/>
      <c r="QYI238"/>
      <c r="QYJ238"/>
      <c r="QYK238"/>
      <c r="QYL238"/>
      <c r="QYM238"/>
      <c r="QYN238"/>
      <c r="QYO238"/>
      <c r="QYP238"/>
      <c r="QYQ238"/>
      <c r="QYR238"/>
      <c r="QYS238"/>
      <c r="QYT238"/>
      <c r="QYU238"/>
      <c r="QYV238"/>
      <c r="QYW238"/>
      <c r="QYX238"/>
      <c r="QYY238"/>
      <c r="QYZ238"/>
      <c r="QZA238"/>
      <c r="QZB238"/>
      <c r="QZC238"/>
      <c r="QZD238"/>
      <c r="QZE238"/>
      <c r="QZF238"/>
      <c r="QZG238"/>
      <c r="QZH238"/>
      <c r="QZI238"/>
      <c r="QZJ238"/>
      <c r="QZK238"/>
      <c r="QZL238"/>
      <c r="QZM238"/>
      <c r="QZN238"/>
      <c r="QZO238"/>
      <c r="QZP238"/>
      <c r="QZQ238"/>
      <c r="QZR238"/>
      <c r="QZS238"/>
      <c r="QZT238"/>
      <c r="QZU238"/>
      <c r="QZV238"/>
      <c r="QZW238"/>
      <c r="QZX238"/>
      <c r="QZY238"/>
      <c r="QZZ238"/>
      <c r="RAA238"/>
      <c r="RAB238"/>
      <c r="RAC238"/>
      <c r="RAD238"/>
      <c r="RAE238"/>
      <c r="RAF238"/>
      <c r="RAG238"/>
      <c r="RAH238"/>
      <c r="RAI238"/>
      <c r="RAJ238"/>
      <c r="RAK238"/>
      <c r="RAL238"/>
      <c r="RAM238"/>
      <c r="RAN238"/>
      <c r="RAO238"/>
      <c r="RAP238"/>
      <c r="RAQ238"/>
      <c r="RAR238"/>
      <c r="RAS238"/>
      <c r="RAT238"/>
      <c r="RAU238"/>
      <c r="RAV238"/>
      <c r="RAW238"/>
      <c r="RAX238"/>
      <c r="RAY238"/>
      <c r="RAZ238"/>
      <c r="RBA238"/>
      <c r="RBB238"/>
      <c r="RBC238"/>
      <c r="RBD238"/>
      <c r="RBE238"/>
      <c r="RBF238"/>
      <c r="RBG238"/>
      <c r="RBH238"/>
      <c r="RBI238"/>
      <c r="RBJ238"/>
      <c r="RBK238"/>
      <c r="RBL238"/>
      <c r="RBM238"/>
      <c r="RBN238"/>
      <c r="RBO238"/>
      <c r="RBP238"/>
      <c r="RBQ238"/>
      <c r="RBR238"/>
      <c r="RBS238"/>
      <c r="RBT238"/>
      <c r="RBU238"/>
      <c r="RBV238"/>
      <c r="RBW238"/>
      <c r="RBX238"/>
      <c r="RBY238"/>
      <c r="RBZ238"/>
      <c r="RCA238"/>
      <c r="RCB238"/>
      <c r="RCC238"/>
      <c r="RCD238"/>
      <c r="RCE238"/>
      <c r="RCF238"/>
      <c r="RCG238"/>
      <c r="RCH238"/>
      <c r="RCI238"/>
      <c r="RCJ238"/>
      <c r="RCK238"/>
      <c r="RCL238"/>
      <c r="RCM238"/>
      <c r="RCN238"/>
      <c r="RCO238"/>
      <c r="RCP238"/>
      <c r="RCQ238"/>
      <c r="RCR238"/>
      <c r="RCS238"/>
      <c r="RCT238"/>
      <c r="RCU238"/>
      <c r="RCV238"/>
      <c r="RCW238"/>
      <c r="RCX238"/>
      <c r="RCY238"/>
      <c r="RCZ238"/>
      <c r="RDA238"/>
      <c r="RDB238"/>
      <c r="RDC238"/>
      <c r="RDD238"/>
      <c r="RDE238"/>
      <c r="RDF238"/>
      <c r="RDG238"/>
      <c r="RDH238"/>
      <c r="RDI238"/>
      <c r="RDJ238"/>
      <c r="RDK238"/>
      <c r="RDL238"/>
      <c r="RDM238"/>
      <c r="RDN238"/>
      <c r="RDO238"/>
      <c r="RDP238"/>
      <c r="RDQ238"/>
      <c r="RDR238"/>
      <c r="RDS238"/>
      <c r="RDT238"/>
      <c r="RDU238"/>
      <c r="RDV238"/>
      <c r="RDW238"/>
      <c r="RDX238"/>
      <c r="RDY238"/>
      <c r="RDZ238"/>
      <c r="REA238"/>
      <c r="REB238"/>
      <c r="REC238"/>
      <c r="RED238"/>
      <c r="REE238"/>
      <c r="REF238"/>
      <c r="REG238"/>
      <c r="REH238"/>
      <c r="REI238"/>
      <c r="REJ238"/>
      <c r="REK238"/>
      <c r="REL238"/>
      <c r="REM238"/>
      <c r="REN238"/>
      <c r="REO238"/>
      <c r="REP238"/>
      <c r="REQ238"/>
      <c r="RER238"/>
      <c r="RES238"/>
      <c r="RET238"/>
      <c r="REU238"/>
      <c r="REV238"/>
      <c r="REW238"/>
      <c r="REX238"/>
      <c r="REY238"/>
      <c r="REZ238"/>
      <c r="RFA238"/>
      <c r="RFB238"/>
      <c r="RFC238"/>
      <c r="RFD238"/>
      <c r="RFE238"/>
      <c r="RFF238"/>
      <c r="RFG238"/>
      <c r="RFH238"/>
      <c r="RFI238"/>
      <c r="RFJ238"/>
      <c r="RFK238"/>
      <c r="RFL238"/>
      <c r="RFM238"/>
      <c r="RFN238"/>
      <c r="RFO238"/>
      <c r="RFP238"/>
      <c r="RFQ238"/>
      <c r="RFR238"/>
      <c r="RFS238"/>
      <c r="RFT238"/>
      <c r="RFU238"/>
      <c r="RFV238"/>
      <c r="RFW238"/>
      <c r="RFX238"/>
      <c r="RFY238"/>
      <c r="RFZ238"/>
      <c r="RGA238"/>
      <c r="RGB238"/>
      <c r="RGC238"/>
      <c r="RGD238"/>
      <c r="RGE238"/>
      <c r="RGF238"/>
      <c r="RGG238"/>
      <c r="RGH238"/>
      <c r="RGI238"/>
      <c r="RGJ238"/>
      <c r="RGK238"/>
      <c r="RGL238"/>
      <c r="RGM238"/>
      <c r="RGN238"/>
      <c r="RGO238"/>
      <c r="RGP238"/>
      <c r="RGQ238"/>
      <c r="RGR238"/>
      <c r="RGS238"/>
      <c r="RGT238"/>
      <c r="RGU238"/>
      <c r="RGV238"/>
      <c r="RGW238"/>
      <c r="RGX238"/>
      <c r="RGY238"/>
      <c r="RGZ238"/>
      <c r="RHA238"/>
      <c r="RHB238"/>
      <c r="RHC238"/>
      <c r="RHD238"/>
      <c r="RHE238"/>
      <c r="RHF238"/>
      <c r="RHG238"/>
      <c r="RHH238"/>
      <c r="RHI238"/>
      <c r="RHJ238"/>
      <c r="RHK238"/>
      <c r="RHL238"/>
      <c r="RHM238"/>
      <c r="RHN238"/>
      <c r="RHO238"/>
      <c r="RHP238"/>
      <c r="RHQ238"/>
      <c r="RHR238"/>
      <c r="RHS238"/>
      <c r="RHT238"/>
      <c r="RHU238"/>
      <c r="RHV238"/>
      <c r="RHW238"/>
      <c r="RHX238"/>
      <c r="RHY238"/>
      <c r="RHZ238"/>
      <c r="RIA238"/>
      <c r="RIB238"/>
      <c r="RIC238"/>
      <c r="RID238"/>
      <c r="RIE238"/>
      <c r="RIF238"/>
      <c r="RIG238"/>
      <c r="RIH238"/>
      <c r="RII238"/>
      <c r="RIJ238"/>
      <c r="RIK238"/>
      <c r="RIL238"/>
      <c r="RIM238"/>
      <c r="RIN238"/>
      <c r="RIO238"/>
      <c r="RIP238"/>
      <c r="RIQ238"/>
      <c r="RIR238"/>
      <c r="RIS238"/>
      <c r="RIT238"/>
      <c r="RIU238"/>
      <c r="RIV238"/>
      <c r="RIW238"/>
      <c r="RIX238"/>
      <c r="RIY238"/>
      <c r="RIZ238"/>
      <c r="RJA238"/>
      <c r="RJB238"/>
      <c r="RJC238"/>
      <c r="RJD238"/>
      <c r="RJE238"/>
      <c r="RJF238"/>
      <c r="RJG238"/>
      <c r="RJH238"/>
      <c r="RJI238"/>
      <c r="RJJ238"/>
      <c r="RJK238"/>
      <c r="RJL238"/>
      <c r="RJM238"/>
      <c r="RJN238"/>
      <c r="RJO238"/>
      <c r="RJP238"/>
      <c r="RJQ238"/>
      <c r="RJR238"/>
      <c r="RJS238"/>
      <c r="RJT238"/>
      <c r="RJU238"/>
      <c r="RJV238"/>
      <c r="RJW238"/>
      <c r="RJX238"/>
      <c r="RJY238"/>
      <c r="RJZ238"/>
      <c r="RKA238"/>
      <c r="RKB238"/>
      <c r="RKC238"/>
      <c r="RKD238"/>
      <c r="RKE238"/>
      <c r="RKF238"/>
      <c r="RKG238"/>
      <c r="RKH238"/>
      <c r="RKI238"/>
      <c r="RKJ238"/>
      <c r="RKK238"/>
      <c r="RKL238"/>
      <c r="RKM238"/>
      <c r="RKN238"/>
      <c r="RKO238"/>
      <c r="RKP238"/>
      <c r="RKQ238"/>
      <c r="RKR238"/>
      <c r="RKS238"/>
      <c r="RKT238"/>
      <c r="RKU238"/>
      <c r="RKV238"/>
      <c r="RKW238"/>
      <c r="RKX238"/>
      <c r="RKY238"/>
      <c r="RKZ238"/>
      <c r="RLA238"/>
      <c r="RLB238"/>
      <c r="RLC238"/>
      <c r="RLD238"/>
      <c r="RLE238"/>
      <c r="RLF238"/>
      <c r="RLG238"/>
      <c r="RLH238"/>
      <c r="RLI238"/>
      <c r="RLJ238"/>
      <c r="RLK238"/>
      <c r="RLL238"/>
      <c r="RLM238"/>
      <c r="RLN238"/>
      <c r="RLO238"/>
      <c r="RLP238"/>
      <c r="RLQ238"/>
      <c r="RLR238"/>
      <c r="RLS238"/>
      <c r="RLT238"/>
      <c r="RLU238"/>
      <c r="RLV238"/>
      <c r="RLW238"/>
      <c r="RLX238"/>
      <c r="RLY238"/>
      <c r="RLZ238"/>
      <c r="RMA238"/>
      <c r="RMB238"/>
      <c r="RMC238"/>
      <c r="RMD238"/>
      <c r="RME238"/>
      <c r="RMF238"/>
      <c r="RMG238"/>
      <c r="RMH238"/>
      <c r="RMI238"/>
      <c r="RMJ238"/>
      <c r="RMK238"/>
      <c r="RML238"/>
      <c r="RMM238"/>
      <c r="RMN238"/>
      <c r="RMO238"/>
      <c r="RMP238"/>
      <c r="RMQ238"/>
      <c r="RMR238"/>
      <c r="RMS238"/>
      <c r="RMT238"/>
      <c r="RMU238"/>
      <c r="RMV238"/>
      <c r="RMW238"/>
      <c r="RMX238"/>
      <c r="RMY238"/>
      <c r="RMZ238"/>
      <c r="RNA238"/>
      <c r="RNB238"/>
      <c r="RNC238"/>
      <c r="RND238"/>
      <c r="RNE238"/>
      <c r="RNF238"/>
      <c r="RNG238"/>
      <c r="RNH238"/>
      <c r="RNI238"/>
      <c r="RNJ238"/>
      <c r="RNK238"/>
      <c r="RNL238"/>
      <c r="RNM238"/>
      <c r="RNN238"/>
      <c r="RNO238"/>
      <c r="RNP238"/>
      <c r="RNQ238"/>
      <c r="RNR238"/>
      <c r="RNS238"/>
      <c r="RNT238"/>
      <c r="RNU238"/>
      <c r="RNV238"/>
      <c r="RNW238"/>
      <c r="RNX238"/>
      <c r="RNY238"/>
      <c r="RNZ238"/>
      <c r="ROA238"/>
      <c r="ROB238"/>
      <c r="ROC238"/>
      <c r="ROD238"/>
      <c r="ROE238"/>
      <c r="ROF238"/>
      <c r="ROG238"/>
      <c r="ROH238"/>
      <c r="ROI238"/>
      <c r="ROJ238"/>
      <c r="ROK238"/>
      <c r="ROL238"/>
      <c r="ROM238"/>
      <c r="RON238"/>
      <c r="ROO238"/>
      <c r="ROP238"/>
      <c r="ROQ238"/>
      <c r="ROR238"/>
      <c r="ROS238"/>
      <c r="ROT238"/>
      <c r="ROU238"/>
      <c r="ROV238"/>
      <c r="ROW238"/>
      <c r="ROX238"/>
      <c r="ROY238"/>
      <c r="ROZ238"/>
      <c r="RPA238"/>
      <c r="RPB238"/>
      <c r="RPC238"/>
      <c r="RPD238"/>
      <c r="RPE238"/>
      <c r="RPF238"/>
      <c r="RPG238"/>
      <c r="RPH238"/>
      <c r="RPI238"/>
      <c r="RPJ238"/>
      <c r="RPK238"/>
      <c r="RPL238"/>
      <c r="RPM238"/>
      <c r="RPN238"/>
      <c r="RPO238"/>
      <c r="RPP238"/>
      <c r="RPQ238"/>
      <c r="RPR238"/>
      <c r="RPS238"/>
      <c r="RPT238"/>
      <c r="RPU238"/>
      <c r="RPV238"/>
      <c r="RPW238"/>
      <c r="RPX238"/>
      <c r="RPY238"/>
      <c r="RPZ238"/>
      <c r="RQA238"/>
      <c r="RQB238"/>
      <c r="RQC238"/>
      <c r="RQD238"/>
      <c r="RQE238"/>
      <c r="RQF238"/>
      <c r="RQG238"/>
      <c r="RQH238"/>
      <c r="RQI238"/>
      <c r="RQJ238"/>
      <c r="RQK238"/>
      <c r="RQL238"/>
      <c r="RQM238"/>
      <c r="RQN238"/>
      <c r="RQO238"/>
      <c r="RQP238"/>
      <c r="RQQ238"/>
      <c r="RQR238"/>
      <c r="RQS238"/>
      <c r="RQT238"/>
      <c r="RQU238"/>
      <c r="RQV238"/>
      <c r="RQW238"/>
      <c r="RQX238"/>
      <c r="RQY238"/>
      <c r="RQZ238"/>
      <c r="RRA238"/>
      <c r="RRB238"/>
      <c r="RRC238"/>
      <c r="RRD238"/>
      <c r="RRE238"/>
      <c r="RRF238"/>
      <c r="RRG238"/>
      <c r="RRH238"/>
      <c r="RRI238"/>
      <c r="RRJ238"/>
      <c r="RRK238"/>
      <c r="RRL238"/>
      <c r="RRM238"/>
      <c r="RRN238"/>
      <c r="RRO238"/>
      <c r="RRP238"/>
      <c r="RRQ238"/>
      <c r="RRR238"/>
      <c r="RRS238"/>
      <c r="RRT238"/>
      <c r="RRU238"/>
      <c r="RRV238"/>
      <c r="RRW238"/>
      <c r="RRX238"/>
      <c r="RRY238"/>
      <c r="RRZ238"/>
      <c r="RSA238"/>
      <c r="RSB238"/>
      <c r="RSC238"/>
      <c r="RSD238"/>
      <c r="RSE238"/>
      <c r="RSF238"/>
      <c r="RSG238"/>
      <c r="RSH238"/>
      <c r="RSI238"/>
      <c r="RSJ238"/>
      <c r="RSK238"/>
      <c r="RSL238"/>
      <c r="RSM238"/>
      <c r="RSN238"/>
      <c r="RSO238"/>
      <c r="RSP238"/>
      <c r="RSQ238"/>
      <c r="RSR238"/>
      <c r="RSS238"/>
      <c r="RST238"/>
      <c r="RSU238"/>
      <c r="RSV238"/>
      <c r="RSW238"/>
      <c r="RSX238"/>
      <c r="RSY238"/>
      <c r="RSZ238"/>
      <c r="RTA238"/>
      <c r="RTB238"/>
      <c r="RTC238"/>
      <c r="RTD238"/>
      <c r="RTE238"/>
      <c r="RTF238"/>
      <c r="RTG238"/>
      <c r="RTH238"/>
      <c r="RTI238"/>
      <c r="RTJ238"/>
      <c r="RTK238"/>
      <c r="RTL238"/>
      <c r="RTM238"/>
      <c r="RTN238"/>
      <c r="RTO238"/>
      <c r="RTP238"/>
      <c r="RTQ238"/>
      <c r="RTR238"/>
      <c r="RTS238"/>
      <c r="RTT238"/>
      <c r="RTU238"/>
      <c r="RTV238"/>
      <c r="RTW238"/>
      <c r="RTX238"/>
      <c r="RTY238"/>
      <c r="RTZ238"/>
      <c r="RUA238"/>
      <c r="RUB238"/>
      <c r="RUC238"/>
      <c r="RUD238"/>
      <c r="RUE238"/>
      <c r="RUF238"/>
      <c r="RUG238"/>
      <c r="RUH238"/>
      <c r="RUI238"/>
      <c r="RUJ238"/>
      <c r="RUK238"/>
      <c r="RUL238"/>
      <c r="RUM238"/>
      <c r="RUN238"/>
      <c r="RUO238"/>
      <c r="RUP238"/>
      <c r="RUQ238"/>
      <c r="RUR238"/>
      <c r="RUS238"/>
      <c r="RUT238"/>
      <c r="RUU238"/>
      <c r="RUV238"/>
      <c r="RUW238"/>
      <c r="RUX238"/>
      <c r="RUY238"/>
      <c r="RUZ238"/>
      <c r="RVA238"/>
      <c r="RVB238"/>
      <c r="RVC238"/>
      <c r="RVD238"/>
      <c r="RVE238"/>
      <c r="RVF238"/>
      <c r="RVG238"/>
      <c r="RVH238"/>
      <c r="RVI238"/>
      <c r="RVJ238"/>
      <c r="RVK238"/>
      <c r="RVL238"/>
      <c r="RVM238"/>
      <c r="RVN238"/>
      <c r="RVO238"/>
      <c r="RVP238"/>
      <c r="RVQ238"/>
      <c r="RVR238"/>
      <c r="RVS238"/>
      <c r="RVT238"/>
      <c r="RVU238"/>
      <c r="RVV238"/>
      <c r="RVW238"/>
      <c r="RVX238"/>
      <c r="RVY238"/>
      <c r="RVZ238"/>
      <c r="RWA238"/>
      <c r="RWB238"/>
      <c r="RWC238"/>
      <c r="RWD238"/>
      <c r="RWE238"/>
      <c r="RWF238"/>
      <c r="RWG238"/>
      <c r="RWH238"/>
      <c r="RWI238"/>
      <c r="RWJ238"/>
      <c r="RWK238"/>
      <c r="RWL238"/>
      <c r="RWM238"/>
      <c r="RWN238"/>
      <c r="RWO238"/>
      <c r="RWP238"/>
      <c r="RWQ238"/>
      <c r="RWR238"/>
      <c r="RWS238"/>
      <c r="RWT238"/>
      <c r="RWU238"/>
      <c r="RWV238"/>
      <c r="RWW238"/>
      <c r="RWX238"/>
      <c r="RWY238"/>
      <c r="RWZ238"/>
      <c r="RXA238"/>
      <c r="RXB238"/>
      <c r="RXC238"/>
      <c r="RXD238"/>
      <c r="RXE238"/>
      <c r="RXF238"/>
      <c r="RXG238"/>
      <c r="RXH238"/>
      <c r="RXI238"/>
      <c r="RXJ238"/>
      <c r="RXK238"/>
      <c r="RXL238"/>
      <c r="RXM238"/>
      <c r="RXN238"/>
      <c r="RXO238"/>
      <c r="RXP238"/>
      <c r="RXQ238"/>
      <c r="RXR238"/>
      <c r="RXS238"/>
      <c r="RXT238"/>
      <c r="RXU238"/>
      <c r="RXV238"/>
      <c r="RXW238"/>
      <c r="RXX238"/>
      <c r="RXY238"/>
      <c r="RXZ238"/>
      <c r="RYA238"/>
      <c r="RYB238"/>
      <c r="RYC238"/>
      <c r="RYD238"/>
      <c r="RYE238"/>
      <c r="RYF238"/>
      <c r="RYG238"/>
      <c r="RYH238"/>
      <c r="RYI238"/>
      <c r="RYJ238"/>
      <c r="RYK238"/>
      <c r="RYL238"/>
      <c r="RYM238"/>
      <c r="RYN238"/>
      <c r="RYO238"/>
      <c r="RYP238"/>
      <c r="RYQ238"/>
      <c r="RYR238"/>
      <c r="RYS238"/>
      <c r="RYT238"/>
      <c r="RYU238"/>
      <c r="RYV238"/>
      <c r="RYW238"/>
      <c r="RYX238"/>
      <c r="RYY238"/>
      <c r="RYZ238"/>
      <c r="RZA238"/>
      <c r="RZB238"/>
      <c r="RZC238"/>
      <c r="RZD238"/>
      <c r="RZE238"/>
      <c r="RZF238"/>
      <c r="RZG238"/>
      <c r="RZH238"/>
      <c r="RZI238"/>
      <c r="RZJ238"/>
      <c r="RZK238"/>
      <c r="RZL238"/>
      <c r="RZM238"/>
      <c r="RZN238"/>
      <c r="RZO238"/>
      <c r="RZP238"/>
      <c r="RZQ238"/>
      <c r="RZR238"/>
      <c r="RZS238"/>
      <c r="RZT238"/>
      <c r="RZU238"/>
      <c r="RZV238"/>
      <c r="RZW238"/>
      <c r="RZX238"/>
      <c r="RZY238"/>
      <c r="RZZ238"/>
      <c r="SAA238"/>
      <c r="SAB238"/>
      <c r="SAC238"/>
      <c r="SAD238"/>
      <c r="SAE238"/>
      <c r="SAF238"/>
      <c r="SAG238"/>
      <c r="SAH238"/>
      <c r="SAI238"/>
      <c r="SAJ238"/>
      <c r="SAK238"/>
      <c r="SAL238"/>
      <c r="SAM238"/>
      <c r="SAN238"/>
      <c r="SAO238"/>
      <c r="SAP238"/>
      <c r="SAQ238"/>
      <c r="SAR238"/>
      <c r="SAS238"/>
      <c r="SAT238"/>
      <c r="SAU238"/>
      <c r="SAV238"/>
      <c r="SAW238"/>
      <c r="SAX238"/>
      <c r="SAY238"/>
      <c r="SAZ238"/>
      <c r="SBA238"/>
      <c r="SBB238"/>
      <c r="SBC238"/>
      <c r="SBD238"/>
      <c r="SBE238"/>
      <c r="SBF238"/>
      <c r="SBG238"/>
      <c r="SBH238"/>
      <c r="SBI238"/>
      <c r="SBJ238"/>
      <c r="SBK238"/>
      <c r="SBL238"/>
      <c r="SBM238"/>
      <c r="SBN238"/>
      <c r="SBO238"/>
      <c r="SBP238"/>
      <c r="SBQ238"/>
      <c r="SBR238"/>
      <c r="SBS238"/>
      <c r="SBT238"/>
      <c r="SBU238"/>
      <c r="SBV238"/>
      <c r="SBW238"/>
      <c r="SBX238"/>
      <c r="SBY238"/>
      <c r="SBZ238"/>
      <c r="SCA238"/>
      <c r="SCB238"/>
      <c r="SCC238"/>
      <c r="SCD238"/>
      <c r="SCE238"/>
      <c r="SCF238"/>
      <c r="SCG238"/>
      <c r="SCH238"/>
      <c r="SCI238"/>
      <c r="SCJ238"/>
      <c r="SCK238"/>
      <c r="SCL238"/>
      <c r="SCM238"/>
      <c r="SCN238"/>
      <c r="SCO238"/>
      <c r="SCP238"/>
      <c r="SCQ238"/>
      <c r="SCR238"/>
      <c r="SCS238"/>
      <c r="SCT238"/>
      <c r="SCU238"/>
      <c r="SCV238"/>
      <c r="SCW238"/>
      <c r="SCX238"/>
      <c r="SCY238"/>
      <c r="SCZ238"/>
      <c r="SDA238"/>
      <c r="SDB238"/>
      <c r="SDC238"/>
      <c r="SDD238"/>
      <c r="SDE238"/>
      <c r="SDF238"/>
      <c r="SDG238"/>
      <c r="SDH238"/>
      <c r="SDI238"/>
      <c r="SDJ238"/>
      <c r="SDK238"/>
      <c r="SDL238"/>
      <c r="SDM238"/>
      <c r="SDN238"/>
      <c r="SDO238"/>
      <c r="SDP238"/>
      <c r="SDQ238"/>
      <c r="SDR238"/>
      <c r="SDS238"/>
      <c r="SDT238"/>
      <c r="SDU238"/>
      <c r="SDV238"/>
      <c r="SDW238"/>
      <c r="SDX238"/>
      <c r="SDY238"/>
      <c r="SDZ238"/>
      <c r="SEA238"/>
      <c r="SEB238"/>
      <c r="SEC238"/>
      <c r="SED238"/>
      <c r="SEE238"/>
      <c r="SEF238"/>
      <c r="SEG238"/>
      <c r="SEH238"/>
      <c r="SEI238"/>
      <c r="SEJ238"/>
      <c r="SEK238"/>
      <c r="SEL238"/>
      <c r="SEM238"/>
      <c r="SEN238"/>
      <c r="SEO238"/>
      <c r="SEP238"/>
      <c r="SEQ238"/>
      <c r="SER238"/>
      <c r="SES238"/>
      <c r="SET238"/>
      <c r="SEU238"/>
      <c r="SEV238"/>
      <c r="SEW238"/>
      <c r="SEX238"/>
      <c r="SEY238"/>
      <c r="SEZ238"/>
      <c r="SFA238"/>
      <c r="SFB238"/>
      <c r="SFC238"/>
      <c r="SFD238"/>
      <c r="SFE238"/>
      <c r="SFF238"/>
      <c r="SFG238"/>
      <c r="SFH238"/>
      <c r="SFI238"/>
      <c r="SFJ238"/>
      <c r="SFK238"/>
      <c r="SFL238"/>
      <c r="SFM238"/>
      <c r="SFN238"/>
      <c r="SFO238"/>
      <c r="SFP238"/>
      <c r="SFQ238"/>
      <c r="SFR238"/>
      <c r="SFS238"/>
      <c r="SFT238"/>
      <c r="SFU238"/>
      <c r="SFV238"/>
      <c r="SFW238"/>
      <c r="SFX238"/>
      <c r="SFY238"/>
      <c r="SFZ238"/>
      <c r="SGA238"/>
      <c r="SGB238"/>
      <c r="SGC238"/>
      <c r="SGD238"/>
      <c r="SGE238"/>
      <c r="SGF238"/>
      <c r="SGG238"/>
      <c r="SGH238"/>
      <c r="SGI238"/>
      <c r="SGJ238"/>
      <c r="SGK238"/>
      <c r="SGL238"/>
      <c r="SGM238"/>
      <c r="SGN238"/>
      <c r="SGO238"/>
      <c r="SGP238"/>
      <c r="SGQ238"/>
      <c r="SGR238"/>
      <c r="SGS238"/>
      <c r="SGT238"/>
      <c r="SGU238"/>
      <c r="SGV238"/>
      <c r="SGW238"/>
      <c r="SGX238"/>
      <c r="SGY238"/>
      <c r="SGZ238"/>
      <c r="SHA238"/>
      <c r="SHB238"/>
      <c r="SHC238"/>
      <c r="SHD238"/>
      <c r="SHE238"/>
      <c r="SHF238"/>
      <c r="SHG238"/>
      <c r="SHH238"/>
      <c r="SHI238"/>
      <c r="SHJ238"/>
      <c r="SHK238"/>
      <c r="SHL238"/>
      <c r="SHM238"/>
      <c r="SHN238"/>
      <c r="SHO238"/>
      <c r="SHP238"/>
      <c r="SHQ238"/>
      <c r="SHR238"/>
      <c r="SHS238"/>
      <c r="SHT238"/>
      <c r="SHU238"/>
      <c r="SHV238"/>
      <c r="SHW238"/>
      <c r="SHX238"/>
      <c r="SHY238"/>
      <c r="SHZ238"/>
      <c r="SIA238"/>
      <c r="SIB238"/>
      <c r="SIC238"/>
      <c r="SID238"/>
      <c r="SIE238"/>
      <c r="SIF238"/>
      <c r="SIG238"/>
      <c r="SIH238"/>
      <c r="SII238"/>
      <c r="SIJ238"/>
      <c r="SIK238"/>
      <c r="SIL238"/>
      <c r="SIM238"/>
      <c r="SIN238"/>
      <c r="SIO238"/>
      <c r="SIP238"/>
      <c r="SIQ238"/>
      <c r="SIR238"/>
      <c r="SIS238"/>
      <c r="SIT238"/>
      <c r="SIU238"/>
      <c r="SIV238"/>
      <c r="SIW238"/>
      <c r="SIX238"/>
      <c r="SIY238"/>
      <c r="SIZ238"/>
      <c r="SJA238"/>
      <c r="SJB238"/>
      <c r="SJC238"/>
      <c r="SJD238"/>
      <c r="SJE238"/>
      <c r="SJF238"/>
      <c r="SJG238"/>
      <c r="SJH238"/>
      <c r="SJI238"/>
      <c r="SJJ238"/>
      <c r="SJK238"/>
      <c r="SJL238"/>
      <c r="SJM238"/>
      <c r="SJN238"/>
      <c r="SJO238"/>
      <c r="SJP238"/>
      <c r="SJQ238"/>
      <c r="SJR238"/>
      <c r="SJS238"/>
      <c r="SJT238"/>
      <c r="SJU238"/>
      <c r="SJV238"/>
      <c r="SJW238"/>
      <c r="SJX238"/>
      <c r="SJY238"/>
      <c r="SJZ238"/>
      <c r="SKA238"/>
      <c r="SKB238"/>
      <c r="SKC238"/>
      <c r="SKD238"/>
      <c r="SKE238"/>
      <c r="SKF238"/>
      <c r="SKG238"/>
      <c r="SKH238"/>
      <c r="SKI238"/>
      <c r="SKJ238"/>
      <c r="SKK238"/>
      <c r="SKL238"/>
      <c r="SKM238"/>
      <c r="SKN238"/>
      <c r="SKO238"/>
      <c r="SKP238"/>
      <c r="SKQ238"/>
      <c r="SKR238"/>
      <c r="SKS238"/>
      <c r="SKT238"/>
      <c r="SKU238"/>
      <c r="SKV238"/>
      <c r="SKW238"/>
      <c r="SKX238"/>
      <c r="SKY238"/>
      <c r="SKZ238"/>
      <c r="SLA238"/>
      <c r="SLB238"/>
      <c r="SLC238"/>
      <c r="SLD238"/>
      <c r="SLE238"/>
      <c r="SLF238"/>
      <c r="SLG238"/>
      <c r="SLH238"/>
      <c r="SLI238"/>
      <c r="SLJ238"/>
      <c r="SLK238"/>
      <c r="SLL238"/>
      <c r="SLM238"/>
      <c r="SLN238"/>
      <c r="SLO238"/>
      <c r="SLP238"/>
      <c r="SLQ238"/>
      <c r="SLR238"/>
      <c r="SLS238"/>
      <c r="SLT238"/>
      <c r="SLU238"/>
      <c r="SLV238"/>
      <c r="SLW238"/>
      <c r="SLX238"/>
      <c r="SLY238"/>
      <c r="SLZ238"/>
      <c r="SMA238"/>
      <c r="SMB238"/>
      <c r="SMC238"/>
      <c r="SMD238"/>
      <c r="SME238"/>
      <c r="SMF238"/>
      <c r="SMG238"/>
      <c r="SMH238"/>
      <c r="SMI238"/>
      <c r="SMJ238"/>
      <c r="SMK238"/>
      <c r="SML238"/>
      <c r="SMM238"/>
      <c r="SMN238"/>
      <c r="SMO238"/>
      <c r="SMP238"/>
      <c r="SMQ238"/>
      <c r="SMR238"/>
      <c r="SMS238"/>
      <c r="SMT238"/>
      <c r="SMU238"/>
      <c r="SMV238"/>
      <c r="SMW238"/>
      <c r="SMX238"/>
      <c r="SMY238"/>
      <c r="SMZ238"/>
      <c r="SNA238"/>
      <c r="SNB238"/>
      <c r="SNC238"/>
      <c r="SND238"/>
      <c r="SNE238"/>
      <c r="SNF238"/>
      <c r="SNG238"/>
      <c r="SNH238"/>
      <c r="SNI238"/>
      <c r="SNJ238"/>
      <c r="SNK238"/>
      <c r="SNL238"/>
      <c r="SNM238"/>
      <c r="SNN238"/>
      <c r="SNO238"/>
      <c r="SNP238"/>
      <c r="SNQ238"/>
      <c r="SNR238"/>
      <c r="SNS238"/>
      <c r="SNT238"/>
      <c r="SNU238"/>
      <c r="SNV238"/>
      <c r="SNW238"/>
      <c r="SNX238"/>
      <c r="SNY238"/>
      <c r="SNZ238"/>
      <c r="SOA238"/>
      <c r="SOB238"/>
      <c r="SOC238"/>
      <c r="SOD238"/>
      <c r="SOE238"/>
      <c r="SOF238"/>
      <c r="SOG238"/>
      <c r="SOH238"/>
      <c r="SOI238"/>
      <c r="SOJ238"/>
      <c r="SOK238"/>
      <c r="SOL238"/>
      <c r="SOM238"/>
      <c r="SON238"/>
      <c r="SOO238"/>
      <c r="SOP238"/>
      <c r="SOQ238"/>
      <c r="SOR238"/>
      <c r="SOS238"/>
      <c r="SOT238"/>
      <c r="SOU238"/>
      <c r="SOV238"/>
      <c r="SOW238"/>
      <c r="SOX238"/>
      <c r="SOY238"/>
      <c r="SOZ238"/>
      <c r="SPA238"/>
      <c r="SPB238"/>
      <c r="SPC238"/>
      <c r="SPD238"/>
      <c r="SPE238"/>
      <c r="SPF238"/>
      <c r="SPG238"/>
      <c r="SPH238"/>
      <c r="SPI238"/>
      <c r="SPJ238"/>
      <c r="SPK238"/>
      <c r="SPL238"/>
      <c r="SPM238"/>
      <c r="SPN238"/>
      <c r="SPO238"/>
      <c r="SPP238"/>
      <c r="SPQ238"/>
      <c r="SPR238"/>
      <c r="SPS238"/>
      <c r="SPT238"/>
      <c r="SPU238"/>
      <c r="SPV238"/>
      <c r="SPW238"/>
      <c r="SPX238"/>
      <c r="SPY238"/>
      <c r="SPZ238"/>
      <c r="SQA238"/>
      <c r="SQB238"/>
      <c r="SQC238"/>
      <c r="SQD238"/>
      <c r="SQE238"/>
      <c r="SQF238"/>
      <c r="SQG238"/>
      <c r="SQH238"/>
      <c r="SQI238"/>
      <c r="SQJ238"/>
      <c r="SQK238"/>
      <c r="SQL238"/>
      <c r="SQM238"/>
      <c r="SQN238"/>
      <c r="SQO238"/>
      <c r="SQP238"/>
      <c r="SQQ238"/>
      <c r="SQR238"/>
      <c r="SQS238"/>
      <c r="SQT238"/>
      <c r="SQU238"/>
      <c r="SQV238"/>
      <c r="SQW238"/>
      <c r="SQX238"/>
      <c r="SQY238"/>
      <c r="SQZ238"/>
      <c r="SRA238"/>
      <c r="SRB238"/>
      <c r="SRC238"/>
      <c r="SRD238"/>
      <c r="SRE238"/>
      <c r="SRF238"/>
      <c r="SRG238"/>
      <c r="SRH238"/>
      <c r="SRI238"/>
      <c r="SRJ238"/>
      <c r="SRK238"/>
      <c r="SRL238"/>
      <c r="SRM238"/>
      <c r="SRN238"/>
      <c r="SRO238"/>
      <c r="SRP238"/>
      <c r="SRQ238"/>
      <c r="SRR238"/>
      <c r="SRS238"/>
      <c r="SRT238"/>
      <c r="SRU238"/>
      <c r="SRV238"/>
      <c r="SRW238"/>
      <c r="SRX238"/>
      <c r="SRY238"/>
      <c r="SRZ238"/>
      <c r="SSA238"/>
      <c r="SSB238"/>
      <c r="SSC238"/>
      <c r="SSD238"/>
      <c r="SSE238"/>
      <c r="SSF238"/>
      <c r="SSG238"/>
      <c r="SSH238"/>
      <c r="SSI238"/>
      <c r="SSJ238"/>
      <c r="SSK238"/>
      <c r="SSL238"/>
      <c r="SSM238"/>
      <c r="SSN238"/>
      <c r="SSO238"/>
      <c r="SSP238"/>
      <c r="SSQ238"/>
      <c r="SSR238"/>
      <c r="SSS238"/>
      <c r="SST238"/>
      <c r="SSU238"/>
      <c r="SSV238"/>
      <c r="SSW238"/>
      <c r="SSX238"/>
      <c r="SSY238"/>
      <c r="SSZ238"/>
      <c r="STA238"/>
      <c r="STB238"/>
      <c r="STC238"/>
      <c r="STD238"/>
      <c r="STE238"/>
      <c r="STF238"/>
      <c r="STG238"/>
      <c r="STH238"/>
      <c r="STI238"/>
      <c r="STJ238"/>
      <c r="STK238"/>
      <c r="STL238"/>
      <c r="STM238"/>
      <c r="STN238"/>
      <c r="STO238"/>
      <c r="STP238"/>
      <c r="STQ238"/>
      <c r="STR238"/>
      <c r="STS238"/>
      <c r="STT238"/>
      <c r="STU238"/>
      <c r="STV238"/>
      <c r="STW238"/>
      <c r="STX238"/>
      <c r="STY238"/>
      <c r="STZ238"/>
      <c r="SUA238"/>
      <c r="SUB238"/>
      <c r="SUC238"/>
      <c r="SUD238"/>
      <c r="SUE238"/>
      <c r="SUF238"/>
      <c r="SUG238"/>
      <c r="SUH238"/>
      <c r="SUI238"/>
      <c r="SUJ238"/>
      <c r="SUK238"/>
      <c r="SUL238"/>
      <c r="SUM238"/>
      <c r="SUN238"/>
      <c r="SUO238"/>
      <c r="SUP238"/>
      <c r="SUQ238"/>
      <c r="SUR238"/>
      <c r="SUS238"/>
      <c r="SUT238"/>
      <c r="SUU238"/>
      <c r="SUV238"/>
      <c r="SUW238"/>
      <c r="SUX238"/>
      <c r="SUY238"/>
      <c r="SUZ238"/>
      <c r="SVA238"/>
      <c r="SVB238"/>
      <c r="SVC238"/>
      <c r="SVD238"/>
      <c r="SVE238"/>
      <c r="SVF238"/>
      <c r="SVG238"/>
      <c r="SVH238"/>
      <c r="SVI238"/>
      <c r="SVJ238"/>
      <c r="SVK238"/>
      <c r="SVL238"/>
      <c r="SVM238"/>
      <c r="SVN238"/>
      <c r="SVO238"/>
      <c r="SVP238"/>
      <c r="SVQ238"/>
      <c r="SVR238"/>
      <c r="SVS238"/>
      <c r="SVT238"/>
      <c r="SVU238"/>
      <c r="SVV238"/>
      <c r="SVW238"/>
      <c r="SVX238"/>
      <c r="SVY238"/>
      <c r="SVZ238"/>
      <c r="SWA238"/>
      <c r="SWB238"/>
      <c r="SWC238"/>
      <c r="SWD238"/>
      <c r="SWE238"/>
      <c r="SWF238"/>
      <c r="SWG238"/>
      <c r="SWH238"/>
      <c r="SWI238"/>
      <c r="SWJ238"/>
      <c r="SWK238"/>
      <c r="SWL238"/>
      <c r="SWM238"/>
      <c r="SWN238"/>
      <c r="SWO238"/>
      <c r="SWP238"/>
      <c r="SWQ238"/>
      <c r="SWR238"/>
      <c r="SWS238"/>
      <c r="SWT238"/>
      <c r="SWU238"/>
      <c r="SWV238"/>
      <c r="SWW238"/>
      <c r="SWX238"/>
      <c r="SWY238"/>
      <c r="SWZ238"/>
      <c r="SXA238"/>
      <c r="SXB238"/>
      <c r="SXC238"/>
      <c r="SXD238"/>
      <c r="SXE238"/>
      <c r="SXF238"/>
      <c r="SXG238"/>
      <c r="SXH238"/>
      <c r="SXI238"/>
      <c r="SXJ238"/>
      <c r="SXK238"/>
      <c r="SXL238"/>
      <c r="SXM238"/>
      <c r="SXN238"/>
      <c r="SXO238"/>
      <c r="SXP238"/>
      <c r="SXQ238"/>
      <c r="SXR238"/>
      <c r="SXS238"/>
      <c r="SXT238"/>
      <c r="SXU238"/>
      <c r="SXV238"/>
      <c r="SXW238"/>
      <c r="SXX238"/>
      <c r="SXY238"/>
      <c r="SXZ238"/>
      <c r="SYA238"/>
      <c r="SYB238"/>
      <c r="SYC238"/>
      <c r="SYD238"/>
      <c r="SYE238"/>
      <c r="SYF238"/>
      <c r="SYG238"/>
      <c r="SYH238"/>
      <c r="SYI238"/>
      <c r="SYJ238"/>
      <c r="SYK238"/>
      <c r="SYL238"/>
      <c r="SYM238"/>
      <c r="SYN238"/>
      <c r="SYO238"/>
      <c r="SYP238"/>
      <c r="SYQ238"/>
      <c r="SYR238"/>
      <c r="SYS238"/>
      <c r="SYT238"/>
      <c r="SYU238"/>
      <c r="SYV238"/>
      <c r="SYW238"/>
      <c r="SYX238"/>
      <c r="SYY238"/>
      <c r="SYZ238"/>
      <c r="SZA238"/>
      <c r="SZB238"/>
      <c r="SZC238"/>
      <c r="SZD238"/>
      <c r="SZE238"/>
      <c r="SZF238"/>
      <c r="SZG238"/>
      <c r="SZH238"/>
      <c r="SZI238"/>
      <c r="SZJ238"/>
      <c r="SZK238"/>
      <c r="SZL238"/>
      <c r="SZM238"/>
      <c r="SZN238"/>
      <c r="SZO238"/>
      <c r="SZP238"/>
      <c r="SZQ238"/>
      <c r="SZR238"/>
      <c r="SZS238"/>
      <c r="SZT238"/>
      <c r="SZU238"/>
      <c r="SZV238"/>
      <c r="SZW238"/>
      <c r="SZX238"/>
      <c r="SZY238"/>
      <c r="SZZ238"/>
      <c r="TAA238"/>
      <c r="TAB238"/>
      <c r="TAC238"/>
      <c r="TAD238"/>
      <c r="TAE238"/>
      <c r="TAF238"/>
      <c r="TAG238"/>
      <c r="TAH238"/>
      <c r="TAI238"/>
      <c r="TAJ238"/>
      <c r="TAK238"/>
      <c r="TAL238"/>
      <c r="TAM238"/>
      <c r="TAN238"/>
      <c r="TAO238"/>
      <c r="TAP238"/>
      <c r="TAQ238"/>
      <c r="TAR238"/>
      <c r="TAS238"/>
      <c r="TAT238"/>
      <c r="TAU238"/>
      <c r="TAV238"/>
      <c r="TAW238"/>
      <c r="TAX238"/>
      <c r="TAY238"/>
      <c r="TAZ238"/>
      <c r="TBA238"/>
      <c r="TBB238"/>
      <c r="TBC238"/>
      <c r="TBD238"/>
      <c r="TBE238"/>
      <c r="TBF238"/>
      <c r="TBG238"/>
      <c r="TBH238"/>
      <c r="TBI238"/>
      <c r="TBJ238"/>
      <c r="TBK238"/>
      <c r="TBL238"/>
      <c r="TBM238"/>
      <c r="TBN238"/>
      <c r="TBO238"/>
      <c r="TBP238"/>
      <c r="TBQ238"/>
      <c r="TBR238"/>
      <c r="TBS238"/>
      <c r="TBT238"/>
      <c r="TBU238"/>
      <c r="TBV238"/>
      <c r="TBW238"/>
      <c r="TBX238"/>
      <c r="TBY238"/>
      <c r="TBZ238"/>
      <c r="TCA238"/>
      <c r="TCB238"/>
      <c r="TCC238"/>
      <c r="TCD238"/>
      <c r="TCE238"/>
      <c r="TCF238"/>
      <c r="TCG238"/>
      <c r="TCH238"/>
      <c r="TCI238"/>
      <c r="TCJ238"/>
      <c r="TCK238"/>
      <c r="TCL238"/>
      <c r="TCM238"/>
      <c r="TCN238"/>
      <c r="TCO238"/>
      <c r="TCP238"/>
      <c r="TCQ238"/>
      <c r="TCR238"/>
      <c r="TCS238"/>
      <c r="TCT238"/>
      <c r="TCU238"/>
      <c r="TCV238"/>
      <c r="TCW238"/>
      <c r="TCX238"/>
      <c r="TCY238"/>
      <c r="TCZ238"/>
      <c r="TDA238"/>
      <c r="TDB238"/>
      <c r="TDC238"/>
      <c r="TDD238"/>
      <c r="TDE238"/>
      <c r="TDF238"/>
      <c r="TDG238"/>
      <c r="TDH238"/>
      <c r="TDI238"/>
      <c r="TDJ238"/>
      <c r="TDK238"/>
      <c r="TDL238"/>
      <c r="TDM238"/>
      <c r="TDN238"/>
      <c r="TDO238"/>
      <c r="TDP238"/>
      <c r="TDQ238"/>
      <c r="TDR238"/>
      <c r="TDS238"/>
      <c r="TDT238"/>
      <c r="TDU238"/>
      <c r="TDV238"/>
      <c r="TDW238"/>
      <c r="TDX238"/>
      <c r="TDY238"/>
      <c r="TDZ238"/>
      <c r="TEA238"/>
      <c r="TEB238"/>
      <c r="TEC238"/>
      <c r="TED238"/>
      <c r="TEE238"/>
      <c r="TEF238"/>
      <c r="TEG238"/>
      <c r="TEH238"/>
      <c r="TEI238"/>
      <c r="TEJ238"/>
      <c r="TEK238"/>
      <c r="TEL238"/>
      <c r="TEM238"/>
      <c r="TEN238"/>
      <c r="TEO238"/>
      <c r="TEP238"/>
      <c r="TEQ238"/>
      <c r="TER238"/>
      <c r="TES238"/>
      <c r="TET238"/>
      <c r="TEU238"/>
      <c r="TEV238"/>
      <c r="TEW238"/>
      <c r="TEX238"/>
      <c r="TEY238"/>
      <c r="TEZ238"/>
      <c r="TFA238"/>
      <c r="TFB238"/>
      <c r="TFC238"/>
      <c r="TFD238"/>
      <c r="TFE238"/>
      <c r="TFF238"/>
      <c r="TFG238"/>
      <c r="TFH238"/>
      <c r="TFI238"/>
      <c r="TFJ238"/>
      <c r="TFK238"/>
      <c r="TFL238"/>
      <c r="TFM238"/>
      <c r="TFN238"/>
      <c r="TFO238"/>
      <c r="TFP238"/>
      <c r="TFQ238"/>
      <c r="TFR238"/>
      <c r="TFS238"/>
      <c r="TFT238"/>
      <c r="TFU238"/>
      <c r="TFV238"/>
      <c r="TFW238"/>
      <c r="TFX238"/>
      <c r="TFY238"/>
      <c r="TFZ238"/>
      <c r="TGA238"/>
      <c r="TGB238"/>
      <c r="TGC238"/>
      <c r="TGD238"/>
      <c r="TGE238"/>
      <c r="TGF238"/>
      <c r="TGG238"/>
      <c r="TGH238"/>
      <c r="TGI238"/>
      <c r="TGJ238"/>
      <c r="TGK238"/>
      <c r="TGL238"/>
      <c r="TGM238"/>
      <c r="TGN238"/>
      <c r="TGO238"/>
      <c r="TGP238"/>
      <c r="TGQ238"/>
      <c r="TGR238"/>
      <c r="TGS238"/>
      <c r="TGT238"/>
      <c r="TGU238"/>
      <c r="TGV238"/>
      <c r="TGW238"/>
      <c r="TGX238"/>
      <c r="TGY238"/>
      <c r="TGZ238"/>
      <c r="THA238"/>
      <c r="THB238"/>
      <c r="THC238"/>
      <c r="THD238"/>
      <c r="THE238"/>
      <c r="THF238"/>
      <c r="THG238"/>
      <c r="THH238"/>
      <c r="THI238"/>
      <c r="THJ238"/>
      <c r="THK238"/>
      <c r="THL238"/>
      <c r="THM238"/>
      <c r="THN238"/>
      <c r="THO238"/>
      <c r="THP238"/>
      <c r="THQ238"/>
      <c r="THR238"/>
      <c r="THS238"/>
      <c r="THT238"/>
      <c r="THU238"/>
      <c r="THV238"/>
      <c r="THW238"/>
      <c r="THX238"/>
      <c r="THY238"/>
      <c r="THZ238"/>
      <c r="TIA238"/>
      <c r="TIB238"/>
      <c r="TIC238"/>
      <c r="TID238"/>
      <c r="TIE238"/>
      <c r="TIF238"/>
      <c r="TIG238"/>
      <c r="TIH238"/>
      <c r="TII238"/>
      <c r="TIJ238"/>
      <c r="TIK238"/>
      <c r="TIL238"/>
      <c r="TIM238"/>
      <c r="TIN238"/>
      <c r="TIO238"/>
      <c r="TIP238"/>
      <c r="TIQ238"/>
      <c r="TIR238"/>
      <c r="TIS238"/>
      <c r="TIT238"/>
      <c r="TIU238"/>
      <c r="TIV238"/>
      <c r="TIW238"/>
      <c r="TIX238"/>
      <c r="TIY238"/>
      <c r="TIZ238"/>
      <c r="TJA238"/>
      <c r="TJB238"/>
      <c r="TJC238"/>
      <c r="TJD238"/>
      <c r="TJE238"/>
      <c r="TJF238"/>
      <c r="TJG238"/>
      <c r="TJH238"/>
      <c r="TJI238"/>
      <c r="TJJ238"/>
      <c r="TJK238"/>
      <c r="TJL238"/>
      <c r="TJM238"/>
      <c r="TJN238"/>
      <c r="TJO238"/>
      <c r="TJP238"/>
      <c r="TJQ238"/>
      <c r="TJR238"/>
      <c r="TJS238"/>
      <c r="TJT238"/>
      <c r="TJU238"/>
      <c r="TJV238"/>
      <c r="TJW238"/>
      <c r="TJX238"/>
      <c r="TJY238"/>
      <c r="TJZ238"/>
      <c r="TKA238"/>
      <c r="TKB238"/>
      <c r="TKC238"/>
      <c r="TKD238"/>
      <c r="TKE238"/>
      <c r="TKF238"/>
      <c r="TKG238"/>
      <c r="TKH238"/>
      <c r="TKI238"/>
      <c r="TKJ238"/>
      <c r="TKK238"/>
      <c r="TKL238"/>
      <c r="TKM238"/>
      <c r="TKN238"/>
      <c r="TKO238"/>
      <c r="TKP238"/>
      <c r="TKQ238"/>
      <c r="TKR238"/>
      <c r="TKS238"/>
      <c r="TKT238"/>
      <c r="TKU238"/>
      <c r="TKV238"/>
      <c r="TKW238"/>
      <c r="TKX238"/>
      <c r="TKY238"/>
      <c r="TKZ238"/>
      <c r="TLA238"/>
      <c r="TLB238"/>
      <c r="TLC238"/>
      <c r="TLD238"/>
      <c r="TLE238"/>
      <c r="TLF238"/>
      <c r="TLG238"/>
      <c r="TLH238"/>
      <c r="TLI238"/>
      <c r="TLJ238"/>
      <c r="TLK238"/>
      <c r="TLL238"/>
      <c r="TLM238"/>
      <c r="TLN238"/>
      <c r="TLO238"/>
      <c r="TLP238"/>
      <c r="TLQ238"/>
      <c r="TLR238"/>
      <c r="TLS238"/>
      <c r="TLT238"/>
      <c r="TLU238"/>
      <c r="TLV238"/>
      <c r="TLW238"/>
      <c r="TLX238"/>
      <c r="TLY238"/>
      <c r="TLZ238"/>
      <c r="TMA238"/>
      <c r="TMB238"/>
      <c r="TMC238"/>
      <c r="TMD238"/>
      <c r="TME238"/>
      <c r="TMF238"/>
      <c r="TMG238"/>
      <c r="TMH238"/>
      <c r="TMI238"/>
      <c r="TMJ238"/>
      <c r="TMK238"/>
      <c r="TML238"/>
      <c r="TMM238"/>
      <c r="TMN238"/>
      <c r="TMO238"/>
      <c r="TMP238"/>
      <c r="TMQ238"/>
      <c r="TMR238"/>
      <c r="TMS238"/>
      <c r="TMT238"/>
      <c r="TMU238"/>
      <c r="TMV238"/>
      <c r="TMW238"/>
      <c r="TMX238"/>
      <c r="TMY238"/>
      <c r="TMZ238"/>
      <c r="TNA238"/>
      <c r="TNB238"/>
      <c r="TNC238"/>
      <c r="TND238"/>
      <c r="TNE238"/>
      <c r="TNF238"/>
      <c r="TNG238"/>
      <c r="TNH238"/>
      <c r="TNI238"/>
      <c r="TNJ238"/>
      <c r="TNK238"/>
      <c r="TNL238"/>
      <c r="TNM238"/>
      <c r="TNN238"/>
      <c r="TNO238"/>
      <c r="TNP238"/>
      <c r="TNQ238"/>
      <c r="TNR238"/>
      <c r="TNS238"/>
      <c r="TNT238"/>
      <c r="TNU238"/>
      <c r="TNV238"/>
      <c r="TNW238"/>
      <c r="TNX238"/>
      <c r="TNY238"/>
      <c r="TNZ238"/>
      <c r="TOA238"/>
      <c r="TOB238"/>
      <c r="TOC238"/>
      <c r="TOD238"/>
      <c r="TOE238"/>
      <c r="TOF238"/>
      <c r="TOG238"/>
      <c r="TOH238"/>
      <c r="TOI238"/>
      <c r="TOJ238"/>
      <c r="TOK238"/>
      <c r="TOL238"/>
      <c r="TOM238"/>
      <c r="TON238"/>
      <c r="TOO238"/>
      <c r="TOP238"/>
      <c r="TOQ238"/>
      <c r="TOR238"/>
      <c r="TOS238"/>
      <c r="TOT238"/>
      <c r="TOU238"/>
      <c r="TOV238"/>
      <c r="TOW238"/>
      <c r="TOX238"/>
      <c r="TOY238"/>
      <c r="TOZ238"/>
      <c r="TPA238"/>
      <c r="TPB238"/>
      <c r="TPC238"/>
      <c r="TPD238"/>
      <c r="TPE238"/>
      <c r="TPF238"/>
      <c r="TPG238"/>
      <c r="TPH238"/>
      <c r="TPI238"/>
      <c r="TPJ238"/>
      <c r="TPK238"/>
      <c r="TPL238"/>
      <c r="TPM238"/>
      <c r="TPN238"/>
      <c r="TPO238"/>
      <c r="TPP238"/>
      <c r="TPQ238"/>
      <c r="TPR238"/>
      <c r="TPS238"/>
      <c r="TPT238"/>
      <c r="TPU238"/>
      <c r="TPV238"/>
      <c r="TPW238"/>
      <c r="TPX238"/>
      <c r="TPY238"/>
      <c r="TPZ238"/>
      <c r="TQA238"/>
      <c r="TQB238"/>
      <c r="TQC238"/>
      <c r="TQD238"/>
      <c r="TQE238"/>
      <c r="TQF238"/>
      <c r="TQG238"/>
      <c r="TQH238"/>
      <c r="TQI238"/>
      <c r="TQJ238"/>
      <c r="TQK238"/>
      <c r="TQL238"/>
      <c r="TQM238"/>
      <c r="TQN238"/>
      <c r="TQO238"/>
      <c r="TQP238"/>
      <c r="TQQ238"/>
      <c r="TQR238"/>
      <c r="TQS238"/>
      <c r="TQT238"/>
      <c r="TQU238"/>
      <c r="TQV238"/>
      <c r="TQW238"/>
      <c r="TQX238"/>
      <c r="TQY238"/>
      <c r="TQZ238"/>
      <c r="TRA238"/>
      <c r="TRB238"/>
      <c r="TRC238"/>
      <c r="TRD238"/>
      <c r="TRE238"/>
      <c r="TRF238"/>
      <c r="TRG238"/>
      <c r="TRH238"/>
      <c r="TRI238"/>
      <c r="TRJ238"/>
      <c r="TRK238"/>
      <c r="TRL238"/>
      <c r="TRM238"/>
      <c r="TRN238"/>
      <c r="TRO238"/>
      <c r="TRP238"/>
      <c r="TRQ238"/>
      <c r="TRR238"/>
      <c r="TRS238"/>
      <c r="TRT238"/>
      <c r="TRU238"/>
      <c r="TRV238"/>
      <c r="TRW238"/>
      <c r="TRX238"/>
      <c r="TRY238"/>
      <c r="TRZ238"/>
      <c r="TSA238"/>
      <c r="TSB238"/>
      <c r="TSC238"/>
      <c r="TSD238"/>
      <c r="TSE238"/>
      <c r="TSF238"/>
      <c r="TSG238"/>
      <c r="TSH238"/>
      <c r="TSI238"/>
      <c r="TSJ238"/>
      <c r="TSK238"/>
      <c r="TSL238"/>
      <c r="TSM238"/>
      <c r="TSN238"/>
      <c r="TSO238"/>
      <c r="TSP238"/>
      <c r="TSQ238"/>
      <c r="TSR238"/>
      <c r="TSS238"/>
      <c r="TST238"/>
      <c r="TSU238"/>
      <c r="TSV238"/>
      <c r="TSW238"/>
      <c r="TSX238"/>
      <c r="TSY238"/>
      <c r="TSZ238"/>
      <c r="TTA238"/>
      <c r="TTB238"/>
      <c r="TTC238"/>
      <c r="TTD238"/>
      <c r="TTE238"/>
      <c r="TTF238"/>
      <c r="TTG238"/>
      <c r="TTH238"/>
      <c r="TTI238"/>
      <c r="TTJ238"/>
      <c r="TTK238"/>
      <c r="TTL238"/>
      <c r="TTM238"/>
      <c r="TTN238"/>
      <c r="TTO238"/>
      <c r="TTP238"/>
      <c r="TTQ238"/>
      <c r="TTR238"/>
      <c r="TTS238"/>
      <c r="TTT238"/>
      <c r="TTU238"/>
      <c r="TTV238"/>
      <c r="TTW238"/>
      <c r="TTX238"/>
      <c r="TTY238"/>
      <c r="TTZ238"/>
      <c r="TUA238"/>
      <c r="TUB238"/>
      <c r="TUC238"/>
      <c r="TUD238"/>
      <c r="TUE238"/>
      <c r="TUF238"/>
      <c r="TUG238"/>
      <c r="TUH238"/>
      <c r="TUI238"/>
      <c r="TUJ238"/>
      <c r="TUK238"/>
      <c r="TUL238"/>
      <c r="TUM238"/>
      <c r="TUN238"/>
      <c r="TUO238"/>
      <c r="TUP238"/>
      <c r="TUQ238"/>
      <c r="TUR238"/>
      <c r="TUS238"/>
      <c r="TUT238"/>
      <c r="TUU238"/>
      <c r="TUV238"/>
      <c r="TUW238"/>
      <c r="TUX238"/>
      <c r="TUY238"/>
      <c r="TUZ238"/>
      <c r="TVA238"/>
      <c r="TVB238"/>
      <c r="TVC238"/>
      <c r="TVD238"/>
      <c r="TVE238"/>
      <c r="TVF238"/>
      <c r="TVG238"/>
      <c r="TVH238"/>
      <c r="TVI238"/>
      <c r="TVJ238"/>
      <c r="TVK238"/>
      <c r="TVL238"/>
      <c r="TVM238"/>
      <c r="TVN238"/>
      <c r="TVO238"/>
      <c r="TVP238"/>
      <c r="TVQ238"/>
      <c r="TVR238"/>
      <c r="TVS238"/>
      <c r="TVT238"/>
      <c r="TVU238"/>
      <c r="TVV238"/>
      <c r="TVW238"/>
      <c r="TVX238"/>
      <c r="TVY238"/>
      <c r="TVZ238"/>
      <c r="TWA238"/>
      <c r="TWB238"/>
      <c r="TWC238"/>
      <c r="TWD238"/>
      <c r="TWE238"/>
      <c r="TWF238"/>
      <c r="TWG238"/>
      <c r="TWH238"/>
      <c r="TWI238"/>
      <c r="TWJ238"/>
      <c r="TWK238"/>
      <c r="TWL238"/>
      <c r="TWM238"/>
      <c r="TWN238"/>
      <c r="TWO238"/>
      <c r="TWP238"/>
      <c r="TWQ238"/>
      <c r="TWR238"/>
      <c r="TWS238"/>
      <c r="TWT238"/>
      <c r="TWU238"/>
      <c r="TWV238"/>
      <c r="TWW238"/>
      <c r="TWX238"/>
      <c r="TWY238"/>
      <c r="TWZ238"/>
      <c r="TXA238"/>
      <c r="TXB238"/>
      <c r="TXC238"/>
      <c r="TXD238"/>
      <c r="TXE238"/>
      <c r="TXF238"/>
      <c r="TXG238"/>
      <c r="TXH238"/>
      <c r="TXI238"/>
      <c r="TXJ238"/>
      <c r="TXK238"/>
      <c r="TXL238"/>
      <c r="TXM238"/>
      <c r="TXN238"/>
      <c r="TXO238"/>
      <c r="TXP238"/>
      <c r="TXQ238"/>
      <c r="TXR238"/>
      <c r="TXS238"/>
      <c r="TXT238"/>
      <c r="TXU238"/>
      <c r="TXV238"/>
      <c r="TXW238"/>
      <c r="TXX238"/>
      <c r="TXY238"/>
      <c r="TXZ238"/>
      <c r="TYA238"/>
      <c r="TYB238"/>
      <c r="TYC238"/>
      <c r="TYD238"/>
      <c r="TYE238"/>
      <c r="TYF238"/>
      <c r="TYG238"/>
      <c r="TYH238"/>
      <c r="TYI238"/>
      <c r="TYJ238"/>
      <c r="TYK238"/>
      <c r="TYL238"/>
      <c r="TYM238"/>
      <c r="TYN238"/>
      <c r="TYO238"/>
      <c r="TYP238"/>
      <c r="TYQ238"/>
      <c r="TYR238"/>
      <c r="TYS238"/>
      <c r="TYT238"/>
      <c r="TYU238"/>
      <c r="TYV238"/>
      <c r="TYW238"/>
      <c r="TYX238"/>
      <c r="TYY238"/>
      <c r="TYZ238"/>
      <c r="TZA238"/>
      <c r="TZB238"/>
      <c r="TZC238"/>
      <c r="TZD238"/>
      <c r="TZE238"/>
      <c r="TZF238"/>
      <c r="TZG238"/>
      <c r="TZH238"/>
      <c r="TZI238"/>
      <c r="TZJ238"/>
      <c r="TZK238"/>
      <c r="TZL238"/>
      <c r="TZM238"/>
      <c r="TZN238"/>
      <c r="TZO238"/>
      <c r="TZP238"/>
      <c r="TZQ238"/>
      <c r="TZR238"/>
      <c r="TZS238"/>
      <c r="TZT238"/>
      <c r="TZU238"/>
      <c r="TZV238"/>
      <c r="TZW238"/>
      <c r="TZX238"/>
      <c r="TZY238"/>
      <c r="TZZ238"/>
      <c r="UAA238"/>
      <c r="UAB238"/>
      <c r="UAC238"/>
      <c r="UAD238"/>
      <c r="UAE238"/>
      <c r="UAF238"/>
      <c r="UAG238"/>
      <c r="UAH238"/>
      <c r="UAI238"/>
      <c r="UAJ238"/>
      <c r="UAK238"/>
      <c r="UAL238"/>
      <c r="UAM238"/>
      <c r="UAN238"/>
      <c r="UAO238"/>
      <c r="UAP238"/>
      <c r="UAQ238"/>
      <c r="UAR238"/>
      <c r="UAS238"/>
      <c r="UAT238"/>
      <c r="UAU238"/>
      <c r="UAV238"/>
      <c r="UAW238"/>
      <c r="UAX238"/>
      <c r="UAY238"/>
      <c r="UAZ238"/>
      <c r="UBA238"/>
      <c r="UBB238"/>
      <c r="UBC238"/>
      <c r="UBD238"/>
      <c r="UBE238"/>
      <c r="UBF238"/>
      <c r="UBG238"/>
      <c r="UBH238"/>
      <c r="UBI238"/>
      <c r="UBJ238"/>
      <c r="UBK238"/>
      <c r="UBL238"/>
      <c r="UBM238"/>
      <c r="UBN238"/>
      <c r="UBO238"/>
      <c r="UBP238"/>
      <c r="UBQ238"/>
      <c r="UBR238"/>
      <c r="UBS238"/>
      <c r="UBT238"/>
      <c r="UBU238"/>
      <c r="UBV238"/>
      <c r="UBW238"/>
      <c r="UBX238"/>
      <c r="UBY238"/>
      <c r="UBZ238"/>
      <c r="UCA238"/>
      <c r="UCB238"/>
      <c r="UCC238"/>
      <c r="UCD238"/>
      <c r="UCE238"/>
      <c r="UCF238"/>
      <c r="UCG238"/>
      <c r="UCH238"/>
      <c r="UCI238"/>
      <c r="UCJ238"/>
      <c r="UCK238"/>
      <c r="UCL238"/>
      <c r="UCM238"/>
      <c r="UCN238"/>
      <c r="UCO238"/>
      <c r="UCP238"/>
      <c r="UCQ238"/>
      <c r="UCR238"/>
      <c r="UCS238"/>
      <c r="UCT238"/>
      <c r="UCU238"/>
      <c r="UCV238"/>
      <c r="UCW238"/>
      <c r="UCX238"/>
      <c r="UCY238"/>
      <c r="UCZ238"/>
      <c r="UDA238"/>
      <c r="UDB238"/>
      <c r="UDC238"/>
      <c r="UDD238"/>
      <c r="UDE238"/>
      <c r="UDF238"/>
      <c r="UDG238"/>
      <c r="UDH238"/>
      <c r="UDI238"/>
      <c r="UDJ238"/>
      <c r="UDK238"/>
      <c r="UDL238"/>
      <c r="UDM238"/>
      <c r="UDN238"/>
      <c r="UDO238"/>
      <c r="UDP238"/>
      <c r="UDQ238"/>
      <c r="UDR238"/>
      <c r="UDS238"/>
      <c r="UDT238"/>
      <c r="UDU238"/>
      <c r="UDV238"/>
      <c r="UDW238"/>
      <c r="UDX238"/>
      <c r="UDY238"/>
      <c r="UDZ238"/>
      <c r="UEA238"/>
      <c r="UEB238"/>
      <c r="UEC238"/>
      <c r="UED238"/>
      <c r="UEE238"/>
      <c r="UEF238"/>
      <c r="UEG238"/>
      <c r="UEH238"/>
      <c r="UEI238"/>
      <c r="UEJ238"/>
      <c r="UEK238"/>
      <c r="UEL238"/>
      <c r="UEM238"/>
      <c r="UEN238"/>
      <c r="UEO238"/>
      <c r="UEP238"/>
      <c r="UEQ238"/>
      <c r="UER238"/>
      <c r="UES238"/>
      <c r="UET238"/>
      <c r="UEU238"/>
      <c r="UEV238"/>
      <c r="UEW238"/>
      <c r="UEX238"/>
      <c r="UEY238"/>
      <c r="UEZ238"/>
      <c r="UFA238"/>
      <c r="UFB238"/>
      <c r="UFC238"/>
      <c r="UFD238"/>
      <c r="UFE238"/>
      <c r="UFF238"/>
      <c r="UFG238"/>
      <c r="UFH238"/>
      <c r="UFI238"/>
      <c r="UFJ238"/>
      <c r="UFK238"/>
      <c r="UFL238"/>
      <c r="UFM238"/>
      <c r="UFN238"/>
      <c r="UFO238"/>
      <c r="UFP238"/>
      <c r="UFQ238"/>
      <c r="UFR238"/>
      <c r="UFS238"/>
      <c r="UFT238"/>
      <c r="UFU238"/>
      <c r="UFV238"/>
      <c r="UFW238"/>
      <c r="UFX238"/>
      <c r="UFY238"/>
      <c r="UFZ238"/>
      <c r="UGA238"/>
      <c r="UGB238"/>
      <c r="UGC238"/>
      <c r="UGD238"/>
      <c r="UGE238"/>
      <c r="UGF238"/>
      <c r="UGG238"/>
      <c r="UGH238"/>
      <c r="UGI238"/>
      <c r="UGJ238"/>
      <c r="UGK238"/>
      <c r="UGL238"/>
      <c r="UGM238"/>
      <c r="UGN238"/>
      <c r="UGO238"/>
      <c r="UGP238"/>
      <c r="UGQ238"/>
      <c r="UGR238"/>
      <c r="UGS238"/>
      <c r="UGT238"/>
      <c r="UGU238"/>
      <c r="UGV238"/>
      <c r="UGW238"/>
      <c r="UGX238"/>
      <c r="UGY238"/>
      <c r="UGZ238"/>
      <c r="UHA238"/>
      <c r="UHB238"/>
      <c r="UHC238"/>
      <c r="UHD238"/>
      <c r="UHE238"/>
      <c r="UHF238"/>
      <c r="UHG238"/>
      <c r="UHH238"/>
      <c r="UHI238"/>
      <c r="UHJ238"/>
      <c r="UHK238"/>
      <c r="UHL238"/>
      <c r="UHM238"/>
      <c r="UHN238"/>
      <c r="UHO238"/>
      <c r="UHP238"/>
      <c r="UHQ238"/>
      <c r="UHR238"/>
      <c r="UHS238"/>
      <c r="UHT238"/>
      <c r="UHU238"/>
      <c r="UHV238"/>
      <c r="UHW238"/>
      <c r="UHX238"/>
      <c r="UHY238"/>
      <c r="UHZ238"/>
      <c r="UIA238"/>
      <c r="UIB238"/>
      <c r="UIC238"/>
      <c r="UID238"/>
      <c r="UIE238"/>
      <c r="UIF238"/>
      <c r="UIG238"/>
      <c r="UIH238"/>
      <c r="UII238"/>
      <c r="UIJ238"/>
      <c r="UIK238"/>
      <c r="UIL238"/>
      <c r="UIM238"/>
      <c r="UIN238"/>
      <c r="UIO238"/>
      <c r="UIP238"/>
      <c r="UIQ238"/>
      <c r="UIR238"/>
      <c r="UIS238"/>
      <c r="UIT238"/>
      <c r="UIU238"/>
      <c r="UIV238"/>
      <c r="UIW238"/>
      <c r="UIX238"/>
      <c r="UIY238"/>
      <c r="UIZ238"/>
      <c r="UJA238"/>
      <c r="UJB238"/>
      <c r="UJC238"/>
      <c r="UJD238"/>
      <c r="UJE238"/>
      <c r="UJF238"/>
      <c r="UJG238"/>
      <c r="UJH238"/>
      <c r="UJI238"/>
      <c r="UJJ238"/>
      <c r="UJK238"/>
      <c r="UJL238"/>
      <c r="UJM238"/>
      <c r="UJN238"/>
      <c r="UJO238"/>
      <c r="UJP238"/>
      <c r="UJQ238"/>
      <c r="UJR238"/>
      <c r="UJS238"/>
      <c r="UJT238"/>
      <c r="UJU238"/>
      <c r="UJV238"/>
      <c r="UJW238"/>
      <c r="UJX238"/>
      <c r="UJY238"/>
      <c r="UJZ238"/>
      <c r="UKA238"/>
      <c r="UKB238"/>
      <c r="UKC238"/>
      <c r="UKD238"/>
      <c r="UKE238"/>
      <c r="UKF238"/>
      <c r="UKG238"/>
      <c r="UKH238"/>
      <c r="UKI238"/>
      <c r="UKJ238"/>
      <c r="UKK238"/>
      <c r="UKL238"/>
      <c r="UKM238"/>
      <c r="UKN238"/>
      <c r="UKO238"/>
      <c r="UKP238"/>
      <c r="UKQ238"/>
      <c r="UKR238"/>
      <c r="UKS238"/>
      <c r="UKT238"/>
      <c r="UKU238"/>
      <c r="UKV238"/>
      <c r="UKW238"/>
      <c r="UKX238"/>
      <c r="UKY238"/>
      <c r="UKZ238"/>
      <c r="ULA238"/>
      <c r="ULB238"/>
      <c r="ULC238"/>
      <c r="ULD238"/>
      <c r="ULE238"/>
      <c r="ULF238"/>
      <c r="ULG238"/>
      <c r="ULH238"/>
      <c r="ULI238"/>
      <c r="ULJ238"/>
      <c r="ULK238"/>
      <c r="ULL238"/>
      <c r="ULM238"/>
      <c r="ULN238"/>
      <c r="ULO238"/>
      <c r="ULP238"/>
      <c r="ULQ238"/>
      <c r="ULR238"/>
      <c r="ULS238"/>
      <c r="ULT238"/>
      <c r="ULU238"/>
      <c r="ULV238"/>
      <c r="ULW238"/>
      <c r="ULX238"/>
      <c r="ULY238"/>
      <c r="ULZ238"/>
      <c r="UMA238"/>
      <c r="UMB238"/>
      <c r="UMC238"/>
      <c r="UMD238"/>
      <c r="UME238"/>
      <c r="UMF238"/>
      <c r="UMG238"/>
      <c r="UMH238"/>
      <c r="UMI238"/>
      <c r="UMJ238"/>
      <c r="UMK238"/>
      <c r="UML238"/>
      <c r="UMM238"/>
      <c r="UMN238"/>
      <c r="UMO238"/>
      <c r="UMP238"/>
      <c r="UMQ238"/>
      <c r="UMR238"/>
      <c r="UMS238"/>
      <c r="UMT238"/>
      <c r="UMU238"/>
      <c r="UMV238"/>
      <c r="UMW238"/>
      <c r="UMX238"/>
      <c r="UMY238"/>
      <c r="UMZ238"/>
      <c r="UNA238"/>
      <c r="UNB238"/>
      <c r="UNC238"/>
      <c r="UND238"/>
      <c r="UNE238"/>
      <c r="UNF238"/>
      <c r="UNG238"/>
      <c r="UNH238"/>
      <c r="UNI238"/>
      <c r="UNJ238"/>
      <c r="UNK238"/>
      <c r="UNL238"/>
      <c r="UNM238"/>
      <c r="UNN238"/>
      <c r="UNO238"/>
      <c r="UNP238"/>
      <c r="UNQ238"/>
      <c r="UNR238"/>
      <c r="UNS238"/>
      <c r="UNT238"/>
      <c r="UNU238"/>
      <c r="UNV238"/>
      <c r="UNW238"/>
      <c r="UNX238"/>
      <c r="UNY238"/>
      <c r="UNZ238"/>
      <c r="UOA238"/>
      <c r="UOB238"/>
      <c r="UOC238"/>
      <c r="UOD238"/>
      <c r="UOE238"/>
      <c r="UOF238"/>
      <c r="UOG238"/>
      <c r="UOH238"/>
      <c r="UOI238"/>
      <c r="UOJ238"/>
      <c r="UOK238"/>
      <c r="UOL238"/>
      <c r="UOM238"/>
      <c r="UON238"/>
      <c r="UOO238"/>
      <c r="UOP238"/>
      <c r="UOQ238"/>
      <c r="UOR238"/>
      <c r="UOS238"/>
      <c r="UOT238"/>
      <c r="UOU238"/>
      <c r="UOV238"/>
      <c r="UOW238"/>
      <c r="UOX238"/>
      <c r="UOY238"/>
      <c r="UOZ238"/>
      <c r="UPA238"/>
      <c r="UPB238"/>
      <c r="UPC238"/>
      <c r="UPD238"/>
      <c r="UPE238"/>
      <c r="UPF238"/>
      <c r="UPG238"/>
      <c r="UPH238"/>
      <c r="UPI238"/>
      <c r="UPJ238"/>
      <c r="UPK238"/>
      <c r="UPL238"/>
      <c r="UPM238"/>
      <c r="UPN238"/>
      <c r="UPO238"/>
      <c r="UPP238"/>
      <c r="UPQ238"/>
      <c r="UPR238"/>
      <c r="UPS238"/>
      <c r="UPT238"/>
      <c r="UPU238"/>
      <c r="UPV238"/>
      <c r="UPW238"/>
      <c r="UPX238"/>
      <c r="UPY238"/>
      <c r="UPZ238"/>
      <c r="UQA238"/>
      <c r="UQB238"/>
      <c r="UQC238"/>
      <c r="UQD238"/>
      <c r="UQE238"/>
      <c r="UQF238"/>
      <c r="UQG238"/>
      <c r="UQH238"/>
      <c r="UQI238"/>
      <c r="UQJ238"/>
      <c r="UQK238"/>
      <c r="UQL238"/>
      <c r="UQM238"/>
      <c r="UQN238"/>
      <c r="UQO238"/>
      <c r="UQP238"/>
      <c r="UQQ238"/>
      <c r="UQR238"/>
      <c r="UQS238"/>
      <c r="UQT238"/>
      <c r="UQU238"/>
      <c r="UQV238"/>
      <c r="UQW238"/>
      <c r="UQX238"/>
      <c r="UQY238"/>
      <c r="UQZ238"/>
      <c r="URA238"/>
      <c r="URB238"/>
      <c r="URC238"/>
      <c r="URD238"/>
      <c r="URE238"/>
      <c r="URF238"/>
      <c r="URG238"/>
      <c r="URH238"/>
      <c r="URI238"/>
      <c r="URJ238"/>
      <c r="URK238"/>
      <c r="URL238"/>
      <c r="URM238"/>
      <c r="URN238"/>
      <c r="URO238"/>
      <c r="URP238"/>
      <c r="URQ238"/>
      <c r="URR238"/>
      <c r="URS238"/>
      <c r="URT238"/>
      <c r="URU238"/>
      <c r="URV238"/>
      <c r="URW238"/>
      <c r="URX238"/>
      <c r="URY238"/>
      <c r="URZ238"/>
      <c r="USA238"/>
      <c r="USB238"/>
      <c r="USC238"/>
      <c r="USD238"/>
      <c r="USE238"/>
      <c r="USF238"/>
      <c r="USG238"/>
      <c r="USH238"/>
      <c r="USI238"/>
      <c r="USJ238"/>
      <c r="USK238"/>
      <c r="USL238"/>
      <c r="USM238"/>
      <c r="USN238"/>
      <c r="USO238"/>
      <c r="USP238"/>
      <c r="USQ238"/>
      <c r="USR238"/>
      <c r="USS238"/>
      <c r="UST238"/>
      <c r="USU238"/>
      <c r="USV238"/>
      <c r="USW238"/>
      <c r="USX238"/>
      <c r="USY238"/>
      <c r="USZ238"/>
      <c r="UTA238"/>
      <c r="UTB238"/>
      <c r="UTC238"/>
      <c r="UTD238"/>
      <c r="UTE238"/>
      <c r="UTF238"/>
      <c r="UTG238"/>
      <c r="UTH238"/>
      <c r="UTI238"/>
      <c r="UTJ238"/>
      <c r="UTK238"/>
      <c r="UTL238"/>
      <c r="UTM238"/>
      <c r="UTN238"/>
      <c r="UTO238"/>
      <c r="UTP238"/>
      <c r="UTQ238"/>
      <c r="UTR238"/>
      <c r="UTS238"/>
      <c r="UTT238"/>
      <c r="UTU238"/>
      <c r="UTV238"/>
      <c r="UTW238"/>
      <c r="UTX238"/>
      <c r="UTY238"/>
      <c r="UTZ238"/>
      <c r="UUA238"/>
      <c r="UUB238"/>
      <c r="UUC238"/>
      <c r="UUD238"/>
      <c r="UUE238"/>
      <c r="UUF238"/>
      <c r="UUG238"/>
      <c r="UUH238"/>
      <c r="UUI238"/>
      <c r="UUJ238"/>
      <c r="UUK238"/>
      <c r="UUL238"/>
      <c r="UUM238"/>
      <c r="UUN238"/>
      <c r="UUO238"/>
      <c r="UUP238"/>
      <c r="UUQ238"/>
      <c r="UUR238"/>
      <c r="UUS238"/>
      <c r="UUT238"/>
      <c r="UUU238"/>
      <c r="UUV238"/>
      <c r="UUW238"/>
      <c r="UUX238"/>
      <c r="UUY238"/>
      <c r="UUZ238"/>
      <c r="UVA238"/>
      <c r="UVB238"/>
      <c r="UVC238"/>
      <c r="UVD238"/>
      <c r="UVE238"/>
      <c r="UVF238"/>
      <c r="UVG238"/>
      <c r="UVH238"/>
      <c r="UVI238"/>
      <c r="UVJ238"/>
      <c r="UVK238"/>
      <c r="UVL238"/>
      <c r="UVM238"/>
      <c r="UVN238"/>
      <c r="UVO238"/>
      <c r="UVP238"/>
      <c r="UVQ238"/>
      <c r="UVR238"/>
      <c r="UVS238"/>
      <c r="UVT238"/>
      <c r="UVU238"/>
      <c r="UVV238"/>
      <c r="UVW238"/>
      <c r="UVX238"/>
      <c r="UVY238"/>
      <c r="UVZ238"/>
      <c r="UWA238"/>
      <c r="UWB238"/>
      <c r="UWC238"/>
      <c r="UWD238"/>
      <c r="UWE238"/>
      <c r="UWF238"/>
      <c r="UWG238"/>
      <c r="UWH238"/>
      <c r="UWI238"/>
      <c r="UWJ238"/>
      <c r="UWK238"/>
      <c r="UWL238"/>
      <c r="UWM238"/>
      <c r="UWN238"/>
      <c r="UWO238"/>
      <c r="UWP238"/>
      <c r="UWQ238"/>
      <c r="UWR238"/>
      <c r="UWS238"/>
      <c r="UWT238"/>
      <c r="UWU238"/>
      <c r="UWV238"/>
      <c r="UWW238"/>
      <c r="UWX238"/>
      <c r="UWY238"/>
      <c r="UWZ238"/>
      <c r="UXA238"/>
      <c r="UXB238"/>
      <c r="UXC238"/>
      <c r="UXD238"/>
      <c r="UXE238"/>
      <c r="UXF238"/>
      <c r="UXG238"/>
      <c r="UXH238"/>
      <c r="UXI238"/>
      <c r="UXJ238"/>
      <c r="UXK238"/>
      <c r="UXL238"/>
      <c r="UXM238"/>
      <c r="UXN238"/>
      <c r="UXO238"/>
      <c r="UXP238"/>
      <c r="UXQ238"/>
      <c r="UXR238"/>
      <c r="UXS238"/>
      <c r="UXT238"/>
      <c r="UXU238"/>
      <c r="UXV238"/>
      <c r="UXW238"/>
      <c r="UXX238"/>
      <c r="UXY238"/>
      <c r="UXZ238"/>
      <c r="UYA238"/>
      <c r="UYB238"/>
      <c r="UYC238"/>
      <c r="UYD238"/>
      <c r="UYE238"/>
      <c r="UYF238"/>
      <c r="UYG238"/>
      <c r="UYH238"/>
      <c r="UYI238"/>
      <c r="UYJ238"/>
      <c r="UYK238"/>
      <c r="UYL238"/>
      <c r="UYM238"/>
      <c r="UYN238"/>
      <c r="UYO238"/>
      <c r="UYP238"/>
      <c r="UYQ238"/>
      <c r="UYR238"/>
      <c r="UYS238"/>
      <c r="UYT238"/>
      <c r="UYU238"/>
      <c r="UYV238"/>
      <c r="UYW238"/>
      <c r="UYX238"/>
      <c r="UYY238"/>
      <c r="UYZ238"/>
      <c r="UZA238"/>
      <c r="UZB238"/>
      <c r="UZC238"/>
      <c r="UZD238"/>
      <c r="UZE238"/>
      <c r="UZF238"/>
      <c r="UZG238"/>
      <c r="UZH238"/>
      <c r="UZI238"/>
      <c r="UZJ238"/>
      <c r="UZK238"/>
      <c r="UZL238"/>
      <c r="UZM238"/>
      <c r="UZN238"/>
      <c r="UZO238"/>
      <c r="UZP238"/>
      <c r="UZQ238"/>
      <c r="UZR238"/>
      <c r="UZS238"/>
      <c r="UZT238"/>
      <c r="UZU238"/>
      <c r="UZV238"/>
      <c r="UZW238"/>
      <c r="UZX238"/>
      <c r="UZY238"/>
      <c r="UZZ238"/>
      <c r="VAA238"/>
      <c r="VAB238"/>
      <c r="VAC238"/>
      <c r="VAD238"/>
      <c r="VAE238"/>
      <c r="VAF238"/>
      <c r="VAG238"/>
      <c r="VAH238"/>
      <c r="VAI238"/>
      <c r="VAJ238"/>
      <c r="VAK238"/>
      <c r="VAL238"/>
      <c r="VAM238"/>
      <c r="VAN238"/>
      <c r="VAO238"/>
      <c r="VAP238"/>
      <c r="VAQ238"/>
      <c r="VAR238"/>
      <c r="VAS238"/>
      <c r="VAT238"/>
      <c r="VAU238"/>
      <c r="VAV238"/>
      <c r="VAW238"/>
      <c r="VAX238"/>
      <c r="VAY238"/>
      <c r="VAZ238"/>
      <c r="VBA238"/>
      <c r="VBB238"/>
      <c r="VBC238"/>
      <c r="VBD238"/>
      <c r="VBE238"/>
      <c r="VBF238"/>
      <c r="VBG238"/>
      <c r="VBH238"/>
      <c r="VBI238"/>
      <c r="VBJ238"/>
      <c r="VBK238"/>
      <c r="VBL238"/>
      <c r="VBM238"/>
      <c r="VBN238"/>
      <c r="VBO238"/>
      <c r="VBP238"/>
      <c r="VBQ238"/>
      <c r="VBR238"/>
      <c r="VBS238"/>
      <c r="VBT238"/>
      <c r="VBU238"/>
      <c r="VBV238"/>
      <c r="VBW238"/>
      <c r="VBX238"/>
      <c r="VBY238"/>
      <c r="VBZ238"/>
      <c r="VCA238"/>
      <c r="VCB238"/>
      <c r="VCC238"/>
      <c r="VCD238"/>
      <c r="VCE238"/>
      <c r="VCF238"/>
      <c r="VCG238"/>
      <c r="VCH238"/>
      <c r="VCI238"/>
      <c r="VCJ238"/>
      <c r="VCK238"/>
      <c r="VCL238"/>
      <c r="VCM238"/>
      <c r="VCN238"/>
      <c r="VCO238"/>
      <c r="VCP238"/>
      <c r="VCQ238"/>
      <c r="VCR238"/>
      <c r="VCS238"/>
      <c r="VCT238"/>
      <c r="VCU238"/>
      <c r="VCV238"/>
      <c r="VCW238"/>
      <c r="VCX238"/>
      <c r="VCY238"/>
      <c r="VCZ238"/>
      <c r="VDA238"/>
      <c r="VDB238"/>
      <c r="VDC238"/>
      <c r="VDD238"/>
      <c r="VDE238"/>
      <c r="VDF238"/>
      <c r="VDG238"/>
      <c r="VDH238"/>
      <c r="VDI238"/>
      <c r="VDJ238"/>
      <c r="VDK238"/>
      <c r="VDL238"/>
      <c r="VDM238"/>
      <c r="VDN238"/>
      <c r="VDO238"/>
      <c r="VDP238"/>
      <c r="VDQ238"/>
      <c r="VDR238"/>
      <c r="VDS238"/>
      <c r="VDT238"/>
      <c r="VDU238"/>
      <c r="VDV238"/>
      <c r="VDW238"/>
      <c r="VDX238"/>
      <c r="VDY238"/>
      <c r="VDZ238"/>
      <c r="VEA238"/>
      <c r="VEB238"/>
      <c r="VEC238"/>
      <c r="VED238"/>
      <c r="VEE238"/>
      <c r="VEF238"/>
      <c r="VEG238"/>
      <c r="VEH238"/>
      <c r="VEI238"/>
      <c r="VEJ238"/>
      <c r="VEK238"/>
      <c r="VEL238"/>
      <c r="VEM238"/>
      <c r="VEN238"/>
      <c r="VEO238"/>
      <c r="VEP238"/>
      <c r="VEQ238"/>
      <c r="VER238"/>
      <c r="VES238"/>
      <c r="VET238"/>
      <c r="VEU238"/>
      <c r="VEV238"/>
      <c r="VEW238"/>
      <c r="VEX238"/>
      <c r="VEY238"/>
      <c r="VEZ238"/>
      <c r="VFA238"/>
      <c r="VFB238"/>
      <c r="VFC238"/>
      <c r="VFD238"/>
      <c r="VFE238"/>
      <c r="VFF238"/>
      <c r="VFG238"/>
      <c r="VFH238"/>
      <c r="VFI238"/>
      <c r="VFJ238"/>
      <c r="VFK238"/>
      <c r="VFL238"/>
      <c r="VFM238"/>
      <c r="VFN238"/>
      <c r="VFO238"/>
      <c r="VFP238"/>
      <c r="VFQ238"/>
      <c r="VFR238"/>
      <c r="VFS238"/>
      <c r="VFT238"/>
      <c r="VFU238"/>
      <c r="VFV238"/>
      <c r="VFW238"/>
      <c r="VFX238"/>
      <c r="VFY238"/>
      <c r="VFZ238"/>
      <c r="VGA238"/>
      <c r="VGB238"/>
      <c r="VGC238"/>
      <c r="VGD238"/>
      <c r="VGE238"/>
      <c r="VGF238"/>
      <c r="VGG238"/>
      <c r="VGH238"/>
      <c r="VGI238"/>
      <c r="VGJ238"/>
      <c r="VGK238"/>
      <c r="VGL238"/>
      <c r="VGM238"/>
      <c r="VGN238"/>
      <c r="VGO238"/>
      <c r="VGP238"/>
      <c r="VGQ238"/>
      <c r="VGR238"/>
      <c r="VGS238"/>
      <c r="VGT238"/>
      <c r="VGU238"/>
      <c r="VGV238"/>
      <c r="VGW238"/>
      <c r="VGX238"/>
      <c r="VGY238"/>
      <c r="VGZ238"/>
      <c r="VHA238"/>
      <c r="VHB238"/>
      <c r="VHC238"/>
      <c r="VHD238"/>
      <c r="VHE238"/>
      <c r="VHF238"/>
      <c r="VHG238"/>
      <c r="VHH238"/>
      <c r="VHI238"/>
      <c r="VHJ238"/>
      <c r="VHK238"/>
      <c r="VHL238"/>
      <c r="VHM238"/>
      <c r="VHN238"/>
      <c r="VHO238"/>
      <c r="VHP238"/>
      <c r="VHQ238"/>
      <c r="VHR238"/>
      <c r="VHS238"/>
      <c r="VHT238"/>
      <c r="VHU238"/>
      <c r="VHV238"/>
      <c r="VHW238"/>
      <c r="VHX238"/>
      <c r="VHY238"/>
      <c r="VHZ238"/>
      <c r="VIA238"/>
      <c r="VIB238"/>
      <c r="VIC238"/>
      <c r="VID238"/>
      <c r="VIE238"/>
      <c r="VIF238"/>
      <c r="VIG238"/>
      <c r="VIH238"/>
      <c r="VII238"/>
      <c r="VIJ238"/>
      <c r="VIK238"/>
      <c r="VIL238"/>
      <c r="VIM238"/>
      <c r="VIN238"/>
      <c r="VIO238"/>
      <c r="VIP238"/>
      <c r="VIQ238"/>
      <c r="VIR238"/>
      <c r="VIS238"/>
      <c r="VIT238"/>
      <c r="VIU238"/>
      <c r="VIV238"/>
      <c r="VIW238"/>
      <c r="VIX238"/>
      <c r="VIY238"/>
      <c r="VIZ238"/>
      <c r="VJA238"/>
      <c r="VJB238"/>
      <c r="VJC238"/>
      <c r="VJD238"/>
      <c r="VJE238"/>
      <c r="VJF238"/>
      <c r="VJG238"/>
      <c r="VJH238"/>
      <c r="VJI238"/>
      <c r="VJJ238"/>
      <c r="VJK238"/>
      <c r="VJL238"/>
      <c r="VJM238"/>
      <c r="VJN238"/>
      <c r="VJO238"/>
      <c r="VJP238"/>
      <c r="VJQ238"/>
      <c r="VJR238"/>
      <c r="VJS238"/>
      <c r="VJT238"/>
      <c r="VJU238"/>
      <c r="VJV238"/>
      <c r="VJW238"/>
      <c r="VJX238"/>
      <c r="VJY238"/>
      <c r="VJZ238"/>
      <c r="VKA238"/>
      <c r="VKB238"/>
      <c r="VKC238"/>
      <c r="VKD238"/>
      <c r="VKE238"/>
      <c r="VKF238"/>
      <c r="VKG238"/>
      <c r="VKH238"/>
      <c r="VKI238"/>
      <c r="VKJ238"/>
      <c r="VKK238"/>
      <c r="VKL238"/>
      <c r="VKM238"/>
      <c r="VKN238"/>
      <c r="VKO238"/>
      <c r="VKP238"/>
      <c r="VKQ238"/>
      <c r="VKR238"/>
      <c r="VKS238"/>
      <c r="VKT238"/>
      <c r="VKU238"/>
      <c r="VKV238"/>
      <c r="VKW238"/>
      <c r="VKX238"/>
      <c r="VKY238"/>
      <c r="VKZ238"/>
      <c r="VLA238"/>
      <c r="VLB238"/>
      <c r="VLC238"/>
      <c r="VLD238"/>
      <c r="VLE238"/>
      <c r="VLF238"/>
      <c r="VLG238"/>
      <c r="VLH238"/>
      <c r="VLI238"/>
      <c r="VLJ238"/>
      <c r="VLK238"/>
      <c r="VLL238"/>
      <c r="VLM238"/>
      <c r="VLN238"/>
      <c r="VLO238"/>
      <c r="VLP238"/>
      <c r="VLQ238"/>
      <c r="VLR238"/>
      <c r="VLS238"/>
      <c r="VLT238"/>
      <c r="VLU238"/>
      <c r="VLV238"/>
      <c r="VLW238"/>
      <c r="VLX238"/>
      <c r="VLY238"/>
      <c r="VLZ238"/>
      <c r="VMA238"/>
      <c r="VMB238"/>
      <c r="VMC238"/>
      <c r="VMD238"/>
      <c r="VME238"/>
      <c r="VMF238"/>
      <c r="VMG238"/>
      <c r="VMH238"/>
      <c r="VMI238"/>
      <c r="VMJ238"/>
      <c r="VMK238"/>
      <c r="VML238"/>
      <c r="VMM238"/>
      <c r="VMN238"/>
      <c r="VMO238"/>
      <c r="VMP238"/>
      <c r="VMQ238"/>
      <c r="VMR238"/>
      <c r="VMS238"/>
      <c r="VMT238"/>
      <c r="VMU238"/>
      <c r="VMV238"/>
      <c r="VMW238"/>
      <c r="VMX238"/>
      <c r="VMY238"/>
      <c r="VMZ238"/>
      <c r="VNA238"/>
      <c r="VNB238"/>
      <c r="VNC238"/>
      <c r="VND238"/>
      <c r="VNE238"/>
      <c r="VNF238"/>
      <c r="VNG238"/>
      <c r="VNH238"/>
      <c r="VNI238"/>
      <c r="VNJ238"/>
      <c r="VNK238"/>
      <c r="VNL238"/>
      <c r="VNM238"/>
      <c r="VNN238"/>
      <c r="VNO238"/>
      <c r="VNP238"/>
      <c r="VNQ238"/>
      <c r="VNR238"/>
      <c r="VNS238"/>
      <c r="VNT238"/>
      <c r="VNU238"/>
      <c r="VNV238"/>
      <c r="VNW238"/>
      <c r="VNX238"/>
      <c r="VNY238"/>
      <c r="VNZ238"/>
      <c r="VOA238"/>
      <c r="VOB238"/>
      <c r="VOC238"/>
      <c r="VOD238"/>
      <c r="VOE238"/>
      <c r="VOF238"/>
      <c r="VOG238"/>
      <c r="VOH238"/>
      <c r="VOI238"/>
      <c r="VOJ238"/>
      <c r="VOK238"/>
      <c r="VOL238"/>
      <c r="VOM238"/>
      <c r="VON238"/>
      <c r="VOO238"/>
      <c r="VOP238"/>
      <c r="VOQ238"/>
      <c r="VOR238"/>
      <c r="VOS238"/>
      <c r="VOT238"/>
      <c r="VOU238"/>
      <c r="VOV238"/>
      <c r="VOW238"/>
      <c r="VOX238"/>
      <c r="VOY238"/>
      <c r="VOZ238"/>
      <c r="VPA238"/>
      <c r="VPB238"/>
      <c r="VPC238"/>
      <c r="VPD238"/>
      <c r="VPE238"/>
      <c r="VPF238"/>
      <c r="VPG238"/>
      <c r="VPH238"/>
      <c r="VPI238"/>
      <c r="VPJ238"/>
      <c r="VPK238"/>
      <c r="VPL238"/>
      <c r="VPM238"/>
      <c r="VPN238"/>
      <c r="VPO238"/>
      <c r="VPP238"/>
      <c r="VPQ238"/>
      <c r="VPR238"/>
      <c r="VPS238"/>
      <c r="VPT238"/>
      <c r="VPU238"/>
      <c r="VPV238"/>
      <c r="VPW238"/>
      <c r="VPX238"/>
      <c r="VPY238"/>
      <c r="VPZ238"/>
      <c r="VQA238"/>
      <c r="VQB238"/>
      <c r="VQC238"/>
      <c r="VQD238"/>
      <c r="VQE238"/>
      <c r="VQF238"/>
      <c r="VQG238"/>
      <c r="VQH238"/>
      <c r="VQI238"/>
      <c r="VQJ238"/>
      <c r="VQK238"/>
      <c r="VQL238"/>
      <c r="VQM238"/>
      <c r="VQN238"/>
      <c r="VQO238"/>
      <c r="VQP238"/>
      <c r="VQQ238"/>
      <c r="VQR238"/>
      <c r="VQS238"/>
      <c r="VQT238"/>
      <c r="VQU238"/>
      <c r="VQV238"/>
      <c r="VQW238"/>
      <c r="VQX238"/>
      <c r="VQY238"/>
      <c r="VQZ238"/>
      <c r="VRA238"/>
      <c r="VRB238"/>
      <c r="VRC238"/>
      <c r="VRD238"/>
      <c r="VRE238"/>
      <c r="VRF238"/>
      <c r="VRG238"/>
      <c r="VRH238"/>
      <c r="VRI238"/>
      <c r="VRJ238"/>
      <c r="VRK238"/>
      <c r="VRL238"/>
      <c r="VRM238"/>
      <c r="VRN238"/>
      <c r="VRO238"/>
      <c r="VRP238"/>
      <c r="VRQ238"/>
      <c r="VRR238"/>
      <c r="VRS238"/>
      <c r="VRT238"/>
      <c r="VRU238"/>
      <c r="VRV238"/>
      <c r="VRW238"/>
      <c r="VRX238"/>
      <c r="VRY238"/>
      <c r="VRZ238"/>
      <c r="VSA238"/>
      <c r="VSB238"/>
      <c r="VSC238"/>
      <c r="VSD238"/>
      <c r="VSE238"/>
      <c r="VSF238"/>
      <c r="VSG238"/>
      <c r="VSH238"/>
      <c r="VSI238"/>
      <c r="VSJ238"/>
      <c r="VSK238"/>
      <c r="VSL238"/>
      <c r="VSM238"/>
      <c r="VSN238"/>
      <c r="VSO238"/>
      <c r="VSP238"/>
      <c r="VSQ238"/>
      <c r="VSR238"/>
      <c r="VSS238"/>
      <c r="VST238"/>
      <c r="VSU238"/>
      <c r="VSV238"/>
      <c r="VSW238"/>
      <c r="VSX238"/>
      <c r="VSY238"/>
      <c r="VSZ238"/>
      <c r="VTA238"/>
      <c r="VTB238"/>
      <c r="VTC238"/>
      <c r="VTD238"/>
      <c r="VTE238"/>
      <c r="VTF238"/>
      <c r="VTG238"/>
      <c r="VTH238"/>
      <c r="VTI238"/>
      <c r="VTJ238"/>
      <c r="VTK238"/>
      <c r="VTL238"/>
      <c r="VTM238"/>
      <c r="VTN238"/>
      <c r="VTO238"/>
      <c r="VTP238"/>
      <c r="VTQ238"/>
      <c r="VTR238"/>
      <c r="VTS238"/>
      <c r="VTT238"/>
      <c r="VTU238"/>
      <c r="VTV238"/>
      <c r="VTW238"/>
      <c r="VTX238"/>
      <c r="VTY238"/>
      <c r="VTZ238"/>
      <c r="VUA238"/>
      <c r="VUB238"/>
      <c r="VUC238"/>
      <c r="VUD238"/>
      <c r="VUE238"/>
      <c r="VUF238"/>
      <c r="VUG238"/>
      <c r="VUH238"/>
      <c r="VUI238"/>
      <c r="VUJ238"/>
      <c r="VUK238"/>
      <c r="VUL238"/>
      <c r="VUM238"/>
      <c r="VUN238"/>
      <c r="VUO238"/>
      <c r="VUP238"/>
      <c r="VUQ238"/>
      <c r="VUR238"/>
      <c r="VUS238"/>
      <c r="VUT238"/>
      <c r="VUU238"/>
      <c r="VUV238"/>
      <c r="VUW238"/>
      <c r="VUX238"/>
      <c r="VUY238"/>
      <c r="VUZ238"/>
      <c r="VVA238"/>
      <c r="VVB238"/>
      <c r="VVC238"/>
      <c r="VVD238"/>
      <c r="VVE238"/>
      <c r="VVF238"/>
      <c r="VVG238"/>
      <c r="VVH238"/>
      <c r="VVI238"/>
      <c r="VVJ238"/>
      <c r="VVK238"/>
      <c r="VVL238"/>
      <c r="VVM238"/>
      <c r="VVN238"/>
      <c r="VVO238"/>
      <c r="VVP238"/>
      <c r="VVQ238"/>
      <c r="VVR238"/>
      <c r="VVS238"/>
      <c r="VVT238"/>
      <c r="VVU238"/>
      <c r="VVV238"/>
      <c r="VVW238"/>
      <c r="VVX238"/>
      <c r="VVY238"/>
      <c r="VVZ238"/>
      <c r="VWA238"/>
      <c r="VWB238"/>
      <c r="VWC238"/>
      <c r="VWD238"/>
      <c r="VWE238"/>
      <c r="VWF238"/>
      <c r="VWG238"/>
      <c r="VWH238"/>
      <c r="VWI238"/>
      <c r="VWJ238"/>
      <c r="VWK238"/>
      <c r="VWL238"/>
      <c r="VWM238"/>
      <c r="VWN238"/>
      <c r="VWO238"/>
      <c r="VWP238"/>
      <c r="VWQ238"/>
      <c r="VWR238"/>
      <c r="VWS238"/>
      <c r="VWT238"/>
      <c r="VWU238"/>
      <c r="VWV238"/>
      <c r="VWW238"/>
      <c r="VWX238"/>
      <c r="VWY238"/>
      <c r="VWZ238"/>
      <c r="VXA238"/>
      <c r="VXB238"/>
      <c r="VXC238"/>
      <c r="VXD238"/>
      <c r="VXE238"/>
      <c r="VXF238"/>
      <c r="VXG238"/>
      <c r="VXH238"/>
      <c r="VXI238"/>
      <c r="VXJ238"/>
      <c r="VXK238"/>
      <c r="VXL238"/>
      <c r="VXM238"/>
      <c r="VXN238"/>
      <c r="VXO238"/>
      <c r="VXP238"/>
      <c r="VXQ238"/>
      <c r="VXR238"/>
      <c r="VXS238"/>
      <c r="VXT238"/>
      <c r="VXU238"/>
      <c r="VXV238"/>
      <c r="VXW238"/>
      <c r="VXX238"/>
      <c r="VXY238"/>
      <c r="VXZ238"/>
      <c r="VYA238"/>
      <c r="VYB238"/>
      <c r="VYC238"/>
      <c r="VYD238"/>
      <c r="VYE238"/>
      <c r="VYF238"/>
      <c r="VYG238"/>
      <c r="VYH238"/>
      <c r="VYI238"/>
      <c r="VYJ238"/>
      <c r="VYK238"/>
      <c r="VYL238"/>
      <c r="VYM238"/>
      <c r="VYN238"/>
      <c r="VYO238"/>
      <c r="VYP238"/>
      <c r="VYQ238"/>
      <c r="VYR238"/>
      <c r="VYS238"/>
      <c r="VYT238"/>
      <c r="VYU238"/>
      <c r="VYV238"/>
      <c r="VYW238"/>
      <c r="VYX238"/>
      <c r="VYY238"/>
      <c r="VYZ238"/>
      <c r="VZA238"/>
      <c r="VZB238"/>
      <c r="VZC238"/>
      <c r="VZD238"/>
      <c r="VZE238"/>
      <c r="VZF238"/>
      <c r="VZG238"/>
      <c r="VZH238"/>
      <c r="VZI238"/>
      <c r="VZJ238"/>
      <c r="VZK238"/>
      <c r="VZL238"/>
      <c r="VZM238"/>
      <c r="VZN238"/>
      <c r="VZO238"/>
      <c r="VZP238"/>
      <c r="VZQ238"/>
      <c r="VZR238"/>
      <c r="VZS238"/>
      <c r="VZT238"/>
      <c r="VZU238"/>
      <c r="VZV238"/>
      <c r="VZW238"/>
      <c r="VZX238"/>
      <c r="VZY238"/>
      <c r="VZZ238"/>
      <c r="WAA238"/>
      <c r="WAB238"/>
      <c r="WAC238"/>
      <c r="WAD238"/>
      <c r="WAE238"/>
      <c r="WAF238"/>
      <c r="WAG238"/>
      <c r="WAH238"/>
      <c r="WAI238"/>
      <c r="WAJ238"/>
      <c r="WAK238"/>
      <c r="WAL238"/>
      <c r="WAM238"/>
      <c r="WAN238"/>
      <c r="WAO238"/>
      <c r="WAP238"/>
      <c r="WAQ238"/>
      <c r="WAR238"/>
      <c r="WAS238"/>
      <c r="WAT238"/>
      <c r="WAU238"/>
      <c r="WAV238"/>
      <c r="WAW238"/>
      <c r="WAX238"/>
      <c r="WAY238"/>
      <c r="WAZ238"/>
      <c r="WBA238"/>
      <c r="WBB238"/>
      <c r="WBC238"/>
      <c r="WBD238"/>
      <c r="WBE238"/>
      <c r="WBF238"/>
      <c r="WBG238"/>
      <c r="WBH238"/>
      <c r="WBI238"/>
      <c r="WBJ238"/>
      <c r="WBK238"/>
      <c r="WBL238"/>
      <c r="WBM238"/>
      <c r="WBN238"/>
      <c r="WBO238"/>
      <c r="WBP238"/>
      <c r="WBQ238"/>
      <c r="WBR238"/>
      <c r="WBS238"/>
      <c r="WBT238"/>
      <c r="WBU238"/>
      <c r="WBV238"/>
      <c r="WBW238"/>
      <c r="WBX238"/>
      <c r="WBY238"/>
      <c r="WBZ238"/>
      <c r="WCA238"/>
      <c r="WCB238"/>
      <c r="WCC238"/>
      <c r="WCD238"/>
      <c r="WCE238"/>
      <c r="WCF238"/>
      <c r="WCG238"/>
      <c r="WCH238"/>
      <c r="WCI238"/>
      <c r="WCJ238"/>
      <c r="WCK238"/>
      <c r="WCL238"/>
      <c r="WCM238"/>
      <c r="WCN238"/>
      <c r="WCO238"/>
      <c r="WCP238"/>
      <c r="WCQ238"/>
      <c r="WCR238"/>
      <c r="WCS238"/>
      <c r="WCT238"/>
      <c r="WCU238"/>
      <c r="WCV238"/>
      <c r="WCW238"/>
      <c r="WCX238"/>
      <c r="WCY238"/>
      <c r="WCZ238"/>
      <c r="WDA238"/>
      <c r="WDB238"/>
      <c r="WDC238"/>
      <c r="WDD238"/>
      <c r="WDE238"/>
      <c r="WDF238"/>
      <c r="WDG238"/>
      <c r="WDH238"/>
      <c r="WDI238"/>
      <c r="WDJ238"/>
      <c r="WDK238"/>
      <c r="WDL238"/>
      <c r="WDM238"/>
      <c r="WDN238"/>
      <c r="WDO238"/>
      <c r="WDP238"/>
      <c r="WDQ238"/>
      <c r="WDR238"/>
      <c r="WDS238"/>
      <c r="WDT238"/>
      <c r="WDU238"/>
      <c r="WDV238"/>
      <c r="WDW238"/>
      <c r="WDX238"/>
      <c r="WDY238"/>
      <c r="WDZ238"/>
      <c r="WEA238"/>
      <c r="WEB238"/>
      <c r="WEC238"/>
      <c r="WED238"/>
      <c r="WEE238"/>
      <c r="WEF238"/>
      <c r="WEG238"/>
      <c r="WEH238"/>
      <c r="WEI238"/>
      <c r="WEJ238"/>
      <c r="WEK238"/>
      <c r="WEL238"/>
      <c r="WEM238"/>
      <c r="WEN238"/>
      <c r="WEO238"/>
      <c r="WEP238"/>
      <c r="WEQ238"/>
      <c r="WER238"/>
      <c r="WES238"/>
      <c r="WET238"/>
      <c r="WEU238"/>
      <c r="WEV238"/>
      <c r="WEW238"/>
      <c r="WEX238"/>
      <c r="WEY238"/>
      <c r="WEZ238"/>
      <c r="WFA238"/>
      <c r="WFB238"/>
      <c r="WFC238"/>
      <c r="WFD238"/>
      <c r="WFE238"/>
      <c r="WFF238"/>
      <c r="WFG238"/>
      <c r="WFH238"/>
      <c r="WFI238"/>
      <c r="WFJ238"/>
      <c r="WFK238"/>
      <c r="WFL238"/>
      <c r="WFM238"/>
      <c r="WFN238"/>
      <c r="WFO238"/>
      <c r="WFP238"/>
      <c r="WFQ238"/>
      <c r="WFR238"/>
      <c r="WFS238"/>
      <c r="WFT238"/>
      <c r="WFU238"/>
      <c r="WFV238"/>
      <c r="WFW238"/>
      <c r="WFX238"/>
      <c r="WFY238"/>
      <c r="WFZ238"/>
      <c r="WGA238"/>
      <c r="WGB238"/>
      <c r="WGC238"/>
      <c r="WGD238"/>
      <c r="WGE238"/>
      <c r="WGF238"/>
      <c r="WGG238"/>
      <c r="WGH238"/>
      <c r="WGI238"/>
      <c r="WGJ238"/>
      <c r="WGK238"/>
      <c r="WGL238"/>
      <c r="WGM238"/>
      <c r="WGN238"/>
      <c r="WGO238"/>
      <c r="WGP238"/>
      <c r="WGQ238"/>
      <c r="WGR238"/>
      <c r="WGS238"/>
      <c r="WGT238"/>
      <c r="WGU238"/>
      <c r="WGV238"/>
      <c r="WGW238"/>
      <c r="WGX238"/>
      <c r="WGY238"/>
      <c r="WGZ238"/>
      <c r="WHA238"/>
      <c r="WHB238"/>
      <c r="WHC238"/>
      <c r="WHD238"/>
      <c r="WHE238"/>
      <c r="WHF238"/>
      <c r="WHG238"/>
      <c r="WHH238"/>
      <c r="WHI238"/>
      <c r="WHJ238"/>
      <c r="WHK238"/>
      <c r="WHL238"/>
      <c r="WHM238"/>
      <c r="WHN238"/>
      <c r="WHO238"/>
      <c r="WHP238"/>
      <c r="WHQ238"/>
      <c r="WHR238"/>
      <c r="WHS238"/>
      <c r="WHT238"/>
      <c r="WHU238"/>
      <c r="WHV238"/>
      <c r="WHW238"/>
      <c r="WHX238"/>
      <c r="WHY238"/>
      <c r="WHZ238"/>
      <c r="WIA238"/>
      <c r="WIB238"/>
      <c r="WIC238"/>
      <c r="WID238"/>
      <c r="WIE238"/>
      <c r="WIF238"/>
      <c r="WIG238"/>
      <c r="WIH238"/>
      <c r="WII238"/>
      <c r="WIJ238"/>
      <c r="WIK238"/>
      <c r="WIL238"/>
      <c r="WIM238"/>
      <c r="WIN238"/>
      <c r="WIO238"/>
      <c r="WIP238"/>
      <c r="WIQ238"/>
      <c r="WIR238"/>
      <c r="WIS238"/>
      <c r="WIT238"/>
      <c r="WIU238"/>
      <c r="WIV238"/>
      <c r="WIW238"/>
      <c r="WIX238"/>
      <c r="WIY238"/>
      <c r="WIZ238"/>
      <c r="WJA238"/>
      <c r="WJB238"/>
      <c r="WJC238"/>
      <c r="WJD238"/>
      <c r="WJE238"/>
      <c r="WJF238"/>
      <c r="WJG238"/>
      <c r="WJH238"/>
      <c r="WJI238"/>
      <c r="WJJ238"/>
      <c r="WJK238"/>
      <c r="WJL238"/>
      <c r="WJM238"/>
      <c r="WJN238"/>
      <c r="WJO238"/>
      <c r="WJP238"/>
      <c r="WJQ238"/>
      <c r="WJR238"/>
      <c r="WJS238"/>
      <c r="WJT238"/>
      <c r="WJU238"/>
      <c r="WJV238"/>
      <c r="WJW238"/>
      <c r="WJX238"/>
      <c r="WJY238"/>
      <c r="WJZ238"/>
      <c r="WKA238"/>
      <c r="WKB238"/>
      <c r="WKC238"/>
      <c r="WKD238"/>
      <c r="WKE238"/>
      <c r="WKF238"/>
      <c r="WKG238"/>
      <c r="WKH238"/>
      <c r="WKI238"/>
      <c r="WKJ238"/>
      <c r="WKK238"/>
      <c r="WKL238"/>
      <c r="WKM238"/>
      <c r="WKN238"/>
      <c r="WKO238"/>
      <c r="WKP238"/>
      <c r="WKQ238"/>
      <c r="WKR238"/>
      <c r="WKS238"/>
      <c r="WKT238"/>
      <c r="WKU238"/>
      <c r="WKV238"/>
      <c r="WKW238"/>
      <c r="WKX238"/>
      <c r="WKY238"/>
      <c r="WKZ238"/>
      <c r="WLA238"/>
      <c r="WLB238"/>
      <c r="WLC238"/>
      <c r="WLD238"/>
      <c r="WLE238"/>
      <c r="WLF238"/>
      <c r="WLG238"/>
      <c r="WLH238"/>
      <c r="WLI238"/>
      <c r="WLJ238"/>
      <c r="WLK238"/>
      <c r="WLL238"/>
      <c r="WLM238"/>
      <c r="WLN238"/>
      <c r="WLO238"/>
      <c r="WLP238"/>
      <c r="WLQ238"/>
      <c r="WLR238"/>
      <c r="WLS238"/>
      <c r="WLT238"/>
      <c r="WLU238"/>
      <c r="WLV238"/>
      <c r="WLW238"/>
      <c r="WLX238"/>
      <c r="WLY238"/>
      <c r="WLZ238"/>
      <c r="WMA238"/>
      <c r="WMB238"/>
      <c r="WMC238"/>
      <c r="WMD238"/>
      <c r="WME238"/>
      <c r="WMF238"/>
      <c r="WMG238"/>
      <c r="WMH238"/>
      <c r="WMI238"/>
      <c r="WMJ238"/>
      <c r="WMK238"/>
      <c r="WML238"/>
      <c r="WMM238"/>
      <c r="WMN238"/>
      <c r="WMO238"/>
      <c r="WMP238"/>
      <c r="WMQ238"/>
      <c r="WMR238"/>
      <c r="WMS238"/>
      <c r="WMT238"/>
      <c r="WMU238"/>
      <c r="WMV238"/>
      <c r="WMW238"/>
      <c r="WMX238"/>
      <c r="WMY238"/>
      <c r="WMZ238"/>
      <c r="WNA238"/>
      <c r="WNB238"/>
      <c r="WNC238"/>
      <c r="WND238"/>
      <c r="WNE238"/>
      <c r="WNF238"/>
      <c r="WNG238"/>
      <c r="WNH238"/>
      <c r="WNI238"/>
      <c r="WNJ238"/>
      <c r="WNK238"/>
      <c r="WNL238"/>
      <c r="WNM238"/>
      <c r="WNN238"/>
      <c r="WNO238"/>
      <c r="WNP238"/>
      <c r="WNQ238"/>
      <c r="WNR238"/>
      <c r="WNS238"/>
      <c r="WNT238"/>
      <c r="WNU238"/>
      <c r="WNV238"/>
      <c r="WNW238"/>
      <c r="WNX238"/>
      <c r="WNY238"/>
      <c r="WNZ238"/>
      <c r="WOA238"/>
      <c r="WOB238"/>
      <c r="WOC238"/>
      <c r="WOD238"/>
      <c r="WOE238"/>
      <c r="WOF238"/>
      <c r="WOG238"/>
      <c r="WOH238"/>
      <c r="WOI238"/>
      <c r="WOJ238"/>
      <c r="WOK238"/>
      <c r="WOL238"/>
      <c r="WOM238"/>
      <c r="WON238"/>
      <c r="WOO238"/>
      <c r="WOP238"/>
      <c r="WOQ238"/>
      <c r="WOR238"/>
      <c r="WOS238"/>
      <c r="WOT238"/>
      <c r="WOU238"/>
      <c r="WOV238"/>
      <c r="WOW238"/>
      <c r="WOX238"/>
      <c r="WOY238"/>
      <c r="WOZ238"/>
      <c r="WPA238"/>
      <c r="WPB238"/>
      <c r="WPC238"/>
      <c r="WPD238"/>
      <c r="WPE238"/>
      <c r="WPF238"/>
      <c r="WPG238"/>
      <c r="WPH238"/>
      <c r="WPI238"/>
      <c r="WPJ238"/>
      <c r="WPK238"/>
      <c r="WPL238"/>
      <c r="WPM238"/>
      <c r="WPN238"/>
      <c r="WPO238"/>
      <c r="WPP238"/>
      <c r="WPQ238"/>
      <c r="WPR238"/>
      <c r="WPS238"/>
      <c r="WPT238"/>
      <c r="WPU238"/>
      <c r="WPV238"/>
      <c r="WPW238"/>
      <c r="WPX238"/>
      <c r="WPY238"/>
      <c r="WPZ238"/>
      <c r="WQA238"/>
      <c r="WQB238"/>
      <c r="WQC238"/>
      <c r="WQD238"/>
      <c r="WQE238"/>
      <c r="WQF238"/>
      <c r="WQG238"/>
      <c r="WQH238"/>
      <c r="WQI238"/>
      <c r="WQJ238"/>
      <c r="WQK238"/>
      <c r="WQL238"/>
      <c r="WQM238"/>
      <c r="WQN238"/>
      <c r="WQO238"/>
      <c r="WQP238"/>
      <c r="WQQ238"/>
      <c r="WQR238"/>
      <c r="WQS238"/>
      <c r="WQT238"/>
      <c r="WQU238"/>
      <c r="WQV238"/>
      <c r="WQW238"/>
      <c r="WQX238"/>
      <c r="WQY238"/>
      <c r="WQZ238"/>
      <c r="WRA238"/>
      <c r="WRB238"/>
      <c r="WRC238"/>
      <c r="WRD238"/>
      <c r="WRE238"/>
      <c r="WRF238"/>
      <c r="WRG238"/>
      <c r="WRH238"/>
      <c r="WRI238"/>
      <c r="WRJ238"/>
      <c r="WRK238"/>
      <c r="WRL238"/>
      <c r="WRM238"/>
      <c r="WRN238"/>
      <c r="WRO238"/>
      <c r="WRP238"/>
      <c r="WRQ238"/>
      <c r="WRR238"/>
      <c r="WRS238"/>
      <c r="WRT238"/>
      <c r="WRU238"/>
      <c r="WRV238"/>
      <c r="WRW238"/>
      <c r="WRX238"/>
      <c r="WRY238"/>
      <c r="WRZ238"/>
      <c r="WSA238"/>
      <c r="WSB238"/>
      <c r="WSC238"/>
      <c r="WSD238"/>
      <c r="WSE238"/>
      <c r="WSF238"/>
      <c r="WSG238"/>
      <c r="WSH238"/>
      <c r="WSI238"/>
      <c r="WSJ238"/>
      <c r="WSK238"/>
      <c r="WSL238"/>
      <c r="WSM238"/>
      <c r="WSN238"/>
      <c r="WSO238"/>
      <c r="WSP238"/>
      <c r="WSQ238"/>
      <c r="WSR238"/>
      <c r="WSS238"/>
      <c r="WST238"/>
      <c r="WSU238"/>
      <c r="WSV238"/>
      <c r="WSW238"/>
      <c r="WSX238"/>
      <c r="WSY238"/>
      <c r="WSZ238"/>
      <c r="WTA238"/>
      <c r="WTB238"/>
      <c r="WTC238"/>
      <c r="WTD238"/>
      <c r="WTE238"/>
      <c r="WTF238"/>
      <c r="WTG238"/>
      <c r="WTH238"/>
      <c r="WTI238"/>
      <c r="WTJ238"/>
      <c r="WTK238"/>
      <c r="WTL238"/>
      <c r="WTM238"/>
      <c r="WTN238"/>
      <c r="WTO238"/>
      <c r="WTP238"/>
      <c r="WTQ238"/>
      <c r="WTR238"/>
      <c r="WTS238"/>
      <c r="WTT238"/>
      <c r="WTU238"/>
      <c r="WTV238"/>
      <c r="WTW238"/>
      <c r="WTX238"/>
      <c r="WTY238"/>
      <c r="WTZ238"/>
      <c r="WUA238"/>
      <c r="WUB238"/>
      <c r="WUC238"/>
      <c r="WUD238"/>
      <c r="WUE238"/>
      <c r="WUF238"/>
      <c r="WUG238"/>
      <c r="WUH238"/>
      <c r="WUI238"/>
      <c r="WUJ238"/>
      <c r="WUK238"/>
      <c r="WUL238"/>
      <c r="WUM238"/>
      <c r="WUN238"/>
      <c r="WUO238"/>
      <c r="WUP238"/>
      <c r="WUQ238"/>
      <c r="WUR238"/>
      <c r="WUS238"/>
      <c r="WUT238"/>
      <c r="WUU238"/>
      <c r="WUV238"/>
      <c r="WUW238"/>
      <c r="WUX238"/>
      <c r="WUY238"/>
      <c r="WUZ238"/>
      <c r="WVA238"/>
      <c r="WVB238"/>
      <c r="WVC238"/>
      <c r="WVD238"/>
      <c r="WVE238"/>
      <c r="WVF238"/>
      <c r="WVG238"/>
      <c r="WVH238"/>
      <c r="WVI238"/>
      <c r="WVJ238"/>
      <c r="WVK238"/>
      <c r="WVL238"/>
      <c r="WVM238"/>
      <c r="WVN238"/>
      <c r="WVO238"/>
      <c r="WVP238"/>
      <c r="WVQ238"/>
      <c r="WVR238"/>
      <c r="WVS238"/>
      <c r="WVT238"/>
      <c r="WVU238"/>
      <c r="WVV238"/>
      <c r="WVW238"/>
      <c r="WVX238"/>
      <c r="WVY238"/>
      <c r="WVZ238"/>
      <c r="WWA238"/>
      <c r="WWB238"/>
      <c r="WWC238"/>
      <c r="WWD238"/>
      <c r="WWE238"/>
      <c r="WWF238"/>
      <c r="WWG238"/>
      <c r="WWH238"/>
      <c r="WWI238"/>
      <c r="WWJ238"/>
      <c r="WWK238"/>
      <c r="WWL238"/>
      <c r="WWM238"/>
      <c r="WWN238"/>
      <c r="WWO238"/>
      <c r="WWP238"/>
      <c r="WWQ238"/>
      <c r="WWR238"/>
      <c r="WWS238"/>
      <c r="WWT238"/>
      <c r="WWU238"/>
      <c r="WWV238"/>
      <c r="WWW238"/>
      <c r="WWX238"/>
      <c r="WWY238"/>
      <c r="WWZ238"/>
      <c r="WXA238"/>
      <c r="WXB238"/>
      <c r="WXC238"/>
      <c r="WXD238"/>
      <c r="WXE238"/>
      <c r="WXF238"/>
      <c r="WXG238"/>
      <c r="WXH238"/>
      <c r="WXI238"/>
      <c r="WXJ238"/>
      <c r="WXK238"/>
      <c r="WXL238"/>
      <c r="WXM238"/>
      <c r="WXN238"/>
      <c r="WXO238"/>
      <c r="WXP238"/>
      <c r="WXQ238"/>
      <c r="WXR238"/>
      <c r="WXS238"/>
      <c r="WXT238"/>
      <c r="WXU238"/>
      <c r="WXV238"/>
      <c r="WXW238"/>
      <c r="WXX238"/>
      <c r="WXY238"/>
      <c r="WXZ238"/>
      <c r="WYA238"/>
      <c r="WYB238"/>
      <c r="WYC238"/>
      <c r="WYD238"/>
      <c r="WYE238"/>
      <c r="WYF238"/>
      <c r="WYG238"/>
      <c r="WYH238"/>
      <c r="WYI238"/>
      <c r="WYJ238"/>
      <c r="WYK238"/>
      <c r="WYL238"/>
      <c r="WYM238"/>
      <c r="WYN238"/>
      <c r="WYO238"/>
      <c r="WYP238"/>
      <c r="WYQ238"/>
      <c r="WYR238"/>
      <c r="WYS238"/>
      <c r="WYT238"/>
      <c r="WYU238"/>
      <c r="WYV238"/>
      <c r="WYW238"/>
      <c r="WYX238"/>
      <c r="WYY238"/>
      <c r="WYZ238"/>
      <c r="WZA238"/>
      <c r="WZB238"/>
      <c r="WZC238"/>
      <c r="WZD238"/>
      <c r="WZE238"/>
      <c r="WZF238"/>
      <c r="WZG238"/>
      <c r="WZH238"/>
      <c r="WZI238"/>
      <c r="WZJ238"/>
      <c r="WZK238"/>
      <c r="WZL238"/>
      <c r="WZM238"/>
      <c r="WZN238"/>
      <c r="WZO238"/>
      <c r="WZP238"/>
      <c r="WZQ238"/>
      <c r="WZR238"/>
      <c r="WZS238"/>
      <c r="WZT238"/>
      <c r="WZU238"/>
      <c r="WZV238"/>
      <c r="WZW238"/>
      <c r="WZX238"/>
      <c r="WZY238"/>
      <c r="WZZ238"/>
      <c r="XAA238"/>
      <c r="XAB238"/>
      <c r="XAC238"/>
      <c r="XAD238"/>
      <c r="XAE238"/>
      <c r="XAF238"/>
      <c r="XAG238"/>
      <c r="XAH238"/>
      <c r="XAI238"/>
      <c r="XAJ238"/>
      <c r="XAK238"/>
      <c r="XAL238"/>
      <c r="XAM238"/>
      <c r="XAN238"/>
      <c r="XAO238"/>
      <c r="XAP238"/>
      <c r="XAQ238"/>
      <c r="XAR238"/>
      <c r="XAS238"/>
      <c r="XAT238"/>
      <c r="XAU238"/>
      <c r="XAV238"/>
      <c r="XAW238"/>
      <c r="XAX238"/>
      <c r="XAY238"/>
      <c r="XAZ238"/>
      <c r="XBA238"/>
      <c r="XBB238"/>
      <c r="XBC238"/>
      <c r="XBD238"/>
      <c r="XBE238"/>
      <c r="XBF238"/>
      <c r="XBG238"/>
      <c r="XBH238"/>
      <c r="XBI238"/>
      <c r="XBJ238"/>
      <c r="XBK238"/>
      <c r="XBL238"/>
      <c r="XBM238"/>
      <c r="XBN238"/>
      <c r="XBO238"/>
      <c r="XBP238"/>
      <c r="XBQ238"/>
      <c r="XBR238"/>
      <c r="XBS238"/>
      <c r="XBT238"/>
      <c r="XBU238"/>
      <c r="XBV238"/>
      <c r="XBW238"/>
      <c r="XBX238"/>
      <c r="XBY238"/>
      <c r="XBZ238"/>
      <c r="XCA238"/>
      <c r="XCB238"/>
      <c r="XCC238"/>
      <c r="XCD238"/>
      <c r="XCE238"/>
      <c r="XCF238"/>
      <c r="XCG238"/>
      <c r="XCH238"/>
      <c r="XCI238"/>
      <c r="XCJ238"/>
      <c r="XCK238"/>
      <c r="XCL238"/>
      <c r="XCM238"/>
      <c r="XCN238"/>
      <c r="XCO238"/>
      <c r="XCP238"/>
      <c r="XCQ238"/>
      <c r="XCR238"/>
      <c r="XCS238"/>
      <c r="XCT238"/>
      <c r="XCU238"/>
      <c r="XCV238"/>
      <c r="XCW238"/>
      <c r="XCX238"/>
      <c r="XCY238"/>
      <c r="XCZ238"/>
      <c r="XDA238"/>
      <c r="XDB238"/>
      <c r="XDC238"/>
      <c r="XDD238"/>
      <c r="XDE238"/>
      <c r="XDF238"/>
      <c r="XDG238"/>
      <c r="XDH238"/>
      <c r="XDI238"/>
      <c r="XDJ238"/>
      <c r="XDK238"/>
      <c r="XDL238"/>
      <c r="XDM238"/>
      <c r="XDN238"/>
      <c r="XDO238"/>
      <c r="XDP238"/>
      <c r="XDQ238"/>
      <c r="XDR238"/>
      <c r="XDS238"/>
      <c r="XDT238"/>
      <c r="XDU238"/>
      <c r="XDV238"/>
      <c r="XDW238"/>
      <c r="XDX238"/>
      <c r="XDY238"/>
      <c r="XDZ238"/>
      <c r="XEA238"/>
      <c r="XEB238"/>
      <c r="XEC238"/>
      <c r="XED238"/>
      <c r="XEE238"/>
      <c r="XEF238"/>
      <c r="XEG238"/>
      <c r="XEH238"/>
      <c r="XEI238"/>
      <c r="XEJ238"/>
      <c r="XEK238"/>
      <c r="XEL238"/>
      <c r="XEM238"/>
      <c r="XEN238"/>
      <c r="XEO238"/>
      <c r="XEP238"/>
      <c r="XEQ238"/>
      <c r="XER238"/>
      <c r="XES238"/>
      <c r="XET238"/>
      <c r="XEU238"/>
      <c r="XEV238"/>
      <c r="XEW238"/>
      <c r="XEX238"/>
      <c r="XEY238"/>
      <c r="XEZ238"/>
      <c r="XFA238"/>
      <c r="XFB238"/>
      <c r="XFC238"/>
      <c r="XFD238"/>
    </row>
    <row r="239" spans="5:16384" s="131" customFormat="1" x14ac:dyDescent="0.25">
      <c r="E239" s="175"/>
      <c r="F239" s="66" t="s">
        <v>44</v>
      </c>
      <c r="G239" s="139" t="s">
        <v>388</v>
      </c>
      <c r="H239" s="572"/>
      <c r="I239" s="572"/>
      <c r="J239" s="585">
        <f t="shared" ref="J239:AP239" si="46">J$78 * J209</f>
        <v>0</v>
      </c>
      <c r="K239" s="585">
        <f t="shared" si="46"/>
        <v>0</v>
      </c>
      <c r="L239" s="585">
        <f t="shared" si="46"/>
        <v>0</v>
      </c>
      <c r="M239" s="585">
        <f t="shared" si="46"/>
        <v>0</v>
      </c>
      <c r="N239" s="585">
        <f t="shared" si="46"/>
        <v>0</v>
      </c>
      <c r="O239" s="585">
        <f t="shared" si="46"/>
        <v>0</v>
      </c>
      <c r="P239" s="585">
        <f t="shared" si="46"/>
        <v>0</v>
      </c>
      <c r="Q239" s="585">
        <f t="shared" si="46"/>
        <v>0</v>
      </c>
      <c r="R239" s="585">
        <f t="shared" si="46"/>
        <v>0</v>
      </c>
      <c r="S239" s="585">
        <f t="shared" si="46"/>
        <v>0</v>
      </c>
      <c r="T239" s="585">
        <f t="shared" si="46"/>
        <v>0</v>
      </c>
      <c r="U239" s="585">
        <f t="shared" si="46"/>
        <v>1.6102474913470437E-2</v>
      </c>
      <c r="V239" s="585">
        <f t="shared" si="46"/>
        <v>1.4078270314117772E-2</v>
      </c>
      <c r="W239" s="585">
        <f t="shared" si="46"/>
        <v>1.2334184082163992E-2</v>
      </c>
      <c r="X239" s="585">
        <f t="shared" si="46"/>
        <v>0</v>
      </c>
      <c r="Y239" s="585">
        <f t="shared" si="46"/>
        <v>0</v>
      </c>
      <c r="Z239" s="585">
        <f t="shared" si="46"/>
        <v>0</v>
      </c>
      <c r="AA239" s="585">
        <f t="shared" si="46"/>
        <v>0</v>
      </c>
      <c r="AB239" s="585">
        <f t="shared" si="46"/>
        <v>0</v>
      </c>
      <c r="AC239" s="585">
        <f t="shared" si="46"/>
        <v>0</v>
      </c>
      <c r="AD239" s="585">
        <f t="shared" si="46"/>
        <v>0</v>
      </c>
      <c r="AE239" s="585">
        <f t="shared" si="46"/>
        <v>1.1639120426960274E-2</v>
      </c>
      <c r="AF239" s="585">
        <f t="shared" si="46"/>
        <v>0</v>
      </c>
      <c r="AG239" s="585">
        <f t="shared" si="46"/>
        <v>1.1639120426960274E-2</v>
      </c>
      <c r="AH239" s="585">
        <f t="shared" si="46"/>
        <v>0</v>
      </c>
      <c r="AI239" s="585">
        <f t="shared" si="46"/>
        <v>1.1179540832507299E-2</v>
      </c>
      <c r="AJ239" s="585">
        <f t="shared" si="46"/>
        <v>0</v>
      </c>
      <c r="AK239" s="585">
        <f t="shared" si="46"/>
        <v>1.1179540832507299E-2</v>
      </c>
      <c r="AL239" s="585">
        <f t="shared" si="46"/>
        <v>0</v>
      </c>
      <c r="AM239" s="585">
        <f t="shared" si="46"/>
        <v>1.1019222369326027E-2</v>
      </c>
      <c r="AN239" s="585">
        <f t="shared" si="46"/>
        <v>0</v>
      </c>
      <c r="AO239" s="585">
        <f t="shared" si="46"/>
        <v>1.1019222369326027E-2</v>
      </c>
      <c r="AP239" s="585">
        <f t="shared" si="46"/>
        <v>0</v>
      </c>
      <c r="AQ239" s="571"/>
      <c r="AR239" s="571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  <c r="DW239"/>
      <c r="DX239"/>
      <c r="DY239"/>
      <c r="DZ239"/>
      <c r="EA239"/>
      <c r="EB239"/>
      <c r="EC239"/>
      <c r="ED239"/>
      <c r="EE239"/>
      <c r="EF239"/>
      <c r="EG239"/>
      <c r="EH239"/>
      <c r="EI239"/>
      <c r="EJ239"/>
      <c r="EK239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/>
      <c r="FB239"/>
      <c r="FC239"/>
      <c r="FD239"/>
      <c r="FE239"/>
      <c r="FF239"/>
      <c r="FG239"/>
      <c r="FH239"/>
      <c r="FI239"/>
      <c r="FJ239"/>
      <c r="FK239"/>
      <c r="FL239"/>
      <c r="FM239"/>
      <c r="FN239"/>
      <c r="FO239"/>
      <c r="FP239"/>
      <c r="FQ239"/>
      <c r="FR239"/>
      <c r="FS239"/>
      <c r="FT239"/>
      <c r="FU239"/>
      <c r="FV239"/>
      <c r="FW239"/>
      <c r="FX239"/>
      <c r="FY239"/>
      <c r="FZ239"/>
      <c r="GA239"/>
      <c r="GB239"/>
      <c r="GC239"/>
      <c r="GD239"/>
      <c r="GE239"/>
      <c r="GF239"/>
      <c r="GG239"/>
      <c r="GH239"/>
      <c r="GI239"/>
      <c r="GJ239"/>
      <c r="GK239"/>
      <c r="GL239"/>
      <c r="GM239"/>
      <c r="GN239"/>
      <c r="GO239"/>
      <c r="GP239"/>
      <c r="GQ239"/>
      <c r="GR239"/>
      <c r="GS239"/>
      <c r="GT239"/>
      <c r="GU239"/>
      <c r="GV239"/>
      <c r="GW239"/>
      <c r="GX239"/>
      <c r="GY239"/>
      <c r="GZ239"/>
      <c r="HA239"/>
      <c r="HB239"/>
      <c r="HC239"/>
      <c r="HD239"/>
      <c r="HE239"/>
      <c r="HF239"/>
      <c r="HG239"/>
      <c r="HH239"/>
      <c r="HI239"/>
      <c r="HJ239"/>
      <c r="HK239"/>
      <c r="HL239"/>
      <c r="HM239"/>
      <c r="HN239"/>
      <c r="HO239"/>
      <c r="HP239"/>
      <c r="HQ239"/>
      <c r="HR239"/>
      <c r="HS239"/>
      <c r="HT239"/>
      <c r="HU239"/>
      <c r="HV239"/>
      <c r="HW239"/>
      <c r="HX239"/>
      <c r="HY239"/>
      <c r="HZ239"/>
      <c r="IA239"/>
      <c r="IB239"/>
      <c r="IC239"/>
      <c r="ID239"/>
      <c r="IE239"/>
      <c r="IF239"/>
      <c r="IG239"/>
      <c r="IH239"/>
      <c r="II239"/>
      <c r="IJ239"/>
      <c r="IK239"/>
      <c r="IL239"/>
      <c r="IM239"/>
      <c r="IN239"/>
      <c r="IO239"/>
      <c r="IP239"/>
      <c r="IQ239"/>
      <c r="IR239"/>
      <c r="IS239"/>
      <c r="IT239"/>
      <c r="IU239"/>
      <c r="IV239"/>
      <c r="IW239"/>
      <c r="IX239"/>
      <c r="IY239"/>
      <c r="IZ239"/>
      <c r="JA239"/>
      <c r="JB239"/>
      <c r="JC239"/>
      <c r="JD239"/>
      <c r="JE239"/>
      <c r="JF239"/>
      <c r="JG239"/>
      <c r="JH239"/>
      <c r="JI239"/>
      <c r="JJ239"/>
      <c r="JK239"/>
      <c r="JL239"/>
      <c r="JM239"/>
      <c r="JN239"/>
      <c r="JO239"/>
      <c r="JP239"/>
      <c r="JQ239"/>
      <c r="JR239"/>
      <c r="JS239"/>
      <c r="JT239"/>
      <c r="JU239"/>
      <c r="JV239"/>
      <c r="JW239"/>
      <c r="JX239"/>
      <c r="JY239"/>
      <c r="JZ239"/>
      <c r="KA239"/>
      <c r="KB239"/>
      <c r="KC239"/>
      <c r="KD239"/>
      <c r="KE239"/>
      <c r="KF239"/>
      <c r="KG239"/>
      <c r="KH239"/>
      <c r="KI239"/>
      <c r="KJ239"/>
      <c r="KK239"/>
      <c r="KL239"/>
      <c r="KM239"/>
      <c r="KN239"/>
      <c r="KO239"/>
      <c r="KP239"/>
      <c r="KQ239"/>
      <c r="KR239"/>
      <c r="KS239"/>
      <c r="KT239"/>
      <c r="KU239"/>
      <c r="KV239"/>
      <c r="KW239"/>
      <c r="KX239"/>
      <c r="KY239"/>
      <c r="KZ239"/>
      <c r="LA239"/>
      <c r="LB239"/>
      <c r="LC239"/>
      <c r="LD239"/>
      <c r="LE239"/>
      <c r="LF239"/>
      <c r="LG239"/>
      <c r="LH239"/>
      <c r="LI239"/>
      <c r="LJ239"/>
      <c r="LK239"/>
      <c r="LL239"/>
      <c r="LM239"/>
      <c r="LN239"/>
      <c r="LO239"/>
      <c r="LP239"/>
      <c r="LQ239"/>
      <c r="LR239"/>
      <c r="LS239"/>
      <c r="LT239"/>
      <c r="LU239"/>
      <c r="LV239"/>
      <c r="LW239"/>
      <c r="LX239"/>
      <c r="LY239"/>
      <c r="LZ239"/>
      <c r="MA239"/>
      <c r="MB239"/>
      <c r="MC239"/>
      <c r="MD239"/>
      <c r="ME239"/>
      <c r="MF239"/>
      <c r="MG239"/>
      <c r="MH239"/>
      <c r="MI239"/>
      <c r="MJ239"/>
      <c r="MK239"/>
      <c r="ML239"/>
      <c r="MM239"/>
      <c r="MN239"/>
      <c r="MO239"/>
      <c r="MP239"/>
      <c r="MQ239"/>
      <c r="MR239"/>
      <c r="MS239"/>
      <c r="MT239"/>
      <c r="MU239"/>
      <c r="MV239"/>
      <c r="MW239"/>
      <c r="MX239"/>
      <c r="MY239"/>
      <c r="MZ239"/>
      <c r="NA239"/>
      <c r="NB239"/>
      <c r="NC239"/>
      <c r="ND239"/>
      <c r="NE239"/>
      <c r="NF239"/>
      <c r="NG239"/>
      <c r="NH239"/>
      <c r="NI239"/>
      <c r="NJ239"/>
      <c r="NK239"/>
      <c r="NL239"/>
      <c r="NM239"/>
      <c r="NN239"/>
      <c r="NO239"/>
      <c r="NP239"/>
      <c r="NQ239"/>
      <c r="NR239"/>
      <c r="NS239"/>
      <c r="NT239"/>
      <c r="NU239"/>
      <c r="NV239"/>
      <c r="NW239"/>
      <c r="NX239"/>
      <c r="NY239"/>
      <c r="NZ239"/>
      <c r="OA239"/>
      <c r="OB239"/>
      <c r="OC239"/>
      <c r="OD239"/>
      <c r="OE239"/>
      <c r="OF239"/>
      <c r="OG239"/>
      <c r="OH239"/>
      <c r="OI239"/>
      <c r="OJ239"/>
      <c r="OK239"/>
      <c r="OL239"/>
      <c r="OM239"/>
      <c r="ON239"/>
      <c r="OO239"/>
      <c r="OP239"/>
      <c r="OQ239"/>
      <c r="OR239"/>
      <c r="OS239"/>
      <c r="OT239"/>
      <c r="OU239"/>
      <c r="OV239"/>
      <c r="OW239"/>
      <c r="OX239"/>
      <c r="OY239"/>
      <c r="OZ239"/>
      <c r="PA239"/>
      <c r="PB239"/>
      <c r="PC239"/>
      <c r="PD239"/>
      <c r="PE239"/>
      <c r="PF239"/>
      <c r="PG239"/>
      <c r="PH239"/>
      <c r="PI239"/>
      <c r="PJ239"/>
      <c r="PK239"/>
      <c r="PL239"/>
      <c r="PM239"/>
      <c r="PN239"/>
      <c r="PO239"/>
      <c r="PP239"/>
      <c r="PQ239"/>
      <c r="PR239"/>
      <c r="PS239"/>
      <c r="PT239"/>
      <c r="PU239"/>
      <c r="PV239"/>
      <c r="PW239"/>
      <c r="PX239"/>
      <c r="PY239"/>
      <c r="PZ239"/>
      <c r="QA239"/>
      <c r="QB239"/>
      <c r="QC239"/>
      <c r="QD239"/>
      <c r="QE239"/>
      <c r="QF239"/>
      <c r="QG239"/>
      <c r="QH239"/>
      <c r="QI239"/>
      <c r="QJ239"/>
      <c r="QK239"/>
      <c r="QL239"/>
      <c r="QM239"/>
      <c r="QN239"/>
      <c r="QO239"/>
      <c r="QP239"/>
      <c r="QQ239"/>
      <c r="QR239"/>
      <c r="QS239"/>
      <c r="QT239"/>
      <c r="QU239"/>
      <c r="QV239"/>
      <c r="QW239"/>
      <c r="QX239"/>
      <c r="QY239"/>
      <c r="QZ239"/>
      <c r="RA239"/>
      <c r="RB239"/>
      <c r="RC239"/>
      <c r="RD239"/>
      <c r="RE239"/>
      <c r="RF239"/>
      <c r="RG239"/>
      <c r="RH239"/>
      <c r="RI239"/>
      <c r="RJ239"/>
      <c r="RK239"/>
      <c r="RL239"/>
      <c r="RM239"/>
      <c r="RN239"/>
      <c r="RO239"/>
      <c r="RP239"/>
      <c r="RQ239"/>
      <c r="RR239"/>
      <c r="RS239"/>
      <c r="RT239"/>
      <c r="RU239"/>
      <c r="RV239"/>
      <c r="RW239"/>
      <c r="RX239"/>
      <c r="RY239"/>
      <c r="RZ239"/>
      <c r="SA239"/>
      <c r="SB239"/>
      <c r="SC239"/>
      <c r="SD239"/>
      <c r="SE239"/>
      <c r="SF239"/>
      <c r="SG239"/>
      <c r="SH239"/>
      <c r="SI239"/>
      <c r="SJ239"/>
      <c r="SK239"/>
      <c r="SL239"/>
      <c r="SM239"/>
      <c r="SN239"/>
      <c r="SO239"/>
      <c r="SP239"/>
      <c r="SQ239"/>
      <c r="SR239"/>
      <c r="SS239"/>
      <c r="ST239"/>
      <c r="SU239"/>
      <c r="SV239"/>
      <c r="SW239"/>
      <c r="SX239"/>
      <c r="SY239"/>
      <c r="SZ239"/>
      <c r="TA239"/>
      <c r="TB239"/>
      <c r="TC239"/>
      <c r="TD239"/>
      <c r="TE239"/>
      <c r="TF239"/>
      <c r="TG239"/>
      <c r="TH239"/>
      <c r="TI239"/>
      <c r="TJ239"/>
      <c r="TK239"/>
      <c r="TL239"/>
      <c r="TM239"/>
      <c r="TN239"/>
      <c r="TO239"/>
      <c r="TP239"/>
      <c r="TQ239"/>
      <c r="TR239"/>
      <c r="TS239"/>
      <c r="TT239"/>
      <c r="TU239"/>
      <c r="TV239"/>
      <c r="TW239"/>
      <c r="TX239"/>
      <c r="TY239"/>
      <c r="TZ239"/>
      <c r="UA239"/>
      <c r="UB239"/>
      <c r="UC239"/>
      <c r="UD239"/>
      <c r="UE239"/>
      <c r="UF239"/>
      <c r="UG239"/>
      <c r="UH239"/>
      <c r="UI239"/>
      <c r="UJ239"/>
      <c r="UK239"/>
      <c r="UL239"/>
      <c r="UM239"/>
      <c r="UN239"/>
      <c r="UO239"/>
      <c r="UP239"/>
      <c r="UQ239"/>
      <c r="UR239"/>
      <c r="US239"/>
      <c r="UT239"/>
      <c r="UU239"/>
      <c r="UV239"/>
      <c r="UW239"/>
      <c r="UX239"/>
      <c r="UY239"/>
      <c r="UZ239"/>
      <c r="VA239"/>
      <c r="VB239"/>
      <c r="VC239"/>
      <c r="VD239"/>
      <c r="VE239"/>
      <c r="VF239"/>
      <c r="VG239"/>
      <c r="VH239"/>
      <c r="VI239"/>
      <c r="VJ239"/>
      <c r="VK239"/>
      <c r="VL239"/>
      <c r="VM239"/>
      <c r="VN239"/>
      <c r="VO239"/>
      <c r="VP239"/>
      <c r="VQ239"/>
      <c r="VR239"/>
      <c r="VS239"/>
      <c r="VT239"/>
      <c r="VU239"/>
      <c r="VV239"/>
      <c r="VW239"/>
      <c r="VX239"/>
      <c r="VY239"/>
      <c r="VZ239"/>
      <c r="WA239"/>
      <c r="WB239"/>
      <c r="WC239"/>
      <c r="WD239"/>
      <c r="WE239"/>
      <c r="WF239"/>
      <c r="WG239"/>
      <c r="WH239"/>
      <c r="WI239"/>
      <c r="WJ239"/>
      <c r="WK239"/>
      <c r="WL239"/>
      <c r="WM239"/>
      <c r="WN239"/>
      <c r="WO239"/>
      <c r="WP239"/>
      <c r="WQ239"/>
      <c r="WR239"/>
      <c r="WS239"/>
      <c r="WT239"/>
      <c r="WU239"/>
      <c r="WV239"/>
      <c r="WW239"/>
      <c r="WX239"/>
      <c r="WY239"/>
      <c r="WZ239"/>
      <c r="XA239"/>
      <c r="XB239"/>
      <c r="XC239"/>
      <c r="XD239"/>
      <c r="XE239"/>
      <c r="XF239"/>
      <c r="XG239"/>
      <c r="XH239"/>
      <c r="XI239"/>
      <c r="XJ239"/>
      <c r="XK239"/>
      <c r="XL239"/>
      <c r="XM239"/>
      <c r="XN239"/>
      <c r="XO239"/>
      <c r="XP239"/>
      <c r="XQ239"/>
      <c r="XR239"/>
      <c r="XS239"/>
      <c r="XT239"/>
      <c r="XU239"/>
      <c r="XV239"/>
      <c r="XW239"/>
      <c r="XX239"/>
      <c r="XY239"/>
      <c r="XZ239"/>
      <c r="YA239"/>
      <c r="YB239"/>
      <c r="YC239"/>
      <c r="YD239"/>
      <c r="YE239"/>
      <c r="YF239"/>
      <c r="YG239"/>
      <c r="YH239"/>
      <c r="YI239"/>
      <c r="YJ239"/>
      <c r="YK239"/>
      <c r="YL239"/>
      <c r="YM239"/>
      <c r="YN239"/>
      <c r="YO239"/>
      <c r="YP239"/>
      <c r="YQ239"/>
      <c r="YR239"/>
      <c r="YS239"/>
      <c r="YT239"/>
      <c r="YU239"/>
      <c r="YV239"/>
      <c r="YW239"/>
      <c r="YX239"/>
      <c r="YY239"/>
      <c r="YZ239"/>
      <c r="ZA239"/>
      <c r="ZB239"/>
      <c r="ZC239"/>
      <c r="ZD239"/>
      <c r="ZE239"/>
      <c r="ZF239"/>
      <c r="ZG239"/>
      <c r="ZH239"/>
      <c r="ZI239"/>
      <c r="ZJ239"/>
      <c r="ZK239"/>
      <c r="ZL239"/>
      <c r="ZM239"/>
      <c r="ZN239"/>
      <c r="ZO239"/>
      <c r="ZP239"/>
      <c r="ZQ239"/>
      <c r="ZR239"/>
      <c r="ZS239"/>
      <c r="ZT239"/>
      <c r="ZU239"/>
      <c r="ZV239"/>
      <c r="ZW239"/>
      <c r="ZX239"/>
      <c r="ZY239"/>
      <c r="ZZ239"/>
      <c r="AAA239"/>
      <c r="AAB239"/>
      <c r="AAC239"/>
      <c r="AAD239"/>
      <c r="AAE239"/>
      <c r="AAF239"/>
      <c r="AAG239"/>
      <c r="AAH239"/>
      <c r="AAI239"/>
      <c r="AAJ239"/>
      <c r="AAK239"/>
      <c r="AAL239"/>
      <c r="AAM239"/>
      <c r="AAN239"/>
      <c r="AAO239"/>
      <c r="AAP239"/>
      <c r="AAQ239"/>
      <c r="AAR239"/>
      <c r="AAS239"/>
      <c r="AAT239"/>
      <c r="AAU239"/>
      <c r="AAV239"/>
      <c r="AAW239"/>
      <c r="AAX239"/>
      <c r="AAY239"/>
      <c r="AAZ239"/>
      <c r="ABA239"/>
      <c r="ABB239"/>
      <c r="ABC239"/>
      <c r="ABD239"/>
      <c r="ABE239"/>
      <c r="ABF239"/>
      <c r="ABG239"/>
      <c r="ABH239"/>
      <c r="ABI239"/>
      <c r="ABJ239"/>
      <c r="ABK239"/>
      <c r="ABL239"/>
      <c r="ABM239"/>
      <c r="ABN239"/>
      <c r="ABO239"/>
      <c r="ABP239"/>
      <c r="ABQ239"/>
      <c r="ABR239"/>
      <c r="ABS239"/>
      <c r="ABT239"/>
      <c r="ABU239"/>
      <c r="ABV239"/>
      <c r="ABW239"/>
      <c r="ABX239"/>
      <c r="ABY239"/>
      <c r="ABZ239"/>
      <c r="ACA239"/>
      <c r="ACB239"/>
      <c r="ACC239"/>
      <c r="ACD239"/>
      <c r="ACE239"/>
      <c r="ACF239"/>
      <c r="ACG239"/>
      <c r="ACH239"/>
      <c r="ACI239"/>
      <c r="ACJ239"/>
      <c r="ACK239"/>
      <c r="ACL239"/>
      <c r="ACM239"/>
      <c r="ACN239"/>
      <c r="ACO239"/>
      <c r="ACP239"/>
      <c r="ACQ239"/>
      <c r="ACR239"/>
      <c r="ACS239"/>
      <c r="ACT239"/>
      <c r="ACU239"/>
      <c r="ACV239"/>
      <c r="ACW239"/>
      <c r="ACX239"/>
      <c r="ACY239"/>
      <c r="ACZ239"/>
      <c r="ADA239"/>
      <c r="ADB239"/>
      <c r="ADC239"/>
      <c r="ADD239"/>
      <c r="ADE239"/>
      <c r="ADF239"/>
      <c r="ADG239"/>
      <c r="ADH239"/>
      <c r="ADI239"/>
      <c r="ADJ239"/>
      <c r="ADK239"/>
      <c r="ADL239"/>
      <c r="ADM239"/>
      <c r="ADN239"/>
      <c r="ADO239"/>
      <c r="ADP239"/>
      <c r="ADQ239"/>
      <c r="ADR239"/>
      <c r="ADS239"/>
      <c r="ADT239"/>
      <c r="ADU239"/>
      <c r="ADV239"/>
      <c r="ADW239"/>
      <c r="ADX239"/>
      <c r="ADY239"/>
      <c r="ADZ239"/>
      <c r="AEA239"/>
      <c r="AEB239"/>
      <c r="AEC239"/>
      <c r="AED239"/>
      <c r="AEE239"/>
      <c r="AEF239"/>
      <c r="AEG239"/>
      <c r="AEH239"/>
      <c r="AEI239"/>
      <c r="AEJ239"/>
      <c r="AEK239"/>
      <c r="AEL239"/>
      <c r="AEM239"/>
      <c r="AEN239"/>
      <c r="AEO239"/>
      <c r="AEP239"/>
      <c r="AEQ239"/>
      <c r="AER239"/>
      <c r="AES239"/>
      <c r="AET239"/>
      <c r="AEU239"/>
      <c r="AEV239"/>
      <c r="AEW239"/>
      <c r="AEX239"/>
      <c r="AEY239"/>
      <c r="AEZ239"/>
      <c r="AFA239"/>
      <c r="AFB239"/>
      <c r="AFC239"/>
      <c r="AFD239"/>
      <c r="AFE239"/>
      <c r="AFF239"/>
      <c r="AFG239"/>
      <c r="AFH239"/>
      <c r="AFI239"/>
      <c r="AFJ239"/>
      <c r="AFK239"/>
      <c r="AFL239"/>
      <c r="AFM239"/>
      <c r="AFN239"/>
      <c r="AFO239"/>
      <c r="AFP239"/>
      <c r="AFQ239"/>
      <c r="AFR239"/>
      <c r="AFS239"/>
      <c r="AFT239"/>
      <c r="AFU239"/>
      <c r="AFV239"/>
      <c r="AFW239"/>
      <c r="AFX239"/>
      <c r="AFY239"/>
      <c r="AFZ239"/>
      <c r="AGA239"/>
      <c r="AGB239"/>
      <c r="AGC239"/>
      <c r="AGD239"/>
      <c r="AGE239"/>
      <c r="AGF239"/>
      <c r="AGG239"/>
      <c r="AGH239"/>
      <c r="AGI239"/>
      <c r="AGJ239"/>
      <c r="AGK239"/>
      <c r="AGL239"/>
      <c r="AGM239"/>
      <c r="AGN239"/>
      <c r="AGO239"/>
      <c r="AGP239"/>
      <c r="AGQ239"/>
      <c r="AGR239"/>
      <c r="AGS239"/>
      <c r="AGT239"/>
      <c r="AGU239"/>
      <c r="AGV239"/>
      <c r="AGW239"/>
      <c r="AGX239"/>
      <c r="AGY239"/>
      <c r="AGZ239"/>
      <c r="AHA239"/>
      <c r="AHB239"/>
      <c r="AHC239"/>
      <c r="AHD239"/>
      <c r="AHE239"/>
      <c r="AHF239"/>
      <c r="AHG239"/>
      <c r="AHH239"/>
      <c r="AHI239"/>
      <c r="AHJ239"/>
      <c r="AHK239"/>
      <c r="AHL239"/>
      <c r="AHM239"/>
      <c r="AHN239"/>
      <c r="AHO239"/>
      <c r="AHP239"/>
      <c r="AHQ239"/>
      <c r="AHR239"/>
      <c r="AHS239"/>
      <c r="AHT239"/>
      <c r="AHU239"/>
      <c r="AHV239"/>
      <c r="AHW239"/>
      <c r="AHX239"/>
      <c r="AHY239"/>
      <c r="AHZ239"/>
      <c r="AIA239"/>
      <c r="AIB239"/>
      <c r="AIC239"/>
      <c r="AID239"/>
      <c r="AIE239"/>
      <c r="AIF239"/>
      <c r="AIG239"/>
      <c r="AIH239"/>
      <c r="AII239"/>
      <c r="AIJ239"/>
      <c r="AIK239"/>
      <c r="AIL239"/>
      <c r="AIM239"/>
      <c r="AIN239"/>
      <c r="AIO239"/>
      <c r="AIP239"/>
      <c r="AIQ239"/>
      <c r="AIR239"/>
      <c r="AIS239"/>
      <c r="AIT239"/>
      <c r="AIU239"/>
      <c r="AIV239"/>
      <c r="AIW239"/>
      <c r="AIX239"/>
      <c r="AIY239"/>
      <c r="AIZ239"/>
      <c r="AJA239"/>
      <c r="AJB239"/>
      <c r="AJC239"/>
      <c r="AJD239"/>
      <c r="AJE239"/>
      <c r="AJF239"/>
      <c r="AJG239"/>
      <c r="AJH239"/>
      <c r="AJI239"/>
      <c r="AJJ239"/>
      <c r="AJK239"/>
      <c r="AJL239"/>
      <c r="AJM239"/>
      <c r="AJN239"/>
      <c r="AJO239"/>
      <c r="AJP239"/>
      <c r="AJQ239"/>
      <c r="AJR239"/>
      <c r="AJS239"/>
      <c r="AJT239"/>
      <c r="AJU239"/>
      <c r="AJV239"/>
      <c r="AJW239"/>
      <c r="AJX239"/>
      <c r="AJY239"/>
      <c r="AJZ239"/>
      <c r="AKA239"/>
      <c r="AKB239"/>
      <c r="AKC239"/>
      <c r="AKD239"/>
      <c r="AKE239"/>
      <c r="AKF239"/>
      <c r="AKG239"/>
      <c r="AKH239"/>
      <c r="AKI239"/>
      <c r="AKJ239"/>
      <c r="AKK239"/>
      <c r="AKL239"/>
      <c r="AKM239"/>
      <c r="AKN239"/>
      <c r="AKO239"/>
      <c r="AKP239"/>
      <c r="AKQ239"/>
      <c r="AKR239"/>
      <c r="AKS239"/>
      <c r="AKT239"/>
      <c r="AKU239"/>
      <c r="AKV239"/>
      <c r="AKW239"/>
      <c r="AKX239"/>
      <c r="AKY239"/>
      <c r="AKZ239"/>
      <c r="ALA239"/>
      <c r="ALB239"/>
      <c r="ALC239"/>
      <c r="ALD239"/>
      <c r="ALE239"/>
      <c r="ALF239"/>
      <c r="ALG239"/>
      <c r="ALH239"/>
      <c r="ALI239"/>
      <c r="ALJ239"/>
      <c r="ALK239"/>
      <c r="ALL239"/>
      <c r="ALM239"/>
      <c r="ALN239"/>
      <c r="ALO239"/>
      <c r="ALP239"/>
      <c r="ALQ239"/>
      <c r="ALR239"/>
      <c r="ALS239"/>
      <c r="ALT239"/>
      <c r="ALU239"/>
      <c r="ALV239"/>
      <c r="ALW239"/>
      <c r="ALX239"/>
      <c r="ALY239"/>
      <c r="ALZ239"/>
      <c r="AMA239"/>
      <c r="AMB239"/>
      <c r="AMC239"/>
      <c r="AMD239"/>
      <c r="AME239"/>
      <c r="AMF239"/>
      <c r="AMG239"/>
      <c r="AMH239"/>
      <c r="AMI239"/>
      <c r="AMJ239"/>
      <c r="AMK239"/>
      <c r="AML239"/>
      <c r="AMM239"/>
      <c r="AMN239"/>
      <c r="AMO239"/>
      <c r="AMP239"/>
      <c r="AMQ239"/>
      <c r="AMR239"/>
      <c r="AMS239"/>
      <c r="AMT239"/>
      <c r="AMU239"/>
      <c r="AMV239"/>
      <c r="AMW239"/>
      <c r="AMX239"/>
      <c r="AMY239"/>
      <c r="AMZ239"/>
      <c r="ANA239"/>
      <c r="ANB239"/>
      <c r="ANC239"/>
      <c r="AND239"/>
      <c r="ANE239"/>
      <c r="ANF239"/>
      <c r="ANG239"/>
      <c r="ANH239"/>
      <c r="ANI239"/>
      <c r="ANJ239"/>
      <c r="ANK239"/>
      <c r="ANL239"/>
      <c r="ANM239"/>
      <c r="ANN239"/>
      <c r="ANO239"/>
      <c r="ANP239"/>
      <c r="ANQ239"/>
      <c r="ANR239"/>
      <c r="ANS239"/>
      <c r="ANT239"/>
      <c r="ANU239"/>
      <c r="ANV239"/>
      <c r="ANW239"/>
      <c r="ANX239"/>
      <c r="ANY239"/>
      <c r="ANZ239"/>
      <c r="AOA239"/>
      <c r="AOB239"/>
      <c r="AOC239"/>
      <c r="AOD239"/>
      <c r="AOE239"/>
      <c r="AOF239"/>
      <c r="AOG239"/>
      <c r="AOH239"/>
      <c r="AOI239"/>
      <c r="AOJ239"/>
      <c r="AOK239"/>
      <c r="AOL239"/>
      <c r="AOM239"/>
      <c r="AON239"/>
      <c r="AOO239"/>
      <c r="AOP239"/>
      <c r="AOQ239"/>
      <c r="AOR239"/>
      <c r="AOS239"/>
      <c r="AOT239"/>
      <c r="AOU239"/>
      <c r="AOV239"/>
      <c r="AOW239"/>
      <c r="AOX239"/>
      <c r="AOY239"/>
      <c r="AOZ239"/>
      <c r="APA239"/>
      <c r="APB239"/>
      <c r="APC239"/>
      <c r="APD239"/>
      <c r="APE239"/>
      <c r="APF239"/>
      <c r="APG239"/>
      <c r="APH239"/>
      <c r="API239"/>
      <c r="APJ239"/>
      <c r="APK239"/>
      <c r="APL239"/>
      <c r="APM239"/>
      <c r="APN239"/>
      <c r="APO239"/>
      <c r="APP239"/>
      <c r="APQ239"/>
      <c r="APR239"/>
      <c r="APS239"/>
      <c r="APT239"/>
      <c r="APU239"/>
      <c r="APV239"/>
      <c r="APW239"/>
      <c r="APX239"/>
      <c r="APY239"/>
      <c r="APZ239"/>
      <c r="AQA239"/>
      <c r="AQB239"/>
      <c r="AQC239"/>
      <c r="AQD239"/>
      <c r="AQE239"/>
      <c r="AQF239"/>
      <c r="AQG239"/>
      <c r="AQH239"/>
      <c r="AQI239"/>
      <c r="AQJ239"/>
      <c r="AQK239"/>
      <c r="AQL239"/>
      <c r="AQM239"/>
      <c r="AQN239"/>
      <c r="AQO239"/>
      <c r="AQP239"/>
      <c r="AQQ239"/>
      <c r="AQR239"/>
      <c r="AQS239"/>
      <c r="AQT239"/>
      <c r="AQU239"/>
      <c r="AQV239"/>
      <c r="AQW239"/>
      <c r="AQX239"/>
      <c r="AQY239"/>
      <c r="AQZ239"/>
      <c r="ARA239"/>
      <c r="ARB239"/>
      <c r="ARC239"/>
      <c r="ARD239"/>
      <c r="ARE239"/>
      <c r="ARF239"/>
      <c r="ARG239"/>
      <c r="ARH239"/>
      <c r="ARI239"/>
      <c r="ARJ239"/>
      <c r="ARK239"/>
      <c r="ARL239"/>
      <c r="ARM239"/>
      <c r="ARN239"/>
      <c r="ARO239"/>
      <c r="ARP239"/>
      <c r="ARQ239"/>
      <c r="ARR239"/>
      <c r="ARS239"/>
      <c r="ART239"/>
      <c r="ARU239"/>
      <c r="ARV239"/>
      <c r="ARW239"/>
      <c r="ARX239"/>
      <c r="ARY239"/>
      <c r="ARZ239"/>
      <c r="ASA239"/>
      <c r="ASB239"/>
      <c r="ASC239"/>
      <c r="ASD239"/>
      <c r="ASE239"/>
      <c r="ASF239"/>
      <c r="ASG239"/>
      <c r="ASH239"/>
      <c r="ASI239"/>
      <c r="ASJ239"/>
      <c r="ASK239"/>
      <c r="ASL239"/>
      <c r="ASM239"/>
      <c r="ASN239"/>
      <c r="ASO239"/>
      <c r="ASP239"/>
      <c r="ASQ239"/>
      <c r="ASR239"/>
      <c r="ASS239"/>
      <c r="AST239"/>
      <c r="ASU239"/>
      <c r="ASV239"/>
      <c r="ASW239"/>
      <c r="ASX239"/>
      <c r="ASY239"/>
      <c r="ASZ239"/>
      <c r="ATA239"/>
      <c r="ATB239"/>
      <c r="ATC239"/>
      <c r="ATD239"/>
      <c r="ATE239"/>
      <c r="ATF239"/>
      <c r="ATG239"/>
      <c r="ATH239"/>
      <c r="ATI239"/>
      <c r="ATJ239"/>
      <c r="ATK239"/>
      <c r="ATL239"/>
      <c r="ATM239"/>
      <c r="ATN239"/>
      <c r="ATO239"/>
      <c r="ATP239"/>
      <c r="ATQ239"/>
      <c r="ATR239"/>
      <c r="ATS239"/>
      <c r="ATT239"/>
      <c r="ATU239"/>
      <c r="ATV239"/>
      <c r="ATW239"/>
      <c r="ATX239"/>
      <c r="ATY239"/>
      <c r="ATZ239"/>
      <c r="AUA239"/>
      <c r="AUB239"/>
      <c r="AUC239"/>
      <c r="AUD239"/>
      <c r="AUE239"/>
      <c r="AUF239"/>
      <c r="AUG239"/>
      <c r="AUH239"/>
      <c r="AUI239"/>
      <c r="AUJ239"/>
      <c r="AUK239"/>
      <c r="AUL239"/>
      <c r="AUM239"/>
      <c r="AUN239"/>
      <c r="AUO239"/>
      <c r="AUP239"/>
      <c r="AUQ239"/>
      <c r="AUR239"/>
      <c r="AUS239"/>
      <c r="AUT239"/>
      <c r="AUU239"/>
      <c r="AUV239"/>
      <c r="AUW239"/>
      <c r="AUX239"/>
      <c r="AUY239"/>
      <c r="AUZ239"/>
      <c r="AVA239"/>
      <c r="AVB239"/>
      <c r="AVC239"/>
      <c r="AVD239"/>
      <c r="AVE239"/>
      <c r="AVF239"/>
      <c r="AVG239"/>
      <c r="AVH239"/>
      <c r="AVI239"/>
      <c r="AVJ239"/>
      <c r="AVK239"/>
      <c r="AVL239"/>
      <c r="AVM239"/>
      <c r="AVN239"/>
      <c r="AVO239"/>
      <c r="AVP239"/>
      <c r="AVQ239"/>
      <c r="AVR239"/>
      <c r="AVS239"/>
      <c r="AVT239"/>
      <c r="AVU239"/>
      <c r="AVV239"/>
      <c r="AVW239"/>
      <c r="AVX239"/>
      <c r="AVY239"/>
      <c r="AVZ239"/>
      <c r="AWA239"/>
      <c r="AWB239"/>
      <c r="AWC239"/>
      <c r="AWD239"/>
      <c r="AWE239"/>
      <c r="AWF239"/>
      <c r="AWG239"/>
      <c r="AWH239"/>
      <c r="AWI239"/>
      <c r="AWJ239"/>
      <c r="AWK239"/>
      <c r="AWL239"/>
      <c r="AWM239"/>
      <c r="AWN239"/>
      <c r="AWO239"/>
      <c r="AWP239"/>
      <c r="AWQ239"/>
      <c r="AWR239"/>
      <c r="AWS239"/>
      <c r="AWT239"/>
      <c r="AWU239"/>
      <c r="AWV239"/>
      <c r="AWW239"/>
      <c r="AWX239"/>
      <c r="AWY239"/>
      <c r="AWZ239"/>
      <c r="AXA239"/>
      <c r="AXB239"/>
      <c r="AXC239"/>
      <c r="AXD239"/>
      <c r="AXE239"/>
      <c r="AXF239"/>
      <c r="AXG239"/>
      <c r="AXH239"/>
      <c r="AXI239"/>
      <c r="AXJ239"/>
      <c r="AXK239"/>
      <c r="AXL239"/>
      <c r="AXM239"/>
      <c r="AXN239"/>
      <c r="AXO239"/>
      <c r="AXP239"/>
      <c r="AXQ239"/>
      <c r="AXR239"/>
      <c r="AXS239"/>
      <c r="AXT239"/>
      <c r="AXU239"/>
      <c r="AXV239"/>
      <c r="AXW239"/>
      <c r="AXX239"/>
      <c r="AXY239"/>
      <c r="AXZ239"/>
      <c r="AYA239"/>
      <c r="AYB239"/>
      <c r="AYC239"/>
      <c r="AYD239"/>
      <c r="AYE239"/>
      <c r="AYF239"/>
      <c r="AYG239"/>
      <c r="AYH239"/>
      <c r="AYI239"/>
      <c r="AYJ239"/>
      <c r="AYK239"/>
      <c r="AYL239"/>
      <c r="AYM239"/>
      <c r="AYN239"/>
      <c r="AYO239"/>
      <c r="AYP239"/>
      <c r="AYQ239"/>
      <c r="AYR239"/>
      <c r="AYS239"/>
      <c r="AYT239"/>
      <c r="AYU239"/>
      <c r="AYV239"/>
      <c r="AYW239"/>
      <c r="AYX239"/>
      <c r="AYY239"/>
      <c r="AYZ239"/>
      <c r="AZA239"/>
      <c r="AZB239"/>
      <c r="AZC239"/>
      <c r="AZD239"/>
      <c r="AZE239"/>
      <c r="AZF239"/>
      <c r="AZG239"/>
      <c r="AZH239"/>
      <c r="AZI239"/>
      <c r="AZJ239"/>
      <c r="AZK239"/>
      <c r="AZL239"/>
      <c r="AZM239"/>
      <c r="AZN239"/>
      <c r="AZO239"/>
      <c r="AZP239"/>
      <c r="AZQ239"/>
      <c r="AZR239"/>
      <c r="AZS239"/>
      <c r="AZT239"/>
      <c r="AZU239"/>
      <c r="AZV239"/>
      <c r="AZW239"/>
      <c r="AZX239"/>
      <c r="AZY239"/>
      <c r="AZZ239"/>
      <c r="BAA239"/>
      <c r="BAB239"/>
      <c r="BAC239"/>
      <c r="BAD239"/>
      <c r="BAE239"/>
      <c r="BAF239"/>
      <c r="BAG239"/>
      <c r="BAH239"/>
      <c r="BAI239"/>
      <c r="BAJ239"/>
      <c r="BAK239"/>
      <c r="BAL239"/>
      <c r="BAM239"/>
      <c r="BAN239"/>
      <c r="BAO239"/>
      <c r="BAP239"/>
      <c r="BAQ239"/>
      <c r="BAR239"/>
      <c r="BAS239"/>
      <c r="BAT239"/>
      <c r="BAU239"/>
      <c r="BAV239"/>
      <c r="BAW239"/>
      <c r="BAX239"/>
      <c r="BAY239"/>
      <c r="BAZ239"/>
      <c r="BBA239"/>
      <c r="BBB239"/>
      <c r="BBC239"/>
      <c r="BBD239"/>
      <c r="BBE239"/>
      <c r="BBF239"/>
      <c r="BBG239"/>
      <c r="BBH239"/>
      <c r="BBI239"/>
      <c r="BBJ239"/>
      <c r="BBK239"/>
      <c r="BBL239"/>
      <c r="BBM239"/>
      <c r="BBN239"/>
      <c r="BBO239"/>
      <c r="BBP239"/>
      <c r="BBQ239"/>
      <c r="BBR239"/>
      <c r="BBS239"/>
      <c r="BBT239"/>
      <c r="BBU239"/>
      <c r="BBV239"/>
      <c r="BBW239"/>
      <c r="BBX239"/>
      <c r="BBY239"/>
      <c r="BBZ239"/>
      <c r="BCA239"/>
      <c r="BCB239"/>
      <c r="BCC239"/>
      <c r="BCD239"/>
      <c r="BCE239"/>
      <c r="BCF239"/>
      <c r="BCG239"/>
      <c r="BCH239"/>
      <c r="BCI239"/>
      <c r="BCJ239"/>
      <c r="BCK239"/>
      <c r="BCL239"/>
      <c r="BCM239"/>
      <c r="BCN239"/>
      <c r="BCO239"/>
      <c r="BCP239"/>
      <c r="BCQ239"/>
      <c r="BCR239"/>
      <c r="BCS239"/>
      <c r="BCT239"/>
      <c r="BCU239"/>
      <c r="BCV239"/>
      <c r="BCW239"/>
      <c r="BCX239"/>
      <c r="BCY239"/>
      <c r="BCZ239"/>
      <c r="BDA239"/>
      <c r="BDB239"/>
      <c r="BDC239"/>
      <c r="BDD239"/>
      <c r="BDE239"/>
      <c r="BDF239"/>
      <c r="BDG239"/>
      <c r="BDH239"/>
      <c r="BDI239"/>
      <c r="BDJ239"/>
      <c r="BDK239"/>
      <c r="BDL239"/>
      <c r="BDM239"/>
      <c r="BDN239"/>
      <c r="BDO239"/>
      <c r="BDP239"/>
      <c r="BDQ239"/>
      <c r="BDR239"/>
      <c r="BDS239"/>
      <c r="BDT239"/>
      <c r="BDU239"/>
      <c r="BDV239"/>
      <c r="BDW239"/>
      <c r="BDX239"/>
      <c r="BDY239"/>
      <c r="BDZ239"/>
      <c r="BEA239"/>
      <c r="BEB239"/>
      <c r="BEC239"/>
      <c r="BED239"/>
      <c r="BEE239"/>
      <c r="BEF239"/>
      <c r="BEG239"/>
      <c r="BEH239"/>
      <c r="BEI239"/>
      <c r="BEJ239"/>
      <c r="BEK239"/>
      <c r="BEL239"/>
      <c r="BEM239"/>
      <c r="BEN239"/>
      <c r="BEO239"/>
      <c r="BEP239"/>
      <c r="BEQ239"/>
      <c r="BER239"/>
      <c r="BES239"/>
      <c r="BET239"/>
      <c r="BEU239"/>
      <c r="BEV239"/>
      <c r="BEW239"/>
      <c r="BEX239"/>
      <c r="BEY239"/>
      <c r="BEZ239"/>
      <c r="BFA239"/>
      <c r="BFB239"/>
      <c r="BFC239"/>
      <c r="BFD239"/>
      <c r="BFE239"/>
      <c r="BFF239"/>
      <c r="BFG239"/>
      <c r="BFH239"/>
      <c r="BFI239"/>
      <c r="BFJ239"/>
      <c r="BFK239"/>
      <c r="BFL239"/>
      <c r="BFM239"/>
      <c r="BFN239"/>
      <c r="BFO239"/>
      <c r="BFP239"/>
      <c r="BFQ239"/>
      <c r="BFR239"/>
      <c r="BFS239"/>
      <c r="BFT239"/>
      <c r="BFU239"/>
      <c r="BFV239"/>
      <c r="BFW239"/>
      <c r="BFX239"/>
      <c r="BFY239"/>
      <c r="BFZ239"/>
      <c r="BGA239"/>
      <c r="BGB239"/>
      <c r="BGC239"/>
      <c r="BGD239"/>
      <c r="BGE239"/>
      <c r="BGF239"/>
      <c r="BGG239"/>
      <c r="BGH239"/>
      <c r="BGI239"/>
      <c r="BGJ239"/>
      <c r="BGK239"/>
      <c r="BGL239"/>
      <c r="BGM239"/>
      <c r="BGN239"/>
      <c r="BGO239"/>
      <c r="BGP239"/>
      <c r="BGQ239"/>
      <c r="BGR239"/>
      <c r="BGS239"/>
      <c r="BGT239"/>
      <c r="BGU239"/>
      <c r="BGV239"/>
      <c r="BGW239"/>
      <c r="BGX239"/>
      <c r="BGY239"/>
      <c r="BGZ239"/>
      <c r="BHA239"/>
      <c r="BHB239"/>
      <c r="BHC239"/>
      <c r="BHD239"/>
      <c r="BHE239"/>
      <c r="BHF239"/>
      <c r="BHG239"/>
      <c r="BHH239"/>
      <c r="BHI239"/>
      <c r="BHJ239"/>
      <c r="BHK239"/>
      <c r="BHL239"/>
      <c r="BHM239"/>
      <c r="BHN239"/>
      <c r="BHO239"/>
      <c r="BHP239"/>
      <c r="BHQ239"/>
      <c r="BHR239"/>
      <c r="BHS239"/>
      <c r="BHT239"/>
      <c r="BHU239"/>
      <c r="BHV239"/>
      <c r="BHW239"/>
      <c r="BHX239"/>
      <c r="BHY239"/>
      <c r="BHZ239"/>
      <c r="BIA239"/>
      <c r="BIB239"/>
      <c r="BIC239"/>
      <c r="BID239"/>
      <c r="BIE239"/>
      <c r="BIF239"/>
      <c r="BIG239"/>
      <c r="BIH239"/>
      <c r="BII239"/>
      <c r="BIJ239"/>
      <c r="BIK239"/>
      <c r="BIL239"/>
      <c r="BIM239"/>
      <c r="BIN239"/>
      <c r="BIO239"/>
      <c r="BIP239"/>
      <c r="BIQ239"/>
      <c r="BIR239"/>
      <c r="BIS239"/>
      <c r="BIT239"/>
      <c r="BIU239"/>
      <c r="BIV239"/>
      <c r="BIW239"/>
      <c r="BIX239"/>
      <c r="BIY239"/>
      <c r="BIZ239"/>
      <c r="BJA239"/>
      <c r="BJB239"/>
      <c r="BJC239"/>
      <c r="BJD239"/>
      <c r="BJE239"/>
      <c r="BJF239"/>
      <c r="BJG239"/>
      <c r="BJH239"/>
      <c r="BJI239"/>
      <c r="BJJ239"/>
      <c r="BJK239"/>
      <c r="BJL239"/>
      <c r="BJM239"/>
      <c r="BJN239"/>
      <c r="BJO239"/>
      <c r="BJP239"/>
      <c r="BJQ239"/>
      <c r="BJR239"/>
      <c r="BJS239"/>
      <c r="BJT239"/>
      <c r="BJU239"/>
      <c r="BJV239"/>
      <c r="BJW239"/>
      <c r="BJX239"/>
      <c r="BJY239"/>
      <c r="BJZ239"/>
      <c r="BKA239"/>
      <c r="BKB239"/>
      <c r="BKC239"/>
      <c r="BKD239"/>
      <c r="BKE239"/>
      <c r="BKF239"/>
      <c r="BKG239"/>
      <c r="BKH239"/>
      <c r="BKI239"/>
      <c r="BKJ239"/>
      <c r="BKK239"/>
      <c r="BKL239"/>
      <c r="BKM239"/>
      <c r="BKN239"/>
      <c r="BKO239"/>
      <c r="BKP239"/>
      <c r="BKQ239"/>
      <c r="BKR239"/>
      <c r="BKS239"/>
      <c r="BKT239"/>
      <c r="BKU239"/>
      <c r="BKV239"/>
      <c r="BKW239"/>
      <c r="BKX239"/>
      <c r="BKY239"/>
      <c r="BKZ239"/>
      <c r="BLA239"/>
      <c r="BLB239"/>
      <c r="BLC239"/>
      <c r="BLD239"/>
      <c r="BLE239"/>
      <c r="BLF239"/>
      <c r="BLG239"/>
      <c r="BLH239"/>
      <c r="BLI239"/>
      <c r="BLJ239"/>
      <c r="BLK239"/>
      <c r="BLL239"/>
      <c r="BLM239"/>
      <c r="BLN239"/>
      <c r="BLO239"/>
      <c r="BLP239"/>
      <c r="BLQ239"/>
      <c r="BLR239"/>
      <c r="BLS239"/>
      <c r="BLT239"/>
      <c r="BLU239"/>
      <c r="BLV239"/>
      <c r="BLW239"/>
      <c r="BLX239"/>
      <c r="BLY239"/>
      <c r="BLZ239"/>
      <c r="BMA239"/>
      <c r="BMB239"/>
      <c r="BMC239"/>
      <c r="BMD239"/>
      <c r="BME239"/>
      <c r="BMF239"/>
      <c r="BMG239"/>
      <c r="BMH239"/>
      <c r="BMI239"/>
      <c r="BMJ239"/>
      <c r="BMK239"/>
      <c r="BML239"/>
      <c r="BMM239"/>
      <c r="BMN239"/>
      <c r="BMO239"/>
      <c r="BMP239"/>
      <c r="BMQ239"/>
      <c r="BMR239"/>
      <c r="BMS239"/>
      <c r="BMT239"/>
      <c r="BMU239"/>
      <c r="BMV239"/>
      <c r="BMW239"/>
      <c r="BMX239"/>
      <c r="BMY239"/>
      <c r="BMZ239"/>
      <c r="BNA239"/>
      <c r="BNB239"/>
      <c r="BNC239"/>
      <c r="BND239"/>
      <c r="BNE239"/>
      <c r="BNF239"/>
      <c r="BNG239"/>
      <c r="BNH239"/>
      <c r="BNI239"/>
      <c r="BNJ239"/>
      <c r="BNK239"/>
      <c r="BNL239"/>
      <c r="BNM239"/>
      <c r="BNN239"/>
      <c r="BNO239"/>
      <c r="BNP239"/>
      <c r="BNQ239"/>
      <c r="BNR239"/>
      <c r="BNS239"/>
      <c r="BNT239"/>
      <c r="BNU239"/>
      <c r="BNV239"/>
      <c r="BNW239"/>
      <c r="BNX239"/>
      <c r="BNY239"/>
      <c r="BNZ239"/>
      <c r="BOA239"/>
      <c r="BOB239"/>
      <c r="BOC239"/>
      <c r="BOD239"/>
      <c r="BOE239"/>
      <c r="BOF239"/>
      <c r="BOG239"/>
      <c r="BOH239"/>
      <c r="BOI239"/>
      <c r="BOJ239"/>
      <c r="BOK239"/>
      <c r="BOL239"/>
      <c r="BOM239"/>
      <c r="BON239"/>
      <c r="BOO239"/>
      <c r="BOP239"/>
      <c r="BOQ239"/>
      <c r="BOR239"/>
      <c r="BOS239"/>
      <c r="BOT239"/>
      <c r="BOU239"/>
      <c r="BOV239"/>
      <c r="BOW239"/>
      <c r="BOX239"/>
      <c r="BOY239"/>
      <c r="BOZ239"/>
      <c r="BPA239"/>
      <c r="BPB239"/>
      <c r="BPC239"/>
      <c r="BPD239"/>
      <c r="BPE239"/>
      <c r="BPF239"/>
      <c r="BPG239"/>
      <c r="BPH239"/>
      <c r="BPI239"/>
      <c r="BPJ239"/>
      <c r="BPK239"/>
      <c r="BPL239"/>
      <c r="BPM239"/>
      <c r="BPN239"/>
      <c r="BPO239"/>
      <c r="BPP239"/>
      <c r="BPQ239"/>
      <c r="BPR239"/>
      <c r="BPS239"/>
      <c r="BPT239"/>
      <c r="BPU239"/>
      <c r="BPV239"/>
      <c r="BPW239"/>
      <c r="BPX239"/>
      <c r="BPY239"/>
      <c r="BPZ239"/>
      <c r="BQA239"/>
      <c r="BQB239"/>
      <c r="BQC239"/>
      <c r="BQD239"/>
      <c r="BQE239"/>
      <c r="BQF239"/>
      <c r="BQG239"/>
      <c r="BQH239"/>
      <c r="BQI239"/>
      <c r="BQJ239"/>
      <c r="BQK239"/>
      <c r="BQL239"/>
      <c r="BQM239"/>
      <c r="BQN239"/>
      <c r="BQO239"/>
      <c r="BQP239"/>
      <c r="BQQ239"/>
      <c r="BQR239"/>
      <c r="BQS239"/>
      <c r="BQT239"/>
      <c r="BQU239"/>
      <c r="BQV239"/>
      <c r="BQW239"/>
      <c r="BQX239"/>
      <c r="BQY239"/>
      <c r="BQZ239"/>
      <c r="BRA239"/>
      <c r="BRB239"/>
      <c r="BRC239"/>
      <c r="BRD239"/>
      <c r="BRE239"/>
      <c r="BRF239"/>
      <c r="BRG239"/>
      <c r="BRH239"/>
      <c r="BRI239"/>
      <c r="BRJ239"/>
      <c r="BRK239"/>
      <c r="BRL239"/>
      <c r="BRM239"/>
      <c r="BRN239"/>
      <c r="BRO239"/>
      <c r="BRP239"/>
      <c r="BRQ239"/>
      <c r="BRR239"/>
      <c r="BRS239"/>
      <c r="BRT239"/>
      <c r="BRU239"/>
      <c r="BRV239"/>
      <c r="BRW239"/>
      <c r="BRX239"/>
      <c r="BRY239"/>
      <c r="BRZ239"/>
      <c r="BSA239"/>
      <c r="BSB239"/>
      <c r="BSC239"/>
      <c r="BSD239"/>
      <c r="BSE239"/>
      <c r="BSF239"/>
      <c r="BSG239"/>
      <c r="BSH239"/>
      <c r="BSI239"/>
      <c r="BSJ239"/>
      <c r="BSK239"/>
      <c r="BSL239"/>
      <c r="BSM239"/>
      <c r="BSN239"/>
      <c r="BSO239"/>
      <c r="BSP239"/>
      <c r="BSQ239"/>
      <c r="BSR239"/>
      <c r="BSS239"/>
      <c r="BST239"/>
      <c r="BSU239"/>
      <c r="BSV239"/>
      <c r="BSW239"/>
      <c r="BSX239"/>
      <c r="BSY239"/>
      <c r="BSZ239"/>
      <c r="BTA239"/>
      <c r="BTB239"/>
      <c r="BTC239"/>
      <c r="BTD239"/>
      <c r="BTE239"/>
      <c r="BTF239"/>
      <c r="BTG239"/>
      <c r="BTH239"/>
      <c r="BTI239"/>
      <c r="BTJ239"/>
      <c r="BTK239"/>
      <c r="BTL239"/>
      <c r="BTM239"/>
      <c r="BTN239"/>
      <c r="BTO239"/>
      <c r="BTP239"/>
      <c r="BTQ239"/>
      <c r="BTR239"/>
      <c r="BTS239"/>
      <c r="BTT239"/>
      <c r="BTU239"/>
      <c r="BTV239"/>
      <c r="BTW239"/>
      <c r="BTX239"/>
      <c r="BTY239"/>
      <c r="BTZ239"/>
      <c r="BUA239"/>
      <c r="BUB239"/>
      <c r="BUC239"/>
      <c r="BUD239"/>
      <c r="BUE239"/>
      <c r="BUF239"/>
      <c r="BUG239"/>
      <c r="BUH239"/>
      <c r="BUI239"/>
      <c r="BUJ239"/>
      <c r="BUK239"/>
      <c r="BUL239"/>
      <c r="BUM239"/>
      <c r="BUN239"/>
      <c r="BUO239"/>
      <c r="BUP239"/>
      <c r="BUQ239"/>
      <c r="BUR239"/>
      <c r="BUS239"/>
      <c r="BUT239"/>
      <c r="BUU239"/>
      <c r="BUV239"/>
      <c r="BUW239"/>
      <c r="BUX239"/>
      <c r="BUY239"/>
      <c r="BUZ239"/>
      <c r="BVA239"/>
      <c r="BVB239"/>
      <c r="BVC239"/>
      <c r="BVD239"/>
      <c r="BVE239"/>
      <c r="BVF239"/>
      <c r="BVG239"/>
      <c r="BVH239"/>
      <c r="BVI239"/>
      <c r="BVJ239"/>
      <c r="BVK239"/>
      <c r="BVL239"/>
      <c r="BVM239"/>
      <c r="BVN239"/>
      <c r="BVO239"/>
      <c r="BVP239"/>
      <c r="BVQ239"/>
      <c r="BVR239"/>
      <c r="BVS239"/>
      <c r="BVT239"/>
      <c r="BVU239"/>
      <c r="BVV239"/>
      <c r="BVW239"/>
      <c r="BVX239"/>
      <c r="BVY239"/>
      <c r="BVZ239"/>
      <c r="BWA239"/>
      <c r="BWB239"/>
      <c r="BWC239"/>
      <c r="BWD239"/>
      <c r="BWE239"/>
      <c r="BWF239"/>
      <c r="BWG239"/>
      <c r="BWH239"/>
      <c r="BWI239"/>
      <c r="BWJ239"/>
      <c r="BWK239"/>
      <c r="BWL239"/>
      <c r="BWM239"/>
      <c r="BWN239"/>
      <c r="BWO239"/>
      <c r="BWP239"/>
      <c r="BWQ239"/>
      <c r="BWR239"/>
      <c r="BWS239"/>
      <c r="BWT239"/>
      <c r="BWU239"/>
      <c r="BWV239"/>
      <c r="BWW239"/>
      <c r="BWX239"/>
      <c r="BWY239"/>
      <c r="BWZ239"/>
      <c r="BXA239"/>
      <c r="BXB239"/>
      <c r="BXC239"/>
      <c r="BXD239"/>
      <c r="BXE239"/>
      <c r="BXF239"/>
      <c r="BXG239"/>
      <c r="BXH239"/>
      <c r="BXI239"/>
      <c r="BXJ239"/>
      <c r="BXK239"/>
      <c r="BXL239"/>
      <c r="BXM239"/>
      <c r="BXN239"/>
      <c r="BXO239"/>
      <c r="BXP239"/>
      <c r="BXQ239"/>
      <c r="BXR239"/>
      <c r="BXS239"/>
      <c r="BXT239"/>
      <c r="BXU239"/>
      <c r="BXV239"/>
      <c r="BXW239"/>
      <c r="BXX239"/>
      <c r="BXY239"/>
      <c r="BXZ239"/>
      <c r="BYA239"/>
      <c r="BYB239"/>
      <c r="BYC239"/>
      <c r="BYD239"/>
      <c r="BYE239"/>
      <c r="BYF239"/>
      <c r="BYG239"/>
      <c r="BYH239"/>
      <c r="BYI239"/>
      <c r="BYJ239"/>
      <c r="BYK239"/>
      <c r="BYL239"/>
      <c r="BYM239"/>
      <c r="BYN239"/>
      <c r="BYO239"/>
      <c r="BYP239"/>
      <c r="BYQ239"/>
      <c r="BYR239"/>
      <c r="BYS239"/>
      <c r="BYT239"/>
      <c r="BYU239"/>
      <c r="BYV239"/>
      <c r="BYW239"/>
      <c r="BYX239"/>
      <c r="BYY239"/>
      <c r="BYZ239"/>
      <c r="BZA239"/>
      <c r="BZB239"/>
      <c r="BZC239"/>
      <c r="BZD239"/>
      <c r="BZE239"/>
      <c r="BZF239"/>
      <c r="BZG239"/>
      <c r="BZH239"/>
      <c r="BZI239"/>
      <c r="BZJ239"/>
      <c r="BZK239"/>
      <c r="BZL239"/>
      <c r="BZM239"/>
      <c r="BZN239"/>
      <c r="BZO239"/>
      <c r="BZP239"/>
      <c r="BZQ239"/>
      <c r="BZR239"/>
      <c r="BZS239"/>
      <c r="BZT239"/>
      <c r="BZU239"/>
      <c r="BZV239"/>
      <c r="BZW239"/>
      <c r="BZX239"/>
      <c r="BZY239"/>
      <c r="BZZ239"/>
      <c r="CAA239"/>
      <c r="CAB239"/>
      <c r="CAC239"/>
      <c r="CAD239"/>
      <c r="CAE239"/>
      <c r="CAF239"/>
      <c r="CAG239"/>
      <c r="CAH239"/>
      <c r="CAI239"/>
      <c r="CAJ239"/>
      <c r="CAK239"/>
      <c r="CAL239"/>
      <c r="CAM239"/>
      <c r="CAN239"/>
      <c r="CAO239"/>
      <c r="CAP239"/>
      <c r="CAQ239"/>
      <c r="CAR239"/>
      <c r="CAS239"/>
      <c r="CAT239"/>
      <c r="CAU239"/>
      <c r="CAV239"/>
      <c r="CAW239"/>
      <c r="CAX239"/>
      <c r="CAY239"/>
      <c r="CAZ239"/>
      <c r="CBA239"/>
      <c r="CBB239"/>
      <c r="CBC239"/>
      <c r="CBD239"/>
      <c r="CBE239"/>
      <c r="CBF239"/>
      <c r="CBG239"/>
      <c r="CBH239"/>
      <c r="CBI239"/>
      <c r="CBJ239"/>
      <c r="CBK239"/>
      <c r="CBL239"/>
      <c r="CBM239"/>
      <c r="CBN239"/>
      <c r="CBO239"/>
      <c r="CBP239"/>
      <c r="CBQ239"/>
      <c r="CBR239"/>
      <c r="CBS239"/>
      <c r="CBT239"/>
      <c r="CBU239"/>
      <c r="CBV239"/>
      <c r="CBW239"/>
      <c r="CBX239"/>
      <c r="CBY239"/>
      <c r="CBZ239"/>
      <c r="CCA239"/>
      <c r="CCB239"/>
      <c r="CCC239"/>
      <c r="CCD239"/>
      <c r="CCE239"/>
      <c r="CCF239"/>
      <c r="CCG239"/>
      <c r="CCH239"/>
      <c r="CCI239"/>
      <c r="CCJ239"/>
      <c r="CCK239"/>
      <c r="CCL239"/>
      <c r="CCM239"/>
      <c r="CCN239"/>
      <c r="CCO239"/>
      <c r="CCP239"/>
      <c r="CCQ239"/>
      <c r="CCR239"/>
      <c r="CCS239"/>
      <c r="CCT239"/>
      <c r="CCU239"/>
      <c r="CCV239"/>
      <c r="CCW239"/>
      <c r="CCX239"/>
      <c r="CCY239"/>
      <c r="CCZ239"/>
      <c r="CDA239"/>
      <c r="CDB239"/>
      <c r="CDC239"/>
      <c r="CDD239"/>
      <c r="CDE239"/>
      <c r="CDF239"/>
      <c r="CDG239"/>
      <c r="CDH239"/>
      <c r="CDI239"/>
      <c r="CDJ239"/>
      <c r="CDK239"/>
      <c r="CDL239"/>
      <c r="CDM239"/>
      <c r="CDN239"/>
      <c r="CDO239"/>
      <c r="CDP239"/>
      <c r="CDQ239"/>
      <c r="CDR239"/>
      <c r="CDS239"/>
      <c r="CDT239"/>
      <c r="CDU239"/>
      <c r="CDV239"/>
      <c r="CDW239"/>
      <c r="CDX239"/>
      <c r="CDY239"/>
      <c r="CDZ239"/>
      <c r="CEA239"/>
      <c r="CEB239"/>
      <c r="CEC239"/>
      <c r="CED239"/>
      <c r="CEE239"/>
      <c r="CEF239"/>
      <c r="CEG239"/>
      <c r="CEH239"/>
      <c r="CEI239"/>
      <c r="CEJ239"/>
      <c r="CEK239"/>
      <c r="CEL239"/>
      <c r="CEM239"/>
      <c r="CEN239"/>
      <c r="CEO239"/>
      <c r="CEP239"/>
      <c r="CEQ239"/>
      <c r="CER239"/>
      <c r="CES239"/>
      <c r="CET239"/>
      <c r="CEU239"/>
      <c r="CEV239"/>
      <c r="CEW239"/>
      <c r="CEX239"/>
      <c r="CEY239"/>
      <c r="CEZ239"/>
      <c r="CFA239"/>
      <c r="CFB239"/>
      <c r="CFC239"/>
      <c r="CFD239"/>
      <c r="CFE239"/>
      <c r="CFF239"/>
      <c r="CFG239"/>
      <c r="CFH239"/>
      <c r="CFI239"/>
      <c r="CFJ239"/>
      <c r="CFK239"/>
      <c r="CFL239"/>
      <c r="CFM239"/>
      <c r="CFN239"/>
      <c r="CFO239"/>
      <c r="CFP239"/>
      <c r="CFQ239"/>
      <c r="CFR239"/>
      <c r="CFS239"/>
      <c r="CFT239"/>
      <c r="CFU239"/>
      <c r="CFV239"/>
      <c r="CFW239"/>
      <c r="CFX239"/>
      <c r="CFY239"/>
      <c r="CFZ239"/>
      <c r="CGA239"/>
      <c r="CGB239"/>
      <c r="CGC239"/>
      <c r="CGD239"/>
      <c r="CGE239"/>
      <c r="CGF239"/>
      <c r="CGG239"/>
      <c r="CGH239"/>
      <c r="CGI239"/>
      <c r="CGJ239"/>
      <c r="CGK239"/>
      <c r="CGL239"/>
      <c r="CGM239"/>
      <c r="CGN239"/>
      <c r="CGO239"/>
      <c r="CGP239"/>
      <c r="CGQ239"/>
      <c r="CGR239"/>
      <c r="CGS239"/>
      <c r="CGT239"/>
      <c r="CGU239"/>
      <c r="CGV239"/>
      <c r="CGW239"/>
      <c r="CGX239"/>
      <c r="CGY239"/>
      <c r="CGZ239"/>
      <c r="CHA239"/>
      <c r="CHB239"/>
      <c r="CHC239"/>
      <c r="CHD239"/>
      <c r="CHE239"/>
      <c r="CHF239"/>
      <c r="CHG239"/>
      <c r="CHH239"/>
      <c r="CHI239"/>
      <c r="CHJ239"/>
      <c r="CHK239"/>
      <c r="CHL239"/>
      <c r="CHM239"/>
      <c r="CHN239"/>
      <c r="CHO239"/>
      <c r="CHP239"/>
      <c r="CHQ239"/>
      <c r="CHR239"/>
      <c r="CHS239"/>
      <c r="CHT239"/>
      <c r="CHU239"/>
      <c r="CHV239"/>
      <c r="CHW239"/>
      <c r="CHX239"/>
      <c r="CHY239"/>
      <c r="CHZ239"/>
      <c r="CIA239"/>
      <c r="CIB239"/>
      <c r="CIC239"/>
      <c r="CID239"/>
      <c r="CIE239"/>
      <c r="CIF239"/>
      <c r="CIG239"/>
      <c r="CIH239"/>
      <c r="CII239"/>
      <c r="CIJ239"/>
      <c r="CIK239"/>
      <c r="CIL239"/>
      <c r="CIM239"/>
      <c r="CIN239"/>
      <c r="CIO239"/>
      <c r="CIP239"/>
      <c r="CIQ239"/>
      <c r="CIR239"/>
      <c r="CIS239"/>
      <c r="CIT239"/>
      <c r="CIU239"/>
      <c r="CIV239"/>
      <c r="CIW239"/>
      <c r="CIX239"/>
      <c r="CIY239"/>
      <c r="CIZ239"/>
      <c r="CJA239"/>
      <c r="CJB239"/>
      <c r="CJC239"/>
      <c r="CJD239"/>
      <c r="CJE239"/>
      <c r="CJF239"/>
      <c r="CJG239"/>
      <c r="CJH239"/>
      <c r="CJI239"/>
      <c r="CJJ239"/>
      <c r="CJK239"/>
      <c r="CJL239"/>
      <c r="CJM239"/>
      <c r="CJN239"/>
      <c r="CJO239"/>
      <c r="CJP239"/>
      <c r="CJQ239"/>
      <c r="CJR239"/>
      <c r="CJS239"/>
      <c r="CJT239"/>
      <c r="CJU239"/>
      <c r="CJV239"/>
      <c r="CJW239"/>
      <c r="CJX239"/>
      <c r="CJY239"/>
      <c r="CJZ239"/>
      <c r="CKA239"/>
      <c r="CKB239"/>
      <c r="CKC239"/>
      <c r="CKD239"/>
      <c r="CKE239"/>
      <c r="CKF239"/>
      <c r="CKG239"/>
      <c r="CKH239"/>
      <c r="CKI239"/>
      <c r="CKJ239"/>
      <c r="CKK239"/>
      <c r="CKL239"/>
      <c r="CKM239"/>
      <c r="CKN239"/>
      <c r="CKO239"/>
      <c r="CKP239"/>
      <c r="CKQ239"/>
      <c r="CKR239"/>
      <c r="CKS239"/>
      <c r="CKT239"/>
      <c r="CKU239"/>
      <c r="CKV239"/>
      <c r="CKW239"/>
      <c r="CKX239"/>
      <c r="CKY239"/>
      <c r="CKZ239"/>
      <c r="CLA239"/>
      <c r="CLB239"/>
      <c r="CLC239"/>
      <c r="CLD239"/>
      <c r="CLE239"/>
      <c r="CLF239"/>
      <c r="CLG239"/>
      <c r="CLH239"/>
      <c r="CLI239"/>
      <c r="CLJ239"/>
      <c r="CLK239"/>
      <c r="CLL239"/>
      <c r="CLM239"/>
      <c r="CLN239"/>
      <c r="CLO239"/>
      <c r="CLP239"/>
      <c r="CLQ239"/>
      <c r="CLR239"/>
      <c r="CLS239"/>
      <c r="CLT239"/>
      <c r="CLU239"/>
      <c r="CLV239"/>
      <c r="CLW239"/>
      <c r="CLX239"/>
      <c r="CLY239"/>
      <c r="CLZ239"/>
      <c r="CMA239"/>
      <c r="CMB239"/>
      <c r="CMC239"/>
      <c r="CMD239"/>
      <c r="CME239"/>
      <c r="CMF239"/>
      <c r="CMG239"/>
      <c r="CMH239"/>
      <c r="CMI239"/>
      <c r="CMJ239"/>
      <c r="CMK239"/>
      <c r="CML239"/>
      <c r="CMM239"/>
      <c r="CMN239"/>
      <c r="CMO239"/>
      <c r="CMP239"/>
      <c r="CMQ239"/>
      <c r="CMR239"/>
      <c r="CMS239"/>
      <c r="CMT239"/>
      <c r="CMU239"/>
      <c r="CMV239"/>
      <c r="CMW239"/>
      <c r="CMX239"/>
      <c r="CMY239"/>
      <c r="CMZ239"/>
      <c r="CNA239"/>
      <c r="CNB239"/>
      <c r="CNC239"/>
      <c r="CND239"/>
      <c r="CNE239"/>
      <c r="CNF239"/>
      <c r="CNG239"/>
      <c r="CNH239"/>
      <c r="CNI239"/>
      <c r="CNJ239"/>
      <c r="CNK239"/>
      <c r="CNL239"/>
      <c r="CNM239"/>
      <c r="CNN239"/>
      <c r="CNO239"/>
      <c r="CNP239"/>
      <c r="CNQ239"/>
      <c r="CNR239"/>
      <c r="CNS239"/>
      <c r="CNT239"/>
      <c r="CNU239"/>
      <c r="CNV239"/>
      <c r="CNW239"/>
      <c r="CNX239"/>
      <c r="CNY239"/>
      <c r="CNZ239"/>
      <c r="COA239"/>
      <c r="COB239"/>
      <c r="COC239"/>
      <c r="COD239"/>
      <c r="COE239"/>
      <c r="COF239"/>
      <c r="COG239"/>
      <c r="COH239"/>
      <c r="COI239"/>
      <c r="COJ239"/>
      <c r="COK239"/>
      <c r="COL239"/>
      <c r="COM239"/>
      <c r="CON239"/>
      <c r="COO239"/>
      <c r="COP239"/>
      <c r="COQ239"/>
      <c r="COR239"/>
      <c r="COS239"/>
      <c r="COT239"/>
      <c r="COU239"/>
      <c r="COV239"/>
      <c r="COW239"/>
      <c r="COX239"/>
      <c r="COY239"/>
      <c r="COZ239"/>
      <c r="CPA239"/>
      <c r="CPB239"/>
      <c r="CPC239"/>
      <c r="CPD239"/>
      <c r="CPE239"/>
      <c r="CPF239"/>
      <c r="CPG239"/>
      <c r="CPH239"/>
      <c r="CPI239"/>
      <c r="CPJ239"/>
      <c r="CPK239"/>
      <c r="CPL239"/>
      <c r="CPM239"/>
      <c r="CPN239"/>
      <c r="CPO239"/>
      <c r="CPP239"/>
      <c r="CPQ239"/>
      <c r="CPR239"/>
      <c r="CPS239"/>
      <c r="CPT239"/>
      <c r="CPU239"/>
      <c r="CPV239"/>
      <c r="CPW239"/>
      <c r="CPX239"/>
      <c r="CPY239"/>
      <c r="CPZ239"/>
      <c r="CQA239"/>
      <c r="CQB239"/>
      <c r="CQC239"/>
      <c r="CQD239"/>
      <c r="CQE239"/>
      <c r="CQF239"/>
      <c r="CQG239"/>
      <c r="CQH239"/>
      <c r="CQI239"/>
      <c r="CQJ239"/>
      <c r="CQK239"/>
      <c r="CQL239"/>
      <c r="CQM239"/>
      <c r="CQN239"/>
      <c r="CQO239"/>
      <c r="CQP239"/>
      <c r="CQQ239"/>
      <c r="CQR239"/>
      <c r="CQS239"/>
      <c r="CQT239"/>
      <c r="CQU239"/>
      <c r="CQV239"/>
      <c r="CQW239"/>
      <c r="CQX239"/>
      <c r="CQY239"/>
      <c r="CQZ239"/>
      <c r="CRA239"/>
      <c r="CRB239"/>
      <c r="CRC239"/>
      <c r="CRD239"/>
      <c r="CRE239"/>
      <c r="CRF239"/>
      <c r="CRG239"/>
      <c r="CRH239"/>
      <c r="CRI239"/>
      <c r="CRJ239"/>
      <c r="CRK239"/>
      <c r="CRL239"/>
      <c r="CRM239"/>
      <c r="CRN239"/>
      <c r="CRO239"/>
      <c r="CRP239"/>
      <c r="CRQ239"/>
      <c r="CRR239"/>
      <c r="CRS239"/>
      <c r="CRT239"/>
      <c r="CRU239"/>
      <c r="CRV239"/>
      <c r="CRW239"/>
      <c r="CRX239"/>
      <c r="CRY239"/>
      <c r="CRZ239"/>
      <c r="CSA239"/>
      <c r="CSB239"/>
      <c r="CSC239"/>
      <c r="CSD239"/>
      <c r="CSE239"/>
      <c r="CSF239"/>
      <c r="CSG239"/>
      <c r="CSH239"/>
      <c r="CSI239"/>
      <c r="CSJ239"/>
      <c r="CSK239"/>
      <c r="CSL239"/>
      <c r="CSM239"/>
      <c r="CSN239"/>
      <c r="CSO239"/>
      <c r="CSP239"/>
      <c r="CSQ239"/>
      <c r="CSR239"/>
      <c r="CSS239"/>
      <c r="CST239"/>
      <c r="CSU239"/>
      <c r="CSV239"/>
      <c r="CSW239"/>
      <c r="CSX239"/>
      <c r="CSY239"/>
      <c r="CSZ239"/>
      <c r="CTA239"/>
      <c r="CTB239"/>
      <c r="CTC239"/>
      <c r="CTD239"/>
      <c r="CTE239"/>
      <c r="CTF239"/>
      <c r="CTG239"/>
      <c r="CTH239"/>
      <c r="CTI239"/>
      <c r="CTJ239"/>
      <c r="CTK239"/>
      <c r="CTL239"/>
      <c r="CTM239"/>
      <c r="CTN239"/>
      <c r="CTO239"/>
      <c r="CTP239"/>
      <c r="CTQ239"/>
      <c r="CTR239"/>
      <c r="CTS239"/>
      <c r="CTT239"/>
      <c r="CTU239"/>
      <c r="CTV239"/>
      <c r="CTW239"/>
      <c r="CTX239"/>
      <c r="CTY239"/>
      <c r="CTZ239"/>
      <c r="CUA239"/>
      <c r="CUB239"/>
      <c r="CUC239"/>
      <c r="CUD239"/>
      <c r="CUE239"/>
      <c r="CUF239"/>
      <c r="CUG239"/>
      <c r="CUH239"/>
      <c r="CUI239"/>
      <c r="CUJ239"/>
      <c r="CUK239"/>
      <c r="CUL239"/>
      <c r="CUM239"/>
      <c r="CUN239"/>
      <c r="CUO239"/>
      <c r="CUP239"/>
      <c r="CUQ239"/>
      <c r="CUR239"/>
      <c r="CUS239"/>
      <c r="CUT239"/>
      <c r="CUU239"/>
      <c r="CUV239"/>
      <c r="CUW239"/>
      <c r="CUX239"/>
      <c r="CUY239"/>
      <c r="CUZ239"/>
      <c r="CVA239"/>
      <c r="CVB239"/>
      <c r="CVC239"/>
      <c r="CVD239"/>
      <c r="CVE239"/>
      <c r="CVF239"/>
      <c r="CVG239"/>
      <c r="CVH239"/>
      <c r="CVI239"/>
      <c r="CVJ239"/>
      <c r="CVK239"/>
      <c r="CVL239"/>
      <c r="CVM239"/>
      <c r="CVN239"/>
      <c r="CVO239"/>
      <c r="CVP239"/>
      <c r="CVQ239"/>
      <c r="CVR239"/>
      <c r="CVS239"/>
      <c r="CVT239"/>
      <c r="CVU239"/>
      <c r="CVV239"/>
      <c r="CVW239"/>
      <c r="CVX239"/>
      <c r="CVY239"/>
      <c r="CVZ239"/>
      <c r="CWA239"/>
      <c r="CWB239"/>
      <c r="CWC239"/>
      <c r="CWD239"/>
      <c r="CWE239"/>
      <c r="CWF239"/>
      <c r="CWG239"/>
      <c r="CWH239"/>
      <c r="CWI239"/>
      <c r="CWJ239"/>
      <c r="CWK239"/>
      <c r="CWL239"/>
      <c r="CWM239"/>
      <c r="CWN239"/>
      <c r="CWO239"/>
      <c r="CWP239"/>
      <c r="CWQ239"/>
      <c r="CWR239"/>
      <c r="CWS239"/>
      <c r="CWT239"/>
      <c r="CWU239"/>
      <c r="CWV239"/>
      <c r="CWW239"/>
      <c r="CWX239"/>
      <c r="CWY239"/>
      <c r="CWZ239"/>
      <c r="CXA239"/>
      <c r="CXB239"/>
      <c r="CXC239"/>
      <c r="CXD239"/>
      <c r="CXE239"/>
      <c r="CXF239"/>
      <c r="CXG239"/>
      <c r="CXH239"/>
      <c r="CXI239"/>
      <c r="CXJ239"/>
      <c r="CXK239"/>
      <c r="CXL239"/>
      <c r="CXM239"/>
      <c r="CXN239"/>
      <c r="CXO239"/>
      <c r="CXP239"/>
      <c r="CXQ239"/>
      <c r="CXR239"/>
      <c r="CXS239"/>
      <c r="CXT239"/>
      <c r="CXU239"/>
      <c r="CXV239"/>
      <c r="CXW239"/>
      <c r="CXX239"/>
      <c r="CXY239"/>
      <c r="CXZ239"/>
      <c r="CYA239"/>
      <c r="CYB239"/>
      <c r="CYC239"/>
      <c r="CYD239"/>
      <c r="CYE239"/>
      <c r="CYF239"/>
      <c r="CYG239"/>
      <c r="CYH239"/>
      <c r="CYI239"/>
      <c r="CYJ239"/>
      <c r="CYK239"/>
      <c r="CYL239"/>
      <c r="CYM239"/>
      <c r="CYN239"/>
      <c r="CYO239"/>
      <c r="CYP239"/>
      <c r="CYQ239"/>
      <c r="CYR239"/>
      <c r="CYS239"/>
      <c r="CYT239"/>
      <c r="CYU239"/>
      <c r="CYV239"/>
      <c r="CYW239"/>
      <c r="CYX239"/>
      <c r="CYY239"/>
      <c r="CYZ239"/>
      <c r="CZA239"/>
      <c r="CZB239"/>
      <c r="CZC239"/>
      <c r="CZD239"/>
      <c r="CZE239"/>
      <c r="CZF239"/>
      <c r="CZG239"/>
      <c r="CZH239"/>
      <c r="CZI239"/>
      <c r="CZJ239"/>
      <c r="CZK239"/>
      <c r="CZL239"/>
      <c r="CZM239"/>
      <c r="CZN239"/>
      <c r="CZO239"/>
      <c r="CZP239"/>
      <c r="CZQ239"/>
      <c r="CZR239"/>
      <c r="CZS239"/>
      <c r="CZT239"/>
      <c r="CZU239"/>
      <c r="CZV239"/>
      <c r="CZW239"/>
      <c r="CZX239"/>
      <c r="CZY239"/>
      <c r="CZZ239"/>
      <c r="DAA239"/>
      <c r="DAB239"/>
      <c r="DAC239"/>
      <c r="DAD239"/>
      <c r="DAE239"/>
      <c r="DAF239"/>
      <c r="DAG239"/>
      <c r="DAH239"/>
      <c r="DAI239"/>
      <c r="DAJ239"/>
      <c r="DAK239"/>
      <c r="DAL239"/>
      <c r="DAM239"/>
      <c r="DAN239"/>
      <c r="DAO239"/>
      <c r="DAP239"/>
      <c r="DAQ239"/>
      <c r="DAR239"/>
      <c r="DAS239"/>
      <c r="DAT239"/>
      <c r="DAU239"/>
      <c r="DAV239"/>
      <c r="DAW239"/>
      <c r="DAX239"/>
      <c r="DAY239"/>
      <c r="DAZ239"/>
      <c r="DBA239"/>
      <c r="DBB239"/>
      <c r="DBC239"/>
      <c r="DBD239"/>
      <c r="DBE239"/>
      <c r="DBF239"/>
      <c r="DBG239"/>
      <c r="DBH239"/>
      <c r="DBI239"/>
      <c r="DBJ239"/>
      <c r="DBK239"/>
      <c r="DBL239"/>
      <c r="DBM239"/>
      <c r="DBN239"/>
      <c r="DBO239"/>
      <c r="DBP239"/>
      <c r="DBQ239"/>
      <c r="DBR239"/>
      <c r="DBS239"/>
      <c r="DBT239"/>
      <c r="DBU239"/>
      <c r="DBV239"/>
      <c r="DBW239"/>
      <c r="DBX239"/>
      <c r="DBY239"/>
      <c r="DBZ239"/>
      <c r="DCA239"/>
      <c r="DCB239"/>
      <c r="DCC239"/>
      <c r="DCD239"/>
      <c r="DCE239"/>
      <c r="DCF239"/>
      <c r="DCG239"/>
      <c r="DCH239"/>
      <c r="DCI239"/>
      <c r="DCJ239"/>
      <c r="DCK239"/>
      <c r="DCL239"/>
      <c r="DCM239"/>
      <c r="DCN239"/>
      <c r="DCO239"/>
      <c r="DCP239"/>
      <c r="DCQ239"/>
      <c r="DCR239"/>
      <c r="DCS239"/>
      <c r="DCT239"/>
      <c r="DCU239"/>
      <c r="DCV239"/>
      <c r="DCW239"/>
      <c r="DCX239"/>
      <c r="DCY239"/>
      <c r="DCZ239"/>
      <c r="DDA239"/>
      <c r="DDB239"/>
      <c r="DDC239"/>
      <c r="DDD239"/>
      <c r="DDE239"/>
      <c r="DDF239"/>
      <c r="DDG239"/>
      <c r="DDH239"/>
      <c r="DDI239"/>
      <c r="DDJ239"/>
      <c r="DDK239"/>
      <c r="DDL239"/>
      <c r="DDM239"/>
      <c r="DDN239"/>
      <c r="DDO239"/>
      <c r="DDP239"/>
      <c r="DDQ239"/>
      <c r="DDR239"/>
      <c r="DDS239"/>
      <c r="DDT239"/>
      <c r="DDU239"/>
      <c r="DDV239"/>
      <c r="DDW239"/>
      <c r="DDX239"/>
      <c r="DDY239"/>
      <c r="DDZ239"/>
      <c r="DEA239"/>
      <c r="DEB239"/>
      <c r="DEC239"/>
      <c r="DED239"/>
      <c r="DEE239"/>
      <c r="DEF239"/>
      <c r="DEG239"/>
      <c r="DEH239"/>
      <c r="DEI239"/>
      <c r="DEJ239"/>
      <c r="DEK239"/>
      <c r="DEL239"/>
      <c r="DEM239"/>
      <c r="DEN239"/>
      <c r="DEO239"/>
      <c r="DEP239"/>
      <c r="DEQ239"/>
      <c r="DER239"/>
      <c r="DES239"/>
      <c r="DET239"/>
      <c r="DEU239"/>
      <c r="DEV239"/>
      <c r="DEW239"/>
      <c r="DEX239"/>
      <c r="DEY239"/>
      <c r="DEZ239"/>
      <c r="DFA239"/>
      <c r="DFB239"/>
      <c r="DFC239"/>
      <c r="DFD239"/>
      <c r="DFE239"/>
      <c r="DFF239"/>
      <c r="DFG239"/>
      <c r="DFH239"/>
      <c r="DFI239"/>
      <c r="DFJ239"/>
      <c r="DFK239"/>
      <c r="DFL239"/>
      <c r="DFM239"/>
      <c r="DFN239"/>
      <c r="DFO239"/>
      <c r="DFP239"/>
      <c r="DFQ239"/>
      <c r="DFR239"/>
      <c r="DFS239"/>
      <c r="DFT239"/>
      <c r="DFU239"/>
      <c r="DFV239"/>
      <c r="DFW239"/>
      <c r="DFX239"/>
      <c r="DFY239"/>
      <c r="DFZ239"/>
      <c r="DGA239"/>
      <c r="DGB239"/>
      <c r="DGC239"/>
      <c r="DGD239"/>
      <c r="DGE239"/>
      <c r="DGF239"/>
      <c r="DGG239"/>
      <c r="DGH239"/>
      <c r="DGI239"/>
      <c r="DGJ239"/>
      <c r="DGK239"/>
      <c r="DGL239"/>
      <c r="DGM239"/>
      <c r="DGN239"/>
      <c r="DGO239"/>
      <c r="DGP239"/>
      <c r="DGQ239"/>
      <c r="DGR239"/>
      <c r="DGS239"/>
      <c r="DGT239"/>
      <c r="DGU239"/>
      <c r="DGV239"/>
      <c r="DGW239"/>
      <c r="DGX239"/>
      <c r="DGY239"/>
      <c r="DGZ239"/>
      <c r="DHA239"/>
      <c r="DHB239"/>
      <c r="DHC239"/>
      <c r="DHD239"/>
      <c r="DHE239"/>
      <c r="DHF239"/>
      <c r="DHG239"/>
      <c r="DHH239"/>
      <c r="DHI239"/>
      <c r="DHJ239"/>
      <c r="DHK239"/>
      <c r="DHL239"/>
      <c r="DHM239"/>
      <c r="DHN239"/>
      <c r="DHO239"/>
      <c r="DHP239"/>
      <c r="DHQ239"/>
      <c r="DHR239"/>
      <c r="DHS239"/>
      <c r="DHT239"/>
      <c r="DHU239"/>
      <c r="DHV239"/>
      <c r="DHW239"/>
      <c r="DHX239"/>
      <c r="DHY239"/>
      <c r="DHZ239"/>
      <c r="DIA239"/>
      <c r="DIB239"/>
      <c r="DIC239"/>
      <c r="DID239"/>
      <c r="DIE239"/>
      <c r="DIF239"/>
      <c r="DIG239"/>
      <c r="DIH239"/>
      <c r="DII239"/>
      <c r="DIJ239"/>
      <c r="DIK239"/>
      <c r="DIL239"/>
      <c r="DIM239"/>
      <c r="DIN239"/>
      <c r="DIO239"/>
      <c r="DIP239"/>
      <c r="DIQ239"/>
      <c r="DIR239"/>
      <c r="DIS239"/>
      <c r="DIT239"/>
      <c r="DIU239"/>
      <c r="DIV239"/>
      <c r="DIW239"/>
      <c r="DIX239"/>
      <c r="DIY239"/>
      <c r="DIZ239"/>
      <c r="DJA239"/>
      <c r="DJB239"/>
      <c r="DJC239"/>
      <c r="DJD239"/>
      <c r="DJE239"/>
      <c r="DJF239"/>
      <c r="DJG239"/>
      <c r="DJH239"/>
      <c r="DJI239"/>
      <c r="DJJ239"/>
      <c r="DJK239"/>
      <c r="DJL239"/>
      <c r="DJM239"/>
      <c r="DJN239"/>
      <c r="DJO239"/>
      <c r="DJP239"/>
      <c r="DJQ239"/>
      <c r="DJR239"/>
      <c r="DJS239"/>
      <c r="DJT239"/>
      <c r="DJU239"/>
      <c r="DJV239"/>
      <c r="DJW239"/>
      <c r="DJX239"/>
      <c r="DJY239"/>
      <c r="DJZ239"/>
      <c r="DKA239"/>
      <c r="DKB239"/>
      <c r="DKC239"/>
      <c r="DKD239"/>
      <c r="DKE239"/>
      <c r="DKF239"/>
      <c r="DKG239"/>
      <c r="DKH239"/>
      <c r="DKI239"/>
      <c r="DKJ239"/>
      <c r="DKK239"/>
      <c r="DKL239"/>
      <c r="DKM239"/>
      <c r="DKN239"/>
      <c r="DKO239"/>
      <c r="DKP239"/>
      <c r="DKQ239"/>
      <c r="DKR239"/>
      <c r="DKS239"/>
      <c r="DKT239"/>
      <c r="DKU239"/>
      <c r="DKV239"/>
      <c r="DKW239"/>
      <c r="DKX239"/>
      <c r="DKY239"/>
      <c r="DKZ239"/>
      <c r="DLA239"/>
      <c r="DLB239"/>
      <c r="DLC239"/>
      <c r="DLD239"/>
      <c r="DLE239"/>
      <c r="DLF239"/>
      <c r="DLG239"/>
      <c r="DLH239"/>
      <c r="DLI239"/>
      <c r="DLJ239"/>
      <c r="DLK239"/>
      <c r="DLL239"/>
      <c r="DLM239"/>
      <c r="DLN239"/>
      <c r="DLO239"/>
      <c r="DLP239"/>
      <c r="DLQ239"/>
      <c r="DLR239"/>
      <c r="DLS239"/>
      <c r="DLT239"/>
      <c r="DLU239"/>
      <c r="DLV239"/>
      <c r="DLW239"/>
      <c r="DLX239"/>
      <c r="DLY239"/>
      <c r="DLZ239"/>
      <c r="DMA239"/>
      <c r="DMB239"/>
      <c r="DMC239"/>
      <c r="DMD239"/>
      <c r="DME239"/>
      <c r="DMF239"/>
      <c r="DMG239"/>
      <c r="DMH239"/>
      <c r="DMI239"/>
      <c r="DMJ239"/>
      <c r="DMK239"/>
      <c r="DML239"/>
      <c r="DMM239"/>
      <c r="DMN239"/>
      <c r="DMO239"/>
      <c r="DMP239"/>
      <c r="DMQ239"/>
      <c r="DMR239"/>
      <c r="DMS239"/>
      <c r="DMT239"/>
      <c r="DMU239"/>
      <c r="DMV239"/>
      <c r="DMW239"/>
      <c r="DMX239"/>
      <c r="DMY239"/>
      <c r="DMZ239"/>
      <c r="DNA239"/>
      <c r="DNB239"/>
      <c r="DNC239"/>
      <c r="DND239"/>
      <c r="DNE239"/>
      <c r="DNF239"/>
      <c r="DNG239"/>
      <c r="DNH239"/>
      <c r="DNI239"/>
      <c r="DNJ239"/>
      <c r="DNK239"/>
      <c r="DNL239"/>
      <c r="DNM239"/>
      <c r="DNN239"/>
      <c r="DNO239"/>
      <c r="DNP239"/>
      <c r="DNQ239"/>
      <c r="DNR239"/>
      <c r="DNS239"/>
      <c r="DNT239"/>
      <c r="DNU239"/>
      <c r="DNV239"/>
      <c r="DNW239"/>
      <c r="DNX239"/>
      <c r="DNY239"/>
      <c r="DNZ239"/>
      <c r="DOA239"/>
      <c r="DOB239"/>
      <c r="DOC239"/>
      <c r="DOD239"/>
      <c r="DOE239"/>
      <c r="DOF239"/>
      <c r="DOG239"/>
      <c r="DOH239"/>
      <c r="DOI239"/>
      <c r="DOJ239"/>
      <c r="DOK239"/>
      <c r="DOL239"/>
      <c r="DOM239"/>
      <c r="DON239"/>
      <c r="DOO239"/>
      <c r="DOP239"/>
      <c r="DOQ239"/>
      <c r="DOR239"/>
      <c r="DOS239"/>
      <c r="DOT239"/>
      <c r="DOU239"/>
      <c r="DOV239"/>
      <c r="DOW239"/>
      <c r="DOX239"/>
      <c r="DOY239"/>
      <c r="DOZ239"/>
      <c r="DPA239"/>
      <c r="DPB239"/>
      <c r="DPC239"/>
      <c r="DPD239"/>
      <c r="DPE239"/>
      <c r="DPF239"/>
      <c r="DPG239"/>
      <c r="DPH239"/>
      <c r="DPI239"/>
      <c r="DPJ239"/>
      <c r="DPK239"/>
      <c r="DPL239"/>
      <c r="DPM239"/>
      <c r="DPN239"/>
      <c r="DPO239"/>
      <c r="DPP239"/>
      <c r="DPQ239"/>
      <c r="DPR239"/>
      <c r="DPS239"/>
      <c r="DPT239"/>
      <c r="DPU239"/>
      <c r="DPV239"/>
      <c r="DPW239"/>
      <c r="DPX239"/>
      <c r="DPY239"/>
      <c r="DPZ239"/>
      <c r="DQA239"/>
      <c r="DQB239"/>
      <c r="DQC239"/>
      <c r="DQD239"/>
      <c r="DQE239"/>
      <c r="DQF239"/>
      <c r="DQG239"/>
      <c r="DQH239"/>
      <c r="DQI239"/>
      <c r="DQJ239"/>
      <c r="DQK239"/>
      <c r="DQL239"/>
      <c r="DQM239"/>
      <c r="DQN239"/>
      <c r="DQO239"/>
      <c r="DQP239"/>
      <c r="DQQ239"/>
      <c r="DQR239"/>
      <c r="DQS239"/>
      <c r="DQT239"/>
      <c r="DQU239"/>
      <c r="DQV239"/>
      <c r="DQW239"/>
      <c r="DQX239"/>
      <c r="DQY239"/>
      <c r="DQZ239"/>
      <c r="DRA239"/>
      <c r="DRB239"/>
      <c r="DRC239"/>
      <c r="DRD239"/>
      <c r="DRE239"/>
      <c r="DRF239"/>
      <c r="DRG239"/>
      <c r="DRH239"/>
      <c r="DRI239"/>
      <c r="DRJ239"/>
      <c r="DRK239"/>
      <c r="DRL239"/>
      <c r="DRM239"/>
      <c r="DRN239"/>
      <c r="DRO239"/>
      <c r="DRP239"/>
      <c r="DRQ239"/>
      <c r="DRR239"/>
      <c r="DRS239"/>
      <c r="DRT239"/>
      <c r="DRU239"/>
      <c r="DRV239"/>
      <c r="DRW239"/>
      <c r="DRX239"/>
      <c r="DRY239"/>
      <c r="DRZ239"/>
      <c r="DSA239"/>
      <c r="DSB239"/>
      <c r="DSC239"/>
      <c r="DSD239"/>
      <c r="DSE239"/>
      <c r="DSF239"/>
      <c r="DSG239"/>
      <c r="DSH239"/>
      <c r="DSI239"/>
      <c r="DSJ239"/>
      <c r="DSK239"/>
      <c r="DSL239"/>
      <c r="DSM239"/>
      <c r="DSN239"/>
      <c r="DSO239"/>
      <c r="DSP239"/>
      <c r="DSQ239"/>
      <c r="DSR239"/>
      <c r="DSS239"/>
      <c r="DST239"/>
      <c r="DSU239"/>
      <c r="DSV239"/>
      <c r="DSW239"/>
      <c r="DSX239"/>
      <c r="DSY239"/>
      <c r="DSZ239"/>
      <c r="DTA239"/>
      <c r="DTB239"/>
      <c r="DTC239"/>
      <c r="DTD239"/>
      <c r="DTE239"/>
      <c r="DTF239"/>
      <c r="DTG239"/>
      <c r="DTH239"/>
      <c r="DTI239"/>
      <c r="DTJ239"/>
      <c r="DTK239"/>
      <c r="DTL239"/>
      <c r="DTM239"/>
      <c r="DTN239"/>
      <c r="DTO239"/>
      <c r="DTP239"/>
      <c r="DTQ239"/>
      <c r="DTR239"/>
      <c r="DTS239"/>
      <c r="DTT239"/>
      <c r="DTU239"/>
      <c r="DTV239"/>
      <c r="DTW239"/>
      <c r="DTX239"/>
      <c r="DTY239"/>
      <c r="DTZ239"/>
      <c r="DUA239"/>
      <c r="DUB239"/>
      <c r="DUC239"/>
      <c r="DUD239"/>
      <c r="DUE239"/>
      <c r="DUF239"/>
      <c r="DUG239"/>
      <c r="DUH239"/>
      <c r="DUI239"/>
      <c r="DUJ239"/>
      <c r="DUK239"/>
      <c r="DUL239"/>
      <c r="DUM239"/>
      <c r="DUN239"/>
      <c r="DUO239"/>
      <c r="DUP239"/>
      <c r="DUQ239"/>
      <c r="DUR239"/>
      <c r="DUS239"/>
      <c r="DUT239"/>
      <c r="DUU239"/>
      <c r="DUV239"/>
      <c r="DUW239"/>
      <c r="DUX239"/>
      <c r="DUY239"/>
      <c r="DUZ239"/>
      <c r="DVA239"/>
      <c r="DVB239"/>
      <c r="DVC239"/>
      <c r="DVD239"/>
      <c r="DVE239"/>
      <c r="DVF239"/>
      <c r="DVG239"/>
      <c r="DVH239"/>
      <c r="DVI239"/>
      <c r="DVJ239"/>
      <c r="DVK239"/>
      <c r="DVL239"/>
      <c r="DVM239"/>
      <c r="DVN239"/>
      <c r="DVO239"/>
      <c r="DVP239"/>
      <c r="DVQ239"/>
      <c r="DVR239"/>
      <c r="DVS239"/>
      <c r="DVT239"/>
      <c r="DVU239"/>
      <c r="DVV239"/>
      <c r="DVW239"/>
      <c r="DVX239"/>
      <c r="DVY239"/>
      <c r="DVZ239"/>
      <c r="DWA239"/>
      <c r="DWB239"/>
      <c r="DWC239"/>
      <c r="DWD239"/>
      <c r="DWE239"/>
      <c r="DWF239"/>
      <c r="DWG239"/>
      <c r="DWH239"/>
      <c r="DWI239"/>
      <c r="DWJ239"/>
      <c r="DWK239"/>
      <c r="DWL239"/>
      <c r="DWM239"/>
      <c r="DWN239"/>
      <c r="DWO239"/>
      <c r="DWP239"/>
      <c r="DWQ239"/>
      <c r="DWR239"/>
      <c r="DWS239"/>
      <c r="DWT239"/>
      <c r="DWU239"/>
      <c r="DWV239"/>
      <c r="DWW239"/>
      <c r="DWX239"/>
      <c r="DWY239"/>
      <c r="DWZ239"/>
      <c r="DXA239"/>
      <c r="DXB239"/>
      <c r="DXC239"/>
      <c r="DXD239"/>
      <c r="DXE239"/>
      <c r="DXF239"/>
      <c r="DXG239"/>
      <c r="DXH239"/>
      <c r="DXI239"/>
      <c r="DXJ239"/>
      <c r="DXK239"/>
      <c r="DXL239"/>
      <c r="DXM239"/>
      <c r="DXN239"/>
      <c r="DXO239"/>
      <c r="DXP239"/>
      <c r="DXQ239"/>
      <c r="DXR239"/>
      <c r="DXS239"/>
      <c r="DXT239"/>
      <c r="DXU239"/>
      <c r="DXV239"/>
      <c r="DXW239"/>
      <c r="DXX239"/>
      <c r="DXY239"/>
      <c r="DXZ239"/>
      <c r="DYA239"/>
      <c r="DYB239"/>
      <c r="DYC239"/>
      <c r="DYD239"/>
      <c r="DYE239"/>
      <c r="DYF239"/>
      <c r="DYG239"/>
      <c r="DYH239"/>
      <c r="DYI239"/>
      <c r="DYJ239"/>
      <c r="DYK239"/>
      <c r="DYL239"/>
      <c r="DYM239"/>
      <c r="DYN239"/>
      <c r="DYO239"/>
      <c r="DYP239"/>
      <c r="DYQ239"/>
      <c r="DYR239"/>
      <c r="DYS239"/>
      <c r="DYT239"/>
      <c r="DYU239"/>
      <c r="DYV239"/>
      <c r="DYW239"/>
      <c r="DYX239"/>
      <c r="DYY239"/>
      <c r="DYZ239"/>
      <c r="DZA239"/>
      <c r="DZB239"/>
      <c r="DZC239"/>
      <c r="DZD239"/>
      <c r="DZE239"/>
      <c r="DZF239"/>
      <c r="DZG239"/>
      <c r="DZH239"/>
      <c r="DZI239"/>
      <c r="DZJ239"/>
      <c r="DZK239"/>
      <c r="DZL239"/>
      <c r="DZM239"/>
      <c r="DZN239"/>
      <c r="DZO239"/>
      <c r="DZP239"/>
      <c r="DZQ239"/>
      <c r="DZR239"/>
      <c r="DZS239"/>
      <c r="DZT239"/>
      <c r="DZU239"/>
      <c r="DZV239"/>
      <c r="DZW239"/>
      <c r="DZX239"/>
      <c r="DZY239"/>
      <c r="DZZ239"/>
      <c r="EAA239"/>
      <c r="EAB239"/>
      <c r="EAC239"/>
      <c r="EAD239"/>
      <c r="EAE239"/>
      <c r="EAF239"/>
      <c r="EAG239"/>
      <c r="EAH239"/>
      <c r="EAI239"/>
      <c r="EAJ239"/>
      <c r="EAK239"/>
      <c r="EAL239"/>
      <c r="EAM239"/>
      <c r="EAN239"/>
      <c r="EAO239"/>
      <c r="EAP239"/>
      <c r="EAQ239"/>
      <c r="EAR239"/>
      <c r="EAS239"/>
      <c r="EAT239"/>
      <c r="EAU239"/>
      <c r="EAV239"/>
      <c r="EAW239"/>
      <c r="EAX239"/>
      <c r="EAY239"/>
      <c r="EAZ239"/>
      <c r="EBA239"/>
      <c r="EBB239"/>
      <c r="EBC239"/>
      <c r="EBD239"/>
      <c r="EBE239"/>
      <c r="EBF239"/>
      <c r="EBG239"/>
      <c r="EBH239"/>
      <c r="EBI239"/>
      <c r="EBJ239"/>
      <c r="EBK239"/>
      <c r="EBL239"/>
      <c r="EBM239"/>
      <c r="EBN239"/>
      <c r="EBO239"/>
      <c r="EBP239"/>
      <c r="EBQ239"/>
      <c r="EBR239"/>
      <c r="EBS239"/>
      <c r="EBT239"/>
      <c r="EBU239"/>
      <c r="EBV239"/>
      <c r="EBW239"/>
      <c r="EBX239"/>
      <c r="EBY239"/>
      <c r="EBZ239"/>
      <c r="ECA239"/>
      <c r="ECB239"/>
      <c r="ECC239"/>
      <c r="ECD239"/>
      <c r="ECE239"/>
      <c r="ECF239"/>
      <c r="ECG239"/>
      <c r="ECH239"/>
      <c r="ECI239"/>
      <c r="ECJ239"/>
      <c r="ECK239"/>
      <c r="ECL239"/>
      <c r="ECM239"/>
      <c r="ECN239"/>
      <c r="ECO239"/>
      <c r="ECP239"/>
      <c r="ECQ239"/>
      <c r="ECR239"/>
      <c r="ECS239"/>
      <c r="ECT239"/>
      <c r="ECU239"/>
      <c r="ECV239"/>
      <c r="ECW239"/>
      <c r="ECX239"/>
      <c r="ECY239"/>
      <c r="ECZ239"/>
      <c r="EDA239"/>
      <c r="EDB239"/>
      <c r="EDC239"/>
      <c r="EDD239"/>
      <c r="EDE239"/>
      <c r="EDF239"/>
      <c r="EDG239"/>
      <c r="EDH239"/>
      <c r="EDI239"/>
      <c r="EDJ239"/>
      <c r="EDK239"/>
      <c r="EDL239"/>
      <c r="EDM239"/>
      <c r="EDN239"/>
      <c r="EDO239"/>
      <c r="EDP239"/>
      <c r="EDQ239"/>
      <c r="EDR239"/>
      <c r="EDS239"/>
      <c r="EDT239"/>
      <c r="EDU239"/>
      <c r="EDV239"/>
      <c r="EDW239"/>
      <c r="EDX239"/>
      <c r="EDY239"/>
      <c r="EDZ239"/>
      <c r="EEA239"/>
      <c r="EEB239"/>
      <c r="EEC239"/>
      <c r="EED239"/>
      <c r="EEE239"/>
      <c r="EEF239"/>
      <c r="EEG239"/>
      <c r="EEH239"/>
      <c r="EEI239"/>
      <c r="EEJ239"/>
      <c r="EEK239"/>
      <c r="EEL239"/>
      <c r="EEM239"/>
      <c r="EEN239"/>
      <c r="EEO239"/>
      <c r="EEP239"/>
      <c r="EEQ239"/>
      <c r="EER239"/>
      <c r="EES239"/>
      <c r="EET239"/>
      <c r="EEU239"/>
      <c r="EEV239"/>
      <c r="EEW239"/>
      <c r="EEX239"/>
      <c r="EEY239"/>
      <c r="EEZ239"/>
      <c r="EFA239"/>
      <c r="EFB239"/>
      <c r="EFC239"/>
      <c r="EFD239"/>
      <c r="EFE239"/>
      <c r="EFF239"/>
      <c r="EFG239"/>
      <c r="EFH239"/>
      <c r="EFI239"/>
      <c r="EFJ239"/>
      <c r="EFK239"/>
      <c r="EFL239"/>
      <c r="EFM239"/>
      <c r="EFN239"/>
      <c r="EFO239"/>
      <c r="EFP239"/>
      <c r="EFQ239"/>
      <c r="EFR239"/>
      <c r="EFS239"/>
      <c r="EFT239"/>
      <c r="EFU239"/>
      <c r="EFV239"/>
      <c r="EFW239"/>
      <c r="EFX239"/>
      <c r="EFY239"/>
      <c r="EFZ239"/>
      <c r="EGA239"/>
      <c r="EGB239"/>
      <c r="EGC239"/>
      <c r="EGD239"/>
      <c r="EGE239"/>
      <c r="EGF239"/>
      <c r="EGG239"/>
      <c r="EGH239"/>
      <c r="EGI239"/>
      <c r="EGJ239"/>
      <c r="EGK239"/>
      <c r="EGL239"/>
      <c r="EGM239"/>
      <c r="EGN239"/>
      <c r="EGO239"/>
      <c r="EGP239"/>
      <c r="EGQ239"/>
      <c r="EGR239"/>
      <c r="EGS239"/>
      <c r="EGT239"/>
      <c r="EGU239"/>
      <c r="EGV239"/>
      <c r="EGW239"/>
      <c r="EGX239"/>
      <c r="EGY239"/>
      <c r="EGZ239"/>
      <c r="EHA239"/>
      <c r="EHB239"/>
      <c r="EHC239"/>
      <c r="EHD239"/>
      <c r="EHE239"/>
      <c r="EHF239"/>
      <c r="EHG239"/>
      <c r="EHH239"/>
      <c r="EHI239"/>
      <c r="EHJ239"/>
      <c r="EHK239"/>
      <c r="EHL239"/>
      <c r="EHM239"/>
      <c r="EHN239"/>
      <c r="EHO239"/>
      <c r="EHP239"/>
      <c r="EHQ239"/>
      <c r="EHR239"/>
      <c r="EHS239"/>
      <c r="EHT239"/>
      <c r="EHU239"/>
      <c r="EHV239"/>
      <c r="EHW239"/>
      <c r="EHX239"/>
      <c r="EHY239"/>
      <c r="EHZ239"/>
      <c r="EIA239"/>
      <c r="EIB239"/>
      <c r="EIC239"/>
      <c r="EID239"/>
      <c r="EIE239"/>
      <c r="EIF239"/>
      <c r="EIG239"/>
      <c r="EIH239"/>
      <c r="EII239"/>
      <c r="EIJ239"/>
      <c r="EIK239"/>
      <c r="EIL239"/>
      <c r="EIM239"/>
      <c r="EIN239"/>
      <c r="EIO239"/>
      <c r="EIP239"/>
      <c r="EIQ239"/>
      <c r="EIR239"/>
      <c r="EIS239"/>
      <c r="EIT239"/>
      <c r="EIU239"/>
      <c r="EIV239"/>
      <c r="EIW239"/>
      <c r="EIX239"/>
      <c r="EIY239"/>
      <c r="EIZ239"/>
      <c r="EJA239"/>
      <c r="EJB239"/>
      <c r="EJC239"/>
      <c r="EJD239"/>
      <c r="EJE239"/>
      <c r="EJF239"/>
      <c r="EJG239"/>
      <c r="EJH239"/>
      <c r="EJI239"/>
      <c r="EJJ239"/>
      <c r="EJK239"/>
      <c r="EJL239"/>
      <c r="EJM239"/>
      <c r="EJN239"/>
      <c r="EJO239"/>
      <c r="EJP239"/>
      <c r="EJQ239"/>
      <c r="EJR239"/>
      <c r="EJS239"/>
      <c r="EJT239"/>
      <c r="EJU239"/>
      <c r="EJV239"/>
      <c r="EJW239"/>
      <c r="EJX239"/>
      <c r="EJY239"/>
      <c r="EJZ239"/>
      <c r="EKA239"/>
      <c r="EKB239"/>
      <c r="EKC239"/>
      <c r="EKD239"/>
      <c r="EKE239"/>
      <c r="EKF239"/>
      <c r="EKG239"/>
      <c r="EKH239"/>
      <c r="EKI239"/>
      <c r="EKJ239"/>
      <c r="EKK239"/>
      <c r="EKL239"/>
      <c r="EKM239"/>
      <c r="EKN239"/>
      <c r="EKO239"/>
      <c r="EKP239"/>
      <c r="EKQ239"/>
      <c r="EKR239"/>
      <c r="EKS239"/>
      <c r="EKT239"/>
      <c r="EKU239"/>
      <c r="EKV239"/>
      <c r="EKW239"/>
      <c r="EKX239"/>
      <c r="EKY239"/>
      <c r="EKZ239"/>
      <c r="ELA239"/>
      <c r="ELB239"/>
      <c r="ELC239"/>
      <c r="ELD239"/>
      <c r="ELE239"/>
      <c r="ELF239"/>
      <c r="ELG239"/>
      <c r="ELH239"/>
      <c r="ELI239"/>
      <c r="ELJ239"/>
      <c r="ELK239"/>
      <c r="ELL239"/>
      <c r="ELM239"/>
      <c r="ELN239"/>
      <c r="ELO239"/>
      <c r="ELP239"/>
      <c r="ELQ239"/>
      <c r="ELR239"/>
      <c r="ELS239"/>
      <c r="ELT239"/>
      <c r="ELU239"/>
      <c r="ELV239"/>
      <c r="ELW239"/>
      <c r="ELX239"/>
      <c r="ELY239"/>
      <c r="ELZ239"/>
      <c r="EMA239"/>
      <c r="EMB239"/>
      <c r="EMC239"/>
      <c r="EMD239"/>
      <c r="EME239"/>
      <c r="EMF239"/>
      <c r="EMG239"/>
      <c r="EMH239"/>
      <c r="EMI239"/>
      <c r="EMJ239"/>
      <c r="EMK239"/>
      <c r="EML239"/>
      <c r="EMM239"/>
      <c r="EMN239"/>
      <c r="EMO239"/>
      <c r="EMP239"/>
      <c r="EMQ239"/>
      <c r="EMR239"/>
      <c r="EMS239"/>
      <c r="EMT239"/>
      <c r="EMU239"/>
      <c r="EMV239"/>
      <c r="EMW239"/>
      <c r="EMX239"/>
      <c r="EMY239"/>
      <c r="EMZ239"/>
      <c r="ENA239"/>
      <c r="ENB239"/>
      <c r="ENC239"/>
      <c r="END239"/>
      <c r="ENE239"/>
      <c r="ENF239"/>
      <c r="ENG239"/>
      <c r="ENH239"/>
      <c r="ENI239"/>
      <c r="ENJ239"/>
      <c r="ENK239"/>
      <c r="ENL239"/>
      <c r="ENM239"/>
      <c r="ENN239"/>
      <c r="ENO239"/>
      <c r="ENP239"/>
      <c r="ENQ239"/>
      <c r="ENR239"/>
      <c r="ENS239"/>
      <c r="ENT239"/>
      <c r="ENU239"/>
      <c r="ENV239"/>
      <c r="ENW239"/>
      <c r="ENX239"/>
      <c r="ENY239"/>
      <c r="ENZ239"/>
      <c r="EOA239"/>
      <c r="EOB239"/>
      <c r="EOC239"/>
      <c r="EOD239"/>
      <c r="EOE239"/>
      <c r="EOF239"/>
      <c r="EOG239"/>
      <c r="EOH239"/>
      <c r="EOI239"/>
      <c r="EOJ239"/>
      <c r="EOK239"/>
      <c r="EOL239"/>
      <c r="EOM239"/>
      <c r="EON239"/>
      <c r="EOO239"/>
      <c r="EOP239"/>
      <c r="EOQ239"/>
      <c r="EOR239"/>
      <c r="EOS239"/>
      <c r="EOT239"/>
      <c r="EOU239"/>
      <c r="EOV239"/>
      <c r="EOW239"/>
      <c r="EOX239"/>
      <c r="EOY239"/>
      <c r="EOZ239"/>
      <c r="EPA239"/>
      <c r="EPB239"/>
      <c r="EPC239"/>
      <c r="EPD239"/>
      <c r="EPE239"/>
      <c r="EPF239"/>
      <c r="EPG239"/>
      <c r="EPH239"/>
      <c r="EPI239"/>
      <c r="EPJ239"/>
      <c r="EPK239"/>
      <c r="EPL239"/>
      <c r="EPM239"/>
      <c r="EPN239"/>
      <c r="EPO239"/>
      <c r="EPP239"/>
      <c r="EPQ239"/>
      <c r="EPR239"/>
      <c r="EPS239"/>
      <c r="EPT239"/>
      <c r="EPU239"/>
      <c r="EPV239"/>
      <c r="EPW239"/>
      <c r="EPX239"/>
      <c r="EPY239"/>
      <c r="EPZ239"/>
      <c r="EQA239"/>
      <c r="EQB239"/>
      <c r="EQC239"/>
      <c r="EQD239"/>
      <c r="EQE239"/>
      <c r="EQF239"/>
      <c r="EQG239"/>
      <c r="EQH239"/>
      <c r="EQI239"/>
      <c r="EQJ239"/>
      <c r="EQK239"/>
      <c r="EQL239"/>
      <c r="EQM239"/>
      <c r="EQN239"/>
      <c r="EQO239"/>
      <c r="EQP239"/>
      <c r="EQQ239"/>
      <c r="EQR239"/>
      <c r="EQS239"/>
      <c r="EQT239"/>
      <c r="EQU239"/>
      <c r="EQV239"/>
      <c r="EQW239"/>
      <c r="EQX239"/>
      <c r="EQY239"/>
      <c r="EQZ239"/>
      <c r="ERA239"/>
      <c r="ERB239"/>
      <c r="ERC239"/>
      <c r="ERD239"/>
      <c r="ERE239"/>
      <c r="ERF239"/>
      <c r="ERG239"/>
      <c r="ERH239"/>
      <c r="ERI239"/>
      <c r="ERJ239"/>
      <c r="ERK239"/>
      <c r="ERL239"/>
      <c r="ERM239"/>
      <c r="ERN239"/>
      <c r="ERO239"/>
      <c r="ERP239"/>
      <c r="ERQ239"/>
      <c r="ERR239"/>
      <c r="ERS239"/>
      <c r="ERT239"/>
      <c r="ERU239"/>
      <c r="ERV239"/>
      <c r="ERW239"/>
      <c r="ERX239"/>
      <c r="ERY239"/>
      <c r="ERZ239"/>
      <c r="ESA239"/>
      <c r="ESB239"/>
      <c r="ESC239"/>
      <c r="ESD239"/>
      <c r="ESE239"/>
      <c r="ESF239"/>
      <c r="ESG239"/>
      <c r="ESH239"/>
      <c r="ESI239"/>
      <c r="ESJ239"/>
      <c r="ESK239"/>
      <c r="ESL239"/>
      <c r="ESM239"/>
      <c r="ESN239"/>
      <c r="ESO239"/>
      <c r="ESP239"/>
      <c r="ESQ239"/>
      <c r="ESR239"/>
      <c r="ESS239"/>
      <c r="EST239"/>
      <c r="ESU239"/>
      <c r="ESV239"/>
      <c r="ESW239"/>
      <c r="ESX239"/>
      <c r="ESY239"/>
      <c r="ESZ239"/>
      <c r="ETA239"/>
      <c r="ETB239"/>
      <c r="ETC239"/>
      <c r="ETD239"/>
      <c r="ETE239"/>
      <c r="ETF239"/>
      <c r="ETG239"/>
      <c r="ETH239"/>
      <c r="ETI239"/>
      <c r="ETJ239"/>
      <c r="ETK239"/>
      <c r="ETL239"/>
      <c r="ETM239"/>
      <c r="ETN239"/>
      <c r="ETO239"/>
      <c r="ETP239"/>
      <c r="ETQ239"/>
      <c r="ETR239"/>
      <c r="ETS239"/>
      <c r="ETT239"/>
      <c r="ETU239"/>
      <c r="ETV239"/>
      <c r="ETW239"/>
      <c r="ETX239"/>
      <c r="ETY239"/>
      <c r="ETZ239"/>
      <c r="EUA239"/>
      <c r="EUB239"/>
      <c r="EUC239"/>
      <c r="EUD239"/>
      <c r="EUE239"/>
      <c r="EUF239"/>
      <c r="EUG239"/>
      <c r="EUH239"/>
      <c r="EUI239"/>
      <c r="EUJ239"/>
      <c r="EUK239"/>
      <c r="EUL239"/>
      <c r="EUM239"/>
      <c r="EUN239"/>
      <c r="EUO239"/>
      <c r="EUP239"/>
      <c r="EUQ239"/>
      <c r="EUR239"/>
      <c r="EUS239"/>
      <c r="EUT239"/>
      <c r="EUU239"/>
      <c r="EUV239"/>
      <c r="EUW239"/>
      <c r="EUX239"/>
      <c r="EUY239"/>
      <c r="EUZ239"/>
      <c r="EVA239"/>
      <c r="EVB239"/>
      <c r="EVC239"/>
      <c r="EVD239"/>
      <c r="EVE239"/>
      <c r="EVF239"/>
      <c r="EVG239"/>
      <c r="EVH239"/>
      <c r="EVI239"/>
      <c r="EVJ239"/>
      <c r="EVK239"/>
      <c r="EVL239"/>
      <c r="EVM239"/>
      <c r="EVN239"/>
      <c r="EVO239"/>
      <c r="EVP239"/>
      <c r="EVQ239"/>
      <c r="EVR239"/>
      <c r="EVS239"/>
      <c r="EVT239"/>
      <c r="EVU239"/>
      <c r="EVV239"/>
      <c r="EVW239"/>
      <c r="EVX239"/>
      <c r="EVY239"/>
      <c r="EVZ239"/>
      <c r="EWA239"/>
      <c r="EWB239"/>
      <c r="EWC239"/>
      <c r="EWD239"/>
      <c r="EWE239"/>
      <c r="EWF239"/>
      <c r="EWG239"/>
      <c r="EWH239"/>
      <c r="EWI239"/>
      <c r="EWJ239"/>
      <c r="EWK239"/>
      <c r="EWL239"/>
      <c r="EWM239"/>
      <c r="EWN239"/>
      <c r="EWO239"/>
      <c r="EWP239"/>
      <c r="EWQ239"/>
      <c r="EWR239"/>
      <c r="EWS239"/>
      <c r="EWT239"/>
      <c r="EWU239"/>
      <c r="EWV239"/>
      <c r="EWW239"/>
      <c r="EWX239"/>
      <c r="EWY239"/>
      <c r="EWZ239"/>
      <c r="EXA239"/>
      <c r="EXB239"/>
      <c r="EXC239"/>
      <c r="EXD239"/>
      <c r="EXE239"/>
      <c r="EXF239"/>
      <c r="EXG239"/>
      <c r="EXH239"/>
      <c r="EXI239"/>
      <c r="EXJ239"/>
      <c r="EXK239"/>
      <c r="EXL239"/>
      <c r="EXM239"/>
      <c r="EXN239"/>
      <c r="EXO239"/>
      <c r="EXP239"/>
      <c r="EXQ239"/>
      <c r="EXR239"/>
      <c r="EXS239"/>
      <c r="EXT239"/>
      <c r="EXU239"/>
      <c r="EXV239"/>
      <c r="EXW239"/>
      <c r="EXX239"/>
      <c r="EXY239"/>
      <c r="EXZ239"/>
      <c r="EYA239"/>
      <c r="EYB239"/>
      <c r="EYC239"/>
      <c r="EYD239"/>
      <c r="EYE239"/>
      <c r="EYF239"/>
      <c r="EYG239"/>
      <c r="EYH239"/>
      <c r="EYI239"/>
      <c r="EYJ239"/>
      <c r="EYK239"/>
      <c r="EYL239"/>
      <c r="EYM239"/>
      <c r="EYN239"/>
      <c r="EYO239"/>
      <c r="EYP239"/>
      <c r="EYQ239"/>
      <c r="EYR239"/>
      <c r="EYS239"/>
      <c r="EYT239"/>
      <c r="EYU239"/>
      <c r="EYV239"/>
      <c r="EYW239"/>
      <c r="EYX239"/>
      <c r="EYY239"/>
      <c r="EYZ239"/>
      <c r="EZA239"/>
      <c r="EZB239"/>
      <c r="EZC239"/>
      <c r="EZD239"/>
      <c r="EZE239"/>
      <c r="EZF239"/>
      <c r="EZG239"/>
      <c r="EZH239"/>
      <c r="EZI239"/>
      <c r="EZJ239"/>
      <c r="EZK239"/>
      <c r="EZL239"/>
      <c r="EZM239"/>
      <c r="EZN239"/>
      <c r="EZO239"/>
      <c r="EZP239"/>
      <c r="EZQ239"/>
      <c r="EZR239"/>
      <c r="EZS239"/>
      <c r="EZT239"/>
      <c r="EZU239"/>
      <c r="EZV239"/>
      <c r="EZW239"/>
      <c r="EZX239"/>
      <c r="EZY239"/>
      <c r="EZZ239"/>
      <c r="FAA239"/>
      <c r="FAB239"/>
      <c r="FAC239"/>
      <c r="FAD239"/>
      <c r="FAE239"/>
      <c r="FAF239"/>
      <c r="FAG239"/>
      <c r="FAH239"/>
      <c r="FAI239"/>
      <c r="FAJ239"/>
      <c r="FAK239"/>
      <c r="FAL239"/>
      <c r="FAM239"/>
      <c r="FAN239"/>
      <c r="FAO239"/>
      <c r="FAP239"/>
      <c r="FAQ239"/>
      <c r="FAR239"/>
      <c r="FAS239"/>
      <c r="FAT239"/>
      <c r="FAU239"/>
      <c r="FAV239"/>
      <c r="FAW239"/>
      <c r="FAX239"/>
      <c r="FAY239"/>
      <c r="FAZ239"/>
      <c r="FBA239"/>
      <c r="FBB239"/>
      <c r="FBC239"/>
      <c r="FBD239"/>
      <c r="FBE239"/>
      <c r="FBF239"/>
      <c r="FBG239"/>
      <c r="FBH239"/>
      <c r="FBI239"/>
      <c r="FBJ239"/>
      <c r="FBK239"/>
      <c r="FBL239"/>
      <c r="FBM239"/>
      <c r="FBN239"/>
      <c r="FBO239"/>
      <c r="FBP239"/>
      <c r="FBQ239"/>
      <c r="FBR239"/>
      <c r="FBS239"/>
      <c r="FBT239"/>
      <c r="FBU239"/>
      <c r="FBV239"/>
      <c r="FBW239"/>
      <c r="FBX239"/>
      <c r="FBY239"/>
      <c r="FBZ239"/>
      <c r="FCA239"/>
      <c r="FCB239"/>
      <c r="FCC239"/>
      <c r="FCD239"/>
      <c r="FCE239"/>
      <c r="FCF239"/>
      <c r="FCG239"/>
      <c r="FCH239"/>
      <c r="FCI239"/>
      <c r="FCJ239"/>
      <c r="FCK239"/>
      <c r="FCL239"/>
      <c r="FCM239"/>
      <c r="FCN239"/>
      <c r="FCO239"/>
      <c r="FCP239"/>
      <c r="FCQ239"/>
      <c r="FCR239"/>
      <c r="FCS239"/>
      <c r="FCT239"/>
      <c r="FCU239"/>
      <c r="FCV239"/>
      <c r="FCW239"/>
      <c r="FCX239"/>
      <c r="FCY239"/>
      <c r="FCZ239"/>
      <c r="FDA239"/>
      <c r="FDB239"/>
      <c r="FDC239"/>
      <c r="FDD239"/>
      <c r="FDE239"/>
      <c r="FDF239"/>
      <c r="FDG239"/>
      <c r="FDH239"/>
      <c r="FDI239"/>
      <c r="FDJ239"/>
      <c r="FDK239"/>
      <c r="FDL239"/>
      <c r="FDM239"/>
      <c r="FDN239"/>
      <c r="FDO239"/>
      <c r="FDP239"/>
      <c r="FDQ239"/>
      <c r="FDR239"/>
      <c r="FDS239"/>
      <c r="FDT239"/>
      <c r="FDU239"/>
      <c r="FDV239"/>
      <c r="FDW239"/>
      <c r="FDX239"/>
      <c r="FDY239"/>
      <c r="FDZ239"/>
      <c r="FEA239"/>
      <c r="FEB239"/>
      <c r="FEC239"/>
      <c r="FED239"/>
      <c r="FEE239"/>
      <c r="FEF239"/>
      <c r="FEG239"/>
      <c r="FEH239"/>
      <c r="FEI239"/>
      <c r="FEJ239"/>
      <c r="FEK239"/>
      <c r="FEL239"/>
      <c r="FEM239"/>
      <c r="FEN239"/>
      <c r="FEO239"/>
      <c r="FEP239"/>
      <c r="FEQ239"/>
      <c r="FER239"/>
      <c r="FES239"/>
      <c r="FET239"/>
      <c r="FEU239"/>
      <c r="FEV239"/>
      <c r="FEW239"/>
      <c r="FEX239"/>
      <c r="FEY239"/>
      <c r="FEZ239"/>
      <c r="FFA239"/>
      <c r="FFB239"/>
      <c r="FFC239"/>
      <c r="FFD239"/>
      <c r="FFE239"/>
      <c r="FFF239"/>
      <c r="FFG239"/>
      <c r="FFH239"/>
      <c r="FFI239"/>
      <c r="FFJ239"/>
      <c r="FFK239"/>
      <c r="FFL239"/>
      <c r="FFM239"/>
      <c r="FFN239"/>
      <c r="FFO239"/>
      <c r="FFP239"/>
      <c r="FFQ239"/>
      <c r="FFR239"/>
      <c r="FFS239"/>
      <c r="FFT239"/>
      <c r="FFU239"/>
      <c r="FFV239"/>
      <c r="FFW239"/>
      <c r="FFX239"/>
      <c r="FFY239"/>
      <c r="FFZ239"/>
      <c r="FGA239"/>
      <c r="FGB239"/>
      <c r="FGC239"/>
      <c r="FGD239"/>
      <c r="FGE239"/>
      <c r="FGF239"/>
      <c r="FGG239"/>
      <c r="FGH239"/>
      <c r="FGI239"/>
      <c r="FGJ239"/>
      <c r="FGK239"/>
      <c r="FGL239"/>
      <c r="FGM239"/>
      <c r="FGN239"/>
      <c r="FGO239"/>
      <c r="FGP239"/>
      <c r="FGQ239"/>
      <c r="FGR239"/>
      <c r="FGS239"/>
      <c r="FGT239"/>
      <c r="FGU239"/>
      <c r="FGV239"/>
      <c r="FGW239"/>
      <c r="FGX239"/>
      <c r="FGY239"/>
      <c r="FGZ239"/>
      <c r="FHA239"/>
      <c r="FHB239"/>
      <c r="FHC239"/>
      <c r="FHD239"/>
      <c r="FHE239"/>
      <c r="FHF239"/>
      <c r="FHG239"/>
      <c r="FHH239"/>
      <c r="FHI239"/>
      <c r="FHJ239"/>
      <c r="FHK239"/>
      <c r="FHL239"/>
      <c r="FHM239"/>
      <c r="FHN239"/>
      <c r="FHO239"/>
      <c r="FHP239"/>
      <c r="FHQ239"/>
      <c r="FHR239"/>
      <c r="FHS239"/>
      <c r="FHT239"/>
      <c r="FHU239"/>
      <c r="FHV239"/>
      <c r="FHW239"/>
      <c r="FHX239"/>
      <c r="FHY239"/>
      <c r="FHZ239"/>
      <c r="FIA239"/>
      <c r="FIB239"/>
      <c r="FIC239"/>
      <c r="FID239"/>
      <c r="FIE239"/>
      <c r="FIF239"/>
      <c r="FIG239"/>
      <c r="FIH239"/>
      <c r="FII239"/>
      <c r="FIJ239"/>
      <c r="FIK239"/>
      <c r="FIL239"/>
      <c r="FIM239"/>
      <c r="FIN239"/>
      <c r="FIO239"/>
      <c r="FIP239"/>
      <c r="FIQ239"/>
      <c r="FIR239"/>
      <c r="FIS239"/>
      <c r="FIT239"/>
      <c r="FIU239"/>
      <c r="FIV239"/>
      <c r="FIW239"/>
      <c r="FIX239"/>
      <c r="FIY239"/>
      <c r="FIZ239"/>
      <c r="FJA239"/>
      <c r="FJB239"/>
      <c r="FJC239"/>
      <c r="FJD239"/>
      <c r="FJE239"/>
      <c r="FJF239"/>
      <c r="FJG239"/>
      <c r="FJH239"/>
      <c r="FJI239"/>
      <c r="FJJ239"/>
      <c r="FJK239"/>
      <c r="FJL239"/>
      <c r="FJM239"/>
      <c r="FJN239"/>
      <c r="FJO239"/>
      <c r="FJP239"/>
      <c r="FJQ239"/>
      <c r="FJR239"/>
      <c r="FJS239"/>
      <c r="FJT239"/>
      <c r="FJU239"/>
      <c r="FJV239"/>
      <c r="FJW239"/>
      <c r="FJX239"/>
      <c r="FJY239"/>
      <c r="FJZ239"/>
      <c r="FKA239"/>
      <c r="FKB239"/>
      <c r="FKC239"/>
      <c r="FKD239"/>
      <c r="FKE239"/>
      <c r="FKF239"/>
      <c r="FKG239"/>
      <c r="FKH239"/>
      <c r="FKI239"/>
      <c r="FKJ239"/>
      <c r="FKK239"/>
      <c r="FKL239"/>
      <c r="FKM239"/>
      <c r="FKN239"/>
      <c r="FKO239"/>
      <c r="FKP239"/>
      <c r="FKQ239"/>
      <c r="FKR239"/>
      <c r="FKS239"/>
      <c r="FKT239"/>
      <c r="FKU239"/>
      <c r="FKV239"/>
      <c r="FKW239"/>
      <c r="FKX239"/>
      <c r="FKY239"/>
      <c r="FKZ239"/>
      <c r="FLA239"/>
      <c r="FLB239"/>
      <c r="FLC239"/>
      <c r="FLD239"/>
      <c r="FLE239"/>
      <c r="FLF239"/>
      <c r="FLG239"/>
      <c r="FLH239"/>
      <c r="FLI239"/>
      <c r="FLJ239"/>
      <c r="FLK239"/>
      <c r="FLL239"/>
      <c r="FLM239"/>
      <c r="FLN239"/>
      <c r="FLO239"/>
      <c r="FLP239"/>
      <c r="FLQ239"/>
      <c r="FLR239"/>
      <c r="FLS239"/>
      <c r="FLT239"/>
      <c r="FLU239"/>
      <c r="FLV239"/>
      <c r="FLW239"/>
      <c r="FLX239"/>
      <c r="FLY239"/>
      <c r="FLZ239"/>
      <c r="FMA239"/>
      <c r="FMB239"/>
      <c r="FMC239"/>
      <c r="FMD239"/>
      <c r="FME239"/>
      <c r="FMF239"/>
      <c r="FMG239"/>
      <c r="FMH239"/>
      <c r="FMI239"/>
      <c r="FMJ239"/>
      <c r="FMK239"/>
      <c r="FML239"/>
      <c r="FMM239"/>
      <c r="FMN239"/>
      <c r="FMO239"/>
      <c r="FMP239"/>
      <c r="FMQ239"/>
      <c r="FMR239"/>
      <c r="FMS239"/>
      <c r="FMT239"/>
      <c r="FMU239"/>
      <c r="FMV239"/>
      <c r="FMW239"/>
      <c r="FMX239"/>
      <c r="FMY239"/>
      <c r="FMZ239"/>
      <c r="FNA239"/>
      <c r="FNB239"/>
      <c r="FNC239"/>
      <c r="FND239"/>
      <c r="FNE239"/>
      <c r="FNF239"/>
      <c r="FNG239"/>
      <c r="FNH239"/>
      <c r="FNI239"/>
      <c r="FNJ239"/>
      <c r="FNK239"/>
      <c r="FNL239"/>
      <c r="FNM239"/>
      <c r="FNN239"/>
      <c r="FNO239"/>
      <c r="FNP239"/>
      <c r="FNQ239"/>
      <c r="FNR239"/>
      <c r="FNS239"/>
      <c r="FNT239"/>
      <c r="FNU239"/>
      <c r="FNV239"/>
      <c r="FNW239"/>
      <c r="FNX239"/>
      <c r="FNY239"/>
      <c r="FNZ239"/>
      <c r="FOA239"/>
      <c r="FOB239"/>
      <c r="FOC239"/>
      <c r="FOD239"/>
      <c r="FOE239"/>
      <c r="FOF239"/>
      <c r="FOG239"/>
      <c r="FOH239"/>
      <c r="FOI239"/>
      <c r="FOJ239"/>
      <c r="FOK239"/>
      <c r="FOL239"/>
      <c r="FOM239"/>
      <c r="FON239"/>
      <c r="FOO239"/>
      <c r="FOP239"/>
      <c r="FOQ239"/>
      <c r="FOR239"/>
      <c r="FOS239"/>
      <c r="FOT239"/>
      <c r="FOU239"/>
      <c r="FOV239"/>
      <c r="FOW239"/>
      <c r="FOX239"/>
      <c r="FOY239"/>
      <c r="FOZ239"/>
      <c r="FPA239"/>
      <c r="FPB239"/>
      <c r="FPC239"/>
      <c r="FPD239"/>
      <c r="FPE239"/>
      <c r="FPF239"/>
      <c r="FPG239"/>
      <c r="FPH239"/>
      <c r="FPI239"/>
      <c r="FPJ239"/>
      <c r="FPK239"/>
      <c r="FPL239"/>
      <c r="FPM239"/>
      <c r="FPN239"/>
      <c r="FPO239"/>
      <c r="FPP239"/>
      <c r="FPQ239"/>
      <c r="FPR239"/>
      <c r="FPS239"/>
      <c r="FPT239"/>
      <c r="FPU239"/>
      <c r="FPV239"/>
      <c r="FPW239"/>
      <c r="FPX239"/>
      <c r="FPY239"/>
      <c r="FPZ239"/>
      <c r="FQA239"/>
      <c r="FQB239"/>
      <c r="FQC239"/>
      <c r="FQD239"/>
      <c r="FQE239"/>
      <c r="FQF239"/>
      <c r="FQG239"/>
      <c r="FQH239"/>
      <c r="FQI239"/>
      <c r="FQJ239"/>
      <c r="FQK239"/>
      <c r="FQL239"/>
      <c r="FQM239"/>
      <c r="FQN239"/>
      <c r="FQO239"/>
      <c r="FQP239"/>
      <c r="FQQ239"/>
      <c r="FQR239"/>
      <c r="FQS239"/>
      <c r="FQT239"/>
      <c r="FQU239"/>
      <c r="FQV239"/>
      <c r="FQW239"/>
      <c r="FQX239"/>
      <c r="FQY239"/>
      <c r="FQZ239"/>
      <c r="FRA239"/>
      <c r="FRB239"/>
      <c r="FRC239"/>
      <c r="FRD239"/>
      <c r="FRE239"/>
      <c r="FRF239"/>
      <c r="FRG239"/>
      <c r="FRH239"/>
      <c r="FRI239"/>
      <c r="FRJ239"/>
      <c r="FRK239"/>
      <c r="FRL239"/>
      <c r="FRM239"/>
      <c r="FRN239"/>
      <c r="FRO239"/>
      <c r="FRP239"/>
      <c r="FRQ239"/>
      <c r="FRR239"/>
      <c r="FRS239"/>
      <c r="FRT239"/>
      <c r="FRU239"/>
      <c r="FRV239"/>
      <c r="FRW239"/>
      <c r="FRX239"/>
      <c r="FRY239"/>
      <c r="FRZ239"/>
      <c r="FSA239"/>
      <c r="FSB239"/>
      <c r="FSC239"/>
      <c r="FSD239"/>
      <c r="FSE239"/>
      <c r="FSF239"/>
      <c r="FSG239"/>
      <c r="FSH239"/>
      <c r="FSI239"/>
      <c r="FSJ239"/>
      <c r="FSK239"/>
      <c r="FSL239"/>
      <c r="FSM239"/>
      <c r="FSN239"/>
      <c r="FSO239"/>
      <c r="FSP239"/>
      <c r="FSQ239"/>
      <c r="FSR239"/>
      <c r="FSS239"/>
      <c r="FST239"/>
      <c r="FSU239"/>
      <c r="FSV239"/>
      <c r="FSW239"/>
      <c r="FSX239"/>
      <c r="FSY239"/>
      <c r="FSZ239"/>
      <c r="FTA239"/>
      <c r="FTB239"/>
      <c r="FTC239"/>
      <c r="FTD239"/>
      <c r="FTE239"/>
      <c r="FTF239"/>
      <c r="FTG239"/>
      <c r="FTH239"/>
      <c r="FTI239"/>
      <c r="FTJ239"/>
      <c r="FTK239"/>
      <c r="FTL239"/>
      <c r="FTM239"/>
      <c r="FTN239"/>
      <c r="FTO239"/>
      <c r="FTP239"/>
      <c r="FTQ239"/>
      <c r="FTR239"/>
      <c r="FTS239"/>
      <c r="FTT239"/>
      <c r="FTU239"/>
      <c r="FTV239"/>
      <c r="FTW239"/>
      <c r="FTX239"/>
      <c r="FTY239"/>
      <c r="FTZ239"/>
      <c r="FUA239"/>
      <c r="FUB239"/>
      <c r="FUC239"/>
      <c r="FUD239"/>
      <c r="FUE239"/>
      <c r="FUF239"/>
      <c r="FUG239"/>
      <c r="FUH239"/>
      <c r="FUI239"/>
      <c r="FUJ239"/>
      <c r="FUK239"/>
      <c r="FUL239"/>
      <c r="FUM239"/>
      <c r="FUN239"/>
      <c r="FUO239"/>
      <c r="FUP239"/>
      <c r="FUQ239"/>
      <c r="FUR239"/>
      <c r="FUS239"/>
      <c r="FUT239"/>
      <c r="FUU239"/>
      <c r="FUV239"/>
      <c r="FUW239"/>
      <c r="FUX239"/>
      <c r="FUY239"/>
      <c r="FUZ239"/>
      <c r="FVA239"/>
      <c r="FVB239"/>
      <c r="FVC239"/>
      <c r="FVD239"/>
      <c r="FVE239"/>
      <c r="FVF239"/>
      <c r="FVG239"/>
      <c r="FVH239"/>
      <c r="FVI239"/>
      <c r="FVJ239"/>
      <c r="FVK239"/>
      <c r="FVL239"/>
      <c r="FVM239"/>
      <c r="FVN239"/>
      <c r="FVO239"/>
      <c r="FVP239"/>
      <c r="FVQ239"/>
      <c r="FVR239"/>
      <c r="FVS239"/>
      <c r="FVT239"/>
      <c r="FVU239"/>
      <c r="FVV239"/>
      <c r="FVW239"/>
      <c r="FVX239"/>
      <c r="FVY239"/>
      <c r="FVZ239"/>
      <c r="FWA239"/>
      <c r="FWB239"/>
      <c r="FWC239"/>
      <c r="FWD239"/>
      <c r="FWE239"/>
      <c r="FWF239"/>
      <c r="FWG239"/>
      <c r="FWH239"/>
      <c r="FWI239"/>
      <c r="FWJ239"/>
      <c r="FWK239"/>
      <c r="FWL239"/>
      <c r="FWM239"/>
      <c r="FWN239"/>
      <c r="FWO239"/>
      <c r="FWP239"/>
      <c r="FWQ239"/>
      <c r="FWR239"/>
      <c r="FWS239"/>
      <c r="FWT239"/>
      <c r="FWU239"/>
      <c r="FWV239"/>
      <c r="FWW239"/>
      <c r="FWX239"/>
      <c r="FWY239"/>
      <c r="FWZ239"/>
      <c r="FXA239"/>
      <c r="FXB239"/>
      <c r="FXC239"/>
      <c r="FXD239"/>
      <c r="FXE239"/>
      <c r="FXF239"/>
      <c r="FXG239"/>
      <c r="FXH239"/>
      <c r="FXI239"/>
      <c r="FXJ239"/>
      <c r="FXK239"/>
      <c r="FXL239"/>
      <c r="FXM239"/>
      <c r="FXN239"/>
      <c r="FXO239"/>
      <c r="FXP239"/>
      <c r="FXQ239"/>
      <c r="FXR239"/>
      <c r="FXS239"/>
      <c r="FXT239"/>
      <c r="FXU239"/>
      <c r="FXV239"/>
      <c r="FXW239"/>
      <c r="FXX239"/>
      <c r="FXY239"/>
      <c r="FXZ239"/>
      <c r="FYA239"/>
      <c r="FYB239"/>
      <c r="FYC239"/>
      <c r="FYD239"/>
      <c r="FYE239"/>
      <c r="FYF239"/>
      <c r="FYG239"/>
      <c r="FYH239"/>
      <c r="FYI239"/>
      <c r="FYJ239"/>
      <c r="FYK239"/>
      <c r="FYL239"/>
      <c r="FYM239"/>
      <c r="FYN239"/>
      <c r="FYO239"/>
      <c r="FYP239"/>
      <c r="FYQ239"/>
      <c r="FYR239"/>
      <c r="FYS239"/>
      <c r="FYT239"/>
      <c r="FYU239"/>
      <c r="FYV239"/>
      <c r="FYW239"/>
      <c r="FYX239"/>
      <c r="FYY239"/>
      <c r="FYZ239"/>
      <c r="FZA239"/>
      <c r="FZB239"/>
      <c r="FZC239"/>
      <c r="FZD239"/>
      <c r="FZE239"/>
      <c r="FZF239"/>
      <c r="FZG239"/>
      <c r="FZH239"/>
      <c r="FZI239"/>
      <c r="FZJ239"/>
      <c r="FZK239"/>
      <c r="FZL239"/>
      <c r="FZM239"/>
      <c r="FZN239"/>
      <c r="FZO239"/>
      <c r="FZP239"/>
      <c r="FZQ239"/>
      <c r="FZR239"/>
      <c r="FZS239"/>
      <c r="FZT239"/>
      <c r="FZU239"/>
      <c r="FZV239"/>
      <c r="FZW239"/>
      <c r="FZX239"/>
      <c r="FZY239"/>
      <c r="FZZ239"/>
      <c r="GAA239"/>
      <c r="GAB239"/>
      <c r="GAC239"/>
      <c r="GAD239"/>
      <c r="GAE239"/>
      <c r="GAF239"/>
      <c r="GAG239"/>
      <c r="GAH239"/>
      <c r="GAI239"/>
      <c r="GAJ239"/>
      <c r="GAK239"/>
      <c r="GAL239"/>
      <c r="GAM239"/>
      <c r="GAN239"/>
      <c r="GAO239"/>
      <c r="GAP239"/>
      <c r="GAQ239"/>
      <c r="GAR239"/>
      <c r="GAS239"/>
      <c r="GAT239"/>
      <c r="GAU239"/>
      <c r="GAV239"/>
      <c r="GAW239"/>
      <c r="GAX239"/>
      <c r="GAY239"/>
      <c r="GAZ239"/>
      <c r="GBA239"/>
      <c r="GBB239"/>
      <c r="GBC239"/>
      <c r="GBD239"/>
      <c r="GBE239"/>
      <c r="GBF239"/>
      <c r="GBG239"/>
      <c r="GBH239"/>
      <c r="GBI239"/>
      <c r="GBJ239"/>
      <c r="GBK239"/>
      <c r="GBL239"/>
      <c r="GBM239"/>
      <c r="GBN239"/>
      <c r="GBO239"/>
      <c r="GBP239"/>
      <c r="GBQ239"/>
      <c r="GBR239"/>
      <c r="GBS239"/>
      <c r="GBT239"/>
      <c r="GBU239"/>
      <c r="GBV239"/>
      <c r="GBW239"/>
      <c r="GBX239"/>
      <c r="GBY239"/>
      <c r="GBZ239"/>
      <c r="GCA239"/>
      <c r="GCB239"/>
      <c r="GCC239"/>
      <c r="GCD239"/>
      <c r="GCE239"/>
      <c r="GCF239"/>
      <c r="GCG239"/>
      <c r="GCH239"/>
      <c r="GCI239"/>
      <c r="GCJ239"/>
      <c r="GCK239"/>
      <c r="GCL239"/>
      <c r="GCM239"/>
      <c r="GCN239"/>
      <c r="GCO239"/>
      <c r="GCP239"/>
      <c r="GCQ239"/>
      <c r="GCR239"/>
      <c r="GCS239"/>
      <c r="GCT239"/>
      <c r="GCU239"/>
      <c r="GCV239"/>
      <c r="GCW239"/>
      <c r="GCX239"/>
      <c r="GCY239"/>
      <c r="GCZ239"/>
      <c r="GDA239"/>
      <c r="GDB239"/>
      <c r="GDC239"/>
      <c r="GDD239"/>
      <c r="GDE239"/>
      <c r="GDF239"/>
      <c r="GDG239"/>
      <c r="GDH239"/>
      <c r="GDI239"/>
      <c r="GDJ239"/>
      <c r="GDK239"/>
      <c r="GDL239"/>
      <c r="GDM239"/>
      <c r="GDN239"/>
      <c r="GDO239"/>
      <c r="GDP239"/>
      <c r="GDQ239"/>
      <c r="GDR239"/>
      <c r="GDS239"/>
      <c r="GDT239"/>
      <c r="GDU239"/>
      <c r="GDV239"/>
      <c r="GDW239"/>
      <c r="GDX239"/>
      <c r="GDY239"/>
      <c r="GDZ239"/>
      <c r="GEA239"/>
      <c r="GEB239"/>
      <c r="GEC239"/>
      <c r="GED239"/>
      <c r="GEE239"/>
      <c r="GEF239"/>
      <c r="GEG239"/>
      <c r="GEH239"/>
      <c r="GEI239"/>
      <c r="GEJ239"/>
      <c r="GEK239"/>
      <c r="GEL239"/>
      <c r="GEM239"/>
      <c r="GEN239"/>
      <c r="GEO239"/>
      <c r="GEP239"/>
      <c r="GEQ239"/>
      <c r="GER239"/>
      <c r="GES239"/>
      <c r="GET239"/>
      <c r="GEU239"/>
      <c r="GEV239"/>
      <c r="GEW239"/>
      <c r="GEX239"/>
      <c r="GEY239"/>
      <c r="GEZ239"/>
      <c r="GFA239"/>
      <c r="GFB239"/>
      <c r="GFC239"/>
      <c r="GFD239"/>
      <c r="GFE239"/>
      <c r="GFF239"/>
      <c r="GFG239"/>
      <c r="GFH239"/>
      <c r="GFI239"/>
      <c r="GFJ239"/>
      <c r="GFK239"/>
      <c r="GFL239"/>
      <c r="GFM239"/>
      <c r="GFN239"/>
      <c r="GFO239"/>
      <c r="GFP239"/>
      <c r="GFQ239"/>
      <c r="GFR239"/>
      <c r="GFS239"/>
      <c r="GFT239"/>
      <c r="GFU239"/>
      <c r="GFV239"/>
      <c r="GFW239"/>
      <c r="GFX239"/>
      <c r="GFY239"/>
      <c r="GFZ239"/>
      <c r="GGA239"/>
      <c r="GGB239"/>
      <c r="GGC239"/>
      <c r="GGD239"/>
      <c r="GGE239"/>
      <c r="GGF239"/>
      <c r="GGG239"/>
      <c r="GGH239"/>
      <c r="GGI239"/>
      <c r="GGJ239"/>
      <c r="GGK239"/>
      <c r="GGL239"/>
      <c r="GGM239"/>
      <c r="GGN239"/>
      <c r="GGO239"/>
      <c r="GGP239"/>
      <c r="GGQ239"/>
      <c r="GGR239"/>
      <c r="GGS239"/>
      <c r="GGT239"/>
      <c r="GGU239"/>
      <c r="GGV239"/>
      <c r="GGW239"/>
      <c r="GGX239"/>
      <c r="GGY239"/>
      <c r="GGZ239"/>
      <c r="GHA239"/>
      <c r="GHB239"/>
      <c r="GHC239"/>
      <c r="GHD239"/>
      <c r="GHE239"/>
      <c r="GHF239"/>
      <c r="GHG239"/>
      <c r="GHH239"/>
      <c r="GHI239"/>
      <c r="GHJ239"/>
      <c r="GHK239"/>
      <c r="GHL239"/>
      <c r="GHM239"/>
      <c r="GHN239"/>
      <c r="GHO239"/>
      <c r="GHP239"/>
      <c r="GHQ239"/>
      <c r="GHR239"/>
      <c r="GHS239"/>
      <c r="GHT239"/>
      <c r="GHU239"/>
      <c r="GHV239"/>
      <c r="GHW239"/>
      <c r="GHX239"/>
      <c r="GHY239"/>
      <c r="GHZ239"/>
      <c r="GIA239"/>
      <c r="GIB239"/>
      <c r="GIC239"/>
      <c r="GID239"/>
      <c r="GIE239"/>
      <c r="GIF239"/>
      <c r="GIG239"/>
      <c r="GIH239"/>
      <c r="GII239"/>
      <c r="GIJ239"/>
      <c r="GIK239"/>
      <c r="GIL239"/>
      <c r="GIM239"/>
      <c r="GIN239"/>
      <c r="GIO239"/>
      <c r="GIP239"/>
      <c r="GIQ239"/>
      <c r="GIR239"/>
      <c r="GIS239"/>
      <c r="GIT239"/>
      <c r="GIU239"/>
      <c r="GIV239"/>
      <c r="GIW239"/>
      <c r="GIX239"/>
      <c r="GIY239"/>
      <c r="GIZ239"/>
      <c r="GJA239"/>
      <c r="GJB239"/>
      <c r="GJC239"/>
      <c r="GJD239"/>
      <c r="GJE239"/>
      <c r="GJF239"/>
      <c r="GJG239"/>
      <c r="GJH239"/>
      <c r="GJI239"/>
      <c r="GJJ239"/>
      <c r="GJK239"/>
      <c r="GJL239"/>
      <c r="GJM239"/>
      <c r="GJN239"/>
      <c r="GJO239"/>
      <c r="GJP239"/>
      <c r="GJQ239"/>
      <c r="GJR239"/>
      <c r="GJS239"/>
      <c r="GJT239"/>
      <c r="GJU239"/>
      <c r="GJV239"/>
      <c r="GJW239"/>
      <c r="GJX239"/>
      <c r="GJY239"/>
      <c r="GJZ239"/>
      <c r="GKA239"/>
      <c r="GKB239"/>
      <c r="GKC239"/>
      <c r="GKD239"/>
      <c r="GKE239"/>
      <c r="GKF239"/>
      <c r="GKG239"/>
      <c r="GKH239"/>
      <c r="GKI239"/>
      <c r="GKJ239"/>
      <c r="GKK239"/>
      <c r="GKL239"/>
      <c r="GKM239"/>
      <c r="GKN239"/>
      <c r="GKO239"/>
      <c r="GKP239"/>
      <c r="GKQ239"/>
      <c r="GKR239"/>
      <c r="GKS239"/>
      <c r="GKT239"/>
      <c r="GKU239"/>
      <c r="GKV239"/>
      <c r="GKW239"/>
      <c r="GKX239"/>
      <c r="GKY239"/>
      <c r="GKZ239"/>
      <c r="GLA239"/>
      <c r="GLB239"/>
      <c r="GLC239"/>
      <c r="GLD239"/>
      <c r="GLE239"/>
      <c r="GLF239"/>
      <c r="GLG239"/>
      <c r="GLH239"/>
      <c r="GLI239"/>
      <c r="GLJ239"/>
      <c r="GLK239"/>
      <c r="GLL239"/>
      <c r="GLM239"/>
      <c r="GLN239"/>
      <c r="GLO239"/>
      <c r="GLP239"/>
      <c r="GLQ239"/>
      <c r="GLR239"/>
      <c r="GLS239"/>
      <c r="GLT239"/>
      <c r="GLU239"/>
      <c r="GLV239"/>
      <c r="GLW239"/>
      <c r="GLX239"/>
      <c r="GLY239"/>
      <c r="GLZ239"/>
      <c r="GMA239"/>
      <c r="GMB239"/>
      <c r="GMC239"/>
      <c r="GMD239"/>
      <c r="GME239"/>
      <c r="GMF239"/>
      <c r="GMG239"/>
      <c r="GMH239"/>
      <c r="GMI239"/>
      <c r="GMJ239"/>
      <c r="GMK239"/>
      <c r="GML239"/>
      <c r="GMM239"/>
      <c r="GMN239"/>
      <c r="GMO239"/>
      <c r="GMP239"/>
      <c r="GMQ239"/>
      <c r="GMR239"/>
      <c r="GMS239"/>
      <c r="GMT239"/>
      <c r="GMU239"/>
      <c r="GMV239"/>
      <c r="GMW239"/>
      <c r="GMX239"/>
      <c r="GMY239"/>
      <c r="GMZ239"/>
      <c r="GNA239"/>
      <c r="GNB239"/>
      <c r="GNC239"/>
      <c r="GND239"/>
      <c r="GNE239"/>
      <c r="GNF239"/>
      <c r="GNG239"/>
      <c r="GNH239"/>
      <c r="GNI239"/>
      <c r="GNJ239"/>
      <c r="GNK239"/>
      <c r="GNL239"/>
      <c r="GNM239"/>
      <c r="GNN239"/>
      <c r="GNO239"/>
      <c r="GNP239"/>
      <c r="GNQ239"/>
      <c r="GNR239"/>
      <c r="GNS239"/>
      <c r="GNT239"/>
      <c r="GNU239"/>
      <c r="GNV239"/>
      <c r="GNW239"/>
      <c r="GNX239"/>
      <c r="GNY239"/>
      <c r="GNZ239"/>
      <c r="GOA239"/>
      <c r="GOB239"/>
      <c r="GOC239"/>
      <c r="GOD239"/>
      <c r="GOE239"/>
      <c r="GOF239"/>
      <c r="GOG239"/>
      <c r="GOH239"/>
      <c r="GOI239"/>
      <c r="GOJ239"/>
      <c r="GOK239"/>
      <c r="GOL239"/>
      <c r="GOM239"/>
      <c r="GON239"/>
      <c r="GOO239"/>
      <c r="GOP239"/>
      <c r="GOQ239"/>
      <c r="GOR239"/>
      <c r="GOS239"/>
      <c r="GOT239"/>
      <c r="GOU239"/>
      <c r="GOV239"/>
      <c r="GOW239"/>
      <c r="GOX239"/>
      <c r="GOY239"/>
      <c r="GOZ239"/>
      <c r="GPA239"/>
      <c r="GPB239"/>
      <c r="GPC239"/>
      <c r="GPD239"/>
      <c r="GPE239"/>
      <c r="GPF239"/>
      <c r="GPG239"/>
      <c r="GPH239"/>
      <c r="GPI239"/>
      <c r="GPJ239"/>
      <c r="GPK239"/>
      <c r="GPL239"/>
      <c r="GPM239"/>
      <c r="GPN239"/>
      <c r="GPO239"/>
      <c r="GPP239"/>
      <c r="GPQ239"/>
      <c r="GPR239"/>
      <c r="GPS239"/>
      <c r="GPT239"/>
      <c r="GPU239"/>
      <c r="GPV239"/>
      <c r="GPW239"/>
      <c r="GPX239"/>
      <c r="GPY239"/>
      <c r="GPZ239"/>
      <c r="GQA239"/>
      <c r="GQB239"/>
      <c r="GQC239"/>
      <c r="GQD239"/>
      <c r="GQE239"/>
      <c r="GQF239"/>
      <c r="GQG239"/>
      <c r="GQH239"/>
      <c r="GQI239"/>
      <c r="GQJ239"/>
      <c r="GQK239"/>
      <c r="GQL239"/>
      <c r="GQM239"/>
      <c r="GQN239"/>
      <c r="GQO239"/>
      <c r="GQP239"/>
      <c r="GQQ239"/>
      <c r="GQR239"/>
      <c r="GQS239"/>
      <c r="GQT239"/>
      <c r="GQU239"/>
      <c r="GQV239"/>
      <c r="GQW239"/>
      <c r="GQX239"/>
      <c r="GQY239"/>
      <c r="GQZ239"/>
      <c r="GRA239"/>
      <c r="GRB239"/>
      <c r="GRC239"/>
      <c r="GRD239"/>
      <c r="GRE239"/>
      <c r="GRF239"/>
      <c r="GRG239"/>
      <c r="GRH239"/>
      <c r="GRI239"/>
      <c r="GRJ239"/>
      <c r="GRK239"/>
      <c r="GRL239"/>
      <c r="GRM239"/>
      <c r="GRN239"/>
      <c r="GRO239"/>
      <c r="GRP239"/>
      <c r="GRQ239"/>
      <c r="GRR239"/>
      <c r="GRS239"/>
      <c r="GRT239"/>
      <c r="GRU239"/>
      <c r="GRV239"/>
      <c r="GRW239"/>
      <c r="GRX239"/>
      <c r="GRY239"/>
      <c r="GRZ239"/>
      <c r="GSA239"/>
      <c r="GSB239"/>
      <c r="GSC239"/>
      <c r="GSD239"/>
      <c r="GSE239"/>
      <c r="GSF239"/>
      <c r="GSG239"/>
      <c r="GSH239"/>
      <c r="GSI239"/>
      <c r="GSJ239"/>
      <c r="GSK239"/>
      <c r="GSL239"/>
      <c r="GSM239"/>
      <c r="GSN239"/>
      <c r="GSO239"/>
      <c r="GSP239"/>
      <c r="GSQ239"/>
      <c r="GSR239"/>
      <c r="GSS239"/>
      <c r="GST239"/>
      <c r="GSU239"/>
      <c r="GSV239"/>
      <c r="GSW239"/>
      <c r="GSX239"/>
      <c r="GSY239"/>
      <c r="GSZ239"/>
      <c r="GTA239"/>
      <c r="GTB239"/>
      <c r="GTC239"/>
      <c r="GTD239"/>
      <c r="GTE239"/>
      <c r="GTF239"/>
      <c r="GTG239"/>
      <c r="GTH239"/>
      <c r="GTI239"/>
      <c r="GTJ239"/>
      <c r="GTK239"/>
      <c r="GTL239"/>
      <c r="GTM239"/>
      <c r="GTN239"/>
      <c r="GTO239"/>
      <c r="GTP239"/>
      <c r="GTQ239"/>
      <c r="GTR239"/>
      <c r="GTS239"/>
      <c r="GTT239"/>
      <c r="GTU239"/>
      <c r="GTV239"/>
      <c r="GTW239"/>
      <c r="GTX239"/>
      <c r="GTY239"/>
      <c r="GTZ239"/>
      <c r="GUA239"/>
      <c r="GUB239"/>
      <c r="GUC239"/>
      <c r="GUD239"/>
      <c r="GUE239"/>
      <c r="GUF239"/>
      <c r="GUG239"/>
      <c r="GUH239"/>
      <c r="GUI239"/>
      <c r="GUJ239"/>
      <c r="GUK239"/>
      <c r="GUL239"/>
      <c r="GUM239"/>
      <c r="GUN239"/>
      <c r="GUO239"/>
      <c r="GUP239"/>
      <c r="GUQ239"/>
      <c r="GUR239"/>
      <c r="GUS239"/>
      <c r="GUT239"/>
      <c r="GUU239"/>
      <c r="GUV239"/>
      <c r="GUW239"/>
      <c r="GUX239"/>
      <c r="GUY239"/>
      <c r="GUZ239"/>
      <c r="GVA239"/>
      <c r="GVB239"/>
      <c r="GVC239"/>
      <c r="GVD239"/>
      <c r="GVE239"/>
      <c r="GVF239"/>
      <c r="GVG239"/>
      <c r="GVH239"/>
      <c r="GVI239"/>
      <c r="GVJ239"/>
      <c r="GVK239"/>
      <c r="GVL239"/>
      <c r="GVM239"/>
      <c r="GVN239"/>
      <c r="GVO239"/>
      <c r="GVP239"/>
      <c r="GVQ239"/>
      <c r="GVR239"/>
      <c r="GVS239"/>
      <c r="GVT239"/>
      <c r="GVU239"/>
      <c r="GVV239"/>
      <c r="GVW239"/>
      <c r="GVX239"/>
      <c r="GVY239"/>
      <c r="GVZ239"/>
      <c r="GWA239"/>
      <c r="GWB239"/>
      <c r="GWC239"/>
      <c r="GWD239"/>
      <c r="GWE239"/>
      <c r="GWF239"/>
      <c r="GWG239"/>
      <c r="GWH239"/>
      <c r="GWI239"/>
      <c r="GWJ239"/>
      <c r="GWK239"/>
      <c r="GWL239"/>
      <c r="GWM239"/>
      <c r="GWN239"/>
      <c r="GWO239"/>
      <c r="GWP239"/>
      <c r="GWQ239"/>
      <c r="GWR239"/>
      <c r="GWS239"/>
      <c r="GWT239"/>
      <c r="GWU239"/>
      <c r="GWV239"/>
      <c r="GWW239"/>
      <c r="GWX239"/>
      <c r="GWY239"/>
      <c r="GWZ239"/>
      <c r="GXA239"/>
      <c r="GXB239"/>
      <c r="GXC239"/>
      <c r="GXD239"/>
      <c r="GXE239"/>
      <c r="GXF239"/>
      <c r="GXG239"/>
      <c r="GXH239"/>
      <c r="GXI239"/>
      <c r="GXJ239"/>
      <c r="GXK239"/>
      <c r="GXL239"/>
      <c r="GXM239"/>
      <c r="GXN239"/>
      <c r="GXO239"/>
      <c r="GXP239"/>
      <c r="GXQ239"/>
      <c r="GXR239"/>
      <c r="GXS239"/>
      <c r="GXT239"/>
      <c r="GXU239"/>
      <c r="GXV239"/>
      <c r="GXW239"/>
      <c r="GXX239"/>
      <c r="GXY239"/>
      <c r="GXZ239"/>
      <c r="GYA239"/>
      <c r="GYB239"/>
      <c r="GYC239"/>
      <c r="GYD239"/>
      <c r="GYE239"/>
      <c r="GYF239"/>
      <c r="GYG239"/>
      <c r="GYH239"/>
      <c r="GYI239"/>
      <c r="GYJ239"/>
      <c r="GYK239"/>
      <c r="GYL239"/>
      <c r="GYM239"/>
      <c r="GYN239"/>
      <c r="GYO239"/>
      <c r="GYP239"/>
      <c r="GYQ239"/>
      <c r="GYR239"/>
      <c r="GYS239"/>
      <c r="GYT239"/>
      <c r="GYU239"/>
      <c r="GYV239"/>
      <c r="GYW239"/>
      <c r="GYX239"/>
      <c r="GYY239"/>
      <c r="GYZ239"/>
      <c r="GZA239"/>
      <c r="GZB239"/>
      <c r="GZC239"/>
      <c r="GZD239"/>
      <c r="GZE239"/>
      <c r="GZF239"/>
      <c r="GZG239"/>
      <c r="GZH239"/>
      <c r="GZI239"/>
      <c r="GZJ239"/>
      <c r="GZK239"/>
      <c r="GZL239"/>
      <c r="GZM239"/>
      <c r="GZN239"/>
      <c r="GZO239"/>
      <c r="GZP239"/>
      <c r="GZQ239"/>
      <c r="GZR239"/>
      <c r="GZS239"/>
      <c r="GZT239"/>
      <c r="GZU239"/>
      <c r="GZV239"/>
      <c r="GZW239"/>
      <c r="GZX239"/>
      <c r="GZY239"/>
      <c r="GZZ239"/>
      <c r="HAA239"/>
      <c r="HAB239"/>
      <c r="HAC239"/>
      <c r="HAD239"/>
      <c r="HAE239"/>
      <c r="HAF239"/>
      <c r="HAG239"/>
      <c r="HAH239"/>
      <c r="HAI239"/>
      <c r="HAJ239"/>
      <c r="HAK239"/>
      <c r="HAL239"/>
      <c r="HAM239"/>
      <c r="HAN239"/>
      <c r="HAO239"/>
      <c r="HAP239"/>
      <c r="HAQ239"/>
      <c r="HAR239"/>
      <c r="HAS239"/>
      <c r="HAT239"/>
      <c r="HAU239"/>
      <c r="HAV239"/>
      <c r="HAW239"/>
      <c r="HAX239"/>
      <c r="HAY239"/>
      <c r="HAZ239"/>
      <c r="HBA239"/>
      <c r="HBB239"/>
      <c r="HBC239"/>
      <c r="HBD239"/>
      <c r="HBE239"/>
      <c r="HBF239"/>
      <c r="HBG239"/>
      <c r="HBH239"/>
      <c r="HBI239"/>
      <c r="HBJ239"/>
      <c r="HBK239"/>
      <c r="HBL239"/>
      <c r="HBM239"/>
      <c r="HBN239"/>
      <c r="HBO239"/>
      <c r="HBP239"/>
      <c r="HBQ239"/>
      <c r="HBR239"/>
      <c r="HBS239"/>
      <c r="HBT239"/>
      <c r="HBU239"/>
      <c r="HBV239"/>
      <c r="HBW239"/>
      <c r="HBX239"/>
      <c r="HBY239"/>
      <c r="HBZ239"/>
      <c r="HCA239"/>
      <c r="HCB239"/>
      <c r="HCC239"/>
      <c r="HCD239"/>
      <c r="HCE239"/>
      <c r="HCF239"/>
      <c r="HCG239"/>
      <c r="HCH239"/>
      <c r="HCI239"/>
      <c r="HCJ239"/>
      <c r="HCK239"/>
      <c r="HCL239"/>
      <c r="HCM239"/>
      <c r="HCN239"/>
      <c r="HCO239"/>
      <c r="HCP239"/>
      <c r="HCQ239"/>
      <c r="HCR239"/>
      <c r="HCS239"/>
      <c r="HCT239"/>
      <c r="HCU239"/>
      <c r="HCV239"/>
      <c r="HCW239"/>
      <c r="HCX239"/>
      <c r="HCY239"/>
      <c r="HCZ239"/>
      <c r="HDA239"/>
      <c r="HDB239"/>
      <c r="HDC239"/>
      <c r="HDD239"/>
      <c r="HDE239"/>
      <c r="HDF239"/>
      <c r="HDG239"/>
      <c r="HDH239"/>
      <c r="HDI239"/>
      <c r="HDJ239"/>
      <c r="HDK239"/>
      <c r="HDL239"/>
      <c r="HDM239"/>
      <c r="HDN239"/>
      <c r="HDO239"/>
      <c r="HDP239"/>
      <c r="HDQ239"/>
      <c r="HDR239"/>
      <c r="HDS239"/>
      <c r="HDT239"/>
      <c r="HDU239"/>
      <c r="HDV239"/>
      <c r="HDW239"/>
      <c r="HDX239"/>
      <c r="HDY239"/>
      <c r="HDZ239"/>
      <c r="HEA239"/>
      <c r="HEB239"/>
      <c r="HEC239"/>
      <c r="HED239"/>
      <c r="HEE239"/>
      <c r="HEF239"/>
      <c r="HEG239"/>
      <c r="HEH239"/>
      <c r="HEI239"/>
      <c r="HEJ239"/>
      <c r="HEK239"/>
      <c r="HEL239"/>
      <c r="HEM239"/>
      <c r="HEN239"/>
      <c r="HEO239"/>
      <c r="HEP239"/>
      <c r="HEQ239"/>
      <c r="HER239"/>
      <c r="HES239"/>
      <c r="HET239"/>
      <c r="HEU239"/>
      <c r="HEV239"/>
      <c r="HEW239"/>
      <c r="HEX239"/>
      <c r="HEY239"/>
      <c r="HEZ239"/>
      <c r="HFA239"/>
      <c r="HFB239"/>
      <c r="HFC239"/>
      <c r="HFD239"/>
      <c r="HFE239"/>
      <c r="HFF239"/>
      <c r="HFG239"/>
      <c r="HFH239"/>
      <c r="HFI239"/>
      <c r="HFJ239"/>
      <c r="HFK239"/>
      <c r="HFL239"/>
      <c r="HFM239"/>
      <c r="HFN239"/>
      <c r="HFO239"/>
      <c r="HFP239"/>
      <c r="HFQ239"/>
      <c r="HFR239"/>
      <c r="HFS239"/>
      <c r="HFT239"/>
      <c r="HFU239"/>
      <c r="HFV239"/>
      <c r="HFW239"/>
      <c r="HFX239"/>
      <c r="HFY239"/>
      <c r="HFZ239"/>
      <c r="HGA239"/>
      <c r="HGB239"/>
      <c r="HGC239"/>
      <c r="HGD239"/>
      <c r="HGE239"/>
      <c r="HGF239"/>
      <c r="HGG239"/>
      <c r="HGH239"/>
      <c r="HGI239"/>
      <c r="HGJ239"/>
      <c r="HGK239"/>
      <c r="HGL239"/>
      <c r="HGM239"/>
      <c r="HGN239"/>
      <c r="HGO239"/>
      <c r="HGP239"/>
      <c r="HGQ239"/>
      <c r="HGR239"/>
      <c r="HGS239"/>
      <c r="HGT239"/>
      <c r="HGU239"/>
      <c r="HGV239"/>
      <c r="HGW239"/>
      <c r="HGX239"/>
      <c r="HGY239"/>
      <c r="HGZ239"/>
      <c r="HHA239"/>
      <c r="HHB239"/>
      <c r="HHC239"/>
      <c r="HHD239"/>
      <c r="HHE239"/>
      <c r="HHF239"/>
      <c r="HHG239"/>
      <c r="HHH239"/>
      <c r="HHI239"/>
      <c r="HHJ239"/>
      <c r="HHK239"/>
      <c r="HHL239"/>
      <c r="HHM239"/>
      <c r="HHN239"/>
      <c r="HHO239"/>
      <c r="HHP239"/>
      <c r="HHQ239"/>
      <c r="HHR239"/>
      <c r="HHS239"/>
      <c r="HHT239"/>
      <c r="HHU239"/>
      <c r="HHV239"/>
      <c r="HHW239"/>
      <c r="HHX239"/>
      <c r="HHY239"/>
      <c r="HHZ239"/>
      <c r="HIA239"/>
      <c r="HIB239"/>
      <c r="HIC239"/>
      <c r="HID239"/>
      <c r="HIE239"/>
      <c r="HIF239"/>
      <c r="HIG239"/>
      <c r="HIH239"/>
      <c r="HII239"/>
      <c r="HIJ239"/>
      <c r="HIK239"/>
      <c r="HIL239"/>
      <c r="HIM239"/>
      <c r="HIN239"/>
      <c r="HIO239"/>
      <c r="HIP239"/>
      <c r="HIQ239"/>
      <c r="HIR239"/>
      <c r="HIS239"/>
      <c r="HIT239"/>
      <c r="HIU239"/>
      <c r="HIV239"/>
      <c r="HIW239"/>
      <c r="HIX239"/>
      <c r="HIY239"/>
      <c r="HIZ239"/>
      <c r="HJA239"/>
      <c r="HJB239"/>
      <c r="HJC239"/>
      <c r="HJD239"/>
      <c r="HJE239"/>
      <c r="HJF239"/>
      <c r="HJG239"/>
      <c r="HJH239"/>
      <c r="HJI239"/>
      <c r="HJJ239"/>
      <c r="HJK239"/>
      <c r="HJL239"/>
      <c r="HJM239"/>
      <c r="HJN239"/>
      <c r="HJO239"/>
      <c r="HJP239"/>
      <c r="HJQ239"/>
      <c r="HJR239"/>
      <c r="HJS239"/>
      <c r="HJT239"/>
      <c r="HJU239"/>
      <c r="HJV239"/>
      <c r="HJW239"/>
      <c r="HJX239"/>
      <c r="HJY239"/>
      <c r="HJZ239"/>
      <c r="HKA239"/>
      <c r="HKB239"/>
      <c r="HKC239"/>
      <c r="HKD239"/>
      <c r="HKE239"/>
      <c r="HKF239"/>
      <c r="HKG239"/>
      <c r="HKH239"/>
      <c r="HKI239"/>
      <c r="HKJ239"/>
      <c r="HKK239"/>
      <c r="HKL239"/>
      <c r="HKM239"/>
      <c r="HKN239"/>
      <c r="HKO239"/>
      <c r="HKP239"/>
      <c r="HKQ239"/>
      <c r="HKR239"/>
      <c r="HKS239"/>
      <c r="HKT239"/>
      <c r="HKU239"/>
      <c r="HKV239"/>
      <c r="HKW239"/>
      <c r="HKX239"/>
      <c r="HKY239"/>
      <c r="HKZ239"/>
      <c r="HLA239"/>
      <c r="HLB239"/>
      <c r="HLC239"/>
      <c r="HLD239"/>
      <c r="HLE239"/>
      <c r="HLF239"/>
      <c r="HLG239"/>
      <c r="HLH239"/>
      <c r="HLI239"/>
      <c r="HLJ239"/>
      <c r="HLK239"/>
      <c r="HLL239"/>
      <c r="HLM239"/>
      <c r="HLN239"/>
      <c r="HLO239"/>
      <c r="HLP239"/>
      <c r="HLQ239"/>
      <c r="HLR239"/>
      <c r="HLS239"/>
      <c r="HLT239"/>
      <c r="HLU239"/>
      <c r="HLV239"/>
      <c r="HLW239"/>
      <c r="HLX239"/>
      <c r="HLY239"/>
      <c r="HLZ239"/>
      <c r="HMA239"/>
      <c r="HMB239"/>
      <c r="HMC239"/>
      <c r="HMD239"/>
      <c r="HME239"/>
      <c r="HMF239"/>
      <c r="HMG239"/>
      <c r="HMH239"/>
      <c r="HMI239"/>
      <c r="HMJ239"/>
      <c r="HMK239"/>
      <c r="HML239"/>
      <c r="HMM239"/>
      <c r="HMN239"/>
      <c r="HMO239"/>
      <c r="HMP239"/>
      <c r="HMQ239"/>
      <c r="HMR239"/>
      <c r="HMS239"/>
      <c r="HMT239"/>
      <c r="HMU239"/>
      <c r="HMV239"/>
      <c r="HMW239"/>
      <c r="HMX239"/>
      <c r="HMY239"/>
      <c r="HMZ239"/>
      <c r="HNA239"/>
      <c r="HNB239"/>
      <c r="HNC239"/>
      <c r="HND239"/>
      <c r="HNE239"/>
      <c r="HNF239"/>
      <c r="HNG239"/>
      <c r="HNH239"/>
      <c r="HNI239"/>
      <c r="HNJ239"/>
      <c r="HNK239"/>
      <c r="HNL239"/>
      <c r="HNM239"/>
      <c r="HNN239"/>
      <c r="HNO239"/>
      <c r="HNP239"/>
      <c r="HNQ239"/>
      <c r="HNR239"/>
      <c r="HNS239"/>
      <c r="HNT239"/>
      <c r="HNU239"/>
      <c r="HNV239"/>
      <c r="HNW239"/>
      <c r="HNX239"/>
      <c r="HNY239"/>
      <c r="HNZ239"/>
      <c r="HOA239"/>
      <c r="HOB239"/>
      <c r="HOC239"/>
      <c r="HOD239"/>
      <c r="HOE239"/>
      <c r="HOF239"/>
      <c r="HOG239"/>
      <c r="HOH239"/>
      <c r="HOI239"/>
      <c r="HOJ239"/>
      <c r="HOK239"/>
      <c r="HOL239"/>
      <c r="HOM239"/>
      <c r="HON239"/>
      <c r="HOO239"/>
      <c r="HOP239"/>
      <c r="HOQ239"/>
      <c r="HOR239"/>
      <c r="HOS239"/>
      <c r="HOT239"/>
      <c r="HOU239"/>
      <c r="HOV239"/>
      <c r="HOW239"/>
      <c r="HOX239"/>
      <c r="HOY239"/>
      <c r="HOZ239"/>
      <c r="HPA239"/>
      <c r="HPB239"/>
      <c r="HPC239"/>
      <c r="HPD239"/>
      <c r="HPE239"/>
      <c r="HPF239"/>
      <c r="HPG239"/>
      <c r="HPH239"/>
      <c r="HPI239"/>
      <c r="HPJ239"/>
      <c r="HPK239"/>
      <c r="HPL239"/>
      <c r="HPM239"/>
      <c r="HPN239"/>
      <c r="HPO239"/>
      <c r="HPP239"/>
      <c r="HPQ239"/>
      <c r="HPR239"/>
      <c r="HPS239"/>
      <c r="HPT239"/>
      <c r="HPU239"/>
      <c r="HPV239"/>
      <c r="HPW239"/>
      <c r="HPX239"/>
      <c r="HPY239"/>
      <c r="HPZ239"/>
      <c r="HQA239"/>
      <c r="HQB239"/>
      <c r="HQC239"/>
      <c r="HQD239"/>
      <c r="HQE239"/>
      <c r="HQF239"/>
      <c r="HQG239"/>
      <c r="HQH239"/>
      <c r="HQI239"/>
      <c r="HQJ239"/>
      <c r="HQK239"/>
      <c r="HQL239"/>
      <c r="HQM239"/>
      <c r="HQN239"/>
      <c r="HQO239"/>
      <c r="HQP239"/>
      <c r="HQQ239"/>
      <c r="HQR239"/>
      <c r="HQS239"/>
      <c r="HQT239"/>
      <c r="HQU239"/>
      <c r="HQV239"/>
      <c r="HQW239"/>
      <c r="HQX239"/>
      <c r="HQY239"/>
      <c r="HQZ239"/>
      <c r="HRA239"/>
      <c r="HRB239"/>
      <c r="HRC239"/>
      <c r="HRD239"/>
      <c r="HRE239"/>
      <c r="HRF239"/>
      <c r="HRG239"/>
      <c r="HRH239"/>
      <c r="HRI239"/>
      <c r="HRJ239"/>
      <c r="HRK239"/>
      <c r="HRL239"/>
      <c r="HRM239"/>
      <c r="HRN239"/>
      <c r="HRO239"/>
      <c r="HRP239"/>
      <c r="HRQ239"/>
      <c r="HRR239"/>
      <c r="HRS239"/>
      <c r="HRT239"/>
      <c r="HRU239"/>
      <c r="HRV239"/>
      <c r="HRW239"/>
      <c r="HRX239"/>
      <c r="HRY239"/>
      <c r="HRZ239"/>
      <c r="HSA239"/>
      <c r="HSB239"/>
      <c r="HSC239"/>
      <c r="HSD239"/>
      <c r="HSE239"/>
      <c r="HSF239"/>
      <c r="HSG239"/>
      <c r="HSH239"/>
      <c r="HSI239"/>
      <c r="HSJ239"/>
      <c r="HSK239"/>
      <c r="HSL239"/>
      <c r="HSM239"/>
      <c r="HSN239"/>
      <c r="HSO239"/>
      <c r="HSP239"/>
      <c r="HSQ239"/>
      <c r="HSR239"/>
      <c r="HSS239"/>
      <c r="HST239"/>
      <c r="HSU239"/>
      <c r="HSV239"/>
      <c r="HSW239"/>
      <c r="HSX239"/>
      <c r="HSY239"/>
      <c r="HSZ239"/>
      <c r="HTA239"/>
      <c r="HTB239"/>
      <c r="HTC239"/>
      <c r="HTD239"/>
      <c r="HTE239"/>
      <c r="HTF239"/>
      <c r="HTG239"/>
      <c r="HTH239"/>
      <c r="HTI239"/>
      <c r="HTJ239"/>
      <c r="HTK239"/>
      <c r="HTL239"/>
      <c r="HTM239"/>
      <c r="HTN239"/>
      <c r="HTO239"/>
      <c r="HTP239"/>
      <c r="HTQ239"/>
      <c r="HTR239"/>
      <c r="HTS239"/>
      <c r="HTT239"/>
      <c r="HTU239"/>
      <c r="HTV239"/>
      <c r="HTW239"/>
      <c r="HTX239"/>
      <c r="HTY239"/>
      <c r="HTZ239"/>
      <c r="HUA239"/>
      <c r="HUB239"/>
      <c r="HUC239"/>
      <c r="HUD239"/>
      <c r="HUE239"/>
      <c r="HUF239"/>
      <c r="HUG239"/>
      <c r="HUH239"/>
      <c r="HUI239"/>
      <c r="HUJ239"/>
      <c r="HUK239"/>
      <c r="HUL239"/>
      <c r="HUM239"/>
      <c r="HUN239"/>
      <c r="HUO239"/>
      <c r="HUP239"/>
      <c r="HUQ239"/>
      <c r="HUR239"/>
      <c r="HUS239"/>
      <c r="HUT239"/>
      <c r="HUU239"/>
      <c r="HUV239"/>
      <c r="HUW239"/>
      <c r="HUX239"/>
      <c r="HUY239"/>
      <c r="HUZ239"/>
      <c r="HVA239"/>
      <c r="HVB239"/>
      <c r="HVC239"/>
      <c r="HVD239"/>
      <c r="HVE239"/>
      <c r="HVF239"/>
      <c r="HVG239"/>
      <c r="HVH239"/>
      <c r="HVI239"/>
      <c r="HVJ239"/>
      <c r="HVK239"/>
      <c r="HVL239"/>
      <c r="HVM239"/>
      <c r="HVN239"/>
      <c r="HVO239"/>
      <c r="HVP239"/>
      <c r="HVQ239"/>
      <c r="HVR239"/>
      <c r="HVS239"/>
      <c r="HVT239"/>
      <c r="HVU239"/>
      <c r="HVV239"/>
      <c r="HVW239"/>
      <c r="HVX239"/>
      <c r="HVY239"/>
      <c r="HVZ239"/>
      <c r="HWA239"/>
      <c r="HWB239"/>
      <c r="HWC239"/>
      <c r="HWD239"/>
      <c r="HWE239"/>
      <c r="HWF239"/>
      <c r="HWG239"/>
      <c r="HWH239"/>
      <c r="HWI239"/>
      <c r="HWJ239"/>
      <c r="HWK239"/>
      <c r="HWL239"/>
      <c r="HWM239"/>
      <c r="HWN239"/>
      <c r="HWO239"/>
      <c r="HWP239"/>
      <c r="HWQ239"/>
      <c r="HWR239"/>
      <c r="HWS239"/>
      <c r="HWT239"/>
      <c r="HWU239"/>
      <c r="HWV239"/>
      <c r="HWW239"/>
      <c r="HWX239"/>
      <c r="HWY239"/>
      <c r="HWZ239"/>
      <c r="HXA239"/>
      <c r="HXB239"/>
      <c r="HXC239"/>
      <c r="HXD239"/>
      <c r="HXE239"/>
      <c r="HXF239"/>
      <c r="HXG239"/>
      <c r="HXH239"/>
      <c r="HXI239"/>
      <c r="HXJ239"/>
      <c r="HXK239"/>
      <c r="HXL239"/>
      <c r="HXM239"/>
      <c r="HXN239"/>
      <c r="HXO239"/>
      <c r="HXP239"/>
      <c r="HXQ239"/>
      <c r="HXR239"/>
      <c r="HXS239"/>
      <c r="HXT239"/>
      <c r="HXU239"/>
      <c r="HXV239"/>
      <c r="HXW239"/>
      <c r="HXX239"/>
      <c r="HXY239"/>
      <c r="HXZ239"/>
      <c r="HYA239"/>
      <c r="HYB239"/>
      <c r="HYC239"/>
      <c r="HYD239"/>
      <c r="HYE239"/>
      <c r="HYF239"/>
      <c r="HYG239"/>
      <c r="HYH239"/>
      <c r="HYI239"/>
      <c r="HYJ239"/>
      <c r="HYK239"/>
      <c r="HYL239"/>
      <c r="HYM239"/>
      <c r="HYN239"/>
      <c r="HYO239"/>
      <c r="HYP239"/>
      <c r="HYQ239"/>
      <c r="HYR239"/>
      <c r="HYS239"/>
      <c r="HYT239"/>
      <c r="HYU239"/>
      <c r="HYV239"/>
      <c r="HYW239"/>
      <c r="HYX239"/>
      <c r="HYY239"/>
      <c r="HYZ239"/>
      <c r="HZA239"/>
      <c r="HZB239"/>
      <c r="HZC239"/>
      <c r="HZD239"/>
      <c r="HZE239"/>
      <c r="HZF239"/>
      <c r="HZG239"/>
      <c r="HZH239"/>
      <c r="HZI239"/>
      <c r="HZJ239"/>
      <c r="HZK239"/>
      <c r="HZL239"/>
      <c r="HZM239"/>
      <c r="HZN239"/>
      <c r="HZO239"/>
      <c r="HZP239"/>
      <c r="HZQ239"/>
      <c r="HZR239"/>
      <c r="HZS239"/>
      <c r="HZT239"/>
      <c r="HZU239"/>
      <c r="HZV239"/>
      <c r="HZW239"/>
      <c r="HZX239"/>
      <c r="HZY239"/>
      <c r="HZZ239"/>
      <c r="IAA239"/>
      <c r="IAB239"/>
      <c r="IAC239"/>
      <c r="IAD239"/>
      <c r="IAE239"/>
      <c r="IAF239"/>
      <c r="IAG239"/>
      <c r="IAH239"/>
      <c r="IAI239"/>
      <c r="IAJ239"/>
      <c r="IAK239"/>
      <c r="IAL239"/>
      <c r="IAM239"/>
      <c r="IAN239"/>
      <c r="IAO239"/>
      <c r="IAP239"/>
      <c r="IAQ239"/>
      <c r="IAR239"/>
      <c r="IAS239"/>
      <c r="IAT239"/>
      <c r="IAU239"/>
      <c r="IAV239"/>
      <c r="IAW239"/>
      <c r="IAX239"/>
      <c r="IAY239"/>
      <c r="IAZ239"/>
      <c r="IBA239"/>
      <c r="IBB239"/>
      <c r="IBC239"/>
      <c r="IBD239"/>
      <c r="IBE239"/>
      <c r="IBF239"/>
      <c r="IBG239"/>
      <c r="IBH239"/>
      <c r="IBI239"/>
      <c r="IBJ239"/>
      <c r="IBK239"/>
      <c r="IBL239"/>
      <c r="IBM239"/>
      <c r="IBN239"/>
      <c r="IBO239"/>
      <c r="IBP239"/>
      <c r="IBQ239"/>
      <c r="IBR239"/>
      <c r="IBS239"/>
      <c r="IBT239"/>
      <c r="IBU239"/>
      <c r="IBV239"/>
      <c r="IBW239"/>
      <c r="IBX239"/>
      <c r="IBY239"/>
      <c r="IBZ239"/>
      <c r="ICA239"/>
      <c r="ICB239"/>
      <c r="ICC239"/>
      <c r="ICD239"/>
      <c r="ICE239"/>
      <c r="ICF239"/>
      <c r="ICG239"/>
      <c r="ICH239"/>
      <c r="ICI239"/>
      <c r="ICJ239"/>
      <c r="ICK239"/>
      <c r="ICL239"/>
      <c r="ICM239"/>
      <c r="ICN239"/>
      <c r="ICO239"/>
      <c r="ICP239"/>
      <c r="ICQ239"/>
      <c r="ICR239"/>
      <c r="ICS239"/>
      <c r="ICT239"/>
      <c r="ICU239"/>
      <c r="ICV239"/>
      <c r="ICW239"/>
      <c r="ICX239"/>
      <c r="ICY239"/>
      <c r="ICZ239"/>
      <c r="IDA239"/>
      <c r="IDB239"/>
      <c r="IDC239"/>
      <c r="IDD239"/>
      <c r="IDE239"/>
      <c r="IDF239"/>
      <c r="IDG239"/>
      <c r="IDH239"/>
      <c r="IDI239"/>
      <c r="IDJ239"/>
      <c r="IDK239"/>
      <c r="IDL239"/>
      <c r="IDM239"/>
      <c r="IDN239"/>
      <c r="IDO239"/>
      <c r="IDP239"/>
      <c r="IDQ239"/>
      <c r="IDR239"/>
      <c r="IDS239"/>
      <c r="IDT239"/>
      <c r="IDU239"/>
      <c r="IDV239"/>
      <c r="IDW239"/>
      <c r="IDX239"/>
      <c r="IDY239"/>
      <c r="IDZ239"/>
      <c r="IEA239"/>
      <c r="IEB239"/>
      <c r="IEC239"/>
      <c r="IED239"/>
      <c r="IEE239"/>
      <c r="IEF239"/>
      <c r="IEG239"/>
      <c r="IEH239"/>
      <c r="IEI239"/>
      <c r="IEJ239"/>
      <c r="IEK239"/>
      <c r="IEL239"/>
      <c r="IEM239"/>
      <c r="IEN239"/>
      <c r="IEO239"/>
      <c r="IEP239"/>
      <c r="IEQ239"/>
      <c r="IER239"/>
      <c r="IES239"/>
      <c r="IET239"/>
      <c r="IEU239"/>
      <c r="IEV239"/>
      <c r="IEW239"/>
      <c r="IEX239"/>
      <c r="IEY239"/>
      <c r="IEZ239"/>
      <c r="IFA239"/>
      <c r="IFB239"/>
      <c r="IFC239"/>
      <c r="IFD239"/>
      <c r="IFE239"/>
      <c r="IFF239"/>
      <c r="IFG239"/>
      <c r="IFH239"/>
      <c r="IFI239"/>
      <c r="IFJ239"/>
      <c r="IFK239"/>
      <c r="IFL239"/>
      <c r="IFM239"/>
      <c r="IFN239"/>
      <c r="IFO239"/>
      <c r="IFP239"/>
      <c r="IFQ239"/>
      <c r="IFR239"/>
      <c r="IFS239"/>
      <c r="IFT239"/>
      <c r="IFU239"/>
      <c r="IFV239"/>
      <c r="IFW239"/>
      <c r="IFX239"/>
      <c r="IFY239"/>
      <c r="IFZ239"/>
      <c r="IGA239"/>
      <c r="IGB239"/>
      <c r="IGC239"/>
      <c r="IGD239"/>
      <c r="IGE239"/>
      <c r="IGF239"/>
      <c r="IGG239"/>
      <c r="IGH239"/>
      <c r="IGI239"/>
      <c r="IGJ239"/>
      <c r="IGK239"/>
      <c r="IGL239"/>
      <c r="IGM239"/>
      <c r="IGN239"/>
      <c r="IGO239"/>
      <c r="IGP239"/>
      <c r="IGQ239"/>
      <c r="IGR239"/>
      <c r="IGS239"/>
      <c r="IGT239"/>
      <c r="IGU239"/>
      <c r="IGV239"/>
      <c r="IGW239"/>
      <c r="IGX239"/>
      <c r="IGY239"/>
      <c r="IGZ239"/>
      <c r="IHA239"/>
      <c r="IHB239"/>
      <c r="IHC239"/>
      <c r="IHD239"/>
      <c r="IHE239"/>
      <c r="IHF239"/>
      <c r="IHG239"/>
      <c r="IHH239"/>
      <c r="IHI239"/>
      <c r="IHJ239"/>
      <c r="IHK239"/>
      <c r="IHL239"/>
      <c r="IHM239"/>
      <c r="IHN239"/>
      <c r="IHO239"/>
      <c r="IHP239"/>
      <c r="IHQ239"/>
      <c r="IHR239"/>
      <c r="IHS239"/>
      <c r="IHT239"/>
      <c r="IHU239"/>
      <c r="IHV239"/>
      <c r="IHW239"/>
      <c r="IHX239"/>
      <c r="IHY239"/>
      <c r="IHZ239"/>
      <c r="IIA239"/>
      <c r="IIB239"/>
      <c r="IIC239"/>
      <c r="IID239"/>
      <c r="IIE239"/>
      <c r="IIF239"/>
      <c r="IIG239"/>
      <c r="IIH239"/>
      <c r="III239"/>
      <c r="IIJ239"/>
      <c r="IIK239"/>
      <c r="IIL239"/>
      <c r="IIM239"/>
      <c r="IIN239"/>
      <c r="IIO239"/>
      <c r="IIP239"/>
      <c r="IIQ239"/>
      <c r="IIR239"/>
      <c r="IIS239"/>
      <c r="IIT239"/>
      <c r="IIU239"/>
      <c r="IIV239"/>
      <c r="IIW239"/>
      <c r="IIX239"/>
      <c r="IIY239"/>
      <c r="IIZ239"/>
      <c r="IJA239"/>
      <c r="IJB239"/>
      <c r="IJC239"/>
      <c r="IJD239"/>
      <c r="IJE239"/>
      <c r="IJF239"/>
      <c r="IJG239"/>
      <c r="IJH239"/>
      <c r="IJI239"/>
      <c r="IJJ239"/>
      <c r="IJK239"/>
      <c r="IJL239"/>
      <c r="IJM239"/>
      <c r="IJN239"/>
      <c r="IJO239"/>
      <c r="IJP239"/>
      <c r="IJQ239"/>
      <c r="IJR239"/>
      <c r="IJS239"/>
      <c r="IJT239"/>
      <c r="IJU239"/>
      <c r="IJV239"/>
      <c r="IJW239"/>
      <c r="IJX239"/>
      <c r="IJY239"/>
      <c r="IJZ239"/>
      <c r="IKA239"/>
      <c r="IKB239"/>
      <c r="IKC239"/>
      <c r="IKD239"/>
      <c r="IKE239"/>
      <c r="IKF239"/>
      <c r="IKG239"/>
      <c r="IKH239"/>
      <c r="IKI239"/>
      <c r="IKJ239"/>
      <c r="IKK239"/>
      <c r="IKL239"/>
      <c r="IKM239"/>
      <c r="IKN239"/>
      <c r="IKO239"/>
      <c r="IKP239"/>
      <c r="IKQ239"/>
      <c r="IKR239"/>
      <c r="IKS239"/>
      <c r="IKT239"/>
      <c r="IKU239"/>
      <c r="IKV239"/>
      <c r="IKW239"/>
      <c r="IKX239"/>
      <c r="IKY239"/>
      <c r="IKZ239"/>
      <c r="ILA239"/>
      <c r="ILB239"/>
      <c r="ILC239"/>
      <c r="ILD239"/>
      <c r="ILE239"/>
      <c r="ILF239"/>
      <c r="ILG239"/>
      <c r="ILH239"/>
      <c r="ILI239"/>
      <c r="ILJ239"/>
      <c r="ILK239"/>
      <c r="ILL239"/>
      <c r="ILM239"/>
      <c r="ILN239"/>
      <c r="ILO239"/>
      <c r="ILP239"/>
      <c r="ILQ239"/>
      <c r="ILR239"/>
      <c r="ILS239"/>
      <c r="ILT239"/>
      <c r="ILU239"/>
      <c r="ILV239"/>
      <c r="ILW239"/>
      <c r="ILX239"/>
      <c r="ILY239"/>
      <c r="ILZ239"/>
      <c r="IMA239"/>
      <c r="IMB239"/>
      <c r="IMC239"/>
      <c r="IMD239"/>
      <c r="IME239"/>
      <c r="IMF239"/>
      <c r="IMG239"/>
      <c r="IMH239"/>
      <c r="IMI239"/>
      <c r="IMJ239"/>
      <c r="IMK239"/>
      <c r="IML239"/>
      <c r="IMM239"/>
      <c r="IMN239"/>
      <c r="IMO239"/>
      <c r="IMP239"/>
      <c r="IMQ239"/>
      <c r="IMR239"/>
      <c r="IMS239"/>
      <c r="IMT239"/>
      <c r="IMU239"/>
      <c r="IMV239"/>
      <c r="IMW239"/>
      <c r="IMX239"/>
      <c r="IMY239"/>
      <c r="IMZ239"/>
      <c r="INA239"/>
      <c r="INB239"/>
      <c r="INC239"/>
      <c r="IND239"/>
      <c r="INE239"/>
      <c r="INF239"/>
      <c r="ING239"/>
      <c r="INH239"/>
      <c r="INI239"/>
      <c r="INJ239"/>
      <c r="INK239"/>
      <c r="INL239"/>
      <c r="INM239"/>
      <c r="INN239"/>
      <c r="INO239"/>
      <c r="INP239"/>
      <c r="INQ239"/>
      <c r="INR239"/>
      <c r="INS239"/>
      <c r="INT239"/>
      <c r="INU239"/>
      <c r="INV239"/>
      <c r="INW239"/>
      <c r="INX239"/>
      <c r="INY239"/>
      <c r="INZ239"/>
      <c r="IOA239"/>
      <c r="IOB239"/>
      <c r="IOC239"/>
      <c r="IOD239"/>
      <c r="IOE239"/>
      <c r="IOF239"/>
      <c r="IOG239"/>
      <c r="IOH239"/>
      <c r="IOI239"/>
      <c r="IOJ239"/>
      <c r="IOK239"/>
      <c r="IOL239"/>
      <c r="IOM239"/>
      <c r="ION239"/>
      <c r="IOO239"/>
      <c r="IOP239"/>
      <c r="IOQ239"/>
      <c r="IOR239"/>
      <c r="IOS239"/>
      <c r="IOT239"/>
      <c r="IOU239"/>
      <c r="IOV239"/>
      <c r="IOW239"/>
      <c r="IOX239"/>
      <c r="IOY239"/>
      <c r="IOZ239"/>
      <c r="IPA239"/>
      <c r="IPB239"/>
      <c r="IPC239"/>
      <c r="IPD239"/>
      <c r="IPE239"/>
      <c r="IPF239"/>
      <c r="IPG239"/>
      <c r="IPH239"/>
      <c r="IPI239"/>
      <c r="IPJ239"/>
      <c r="IPK239"/>
      <c r="IPL239"/>
      <c r="IPM239"/>
      <c r="IPN239"/>
      <c r="IPO239"/>
      <c r="IPP239"/>
      <c r="IPQ239"/>
      <c r="IPR239"/>
      <c r="IPS239"/>
      <c r="IPT239"/>
      <c r="IPU239"/>
      <c r="IPV239"/>
      <c r="IPW239"/>
      <c r="IPX239"/>
      <c r="IPY239"/>
      <c r="IPZ239"/>
      <c r="IQA239"/>
      <c r="IQB239"/>
      <c r="IQC239"/>
      <c r="IQD239"/>
      <c r="IQE239"/>
      <c r="IQF239"/>
      <c r="IQG239"/>
      <c r="IQH239"/>
      <c r="IQI239"/>
      <c r="IQJ239"/>
      <c r="IQK239"/>
      <c r="IQL239"/>
      <c r="IQM239"/>
      <c r="IQN239"/>
      <c r="IQO239"/>
      <c r="IQP239"/>
      <c r="IQQ239"/>
      <c r="IQR239"/>
      <c r="IQS239"/>
      <c r="IQT239"/>
      <c r="IQU239"/>
      <c r="IQV239"/>
      <c r="IQW239"/>
      <c r="IQX239"/>
      <c r="IQY239"/>
      <c r="IQZ239"/>
      <c r="IRA239"/>
      <c r="IRB239"/>
      <c r="IRC239"/>
      <c r="IRD239"/>
      <c r="IRE239"/>
      <c r="IRF239"/>
      <c r="IRG239"/>
      <c r="IRH239"/>
      <c r="IRI239"/>
      <c r="IRJ239"/>
      <c r="IRK239"/>
      <c r="IRL239"/>
      <c r="IRM239"/>
      <c r="IRN239"/>
      <c r="IRO239"/>
      <c r="IRP239"/>
      <c r="IRQ239"/>
      <c r="IRR239"/>
      <c r="IRS239"/>
      <c r="IRT239"/>
      <c r="IRU239"/>
      <c r="IRV239"/>
      <c r="IRW239"/>
      <c r="IRX239"/>
      <c r="IRY239"/>
      <c r="IRZ239"/>
      <c r="ISA239"/>
      <c r="ISB239"/>
      <c r="ISC239"/>
      <c r="ISD239"/>
      <c r="ISE239"/>
      <c r="ISF239"/>
      <c r="ISG239"/>
      <c r="ISH239"/>
      <c r="ISI239"/>
      <c r="ISJ239"/>
      <c r="ISK239"/>
      <c r="ISL239"/>
      <c r="ISM239"/>
      <c r="ISN239"/>
      <c r="ISO239"/>
      <c r="ISP239"/>
      <c r="ISQ239"/>
      <c r="ISR239"/>
      <c r="ISS239"/>
      <c r="IST239"/>
      <c r="ISU239"/>
      <c r="ISV239"/>
      <c r="ISW239"/>
      <c r="ISX239"/>
      <c r="ISY239"/>
      <c r="ISZ239"/>
      <c r="ITA239"/>
      <c r="ITB239"/>
      <c r="ITC239"/>
      <c r="ITD239"/>
      <c r="ITE239"/>
      <c r="ITF239"/>
      <c r="ITG239"/>
      <c r="ITH239"/>
      <c r="ITI239"/>
      <c r="ITJ239"/>
      <c r="ITK239"/>
      <c r="ITL239"/>
      <c r="ITM239"/>
      <c r="ITN239"/>
      <c r="ITO239"/>
      <c r="ITP239"/>
      <c r="ITQ239"/>
      <c r="ITR239"/>
      <c r="ITS239"/>
      <c r="ITT239"/>
      <c r="ITU239"/>
      <c r="ITV239"/>
      <c r="ITW239"/>
      <c r="ITX239"/>
      <c r="ITY239"/>
      <c r="ITZ239"/>
      <c r="IUA239"/>
      <c r="IUB239"/>
      <c r="IUC239"/>
      <c r="IUD239"/>
      <c r="IUE239"/>
      <c r="IUF239"/>
      <c r="IUG239"/>
      <c r="IUH239"/>
      <c r="IUI239"/>
      <c r="IUJ239"/>
      <c r="IUK239"/>
      <c r="IUL239"/>
      <c r="IUM239"/>
      <c r="IUN239"/>
      <c r="IUO239"/>
      <c r="IUP239"/>
      <c r="IUQ239"/>
      <c r="IUR239"/>
      <c r="IUS239"/>
      <c r="IUT239"/>
      <c r="IUU239"/>
      <c r="IUV239"/>
      <c r="IUW239"/>
      <c r="IUX239"/>
      <c r="IUY239"/>
      <c r="IUZ239"/>
      <c r="IVA239"/>
      <c r="IVB239"/>
      <c r="IVC239"/>
      <c r="IVD239"/>
      <c r="IVE239"/>
      <c r="IVF239"/>
      <c r="IVG239"/>
      <c r="IVH239"/>
      <c r="IVI239"/>
      <c r="IVJ239"/>
      <c r="IVK239"/>
      <c r="IVL239"/>
      <c r="IVM239"/>
      <c r="IVN239"/>
      <c r="IVO239"/>
      <c r="IVP239"/>
      <c r="IVQ239"/>
      <c r="IVR239"/>
      <c r="IVS239"/>
      <c r="IVT239"/>
      <c r="IVU239"/>
      <c r="IVV239"/>
      <c r="IVW239"/>
      <c r="IVX239"/>
      <c r="IVY239"/>
      <c r="IVZ239"/>
      <c r="IWA239"/>
      <c r="IWB239"/>
      <c r="IWC239"/>
      <c r="IWD239"/>
      <c r="IWE239"/>
      <c r="IWF239"/>
      <c r="IWG239"/>
      <c r="IWH239"/>
      <c r="IWI239"/>
      <c r="IWJ239"/>
      <c r="IWK239"/>
      <c r="IWL239"/>
      <c r="IWM239"/>
      <c r="IWN239"/>
      <c r="IWO239"/>
      <c r="IWP239"/>
      <c r="IWQ239"/>
      <c r="IWR239"/>
      <c r="IWS239"/>
      <c r="IWT239"/>
      <c r="IWU239"/>
      <c r="IWV239"/>
      <c r="IWW239"/>
      <c r="IWX239"/>
      <c r="IWY239"/>
      <c r="IWZ239"/>
      <c r="IXA239"/>
      <c r="IXB239"/>
      <c r="IXC239"/>
      <c r="IXD239"/>
      <c r="IXE239"/>
      <c r="IXF239"/>
      <c r="IXG239"/>
      <c r="IXH239"/>
      <c r="IXI239"/>
      <c r="IXJ239"/>
      <c r="IXK239"/>
      <c r="IXL239"/>
      <c r="IXM239"/>
      <c r="IXN239"/>
      <c r="IXO239"/>
      <c r="IXP239"/>
      <c r="IXQ239"/>
      <c r="IXR239"/>
      <c r="IXS239"/>
      <c r="IXT239"/>
      <c r="IXU239"/>
      <c r="IXV239"/>
      <c r="IXW239"/>
      <c r="IXX239"/>
      <c r="IXY239"/>
      <c r="IXZ239"/>
      <c r="IYA239"/>
      <c r="IYB239"/>
      <c r="IYC239"/>
      <c r="IYD239"/>
      <c r="IYE239"/>
      <c r="IYF239"/>
      <c r="IYG239"/>
      <c r="IYH239"/>
      <c r="IYI239"/>
      <c r="IYJ239"/>
      <c r="IYK239"/>
      <c r="IYL239"/>
      <c r="IYM239"/>
      <c r="IYN239"/>
      <c r="IYO239"/>
      <c r="IYP239"/>
      <c r="IYQ239"/>
      <c r="IYR239"/>
      <c r="IYS239"/>
      <c r="IYT239"/>
      <c r="IYU239"/>
      <c r="IYV239"/>
      <c r="IYW239"/>
      <c r="IYX239"/>
      <c r="IYY239"/>
      <c r="IYZ239"/>
      <c r="IZA239"/>
      <c r="IZB239"/>
      <c r="IZC239"/>
      <c r="IZD239"/>
      <c r="IZE239"/>
      <c r="IZF239"/>
      <c r="IZG239"/>
      <c r="IZH239"/>
      <c r="IZI239"/>
      <c r="IZJ239"/>
      <c r="IZK239"/>
      <c r="IZL239"/>
      <c r="IZM239"/>
      <c r="IZN239"/>
      <c r="IZO239"/>
      <c r="IZP239"/>
      <c r="IZQ239"/>
      <c r="IZR239"/>
      <c r="IZS239"/>
      <c r="IZT239"/>
      <c r="IZU239"/>
      <c r="IZV239"/>
      <c r="IZW239"/>
      <c r="IZX239"/>
      <c r="IZY239"/>
      <c r="IZZ239"/>
      <c r="JAA239"/>
      <c r="JAB239"/>
      <c r="JAC239"/>
      <c r="JAD239"/>
      <c r="JAE239"/>
      <c r="JAF239"/>
      <c r="JAG239"/>
      <c r="JAH239"/>
      <c r="JAI239"/>
      <c r="JAJ239"/>
      <c r="JAK239"/>
      <c r="JAL239"/>
      <c r="JAM239"/>
      <c r="JAN239"/>
      <c r="JAO239"/>
      <c r="JAP239"/>
      <c r="JAQ239"/>
      <c r="JAR239"/>
      <c r="JAS239"/>
      <c r="JAT239"/>
      <c r="JAU239"/>
      <c r="JAV239"/>
      <c r="JAW239"/>
      <c r="JAX239"/>
      <c r="JAY239"/>
      <c r="JAZ239"/>
      <c r="JBA239"/>
      <c r="JBB239"/>
      <c r="JBC239"/>
      <c r="JBD239"/>
      <c r="JBE239"/>
      <c r="JBF239"/>
      <c r="JBG239"/>
      <c r="JBH239"/>
      <c r="JBI239"/>
      <c r="JBJ239"/>
      <c r="JBK239"/>
      <c r="JBL239"/>
      <c r="JBM239"/>
      <c r="JBN239"/>
      <c r="JBO239"/>
      <c r="JBP239"/>
      <c r="JBQ239"/>
      <c r="JBR239"/>
      <c r="JBS239"/>
      <c r="JBT239"/>
      <c r="JBU239"/>
      <c r="JBV239"/>
      <c r="JBW239"/>
      <c r="JBX239"/>
      <c r="JBY239"/>
      <c r="JBZ239"/>
      <c r="JCA239"/>
      <c r="JCB239"/>
      <c r="JCC239"/>
      <c r="JCD239"/>
      <c r="JCE239"/>
      <c r="JCF239"/>
      <c r="JCG239"/>
      <c r="JCH239"/>
      <c r="JCI239"/>
      <c r="JCJ239"/>
      <c r="JCK239"/>
      <c r="JCL239"/>
      <c r="JCM239"/>
      <c r="JCN239"/>
      <c r="JCO239"/>
      <c r="JCP239"/>
      <c r="JCQ239"/>
      <c r="JCR239"/>
      <c r="JCS239"/>
      <c r="JCT239"/>
      <c r="JCU239"/>
      <c r="JCV239"/>
      <c r="JCW239"/>
      <c r="JCX239"/>
      <c r="JCY239"/>
      <c r="JCZ239"/>
      <c r="JDA239"/>
      <c r="JDB239"/>
      <c r="JDC239"/>
      <c r="JDD239"/>
      <c r="JDE239"/>
      <c r="JDF239"/>
      <c r="JDG239"/>
      <c r="JDH239"/>
      <c r="JDI239"/>
      <c r="JDJ239"/>
      <c r="JDK239"/>
      <c r="JDL239"/>
      <c r="JDM239"/>
      <c r="JDN239"/>
      <c r="JDO239"/>
      <c r="JDP239"/>
      <c r="JDQ239"/>
      <c r="JDR239"/>
      <c r="JDS239"/>
      <c r="JDT239"/>
      <c r="JDU239"/>
      <c r="JDV239"/>
      <c r="JDW239"/>
      <c r="JDX239"/>
      <c r="JDY239"/>
      <c r="JDZ239"/>
      <c r="JEA239"/>
      <c r="JEB239"/>
      <c r="JEC239"/>
      <c r="JED239"/>
      <c r="JEE239"/>
      <c r="JEF239"/>
      <c r="JEG239"/>
      <c r="JEH239"/>
      <c r="JEI239"/>
      <c r="JEJ239"/>
      <c r="JEK239"/>
      <c r="JEL239"/>
      <c r="JEM239"/>
      <c r="JEN239"/>
      <c r="JEO239"/>
      <c r="JEP239"/>
      <c r="JEQ239"/>
      <c r="JER239"/>
      <c r="JES239"/>
      <c r="JET239"/>
      <c r="JEU239"/>
      <c r="JEV239"/>
      <c r="JEW239"/>
      <c r="JEX239"/>
      <c r="JEY239"/>
      <c r="JEZ239"/>
      <c r="JFA239"/>
      <c r="JFB239"/>
      <c r="JFC239"/>
      <c r="JFD239"/>
      <c r="JFE239"/>
      <c r="JFF239"/>
      <c r="JFG239"/>
      <c r="JFH239"/>
      <c r="JFI239"/>
      <c r="JFJ239"/>
      <c r="JFK239"/>
      <c r="JFL239"/>
      <c r="JFM239"/>
      <c r="JFN239"/>
      <c r="JFO239"/>
      <c r="JFP239"/>
      <c r="JFQ239"/>
      <c r="JFR239"/>
      <c r="JFS239"/>
      <c r="JFT239"/>
      <c r="JFU239"/>
      <c r="JFV239"/>
      <c r="JFW239"/>
      <c r="JFX239"/>
      <c r="JFY239"/>
      <c r="JFZ239"/>
      <c r="JGA239"/>
      <c r="JGB239"/>
      <c r="JGC239"/>
      <c r="JGD239"/>
      <c r="JGE239"/>
      <c r="JGF239"/>
      <c r="JGG239"/>
      <c r="JGH239"/>
      <c r="JGI239"/>
      <c r="JGJ239"/>
      <c r="JGK239"/>
      <c r="JGL239"/>
      <c r="JGM239"/>
      <c r="JGN239"/>
      <c r="JGO239"/>
      <c r="JGP239"/>
      <c r="JGQ239"/>
      <c r="JGR239"/>
      <c r="JGS239"/>
      <c r="JGT239"/>
      <c r="JGU239"/>
      <c r="JGV239"/>
      <c r="JGW239"/>
      <c r="JGX239"/>
      <c r="JGY239"/>
      <c r="JGZ239"/>
      <c r="JHA239"/>
      <c r="JHB239"/>
      <c r="JHC239"/>
      <c r="JHD239"/>
      <c r="JHE239"/>
      <c r="JHF239"/>
      <c r="JHG239"/>
      <c r="JHH239"/>
      <c r="JHI239"/>
      <c r="JHJ239"/>
      <c r="JHK239"/>
      <c r="JHL239"/>
      <c r="JHM239"/>
      <c r="JHN239"/>
      <c r="JHO239"/>
      <c r="JHP239"/>
      <c r="JHQ239"/>
      <c r="JHR239"/>
      <c r="JHS239"/>
      <c r="JHT239"/>
      <c r="JHU239"/>
      <c r="JHV239"/>
      <c r="JHW239"/>
      <c r="JHX239"/>
      <c r="JHY239"/>
      <c r="JHZ239"/>
      <c r="JIA239"/>
      <c r="JIB239"/>
      <c r="JIC239"/>
      <c r="JID239"/>
      <c r="JIE239"/>
      <c r="JIF239"/>
      <c r="JIG239"/>
      <c r="JIH239"/>
      <c r="JII239"/>
      <c r="JIJ239"/>
      <c r="JIK239"/>
      <c r="JIL239"/>
      <c r="JIM239"/>
      <c r="JIN239"/>
      <c r="JIO239"/>
      <c r="JIP239"/>
      <c r="JIQ239"/>
      <c r="JIR239"/>
      <c r="JIS239"/>
      <c r="JIT239"/>
      <c r="JIU239"/>
      <c r="JIV239"/>
      <c r="JIW239"/>
      <c r="JIX239"/>
      <c r="JIY239"/>
      <c r="JIZ239"/>
      <c r="JJA239"/>
      <c r="JJB239"/>
      <c r="JJC239"/>
      <c r="JJD239"/>
      <c r="JJE239"/>
      <c r="JJF239"/>
      <c r="JJG239"/>
      <c r="JJH239"/>
      <c r="JJI239"/>
      <c r="JJJ239"/>
      <c r="JJK239"/>
      <c r="JJL239"/>
      <c r="JJM239"/>
      <c r="JJN239"/>
      <c r="JJO239"/>
      <c r="JJP239"/>
      <c r="JJQ239"/>
      <c r="JJR239"/>
      <c r="JJS239"/>
      <c r="JJT239"/>
      <c r="JJU239"/>
      <c r="JJV239"/>
      <c r="JJW239"/>
      <c r="JJX239"/>
      <c r="JJY239"/>
      <c r="JJZ239"/>
      <c r="JKA239"/>
      <c r="JKB239"/>
      <c r="JKC239"/>
      <c r="JKD239"/>
      <c r="JKE239"/>
      <c r="JKF239"/>
      <c r="JKG239"/>
      <c r="JKH239"/>
      <c r="JKI239"/>
      <c r="JKJ239"/>
      <c r="JKK239"/>
      <c r="JKL239"/>
      <c r="JKM239"/>
      <c r="JKN239"/>
      <c r="JKO239"/>
      <c r="JKP239"/>
      <c r="JKQ239"/>
      <c r="JKR239"/>
      <c r="JKS239"/>
      <c r="JKT239"/>
      <c r="JKU239"/>
      <c r="JKV239"/>
      <c r="JKW239"/>
      <c r="JKX239"/>
      <c r="JKY239"/>
      <c r="JKZ239"/>
      <c r="JLA239"/>
      <c r="JLB239"/>
      <c r="JLC239"/>
      <c r="JLD239"/>
      <c r="JLE239"/>
      <c r="JLF239"/>
      <c r="JLG239"/>
      <c r="JLH239"/>
      <c r="JLI239"/>
      <c r="JLJ239"/>
      <c r="JLK239"/>
      <c r="JLL239"/>
      <c r="JLM239"/>
      <c r="JLN239"/>
      <c r="JLO239"/>
      <c r="JLP239"/>
      <c r="JLQ239"/>
      <c r="JLR239"/>
      <c r="JLS239"/>
      <c r="JLT239"/>
      <c r="JLU239"/>
      <c r="JLV239"/>
      <c r="JLW239"/>
      <c r="JLX239"/>
      <c r="JLY239"/>
      <c r="JLZ239"/>
      <c r="JMA239"/>
      <c r="JMB239"/>
      <c r="JMC239"/>
      <c r="JMD239"/>
      <c r="JME239"/>
      <c r="JMF239"/>
      <c r="JMG239"/>
      <c r="JMH239"/>
      <c r="JMI239"/>
      <c r="JMJ239"/>
      <c r="JMK239"/>
      <c r="JML239"/>
      <c r="JMM239"/>
      <c r="JMN239"/>
      <c r="JMO239"/>
      <c r="JMP239"/>
      <c r="JMQ239"/>
      <c r="JMR239"/>
      <c r="JMS239"/>
      <c r="JMT239"/>
      <c r="JMU239"/>
      <c r="JMV239"/>
      <c r="JMW239"/>
      <c r="JMX239"/>
      <c r="JMY239"/>
      <c r="JMZ239"/>
      <c r="JNA239"/>
      <c r="JNB239"/>
      <c r="JNC239"/>
      <c r="JND239"/>
      <c r="JNE239"/>
      <c r="JNF239"/>
      <c r="JNG239"/>
      <c r="JNH239"/>
      <c r="JNI239"/>
      <c r="JNJ239"/>
      <c r="JNK239"/>
      <c r="JNL239"/>
      <c r="JNM239"/>
      <c r="JNN239"/>
      <c r="JNO239"/>
      <c r="JNP239"/>
      <c r="JNQ239"/>
      <c r="JNR239"/>
      <c r="JNS239"/>
      <c r="JNT239"/>
      <c r="JNU239"/>
      <c r="JNV239"/>
      <c r="JNW239"/>
      <c r="JNX239"/>
      <c r="JNY239"/>
      <c r="JNZ239"/>
      <c r="JOA239"/>
      <c r="JOB239"/>
      <c r="JOC239"/>
      <c r="JOD239"/>
      <c r="JOE239"/>
      <c r="JOF239"/>
      <c r="JOG239"/>
      <c r="JOH239"/>
      <c r="JOI239"/>
      <c r="JOJ239"/>
      <c r="JOK239"/>
      <c r="JOL239"/>
      <c r="JOM239"/>
      <c r="JON239"/>
      <c r="JOO239"/>
      <c r="JOP239"/>
      <c r="JOQ239"/>
      <c r="JOR239"/>
      <c r="JOS239"/>
      <c r="JOT239"/>
      <c r="JOU239"/>
      <c r="JOV239"/>
      <c r="JOW239"/>
      <c r="JOX239"/>
      <c r="JOY239"/>
      <c r="JOZ239"/>
      <c r="JPA239"/>
      <c r="JPB239"/>
      <c r="JPC239"/>
      <c r="JPD239"/>
      <c r="JPE239"/>
      <c r="JPF239"/>
      <c r="JPG239"/>
      <c r="JPH239"/>
      <c r="JPI239"/>
      <c r="JPJ239"/>
      <c r="JPK239"/>
      <c r="JPL239"/>
      <c r="JPM239"/>
      <c r="JPN239"/>
      <c r="JPO239"/>
      <c r="JPP239"/>
      <c r="JPQ239"/>
      <c r="JPR239"/>
      <c r="JPS239"/>
      <c r="JPT239"/>
      <c r="JPU239"/>
      <c r="JPV239"/>
      <c r="JPW239"/>
      <c r="JPX239"/>
      <c r="JPY239"/>
      <c r="JPZ239"/>
      <c r="JQA239"/>
      <c r="JQB239"/>
      <c r="JQC239"/>
      <c r="JQD239"/>
      <c r="JQE239"/>
      <c r="JQF239"/>
      <c r="JQG239"/>
      <c r="JQH239"/>
      <c r="JQI239"/>
      <c r="JQJ239"/>
      <c r="JQK239"/>
      <c r="JQL239"/>
      <c r="JQM239"/>
      <c r="JQN239"/>
      <c r="JQO239"/>
      <c r="JQP239"/>
      <c r="JQQ239"/>
      <c r="JQR239"/>
      <c r="JQS239"/>
      <c r="JQT239"/>
      <c r="JQU239"/>
      <c r="JQV239"/>
      <c r="JQW239"/>
      <c r="JQX239"/>
      <c r="JQY239"/>
      <c r="JQZ239"/>
      <c r="JRA239"/>
      <c r="JRB239"/>
      <c r="JRC239"/>
      <c r="JRD239"/>
      <c r="JRE239"/>
      <c r="JRF239"/>
      <c r="JRG239"/>
      <c r="JRH239"/>
      <c r="JRI239"/>
      <c r="JRJ239"/>
      <c r="JRK239"/>
      <c r="JRL239"/>
      <c r="JRM239"/>
      <c r="JRN239"/>
      <c r="JRO239"/>
      <c r="JRP239"/>
      <c r="JRQ239"/>
      <c r="JRR239"/>
      <c r="JRS239"/>
      <c r="JRT239"/>
      <c r="JRU239"/>
      <c r="JRV239"/>
      <c r="JRW239"/>
      <c r="JRX239"/>
      <c r="JRY239"/>
      <c r="JRZ239"/>
      <c r="JSA239"/>
      <c r="JSB239"/>
      <c r="JSC239"/>
      <c r="JSD239"/>
      <c r="JSE239"/>
      <c r="JSF239"/>
      <c r="JSG239"/>
      <c r="JSH239"/>
      <c r="JSI239"/>
      <c r="JSJ239"/>
      <c r="JSK239"/>
      <c r="JSL239"/>
      <c r="JSM239"/>
      <c r="JSN239"/>
      <c r="JSO239"/>
      <c r="JSP239"/>
      <c r="JSQ239"/>
      <c r="JSR239"/>
      <c r="JSS239"/>
      <c r="JST239"/>
      <c r="JSU239"/>
      <c r="JSV239"/>
      <c r="JSW239"/>
      <c r="JSX239"/>
      <c r="JSY239"/>
      <c r="JSZ239"/>
      <c r="JTA239"/>
      <c r="JTB239"/>
      <c r="JTC239"/>
      <c r="JTD239"/>
      <c r="JTE239"/>
      <c r="JTF239"/>
      <c r="JTG239"/>
      <c r="JTH239"/>
      <c r="JTI239"/>
      <c r="JTJ239"/>
      <c r="JTK239"/>
      <c r="JTL239"/>
      <c r="JTM239"/>
      <c r="JTN239"/>
      <c r="JTO239"/>
      <c r="JTP239"/>
      <c r="JTQ239"/>
      <c r="JTR239"/>
      <c r="JTS239"/>
      <c r="JTT239"/>
      <c r="JTU239"/>
      <c r="JTV239"/>
      <c r="JTW239"/>
      <c r="JTX239"/>
      <c r="JTY239"/>
      <c r="JTZ239"/>
      <c r="JUA239"/>
      <c r="JUB239"/>
      <c r="JUC239"/>
      <c r="JUD239"/>
      <c r="JUE239"/>
      <c r="JUF239"/>
      <c r="JUG239"/>
      <c r="JUH239"/>
      <c r="JUI239"/>
      <c r="JUJ239"/>
      <c r="JUK239"/>
      <c r="JUL239"/>
      <c r="JUM239"/>
      <c r="JUN239"/>
      <c r="JUO239"/>
      <c r="JUP239"/>
      <c r="JUQ239"/>
      <c r="JUR239"/>
      <c r="JUS239"/>
      <c r="JUT239"/>
      <c r="JUU239"/>
      <c r="JUV239"/>
      <c r="JUW239"/>
      <c r="JUX239"/>
      <c r="JUY239"/>
      <c r="JUZ239"/>
      <c r="JVA239"/>
      <c r="JVB239"/>
      <c r="JVC239"/>
      <c r="JVD239"/>
      <c r="JVE239"/>
      <c r="JVF239"/>
      <c r="JVG239"/>
      <c r="JVH239"/>
      <c r="JVI239"/>
      <c r="JVJ239"/>
      <c r="JVK239"/>
      <c r="JVL239"/>
      <c r="JVM239"/>
      <c r="JVN239"/>
      <c r="JVO239"/>
      <c r="JVP239"/>
      <c r="JVQ239"/>
      <c r="JVR239"/>
      <c r="JVS239"/>
      <c r="JVT239"/>
      <c r="JVU239"/>
      <c r="JVV239"/>
      <c r="JVW239"/>
      <c r="JVX239"/>
      <c r="JVY239"/>
      <c r="JVZ239"/>
      <c r="JWA239"/>
      <c r="JWB239"/>
      <c r="JWC239"/>
      <c r="JWD239"/>
      <c r="JWE239"/>
      <c r="JWF239"/>
      <c r="JWG239"/>
      <c r="JWH239"/>
      <c r="JWI239"/>
      <c r="JWJ239"/>
      <c r="JWK239"/>
      <c r="JWL239"/>
      <c r="JWM239"/>
      <c r="JWN239"/>
      <c r="JWO239"/>
      <c r="JWP239"/>
      <c r="JWQ239"/>
      <c r="JWR239"/>
      <c r="JWS239"/>
      <c r="JWT239"/>
      <c r="JWU239"/>
      <c r="JWV239"/>
      <c r="JWW239"/>
      <c r="JWX239"/>
      <c r="JWY239"/>
      <c r="JWZ239"/>
      <c r="JXA239"/>
      <c r="JXB239"/>
      <c r="JXC239"/>
      <c r="JXD239"/>
      <c r="JXE239"/>
      <c r="JXF239"/>
      <c r="JXG239"/>
      <c r="JXH239"/>
      <c r="JXI239"/>
      <c r="JXJ239"/>
      <c r="JXK239"/>
      <c r="JXL239"/>
      <c r="JXM239"/>
      <c r="JXN239"/>
      <c r="JXO239"/>
      <c r="JXP239"/>
      <c r="JXQ239"/>
      <c r="JXR239"/>
      <c r="JXS239"/>
      <c r="JXT239"/>
      <c r="JXU239"/>
      <c r="JXV239"/>
      <c r="JXW239"/>
      <c r="JXX239"/>
      <c r="JXY239"/>
      <c r="JXZ239"/>
      <c r="JYA239"/>
      <c r="JYB239"/>
      <c r="JYC239"/>
      <c r="JYD239"/>
      <c r="JYE239"/>
      <c r="JYF239"/>
      <c r="JYG239"/>
      <c r="JYH239"/>
      <c r="JYI239"/>
      <c r="JYJ239"/>
      <c r="JYK239"/>
      <c r="JYL239"/>
      <c r="JYM239"/>
      <c r="JYN239"/>
      <c r="JYO239"/>
      <c r="JYP239"/>
      <c r="JYQ239"/>
      <c r="JYR239"/>
      <c r="JYS239"/>
      <c r="JYT239"/>
      <c r="JYU239"/>
      <c r="JYV239"/>
      <c r="JYW239"/>
      <c r="JYX239"/>
      <c r="JYY239"/>
      <c r="JYZ239"/>
      <c r="JZA239"/>
      <c r="JZB239"/>
      <c r="JZC239"/>
      <c r="JZD239"/>
      <c r="JZE239"/>
      <c r="JZF239"/>
      <c r="JZG239"/>
      <c r="JZH239"/>
      <c r="JZI239"/>
      <c r="JZJ239"/>
      <c r="JZK239"/>
      <c r="JZL239"/>
      <c r="JZM239"/>
      <c r="JZN239"/>
      <c r="JZO239"/>
      <c r="JZP239"/>
      <c r="JZQ239"/>
      <c r="JZR239"/>
      <c r="JZS239"/>
      <c r="JZT239"/>
      <c r="JZU239"/>
      <c r="JZV239"/>
      <c r="JZW239"/>
      <c r="JZX239"/>
      <c r="JZY239"/>
      <c r="JZZ239"/>
      <c r="KAA239"/>
      <c r="KAB239"/>
      <c r="KAC239"/>
      <c r="KAD239"/>
      <c r="KAE239"/>
      <c r="KAF239"/>
      <c r="KAG239"/>
      <c r="KAH239"/>
      <c r="KAI239"/>
      <c r="KAJ239"/>
      <c r="KAK239"/>
      <c r="KAL239"/>
      <c r="KAM239"/>
      <c r="KAN239"/>
      <c r="KAO239"/>
      <c r="KAP239"/>
      <c r="KAQ239"/>
      <c r="KAR239"/>
      <c r="KAS239"/>
      <c r="KAT239"/>
      <c r="KAU239"/>
      <c r="KAV239"/>
      <c r="KAW239"/>
      <c r="KAX239"/>
      <c r="KAY239"/>
      <c r="KAZ239"/>
      <c r="KBA239"/>
      <c r="KBB239"/>
      <c r="KBC239"/>
      <c r="KBD239"/>
      <c r="KBE239"/>
      <c r="KBF239"/>
      <c r="KBG239"/>
      <c r="KBH239"/>
      <c r="KBI239"/>
      <c r="KBJ239"/>
      <c r="KBK239"/>
      <c r="KBL239"/>
      <c r="KBM239"/>
      <c r="KBN239"/>
      <c r="KBO239"/>
      <c r="KBP239"/>
      <c r="KBQ239"/>
      <c r="KBR239"/>
      <c r="KBS239"/>
      <c r="KBT239"/>
      <c r="KBU239"/>
      <c r="KBV239"/>
      <c r="KBW239"/>
      <c r="KBX239"/>
      <c r="KBY239"/>
      <c r="KBZ239"/>
      <c r="KCA239"/>
      <c r="KCB239"/>
      <c r="KCC239"/>
      <c r="KCD239"/>
      <c r="KCE239"/>
      <c r="KCF239"/>
      <c r="KCG239"/>
      <c r="KCH239"/>
      <c r="KCI239"/>
      <c r="KCJ239"/>
      <c r="KCK239"/>
      <c r="KCL239"/>
      <c r="KCM239"/>
      <c r="KCN239"/>
      <c r="KCO239"/>
      <c r="KCP239"/>
      <c r="KCQ239"/>
      <c r="KCR239"/>
      <c r="KCS239"/>
      <c r="KCT239"/>
      <c r="KCU239"/>
      <c r="KCV239"/>
      <c r="KCW239"/>
      <c r="KCX239"/>
      <c r="KCY239"/>
      <c r="KCZ239"/>
      <c r="KDA239"/>
      <c r="KDB239"/>
      <c r="KDC239"/>
      <c r="KDD239"/>
      <c r="KDE239"/>
      <c r="KDF239"/>
      <c r="KDG239"/>
      <c r="KDH239"/>
      <c r="KDI239"/>
      <c r="KDJ239"/>
      <c r="KDK239"/>
      <c r="KDL239"/>
      <c r="KDM239"/>
      <c r="KDN239"/>
      <c r="KDO239"/>
      <c r="KDP239"/>
      <c r="KDQ239"/>
      <c r="KDR239"/>
      <c r="KDS239"/>
      <c r="KDT239"/>
      <c r="KDU239"/>
      <c r="KDV239"/>
      <c r="KDW239"/>
      <c r="KDX239"/>
      <c r="KDY239"/>
      <c r="KDZ239"/>
      <c r="KEA239"/>
      <c r="KEB239"/>
      <c r="KEC239"/>
      <c r="KED239"/>
      <c r="KEE239"/>
      <c r="KEF239"/>
      <c r="KEG239"/>
      <c r="KEH239"/>
      <c r="KEI239"/>
      <c r="KEJ239"/>
      <c r="KEK239"/>
      <c r="KEL239"/>
      <c r="KEM239"/>
      <c r="KEN239"/>
      <c r="KEO239"/>
      <c r="KEP239"/>
      <c r="KEQ239"/>
      <c r="KER239"/>
      <c r="KES239"/>
      <c r="KET239"/>
      <c r="KEU239"/>
      <c r="KEV239"/>
      <c r="KEW239"/>
      <c r="KEX239"/>
      <c r="KEY239"/>
      <c r="KEZ239"/>
      <c r="KFA239"/>
      <c r="KFB239"/>
      <c r="KFC239"/>
      <c r="KFD239"/>
      <c r="KFE239"/>
      <c r="KFF239"/>
      <c r="KFG239"/>
      <c r="KFH239"/>
      <c r="KFI239"/>
      <c r="KFJ239"/>
      <c r="KFK239"/>
      <c r="KFL239"/>
      <c r="KFM239"/>
      <c r="KFN239"/>
      <c r="KFO239"/>
      <c r="KFP239"/>
      <c r="KFQ239"/>
      <c r="KFR239"/>
      <c r="KFS239"/>
      <c r="KFT239"/>
      <c r="KFU239"/>
      <c r="KFV239"/>
      <c r="KFW239"/>
      <c r="KFX239"/>
      <c r="KFY239"/>
      <c r="KFZ239"/>
      <c r="KGA239"/>
      <c r="KGB239"/>
      <c r="KGC239"/>
      <c r="KGD239"/>
      <c r="KGE239"/>
      <c r="KGF239"/>
      <c r="KGG239"/>
      <c r="KGH239"/>
      <c r="KGI239"/>
      <c r="KGJ239"/>
      <c r="KGK239"/>
      <c r="KGL239"/>
      <c r="KGM239"/>
      <c r="KGN239"/>
      <c r="KGO239"/>
      <c r="KGP239"/>
      <c r="KGQ239"/>
      <c r="KGR239"/>
      <c r="KGS239"/>
      <c r="KGT239"/>
      <c r="KGU239"/>
      <c r="KGV239"/>
      <c r="KGW239"/>
      <c r="KGX239"/>
      <c r="KGY239"/>
      <c r="KGZ239"/>
      <c r="KHA239"/>
      <c r="KHB239"/>
      <c r="KHC239"/>
      <c r="KHD239"/>
      <c r="KHE239"/>
      <c r="KHF239"/>
      <c r="KHG239"/>
      <c r="KHH239"/>
      <c r="KHI239"/>
      <c r="KHJ239"/>
      <c r="KHK239"/>
      <c r="KHL239"/>
      <c r="KHM239"/>
      <c r="KHN239"/>
      <c r="KHO239"/>
      <c r="KHP239"/>
      <c r="KHQ239"/>
      <c r="KHR239"/>
      <c r="KHS239"/>
      <c r="KHT239"/>
      <c r="KHU239"/>
      <c r="KHV239"/>
      <c r="KHW239"/>
      <c r="KHX239"/>
      <c r="KHY239"/>
      <c r="KHZ239"/>
      <c r="KIA239"/>
      <c r="KIB239"/>
      <c r="KIC239"/>
      <c r="KID239"/>
      <c r="KIE239"/>
      <c r="KIF239"/>
      <c r="KIG239"/>
      <c r="KIH239"/>
      <c r="KII239"/>
      <c r="KIJ239"/>
      <c r="KIK239"/>
      <c r="KIL239"/>
      <c r="KIM239"/>
      <c r="KIN239"/>
      <c r="KIO239"/>
      <c r="KIP239"/>
      <c r="KIQ239"/>
      <c r="KIR239"/>
      <c r="KIS239"/>
      <c r="KIT239"/>
      <c r="KIU239"/>
      <c r="KIV239"/>
      <c r="KIW239"/>
      <c r="KIX239"/>
      <c r="KIY239"/>
      <c r="KIZ239"/>
      <c r="KJA239"/>
      <c r="KJB239"/>
      <c r="KJC239"/>
      <c r="KJD239"/>
      <c r="KJE239"/>
      <c r="KJF239"/>
      <c r="KJG239"/>
      <c r="KJH239"/>
      <c r="KJI239"/>
      <c r="KJJ239"/>
      <c r="KJK239"/>
      <c r="KJL239"/>
      <c r="KJM239"/>
      <c r="KJN239"/>
      <c r="KJO239"/>
      <c r="KJP239"/>
      <c r="KJQ239"/>
      <c r="KJR239"/>
      <c r="KJS239"/>
      <c r="KJT239"/>
      <c r="KJU239"/>
      <c r="KJV239"/>
      <c r="KJW239"/>
      <c r="KJX239"/>
      <c r="KJY239"/>
      <c r="KJZ239"/>
      <c r="KKA239"/>
      <c r="KKB239"/>
      <c r="KKC239"/>
      <c r="KKD239"/>
      <c r="KKE239"/>
      <c r="KKF239"/>
      <c r="KKG239"/>
      <c r="KKH239"/>
      <c r="KKI239"/>
      <c r="KKJ239"/>
      <c r="KKK239"/>
      <c r="KKL239"/>
      <c r="KKM239"/>
      <c r="KKN239"/>
      <c r="KKO239"/>
      <c r="KKP239"/>
      <c r="KKQ239"/>
      <c r="KKR239"/>
      <c r="KKS239"/>
      <c r="KKT239"/>
      <c r="KKU239"/>
      <c r="KKV239"/>
      <c r="KKW239"/>
      <c r="KKX239"/>
      <c r="KKY239"/>
      <c r="KKZ239"/>
      <c r="KLA239"/>
      <c r="KLB239"/>
      <c r="KLC239"/>
      <c r="KLD239"/>
      <c r="KLE239"/>
      <c r="KLF239"/>
      <c r="KLG239"/>
      <c r="KLH239"/>
      <c r="KLI239"/>
      <c r="KLJ239"/>
      <c r="KLK239"/>
      <c r="KLL239"/>
      <c r="KLM239"/>
      <c r="KLN239"/>
      <c r="KLO239"/>
      <c r="KLP239"/>
      <c r="KLQ239"/>
      <c r="KLR239"/>
      <c r="KLS239"/>
      <c r="KLT239"/>
      <c r="KLU239"/>
      <c r="KLV239"/>
      <c r="KLW239"/>
      <c r="KLX239"/>
      <c r="KLY239"/>
      <c r="KLZ239"/>
      <c r="KMA239"/>
      <c r="KMB239"/>
      <c r="KMC239"/>
      <c r="KMD239"/>
      <c r="KME239"/>
      <c r="KMF239"/>
      <c r="KMG239"/>
      <c r="KMH239"/>
      <c r="KMI239"/>
      <c r="KMJ239"/>
      <c r="KMK239"/>
      <c r="KML239"/>
      <c r="KMM239"/>
      <c r="KMN239"/>
      <c r="KMO239"/>
      <c r="KMP239"/>
      <c r="KMQ239"/>
      <c r="KMR239"/>
      <c r="KMS239"/>
      <c r="KMT239"/>
      <c r="KMU239"/>
      <c r="KMV239"/>
      <c r="KMW239"/>
      <c r="KMX239"/>
      <c r="KMY239"/>
      <c r="KMZ239"/>
      <c r="KNA239"/>
      <c r="KNB239"/>
      <c r="KNC239"/>
      <c r="KND239"/>
      <c r="KNE239"/>
      <c r="KNF239"/>
      <c r="KNG239"/>
      <c r="KNH239"/>
      <c r="KNI239"/>
      <c r="KNJ239"/>
      <c r="KNK239"/>
      <c r="KNL239"/>
      <c r="KNM239"/>
      <c r="KNN239"/>
      <c r="KNO239"/>
      <c r="KNP239"/>
      <c r="KNQ239"/>
      <c r="KNR239"/>
      <c r="KNS239"/>
      <c r="KNT239"/>
      <c r="KNU239"/>
      <c r="KNV239"/>
      <c r="KNW239"/>
      <c r="KNX239"/>
      <c r="KNY239"/>
      <c r="KNZ239"/>
      <c r="KOA239"/>
      <c r="KOB239"/>
      <c r="KOC239"/>
      <c r="KOD239"/>
      <c r="KOE239"/>
      <c r="KOF239"/>
      <c r="KOG239"/>
      <c r="KOH239"/>
      <c r="KOI239"/>
      <c r="KOJ239"/>
      <c r="KOK239"/>
      <c r="KOL239"/>
      <c r="KOM239"/>
      <c r="KON239"/>
      <c r="KOO239"/>
      <c r="KOP239"/>
      <c r="KOQ239"/>
      <c r="KOR239"/>
      <c r="KOS239"/>
      <c r="KOT239"/>
      <c r="KOU239"/>
      <c r="KOV239"/>
      <c r="KOW239"/>
      <c r="KOX239"/>
      <c r="KOY239"/>
      <c r="KOZ239"/>
      <c r="KPA239"/>
      <c r="KPB239"/>
      <c r="KPC239"/>
      <c r="KPD239"/>
      <c r="KPE239"/>
      <c r="KPF239"/>
      <c r="KPG239"/>
      <c r="KPH239"/>
      <c r="KPI239"/>
      <c r="KPJ239"/>
      <c r="KPK239"/>
      <c r="KPL239"/>
      <c r="KPM239"/>
      <c r="KPN239"/>
      <c r="KPO239"/>
      <c r="KPP239"/>
      <c r="KPQ239"/>
      <c r="KPR239"/>
      <c r="KPS239"/>
      <c r="KPT239"/>
      <c r="KPU239"/>
      <c r="KPV239"/>
      <c r="KPW239"/>
      <c r="KPX239"/>
      <c r="KPY239"/>
      <c r="KPZ239"/>
      <c r="KQA239"/>
      <c r="KQB239"/>
      <c r="KQC239"/>
      <c r="KQD239"/>
      <c r="KQE239"/>
      <c r="KQF239"/>
      <c r="KQG239"/>
      <c r="KQH239"/>
      <c r="KQI239"/>
      <c r="KQJ239"/>
      <c r="KQK239"/>
      <c r="KQL239"/>
      <c r="KQM239"/>
      <c r="KQN239"/>
      <c r="KQO239"/>
      <c r="KQP239"/>
      <c r="KQQ239"/>
      <c r="KQR239"/>
      <c r="KQS239"/>
      <c r="KQT239"/>
      <c r="KQU239"/>
      <c r="KQV239"/>
      <c r="KQW239"/>
      <c r="KQX239"/>
      <c r="KQY239"/>
      <c r="KQZ239"/>
      <c r="KRA239"/>
      <c r="KRB239"/>
      <c r="KRC239"/>
      <c r="KRD239"/>
      <c r="KRE239"/>
      <c r="KRF239"/>
      <c r="KRG239"/>
      <c r="KRH239"/>
      <c r="KRI239"/>
      <c r="KRJ239"/>
      <c r="KRK239"/>
      <c r="KRL239"/>
      <c r="KRM239"/>
      <c r="KRN239"/>
      <c r="KRO239"/>
      <c r="KRP239"/>
      <c r="KRQ239"/>
      <c r="KRR239"/>
      <c r="KRS239"/>
      <c r="KRT239"/>
      <c r="KRU239"/>
      <c r="KRV239"/>
      <c r="KRW239"/>
      <c r="KRX239"/>
      <c r="KRY239"/>
      <c r="KRZ239"/>
      <c r="KSA239"/>
      <c r="KSB239"/>
      <c r="KSC239"/>
      <c r="KSD239"/>
      <c r="KSE239"/>
      <c r="KSF239"/>
      <c r="KSG239"/>
      <c r="KSH239"/>
      <c r="KSI239"/>
      <c r="KSJ239"/>
      <c r="KSK239"/>
      <c r="KSL239"/>
      <c r="KSM239"/>
      <c r="KSN239"/>
      <c r="KSO239"/>
      <c r="KSP239"/>
      <c r="KSQ239"/>
      <c r="KSR239"/>
      <c r="KSS239"/>
      <c r="KST239"/>
      <c r="KSU239"/>
      <c r="KSV239"/>
      <c r="KSW239"/>
      <c r="KSX239"/>
      <c r="KSY239"/>
      <c r="KSZ239"/>
      <c r="KTA239"/>
      <c r="KTB239"/>
      <c r="KTC239"/>
      <c r="KTD239"/>
      <c r="KTE239"/>
      <c r="KTF239"/>
      <c r="KTG239"/>
      <c r="KTH239"/>
      <c r="KTI239"/>
      <c r="KTJ239"/>
      <c r="KTK239"/>
      <c r="KTL239"/>
      <c r="KTM239"/>
      <c r="KTN239"/>
      <c r="KTO239"/>
      <c r="KTP239"/>
      <c r="KTQ239"/>
      <c r="KTR239"/>
      <c r="KTS239"/>
      <c r="KTT239"/>
      <c r="KTU239"/>
      <c r="KTV239"/>
      <c r="KTW239"/>
      <c r="KTX239"/>
      <c r="KTY239"/>
      <c r="KTZ239"/>
      <c r="KUA239"/>
      <c r="KUB239"/>
      <c r="KUC239"/>
      <c r="KUD239"/>
      <c r="KUE239"/>
      <c r="KUF239"/>
      <c r="KUG239"/>
      <c r="KUH239"/>
      <c r="KUI239"/>
      <c r="KUJ239"/>
      <c r="KUK239"/>
      <c r="KUL239"/>
      <c r="KUM239"/>
      <c r="KUN239"/>
      <c r="KUO239"/>
      <c r="KUP239"/>
      <c r="KUQ239"/>
      <c r="KUR239"/>
      <c r="KUS239"/>
      <c r="KUT239"/>
      <c r="KUU239"/>
      <c r="KUV239"/>
      <c r="KUW239"/>
      <c r="KUX239"/>
      <c r="KUY239"/>
      <c r="KUZ239"/>
      <c r="KVA239"/>
      <c r="KVB239"/>
      <c r="KVC239"/>
      <c r="KVD239"/>
      <c r="KVE239"/>
      <c r="KVF239"/>
      <c r="KVG239"/>
      <c r="KVH239"/>
      <c r="KVI239"/>
      <c r="KVJ239"/>
      <c r="KVK239"/>
      <c r="KVL239"/>
      <c r="KVM239"/>
      <c r="KVN239"/>
      <c r="KVO239"/>
      <c r="KVP239"/>
      <c r="KVQ239"/>
      <c r="KVR239"/>
      <c r="KVS239"/>
      <c r="KVT239"/>
      <c r="KVU239"/>
      <c r="KVV239"/>
      <c r="KVW239"/>
      <c r="KVX239"/>
      <c r="KVY239"/>
      <c r="KVZ239"/>
      <c r="KWA239"/>
      <c r="KWB239"/>
      <c r="KWC239"/>
      <c r="KWD239"/>
      <c r="KWE239"/>
      <c r="KWF239"/>
      <c r="KWG239"/>
      <c r="KWH239"/>
      <c r="KWI239"/>
      <c r="KWJ239"/>
      <c r="KWK239"/>
      <c r="KWL239"/>
      <c r="KWM239"/>
      <c r="KWN239"/>
      <c r="KWO239"/>
      <c r="KWP239"/>
      <c r="KWQ239"/>
      <c r="KWR239"/>
      <c r="KWS239"/>
      <c r="KWT239"/>
      <c r="KWU239"/>
      <c r="KWV239"/>
      <c r="KWW239"/>
      <c r="KWX239"/>
      <c r="KWY239"/>
      <c r="KWZ239"/>
      <c r="KXA239"/>
      <c r="KXB239"/>
      <c r="KXC239"/>
      <c r="KXD239"/>
      <c r="KXE239"/>
      <c r="KXF239"/>
      <c r="KXG239"/>
      <c r="KXH239"/>
      <c r="KXI239"/>
      <c r="KXJ239"/>
      <c r="KXK239"/>
      <c r="KXL239"/>
      <c r="KXM239"/>
      <c r="KXN239"/>
      <c r="KXO239"/>
      <c r="KXP239"/>
      <c r="KXQ239"/>
      <c r="KXR239"/>
      <c r="KXS239"/>
      <c r="KXT239"/>
      <c r="KXU239"/>
      <c r="KXV239"/>
      <c r="KXW239"/>
      <c r="KXX239"/>
      <c r="KXY239"/>
      <c r="KXZ239"/>
      <c r="KYA239"/>
      <c r="KYB239"/>
      <c r="KYC239"/>
      <c r="KYD239"/>
      <c r="KYE239"/>
      <c r="KYF239"/>
      <c r="KYG239"/>
      <c r="KYH239"/>
      <c r="KYI239"/>
      <c r="KYJ239"/>
      <c r="KYK239"/>
      <c r="KYL239"/>
      <c r="KYM239"/>
      <c r="KYN239"/>
      <c r="KYO239"/>
      <c r="KYP239"/>
      <c r="KYQ239"/>
      <c r="KYR239"/>
      <c r="KYS239"/>
      <c r="KYT239"/>
      <c r="KYU239"/>
      <c r="KYV239"/>
      <c r="KYW239"/>
      <c r="KYX239"/>
      <c r="KYY239"/>
      <c r="KYZ239"/>
      <c r="KZA239"/>
      <c r="KZB239"/>
      <c r="KZC239"/>
      <c r="KZD239"/>
      <c r="KZE239"/>
      <c r="KZF239"/>
      <c r="KZG239"/>
      <c r="KZH239"/>
      <c r="KZI239"/>
      <c r="KZJ239"/>
      <c r="KZK239"/>
      <c r="KZL239"/>
      <c r="KZM239"/>
      <c r="KZN239"/>
      <c r="KZO239"/>
      <c r="KZP239"/>
      <c r="KZQ239"/>
      <c r="KZR239"/>
      <c r="KZS239"/>
      <c r="KZT239"/>
      <c r="KZU239"/>
      <c r="KZV239"/>
      <c r="KZW239"/>
      <c r="KZX239"/>
      <c r="KZY239"/>
      <c r="KZZ239"/>
      <c r="LAA239"/>
      <c r="LAB239"/>
      <c r="LAC239"/>
      <c r="LAD239"/>
      <c r="LAE239"/>
      <c r="LAF239"/>
      <c r="LAG239"/>
      <c r="LAH239"/>
      <c r="LAI239"/>
      <c r="LAJ239"/>
      <c r="LAK239"/>
      <c r="LAL239"/>
      <c r="LAM239"/>
      <c r="LAN239"/>
      <c r="LAO239"/>
      <c r="LAP239"/>
      <c r="LAQ239"/>
      <c r="LAR239"/>
      <c r="LAS239"/>
      <c r="LAT239"/>
      <c r="LAU239"/>
      <c r="LAV239"/>
      <c r="LAW239"/>
      <c r="LAX239"/>
      <c r="LAY239"/>
      <c r="LAZ239"/>
      <c r="LBA239"/>
      <c r="LBB239"/>
      <c r="LBC239"/>
      <c r="LBD239"/>
      <c r="LBE239"/>
      <c r="LBF239"/>
      <c r="LBG239"/>
      <c r="LBH239"/>
      <c r="LBI239"/>
      <c r="LBJ239"/>
      <c r="LBK239"/>
      <c r="LBL239"/>
      <c r="LBM239"/>
      <c r="LBN239"/>
      <c r="LBO239"/>
      <c r="LBP239"/>
      <c r="LBQ239"/>
      <c r="LBR239"/>
      <c r="LBS239"/>
      <c r="LBT239"/>
      <c r="LBU239"/>
      <c r="LBV239"/>
      <c r="LBW239"/>
      <c r="LBX239"/>
      <c r="LBY239"/>
      <c r="LBZ239"/>
      <c r="LCA239"/>
      <c r="LCB239"/>
      <c r="LCC239"/>
      <c r="LCD239"/>
      <c r="LCE239"/>
      <c r="LCF239"/>
      <c r="LCG239"/>
      <c r="LCH239"/>
      <c r="LCI239"/>
      <c r="LCJ239"/>
      <c r="LCK239"/>
      <c r="LCL239"/>
      <c r="LCM239"/>
      <c r="LCN239"/>
      <c r="LCO239"/>
      <c r="LCP239"/>
      <c r="LCQ239"/>
      <c r="LCR239"/>
      <c r="LCS239"/>
      <c r="LCT239"/>
      <c r="LCU239"/>
      <c r="LCV239"/>
      <c r="LCW239"/>
      <c r="LCX239"/>
      <c r="LCY239"/>
      <c r="LCZ239"/>
      <c r="LDA239"/>
      <c r="LDB239"/>
      <c r="LDC239"/>
      <c r="LDD239"/>
      <c r="LDE239"/>
      <c r="LDF239"/>
      <c r="LDG239"/>
      <c r="LDH239"/>
      <c r="LDI239"/>
      <c r="LDJ239"/>
      <c r="LDK239"/>
      <c r="LDL239"/>
      <c r="LDM239"/>
      <c r="LDN239"/>
      <c r="LDO239"/>
      <c r="LDP239"/>
      <c r="LDQ239"/>
      <c r="LDR239"/>
      <c r="LDS239"/>
      <c r="LDT239"/>
      <c r="LDU239"/>
      <c r="LDV239"/>
      <c r="LDW239"/>
      <c r="LDX239"/>
      <c r="LDY239"/>
      <c r="LDZ239"/>
      <c r="LEA239"/>
      <c r="LEB239"/>
      <c r="LEC239"/>
      <c r="LED239"/>
      <c r="LEE239"/>
      <c r="LEF239"/>
      <c r="LEG239"/>
      <c r="LEH239"/>
      <c r="LEI239"/>
      <c r="LEJ239"/>
      <c r="LEK239"/>
      <c r="LEL239"/>
      <c r="LEM239"/>
      <c r="LEN239"/>
      <c r="LEO239"/>
      <c r="LEP239"/>
      <c r="LEQ239"/>
      <c r="LER239"/>
      <c r="LES239"/>
      <c r="LET239"/>
      <c r="LEU239"/>
      <c r="LEV239"/>
      <c r="LEW239"/>
      <c r="LEX239"/>
      <c r="LEY239"/>
      <c r="LEZ239"/>
      <c r="LFA239"/>
      <c r="LFB239"/>
      <c r="LFC239"/>
      <c r="LFD239"/>
      <c r="LFE239"/>
      <c r="LFF239"/>
      <c r="LFG239"/>
      <c r="LFH239"/>
      <c r="LFI239"/>
      <c r="LFJ239"/>
      <c r="LFK239"/>
      <c r="LFL239"/>
      <c r="LFM239"/>
      <c r="LFN239"/>
      <c r="LFO239"/>
      <c r="LFP239"/>
      <c r="LFQ239"/>
      <c r="LFR239"/>
      <c r="LFS239"/>
      <c r="LFT239"/>
      <c r="LFU239"/>
      <c r="LFV239"/>
      <c r="LFW239"/>
      <c r="LFX239"/>
      <c r="LFY239"/>
      <c r="LFZ239"/>
      <c r="LGA239"/>
      <c r="LGB239"/>
      <c r="LGC239"/>
      <c r="LGD239"/>
      <c r="LGE239"/>
      <c r="LGF239"/>
      <c r="LGG239"/>
      <c r="LGH239"/>
      <c r="LGI239"/>
      <c r="LGJ239"/>
      <c r="LGK239"/>
      <c r="LGL239"/>
      <c r="LGM239"/>
      <c r="LGN239"/>
      <c r="LGO239"/>
      <c r="LGP239"/>
      <c r="LGQ239"/>
      <c r="LGR239"/>
      <c r="LGS239"/>
      <c r="LGT239"/>
      <c r="LGU239"/>
      <c r="LGV239"/>
      <c r="LGW239"/>
      <c r="LGX239"/>
      <c r="LGY239"/>
      <c r="LGZ239"/>
      <c r="LHA239"/>
      <c r="LHB239"/>
      <c r="LHC239"/>
      <c r="LHD239"/>
      <c r="LHE239"/>
      <c r="LHF239"/>
      <c r="LHG239"/>
      <c r="LHH239"/>
      <c r="LHI239"/>
      <c r="LHJ239"/>
      <c r="LHK239"/>
      <c r="LHL239"/>
      <c r="LHM239"/>
      <c r="LHN239"/>
      <c r="LHO239"/>
      <c r="LHP239"/>
      <c r="LHQ239"/>
      <c r="LHR239"/>
      <c r="LHS239"/>
      <c r="LHT239"/>
      <c r="LHU239"/>
      <c r="LHV239"/>
      <c r="LHW239"/>
      <c r="LHX239"/>
      <c r="LHY239"/>
      <c r="LHZ239"/>
      <c r="LIA239"/>
      <c r="LIB239"/>
      <c r="LIC239"/>
      <c r="LID239"/>
      <c r="LIE239"/>
      <c r="LIF239"/>
      <c r="LIG239"/>
      <c r="LIH239"/>
      <c r="LII239"/>
      <c r="LIJ239"/>
      <c r="LIK239"/>
      <c r="LIL239"/>
      <c r="LIM239"/>
      <c r="LIN239"/>
      <c r="LIO239"/>
      <c r="LIP239"/>
      <c r="LIQ239"/>
      <c r="LIR239"/>
      <c r="LIS239"/>
      <c r="LIT239"/>
      <c r="LIU239"/>
      <c r="LIV239"/>
      <c r="LIW239"/>
      <c r="LIX239"/>
      <c r="LIY239"/>
      <c r="LIZ239"/>
      <c r="LJA239"/>
      <c r="LJB239"/>
      <c r="LJC239"/>
      <c r="LJD239"/>
      <c r="LJE239"/>
      <c r="LJF239"/>
      <c r="LJG239"/>
      <c r="LJH239"/>
      <c r="LJI239"/>
      <c r="LJJ239"/>
      <c r="LJK239"/>
      <c r="LJL239"/>
      <c r="LJM239"/>
      <c r="LJN239"/>
      <c r="LJO239"/>
      <c r="LJP239"/>
      <c r="LJQ239"/>
      <c r="LJR239"/>
      <c r="LJS239"/>
      <c r="LJT239"/>
      <c r="LJU239"/>
      <c r="LJV239"/>
      <c r="LJW239"/>
      <c r="LJX239"/>
      <c r="LJY239"/>
      <c r="LJZ239"/>
      <c r="LKA239"/>
      <c r="LKB239"/>
      <c r="LKC239"/>
      <c r="LKD239"/>
      <c r="LKE239"/>
      <c r="LKF239"/>
      <c r="LKG239"/>
      <c r="LKH239"/>
      <c r="LKI239"/>
      <c r="LKJ239"/>
      <c r="LKK239"/>
      <c r="LKL239"/>
      <c r="LKM239"/>
      <c r="LKN239"/>
      <c r="LKO239"/>
      <c r="LKP239"/>
      <c r="LKQ239"/>
      <c r="LKR239"/>
      <c r="LKS239"/>
      <c r="LKT239"/>
      <c r="LKU239"/>
      <c r="LKV239"/>
      <c r="LKW239"/>
      <c r="LKX239"/>
      <c r="LKY239"/>
      <c r="LKZ239"/>
      <c r="LLA239"/>
      <c r="LLB239"/>
      <c r="LLC239"/>
      <c r="LLD239"/>
      <c r="LLE239"/>
      <c r="LLF239"/>
      <c r="LLG239"/>
      <c r="LLH239"/>
      <c r="LLI239"/>
      <c r="LLJ239"/>
      <c r="LLK239"/>
      <c r="LLL239"/>
      <c r="LLM239"/>
      <c r="LLN239"/>
      <c r="LLO239"/>
      <c r="LLP239"/>
      <c r="LLQ239"/>
      <c r="LLR239"/>
      <c r="LLS239"/>
      <c r="LLT239"/>
      <c r="LLU239"/>
      <c r="LLV239"/>
      <c r="LLW239"/>
      <c r="LLX239"/>
      <c r="LLY239"/>
      <c r="LLZ239"/>
      <c r="LMA239"/>
      <c r="LMB239"/>
      <c r="LMC239"/>
      <c r="LMD239"/>
      <c r="LME239"/>
      <c r="LMF239"/>
      <c r="LMG239"/>
      <c r="LMH239"/>
      <c r="LMI239"/>
      <c r="LMJ239"/>
      <c r="LMK239"/>
      <c r="LML239"/>
      <c r="LMM239"/>
      <c r="LMN239"/>
      <c r="LMO239"/>
      <c r="LMP239"/>
      <c r="LMQ239"/>
      <c r="LMR239"/>
      <c r="LMS239"/>
      <c r="LMT239"/>
      <c r="LMU239"/>
      <c r="LMV239"/>
      <c r="LMW239"/>
      <c r="LMX239"/>
      <c r="LMY239"/>
      <c r="LMZ239"/>
      <c r="LNA239"/>
      <c r="LNB239"/>
      <c r="LNC239"/>
      <c r="LND239"/>
      <c r="LNE239"/>
      <c r="LNF239"/>
      <c r="LNG239"/>
      <c r="LNH239"/>
      <c r="LNI239"/>
      <c r="LNJ239"/>
      <c r="LNK239"/>
      <c r="LNL239"/>
      <c r="LNM239"/>
      <c r="LNN239"/>
      <c r="LNO239"/>
      <c r="LNP239"/>
      <c r="LNQ239"/>
      <c r="LNR239"/>
      <c r="LNS239"/>
      <c r="LNT239"/>
      <c r="LNU239"/>
      <c r="LNV239"/>
      <c r="LNW239"/>
      <c r="LNX239"/>
      <c r="LNY239"/>
      <c r="LNZ239"/>
      <c r="LOA239"/>
      <c r="LOB239"/>
      <c r="LOC239"/>
      <c r="LOD239"/>
      <c r="LOE239"/>
      <c r="LOF239"/>
      <c r="LOG239"/>
      <c r="LOH239"/>
      <c r="LOI239"/>
      <c r="LOJ239"/>
      <c r="LOK239"/>
      <c r="LOL239"/>
      <c r="LOM239"/>
      <c r="LON239"/>
      <c r="LOO239"/>
      <c r="LOP239"/>
      <c r="LOQ239"/>
      <c r="LOR239"/>
      <c r="LOS239"/>
      <c r="LOT239"/>
      <c r="LOU239"/>
      <c r="LOV239"/>
      <c r="LOW239"/>
      <c r="LOX239"/>
      <c r="LOY239"/>
      <c r="LOZ239"/>
      <c r="LPA239"/>
      <c r="LPB239"/>
      <c r="LPC239"/>
      <c r="LPD239"/>
      <c r="LPE239"/>
      <c r="LPF239"/>
      <c r="LPG239"/>
      <c r="LPH239"/>
      <c r="LPI239"/>
      <c r="LPJ239"/>
      <c r="LPK239"/>
      <c r="LPL239"/>
      <c r="LPM239"/>
      <c r="LPN239"/>
      <c r="LPO239"/>
      <c r="LPP239"/>
      <c r="LPQ239"/>
      <c r="LPR239"/>
      <c r="LPS239"/>
      <c r="LPT239"/>
      <c r="LPU239"/>
      <c r="LPV239"/>
      <c r="LPW239"/>
      <c r="LPX239"/>
      <c r="LPY239"/>
      <c r="LPZ239"/>
      <c r="LQA239"/>
      <c r="LQB239"/>
      <c r="LQC239"/>
      <c r="LQD239"/>
      <c r="LQE239"/>
      <c r="LQF239"/>
      <c r="LQG239"/>
      <c r="LQH239"/>
      <c r="LQI239"/>
      <c r="LQJ239"/>
      <c r="LQK239"/>
      <c r="LQL239"/>
      <c r="LQM239"/>
      <c r="LQN239"/>
      <c r="LQO239"/>
      <c r="LQP239"/>
      <c r="LQQ239"/>
      <c r="LQR239"/>
      <c r="LQS239"/>
      <c r="LQT239"/>
      <c r="LQU239"/>
      <c r="LQV239"/>
      <c r="LQW239"/>
      <c r="LQX239"/>
      <c r="LQY239"/>
      <c r="LQZ239"/>
      <c r="LRA239"/>
      <c r="LRB239"/>
      <c r="LRC239"/>
      <c r="LRD239"/>
      <c r="LRE239"/>
      <c r="LRF239"/>
      <c r="LRG239"/>
      <c r="LRH239"/>
      <c r="LRI239"/>
      <c r="LRJ239"/>
      <c r="LRK239"/>
      <c r="LRL239"/>
      <c r="LRM239"/>
      <c r="LRN239"/>
      <c r="LRO239"/>
      <c r="LRP239"/>
      <c r="LRQ239"/>
      <c r="LRR239"/>
      <c r="LRS239"/>
      <c r="LRT239"/>
      <c r="LRU239"/>
      <c r="LRV239"/>
      <c r="LRW239"/>
      <c r="LRX239"/>
      <c r="LRY239"/>
      <c r="LRZ239"/>
      <c r="LSA239"/>
      <c r="LSB239"/>
      <c r="LSC239"/>
      <c r="LSD239"/>
      <c r="LSE239"/>
      <c r="LSF239"/>
      <c r="LSG239"/>
      <c r="LSH239"/>
      <c r="LSI239"/>
      <c r="LSJ239"/>
      <c r="LSK239"/>
      <c r="LSL239"/>
      <c r="LSM239"/>
      <c r="LSN239"/>
      <c r="LSO239"/>
      <c r="LSP239"/>
      <c r="LSQ239"/>
      <c r="LSR239"/>
      <c r="LSS239"/>
      <c r="LST239"/>
      <c r="LSU239"/>
      <c r="LSV239"/>
      <c r="LSW239"/>
      <c r="LSX239"/>
      <c r="LSY239"/>
      <c r="LSZ239"/>
      <c r="LTA239"/>
      <c r="LTB239"/>
      <c r="LTC239"/>
      <c r="LTD239"/>
      <c r="LTE239"/>
      <c r="LTF239"/>
      <c r="LTG239"/>
      <c r="LTH239"/>
      <c r="LTI239"/>
      <c r="LTJ239"/>
      <c r="LTK239"/>
      <c r="LTL239"/>
      <c r="LTM239"/>
      <c r="LTN239"/>
      <c r="LTO239"/>
      <c r="LTP239"/>
      <c r="LTQ239"/>
      <c r="LTR239"/>
      <c r="LTS239"/>
      <c r="LTT239"/>
      <c r="LTU239"/>
      <c r="LTV239"/>
      <c r="LTW239"/>
      <c r="LTX239"/>
      <c r="LTY239"/>
      <c r="LTZ239"/>
      <c r="LUA239"/>
      <c r="LUB239"/>
      <c r="LUC239"/>
      <c r="LUD239"/>
      <c r="LUE239"/>
      <c r="LUF239"/>
      <c r="LUG239"/>
      <c r="LUH239"/>
      <c r="LUI239"/>
      <c r="LUJ239"/>
      <c r="LUK239"/>
      <c r="LUL239"/>
      <c r="LUM239"/>
      <c r="LUN239"/>
      <c r="LUO239"/>
      <c r="LUP239"/>
      <c r="LUQ239"/>
      <c r="LUR239"/>
      <c r="LUS239"/>
      <c r="LUT239"/>
      <c r="LUU239"/>
      <c r="LUV239"/>
      <c r="LUW239"/>
      <c r="LUX239"/>
      <c r="LUY239"/>
      <c r="LUZ239"/>
      <c r="LVA239"/>
      <c r="LVB239"/>
      <c r="LVC239"/>
      <c r="LVD239"/>
      <c r="LVE239"/>
      <c r="LVF239"/>
      <c r="LVG239"/>
      <c r="LVH239"/>
      <c r="LVI239"/>
      <c r="LVJ239"/>
      <c r="LVK239"/>
      <c r="LVL239"/>
      <c r="LVM239"/>
      <c r="LVN239"/>
      <c r="LVO239"/>
      <c r="LVP239"/>
      <c r="LVQ239"/>
      <c r="LVR239"/>
      <c r="LVS239"/>
      <c r="LVT239"/>
      <c r="LVU239"/>
      <c r="LVV239"/>
      <c r="LVW239"/>
      <c r="LVX239"/>
      <c r="LVY239"/>
      <c r="LVZ239"/>
      <c r="LWA239"/>
      <c r="LWB239"/>
      <c r="LWC239"/>
      <c r="LWD239"/>
      <c r="LWE239"/>
      <c r="LWF239"/>
      <c r="LWG239"/>
      <c r="LWH239"/>
      <c r="LWI239"/>
      <c r="LWJ239"/>
      <c r="LWK239"/>
      <c r="LWL239"/>
      <c r="LWM239"/>
      <c r="LWN239"/>
      <c r="LWO239"/>
      <c r="LWP239"/>
      <c r="LWQ239"/>
      <c r="LWR239"/>
      <c r="LWS239"/>
      <c r="LWT239"/>
      <c r="LWU239"/>
      <c r="LWV239"/>
      <c r="LWW239"/>
      <c r="LWX239"/>
      <c r="LWY239"/>
      <c r="LWZ239"/>
      <c r="LXA239"/>
      <c r="LXB239"/>
      <c r="LXC239"/>
      <c r="LXD239"/>
      <c r="LXE239"/>
      <c r="LXF239"/>
      <c r="LXG239"/>
      <c r="LXH239"/>
      <c r="LXI239"/>
      <c r="LXJ239"/>
      <c r="LXK239"/>
      <c r="LXL239"/>
      <c r="LXM239"/>
      <c r="LXN239"/>
      <c r="LXO239"/>
      <c r="LXP239"/>
      <c r="LXQ239"/>
      <c r="LXR239"/>
      <c r="LXS239"/>
      <c r="LXT239"/>
      <c r="LXU239"/>
      <c r="LXV239"/>
      <c r="LXW239"/>
      <c r="LXX239"/>
      <c r="LXY239"/>
      <c r="LXZ239"/>
      <c r="LYA239"/>
      <c r="LYB239"/>
      <c r="LYC239"/>
      <c r="LYD239"/>
      <c r="LYE239"/>
      <c r="LYF239"/>
      <c r="LYG239"/>
      <c r="LYH239"/>
      <c r="LYI239"/>
      <c r="LYJ239"/>
      <c r="LYK239"/>
      <c r="LYL239"/>
      <c r="LYM239"/>
      <c r="LYN239"/>
      <c r="LYO239"/>
      <c r="LYP239"/>
      <c r="LYQ239"/>
      <c r="LYR239"/>
      <c r="LYS239"/>
      <c r="LYT239"/>
      <c r="LYU239"/>
      <c r="LYV239"/>
      <c r="LYW239"/>
      <c r="LYX239"/>
      <c r="LYY239"/>
      <c r="LYZ239"/>
      <c r="LZA239"/>
      <c r="LZB239"/>
      <c r="LZC239"/>
      <c r="LZD239"/>
      <c r="LZE239"/>
      <c r="LZF239"/>
      <c r="LZG239"/>
      <c r="LZH239"/>
      <c r="LZI239"/>
      <c r="LZJ239"/>
      <c r="LZK239"/>
      <c r="LZL239"/>
      <c r="LZM239"/>
      <c r="LZN239"/>
      <c r="LZO239"/>
      <c r="LZP239"/>
      <c r="LZQ239"/>
      <c r="LZR239"/>
      <c r="LZS239"/>
      <c r="LZT239"/>
      <c r="LZU239"/>
      <c r="LZV239"/>
      <c r="LZW239"/>
      <c r="LZX239"/>
      <c r="LZY239"/>
      <c r="LZZ239"/>
      <c r="MAA239"/>
      <c r="MAB239"/>
      <c r="MAC239"/>
      <c r="MAD239"/>
      <c r="MAE239"/>
      <c r="MAF239"/>
      <c r="MAG239"/>
      <c r="MAH239"/>
      <c r="MAI239"/>
      <c r="MAJ239"/>
      <c r="MAK239"/>
      <c r="MAL239"/>
      <c r="MAM239"/>
      <c r="MAN239"/>
      <c r="MAO239"/>
      <c r="MAP239"/>
      <c r="MAQ239"/>
      <c r="MAR239"/>
      <c r="MAS239"/>
      <c r="MAT239"/>
      <c r="MAU239"/>
      <c r="MAV239"/>
      <c r="MAW239"/>
      <c r="MAX239"/>
      <c r="MAY239"/>
      <c r="MAZ239"/>
      <c r="MBA239"/>
      <c r="MBB239"/>
      <c r="MBC239"/>
      <c r="MBD239"/>
      <c r="MBE239"/>
      <c r="MBF239"/>
      <c r="MBG239"/>
      <c r="MBH239"/>
      <c r="MBI239"/>
      <c r="MBJ239"/>
      <c r="MBK239"/>
      <c r="MBL239"/>
      <c r="MBM239"/>
      <c r="MBN239"/>
      <c r="MBO239"/>
      <c r="MBP239"/>
      <c r="MBQ239"/>
      <c r="MBR239"/>
      <c r="MBS239"/>
      <c r="MBT239"/>
      <c r="MBU239"/>
      <c r="MBV239"/>
      <c r="MBW239"/>
      <c r="MBX239"/>
      <c r="MBY239"/>
      <c r="MBZ239"/>
      <c r="MCA239"/>
      <c r="MCB239"/>
      <c r="MCC239"/>
      <c r="MCD239"/>
      <c r="MCE239"/>
      <c r="MCF239"/>
      <c r="MCG239"/>
      <c r="MCH239"/>
      <c r="MCI239"/>
      <c r="MCJ239"/>
      <c r="MCK239"/>
      <c r="MCL239"/>
      <c r="MCM239"/>
      <c r="MCN239"/>
      <c r="MCO239"/>
      <c r="MCP239"/>
      <c r="MCQ239"/>
      <c r="MCR239"/>
      <c r="MCS239"/>
      <c r="MCT239"/>
      <c r="MCU239"/>
      <c r="MCV239"/>
      <c r="MCW239"/>
      <c r="MCX239"/>
      <c r="MCY239"/>
      <c r="MCZ239"/>
      <c r="MDA239"/>
      <c r="MDB239"/>
      <c r="MDC239"/>
      <c r="MDD239"/>
      <c r="MDE239"/>
      <c r="MDF239"/>
      <c r="MDG239"/>
      <c r="MDH239"/>
      <c r="MDI239"/>
      <c r="MDJ239"/>
      <c r="MDK239"/>
      <c r="MDL239"/>
      <c r="MDM239"/>
      <c r="MDN239"/>
      <c r="MDO239"/>
      <c r="MDP239"/>
      <c r="MDQ239"/>
      <c r="MDR239"/>
      <c r="MDS239"/>
      <c r="MDT239"/>
      <c r="MDU239"/>
      <c r="MDV239"/>
      <c r="MDW239"/>
      <c r="MDX239"/>
      <c r="MDY239"/>
      <c r="MDZ239"/>
      <c r="MEA239"/>
      <c r="MEB239"/>
      <c r="MEC239"/>
      <c r="MED239"/>
      <c r="MEE239"/>
      <c r="MEF239"/>
      <c r="MEG239"/>
      <c r="MEH239"/>
      <c r="MEI239"/>
      <c r="MEJ239"/>
      <c r="MEK239"/>
      <c r="MEL239"/>
      <c r="MEM239"/>
      <c r="MEN239"/>
      <c r="MEO239"/>
      <c r="MEP239"/>
      <c r="MEQ239"/>
      <c r="MER239"/>
      <c r="MES239"/>
      <c r="MET239"/>
      <c r="MEU239"/>
      <c r="MEV239"/>
      <c r="MEW239"/>
      <c r="MEX239"/>
      <c r="MEY239"/>
      <c r="MEZ239"/>
      <c r="MFA239"/>
      <c r="MFB239"/>
      <c r="MFC239"/>
      <c r="MFD239"/>
      <c r="MFE239"/>
      <c r="MFF239"/>
      <c r="MFG239"/>
      <c r="MFH239"/>
      <c r="MFI239"/>
      <c r="MFJ239"/>
      <c r="MFK239"/>
      <c r="MFL239"/>
      <c r="MFM239"/>
      <c r="MFN239"/>
      <c r="MFO239"/>
      <c r="MFP239"/>
      <c r="MFQ239"/>
      <c r="MFR239"/>
      <c r="MFS239"/>
      <c r="MFT239"/>
      <c r="MFU239"/>
      <c r="MFV239"/>
      <c r="MFW239"/>
      <c r="MFX239"/>
      <c r="MFY239"/>
      <c r="MFZ239"/>
      <c r="MGA239"/>
      <c r="MGB239"/>
      <c r="MGC239"/>
      <c r="MGD239"/>
      <c r="MGE239"/>
      <c r="MGF239"/>
      <c r="MGG239"/>
      <c r="MGH239"/>
      <c r="MGI239"/>
      <c r="MGJ239"/>
      <c r="MGK239"/>
      <c r="MGL239"/>
      <c r="MGM239"/>
      <c r="MGN239"/>
      <c r="MGO239"/>
      <c r="MGP239"/>
      <c r="MGQ239"/>
      <c r="MGR239"/>
      <c r="MGS239"/>
      <c r="MGT239"/>
      <c r="MGU239"/>
      <c r="MGV239"/>
      <c r="MGW239"/>
      <c r="MGX239"/>
      <c r="MGY239"/>
      <c r="MGZ239"/>
      <c r="MHA239"/>
      <c r="MHB239"/>
      <c r="MHC239"/>
      <c r="MHD239"/>
      <c r="MHE239"/>
      <c r="MHF239"/>
      <c r="MHG239"/>
      <c r="MHH239"/>
      <c r="MHI239"/>
      <c r="MHJ239"/>
      <c r="MHK239"/>
      <c r="MHL239"/>
      <c r="MHM239"/>
      <c r="MHN239"/>
      <c r="MHO239"/>
      <c r="MHP239"/>
      <c r="MHQ239"/>
      <c r="MHR239"/>
      <c r="MHS239"/>
      <c r="MHT239"/>
      <c r="MHU239"/>
      <c r="MHV239"/>
      <c r="MHW239"/>
      <c r="MHX239"/>
      <c r="MHY239"/>
      <c r="MHZ239"/>
      <c r="MIA239"/>
      <c r="MIB239"/>
      <c r="MIC239"/>
      <c r="MID239"/>
      <c r="MIE239"/>
      <c r="MIF239"/>
      <c r="MIG239"/>
      <c r="MIH239"/>
      <c r="MII239"/>
      <c r="MIJ239"/>
      <c r="MIK239"/>
      <c r="MIL239"/>
      <c r="MIM239"/>
      <c r="MIN239"/>
      <c r="MIO239"/>
      <c r="MIP239"/>
      <c r="MIQ239"/>
      <c r="MIR239"/>
      <c r="MIS239"/>
      <c r="MIT239"/>
      <c r="MIU239"/>
      <c r="MIV239"/>
      <c r="MIW239"/>
      <c r="MIX239"/>
      <c r="MIY239"/>
      <c r="MIZ239"/>
      <c r="MJA239"/>
      <c r="MJB239"/>
      <c r="MJC239"/>
      <c r="MJD239"/>
      <c r="MJE239"/>
      <c r="MJF239"/>
      <c r="MJG239"/>
      <c r="MJH239"/>
      <c r="MJI239"/>
      <c r="MJJ239"/>
      <c r="MJK239"/>
      <c r="MJL239"/>
      <c r="MJM239"/>
      <c r="MJN239"/>
      <c r="MJO239"/>
      <c r="MJP239"/>
      <c r="MJQ239"/>
      <c r="MJR239"/>
      <c r="MJS239"/>
      <c r="MJT239"/>
      <c r="MJU239"/>
      <c r="MJV239"/>
      <c r="MJW239"/>
      <c r="MJX239"/>
      <c r="MJY239"/>
      <c r="MJZ239"/>
      <c r="MKA239"/>
      <c r="MKB239"/>
      <c r="MKC239"/>
      <c r="MKD239"/>
      <c r="MKE239"/>
      <c r="MKF239"/>
      <c r="MKG239"/>
      <c r="MKH239"/>
      <c r="MKI239"/>
      <c r="MKJ239"/>
      <c r="MKK239"/>
      <c r="MKL239"/>
      <c r="MKM239"/>
      <c r="MKN239"/>
      <c r="MKO239"/>
      <c r="MKP239"/>
      <c r="MKQ239"/>
      <c r="MKR239"/>
      <c r="MKS239"/>
      <c r="MKT239"/>
      <c r="MKU239"/>
      <c r="MKV239"/>
      <c r="MKW239"/>
      <c r="MKX239"/>
      <c r="MKY239"/>
      <c r="MKZ239"/>
      <c r="MLA239"/>
      <c r="MLB239"/>
      <c r="MLC239"/>
      <c r="MLD239"/>
      <c r="MLE239"/>
      <c r="MLF239"/>
      <c r="MLG239"/>
      <c r="MLH239"/>
      <c r="MLI239"/>
      <c r="MLJ239"/>
      <c r="MLK239"/>
      <c r="MLL239"/>
      <c r="MLM239"/>
      <c r="MLN239"/>
      <c r="MLO239"/>
      <c r="MLP239"/>
      <c r="MLQ239"/>
      <c r="MLR239"/>
      <c r="MLS239"/>
      <c r="MLT239"/>
      <c r="MLU239"/>
      <c r="MLV239"/>
      <c r="MLW239"/>
      <c r="MLX239"/>
      <c r="MLY239"/>
      <c r="MLZ239"/>
      <c r="MMA239"/>
      <c r="MMB239"/>
      <c r="MMC239"/>
      <c r="MMD239"/>
      <c r="MME239"/>
      <c r="MMF239"/>
      <c r="MMG239"/>
      <c r="MMH239"/>
      <c r="MMI239"/>
      <c r="MMJ239"/>
      <c r="MMK239"/>
      <c r="MML239"/>
      <c r="MMM239"/>
      <c r="MMN239"/>
      <c r="MMO239"/>
      <c r="MMP239"/>
      <c r="MMQ239"/>
      <c r="MMR239"/>
      <c r="MMS239"/>
      <c r="MMT239"/>
      <c r="MMU239"/>
      <c r="MMV239"/>
      <c r="MMW239"/>
      <c r="MMX239"/>
      <c r="MMY239"/>
      <c r="MMZ239"/>
      <c r="MNA239"/>
      <c r="MNB239"/>
      <c r="MNC239"/>
      <c r="MND239"/>
      <c r="MNE239"/>
      <c r="MNF239"/>
      <c r="MNG239"/>
      <c r="MNH239"/>
      <c r="MNI239"/>
      <c r="MNJ239"/>
      <c r="MNK239"/>
      <c r="MNL239"/>
      <c r="MNM239"/>
      <c r="MNN239"/>
      <c r="MNO239"/>
      <c r="MNP239"/>
      <c r="MNQ239"/>
      <c r="MNR239"/>
      <c r="MNS239"/>
      <c r="MNT239"/>
      <c r="MNU239"/>
      <c r="MNV239"/>
      <c r="MNW239"/>
      <c r="MNX239"/>
      <c r="MNY239"/>
      <c r="MNZ239"/>
      <c r="MOA239"/>
      <c r="MOB239"/>
      <c r="MOC239"/>
      <c r="MOD239"/>
      <c r="MOE239"/>
      <c r="MOF239"/>
      <c r="MOG239"/>
      <c r="MOH239"/>
      <c r="MOI239"/>
      <c r="MOJ239"/>
      <c r="MOK239"/>
      <c r="MOL239"/>
      <c r="MOM239"/>
      <c r="MON239"/>
      <c r="MOO239"/>
      <c r="MOP239"/>
      <c r="MOQ239"/>
      <c r="MOR239"/>
      <c r="MOS239"/>
      <c r="MOT239"/>
      <c r="MOU239"/>
      <c r="MOV239"/>
      <c r="MOW239"/>
      <c r="MOX239"/>
      <c r="MOY239"/>
      <c r="MOZ239"/>
      <c r="MPA239"/>
      <c r="MPB239"/>
      <c r="MPC239"/>
      <c r="MPD239"/>
      <c r="MPE239"/>
      <c r="MPF239"/>
      <c r="MPG239"/>
      <c r="MPH239"/>
      <c r="MPI239"/>
      <c r="MPJ239"/>
      <c r="MPK239"/>
      <c r="MPL239"/>
      <c r="MPM239"/>
      <c r="MPN239"/>
      <c r="MPO239"/>
      <c r="MPP239"/>
      <c r="MPQ239"/>
      <c r="MPR239"/>
      <c r="MPS239"/>
      <c r="MPT239"/>
      <c r="MPU239"/>
      <c r="MPV239"/>
      <c r="MPW239"/>
      <c r="MPX239"/>
      <c r="MPY239"/>
      <c r="MPZ239"/>
      <c r="MQA239"/>
      <c r="MQB239"/>
      <c r="MQC239"/>
      <c r="MQD239"/>
      <c r="MQE239"/>
      <c r="MQF239"/>
      <c r="MQG239"/>
      <c r="MQH239"/>
      <c r="MQI239"/>
      <c r="MQJ239"/>
      <c r="MQK239"/>
      <c r="MQL239"/>
      <c r="MQM239"/>
      <c r="MQN239"/>
      <c r="MQO239"/>
      <c r="MQP239"/>
      <c r="MQQ239"/>
      <c r="MQR239"/>
      <c r="MQS239"/>
      <c r="MQT239"/>
      <c r="MQU239"/>
      <c r="MQV239"/>
      <c r="MQW239"/>
      <c r="MQX239"/>
      <c r="MQY239"/>
      <c r="MQZ239"/>
      <c r="MRA239"/>
      <c r="MRB239"/>
      <c r="MRC239"/>
      <c r="MRD239"/>
      <c r="MRE239"/>
      <c r="MRF239"/>
      <c r="MRG239"/>
      <c r="MRH239"/>
      <c r="MRI239"/>
      <c r="MRJ239"/>
      <c r="MRK239"/>
      <c r="MRL239"/>
      <c r="MRM239"/>
      <c r="MRN239"/>
      <c r="MRO239"/>
      <c r="MRP239"/>
      <c r="MRQ239"/>
      <c r="MRR239"/>
      <c r="MRS239"/>
      <c r="MRT239"/>
      <c r="MRU239"/>
      <c r="MRV239"/>
      <c r="MRW239"/>
      <c r="MRX239"/>
      <c r="MRY239"/>
      <c r="MRZ239"/>
      <c r="MSA239"/>
      <c r="MSB239"/>
      <c r="MSC239"/>
      <c r="MSD239"/>
      <c r="MSE239"/>
      <c r="MSF239"/>
      <c r="MSG239"/>
      <c r="MSH239"/>
      <c r="MSI239"/>
      <c r="MSJ239"/>
      <c r="MSK239"/>
      <c r="MSL239"/>
      <c r="MSM239"/>
      <c r="MSN239"/>
      <c r="MSO239"/>
      <c r="MSP239"/>
      <c r="MSQ239"/>
      <c r="MSR239"/>
      <c r="MSS239"/>
      <c r="MST239"/>
      <c r="MSU239"/>
      <c r="MSV239"/>
      <c r="MSW239"/>
      <c r="MSX239"/>
      <c r="MSY239"/>
      <c r="MSZ239"/>
      <c r="MTA239"/>
      <c r="MTB239"/>
      <c r="MTC239"/>
      <c r="MTD239"/>
      <c r="MTE239"/>
      <c r="MTF239"/>
      <c r="MTG239"/>
      <c r="MTH239"/>
      <c r="MTI239"/>
      <c r="MTJ239"/>
      <c r="MTK239"/>
      <c r="MTL239"/>
      <c r="MTM239"/>
      <c r="MTN239"/>
      <c r="MTO239"/>
      <c r="MTP239"/>
      <c r="MTQ239"/>
      <c r="MTR239"/>
      <c r="MTS239"/>
      <c r="MTT239"/>
      <c r="MTU239"/>
      <c r="MTV239"/>
      <c r="MTW239"/>
      <c r="MTX239"/>
      <c r="MTY239"/>
      <c r="MTZ239"/>
      <c r="MUA239"/>
      <c r="MUB239"/>
      <c r="MUC239"/>
      <c r="MUD239"/>
      <c r="MUE239"/>
      <c r="MUF239"/>
      <c r="MUG239"/>
      <c r="MUH239"/>
      <c r="MUI239"/>
      <c r="MUJ239"/>
      <c r="MUK239"/>
      <c r="MUL239"/>
      <c r="MUM239"/>
      <c r="MUN239"/>
      <c r="MUO239"/>
      <c r="MUP239"/>
      <c r="MUQ239"/>
      <c r="MUR239"/>
      <c r="MUS239"/>
      <c r="MUT239"/>
      <c r="MUU239"/>
      <c r="MUV239"/>
      <c r="MUW239"/>
      <c r="MUX239"/>
      <c r="MUY239"/>
      <c r="MUZ239"/>
      <c r="MVA239"/>
      <c r="MVB239"/>
      <c r="MVC239"/>
      <c r="MVD239"/>
      <c r="MVE239"/>
      <c r="MVF239"/>
      <c r="MVG239"/>
      <c r="MVH239"/>
      <c r="MVI239"/>
      <c r="MVJ239"/>
      <c r="MVK239"/>
      <c r="MVL239"/>
      <c r="MVM239"/>
      <c r="MVN239"/>
      <c r="MVO239"/>
      <c r="MVP239"/>
      <c r="MVQ239"/>
      <c r="MVR239"/>
      <c r="MVS239"/>
      <c r="MVT239"/>
      <c r="MVU239"/>
      <c r="MVV239"/>
      <c r="MVW239"/>
      <c r="MVX239"/>
      <c r="MVY239"/>
      <c r="MVZ239"/>
      <c r="MWA239"/>
      <c r="MWB239"/>
      <c r="MWC239"/>
      <c r="MWD239"/>
      <c r="MWE239"/>
      <c r="MWF239"/>
      <c r="MWG239"/>
      <c r="MWH239"/>
      <c r="MWI239"/>
      <c r="MWJ239"/>
      <c r="MWK239"/>
      <c r="MWL239"/>
      <c r="MWM239"/>
      <c r="MWN239"/>
      <c r="MWO239"/>
      <c r="MWP239"/>
      <c r="MWQ239"/>
      <c r="MWR239"/>
      <c r="MWS239"/>
      <c r="MWT239"/>
      <c r="MWU239"/>
      <c r="MWV239"/>
      <c r="MWW239"/>
      <c r="MWX239"/>
      <c r="MWY239"/>
      <c r="MWZ239"/>
      <c r="MXA239"/>
      <c r="MXB239"/>
      <c r="MXC239"/>
      <c r="MXD239"/>
      <c r="MXE239"/>
      <c r="MXF239"/>
      <c r="MXG239"/>
      <c r="MXH239"/>
      <c r="MXI239"/>
      <c r="MXJ239"/>
      <c r="MXK239"/>
      <c r="MXL239"/>
      <c r="MXM239"/>
      <c r="MXN239"/>
      <c r="MXO239"/>
      <c r="MXP239"/>
      <c r="MXQ239"/>
      <c r="MXR239"/>
      <c r="MXS239"/>
      <c r="MXT239"/>
      <c r="MXU239"/>
      <c r="MXV239"/>
      <c r="MXW239"/>
      <c r="MXX239"/>
      <c r="MXY239"/>
      <c r="MXZ239"/>
      <c r="MYA239"/>
      <c r="MYB239"/>
      <c r="MYC239"/>
      <c r="MYD239"/>
      <c r="MYE239"/>
      <c r="MYF239"/>
      <c r="MYG239"/>
      <c r="MYH239"/>
      <c r="MYI239"/>
      <c r="MYJ239"/>
      <c r="MYK239"/>
      <c r="MYL239"/>
      <c r="MYM239"/>
      <c r="MYN239"/>
      <c r="MYO239"/>
      <c r="MYP239"/>
      <c r="MYQ239"/>
      <c r="MYR239"/>
      <c r="MYS239"/>
      <c r="MYT239"/>
      <c r="MYU239"/>
      <c r="MYV239"/>
      <c r="MYW239"/>
      <c r="MYX239"/>
      <c r="MYY239"/>
      <c r="MYZ239"/>
      <c r="MZA239"/>
      <c r="MZB239"/>
      <c r="MZC239"/>
      <c r="MZD239"/>
      <c r="MZE239"/>
      <c r="MZF239"/>
      <c r="MZG239"/>
      <c r="MZH239"/>
      <c r="MZI239"/>
      <c r="MZJ239"/>
      <c r="MZK239"/>
      <c r="MZL239"/>
      <c r="MZM239"/>
      <c r="MZN239"/>
      <c r="MZO239"/>
      <c r="MZP239"/>
      <c r="MZQ239"/>
      <c r="MZR239"/>
      <c r="MZS239"/>
      <c r="MZT239"/>
      <c r="MZU239"/>
      <c r="MZV239"/>
      <c r="MZW239"/>
      <c r="MZX239"/>
      <c r="MZY239"/>
      <c r="MZZ239"/>
      <c r="NAA239"/>
      <c r="NAB239"/>
      <c r="NAC239"/>
      <c r="NAD239"/>
      <c r="NAE239"/>
      <c r="NAF239"/>
      <c r="NAG239"/>
      <c r="NAH239"/>
      <c r="NAI239"/>
      <c r="NAJ239"/>
      <c r="NAK239"/>
      <c r="NAL239"/>
      <c r="NAM239"/>
      <c r="NAN239"/>
      <c r="NAO239"/>
      <c r="NAP239"/>
      <c r="NAQ239"/>
      <c r="NAR239"/>
      <c r="NAS239"/>
      <c r="NAT239"/>
      <c r="NAU239"/>
      <c r="NAV239"/>
      <c r="NAW239"/>
      <c r="NAX239"/>
      <c r="NAY239"/>
      <c r="NAZ239"/>
      <c r="NBA239"/>
      <c r="NBB239"/>
      <c r="NBC239"/>
      <c r="NBD239"/>
      <c r="NBE239"/>
      <c r="NBF239"/>
      <c r="NBG239"/>
      <c r="NBH239"/>
      <c r="NBI239"/>
      <c r="NBJ239"/>
      <c r="NBK239"/>
      <c r="NBL239"/>
      <c r="NBM239"/>
      <c r="NBN239"/>
      <c r="NBO239"/>
      <c r="NBP239"/>
      <c r="NBQ239"/>
      <c r="NBR239"/>
      <c r="NBS239"/>
      <c r="NBT239"/>
      <c r="NBU239"/>
      <c r="NBV239"/>
      <c r="NBW239"/>
      <c r="NBX239"/>
      <c r="NBY239"/>
      <c r="NBZ239"/>
      <c r="NCA239"/>
      <c r="NCB239"/>
      <c r="NCC239"/>
      <c r="NCD239"/>
      <c r="NCE239"/>
      <c r="NCF239"/>
      <c r="NCG239"/>
      <c r="NCH239"/>
      <c r="NCI239"/>
      <c r="NCJ239"/>
      <c r="NCK239"/>
      <c r="NCL239"/>
      <c r="NCM239"/>
      <c r="NCN239"/>
      <c r="NCO239"/>
      <c r="NCP239"/>
      <c r="NCQ239"/>
      <c r="NCR239"/>
      <c r="NCS239"/>
      <c r="NCT239"/>
      <c r="NCU239"/>
      <c r="NCV239"/>
      <c r="NCW239"/>
      <c r="NCX239"/>
      <c r="NCY239"/>
      <c r="NCZ239"/>
      <c r="NDA239"/>
      <c r="NDB239"/>
      <c r="NDC239"/>
      <c r="NDD239"/>
      <c r="NDE239"/>
      <c r="NDF239"/>
      <c r="NDG239"/>
      <c r="NDH239"/>
      <c r="NDI239"/>
      <c r="NDJ239"/>
      <c r="NDK239"/>
      <c r="NDL239"/>
      <c r="NDM239"/>
      <c r="NDN239"/>
      <c r="NDO239"/>
      <c r="NDP239"/>
      <c r="NDQ239"/>
      <c r="NDR239"/>
      <c r="NDS239"/>
      <c r="NDT239"/>
      <c r="NDU239"/>
      <c r="NDV239"/>
      <c r="NDW239"/>
      <c r="NDX239"/>
      <c r="NDY239"/>
      <c r="NDZ239"/>
      <c r="NEA239"/>
      <c r="NEB239"/>
      <c r="NEC239"/>
      <c r="NED239"/>
      <c r="NEE239"/>
      <c r="NEF239"/>
      <c r="NEG239"/>
      <c r="NEH239"/>
      <c r="NEI239"/>
      <c r="NEJ239"/>
      <c r="NEK239"/>
      <c r="NEL239"/>
      <c r="NEM239"/>
      <c r="NEN239"/>
      <c r="NEO239"/>
      <c r="NEP239"/>
      <c r="NEQ239"/>
      <c r="NER239"/>
      <c r="NES239"/>
      <c r="NET239"/>
      <c r="NEU239"/>
      <c r="NEV239"/>
      <c r="NEW239"/>
      <c r="NEX239"/>
      <c r="NEY239"/>
      <c r="NEZ239"/>
      <c r="NFA239"/>
      <c r="NFB239"/>
      <c r="NFC239"/>
      <c r="NFD239"/>
      <c r="NFE239"/>
      <c r="NFF239"/>
      <c r="NFG239"/>
      <c r="NFH239"/>
      <c r="NFI239"/>
      <c r="NFJ239"/>
      <c r="NFK239"/>
      <c r="NFL239"/>
      <c r="NFM239"/>
      <c r="NFN239"/>
      <c r="NFO239"/>
      <c r="NFP239"/>
      <c r="NFQ239"/>
      <c r="NFR239"/>
      <c r="NFS239"/>
      <c r="NFT239"/>
      <c r="NFU239"/>
      <c r="NFV239"/>
      <c r="NFW239"/>
      <c r="NFX239"/>
      <c r="NFY239"/>
      <c r="NFZ239"/>
      <c r="NGA239"/>
      <c r="NGB239"/>
      <c r="NGC239"/>
      <c r="NGD239"/>
      <c r="NGE239"/>
      <c r="NGF239"/>
      <c r="NGG239"/>
      <c r="NGH239"/>
      <c r="NGI239"/>
      <c r="NGJ239"/>
      <c r="NGK239"/>
      <c r="NGL239"/>
      <c r="NGM239"/>
      <c r="NGN239"/>
      <c r="NGO239"/>
      <c r="NGP239"/>
      <c r="NGQ239"/>
      <c r="NGR239"/>
      <c r="NGS239"/>
      <c r="NGT239"/>
      <c r="NGU239"/>
      <c r="NGV239"/>
      <c r="NGW239"/>
      <c r="NGX239"/>
      <c r="NGY239"/>
      <c r="NGZ239"/>
      <c r="NHA239"/>
      <c r="NHB239"/>
      <c r="NHC239"/>
      <c r="NHD239"/>
      <c r="NHE239"/>
      <c r="NHF239"/>
      <c r="NHG239"/>
      <c r="NHH239"/>
      <c r="NHI239"/>
      <c r="NHJ239"/>
      <c r="NHK239"/>
      <c r="NHL239"/>
      <c r="NHM239"/>
      <c r="NHN239"/>
      <c r="NHO239"/>
      <c r="NHP239"/>
      <c r="NHQ239"/>
      <c r="NHR239"/>
      <c r="NHS239"/>
      <c r="NHT239"/>
      <c r="NHU239"/>
      <c r="NHV239"/>
      <c r="NHW239"/>
      <c r="NHX239"/>
      <c r="NHY239"/>
      <c r="NHZ239"/>
      <c r="NIA239"/>
      <c r="NIB239"/>
      <c r="NIC239"/>
      <c r="NID239"/>
      <c r="NIE239"/>
      <c r="NIF239"/>
      <c r="NIG239"/>
      <c r="NIH239"/>
      <c r="NII239"/>
      <c r="NIJ239"/>
      <c r="NIK239"/>
      <c r="NIL239"/>
      <c r="NIM239"/>
      <c r="NIN239"/>
      <c r="NIO239"/>
      <c r="NIP239"/>
      <c r="NIQ239"/>
      <c r="NIR239"/>
      <c r="NIS239"/>
      <c r="NIT239"/>
      <c r="NIU239"/>
      <c r="NIV239"/>
      <c r="NIW239"/>
      <c r="NIX239"/>
      <c r="NIY239"/>
      <c r="NIZ239"/>
      <c r="NJA239"/>
      <c r="NJB239"/>
      <c r="NJC239"/>
      <c r="NJD239"/>
      <c r="NJE239"/>
      <c r="NJF239"/>
      <c r="NJG239"/>
      <c r="NJH239"/>
      <c r="NJI239"/>
      <c r="NJJ239"/>
      <c r="NJK239"/>
      <c r="NJL239"/>
      <c r="NJM239"/>
      <c r="NJN239"/>
      <c r="NJO239"/>
      <c r="NJP239"/>
      <c r="NJQ239"/>
      <c r="NJR239"/>
      <c r="NJS239"/>
      <c r="NJT239"/>
      <c r="NJU239"/>
      <c r="NJV239"/>
      <c r="NJW239"/>
      <c r="NJX239"/>
      <c r="NJY239"/>
      <c r="NJZ239"/>
      <c r="NKA239"/>
      <c r="NKB239"/>
      <c r="NKC239"/>
      <c r="NKD239"/>
      <c r="NKE239"/>
      <c r="NKF239"/>
      <c r="NKG239"/>
      <c r="NKH239"/>
      <c r="NKI239"/>
      <c r="NKJ239"/>
      <c r="NKK239"/>
      <c r="NKL239"/>
      <c r="NKM239"/>
      <c r="NKN239"/>
      <c r="NKO239"/>
      <c r="NKP239"/>
      <c r="NKQ239"/>
      <c r="NKR239"/>
      <c r="NKS239"/>
      <c r="NKT239"/>
      <c r="NKU239"/>
      <c r="NKV239"/>
      <c r="NKW239"/>
      <c r="NKX239"/>
      <c r="NKY239"/>
      <c r="NKZ239"/>
      <c r="NLA239"/>
      <c r="NLB239"/>
      <c r="NLC239"/>
      <c r="NLD239"/>
      <c r="NLE239"/>
      <c r="NLF239"/>
      <c r="NLG239"/>
      <c r="NLH239"/>
      <c r="NLI239"/>
      <c r="NLJ239"/>
      <c r="NLK239"/>
      <c r="NLL239"/>
      <c r="NLM239"/>
      <c r="NLN239"/>
      <c r="NLO239"/>
      <c r="NLP239"/>
      <c r="NLQ239"/>
      <c r="NLR239"/>
      <c r="NLS239"/>
      <c r="NLT239"/>
      <c r="NLU239"/>
      <c r="NLV239"/>
      <c r="NLW239"/>
      <c r="NLX239"/>
      <c r="NLY239"/>
      <c r="NLZ239"/>
      <c r="NMA239"/>
      <c r="NMB239"/>
      <c r="NMC239"/>
      <c r="NMD239"/>
      <c r="NME239"/>
      <c r="NMF239"/>
      <c r="NMG239"/>
      <c r="NMH239"/>
      <c r="NMI239"/>
      <c r="NMJ239"/>
      <c r="NMK239"/>
      <c r="NML239"/>
      <c r="NMM239"/>
      <c r="NMN239"/>
      <c r="NMO239"/>
      <c r="NMP239"/>
      <c r="NMQ239"/>
      <c r="NMR239"/>
      <c r="NMS239"/>
      <c r="NMT239"/>
      <c r="NMU239"/>
      <c r="NMV239"/>
      <c r="NMW239"/>
      <c r="NMX239"/>
      <c r="NMY239"/>
      <c r="NMZ239"/>
      <c r="NNA239"/>
      <c r="NNB239"/>
      <c r="NNC239"/>
      <c r="NND239"/>
      <c r="NNE239"/>
      <c r="NNF239"/>
      <c r="NNG239"/>
      <c r="NNH239"/>
      <c r="NNI239"/>
      <c r="NNJ239"/>
      <c r="NNK239"/>
      <c r="NNL239"/>
      <c r="NNM239"/>
      <c r="NNN239"/>
      <c r="NNO239"/>
      <c r="NNP239"/>
      <c r="NNQ239"/>
      <c r="NNR239"/>
      <c r="NNS239"/>
      <c r="NNT239"/>
      <c r="NNU239"/>
      <c r="NNV239"/>
      <c r="NNW239"/>
      <c r="NNX239"/>
      <c r="NNY239"/>
      <c r="NNZ239"/>
      <c r="NOA239"/>
      <c r="NOB239"/>
      <c r="NOC239"/>
      <c r="NOD239"/>
      <c r="NOE239"/>
      <c r="NOF239"/>
      <c r="NOG239"/>
      <c r="NOH239"/>
      <c r="NOI239"/>
      <c r="NOJ239"/>
      <c r="NOK239"/>
      <c r="NOL239"/>
      <c r="NOM239"/>
      <c r="NON239"/>
      <c r="NOO239"/>
      <c r="NOP239"/>
      <c r="NOQ239"/>
      <c r="NOR239"/>
      <c r="NOS239"/>
      <c r="NOT239"/>
      <c r="NOU239"/>
      <c r="NOV239"/>
      <c r="NOW239"/>
      <c r="NOX239"/>
      <c r="NOY239"/>
      <c r="NOZ239"/>
      <c r="NPA239"/>
      <c r="NPB239"/>
      <c r="NPC239"/>
      <c r="NPD239"/>
      <c r="NPE239"/>
      <c r="NPF239"/>
      <c r="NPG239"/>
      <c r="NPH239"/>
      <c r="NPI239"/>
      <c r="NPJ239"/>
      <c r="NPK239"/>
      <c r="NPL239"/>
      <c r="NPM239"/>
      <c r="NPN239"/>
      <c r="NPO239"/>
      <c r="NPP239"/>
      <c r="NPQ239"/>
      <c r="NPR239"/>
      <c r="NPS239"/>
      <c r="NPT239"/>
      <c r="NPU239"/>
      <c r="NPV239"/>
      <c r="NPW239"/>
      <c r="NPX239"/>
      <c r="NPY239"/>
      <c r="NPZ239"/>
      <c r="NQA239"/>
      <c r="NQB239"/>
      <c r="NQC239"/>
      <c r="NQD239"/>
      <c r="NQE239"/>
      <c r="NQF239"/>
      <c r="NQG239"/>
      <c r="NQH239"/>
      <c r="NQI239"/>
      <c r="NQJ239"/>
      <c r="NQK239"/>
      <c r="NQL239"/>
      <c r="NQM239"/>
      <c r="NQN239"/>
      <c r="NQO239"/>
      <c r="NQP239"/>
      <c r="NQQ239"/>
      <c r="NQR239"/>
      <c r="NQS239"/>
      <c r="NQT239"/>
      <c r="NQU239"/>
      <c r="NQV239"/>
      <c r="NQW239"/>
      <c r="NQX239"/>
      <c r="NQY239"/>
      <c r="NQZ239"/>
      <c r="NRA239"/>
      <c r="NRB239"/>
      <c r="NRC239"/>
      <c r="NRD239"/>
      <c r="NRE239"/>
      <c r="NRF239"/>
      <c r="NRG239"/>
      <c r="NRH239"/>
      <c r="NRI239"/>
      <c r="NRJ239"/>
      <c r="NRK239"/>
      <c r="NRL239"/>
      <c r="NRM239"/>
      <c r="NRN239"/>
      <c r="NRO239"/>
      <c r="NRP239"/>
      <c r="NRQ239"/>
      <c r="NRR239"/>
      <c r="NRS239"/>
      <c r="NRT239"/>
      <c r="NRU239"/>
      <c r="NRV239"/>
      <c r="NRW239"/>
      <c r="NRX239"/>
      <c r="NRY239"/>
      <c r="NRZ239"/>
      <c r="NSA239"/>
      <c r="NSB239"/>
      <c r="NSC239"/>
      <c r="NSD239"/>
      <c r="NSE239"/>
      <c r="NSF239"/>
      <c r="NSG239"/>
      <c r="NSH239"/>
      <c r="NSI239"/>
      <c r="NSJ239"/>
      <c r="NSK239"/>
      <c r="NSL239"/>
      <c r="NSM239"/>
      <c r="NSN239"/>
      <c r="NSO239"/>
      <c r="NSP239"/>
      <c r="NSQ239"/>
      <c r="NSR239"/>
      <c r="NSS239"/>
      <c r="NST239"/>
      <c r="NSU239"/>
      <c r="NSV239"/>
      <c r="NSW239"/>
      <c r="NSX239"/>
      <c r="NSY239"/>
      <c r="NSZ239"/>
      <c r="NTA239"/>
      <c r="NTB239"/>
      <c r="NTC239"/>
      <c r="NTD239"/>
      <c r="NTE239"/>
      <c r="NTF239"/>
      <c r="NTG239"/>
      <c r="NTH239"/>
      <c r="NTI239"/>
      <c r="NTJ239"/>
      <c r="NTK239"/>
      <c r="NTL239"/>
      <c r="NTM239"/>
      <c r="NTN239"/>
      <c r="NTO239"/>
      <c r="NTP239"/>
      <c r="NTQ239"/>
      <c r="NTR239"/>
      <c r="NTS239"/>
      <c r="NTT239"/>
      <c r="NTU239"/>
      <c r="NTV239"/>
      <c r="NTW239"/>
      <c r="NTX239"/>
      <c r="NTY239"/>
      <c r="NTZ239"/>
      <c r="NUA239"/>
      <c r="NUB239"/>
      <c r="NUC239"/>
      <c r="NUD239"/>
      <c r="NUE239"/>
      <c r="NUF239"/>
      <c r="NUG239"/>
      <c r="NUH239"/>
      <c r="NUI239"/>
      <c r="NUJ239"/>
      <c r="NUK239"/>
      <c r="NUL239"/>
      <c r="NUM239"/>
      <c r="NUN239"/>
      <c r="NUO239"/>
      <c r="NUP239"/>
      <c r="NUQ239"/>
      <c r="NUR239"/>
      <c r="NUS239"/>
      <c r="NUT239"/>
      <c r="NUU239"/>
      <c r="NUV239"/>
      <c r="NUW239"/>
      <c r="NUX239"/>
      <c r="NUY239"/>
      <c r="NUZ239"/>
      <c r="NVA239"/>
      <c r="NVB239"/>
      <c r="NVC239"/>
      <c r="NVD239"/>
      <c r="NVE239"/>
      <c r="NVF239"/>
      <c r="NVG239"/>
      <c r="NVH239"/>
      <c r="NVI239"/>
      <c r="NVJ239"/>
      <c r="NVK239"/>
      <c r="NVL239"/>
      <c r="NVM239"/>
      <c r="NVN239"/>
      <c r="NVO239"/>
      <c r="NVP239"/>
      <c r="NVQ239"/>
      <c r="NVR239"/>
      <c r="NVS239"/>
      <c r="NVT239"/>
      <c r="NVU239"/>
      <c r="NVV239"/>
      <c r="NVW239"/>
      <c r="NVX239"/>
      <c r="NVY239"/>
      <c r="NVZ239"/>
      <c r="NWA239"/>
      <c r="NWB239"/>
      <c r="NWC239"/>
      <c r="NWD239"/>
      <c r="NWE239"/>
      <c r="NWF239"/>
      <c r="NWG239"/>
      <c r="NWH239"/>
      <c r="NWI239"/>
      <c r="NWJ239"/>
      <c r="NWK239"/>
      <c r="NWL239"/>
      <c r="NWM239"/>
      <c r="NWN239"/>
      <c r="NWO239"/>
      <c r="NWP239"/>
      <c r="NWQ239"/>
      <c r="NWR239"/>
      <c r="NWS239"/>
      <c r="NWT239"/>
      <c r="NWU239"/>
      <c r="NWV239"/>
      <c r="NWW239"/>
      <c r="NWX239"/>
      <c r="NWY239"/>
      <c r="NWZ239"/>
      <c r="NXA239"/>
      <c r="NXB239"/>
      <c r="NXC239"/>
      <c r="NXD239"/>
      <c r="NXE239"/>
      <c r="NXF239"/>
      <c r="NXG239"/>
      <c r="NXH239"/>
      <c r="NXI239"/>
      <c r="NXJ239"/>
      <c r="NXK239"/>
      <c r="NXL239"/>
      <c r="NXM239"/>
      <c r="NXN239"/>
      <c r="NXO239"/>
      <c r="NXP239"/>
      <c r="NXQ239"/>
      <c r="NXR239"/>
      <c r="NXS239"/>
      <c r="NXT239"/>
      <c r="NXU239"/>
      <c r="NXV239"/>
      <c r="NXW239"/>
      <c r="NXX239"/>
      <c r="NXY239"/>
      <c r="NXZ239"/>
      <c r="NYA239"/>
      <c r="NYB239"/>
      <c r="NYC239"/>
      <c r="NYD239"/>
      <c r="NYE239"/>
      <c r="NYF239"/>
      <c r="NYG239"/>
      <c r="NYH239"/>
      <c r="NYI239"/>
      <c r="NYJ239"/>
      <c r="NYK239"/>
      <c r="NYL239"/>
      <c r="NYM239"/>
      <c r="NYN239"/>
      <c r="NYO239"/>
      <c r="NYP239"/>
      <c r="NYQ239"/>
      <c r="NYR239"/>
      <c r="NYS239"/>
      <c r="NYT239"/>
      <c r="NYU239"/>
      <c r="NYV239"/>
      <c r="NYW239"/>
      <c r="NYX239"/>
      <c r="NYY239"/>
      <c r="NYZ239"/>
      <c r="NZA239"/>
      <c r="NZB239"/>
      <c r="NZC239"/>
      <c r="NZD239"/>
      <c r="NZE239"/>
      <c r="NZF239"/>
      <c r="NZG239"/>
      <c r="NZH239"/>
      <c r="NZI239"/>
      <c r="NZJ239"/>
      <c r="NZK239"/>
      <c r="NZL239"/>
      <c r="NZM239"/>
      <c r="NZN239"/>
      <c r="NZO239"/>
      <c r="NZP239"/>
      <c r="NZQ239"/>
      <c r="NZR239"/>
      <c r="NZS239"/>
      <c r="NZT239"/>
      <c r="NZU239"/>
      <c r="NZV239"/>
      <c r="NZW239"/>
      <c r="NZX239"/>
      <c r="NZY239"/>
      <c r="NZZ239"/>
      <c r="OAA239"/>
      <c r="OAB239"/>
      <c r="OAC239"/>
      <c r="OAD239"/>
      <c r="OAE239"/>
      <c r="OAF239"/>
      <c r="OAG239"/>
      <c r="OAH239"/>
      <c r="OAI239"/>
      <c r="OAJ239"/>
      <c r="OAK239"/>
      <c r="OAL239"/>
      <c r="OAM239"/>
      <c r="OAN239"/>
      <c r="OAO239"/>
      <c r="OAP239"/>
      <c r="OAQ239"/>
      <c r="OAR239"/>
      <c r="OAS239"/>
      <c r="OAT239"/>
      <c r="OAU239"/>
      <c r="OAV239"/>
      <c r="OAW239"/>
      <c r="OAX239"/>
      <c r="OAY239"/>
      <c r="OAZ239"/>
      <c r="OBA239"/>
      <c r="OBB239"/>
      <c r="OBC239"/>
      <c r="OBD239"/>
      <c r="OBE239"/>
      <c r="OBF239"/>
      <c r="OBG239"/>
      <c r="OBH239"/>
      <c r="OBI239"/>
      <c r="OBJ239"/>
      <c r="OBK239"/>
      <c r="OBL239"/>
      <c r="OBM239"/>
      <c r="OBN239"/>
      <c r="OBO239"/>
      <c r="OBP239"/>
      <c r="OBQ239"/>
      <c r="OBR239"/>
      <c r="OBS239"/>
      <c r="OBT239"/>
      <c r="OBU239"/>
      <c r="OBV239"/>
      <c r="OBW239"/>
      <c r="OBX239"/>
      <c r="OBY239"/>
      <c r="OBZ239"/>
      <c r="OCA239"/>
      <c r="OCB239"/>
      <c r="OCC239"/>
      <c r="OCD239"/>
      <c r="OCE239"/>
      <c r="OCF239"/>
      <c r="OCG239"/>
      <c r="OCH239"/>
      <c r="OCI239"/>
      <c r="OCJ239"/>
      <c r="OCK239"/>
      <c r="OCL239"/>
      <c r="OCM239"/>
      <c r="OCN239"/>
      <c r="OCO239"/>
      <c r="OCP239"/>
      <c r="OCQ239"/>
      <c r="OCR239"/>
      <c r="OCS239"/>
      <c r="OCT239"/>
      <c r="OCU239"/>
      <c r="OCV239"/>
      <c r="OCW239"/>
      <c r="OCX239"/>
      <c r="OCY239"/>
      <c r="OCZ239"/>
      <c r="ODA239"/>
      <c r="ODB239"/>
      <c r="ODC239"/>
      <c r="ODD239"/>
      <c r="ODE239"/>
      <c r="ODF239"/>
      <c r="ODG239"/>
      <c r="ODH239"/>
      <c r="ODI239"/>
      <c r="ODJ239"/>
      <c r="ODK239"/>
      <c r="ODL239"/>
      <c r="ODM239"/>
      <c r="ODN239"/>
      <c r="ODO239"/>
      <c r="ODP239"/>
      <c r="ODQ239"/>
      <c r="ODR239"/>
      <c r="ODS239"/>
      <c r="ODT239"/>
      <c r="ODU239"/>
      <c r="ODV239"/>
      <c r="ODW239"/>
      <c r="ODX239"/>
      <c r="ODY239"/>
      <c r="ODZ239"/>
      <c r="OEA239"/>
      <c r="OEB239"/>
      <c r="OEC239"/>
      <c r="OED239"/>
      <c r="OEE239"/>
      <c r="OEF239"/>
      <c r="OEG239"/>
      <c r="OEH239"/>
      <c r="OEI239"/>
      <c r="OEJ239"/>
      <c r="OEK239"/>
      <c r="OEL239"/>
      <c r="OEM239"/>
      <c r="OEN239"/>
      <c r="OEO239"/>
      <c r="OEP239"/>
      <c r="OEQ239"/>
      <c r="OER239"/>
      <c r="OES239"/>
      <c r="OET239"/>
      <c r="OEU239"/>
      <c r="OEV239"/>
      <c r="OEW239"/>
      <c r="OEX239"/>
      <c r="OEY239"/>
      <c r="OEZ239"/>
      <c r="OFA239"/>
      <c r="OFB239"/>
      <c r="OFC239"/>
      <c r="OFD239"/>
      <c r="OFE239"/>
      <c r="OFF239"/>
      <c r="OFG239"/>
      <c r="OFH239"/>
      <c r="OFI239"/>
      <c r="OFJ239"/>
      <c r="OFK239"/>
      <c r="OFL239"/>
      <c r="OFM239"/>
      <c r="OFN239"/>
      <c r="OFO239"/>
      <c r="OFP239"/>
      <c r="OFQ239"/>
      <c r="OFR239"/>
      <c r="OFS239"/>
      <c r="OFT239"/>
      <c r="OFU239"/>
      <c r="OFV239"/>
      <c r="OFW239"/>
      <c r="OFX239"/>
      <c r="OFY239"/>
      <c r="OFZ239"/>
      <c r="OGA239"/>
      <c r="OGB239"/>
      <c r="OGC239"/>
      <c r="OGD239"/>
      <c r="OGE239"/>
      <c r="OGF239"/>
      <c r="OGG239"/>
      <c r="OGH239"/>
      <c r="OGI239"/>
      <c r="OGJ239"/>
      <c r="OGK239"/>
      <c r="OGL239"/>
      <c r="OGM239"/>
      <c r="OGN239"/>
      <c r="OGO239"/>
      <c r="OGP239"/>
      <c r="OGQ239"/>
      <c r="OGR239"/>
      <c r="OGS239"/>
      <c r="OGT239"/>
      <c r="OGU239"/>
      <c r="OGV239"/>
      <c r="OGW239"/>
      <c r="OGX239"/>
      <c r="OGY239"/>
      <c r="OGZ239"/>
      <c r="OHA239"/>
      <c r="OHB239"/>
      <c r="OHC239"/>
      <c r="OHD239"/>
      <c r="OHE239"/>
      <c r="OHF239"/>
      <c r="OHG239"/>
      <c r="OHH239"/>
      <c r="OHI239"/>
      <c r="OHJ239"/>
      <c r="OHK239"/>
      <c r="OHL239"/>
      <c r="OHM239"/>
      <c r="OHN239"/>
      <c r="OHO239"/>
      <c r="OHP239"/>
      <c r="OHQ239"/>
      <c r="OHR239"/>
      <c r="OHS239"/>
      <c r="OHT239"/>
      <c r="OHU239"/>
      <c r="OHV239"/>
      <c r="OHW239"/>
      <c r="OHX239"/>
      <c r="OHY239"/>
      <c r="OHZ239"/>
      <c r="OIA239"/>
      <c r="OIB239"/>
      <c r="OIC239"/>
      <c r="OID239"/>
      <c r="OIE239"/>
      <c r="OIF239"/>
      <c r="OIG239"/>
      <c r="OIH239"/>
      <c r="OII239"/>
      <c r="OIJ239"/>
      <c r="OIK239"/>
      <c r="OIL239"/>
      <c r="OIM239"/>
      <c r="OIN239"/>
      <c r="OIO239"/>
      <c r="OIP239"/>
      <c r="OIQ239"/>
      <c r="OIR239"/>
      <c r="OIS239"/>
      <c r="OIT239"/>
      <c r="OIU239"/>
      <c r="OIV239"/>
      <c r="OIW239"/>
      <c r="OIX239"/>
      <c r="OIY239"/>
      <c r="OIZ239"/>
      <c r="OJA239"/>
      <c r="OJB239"/>
      <c r="OJC239"/>
      <c r="OJD239"/>
      <c r="OJE239"/>
      <c r="OJF239"/>
      <c r="OJG239"/>
      <c r="OJH239"/>
      <c r="OJI239"/>
      <c r="OJJ239"/>
      <c r="OJK239"/>
      <c r="OJL239"/>
      <c r="OJM239"/>
      <c r="OJN239"/>
      <c r="OJO239"/>
      <c r="OJP239"/>
      <c r="OJQ239"/>
      <c r="OJR239"/>
      <c r="OJS239"/>
      <c r="OJT239"/>
      <c r="OJU239"/>
      <c r="OJV239"/>
      <c r="OJW239"/>
      <c r="OJX239"/>
      <c r="OJY239"/>
      <c r="OJZ239"/>
      <c r="OKA239"/>
      <c r="OKB239"/>
      <c r="OKC239"/>
      <c r="OKD239"/>
      <c r="OKE239"/>
      <c r="OKF239"/>
      <c r="OKG239"/>
      <c r="OKH239"/>
      <c r="OKI239"/>
      <c r="OKJ239"/>
      <c r="OKK239"/>
      <c r="OKL239"/>
      <c r="OKM239"/>
      <c r="OKN239"/>
      <c r="OKO239"/>
      <c r="OKP239"/>
      <c r="OKQ239"/>
      <c r="OKR239"/>
      <c r="OKS239"/>
      <c r="OKT239"/>
      <c r="OKU239"/>
      <c r="OKV239"/>
      <c r="OKW239"/>
      <c r="OKX239"/>
      <c r="OKY239"/>
      <c r="OKZ239"/>
      <c r="OLA239"/>
      <c r="OLB239"/>
      <c r="OLC239"/>
      <c r="OLD239"/>
      <c r="OLE239"/>
      <c r="OLF239"/>
      <c r="OLG239"/>
      <c r="OLH239"/>
      <c r="OLI239"/>
      <c r="OLJ239"/>
      <c r="OLK239"/>
      <c r="OLL239"/>
      <c r="OLM239"/>
      <c r="OLN239"/>
      <c r="OLO239"/>
      <c r="OLP239"/>
      <c r="OLQ239"/>
      <c r="OLR239"/>
      <c r="OLS239"/>
      <c r="OLT239"/>
      <c r="OLU239"/>
      <c r="OLV239"/>
      <c r="OLW239"/>
      <c r="OLX239"/>
      <c r="OLY239"/>
      <c r="OLZ239"/>
      <c r="OMA239"/>
      <c r="OMB239"/>
      <c r="OMC239"/>
      <c r="OMD239"/>
      <c r="OME239"/>
      <c r="OMF239"/>
      <c r="OMG239"/>
      <c r="OMH239"/>
      <c r="OMI239"/>
      <c r="OMJ239"/>
      <c r="OMK239"/>
      <c r="OML239"/>
      <c r="OMM239"/>
      <c r="OMN239"/>
      <c r="OMO239"/>
      <c r="OMP239"/>
      <c r="OMQ239"/>
      <c r="OMR239"/>
      <c r="OMS239"/>
      <c r="OMT239"/>
      <c r="OMU239"/>
      <c r="OMV239"/>
      <c r="OMW239"/>
      <c r="OMX239"/>
      <c r="OMY239"/>
      <c r="OMZ239"/>
      <c r="ONA239"/>
      <c r="ONB239"/>
      <c r="ONC239"/>
      <c r="OND239"/>
      <c r="ONE239"/>
      <c r="ONF239"/>
      <c r="ONG239"/>
      <c r="ONH239"/>
      <c r="ONI239"/>
      <c r="ONJ239"/>
      <c r="ONK239"/>
      <c r="ONL239"/>
      <c r="ONM239"/>
      <c r="ONN239"/>
      <c r="ONO239"/>
      <c r="ONP239"/>
      <c r="ONQ239"/>
      <c r="ONR239"/>
      <c r="ONS239"/>
      <c r="ONT239"/>
      <c r="ONU239"/>
      <c r="ONV239"/>
      <c r="ONW239"/>
      <c r="ONX239"/>
      <c r="ONY239"/>
      <c r="ONZ239"/>
      <c r="OOA239"/>
      <c r="OOB239"/>
      <c r="OOC239"/>
      <c r="OOD239"/>
      <c r="OOE239"/>
      <c r="OOF239"/>
      <c r="OOG239"/>
      <c r="OOH239"/>
      <c r="OOI239"/>
      <c r="OOJ239"/>
      <c r="OOK239"/>
      <c r="OOL239"/>
      <c r="OOM239"/>
      <c r="OON239"/>
      <c r="OOO239"/>
      <c r="OOP239"/>
      <c r="OOQ239"/>
      <c r="OOR239"/>
      <c r="OOS239"/>
      <c r="OOT239"/>
      <c r="OOU239"/>
      <c r="OOV239"/>
      <c r="OOW239"/>
      <c r="OOX239"/>
      <c r="OOY239"/>
      <c r="OOZ239"/>
      <c r="OPA239"/>
      <c r="OPB239"/>
      <c r="OPC239"/>
      <c r="OPD239"/>
      <c r="OPE239"/>
      <c r="OPF239"/>
      <c r="OPG239"/>
      <c r="OPH239"/>
      <c r="OPI239"/>
      <c r="OPJ239"/>
      <c r="OPK239"/>
      <c r="OPL239"/>
      <c r="OPM239"/>
      <c r="OPN239"/>
      <c r="OPO239"/>
      <c r="OPP239"/>
      <c r="OPQ239"/>
      <c r="OPR239"/>
      <c r="OPS239"/>
      <c r="OPT239"/>
      <c r="OPU239"/>
      <c r="OPV239"/>
      <c r="OPW239"/>
      <c r="OPX239"/>
      <c r="OPY239"/>
      <c r="OPZ239"/>
      <c r="OQA239"/>
      <c r="OQB239"/>
      <c r="OQC239"/>
      <c r="OQD239"/>
      <c r="OQE239"/>
      <c r="OQF239"/>
      <c r="OQG239"/>
      <c r="OQH239"/>
      <c r="OQI239"/>
      <c r="OQJ239"/>
      <c r="OQK239"/>
      <c r="OQL239"/>
      <c r="OQM239"/>
      <c r="OQN239"/>
      <c r="OQO239"/>
      <c r="OQP239"/>
      <c r="OQQ239"/>
      <c r="OQR239"/>
      <c r="OQS239"/>
      <c r="OQT239"/>
      <c r="OQU239"/>
      <c r="OQV239"/>
      <c r="OQW239"/>
      <c r="OQX239"/>
      <c r="OQY239"/>
      <c r="OQZ239"/>
      <c r="ORA239"/>
      <c r="ORB239"/>
      <c r="ORC239"/>
      <c r="ORD239"/>
      <c r="ORE239"/>
      <c r="ORF239"/>
      <c r="ORG239"/>
      <c r="ORH239"/>
      <c r="ORI239"/>
      <c r="ORJ239"/>
      <c r="ORK239"/>
      <c r="ORL239"/>
      <c r="ORM239"/>
      <c r="ORN239"/>
      <c r="ORO239"/>
      <c r="ORP239"/>
      <c r="ORQ239"/>
      <c r="ORR239"/>
      <c r="ORS239"/>
      <c r="ORT239"/>
      <c r="ORU239"/>
      <c r="ORV239"/>
      <c r="ORW239"/>
      <c r="ORX239"/>
      <c r="ORY239"/>
      <c r="ORZ239"/>
      <c r="OSA239"/>
      <c r="OSB239"/>
      <c r="OSC239"/>
      <c r="OSD239"/>
      <c r="OSE239"/>
      <c r="OSF239"/>
      <c r="OSG239"/>
      <c r="OSH239"/>
      <c r="OSI239"/>
      <c r="OSJ239"/>
      <c r="OSK239"/>
      <c r="OSL239"/>
      <c r="OSM239"/>
      <c r="OSN239"/>
      <c r="OSO239"/>
      <c r="OSP239"/>
      <c r="OSQ239"/>
      <c r="OSR239"/>
      <c r="OSS239"/>
      <c r="OST239"/>
      <c r="OSU239"/>
      <c r="OSV239"/>
      <c r="OSW239"/>
      <c r="OSX239"/>
      <c r="OSY239"/>
      <c r="OSZ239"/>
      <c r="OTA239"/>
      <c r="OTB239"/>
      <c r="OTC239"/>
      <c r="OTD239"/>
      <c r="OTE239"/>
      <c r="OTF239"/>
      <c r="OTG239"/>
      <c r="OTH239"/>
      <c r="OTI239"/>
      <c r="OTJ239"/>
      <c r="OTK239"/>
      <c r="OTL239"/>
      <c r="OTM239"/>
      <c r="OTN239"/>
      <c r="OTO239"/>
      <c r="OTP239"/>
      <c r="OTQ239"/>
      <c r="OTR239"/>
      <c r="OTS239"/>
      <c r="OTT239"/>
      <c r="OTU239"/>
      <c r="OTV239"/>
      <c r="OTW239"/>
      <c r="OTX239"/>
      <c r="OTY239"/>
      <c r="OTZ239"/>
      <c r="OUA239"/>
      <c r="OUB239"/>
      <c r="OUC239"/>
      <c r="OUD239"/>
      <c r="OUE239"/>
      <c r="OUF239"/>
      <c r="OUG239"/>
      <c r="OUH239"/>
      <c r="OUI239"/>
      <c r="OUJ239"/>
      <c r="OUK239"/>
      <c r="OUL239"/>
      <c r="OUM239"/>
      <c r="OUN239"/>
      <c r="OUO239"/>
      <c r="OUP239"/>
      <c r="OUQ239"/>
      <c r="OUR239"/>
      <c r="OUS239"/>
      <c r="OUT239"/>
      <c r="OUU239"/>
      <c r="OUV239"/>
      <c r="OUW239"/>
      <c r="OUX239"/>
      <c r="OUY239"/>
      <c r="OUZ239"/>
      <c r="OVA239"/>
      <c r="OVB239"/>
      <c r="OVC239"/>
      <c r="OVD239"/>
      <c r="OVE239"/>
      <c r="OVF239"/>
      <c r="OVG239"/>
      <c r="OVH239"/>
      <c r="OVI239"/>
      <c r="OVJ239"/>
      <c r="OVK239"/>
      <c r="OVL239"/>
      <c r="OVM239"/>
      <c r="OVN239"/>
      <c r="OVO239"/>
      <c r="OVP239"/>
      <c r="OVQ239"/>
      <c r="OVR239"/>
      <c r="OVS239"/>
      <c r="OVT239"/>
      <c r="OVU239"/>
      <c r="OVV239"/>
      <c r="OVW239"/>
      <c r="OVX239"/>
      <c r="OVY239"/>
      <c r="OVZ239"/>
      <c r="OWA239"/>
      <c r="OWB239"/>
      <c r="OWC239"/>
      <c r="OWD239"/>
      <c r="OWE239"/>
      <c r="OWF239"/>
      <c r="OWG239"/>
      <c r="OWH239"/>
      <c r="OWI239"/>
      <c r="OWJ239"/>
      <c r="OWK239"/>
      <c r="OWL239"/>
      <c r="OWM239"/>
      <c r="OWN239"/>
      <c r="OWO239"/>
      <c r="OWP239"/>
      <c r="OWQ239"/>
      <c r="OWR239"/>
      <c r="OWS239"/>
      <c r="OWT239"/>
      <c r="OWU239"/>
      <c r="OWV239"/>
      <c r="OWW239"/>
      <c r="OWX239"/>
      <c r="OWY239"/>
      <c r="OWZ239"/>
      <c r="OXA239"/>
      <c r="OXB239"/>
      <c r="OXC239"/>
      <c r="OXD239"/>
      <c r="OXE239"/>
      <c r="OXF239"/>
      <c r="OXG239"/>
      <c r="OXH239"/>
      <c r="OXI239"/>
      <c r="OXJ239"/>
      <c r="OXK239"/>
      <c r="OXL239"/>
      <c r="OXM239"/>
      <c r="OXN239"/>
      <c r="OXO239"/>
      <c r="OXP239"/>
      <c r="OXQ239"/>
      <c r="OXR239"/>
      <c r="OXS239"/>
      <c r="OXT239"/>
      <c r="OXU239"/>
      <c r="OXV239"/>
      <c r="OXW239"/>
      <c r="OXX239"/>
      <c r="OXY239"/>
      <c r="OXZ239"/>
      <c r="OYA239"/>
      <c r="OYB239"/>
      <c r="OYC239"/>
      <c r="OYD239"/>
      <c r="OYE239"/>
      <c r="OYF239"/>
      <c r="OYG239"/>
      <c r="OYH239"/>
      <c r="OYI239"/>
      <c r="OYJ239"/>
      <c r="OYK239"/>
      <c r="OYL239"/>
      <c r="OYM239"/>
      <c r="OYN239"/>
      <c r="OYO239"/>
      <c r="OYP239"/>
      <c r="OYQ239"/>
      <c r="OYR239"/>
      <c r="OYS239"/>
      <c r="OYT239"/>
      <c r="OYU239"/>
      <c r="OYV239"/>
      <c r="OYW239"/>
      <c r="OYX239"/>
      <c r="OYY239"/>
      <c r="OYZ239"/>
      <c r="OZA239"/>
      <c r="OZB239"/>
      <c r="OZC239"/>
      <c r="OZD239"/>
      <c r="OZE239"/>
      <c r="OZF239"/>
      <c r="OZG239"/>
      <c r="OZH239"/>
      <c r="OZI239"/>
      <c r="OZJ239"/>
      <c r="OZK239"/>
      <c r="OZL239"/>
      <c r="OZM239"/>
      <c r="OZN239"/>
      <c r="OZO239"/>
      <c r="OZP239"/>
      <c r="OZQ239"/>
      <c r="OZR239"/>
      <c r="OZS239"/>
      <c r="OZT239"/>
      <c r="OZU239"/>
      <c r="OZV239"/>
      <c r="OZW239"/>
      <c r="OZX239"/>
      <c r="OZY239"/>
      <c r="OZZ239"/>
      <c r="PAA239"/>
      <c r="PAB239"/>
      <c r="PAC239"/>
      <c r="PAD239"/>
      <c r="PAE239"/>
      <c r="PAF239"/>
      <c r="PAG239"/>
      <c r="PAH239"/>
      <c r="PAI239"/>
      <c r="PAJ239"/>
      <c r="PAK239"/>
      <c r="PAL239"/>
      <c r="PAM239"/>
      <c r="PAN239"/>
      <c r="PAO239"/>
      <c r="PAP239"/>
      <c r="PAQ239"/>
      <c r="PAR239"/>
      <c r="PAS239"/>
      <c r="PAT239"/>
      <c r="PAU239"/>
      <c r="PAV239"/>
      <c r="PAW239"/>
      <c r="PAX239"/>
      <c r="PAY239"/>
      <c r="PAZ239"/>
      <c r="PBA239"/>
      <c r="PBB239"/>
      <c r="PBC239"/>
      <c r="PBD239"/>
      <c r="PBE239"/>
      <c r="PBF239"/>
      <c r="PBG239"/>
      <c r="PBH239"/>
      <c r="PBI239"/>
      <c r="PBJ239"/>
      <c r="PBK239"/>
      <c r="PBL239"/>
      <c r="PBM239"/>
      <c r="PBN239"/>
      <c r="PBO239"/>
      <c r="PBP239"/>
      <c r="PBQ239"/>
      <c r="PBR239"/>
      <c r="PBS239"/>
      <c r="PBT239"/>
      <c r="PBU239"/>
      <c r="PBV239"/>
      <c r="PBW239"/>
      <c r="PBX239"/>
      <c r="PBY239"/>
      <c r="PBZ239"/>
      <c r="PCA239"/>
      <c r="PCB239"/>
      <c r="PCC239"/>
      <c r="PCD239"/>
      <c r="PCE239"/>
      <c r="PCF239"/>
      <c r="PCG239"/>
      <c r="PCH239"/>
      <c r="PCI239"/>
      <c r="PCJ239"/>
      <c r="PCK239"/>
      <c r="PCL239"/>
      <c r="PCM239"/>
      <c r="PCN239"/>
      <c r="PCO239"/>
      <c r="PCP239"/>
      <c r="PCQ239"/>
      <c r="PCR239"/>
      <c r="PCS239"/>
      <c r="PCT239"/>
      <c r="PCU239"/>
      <c r="PCV239"/>
      <c r="PCW239"/>
      <c r="PCX239"/>
      <c r="PCY239"/>
      <c r="PCZ239"/>
      <c r="PDA239"/>
      <c r="PDB239"/>
      <c r="PDC239"/>
      <c r="PDD239"/>
      <c r="PDE239"/>
      <c r="PDF239"/>
      <c r="PDG239"/>
      <c r="PDH239"/>
      <c r="PDI239"/>
      <c r="PDJ239"/>
      <c r="PDK239"/>
      <c r="PDL239"/>
      <c r="PDM239"/>
      <c r="PDN239"/>
      <c r="PDO239"/>
      <c r="PDP239"/>
      <c r="PDQ239"/>
      <c r="PDR239"/>
      <c r="PDS239"/>
      <c r="PDT239"/>
      <c r="PDU239"/>
      <c r="PDV239"/>
      <c r="PDW239"/>
      <c r="PDX239"/>
      <c r="PDY239"/>
      <c r="PDZ239"/>
      <c r="PEA239"/>
      <c r="PEB239"/>
      <c r="PEC239"/>
      <c r="PED239"/>
      <c r="PEE239"/>
      <c r="PEF239"/>
      <c r="PEG239"/>
      <c r="PEH239"/>
      <c r="PEI239"/>
      <c r="PEJ239"/>
      <c r="PEK239"/>
      <c r="PEL239"/>
      <c r="PEM239"/>
      <c r="PEN239"/>
      <c r="PEO239"/>
      <c r="PEP239"/>
      <c r="PEQ239"/>
      <c r="PER239"/>
      <c r="PES239"/>
      <c r="PET239"/>
      <c r="PEU239"/>
      <c r="PEV239"/>
      <c r="PEW239"/>
      <c r="PEX239"/>
      <c r="PEY239"/>
      <c r="PEZ239"/>
      <c r="PFA239"/>
      <c r="PFB239"/>
      <c r="PFC239"/>
      <c r="PFD239"/>
      <c r="PFE239"/>
      <c r="PFF239"/>
      <c r="PFG239"/>
      <c r="PFH239"/>
      <c r="PFI239"/>
      <c r="PFJ239"/>
      <c r="PFK239"/>
      <c r="PFL239"/>
      <c r="PFM239"/>
      <c r="PFN239"/>
      <c r="PFO239"/>
      <c r="PFP239"/>
      <c r="PFQ239"/>
      <c r="PFR239"/>
      <c r="PFS239"/>
      <c r="PFT239"/>
      <c r="PFU239"/>
      <c r="PFV239"/>
      <c r="PFW239"/>
      <c r="PFX239"/>
      <c r="PFY239"/>
      <c r="PFZ239"/>
      <c r="PGA239"/>
      <c r="PGB239"/>
      <c r="PGC239"/>
      <c r="PGD239"/>
      <c r="PGE239"/>
      <c r="PGF239"/>
      <c r="PGG239"/>
      <c r="PGH239"/>
      <c r="PGI239"/>
      <c r="PGJ239"/>
      <c r="PGK239"/>
      <c r="PGL239"/>
      <c r="PGM239"/>
      <c r="PGN239"/>
      <c r="PGO239"/>
      <c r="PGP239"/>
      <c r="PGQ239"/>
      <c r="PGR239"/>
      <c r="PGS239"/>
      <c r="PGT239"/>
      <c r="PGU239"/>
      <c r="PGV239"/>
      <c r="PGW239"/>
      <c r="PGX239"/>
      <c r="PGY239"/>
      <c r="PGZ239"/>
      <c r="PHA239"/>
      <c r="PHB239"/>
      <c r="PHC239"/>
      <c r="PHD239"/>
      <c r="PHE239"/>
      <c r="PHF239"/>
      <c r="PHG239"/>
      <c r="PHH239"/>
      <c r="PHI239"/>
      <c r="PHJ239"/>
      <c r="PHK239"/>
      <c r="PHL239"/>
      <c r="PHM239"/>
      <c r="PHN239"/>
      <c r="PHO239"/>
      <c r="PHP239"/>
      <c r="PHQ239"/>
      <c r="PHR239"/>
      <c r="PHS239"/>
      <c r="PHT239"/>
      <c r="PHU239"/>
      <c r="PHV239"/>
      <c r="PHW239"/>
      <c r="PHX239"/>
      <c r="PHY239"/>
      <c r="PHZ239"/>
      <c r="PIA239"/>
      <c r="PIB239"/>
      <c r="PIC239"/>
      <c r="PID239"/>
      <c r="PIE239"/>
      <c r="PIF239"/>
      <c r="PIG239"/>
      <c r="PIH239"/>
      <c r="PII239"/>
      <c r="PIJ239"/>
      <c r="PIK239"/>
      <c r="PIL239"/>
      <c r="PIM239"/>
      <c r="PIN239"/>
      <c r="PIO239"/>
      <c r="PIP239"/>
      <c r="PIQ239"/>
      <c r="PIR239"/>
      <c r="PIS239"/>
      <c r="PIT239"/>
      <c r="PIU239"/>
      <c r="PIV239"/>
      <c r="PIW239"/>
      <c r="PIX239"/>
      <c r="PIY239"/>
      <c r="PIZ239"/>
      <c r="PJA239"/>
      <c r="PJB239"/>
      <c r="PJC239"/>
      <c r="PJD239"/>
      <c r="PJE239"/>
      <c r="PJF239"/>
      <c r="PJG239"/>
      <c r="PJH239"/>
      <c r="PJI239"/>
      <c r="PJJ239"/>
      <c r="PJK239"/>
      <c r="PJL239"/>
      <c r="PJM239"/>
      <c r="PJN239"/>
      <c r="PJO239"/>
      <c r="PJP239"/>
      <c r="PJQ239"/>
      <c r="PJR239"/>
      <c r="PJS239"/>
      <c r="PJT239"/>
      <c r="PJU239"/>
      <c r="PJV239"/>
      <c r="PJW239"/>
      <c r="PJX239"/>
      <c r="PJY239"/>
      <c r="PJZ239"/>
      <c r="PKA239"/>
      <c r="PKB239"/>
      <c r="PKC239"/>
      <c r="PKD239"/>
      <c r="PKE239"/>
      <c r="PKF239"/>
      <c r="PKG239"/>
      <c r="PKH239"/>
      <c r="PKI239"/>
      <c r="PKJ239"/>
      <c r="PKK239"/>
      <c r="PKL239"/>
      <c r="PKM239"/>
      <c r="PKN239"/>
      <c r="PKO239"/>
      <c r="PKP239"/>
      <c r="PKQ239"/>
      <c r="PKR239"/>
      <c r="PKS239"/>
      <c r="PKT239"/>
      <c r="PKU239"/>
      <c r="PKV239"/>
      <c r="PKW239"/>
      <c r="PKX239"/>
      <c r="PKY239"/>
      <c r="PKZ239"/>
      <c r="PLA239"/>
      <c r="PLB239"/>
      <c r="PLC239"/>
      <c r="PLD239"/>
      <c r="PLE239"/>
      <c r="PLF239"/>
      <c r="PLG239"/>
      <c r="PLH239"/>
      <c r="PLI239"/>
      <c r="PLJ239"/>
      <c r="PLK239"/>
      <c r="PLL239"/>
      <c r="PLM239"/>
      <c r="PLN239"/>
      <c r="PLO239"/>
      <c r="PLP239"/>
      <c r="PLQ239"/>
      <c r="PLR239"/>
      <c r="PLS239"/>
      <c r="PLT239"/>
      <c r="PLU239"/>
      <c r="PLV239"/>
      <c r="PLW239"/>
      <c r="PLX239"/>
      <c r="PLY239"/>
      <c r="PLZ239"/>
      <c r="PMA239"/>
      <c r="PMB239"/>
      <c r="PMC239"/>
      <c r="PMD239"/>
      <c r="PME239"/>
      <c r="PMF239"/>
      <c r="PMG239"/>
      <c r="PMH239"/>
      <c r="PMI239"/>
      <c r="PMJ239"/>
      <c r="PMK239"/>
      <c r="PML239"/>
      <c r="PMM239"/>
      <c r="PMN239"/>
      <c r="PMO239"/>
      <c r="PMP239"/>
      <c r="PMQ239"/>
      <c r="PMR239"/>
      <c r="PMS239"/>
      <c r="PMT239"/>
      <c r="PMU239"/>
      <c r="PMV239"/>
      <c r="PMW239"/>
      <c r="PMX239"/>
      <c r="PMY239"/>
      <c r="PMZ239"/>
      <c r="PNA239"/>
      <c r="PNB239"/>
      <c r="PNC239"/>
      <c r="PND239"/>
      <c r="PNE239"/>
      <c r="PNF239"/>
      <c r="PNG239"/>
      <c r="PNH239"/>
      <c r="PNI239"/>
      <c r="PNJ239"/>
      <c r="PNK239"/>
      <c r="PNL239"/>
      <c r="PNM239"/>
      <c r="PNN239"/>
      <c r="PNO239"/>
      <c r="PNP239"/>
      <c r="PNQ239"/>
      <c r="PNR239"/>
      <c r="PNS239"/>
      <c r="PNT239"/>
      <c r="PNU239"/>
      <c r="PNV239"/>
      <c r="PNW239"/>
      <c r="PNX239"/>
      <c r="PNY239"/>
      <c r="PNZ239"/>
      <c r="POA239"/>
      <c r="POB239"/>
      <c r="POC239"/>
      <c r="POD239"/>
      <c r="POE239"/>
      <c r="POF239"/>
      <c r="POG239"/>
      <c r="POH239"/>
      <c r="POI239"/>
      <c r="POJ239"/>
      <c r="POK239"/>
      <c r="POL239"/>
      <c r="POM239"/>
      <c r="PON239"/>
      <c r="POO239"/>
      <c r="POP239"/>
      <c r="POQ239"/>
      <c r="POR239"/>
      <c r="POS239"/>
      <c r="POT239"/>
      <c r="POU239"/>
      <c r="POV239"/>
      <c r="POW239"/>
      <c r="POX239"/>
      <c r="POY239"/>
      <c r="POZ239"/>
      <c r="PPA239"/>
      <c r="PPB239"/>
      <c r="PPC239"/>
      <c r="PPD239"/>
      <c r="PPE239"/>
      <c r="PPF239"/>
      <c r="PPG239"/>
      <c r="PPH239"/>
      <c r="PPI239"/>
      <c r="PPJ239"/>
      <c r="PPK239"/>
      <c r="PPL239"/>
      <c r="PPM239"/>
      <c r="PPN239"/>
      <c r="PPO239"/>
      <c r="PPP239"/>
      <c r="PPQ239"/>
      <c r="PPR239"/>
      <c r="PPS239"/>
      <c r="PPT239"/>
      <c r="PPU239"/>
      <c r="PPV239"/>
      <c r="PPW239"/>
      <c r="PPX239"/>
      <c r="PPY239"/>
      <c r="PPZ239"/>
      <c r="PQA239"/>
      <c r="PQB239"/>
      <c r="PQC239"/>
      <c r="PQD239"/>
      <c r="PQE239"/>
      <c r="PQF239"/>
      <c r="PQG239"/>
      <c r="PQH239"/>
      <c r="PQI239"/>
      <c r="PQJ239"/>
      <c r="PQK239"/>
      <c r="PQL239"/>
      <c r="PQM239"/>
      <c r="PQN239"/>
      <c r="PQO239"/>
      <c r="PQP239"/>
      <c r="PQQ239"/>
      <c r="PQR239"/>
      <c r="PQS239"/>
      <c r="PQT239"/>
      <c r="PQU239"/>
      <c r="PQV239"/>
      <c r="PQW239"/>
      <c r="PQX239"/>
      <c r="PQY239"/>
      <c r="PQZ239"/>
      <c r="PRA239"/>
      <c r="PRB239"/>
      <c r="PRC239"/>
      <c r="PRD239"/>
      <c r="PRE239"/>
      <c r="PRF239"/>
      <c r="PRG239"/>
      <c r="PRH239"/>
      <c r="PRI239"/>
      <c r="PRJ239"/>
      <c r="PRK239"/>
      <c r="PRL239"/>
      <c r="PRM239"/>
      <c r="PRN239"/>
      <c r="PRO239"/>
      <c r="PRP239"/>
      <c r="PRQ239"/>
      <c r="PRR239"/>
      <c r="PRS239"/>
      <c r="PRT239"/>
      <c r="PRU239"/>
      <c r="PRV239"/>
      <c r="PRW239"/>
      <c r="PRX239"/>
      <c r="PRY239"/>
      <c r="PRZ239"/>
      <c r="PSA239"/>
      <c r="PSB239"/>
      <c r="PSC239"/>
      <c r="PSD239"/>
      <c r="PSE239"/>
      <c r="PSF239"/>
      <c r="PSG239"/>
      <c r="PSH239"/>
      <c r="PSI239"/>
      <c r="PSJ239"/>
      <c r="PSK239"/>
      <c r="PSL239"/>
      <c r="PSM239"/>
      <c r="PSN239"/>
      <c r="PSO239"/>
      <c r="PSP239"/>
      <c r="PSQ239"/>
      <c r="PSR239"/>
      <c r="PSS239"/>
      <c r="PST239"/>
      <c r="PSU239"/>
      <c r="PSV239"/>
      <c r="PSW239"/>
      <c r="PSX239"/>
      <c r="PSY239"/>
      <c r="PSZ239"/>
      <c r="PTA239"/>
      <c r="PTB239"/>
      <c r="PTC239"/>
      <c r="PTD239"/>
      <c r="PTE239"/>
      <c r="PTF239"/>
      <c r="PTG239"/>
      <c r="PTH239"/>
      <c r="PTI239"/>
      <c r="PTJ239"/>
      <c r="PTK239"/>
      <c r="PTL239"/>
      <c r="PTM239"/>
      <c r="PTN239"/>
      <c r="PTO239"/>
      <c r="PTP239"/>
      <c r="PTQ239"/>
      <c r="PTR239"/>
      <c r="PTS239"/>
      <c r="PTT239"/>
      <c r="PTU239"/>
      <c r="PTV239"/>
      <c r="PTW239"/>
      <c r="PTX239"/>
      <c r="PTY239"/>
      <c r="PTZ239"/>
      <c r="PUA239"/>
      <c r="PUB239"/>
      <c r="PUC239"/>
      <c r="PUD239"/>
      <c r="PUE239"/>
      <c r="PUF239"/>
      <c r="PUG239"/>
      <c r="PUH239"/>
      <c r="PUI239"/>
      <c r="PUJ239"/>
      <c r="PUK239"/>
      <c r="PUL239"/>
      <c r="PUM239"/>
      <c r="PUN239"/>
      <c r="PUO239"/>
      <c r="PUP239"/>
      <c r="PUQ239"/>
      <c r="PUR239"/>
      <c r="PUS239"/>
      <c r="PUT239"/>
      <c r="PUU239"/>
      <c r="PUV239"/>
      <c r="PUW239"/>
      <c r="PUX239"/>
      <c r="PUY239"/>
      <c r="PUZ239"/>
      <c r="PVA239"/>
      <c r="PVB239"/>
      <c r="PVC239"/>
      <c r="PVD239"/>
      <c r="PVE239"/>
      <c r="PVF239"/>
      <c r="PVG239"/>
      <c r="PVH239"/>
      <c r="PVI239"/>
      <c r="PVJ239"/>
      <c r="PVK239"/>
      <c r="PVL239"/>
      <c r="PVM239"/>
      <c r="PVN239"/>
      <c r="PVO239"/>
      <c r="PVP239"/>
      <c r="PVQ239"/>
      <c r="PVR239"/>
      <c r="PVS239"/>
      <c r="PVT239"/>
      <c r="PVU239"/>
      <c r="PVV239"/>
      <c r="PVW239"/>
      <c r="PVX239"/>
      <c r="PVY239"/>
      <c r="PVZ239"/>
      <c r="PWA239"/>
      <c r="PWB239"/>
      <c r="PWC239"/>
      <c r="PWD239"/>
      <c r="PWE239"/>
      <c r="PWF239"/>
      <c r="PWG239"/>
      <c r="PWH239"/>
      <c r="PWI239"/>
      <c r="PWJ239"/>
      <c r="PWK239"/>
      <c r="PWL239"/>
      <c r="PWM239"/>
      <c r="PWN239"/>
      <c r="PWO239"/>
      <c r="PWP239"/>
      <c r="PWQ239"/>
      <c r="PWR239"/>
      <c r="PWS239"/>
      <c r="PWT239"/>
      <c r="PWU239"/>
      <c r="PWV239"/>
      <c r="PWW239"/>
      <c r="PWX239"/>
      <c r="PWY239"/>
      <c r="PWZ239"/>
      <c r="PXA239"/>
      <c r="PXB239"/>
      <c r="PXC239"/>
      <c r="PXD239"/>
      <c r="PXE239"/>
      <c r="PXF239"/>
      <c r="PXG239"/>
      <c r="PXH239"/>
      <c r="PXI239"/>
      <c r="PXJ239"/>
      <c r="PXK239"/>
      <c r="PXL239"/>
      <c r="PXM239"/>
      <c r="PXN239"/>
      <c r="PXO239"/>
      <c r="PXP239"/>
      <c r="PXQ239"/>
      <c r="PXR239"/>
      <c r="PXS239"/>
      <c r="PXT239"/>
      <c r="PXU239"/>
      <c r="PXV239"/>
      <c r="PXW239"/>
      <c r="PXX239"/>
      <c r="PXY239"/>
      <c r="PXZ239"/>
      <c r="PYA239"/>
      <c r="PYB239"/>
      <c r="PYC239"/>
      <c r="PYD239"/>
      <c r="PYE239"/>
      <c r="PYF239"/>
      <c r="PYG239"/>
      <c r="PYH239"/>
      <c r="PYI239"/>
      <c r="PYJ239"/>
      <c r="PYK239"/>
      <c r="PYL239"/>
      <c r="PYM239"/>
      <c r="PYN239"/>
      <c r="PYO239"/>
      <c r="PYP239"/>
      <c r="PYQ239"/>
      <c r="PYR239"/>
      <c r="PYS239"/>
      <c r="PYT239"/>
      <c r="PYU239"/>
      <c r="PYV239"/>
      <c r="PYW239"/>
      <c r="PYX239"/>
      <c r="PYY239"/>
      <c r="PYZ239"/>
      <c r="PZA239"/>
      <c r="PZB239"/>
      <c r="PZC239"/>
      <c r="PZD239"/>
      <c r="PZE239"/>
      <c r="PZF239"/>
      <c r="PZG239"/>
      <c r="PZH239"/>
      <c r="PZI239"/>
      <c r="PZJ239"/>
      <c r="PZK239"/>
      <c r="PZL239"/>
      <c r="PZM239"/>
      <c r="PZN239"/>
      <c r="PZO239"/>
      <c r="PZP239"/>
      <c r="PZQ239"/>
      <c r="PZR239"/>
      <c r="PZS239"/>
      <c r="PZT239"/>
      <c r="PZU239"/>
      <c r="PZV239"/>
      <c r="PZW239"/>
      <c r="PZX239"/>
      <c r="PZY239"/>
      <c r="PZZ239"/>
      <c r="QAA239"/>
      <c r="QAB239"/>
      <c r="QAC239"/>
      <c r="QAD239"/>
      <c r="QAE239"/>
      <c r="QAF239"/>
      <c r="QAG239"/>
      <c r="QAH239"/>
      <c r="QAI239"/>
      <c r="QAJ239"/>
      <c r="QAK239"/>
      <c r="QAL239"/>
      <c r="QAM239"/>
      <c r="QAN239"/>
      <c r="QAO239"/>
      <c r="QAP239"/>
      <c r="QAQ239"/>
      <c r="QAR239"/>
      <c r="QAS239"/>
      <c r="QAT239"/>
      <c r="QAU239"/>
      <c r="QAV239"/>
      <c r="QAW239"/>
      <c r="QAX239"/>
      <c r="QAY239"/>
      <c r="QAZ239"/>
      <c r="QBA239"/>
      <c r="QBB239"/>
      <c r="QBC239"/>
      <c r="QBD239"/>
      <c r="QBE239"/>
      <c r="QBF239"/>
      <c r="QBG239"/>
      <c r="QBH239"/>
      <c r="QBI239"/>
      <c r="QBJ239"/>
      <c r="QBK239"/>
      <c r="QBL239"/>
      <c r="QBM239"/>
      <c r="QBN239"/>
      <c r="QBO239"/>
      <c r="QBP239"/>
      <c r="QBQ239"/>
      <c r="QBR239"/>
      <c r="QBS239"/>
      <c r="QBT239"/>
      <c r="QBU239"/>
      <c r="QBV239"/>
      <c r="QBW239"/>
      <c r="QBX239"/>
      <c r="QBY239"/>
      <c r="QBZ239"/>
      <c r="QCA239"/>
      <c r="QCB239"/>
      <c r="QCC239"/>
      <c r="QCD239"/>
      <c r="QCE239"/>
      <c r="QCF239"/>
      <c r="QCG239"/>
      <c r="QCH239"/>
      <c r="QCI239"/>
      <c r="QCJ239"/>
      <c r="QCK239"/>
      <c r="QCL239"/>
      <c r="QCM239"/>
      <c r="QCN239"/>
      <c r="QCO239"/>
      <c r="QCP239"/>
      <c r="QCQ239"/>
      <c r="QCR239"/>
      <c r="QCS239"/>
      <c r="QCT239"/>
      <c r="QCU239"/>
      <c r="QCV239"/>
      <c r="QCW239"/>
      <c r="QCX239"/>
      <c r="QCY239"/>
      <c r="QCZ239"/>
      <c r="QDA239"/>
      <c r="QDB239"/>
      <c r="QDC239"/>
      <c r="QDD239"/>
      <c r="QDE239"/>
      <c r="QDF239"/>
      <c r="QDG239"/>
      <c r="QDH239"/>
      <c r="QDI239"/>
      <c r="QDJ239"/>
      <c r="QDK239"/>
      <c r="QDL239"/>
      <c r="QDM239"/>
      <c r="QDN239"/>
      <c r="QDO239"/>
      <c r="QDP239"/>
      <c r="QDQ239"/>
      <c r="QDR239"/>
      <c r="QDS239"/>
      <c r="QDT239"/>
      <c r="QDU239"/>
      <c r="QDV239"/>
      <c r="QDW239"/>
      <c r="QDX239"/>
      <c r="QDY239"/>
      <c r="QDZ239"/>
      <c r="QEA239"/>
      <c r="QEB239"/>
      <c r="QEC239"/>
      <c r="QED239"/>
      <c r="QEE239"/>
      <c r="QEF239"/>
      <c r="QEG239"/>
      <c r="QEH239"/>
      <c r="QEI239"/>
      <c r="QEJ239"/>
      <c r="QEK239"/>
      <c r="QEL239"/>
      <c r="QEM239"/>
      <c r="QEN239"/>
      <c r="QEO239"/>
      <c r="QEP239"/>
      <c r="QEQ239"/>
      <c r="QER239"/>
      <c r="QES239"/>
      <c r="QET239"/>
      <c r="QEU239"/>
      <c r="QEV239"/>
      <c r="QEW239"/>
      <c r="QEX239"/>
      <c r="QEY239"/>
      <c r="QEZ239"/>
      <c r="QFA239"/>
      <c r="QFB239"/>
      <c r="QFC239"/>
      <c r="QFD239"/>
      <c r="QFE239"/>
      <c r="QFF239"/>
      <c r="QFG239"/>
      <c r="QFH239"/>
      <c r="QFI239"/>
      <c r="QFJ239"/>
      <c r="QFK239"/>
      <c r="QFL239"/>
      <c r="QFM239"/>
      <c r="QFN239"/>
      <c r="QFO239"/>
      <c r="QFP239"/>
      <c r="QFQ239"/>
      <c r="QFR239"/>
      <c r="QFS239"/>
      <c r="QFT239"/>
      <c r="QFU239"/>
      <c r="QFV239"/>
      <c r="QFW239"/>
      <c r="QFX239"/>
      <c r="QFY239"/>
      <c r="QFZ239"/>
      <c r="QGA239"/>
      <c r="QGB239"/>
      <c r="QGC239"/>
      <c r="QGD239"/>
      <c r="QGE239"/>
      <c r="QGF239"/>
      <c r="QGG239"/>
      <c r="QGH239"/>
      <c r="QGI239"/>
      <c r="QGJ239"/>
      <c r="QGK239"/>
      <c r="QGL239"/>
      <c r="QGM239"/>
      <c r="QGN239"/>
      <c r="QGO239"/>
      <c r="QGP239"/>
      <c r="QGQ239"/>
      <c r="QGR239"/>
      <c r="QGS239"/>
      <c r="QGT239"/>
      <c r="QGU239"/>
      <c r="QGV239"/>
      <c r="QGW239"/>
      <c r="QGX239"/>
      <c r="QGY239"/>
      <c r="QGZ239"/>
      <c r="QHA239"/>
      <c r="QHB239"/>
      <c r="QHC239"/>
      <c r="QHD239"/>
      <c r="QHE239"/>
      <c r="QHF239"/>
      <c r="QHG239"/>
      <c r="QHH239"/>
      <c r="QHI239"/>
      <c r="QHJ239"/>
      <c r="QHK239"/>
      <c r="QHL239"/>
      <c r="QHM239"/>
      <c r="QHN239"/>
      <c r="QHO239"/>
      <c r="QHP239"/>
      <c r="QHQ239"/>
      <c r="QHR239"/>
      <c r="QHS239"/>
      <c r="QHT239"/>
      <c r="QHU239"/>
      <c r="QHV239"/>
      <c r="QHW239"/>
      <c r="QHX239"/>
      <c r="QHY239"/>
      <c r="QHZ239"/>
      <c r="QIA239"/>
      <c r="QIB239"/>
      <c r="QIC239"/>
      <c r="QID239"/>
      <c r="QIE239"/>
      <c r="QIF239"/>
      <c r="QIG239"/>
      <c r="QIH239"/>
      <c r="QII239"/>
      <c r="QIJ239"/>
      <c r="QIK239"/>
      <c r="QIL239"/>
      <c r="QIM239"/>
      <c r="QIN239"/>
      <c r="QIO239"/>
      <c r="QIP239"/>
      <c r="QIQ239"/>
      <c r="QIR239"/>
      <c r="QIS239"/>
      <c r="QIT239"/>
      <c r="QIU239"/>
      <c r="QIV239"/>
      <c r="QIW239"/>
      <c r="QIX239"/>
      <c r="QIY239"/>
      <c r="QIZ239"/>
      <c r="QJA239"/>
      <c r="QJB239"/>
      <c r="QJC239"/>
      <c r="QJD239"/>
      <c r="QJE239"/>
      <c r="QJF239"/>
      <c r="QJG239"/>
      <c r="QJH239"/>
      <c r="QJI239"/>
      <c r="QJJ239"/>
      <c r="QJK239"/>
      <c r="QJL239"/>
      <c r="QJM239"/>
      <c r="QJN239"/>
      <c r="QJO239"/>
      <c r="QJP239"/>
      <c r="QJQ239"/>
      <c r="QJR239"/>
      <c r="QJS239"/>
      <c r="QJT239"/>
      <c r="QJU239"/>
      <c r="QJV239"/>
      <c r="QJW239"/>
      <c r="QJX239"/>
      <c r="QJY239"/>
      <c r="QJZ239"/>
      <c r="QKA239"/>
      <c r="QKB239"/>
      <c r="QKC239"/>
      <c r="QKD239"/>
      <c r="QKE239"/>
      <c r="QKF239"/>
      <c r="QKG239"/>
      <c r="QKH239"/>
      <c r="QKI239"/>
      <c r="QKJ239"/>
      <c r="QKK239"/>
      <c r="QKL239"/>
      <c r="QKM239"/>
      <c r="QKN239"/>
      <c r="QKO239"/>
      <c r="QKP239"/>
      <c r="QKQ239"/>
      <c r="QKR239"/>
      <c r="QKS239"/>
      <c r="QKT239"/>
      <c r="QKU239"/>
      <c r="QKV239"/>
      <c r="QKW239"/>
      <c r="QKX239"/>
      <c r="QKY239"/>
      <c r="QKZ239"/>
      <c r="QLA239"/>
      <c r="QLB239"/>
      <c r="QLC239"/>
      <c r="QLD239"/>
      <c r="QLE239"/>
      <c r="QLF239"/>
      <c r="QLG239"/>
      <c r="QLH239"/>
      <c r="QLI239"/>
      <c r="QLJ239"/>
      <c r="QLK239"/>
      <c r="QLL239"/>
      <c r="QLM239"/>
      <c r="QLN239"/>
      <c r="QLO239"/>
      <c r="QLP239"/>
      <c r="QLQ239"/>
      <c r="QLR239"/>
      <c r="QLS239"/>
      <c r="QLT239"/>
      <c r="QLU239"/>
      <c r="QLV239"/>
      <c r="QLW239"/>
      <c r="QLX239"/>
      <c r="QLY239"/>
      <c r="QLZ239"/>
      <c r="QMA239"/>
      <c r="QMB239"/>
      <c r="QMC239"/>
      <c r="QMD239"/>
      <c r="QME239"/>
      <c r="QMF239"/>
      <c r="QMG239"/>
      <c r="QMH239"/>
      <c r="QMI239"/>
      <c r="QMJ239"/>
      <c r="QMK239"/>
      <c r="QML239"/>
      <c r="QMM239"/>
      <c r="QMN239"/>
      <c r="QMO239"/>
      <c r="QMP239"/>
      <c r="QMQ239"/>
      <c r="QMR239"/>
      <c r="QMS239"/>
      <c r="QMT239"/>
      <c r="QMU239"/>
      <c r="QMV239"/>
      <c r="QMW239"/>
      <c r="QMX239"/>
      <c r="QMY239"/>
      <c r="QMZ239"/>
      <c r="QNA239"/>
      <c r="QNB239"/>
      <c r="QNC239"/>
      <c r="QND239"/>
      <c r="QNE239"/>
      <c r="QNF239"/>
      <c r="QNG239"/>
      <c r="QNH239"/>
      <c r="QNI239"/>
      <c r="QNJ239"/>
      <c r="QNK239"/>
      <c r="QNL239"/>
      <c r="QNM239"/>
      <c r="QNN239"/>
      <c r="QNO239"/>
      <c r="QNP239"/>
      <c r="QNQ239"/>
      <c r="QNR239"/>
      <c r="QNS239"/>
      <c r="QNT239"/>
      <c r="QNU239"/>
      <c r="QNV239"/>
      <c r="QNW239"/>
      <c r="QNX239"/>
      <c r="QNY239"/>
      <c r="QNZ239"/>
      <c r="QOA239"/>
      <c r="QOB239"/>
      <c r="QOC239"/>
      <c r="QOD239"/>
      <c r="QOE239"/>
      <c r="QOF239"/>
      <c r="QOG239"/>
      <c r="QOH239"/>
      <c r="QOI239"/>
      <c r="QOJ239"/>
      <c r="QOK239"/>
      <c r="QOL239"/>
      <c r="QOM239"/>
      <c r="QON239"/>
      <c r="QOO239"/>
      <c r="QOP239"/>
      <c r="QOQ239"/>
      <c r="QOR239"/>
      <c r="QOS239"/>
      <c r="QOT239"/>
      <c r="QOU239"/>
      <c r="QOV239"/>
      <c r="QOW239"/>
      <c r="QOX239"/>
      <c r="QOY239"/>
      <c r="QOZ239"/>
      <c r="QPA239"/>
      <c r="QPB239"/>
      <c r="QPC239"/>
      <c r="QPD239"/>
      <c r="QPE239"/>
      <c r="QPF239"/>
      <c r="QPG239"/>
      <c r="QPH239"/>
      <c r="QPI239"/>
      <c r="QPJ239"/>
      <c r="QPK239"/>
      <c r="QPL239"/>
      <c r="QPM239"/>
      <c r="QPN239"/>
      <c r="QPO239"/>
      <c r="QPP239"/>
      <c r="QPQ239"/>
      <c r="QPR239"/>
      <c r="QPS239"/>
      <c r="QPT239"/>
      <c r="QPU239"/>
      <c r="QPV239"/>
      <c r="QPW239"/>
      <c r="QPX239"/>
      <c r="QPY239"/>
      <c r="QPZ239"/>
      <c r="QQA239"/>
      <c r="QQB239"/>
      <c r="QQC239"/>
      <c r="QQD239"/>
      <c r="QQE239"/>
      <c r="QQF239"/>
      <c r="QQG239"/>
      <c r="QQH239"/>
      <c r="QQI239"/>
      <c r="QQJ239"/>
      <c r="QQK239"/>
      <c r="QQL239"/>
      <c r="QQM239"/>
      <c r="QQN239"/>
      <c r="QQO239"/>
      <c r="QQP239"/>
      <c r="QQQ239"/>
      <c r="QQR239"/>
      <c r="QQS239"/>
      <c r="QQT239"/>
      <c r="QQU239"/>
      <c r="QQV239"/>
      <c r="QQW239"/>
      <c r="QQX239"/>
      <c r="QQY239"/>
      <c r="QQZ239"/>
      <c r="QRA239"/>
      <c r="QRB239"/>
      <c r="QRC239"/>
      <c r="QRD239"/>
      <c r="QRE239"/>
      <c r="QRF239"/>
      <c r="QRG239"/>
      <c r="QRH239"/>
      <c r="QRI239"/>
      <c r="QRJ239"/>
      <c r="QRK239"/>
      <c r="QRL239"/>
      <c r="QRM239"/>
      <c r="QRN239"/>
      <c r="QRO239"/>
      <c r="QRP239"/>
      <c r="QRQ239"/>
      <c r="QRR239"/>
      <c r="QRS239"/>
      <c r="QRT239"/>
      <c r="QRU239"/>
      <c r="QRV239"/>
      <c r="QRW239"/>
      <c r="QRX239"/>
      <c r="QRY239"/>
      <c r="QRZ239"/>
      <c r="QSA239"/>
      <c r="QSB239"/>
      <c r="QSC239"/>
      <c r="QSD239"/>
      <c r="QSE239"/>
      <c r="QSF239"/>
      <c r="QSG239"/>
      <c r="QSH239"/>
      <c r="QSI239"/>
      <c r="QSJ239"/>
      <c r="QSK239"/>
      <c r="QSL239"/>
      <c r="QSM239"/>
      <c r="QSN239"/>
      <c r="QSO239"/>
      <c r="QSP239"/>
      <c r="QSQ239"/>
      <c r="QSR239"/>
      <c r="QSS239"/>
      <c r="QST239"/>
      <c r="QSU239"/>
      <c r="QSV239"/>
      <c r="QSW239"/>
      <c r="QSX239"/>
      <c r="QSY239"/>
      <c r="QSZ239"/>
      <c r="QTA239"/>
      <c r="QTB239"/>
      <c r="QTC239"/>
      <c r="QTD239"/>
      <c r="QTE239"/>
      <c r="QTF239"/>
      <c r="QTG239"/>
      <c r="QTH239"/>
      <c r="QTI239"/>
      <c r="QTJ239"/>
      <c r="QTK239"/>
      <c r="QTL239"/>
      <c r="QTM239"/>
      <c r="QTN239"/>
      <c r="QTO239"/>
      <c r="QTP239"/>
      <c r="QTQ239"/>
      <c r="QTR239"/>
      <c r="QTS239"/>
      <c r="QTT239"/>
      <c r="QTU239"/>
      <c r="QTV239"/>
      <c r="QTW239"/>
      <c r="QTX239"/>
      <c r="QTY239"/>
      <c r="QTZ239"/>
      <c r="QUA239"/>
      <c r="QUB239"/>
      <c r="QUC239"/>
      <c r="QUD239"/>
      <c r="QUE239"/>
      <c r="QUF239"/>
      <c r="QUG239"/>
      <c r="QUH239"/>
      <c r="QUI239"/>
      <c r="QUJ239"/>
      <c r="QUK239"/>
      <c r="QUL239"/>
      <c r="QUM239"/>
      <c r="QUN239"/>
      <c r="QUO239"/>
      <c r="QUP239"/>
      <c r="QUQ239"/>
      <c r="QUR239"/>
      <c r="QUS239"/>
      <c r="QUT239"/>
      <c r="QUU239"/>
      <c r="QUV239"/>
      <c r="QUW239"/>
      <c r="QUX239"/>
      <c r="QUY239"/>
      <c r="QUZ239"/>
      <c r="QVA239"/>
      <c r="QVB239"/>
      <c r="QVC239"/>
      <c r="QVD239"/>
      <c r="QVE239"/>
      <c r="QVF239"/>
      <c r="QVG239"/>
      <c r="QVH239"/>
      <c r="QVI239"/>
      <c r="QVJ239"/>
      <c r="QVK239"/>
      <c r="QVL239"/>
      <c r="QVM239"/>
      <c r="QVN239"/>
      <c r="QVO239"/>
      <c r="QVP239"/>
      <c r="QVQ239"/>
      <c r="QVR239"/>
      <c r="QVS239"/>
      <c r="QVT239"/>
      <c r="QVU239"/>
      <c r="QVV239"/>
      <c r="QVW239"/>
      <c r="QVX239"/>
      <c r="QVY239"/>
      <c r="QVZ239"/>
      <c r="QWA239"/>
      <c r="QWB239"/>
      <c r="QWC239"/>
      <c r="QWD239"/>
      <c r="QWE239"/>
      <c r="QWF239"/>
      <c r="QWG239"/>
      <c r="QWH239"/>
      <c r="QWI239"/>
      <c r="QWJ239"/>
      <c r="QWK239"/>
      <c r="QWL239"/>
      <c r="QWM239"/>
      <c r="QWN239"/>
      <c r="QWO239"/>
      <c r="QWP239"/>
      <c r="QWQ239"/>
      <c r="QWR239"/>
      <c r="QWS239"/>
      <c r="QWT239"/>
      <c r="QWU239"/>
      <c r="QWV239"/>
      <c r="QWW239"/>
      <c r="QWX239"/>
      <c r="QWY239"/>
      <c r="QWZ239"/>
      <c r="QXA239"/>
      <c r="QXB239"/>
      <c r="QXC239"/>
      <c r="QXD239"/>
      <c r="QXE239"/>
      <c r="QXF239"/>
      <c r="QXG239"/>
      <c r="QXH239"/>
      <c r="QXI239"/>
      <c r="QXJ239"/>
      <c r="QXK239"/>
      <c r="QXL239"/>
      <c r="QXM239"/>
      <c r="QXN239"/>
      <c r="QXO239"/>
      <c r="QXP239"/>
      <c r="QXQ239"/>
      <c r="QXR239"/>
      <c r="QXS239"/>
      <c r="QXT239"/>
      <c r="QXU239"/>
      <c r="QXV239"/>
      <c r="QXW239"/>
      <c r="QXX239"/>
      <c r="QXY239"/>
      <c r="QXZ239"/>
      <c r="QYA239"/>
      <c r="QYB239"/>
      <c r="QYC239"/>
      <c r="QYD239"/>
      <c r="QYE239"/>
      <c r="QYF239"/>
      <c r="QYG239"/>
      <c r="QYH239"/>
      <c r="QYI239"/>
      <c r="QYJ239"/>
      <c r="QYK239"/>
      <c r="QYL239"/>
      <c r="QYM239"/>
      <c r="QYN239"/>
      <c r="QYO239"/>
      <c r="QYP239"/>
      <c r="QYQ239"/>
      <c r="QYR239"/>
      <c r="QYS239"/>
      <c r="QYT239"/>
      <c r="QYU239"/>
      <c r="QYV239"/>
      <c r="QYW239"/>
      <c r="QYX239"/>
      <c r="QYY239"/>
      <c r="QYZ239"/>
      <c r="QZA239"/>
      <c r="QZB239"/>
      <c r="QZC239"/>
      <c r="QZD239"/>
      <c r="QZE239"/>
      <c r="QZF239"/>
      <c r="QZG239"/>
      <c r="QZH239"/>
      <c r="QZI239"/>
      <c r="QZJ239"/>
      <c r="QZK239"/>
      <c r="QZL239"/>
      <c r="QZM239"/>
      <c r="QZN239"/>
      <c r="QZO239"/>
      <c r="QZP239"/>
      <c r="QZQ239"/>
      <c r="QZR239"/>
      <c r="QZS239"/>
      <c r="QZT239"/>
      <c r="QZU239"/>
      <c r="QZV239"/>
      <c r="QZW239"/>
      <c r="QZX239"/>
      <c r="QZY239"/>
      <c r="QZZ239"/>
      <c r="RAA239"/>
      <c r="RAB239"/>
      <c r="RAC239"/>
      <c r="RAD239"/>
      <c r="RAE239"/>
      <c r="RAF239"/>
      <c r="RAG239"/>
      <c r="RAH239"/>
      <c r="RAI239"/>
      <c r="RAJ239"/>
      <c r="RAK239"/>
      <c r="RAL239"/>
      <c r="RAM239"/>
      <c r="RAN239"/>
      <c r="RAO239"/>
      <c r="RAP239"/>
      <c r="RAQ239"/>
      <c r="RAR239"/>
      <c r="RAS239"/>
      <c r="RAT239"/>
      <c r="RAU239"/>
      <c r="RAV239"/>
      <c r="RAW239"/>
      <c r="RAX239"/>
      <c r="RAY239"/>
      <c r="RAZ239"/>
      <c r="RBA239"/>
      <c r="RBB239"/>
      <c r="RBC239"/>
      <c r="RBD239"/>
      <c r="RBE239"/>
      <c r="RBF239"/>
      <c r="RBG239"/>
      <c r="RBH239"/>
      <c r="RBI239"/>
      <c r="RBJ239"/>
      <c r="RBK239"/>
      <c r="RBL239"/>
      <c r="RBM239"/>
      <c r="RBN239"/>
      <c r="RBO239"/>
      <c r="RBP239"/>
      <c r="RBQ239"/>
      <c r="RBR239"/>
      <c r="RBS239"/>
      <c r="RBT239"/>
      <c r="RBU239"/>
      <c r="RBV239"/>
      <c r="RBW239"/>
      <c r="RBX239"/>
      <c r="RBY239"/>
      <c r="RBZ239"/>
      <c r="RCA239"/>
      <c r="RCB239"/>
      <c r="RCC239"/>
      <c r="RCD239"/>
      <c r="RCE239"/>
      <c r="RCF239"/>
      <c r="RCG239"/>
      <c r="RCH239"/>
      <c r="RCI239"/>
      <c r="RCJ239"/>
      <c r="RCK239"/>
      <c r="RCL239"/>
      <c r="RCM239"/>
      <c r="RCN239"/>
      <c r="RCO239"/>
      <c r="RCP239"/>
      <c r="RCQ239"/>
      <c r="RCR239"/>
      <c r="RCS239"/>
      <c r="RCT239"/>
      <c r="RCU239"/>
      <c r="RCV239"/>
      <c r="RCW239"/>
      <c r="RCX239"/>
      <c r="RCY239"/>
      <c r="RCZ239"/>
      <c r="RDA239"/>
      <c r="RDB239"/>
      <c r="RDC239"/>
      <c r="RDD239"/>
      <c r="RDE239"/>
      <c r="RDF239"/>
      <c r="RDG239"/>
      <c r="RDH239"/>
      <c r="RDI239"/>
      <c r="RDJ239"/>
      <c r="RDK239"/>
      <c r="RDL239"/>
      <c r="RDM239"/>
      <c r="RDN239"/>
      <c r="RDO239"/>
      <c r="RDP239"/>
      <c r="RDQ239"/>
      <c r="RDR239"/>
      <c r="RDS239"/>
      <c r="RDT239"/>
      <c r="RDU239"/>
      <c r="RDV239"/>
      <c r="RDW239"/>
      <c r="RDX239"/>
      <c r="RDY239"/>
      <c r="RDZ239"/>
      <c r="REA239"/>
      <c r="REB239"/>
      <c r="REC239"/>
      <c r="RED239"/>
      <c r="REE239"/>
      <c r="REF239"/>
      <c r="REG239"/>
      <c r="REH239"/>
      <c r="REI239"/>
      <c r="REJ239"/>
      <c r="REK239"/>
      <c r="REL239"/>
      <c r="REM239"/>
      <c r="REN239"/>
      <c r="REO239"/>
      <c r="REP239"/>
      <c r="REQ239"/>
      <c r="RER239"/>
      <c r="RES239"/>
      <c r="RET239"/>
      <c r="REU239"/>
      <c r="REV239"/>
      <c r="REW239"/>
      <c r="REX239"/>
      <c r="REY239"/>
      <c r="REZ239"/>
      <c r="RFA239"/>
      <c r="RFB239"/>
      <c r="RFC239"/>
      <c r="RFD239"/>
      <c r="RFE239"/>
      <c r="RFF239"/>
      <c r="RFG239"/>
      <c r="RFH239"/>
      <c r="RFI239"/>
      <c r="RFJ239"/>
      <c r="RFK239"/>
      <c r="RFL239"/>
      <c r="RFM239"/>
      <c r="RFN239"/>
      <c r="RFO239"/>
      <c r="RFP239"/>
      <c r="RFQ239"/>
      <c r="RFR239"/>
      <c r="RFS239"/>
      <c r="RFT239"/>
      <c r="RFU239"/>
      <c r="RFV239"/>
      <c r="RFW239"/>
      <c r="RFX239"/>
      <c r="RFY239"/>
      <c r="RFZ239"/>
      <c r="RGA239"/>
      <c r="RGB239"/>
      <c r="RGC239"/>
      <c r="RGD239"/>
      <c r="RGE239"/>
      <c r="RGF239"/>
      <c r="RGG239"/>
      <c r="RGH239"/>
      <c r="RGI239"/>
      <c r="RGJ239"/>
      <c r="RGK239"/>
      <c r="RGL239"/>
      <c r="RGM239"/>
      <c r="RGN239"/>
      <c r="RGO239"/>
      <c r="RGP239"/>
      <c r="RGQ239"/>
      <c r="RGR239"/>
      <c r="RGS239"/>
      <c r="RGT239"/>
      <c r="RGU239"/>
      <c r="RGV239"/>
      <c r="RGW239"/>
      <c r="RGX239"/>
      <c r="RGY239"/>
      <c r="RGZ239"/>
      <c r="RHA239"/>
      <c r="RHB239"/>
      <c r="RHC239"/>
      <c r="RHD239"/>
      <c r="RHE239"/>
      <c r="RHF239"/>
      <c r="RHG239"/>
      <c r="RHH239"/>
      <c r="RHI239"/>
      <c r="RHJ239"/>
      <c r="RHK239"/>
      <c r="RHL239"/>
      <c r="RHM239"/>
      <c r="RHN239"/>
      <c r="RHO239"/>
      <c r="RHP239"/>
      <c r="RHQ239"/>
      <c r="RHR239"/>
      <c r="RHS239"/>
      <c r="RHT239"/>
      <c r="RHU239"/>
      <c r="RHV239"/>
      <c r="RHW239"/>
      <c r="RHX239"/>
      <c r="RHY239"/>
      <c r="RHZ239"/>
      <c r="RIA239"/>
      <c r="RIB239"/>
      <c r="RIC239"/>
      <c r="RID239"/>
      <c r="RIE239"/>
      <c r="RIF239"/>
      <c r="RIG239"/>
      <c r="RIH239"/>
      <c r="RII239"/>
      <c r="RIJ239"/>
      <c r="RIK239"/>
      <c r="RIL239"/>
      <c r="RIM239"/>
      <c r="RIN239"/>
      <c r="RIO239"/>
      <c r="RIP239"/>
      <c r="RIQ239"/>
      <c r="RIR239"/>
      <c r="RIS239"/>
      <c r="RIT239"/>
      <c r="RIU239"/>
      <c r="RIV239"/>
      <c r="RIW239"/>
      <c r="RIX239"/>
      <c r="RIY239"/>
      <c r="RIZ239"/>
      <c r="RJA239"/>
      <c r="RJB239"/>
      <c r="RJC239"/>
      <c r="RJD239"/>
      <c r="RJE239"/>
      <c r="RJF239"/>
      <c r="RJG239"/>
      <c r="RJH239"/>
      <c r="RJI239"/>
      <c r="RJJ239"/>
      <c r="RJK239"/>
      <c r="RJL239"/>
      <c r="RJM239"/>
      <c r="RJN239"/>
      <c r="RJO239"/>
      <c r="RJP239"/>
      <c r="RJQ239"/>
      <c r="RJR239"/>
      <c r="RJS239"/>
      <c r="RJT239"/>
      <c r="RJU239"/>
      <c r="RJV239"/>
      <c r="RJW239"/>
      <c r="RJX239"/>
      <c r="RJY239"/>
      <c r="RJZ239"/>
      <c r="RKA239"/>
      <c r="RKB239"/>
      <c r="RKC239"/>
      <c r="RKD239"/>
      <c r="RKE239"/>
      <c r="RKF239"/>
      <c r="RKG239"/>
      <c r="RKH239"/>
      <c r="RKI239"/>
      <c r="RKJ239"/>
      <c r="RKK239"/>
      <c r="RKL239"/>
      <c r="RKM239"/>
      <c r="RKN239"/>
      <c r="RKO239"/>
      <c r="RKP239"/>
      <c r="RKQ239"/>
      <c r="RKR239"/>
      <c r="RKS239"/>
      <c r="RKT239"/>
      <c r="RKU239"/>
      <c r="RKV239"/>
      <c r="RKW239"/>
      <c r="RKX239"/>
      <c r="RKY239"/>
      <c r="RKZ239"/>
      <c r="RLA239"/>
      <c r="RLB239"/>
      <c r="RLC239"/>
      <c r="RLD239"/>
      <c r="RLE239"/>
      <c r="RLF239"/>
      <c r="RLG239"/>
      <c r="RLH239"/>
      <c r="RLI239"/>
      <c r="RLJ239"/>
      <c r="RLK239"/>
      <c r="RLL239"/>
      <c r="RLM239"/>
      <c r="RLN239"/>
      <c r="RLO239"/>
      <c r="RLP239"/>
      <c r="RLQ239"/>
      <c r="RLR239"/>
      <c r="RLS239"/>
      <c r="RLT239"/>
      <c r="RLU239"/>
      <c r="RLV239"/>
      <c r="RLW239"/>
      <c r="RLX239"/>
      <c r="RLY239"/>
      <c r="RLZ239"/>
      <c r="RMA239"/>
      <c r="RMB239"/>
      <c r="RMC239"/>
      <c r="RMD239"/>
      <c r="RME239"/>
      <c r="RMF239"/>
      <c r="RMG239"/>
      <c r="RMH239"/>
      <c r="RMI239"/>
      <c r="RMJ239"/>
      <c r="RMK239"/>
      <c r="RML239"/>
      <c r="RMM239"/>
      <c r="RMN239"/>
      <c r="RMO239"/>
      <c r="RMP239"/>
      <c r="RMQ239"/>
      <c r="RMR239"/>
      <c r="RMS239"/>
      <c r="RMT239"/>
      <c r="RMU239"/>
      <c r="RMV239"/>
      <c r="RMW239"/>
      <c r="RMX239"/>
      <c r="RMY239"/>
      <c r="RMZ239"/>
      <c r="RNA239"/>
      <c r="RNB239"/>
      <c r="RNC239"/>
      <c r="RND239"/>
      <c r="RNE239"/>
      <c r="RNF239"/>
      <c r="RNG239"/>
      <c r="RNH239"/>
      <c r="RNI239"/>
      <c r="RNJ239"/>
      <c r="RNK239"/>
      <c r="RNL239"/>
      <c r="RNM239"/>
      <c r="RNN239"/>
      <c r="RNO239"/>
      <c r="RNP239"/>
      <c r="RNQ239"/>
      <c r="RNR239"/>
      <c r="RNS239"/>
      <c r="RNT239"/>
      <c r="RNU239"/>
      <c r="RNV239"/>
      <c r="RNW239"/>
      <c r="RNX239"/>
      <c r="RNY239"/>
      <c r="RNZ239"/>
      <c r="ROA239"/>
      <c r="ROB239"/>
      <c r="ROC239"/>
      <c r="ROD239"/>
      <c r="ROE239"/>
      <c r="ROF239"/>
      <c r="ROG239"/>
      <c r="ROH239"/>
      <c r="ROI239"/>
      <c r="ROJ239"/>
      <c r="ROK239"/>
      <c r="ROL239"/>
      <c r="ROM239"/>
      <c r="RON239"/>
      <c r="ROO239"/>
      <c r="ROP239"/>
      <c r="ROQ239"/>
      <c r="ROR239"/>
      <c r="ROS239"/>
      <c r="ROT239"/>
      <c r="ROU239"/>
      <c r="ROV239"/>
      <c r="ROW239"/>
      <c r="ROX239"/>
      <c r="ROY239"/>
      <c r="ROZ239"/>
      <c r="RPA239"/>
      <c r="RPB239"/>
      <c r="RPC239"/>
      <c r="RPD239"/>
      <c r="RPE239"/>
      <c r="RPF239"/>
      <c r="RPG239"/>
      <c r="RPH239"/>
      <c r="RPI239"/>
      <c r="RPJ239"/>
      <c r="RPK239"/>
      <c r="RPL239"/>
      <c r="RPM239"/>
      <c r="RPN239"/>
      <c r="RPO239"/>
      <c r="RPP239"/>
      <c r="RPQ239"/>
      <c r="RPR239"/>
      <c r="RPS239"/>
      <c r="RPT239"/>
      <c r="RPU239"/>
      <c r="RPV239"/>
      <c r="RPW239"/>
      <c r="RPX239"/>
      <c r="RPY239"/>
      <c r="RPZ239"/>
      <c r="RQA239"/>
      <c r="RQB239"/>
      <c r="RQC239"/>
      <c r="RQD239"/>
      <c r="RQE239"/>
      <c r="RQF239"/>
      <c r="RQG239"/>
      <c r="RQH239"/>
      <c r="RQI239"/>
      <c r="RQJ239"/>
      <c r="RQK239"/>
      <c r="RQL239"/>
      <c r="RQM239"/>
      <c r="RQN239"/>
      <c r="RQO239"/>
      <c r="RQP239"/>
      <c r="RQQ239"/>
      <c r="RQR239"/>
      <c r="RQS239"/>
      <c r="RQT239"/>
      <c r="RQU239"/>
      <c r="RQV239"/>
      <c r="RQW239"/>
      <c r="RQX239"/>
      <c r="RQY239"/>
      <c r="RQZ239"/>
      <c r="RRA239"/>
      <c r="RRB239"/>
      <c r="RRC239"/>
      <c r="RRD239"/>
      <c r="RRE239"/>
      <c r="RRF239"/>
      <c r="RRG239"/>
      <c r="RRH239"/>
      <c r="RRI239"/>
      <c r="RRJ239"/>
      <c r="RRK239"/>
      <c r="RRL239"/>
      <c r="RRM239"/>
      <c r="RRN239"/>
      <c r="RRO239"/>
      <c r="RRP239"/>
      <c r="RRQ239"/>
      <c r="RRR239"/>
      <c r="RRS239"/>
      <c r="RRT239"/>
      <c r="RRU239"/>
      <c r="RRV239"/>
      <c r="RRW239"/>
      <c r="RRX239"/>
      <c r="RRY239"/>
      <c r="RRZ239"/>
      <c r="RSA239"/>
      <c r="RSB239"/>
      <c r="RSC239"/>
      <c r="RSD239"/>
      <c r="RSE239"/>
      <c r="RSF239"/>
      <c r="RSG239"/>
      <c r="RSH239"/>
      <c r="RSI239"/>
      <c r="RSJ239"/>
      <c r="RSK239"/>
      <c r="RSL239"/>
      <c r="RSM239"/>
      <c r="RSN239"/>
      <c r="RSO239"/>
      <c r="RSP239"/>
      <c r="RSQ239"/>
      <c r="RSR239"/>
      <c r="RSS239"/>
      <c r="RST239"/>
      <c r="RSU239"/>
      <c r="RSV239"/>
      <c r="RSW239"/>
      <c r="RSX239"/>
      <c r="RSY239"/>
      <c r="RSZ239"/>
      <c r="RTA239"/>
      <c r="RTB239"/>
      <c r="RTC239"/>
      <c r="RTD239"/>
      <c r="RTE239"/>
      <c r="RTF239"/>
      <c r="RTG239"/>
      <c r="RTH239"/>
      <c r="RTI239"/>
      <c r="RTJ239"/>
      <c r="RTK239"/>
      <c r="RTL239"/>
      <c r="RTM239"/>
      <c r="RTN239"/>
      <c r="RTO239"/>
      <c r="RTP239"/>
      <c r="RTQ239"/>
      <c r="RTR239"/>
      <c r="RTS239"/>
      <c r="RTT239"/>
      <c r="RTU239"/>
      <c r="RTV239"/>
      <c r="RTW239"/>
      <c r="RTX239"/>
      <c r="RTY239"/>
      <c r="RTZ239"/>
      <c r="RUA239"/>
      <c r="RUB239"/>
      <c r="RUC239"/>
      <c r="RUD239"/>
      <c r="RUE239"/>
      <c r="RUF239"/>
      <c r="RUG239"/>
      <c r="RUH239"/>
      <c r="RUI239"/>
      <c r="RUJ239"/>
      <c r="RUK239"/>
      <c r="RUL239"/>
      <c r="RUM239"/>
      <c r="RUN239"/>
      <c r="RUO239"/>
      <c r="RUP239"/>
      <c r="RUQ239"/>
      <c r="RUR239"/>
      <c r="RUS239"/>
      <c r="RUT239"/>
      <c r="RUU239"/>
      <c r="RUV239"/>
      <c r="RUW239"/>
      <c r="RUX239"/>
      <c r="RUY239"/>
      <c r="RUZ239"/>
      <c r="RVA239"/>
      <c r="RVB239"/>
      <c r="RVC239"/>
      <c r="RVD239"/>
      <c r="RVE239"/>
      <c r="RVF239"/>
      <c r="RVG239"/>
      <c r="RVH239"/>
      <c r="RVI239"/>
      <c r="RVJ239"/>
      <c r="RVK239"/>
      <c r="RVL239"/>
      <c r="RVM239"/>
      <c r="RVN239"/>
      <c r="RVO239"/>
      <c r="RVP239"/>
      <c r="RVQ239"/>
      <c r="RVR239"/>
      <c r="RVS239"/>
      <c r="RVT239"/>
      <c r="RVU239"/>
      <c r="RVV239"/>
      <c r="RVW239"/>
      <c r="RVX239"/>
      <c r="RVY239"/>
      <c r="RVZ239"/>
      <c r="RWA239"/>
      <c r="RWB239"/>
      <c r="RWC239"/>
      <c r="RWD239"/>
      <c r="RWE239"/>
      <c r="RWF239"/>
      <c r="RWG239"/>
      <c r="RWH239"/>
      <c r="RWI239"/>
      <c r="RWJ239"/>
      <c r="RWK239"/>
      <c r="RWL239"/>
      <c r="RWM239"/>
      <c r="RWN239"/>
      <c r="RWO239"/>
      <c r="RWP239"/>
      <c r="RWQ239"/>
      <c r="RWR239"/>
      <c r="RWS239"/>
      <c r="RWT239"/>
      <c r="RWU239"/>
      <c r="RWV239"/>
      <c r="RWW239"/>
      <c r="RWX239"/>
      <c r="RWY239"/>
      <c r="RWZ239"/>
      <c r="RXA239"/>
      <c r="RXB239"/>
      <c r="RXC239"/>
      <c r="RXD239"/>
      <c r="RXE239"/>
      <c r="RXF239"/>
      <c r="RXG239"/>
      <c r="RXH239"/>
      <c r="RXI239"/>
      <c r="RXJ239"/>
      <c r="RXK239"/>
      <c r="RXL239"/>
      <c r="RXM239"/>
      <c r="RXN239"/>
      <c r="RXO239"/>
      <c r="RXP239"/>
      <c r="RXQ239"/>
      <c r="RXR239"/>
      <c r="RXS239"/>
      <c r="RXT239"/>
      <c r="RXU239"/>
      <c r="RXV239"/>
      <c r="RXW239"/>
      <c r="RXX239"/>
      <c r="RXY239"/>
      <c r="RXZ239"/>
      <c r="RYA239"/>
      <c r="RYB239"/>
      <c r="RYC239"/>
      <c r="RYD239"/>
      <c r="RYE239"/>
      <c r="RYF239"/>
      <c r="RYG239"/>
      <c r="RYH239"/>
      <c r="RYI239"/>
      <c r="RYJ239"/>
      <c r="RYK239"/>
      <c r="RYL239"/>
      <c r="RYM239"/>
      <c r="RYN239"/>
      <c r="RYO239"/>
      <c r="RYP239"/>
      <c r="RYQ239"/>
      <c r="RYR239"/>
      <c r="RYS239"/>
      <c r="RYT239"/>
      <c r="RYU239"/>
      <c r="RYV239"/>
      <c r="RYW239"/>
      <c r="RYX239"/>
      <c r="RYY239"/>
      <c r="RYZ239"/>
      <c r="RZA239"/>
      <c r="RZB239"/>
      <c r="RZC239"/>
      <c r="RZD239"/>
      <c r="RZE239"/>
      <c r="RZF239"/>
      <c r="RZG239"/>
      <c r="RZH239"/>
      <c r="RZI239"/>
      <c r="RZJ239"/>
      <c r="RZK239"/>
      <c r="RZL239"/>
      <c r="RZM239"/>
      <c r="RZN239"/>
      <c r="RZO239"/>
      <c r="RZP239"/>
      <c r="RZQ239"/>
      <c r="RZR239"/>
      <c r="RZS239"/>
      <c r="RZT239"/>
      <c r="RZU239"/>
      <c r="RZV239"/>
      <c r="RZW239"/>
      <c r="RZX239"/>
      <c r="RZY239"/>
      <c r="RZZ239"/>
      <c r="SAA239"/>
      <c r="SAB239"/>
      <c r="SAC239"/>
      <c r="SAD239"/>
      <c r="SAE239"/>
      <c r="SAF239"/>
      <c r="SAG239"/>
      <c r="SAH239"/>
      <c r="SAI239"/>
      <c r="SAJ239"/>
      <c r="SAK239"/>
      <c r="SAL239"/>
      <c r="SAM239"/>
      <c r="SAN239"/>
      <c r="SAO239"/>
      <c r="SAP239"/>
      <c r="SAQ239"/>
      <c r="SAR239"/>
      <c r="SAS239"/>
      <c r="SAT239"/>
      <c r="SAU239"/>
      <c r="SAV239"/>
      <c r="SAW239"/>
      <c r="SAX239"/>
      <c r="SAY239"/>
      <c r="SAZ239"/>
      <c r="SBA239"/>
      <c r="SBB239"/>
      <c r="SBC239"/>
      <c r="SBD239"/>
      <c r="SBE239"/>
      <c r="SBF239"/>
      <c r="SBG239"/>
      <c r="SBH239"/>
      <c r="SBI239"/>
      <c r="SBJ239"/>
      <c r="SBK239"/>
      <c r="SBL239"/>
      <c r="SBM239"/>
      <c r="SBN239"/>
      <c r="SBO239"/>
      <c r="SBP239"/>
      <c r="SBQ239"/>
      <c r="SBR239"/>
      <c r="SBS239"/>
      <c r="SBT239"/>
      <c r="SBU239"/>
      <c r="SBV239"/>
      <c r="SBW239"/>
      <c r="SBX239"/>
      <c r="SBY239"/>
      <c r="SBZ239"/>
      <c r="SCA239"/>
      <c r="SCB239"/>
      <c r="SCC239"/>
      <c r="SCD239"/>
      <c r="SCE239"/>
      <c r="SCF239"/>
      <c r="SCG239"/>
      <c r="SCH239"/>
      <c r="SCI239"/>
      <c r="SCJ239"/>
      <c r="SCK239"/>
      <c r="SCL239"/>
      <c r="SCM239"/>
      <c r="SCN239"/>
      <c r="SCO239"/>
      <c r="SCP239"/>
      <c r="SCQ239"/>
      <c r="SCR239"/>
      <c r="SCS239"/>
      <c r="SCT239"/>
      <c r="SCU239"/>
      <c r="SCV239"/>
      <c r="SCW239"/>
      <c r="SCX239"/>
      <c r="SCY239"/>
      <c r="SCZ239"/>
      <c r="SDA239"/>
      <c r="SDB239"/>
      <c r="SDC239"/>
      <c r="SDD239"/>
      <c r="SDE239"/>
      <c r="SDF239"/>
      <c r="SDG239"/>
      <c r="SDH239"/>
      <c r="SDI239"/>
      <c r="SDJ239"/>
      <c r="SDK239"/>
      <c r="SDL239"/>
      <c r="SDM239"/>
      <c r="SDN239"/>
      <c r="SDO239"/>
      <c r="SDP239"/>
      <c r="SDQ239"/>
      <c r="SDR239"/>
      <c r="SDS239"/>
      <c r="SDT239"/>
      <c r="SDU239"/>
      <c r="SDV239"/>
      <c r="SDW239"/>
      <c r="SDX239"/>
      <c r="SDY239"/>
      <c r="SDZ239"/>
      <c r="SEA239"/>
      <c r="SEB239"/>
      <c r="SEC239"/>
      <c r="SED239"/>
      <c r="SEE239"/>
      <c r="SEF239"/>
      <c r="SEG239"/>
      <c r="SEH239"/>
      <c r="SEI239"/>
      <c r="SEJ239"/>
      <c r="SEK239"/>
      <c r="SEL239"/>
      <c r="SEM239"/>
      <c r="SEN239"/>
      <c r="SEO239"/>
      <c r="SEP239"/>
      <c r="SEQ239"/>
      <c r="SER239"/>
      <c r="SES239"/>
      <c r="SET239"/>
      <c r="SEU239"/>
      <c r="SEV239"/>
      <c r="SEW239"/>
      <c r="SEX239"/>
      <c r="SEY239"/>
      <c r="SEZ239"/>
      <c r="SFA239"/>
      <c r="SFB239"/>
      <c r="SFC239"/>
      <c r="SFD239"/>
      <c r="SFE239"/>
      <c r="SFF239"/>
      <c r="SFG239"/>
      <c r="SFH239"/>
      <c r="SFI239"/>
      <c r="SFJ239"/>
      <c r="SFK239"/>
      <c r="SFL239"/>
      <c r="SFM239"/>
      <c r="SFN239"/>
      <c r="SFO239"/>
      <c r="SFP239"/>
      <c r="SFQ239"/>
      <c r="SFR239"/>
      <c r="SFS239"/>
      <c r="SFT239"/>
      <c r="SFU239"/>
      <c r="SFV239"/>
      <c r="SFW239"/>
      <c r="SFX239"/>
      <c r="SFY239"/>
      <c r="SFZ239"/>
      <c r="SGA239"/>
      <c r="SGB239"/>
      <c r="SGC239"/>
      <c r="SGD239"/>
      <c r="SGE239"/>
      <c r="SGF239"/>
      <c r="SGG239"/>
      <c r="SGH239"/>
      <c r="SGI239"/>
      <c r="SGJ239"/>
      <c r="SGK239"/>
      <c r="SGL239"/>
      <c r="SGM239"/>
      <c r="SGN239"/>
      <c r="SGO239"/>
      <c r="SGP239"/>
      <c r="SGQ239"/>
      <c r="SGR239"/>
      <c r="SGS239"/>
      <c r="SGT239"/>
      <c r="SGU239"/>
      <c r="SGV239"/>
      <c r="SGW239"/>
      <c r="SGX239"/>
      <c r="SGY239"/>
      <c r="SGZ239"/>
      <c r="SHA239"/>
      <c r="SHB239"/>
      <c r="SHC239"/>
      <c r="SHD239"/>
      <c r="SHE239"/>
      <c r="SHF239"/>
      <c r="SHG239"/>
      <c r="SHH239"/>
      <c r="SHI239"/>
      <c r="SHJ239"/>
      <c r="SHK239"/>
      <c r="SHL239"/>
      <c r="SHM239"/>
      <c r="SHN239"/>
      <c r="SHO239"/>
      <c r="SHP239"/>
      <c r="SHQ239"/>
      <c r="SHR239"/>
      <c r="SHS239"/>
      <c r="SHT239"/>
      <c r="SHU239"/>
      <c r="SHV239"/>
      <c r="SHW239"/>
      <c r="SHX239"/>
      <c r="SHY239"/>
      <c r="SHZ239"/>
      <c r="SIA239"/>
      <c r="SIB239"/>
      <c r="SIC239"/>
      <c r="SID239"/>
      <c r="SIE239"/>
      <c r="SIF239"/>
      <c r="SIG239"/>
      <c r="SIH239"/>
      <c r="SII239"/>
      <c r="SIJ239"/>
      <c r="SIK239"/>
      <c r="SIL239"/>
      <c r="SIM239"/>
      <c r="SIN239"/>
      <c r="SIO239"/>
      <c r="SIP239"/>
      <c r="SIQ239"/>
      <c r="SIR239"/>
      <c r="SIS239"/>
      <c r="SIT239"/>
      <c r="SIU239"/>
      <c r="SIV239"/>
      <c r="SIW239"/>
      <c r="SIX239"/>
      <c r="SIY239"/>
      <c r="SIZ239"/>
      <c r="SJA239"/>
      <c r="SJB239"/>
      <c r="SJC239"/>
      <c r="SJD239"/>
      <c r="SJE239"/>
      <c r="SJF239"/>
      <c r="SJG239"/>
      <c r="SJH239"/>
      <c r="SJI239"/>
      <c r="SJJ239"/>
      <c r="SJK239"/>
      <c r="SJL239"/>
      <c r="SJM239"/>
      <c r="SJN239"/>
      <c r="SJO239"/>
      <c r="SJP239"/>
      <c r="SJQ239"/>
      <c r="SJR239"/>
      <c r="SJS239"/>
      <c r="SJT239"/>
      <c r="SJU239"/>
      <c r="SJV239"/>
      <c r="SJW239"/>
      <c r="SJX239"/>
      <c r="SJY239"/>
      <c r="SJZ239"/>
      <c r="SKA239"/>
      <c r="SKB239"/>
      <c r="SKC239"/>
      <c r="SKD239"/>
      <c r="SKE239"/>
      <c r="SKF239"/>
      <c r="SKG239"/>
      <c r="SKH239"/>
      <c r="SKI239"/>
      <c r="SKJ239"/>
      <c r="SKK239"/>
      <c r="SKL239"/>
      <c r="SKM239"/>
      <c r="SKN239"/>
      <c r="SKO239"/>
      <c r="SKP239"/>
      <c r="SKQ239"/>
      <c r="SKR239"/>
      <c r="SKS239"/>
      <c r="SKT239"/>
      <c r="SKU239"/>
      <c r="SKV239"/>
      <c r="SKW239"/>
      <c r="SKX239"/>
      <c r="SKY239"/>
      <c r="SKZ239"/>
      <c r="SLA239"/>
      <c r="SLB239"/>
      <c r="SLC239"/>
      <c r="SLD239"/>
      <c r="SLE239"/>
      <c r="SLF239"/>
      <c r="SLG239"/>
      <c r="SLH239"/>
      <c r="SLI239"/>
      <c r="SLJ239"/>
      <c r="SLK239"/>
      <c r="SLL239"/>
      <c r="SLM239"/>
      <c r="SLN239"/>
      <c r="SLO239"/>
      <c r="SLP239"/>
      <c r="SLQ239"/>
      <c r="SLR239"/>
      <c r="SLS239"/>
      <c r="SLT239"/>
      <c r="SLU239"/>
      <c r="SLV239"/>
      <c r="SLW239"/>
      <c r="SLX239"/>
      <c r="SLY239"/>
      <c r="SLZ239"/>
      <c r="SMA239"/>
      <c r="SMB239"/>
      <c r="SMC239"/>
      <c r="SMD239"/>
      <c r="SME239"/>
      <c r="SMF239"/>
      <c r="SMG239"/>
      <c r="SMH239"/>
      <c r="SMI239"/>
      <c r="SMJ239"/>
      <c r="SMK239"/>
      <c r="SML239"/>
      <c r="SMM239"/>
      <c r="SMN239"/>
      <c r="SMO239"/>
      <c r="SMP239"/>
      <c r="SMQ239"/>
      <c r="SMR239"/>
      <c r="SMS239"/>
      <c r="SMT239"/>
      <c r="SMU239"/>
      <c r="SMV239"/>
      <c r="SMW239"/>
      <c r="SMX239"/>
      <c r="SMY239"/>
      <c r="SMZ239"/>
      <c r="SNA239"/>
      <c r="SNB239"/>
      <c r="SNC239"/>
      <c r="SND239"/>
      <c r="SNE239"/>
      <c r="SNF239"/>
      <c r="SNG239"/>
      <c r="SNH239"/>
      <c r="SNI239"/>
      <c r="SNJ239"/>
      <c r="SNK239"/>
      <c r="SNL239"/>
      <c r="SNM239"/>
      <c r="SNN239"/>
      <c r="SNO239"/>
      <c r="SNP239"/>
      <c r="SNQ239"/>
      <c r="SNR239"/>
      <c r="SNS239"/>
      <c r="SNT239"/>
      <c r="SNU239"/>
      <c r="SNV239"/>
      <c r="SNW239"/>
      <c r="SNX239"/>
      <c r="SNY239"/>
      <c r="SNZ239"/>
      <c r="SOA239"/>
      <c r="SOB239"/>
      <c r="SOC239"/>
      <c r="SOD239"/>
      <c r="SOE239"/>
      <c r="SOF239"/>
      <c r="SOG239"/>
      <c r="SOH239"/>
      <c r="SOI239"/>
      <c r="SOJ239"/>
      <c r="SOK239"/>
      <c r="SOL239"/>
      <c r="SOM239"/>
      <c r="SON239"/>
      <c r="SOO239"/>
      <c r="SOP239"/>
      <c r="SOQ239"/>
      <c r="SOR239"/>
      <c r="SOS239"/>
      <c r="SOT239"/>
      <c r="SOU239"/>
      <c r="SOV239"/>
      <c r="SOW239"/>
      <c r="SOX239"/>
      <c r="SOY239"/>
      <c r="SOZ239"/>
      <c r="SPA239"/>
      <c r="SPB239"/>
      <c r="SPC239"/>
      <c r="SPD239"/>
      <c r="SPE239"/>
      <c r="SPF239"/>
      <c r="SPG239"/>
      <c r="SPH239"/>
      <c r="SPI239"/>
      <c r="SPJ239"/>
      <c r="SPK239"/>
      <c r="SPL239"/>
      <c r="SPM239"/>
      <c r="SPN239"/>
      <c r="SPO239"/>
      <c r="SPP239"/>
      <c r="SPQ239"/>
      <c r="SPR239"/>
      <c r="SPS239"/>
      <c r="SPT239"/>
      <c r="SPU239"/>
      <c r="SPV239"/>
      <c r="SPW239"/>
      <c r="SPX239"/>
      <c r="SPY239"/>
      <c r="SPZ239"/>
      <c r="SQA239"/>
      <c r="SQB239"/>
      <c r="SQC239"/>
      <c r="SQD239"/>
      <c r="SQE239"/>
      <c r="SQF239"/>
      <c r="SQG239"/>
      <c r="SQH239"/>
      <c r="SQI239"/>
      <c r="SQJ239"/>
      <c r="SQK239"/>
      <c r="SQL239"/>
      <c r="SQM239"/>
      <c r="SQN239"/>
      <c r="SQO239"/>
      <c r="SQP239"/>
      <c r="SQQ239"/>
      <c r="SQR239"/>
      <c r="SQS239"/>
      <c r="SQT239"/>
      <c r="SQU239"/>
      <c r="SQV239"/>
      <c r="SQW239"/>
      <c r="SQX239"/>
      <c r="SQY239"/>
      <c r="SQZ239"/>
      <c r="SRA239"/>
      <c r="SRB239"/>
      <c r="SRC239"/>
      <c r="SRD239"/>
      <c r="SRE239"/>
      <c r="SRF239"/>
      <c r="SRG239"/>
      <c r="SRH239"/>
      <c r="SRI239"/>
      <c r="SRJ239"/>
      <c r="SRK239"/>
      <c r="SRL239"/>
      <c r="SRM239"/>
      <c r="SRN239"/>
      <c r="SRO239"/>
      <c r="SRP239"/>
      <c r="SRQ239"/>
      <c r="SRR239"/>
      <c r="SRS239"/>
      <c r="SRT239"/>
      <c r="SRU239"/>
      <c r="SRV239"/>
      <c r="SRW239"/>
      <c r="SRX239"/>
      <c r="SRY239"/>
      <c r="SRZ239"/>
      <c r="SSA239"/>
      <c r="SSB239"/>
      <c r="SSC239"/>
      <c r="SSD239"/>
      <c r="SSE239"/>
      <c r="SSF239"/>
      <c r="SSG239"/>
      <c r="SSH239"/>
      <c r="SSI239"/>
      <c r="SSJ239"/>
      <c r="SSK239"/>
      <c r="SSL239"/>
      <c r="SSM239"/>
      <c r="SSN239"/>
      <c r="SSO239"/>
      <c r="SSP239"/>
      <c r="SSQ239"/>
      <c r="SSR239"/>
      <c r="SSS239"/>
      <c r="SST239"/>
      <c r="SSU239"/>
      <c r="SSV239"/>
      <c r="SSW239"/>
      <c r="SSX239"/>
      <c r="SSY239"/>
      <c r="SSZ239"/>
      <c r="STA239"/>
      <c r="STB239"/>
      <c r="STC239"/>
      <c r="STD239"/>
      <c r="STE239"/>
      <c r="STF239"/>
      <c r="STG239"/>
      <c r="STH239"/>
      <c r="STI239"/>
      <c r="STJ239"/>
      <c r="STK239"/>
      <c r="STL239"/>
      <c r="STM239"/>
      <c r="STN239"/>
      <c r="STO239"/>
      <c r="STP239"/>
      <c r="STQ239"/>
      <c r="STR239"/>
      <c r="STS239"/>
      <c r="STT239"/>
      <c r="STU239"/>
      <c r="STV239"/>
      <c r="STW239"/>
      <c r="STX239"/>
      <c r="STY239"/>
      <c r="STZ239"/>
      <c r="SUA239"/>
      <c r="SUB239"/>
      <c r="SUC239"/>
      <c r="SUD239"/>
      <c r="SUE239"/>
      <c r="SUF239"/>
      <c r="SUG239"/>
      <c r="SUH239"/>
      <c r="SUI239"/>
      <c r="SUJ239"/>
      <c r="SUK239"/>
      <c r="SUL239"/>
      <c r="SUM239"/>
      <c r="SUN239"/>
      <c r="SUO239"/>
      <c r="SUP239"/>
      <c r="SUQ239"/>
      <c r="SUR239"/>
      <c r="SUS239"/>
      <c r="SUT239"/>
      <c r="SUU239"/>
      <c r="SUV239"/>
      <c r="SUW239"/>
      <c r="SUX239"/>
      <c r="SUY239"/>
      <c r="SUZ239"/>
      <c r="SVA239"/>
      <c r="SVB239"/>
      <c r="SVC239"/>
      <c r="SVD239"/>
      <c r="SVE239"/>
      <c r="SVF239"/>
      <c r="SVG239"/>
      <c r="SVH239"/>
      <c r="SVI239"/>
      <c r="SVJ239"/>
      <c r="SVK239"/>
      <c r="SVL239"/>
      <c r="SVM239"/>
      <c r="SVN239"/>
      <c r="SVO239"/>
      <c r="SVP239"/>
      <c r="SVQ239"/>
      <c r="SVR239"/>
      <c r="SVS239"/>
      <c r="SVT239"/>
      <c r="SVU239"/>
      <c r="SVV239"/>
      <c r="SVW239"/>
      <c r="SVX239"/>
      <c r="SVY239"/>
      <c r="SVZ239"/>
      <c r="SWA239"/>
      <c r="SWB239"/>
      <c r="SWC239"/>
      <c r="SWD239"/>
      <c r="SWE239"/>
      <c r="SWF239"/>
      <c r="SWG239"/>
      <c r="SWH239"/>
      <c r="SWI239"/>
      <c r="SWJ239"/>
      <c r="SWK239"/>
      <c r="SWL239"/>
      <c r="SWM239"/>
      <c r="SWN239"/>
      <c r="SWO239"/>
      <c r="SWP239"/>
      <c r="SWQ239"/>
      <c r="SWR239"/>
      <c r="SWS239"/>
      <c r="SWT239"/>
      <c r="SWU239"/>
      <c r="SWV239"/>
      <c r="SWW239"/>
      <c r="SWX239"/>
      <c r="SWY239"/>
      <c r="SWZ239"/>
      <c r="SXA239"/>
      <c r="SXB239"/>
      <c r="SXC239"/>
      <c r="SXD239"/>
      <c r="SXE239"/>
      <c r="SXF239"/>
      <c r="SXG239"/>
      <c r="SXH239"/>
      <c r="SXI239"/>
      <c r="SXJ239"/>
      <c r="SXK239"/>
      <c r="SXL239"/>
      <c r="SXM239"/>
      <c r="SXN239"/>
      <c r="SXO239"/>
      <c r="SXP239"/>
      <c r="SXQ239"/>
      <c r="SXR239"/>
      <c r="SXS239"/>
      <c r="SXT239"/>
      <c r="SXU239"/>
      <c r="SXV239"/>
      <c r="SXW239"/>
      <c r="SXX239"/>
      <c r="SXY239"/>
      <c r="SXZ239"/>
      <c r="SYA239"/>
      <c r="SYB239"/>
      <c r="SYC239"/>
      <c r="SYD239"/>
      <c r="SYE239"/>
      <c r="SYF239"/>
      <c r="SYG239"/>
      <c r="SYH239"/>
      <c r="SYI239"/>
      <c r="SYJ239"/>
      <c r="SYK239"/>
      <c r="SYL239"/>
      <c r="SYM239"/>
      <c r="SYN239"/>
      <c r="SYO239"/>
      <c r="SYP239"/>
      <c r="SYQ239"/>
      <c r="SYR239"/>
      <c r="SYS239"/>
      <c r="SYT239"/>
      <c r="SYU239"/>
      <c r="SYV239"/>
      <c r="SYW239"/>
      <c r="SYX239"/>
      <c r="SYY239"/>
      <c r="SYZ239"/>
      <c r="SZA239"/>
      <c r="SZB239"/>
      <c r="SZC239"/>
      <c r="SZD239"/>
      <c r="SZE239"/>
      <c r="SZF239"/>
      <c r="SZG239"/>
      <c r="SZH239"/>
      <c r="SZI239"/>
      <c r="SZJ239"/>
      <c r="SZK239"/>
      <c r="SZL239"/>
      <c r="SZM239"/>
      <c r="SZN239"/>
      <c r="SZO239"/>
      <c r="SZP239"/>
      <c r="SZQ239"/>
      <c r="SZR239"/>
      <c r="SZS239"/>
      <c r="SZT239"/>
      <c r="SZU239"/>
      <c r="SZV239"/>
      <c r="SZW239"/>
      <c r="SZX239"/>
      <c r="SZY239"/>
      <c r="SZZ239"/>
      <c r="TAA239"/>
      <c r="TAB239"/>
      <c r="TAC239"/>
      <c r="TAD239"/>
      <c r="TAE239"/>
      <c r="TAF239"/>
      <c r="TAG239"/>
      <c r="TAH239"/>
      <c r="TAI239"/>
      <c r="TAJ239"/>
      <c r="TAK239"/>
      <c r="TAL239"/>
      <c r="TAM239"/>
      <c r="TAN239"/>
      <c r="TAO239"/>
      <c r="TAP239"/>
      <c r="TAQ239"/>
      <c r="TAR239"/>
      <c r="TAS239"/>
      <c r="TAT239"/>
      <c r="TAU239"/>
      <c r="TAV239"/>
      <c r="TAW239"/>
      <c r="TAX239"/>
      <c r="TAY239"/>
      <c r="TAZ239"/>
      <c r="TBA239"/>
      <c r="TBB239"/>
      <c r="TBC239"/>
      <c r="TBD239"/>
      <c r="TBE239"/>
      <c r="TBF239"/>
      <c r="TBG239"/>
      <c r="TBH239"/>
      <c r="TBI239"/>
      <c r="TBJ239"/>
      <c r="TBK239"/>
      <c r="TBL239"/>
      <c r="TBM239"/>
      <c r="TBN239"/>
      <c r="TBO239"/>
      <c r="TBP239"/>
      <c r="TBQ239"/>
      <c r="TBR239"/>
      <c r="TBS239"/>
      <c r="TBT239"/>
      <c r="TBU239"/>
      <c r="TBV239"/>
      <c r="TBW239"/>
      <c r="TBX239"/>
      <c r="TBY239"/>
      <c r="TBZ239"/>
      <c r="TCA239"/>
      <c r="TCB239"/>
      <c r="TCC239"/>
      <c r="TCD239"/>
      <c r="TCE239"/>
      <c r="TCF239"/>
      <c r="TCG239"/>
      <c r="TCH239"/>
      <c r="TCI239"/>
      <c r="TCJ239"/>
      <c r="TCK239"/>
      <c r="TCL239"/>
      <c r="TCM239"/>
      <c r="TCN239"/>
      <c r="TCO239"/>
      <c r="TCP239"/>
      <c r="TCQ239"/>
      <c r="TCR239"/>
      <c r="TCS239"/>
      <c r="TCT239"/>
      <c r="TCU239"/>
      <c r="TCV239"/>
      <c r="TCW239"/>
      <c r="TCX239"/>
      <c r="TCY239"/>
      <c r="TCZ239"/>
      <c r="TDA239"/>
      <c r="TDB239"/>
      <c r="TDC239"/>
      <c r="TDD239"/>
      <c r="TDE239"/>
      <c r="TDF239"/>
      <c r="TDG239"/>
      <c r="TDH239"/>
      <c r="TDI239"/>
      <c r="TDJ239"/>
      <c r="TDK239"/>
      <c r="TDL239"/>
      <c r="TDM239"/>
      <c r="TDN239"/>
      <c r="TDO239"/>
      <c r="TDP239"/>
      <c r="TDQ239"/>
      <c r="TDR239"/>
      <c r="TDS239"/>
      <c r="TDT239"/>
      <c r="TDU239"/>
      <c r="TDV239"/>
      <c r="TDW239"/>
      <c r="TDX239"/>
      <c r="TDY239"/>
      <c r="TDZ239"/>
      <c r="TEA239"/>
      <c r="TEB239"/>
      <c r="TEC239"/>
      <c r="TED239"/>
      <c r="TEE239"/>
      <c r="TEF239"/>
      <c r="TEG239"/>
      <c r="TEH239"/>
      <c r="TEI239"/>
      <c r="TEJ239"/>
      <c r="TEK239"/>
      <c r="TEL239"/>
      <c r="TEM239"/>
      <c r="TEN239"/>
      <c r="TEO239"/>
      <c r="TEP239"/>
      <c r="TEQ239"/>
      <c r="TER239"/>
      <c r="TES239"/>
      <c r="TET239"/>
      <c r="TEU239"/>
      <c r="TEV239"/>
      <c r="TEW239"/>
      <c r="TEX239"/>
      <c r="TEY239"/>
      <c r="TEZ239"/>
      <c r="TFA239"/>
      <c r="TFB239"/>
      <c r="TFC239"/>
      <c r="TFD239"/>
      <c r="TFE239"/>
      <c r="TFF239"/>
      <c r="TFG239"/>
      <c r="TFH239"/>
      <c r="TFI239"/>
      <c r="TFJ239"/>
      <c r="TFK239"/>
      <c r="TFL239"/>
      <c r="TFM239"/>
      <c r="TFN239"/>
      <c r="TFO239"/>
      <c r="TFP239"/>
      <c r="TFQ239"/>
      <c r="TFR239"/>
      <c r="TFS239"/>
      <c r="TFT239"/>
      <c r="TFU239"/>
      <c r="TFV239"/>
      <c r="TFW239"/>
      <c r="TFX239"/>
      <c r="TFY239"/>
      <c r="TFZ239"/>
      <c r="TGA239"/>
      <c r="TGB239"/>
      <c r="TGC239"/>
      <c r="TGD239"/>
      <c r="TGE239"/>
      <c r="TGF239"/>
      <c r="TGG239"/>
      <c r="TGH239"/>
      <c r="TGI239"/>
      <c r="TGJ239"/>
      <c r="TGK239"/>
      <c r="TGL239"/>
      <c r="TGM239"/>
      <c r="TGN239"/>
      <c r="TGO239"/>
      <c r="TGP239"/>
      <c r="TGQ239"/>
      <c r="TGR239"/>
      <c r="TGS239"/>
      <c r="TGT239"/>
      <c r="TGU239"/>
      <c r="TGV239"/>
      <c r="TGW239"/>
      <c r="TGX239"/>
      <c r="TGY239"/>
      <c r="TGZ239"/>
      <c r="THA239"/>
      <c r="THB239"/>
      <c r="THC239"/>
      <c r="THD239"/>
      <c r="THE239"/>
      <c r="THF239"/>
      <c r="THG239"/>
      <c r="THH239"/>
      <c r="THI239"/>
      <c r="THJ239"/>
      <c r="THK239"/>
      <c r="THL239"/>
      <c r="THM239"/>
      <c r="THN239"/>
      <c r="THO239"/>
      <c r="THP239"/>
      <c r="THQ239"/>
      <c r="THR239"/>
      <c r="THS239"/>
      <c r="THT239"/>
      <c r="THU239"/>
      <c r="THV239"/>
      <c r="THW239"/>
      <c r="THX239"/>
      <c r="THY239"/>
      <c r="THZ239"/>
      <c r="TIA239"/>
      <c r="TIB239"/>
      <c r="TIC239"/>
      <c r="TID239"/>
      <c r="TIE239"/>
      <c r="TIF239"/>
      <c r="TIG239"/>
      <c r="TIH239"/>
      <c r="TII239"/>
      <c r="TIJ239"/>
      <c r="TIK239"/>
      <c r="TIL239"/>
      <c r="TIM239"/>
      <c r="TIN239"/>
      <c r="TIO239"/>
      <c r="TIP239"/>
      <c r="TIQ239"/>
      <c r="TIR239"/>
      <c r="TIS239"/>
      <c r="TIT239"/>
      <c r="TIU239"/>
      <c r="TIV239"/>
      <c r="TIW239"/>
      <c r="TIX239"/>
      <c r="TIY239"/>
      <c r="TIZ239"/>
      <c r="TJA239"/>
      <c r="TJB239"/>
      <c r="TJC239"/>
      <c r="TJD239"/>
      <c r="TJE239"/>
      <c r="TJF239"/>
      <c r="TJG239"/>
      <c r="TJH239"/>
      <c r="TJI239"/>
      <c r="TJJ239"/>
      <c r="TJK239"/>
      <c r="TJL239"/>
      <c r="TJM239"/>
      <c r="TJN239"/>
      <c r="TJO239"/>
      <c r="TJP239"/>
      <c r="TJQ239"/>
      <c r="TJR239"/>
      <c r="TJS239"/>
      <c r="TJT239"/>
      <c r="TJU239"/>
      <c r="TJV239"/>
      <c r="TJW239"/>
      <c r="TJX239"/>
      <c r="TJY239"/>
      <c r="TJZ239"/>
      <c r="TKA239"/>
      <c r="TKB239"/>
      <c r="TKC239"/>
      <c r="TKD239"/>
      <c r="TKE239"/>
      <c r="TKF239"/>
      <c r="TKG239"/>
      <c r="TKH239"/>
      <c r="TKI239"/>
      <c r="TKJ239"/>
      <c r="TKK239"/>
      <c r="TKL239"/>
      <c r="TKM239"/>
      <c r="TKN239"/>
      <c r="TKO239"/>
      <c r="TKP239"/>
      <c r="TKQ239"/>
      <c r="TKR239"/>
      <c r="TKS239"/>
      <c r="TKT239"/>
      <c r="TKU239"/>
      <c r="TKV239"/>
      <c r="TKW239"/>
      <c r="TKX239"/>
      <c r="TKY239"/>
      <c r="TKZ239"/>
      <c r="TLA239"/>
      <c r="TLB239"/>
      <c r="TLC239"/>
      <c r="TLD239"/>
      <c r="TLE239"/>
      <c r="TLF239"/>
      <c r="TLG239"/>
      <c r="TLH239"/>
      <c r="TLI239"/>
      <c r="TLJ239"/>
      <c r="TLK239"/>
      <c r="TLL239"/>
      <c r="TLM239"/>
      <c r="TLN239"/>
      <c r="TLO239"/>
      <c r="TLP239"/>
      <c r="TLQ239"/>
      <c r="TLR239"/>
      <c r="TLS239"/>
      <c r="TLT239"/>
      <c r="TLU239"/>
      <c r="TLV239"/>
      <c r="TLW239"/>
      <c r="TLX239"/>
      <c r="TLY239"/>
      <c r="TLZ239"/>
      <c r="TMA239"/>
      <c r="TMB239"/>
      <c r="TMC239"/>
      <c r="TMD239"/>
      <c r="TME239"/>
      <c r="TMF239"/>
      <c r="TMG239"/>
      <c r="TMH239"/>
      <c r="TMI239"/>
      <c r="TMJ239"/>
      <c r="TMK239"/>
      <c r="TML239"/>
      <c r="TMM239"/>
      <c r="TMN239"/>
      <c r="TMO239"/>
      <c r="TMP239"/>
      <c r="TMQ239"/>
      <c r="TMR239"/>
      <c r="TMS239"/>
      <c r="TMT239"/>
      <c r="TMU239"/>
      <c r="TMV239"/>
      <c r="TMW239"/>
      <c r="TMX239"/>
      <c r="TMY239"/>
      <c r="TMZ239"/>
      <c r="TNA239"/>
      <c r="TNB239"/>
      <c r="TNC239"/>
      <c r="TND239"/>
      <c r="TNE239"/>
      <c r="TNF239"/>
      <c r="TNG239"/>
      <c r="TNH239"/>
      <c r="TNI239"/>
      <c r="TNJ239"/>
      <c r="TNK239"/>
      <c r="TNL239"/>
      <c r="TNM239"/>
      <c r="TNN239"/>
      <c r="TNO239"/>
      <c r="TNP239"/>
      <c r="TNQ239"/>
      <c r="TNR239"/>
      <c r="TNS239"/>
      <c r="TNT239"/>
      <c r="TNU239"/>
      <c r="TNV239"/>
      <c r="TNW239"/>
      <c r="TNX239"/>
      <c r="TNY239"/>
      <c r="TNZ239"/>
      <c r="TOA239"/>
      <c r="TOB239"/>
      <c r="TOC239"/>
      <c r="TOD239"/>
      <c r="TOE239"/>
      <c r="TOF239"/>
      <c r="TOG239"/>
      <c r="TOH239"/>
      <c r="TOI239"/>
      <c r="TOJ239"/>
      <c r="TOK239"/>
      <c r="TOL239"/>
      <c r="TOM239"/>
      <c r="TON239"/>
      <c r="TOO239"/>
      <c r="TOP239"/>
      <c r="TOQ239"/>
      <c r="TOR239"/>
      <c r="TOS239"/>
      <c r="TOT239"/>
      <c r="TOU239"/>
      <c r="TOV239"/>
      <c r="TOW239"/>
      <c r="TOX239"/>
      <c r="TOY239"/>
      <c r="TOZ239"/>
      <c r="TPA239"/>
      <c r="TPB239"/>
      <c r="TPC239"/>
      <c r="TPD239"/>
      <c r="TPE239"/>
      <c r="TPF239"/>
      <c r="TPG239"/>
      <c r="TPH239"/>
      <c r="TPI239"/>
      <c r="TPJ239"/>
      <c r="TPK239"/>
      <c r="TPL239"/>
      <c r="TPM239"/>
      <c r="TPN239"/>
      <c r="TPO239"/>
      <c r="TPP239"/>
      <c r="TPQ239"/>
      <c r="TPR239"/>
      <c r="TPS239"/>
      <c r="TPT239"/>
      <c r="TPU239"/>
      <c r="TPV239"/>
      <c r="TPW239"/>
      <c r="TPX239"/>
      <c r="TPY239"/>
      <c r="TPZ239"/>
      <c r="TQA239"/>
      <c r="TQB239"/>
      <c r="TQC239"/>
      <c r="TQD239"/>
      <c r="TQE239"/>
      <c r="TQF239"/>
      <c r="TQG239"/>
      <c r="TQH239"/>
      <c r="TQI239"/>
      <c r="TQJ239"/>
      <c r="TQK239"/>
      <c r="TQL239"/>
      <c r="TQM239"/>
      <c r="TQN239"/>
      <c r="TQO239"/>
      <c r="TQP239"/>
      <c r="TQQ239"/>
      <c r="TQR239"/>
      <c r="TQS239"/>
      <c r="TQT239"/>
      <c r="TQU239"/>
      <c r="TQV239"/>
      <c r="TQW239"/>
      <c r="TQX239"/>
      <c r="TQY239"/>
      <c r="TQZ239"/>
      <c r="TRA239"/>
      <c r="TRB239"/>
      <c r="TRC239"/>
      <c r="TRD239"/>
      <c r="TRE239"/>
      <c r="TRF239"/>
      <c r="TRG239"/>
      <c r="TRH239"/>
      <c r="TRI239"/>
      <c r="TRJ239"/>
      <c r="TRK239"/>
      <c r="TRL239"/>
      <c r="TRM239"/>
      <c r="TRN239"/>
      <c r="TRO239"/>
      <c r="TRP239"/>
      <c r="TRQ239"/>
      <c r="TRR239"/>
      <c r="TRS239"/>
      <c r="TRT239"/>
      <c r="TRU239"/>
      <c r="TRV239"/>
      <c r="TRW239"/>
      <c r="TRX239"/>
      <c r="TRY239"/>
      <c r="TRZ239"/>
      <c r="TSA239"/>
      <c r="TSB239"/>
      <c r="TSC239"/>
      <c r="TSD239"/>
      <c r="TSE239"/>
      <c r="TSF239"/>
      <c r="TSG239"/>
      <c r="TSH239"/>
      <c r="TSI239"/>
      <c r="TSJ239"/>
      <c r="TSK239"/>
      <c r="TSL239"/>
      <c r="TSM239"/>
      <c r="TSN239"/>
      <c r="TSO239"/>
      <c r="TSP239"/>
      <c r="TSQ239"/>
      <c r="TSR239"/>
      <c r="TSS239"/>
      <c r="TST239"/>
      <c r="TSU239"/>
      <c r="TSV239"/>
      <c r="TSW239"/>
      <c r="TSX239"/>
      <c r="TSY239"/>
      <c r="TSZ239"/>
      <c r="TTA239"/>
      <c r="TTB239"/>
      <c r="TTC239"/>
      <c r="TTD239"/>
      <c r="TTE239"/>
      <c r="TTF239"/>
      <c r="TTG239"/>
      <c r="TTH239"/>
      <c r="TTI239"/>
      <c r="TTJ239"/>
      <c r="TTK239"/>
      <c r="TTL239"/>
      <c r="TTM239"/>
      <c r="TTN239"/>
      <c r="TTO239"/>
      <c r="TTP239"/>
      <c r="TTQ239"/>
      <c r="TTR239"/>
      <c r="TTS239"/>
      <c r="TTT239"/>
      <c r="TTU239"/>
      <c r="TTV239"/>
      <c r="TTW239"/>
      <c r="TTX239"/>
      <c r="TTY239"/>
      <c r="TTZ239"/>
      <c r="TUA239"/>
      <c r="TUB239"/>
      <c r="TUC239"/>
      <c r="TUD239"/>
      <c r="TUE239"/>
      <c r="TUF239"/>
      <c r="TUG239"/>
      <c r="TUH239"/>
      <c r="TUI239"/>
      <c r="TUJ239"/>
      <c r="TUK239"/>
      <c r="TUL239"/>
      <c r="TUM239"/>
      <c r="TUN239"/>
      <c r="TUO239"/>
      <c r="TUP239"/>
      <c r="TUQ239"/>
      <c r="TUR239"/>
      <c r="TUS239"/>
      <c r="TUT239"/>
      <c r="TUU239"/>
      <c r="TUV239"/>
      <c r="TUW239"/>
      <c r="TUX239"/>
      <c r="TUY239"/>
      <c r="TUZ239"/>
      <c r="TVA239"/>
      <c r="TVB239"/>
      <c r="TVC239"/>
      <c r="TVD239"/>
      <c r="TVE239"/>
      <c r="TVF239"/>
      <c r="TVG239"/>
      <c r="TVH239"/>
      <c r="TVI239"/>
      <c r="TVJ239"/>
      <c r="TVK239"/>
      <c r="TVL239"/>
      <c r="TVM239"/>
      <c r="TVN239"/>
      <c r="TVO239"/>
      <c r="TVP239"/>
      <c r="TVQ239"/>
      <c r="TVR239"/>
      <c r="TVS239"/>
      <c r="TVT239"/>
      <c r="TVU239"/>
      <c r="TVV239"/>
      <c r="TVW239"/>
      <c r="TVX239"/>
      <c r="TVY239"/>
      <c r="TVZ239"/>
      <c r="TWA239"/>
      <c r="TWB239"/>
      <c r="TWC239"/>
      <c r="TWD239"/>
      <c r="TWE239"/>
      <c r="TWF239"/>
      <c r="TWG239"/>
      <c r="TWH239"/>
      <c r="TWI239"/>
      <c r="TWJ239"/>
      <c r="TWK239"/>
      <c r="TWL239"/>
      <c r="TWM239"/>
      <c r="TWN239"/>
      <c r="TWO239"/>
      <c r="TWP239"/>
      <c r="TWQ239"/>
      <c r="TWR239"/>
      <c r="TWS239"/>
      <c r="TWT239"/>
      <c r="TWU239"/>
      <c r="TWV239"/>
      <c r="TWW239"/>
      <c r="TWX239"/>
      <c r="TWY239"/>
      <c r="TWZ239"/>
      <c r="TXA239"/>
      <c r="TXB239"/>
      <c r="TXC239"/>
      <c r="TXD239"/>
      <c r="TXE239"/>
      <c r="TXF239"/>
      <c r="TXG239"/>
      <c r="TXH239"/>
      <c r="TXI239"/>
      <c r="TXJ239"/>
      <c r="TXK239"/>
      <c r="TXL239"/>
      <c r="TXM239"/>
      <c r="TXN239"/>
      <c r="TXO239"/>
      <c r="TXP239"/>
      <c r="TXQ239"/>
      <c r="TXR239"/>
      <c r="TXS239"/>
      <c r="TXT239"/>
      <c r="TXU239"/>
      <c r="TXV239"/>
      <c r="TXW239"/>
      <c r="TXX239"/>
      <c r="TXY239"/>
      <c r="TXZ239"/>
      <c r="TYA239"/>
      <c r="TYB239"/>
      <c r="TYC239"/>
      <c r="TYD239"/>
      <c r="TYE239"/>
      <c r="TYF239"/>
      <c r="TYG239"/>
      <c r="TYH239"/>
      <c r="TYI239"/>
      <c r="TYJ239"/>
      <c r="TYK239"/>
      <c r="TYL239"/>
      <c r="TYM239"/>
      <c r="TYN239"/>
      <c r="TYO239"/>
      <c r="TYP239"/>
      <c r="TYQ239"/>
      <c r="TYR239"/>
      <c r="TYS239"/>
      <c r="TYT239"/>
      <c r="TYU239"/>
      <c r="TYV239"/>
      <c r="TYW239"/>
      <c r="TYX239"/>
      <c r="TYY239"/>
      <c r="TYZ239"/>
      <c r="TZA239"/>
      <c r="TZB239"/>
      <c r="TZC239"/>
      <c r="TZD239"/>
      <c r="TZE239"/>
      <c r="TZF239"/>
      <c r="TZG239"/>
      <c r="TZH239"/>
      <c r="TZI239"/>
      <c r="TZJ239"/>
      <c r="TZK239"/>
      <c r="TZL239"/>
      <c r="TZM239"/>
      <c r="TZN239"/>
      <c r="TZO239"/>
      <c r="TZP239"/>
      <c r="TZQ239"/>
      <c r="TZR239"/>
      <c r="TZS239"/>
      <c r="TZT239"/>
      <c r="TZU239"/>
      <c r="TZV239"/>
      <c r="TZW239"/>
      <c r="TZX239"/>
      <c r="TZY239"/>
      <c r="TZZ239"/>
      <c r="UAA239"/>
      <c r="UAB239"/>
      <c r="UAC239"/>
      <c r="UAD239"/>
      <c r="UAE239"/>
      <c r="UAF239"/>
      <c r="UAG239"/>
      <c r="UAH239"/>
      <c r="UAI239"/>
      <c r="UAJ239"/>
      <c r="UAK239"/>
      <c r="UAL239"/>
      <c r="UAM239"/>
      <c r="UAN239"/>
      <c r="UAO239"/>
      <c r="UAP239"/>
      <c r="UAQ239"/>
      <c r="UAR239"/>
      <c r="UAS239"/>
      <c r="UAT239"/>
      <c r="UAU239"/>
      <c r="UAV239"/>
      <c r="UAW239"/>
      <c r="UAX239"/>
      <c r="UAY239"/>
      <c r="UAZ239"/>
      <c r="UBA239"/>
      <c r="UBB239"/>
      <c r="UBC239"/>
      <c r="UBD239"/>
      <c r="UBE239"/>
      <c r="UBF239"/>
      <c r="UBG239"/>
      <c r="UBH239"/>
      <c r="UBI239"/>
      <c r="UBJ239"/>
      <c r="UBK239"/>
      <c r="UBL239"/>
      <c r="UBM239"/>
      <c r="UBN239"/>
      <c r="UBO239"/>
      <c r="UBP239"/>
      <c r="UBQ239"/>
      <c r="UBR239"/>
      <c r="UBS239"/>
      <c r="UBT239"/>
      <c r="UBU239"/>
      <c r="UBV239"/>
      <c r="UBW239"/>
      <c r="UBX239"/>
      <c r="UBY239"/>
      <c r="UBZ239"/>
      <c r="UCA239"/>
      <c r="UCB239"/>
      <c r="UCC239"/>
      <c r="UCD239"/>
      <c r="UCE239"/>
      <c r="UCF239"/>
      <c r="UCG239"/>
      <c r="UCH239"/>
      <c r="UCI239"/>
      <c r="UCJ239"/>
      <c r="UCK239"/>
      <c r="UCL239"/>
      <c r="UCM239"/>
      <c r="UCN239"/>
      <c r="UCO239"/>
      <c r="UCP239"/>
      <c r="UCQ239"/>
      <c r="UCR239"/>
      <c r="UCS239"/>
      <c r="UCT239"/>
      <c r="UCU239"/>
      <c r="UCV239"/>
      <c r="UCW239"/>
      <c r="UCX239"/>
      <c r="UCY239"/>
      <c r="UCZ239"/>
      <c r="UDA239"/>
      <c r="UDB239"/>
      <c r="UDC239"/>
      <c r="UDD239"/>
      <c r="UDE239"/>
      <c r="UDF239"/>
      <c r="UDG239"/>
      <c r="UDH239"/>
      <c r="UDI239"/>
      <c r="UDJ239"/>
      <c r="UDK239"/>
      <c r="UDL239"/>
      <c r="UDM239"/>
      <c r="UDN239"/>
      <c r="UDO239"/>
      <c r="UDP239"/>
      <c r="UDQ239"/>
      <c r="UDR239"/>
      <c r="UDS239"/>
      <c r="UDT239"/>
      <c r="UDU239"/>
      <c r="UDV239"/>
      <c r="UDW239"/>
      <c r="UDX239"/>
      <c r="UDY239"/>
      <c r="UDZ239"/>
      <c r="UEA239"/>
      <c r="UEB239"/>
      <c r="UEC239"/>
      <c r="UED239"/>
      <c r="UEE239"/>
      <c r="UEF239"/>
      <c r="UEG239"/>
      <c r="UEH239"/>
      <c r="UEI239"/>
      <c r="UEJ239"/>
      <c r="UEK239"/>
      <c r="UEL239"/>
      <c r="UEM239"/>
      <c r="UEN239"/>
      <c r="UEO239"/>
      <c r="UEP239"/>
      <c r="UEQ239"/>
      <c r="UER239"/>
      <c r="UES239"/>
      <c r="UET239"/>
      <c r="UEU239"/>
      <c r="UEV239"/>
      <c r="UEW239"/>
      <c r="UEX239"/>
      <c r="UEY239"/>
      <c r="UEZ239"/>
      <c r="UFA239"/>
      <c r="UFB239"/>
      <c r="UFC239"/>
      <c r="UFD239"/>
      <c r="UFE239"/>
      <c r="UFF239"/>
      <c r="UFG239"/>
      <c r="UFH239"/>
      <c r="UFI239"/>
      <c r="UFJ239"/>
      <c r="UFK239"/>
      <c r="UFL239"/>
      <c r="UFM239"/>
      <c r="UFN239"/>
      <c r="UFO239"/>
      <c r="UFP239"/>
      <c r="UFQ239"/>
      <c r="UFR239"/>
      <c r="UFS239"/>
      <c r="UFT239"/>
      <c r="UFU239"/>
      <c r="UFV239"/>
      <c r="UFW239"/>
      <c r="UFX239"/>
      <c r="UFY239"/>
      <c r="UFZ239"/>
      <c r="UGA239"/>
      <c r="UGB239"/>
      <c r="UGC239"/>
      <c r="UGD239"/>
      <c r="UGE239"/>
      <c r="UGF239"/>
      <c r="UGG239"/>
      <c r="UGH239"/>
      <c r="UGI239"/>
      <c r="UGJ239"/>
      <c r="UGK239"/>
      <c r="UGL239"/>
      <c r="UGM239"/>
      <c r="UGN239"/>
      <c r="UGO239"/>
      <c r="UGP239"/>
      <c r="UGQ239"/>
      <c r="UGR239"/>
      <c r="UGS239"/>
      <c r="UGT239"/>
      <c r="UGU239"/>
      <c r="UGV239"/>
      <c r="UGW239"/>
      <c r="UGX239"/>
      <c r="UGY239"/>
      <c r="UGZ239"/>
      <c r="UHA239"/>
      <c r="UHB239"/>
      <c r="UHC239"/>
      <c r="UHD239"/>
      <c r="UHE239"/>
      <c r="UHF239"/>
      <c r="UHG239"/>
      <c r="UHH239"/>
      <c r="UHI239"/>
      <c r="UHJ239"/>
      <c r="UHK239"/>
      <c r="UHL239"/>
      <c r="UHM239"/>
      <c r="UHN239"/>
      <c r="UHO239"/>
      <c r="UHP239"/>
      <c r="UHQ239"/>
      <c r="UHR239"/>
      <c r="UHS239"/>
      <c r="UHT239"/>
      <c r="UHU239"/>
      <c r="UHV239"/>
      <c r="UHW239"/>
      <c r="UHX239"/>
      <c r="UHY239"/>
      <c r="UHZ239"/>
      <c r="UIA239"/>
      <c r="UIB239"/>
      <c r="UIC239"/>
      <c r="UID239"/>
      <c r="UIE239"/>
      <c r="UIF239"/>
      <c r="UIG239"/>
      <c r="UIH239"/>
      <c r="UII239"/>
      <c r="UIJ239"/>
      <c r="UIK239"/>
      <c r="UIL239"/>
      <c r="UIM239"/>
      <c r="UIN239"/>
      <c r="UIO239"/>
      <c r="UIP239"/>
      <c r="UIQ239"/>
      <c r="UIR239"/>
      <c r="UIS239"/>
      <c r="UIT239"/>
      <c r="UIU239"/>
      <c r="UIV239"/>
      <c r="UIW239"/>
      <c r="UIX239"/>
      <c r="UIY239"/>
      <c r="UIZ239"/>
      <c r="UJA239"/>
      <c r="UJB239"/>
      <c r="UJC239"/>
      <c r="UJD239"/>
      <c r="UJE239"/>
      <c r="UJF239"/>
      <c r="UJG239"/>
      <c r="UJH239"/>
      <c r="UJI239"/>
      <c r="UJJ239"/>
      <c r="UJK239"/>
      <c r="UJL239"/>
      <c r="UJM239"/>
      <c r="UJN239"/>
      <c r="UJO239"/>
      <c r="UJP239"/>
      <c r="UJQ239"/>
      <c r="UJR239"/>
      <c r="UJS239"/>
      <c r="UJT239"/>
      <c r="UJU239"/>
      <c r="UJV239"/>
      <c r="UJW239"/>
      <c r="UJX239"/>
      <c r="UJY239"/>
      <c r="UJZ239"/>
      <c r="UKA239"/>
      <c r="UKB239"/>
      <c r="UKC239"/>
      <c r="UKD239"/>
      <c r="UKE239"/>
      <c r="UKF239"/>
      <c r="UKG239"/>
      <c r="UKH239"/>
      <c r="UKI239"/>
      <c r="UKJ239"/>
      <c r="UKK239"/>
      <c r="UKL239"/>
      <c r="UKM239"/>
      <c r="UKN239"/>
      <c r="UKO239"/>
      <c r="UKP239"/>
      <c r="UKQ239"/>
      <c r="UKR239"/>
      <c r="UKS239"/>
      <c r="UKT239"/>
      <c r="UKU239"/>
      <c r="UKV239"/>
      <c r="UKW239"/>
      <c r="UKX239"/>
      <c r="UKY239"/>
      <c r="UKZ239"/>
      <c r="ULA239"/>
      <c r="ULB239"/>
      <c r="ULC239"/>
      <c r="ULD239"/>
      <c r="ULE239"/>
      <c r="ULF239"/>
      <c r="ULG239"/>
      <c r="ULH239"/>
      <c r="ULI239"/>
      <c r="ULJ239"/>
      <c r="ULK239"/>
      <c r="ULL239"/>
      <c r="ULM239"/>
      <c r="ULN239"/>
      <c r="ULO239"/>
      <c r="ULP239"/>
      <c r="ULQ239"/>
      <c r="ULR239"/>
      <c r="ULS239"/>
      <c r="ULT239"/>
      <c r="ULU239"/>
      <c r="ULV239"/>
      <c r="ULW239"/>
      <c r="ULX239"/>
      <c r="ULY239"/>
      <c r="ULZ239"/>
      <c r="UMA239"/>
      <c r="UMB239"/>
      <c r="UMC239"/>
      <c r="UMD239"/>
      <c r="UME239"/>
      <c r="UMF239"/>
      <c r="UMG239"/>
      <c r="UMH239"/>
      <c r="UMI239"/>
      <c r="UMJ239"/>
      <c r="UMK239"/>
      <c r="UML239"/>
      <c r="UMM239"/>
      <c r="UMN239"/>
      <c r="UMO239"/>
      <c r="UMP239"/>
      <c r="UMQ239"/>
      <c r="UMR239"/>
      <c r="UMS239"/>
      <c r="UMT239"/>
      <c r="UMU239"/>
      <c r="UMV239"/>
      <c r="UMW239"/>
      <c r="UMX239"/>
      <c r="UMY239"/>
      <c r="UMZ239"/>
      <c r="UNA239"/>
      <c r="UNB239"/>
      <c r="UNC239"/>
      <c r="UND239"/>
      <c r="UNE239"/>
      <c r="UNF239"/>
      <c r="UNG239"/>
      <c r="UNH239"/>
      <c r="UNI239"/>
      <c r="UNJ239"/>
      <c r="UNK239"/>
      <c r="UNL239"/>
      <c r="UNM239"/>
      <c r="UNN239"/>
      <c r="UNO239"/>
      <c r="UNP239"/>
      <c r="UNQ239"/>
      <c r="UNR239"/>
      <c r="UNS239"/>
      <c r="UNT239"/>
      <c r="UNU239"/>
      <c r="UNV239"/>
      <c r="UNW239"/>
      <c r="UNX239"/>
      <c r="UNY239"/>
      <c r="UNZ239"/>
      <c r="UOA239"/>
      <c r="UOB239"/>
      <c r="UOC239"/>
      <c r="UOD239"/>
      <c r="UOE239"/>
      <c r="UOF239"/>
      <c r="UOG239"/>
      <c r="UOH239"/>
      <c r="UOI239"/>
      <c r="UOJ239"/>
      <c r="UOK239"/>
      <c r="UOL239"/>
      <c r="UOM239"/>
      <c r="UON239"/>
      <c r="UOO239"/>
      <c r="UOP239"/>
      <c r="UOQ239"/>
      <c r="UOR239"/>
      <c r="UOS239"/>
      <c r="UOT239"/>
      <c r="UOU239"/>
      <c r="UOV239"/>
      <c r="UOW239"/>
      <c r="UOX239"/>
      <c r="UOY239"/>
      <c r="UOZ239"/>
      <c r="UPA239"/>
      <c r="UPB239"/>
      <c r="UPC239"/>
      <c r="UPD239"/>
      <c r="UPE239"/>
      <c r="UPF239"/>
      <c r="UPG239"/>
      <c r="UPH239"/>
      <c r="UPI239"/>
      <c r="UPJ239"/>
      <c r="UPK239"/>
      <c r="UPL239"/>
      <c r="UPM239"/>
      <c r="UPN239"/>
      <c r="UPO239"/>
      <c r="UPP239"/>
      <c r="UPQ239"/>
      <c r="UPR239"/>
      <c r="UPS239"/>
      <c r="UPT239"/>
      <c r="UPU239"/>
      <c r="UPV239"/>
      <c r="UPW239"/>
      <c r="UPX239"/>
      <c r="UPY239"/>
      <c r="UPZ239"/>
      <c r="UQA239"/>
      <c r="UQB239"/>
      <c r="UQC239"/>
      <c r="UQD239"/>
      <c r="UQE239"/>
      <c r="UQF239"/>
      <c r="UQG239"/>
      <c r="UQH239"/>
      <c r="UQI239"/>
      <c r="UQJ239"/>
      <c r="UQK239"/>
      <c r="UQL239"/>
      <c r="UQM239"/>
      <c r="UQN239"/>
      <c r="UQO239"/>
      <c r="UQP239"/>
      <c r="UQQ239"/>
      <c r="UQR239"/>
      <c r="UQS239"/>
      <c r="UQT239"/>
      <c r="UQU239"/>
      <c r="UQV239"/>
      <c r="UQW239"/>
      <c r="UQX239"/>
      <c r="UQY239"/>
      <c r="UQZ239"/>
      <c r="URA239"/>
      <c r="URB239"/>
      <c r="URC239"/>
      <c r="URD239"/>
      <c r="URE239"/>
      <c r="URF239"/>
      <c r="URG239"/>
      <c r="URH239"/>
      <c r="URI239"/>
      <c r="URJ239"/>
      <c r="URK239"/>
      <c r="URL239"/>
      <c r="URM239"/>
      <c r="URN239"/>
      <c r="URO239"/>
      <c r="URP239"/>
      <c r="URQ239"/>
      <c r="URR239"/>
      <c r="URS239"/>
      <c r="URT239"/>
      <c r="URU239"/>
      <c r="URV239"/>
      <c r="URW239"/>
      <c r="URX239"/>
      <c r="URY239"/>
      <c r="URZ239"/>
      <c r="USA239"/>
      <c r="USB239"/>
      <c r="USC239"/>
      <c r="USD239"/>
      <c r="USE239"/>
      <c r="USF239"/>
      <c r="USG239"/>
      <c r="USH239"/>
      <c r="USI239"/>
      <c r="USJ239"/>
      <c r="USK239"/>
      <c r="USL239"/>
      <c r="USM239"/>
      <c r="USN239"/>
      <c r="USO239"/>
      <c r="USP239"/>
      <c r="USQ239"/>
      <c r="USR239"/>
      <c r="USS239"/>
      <c r="UST239"/>
      <c r="USU239"/>
      <c r="USV239"/>
      <c r="USW239"/>
      <c r="USX239"/>
      <c r="USY239"/>
      <c r="USZ239"/>
      <c r="UTA239"/>
      <c r="UTB239"/>
      <c r="UTC239"/>
      <c r="UTD239"/>
      <c r="UTE239"/>
      <c r="UTF239"/>
      <c r="UTG239"/>
      <c r="UTH239"/>
      <c r="UTI239"/>
      <c r="UTJ239"/>
      <c r="UTK239"/>
      <c r="UTL239"/>
      <c r="UTM239"/>
      <c r="UTN239"/>
      <c r="UTO239"/>
      <c r="UTP239"/>
      <c r="UTQ239"/>
      <c r="UTR239"/>
      <c r="UTS239"/>
      <c r="UTT239"/>
      <c r="UTU239"/>
      <c r="UTV239"/>
      <c r="UTW239"/>
      <c r="UTX239"/>
      <c r="UTY239"/>
      <c r="UTZ239"/>
      <c r="UUA239"/>
      <c r="UUB239"/>
      <c r="UUC239"/>
      <c r="UUD239"/>
      <c r="UUE239"/>
      <c r="UUF239"/>
      <c r="UUG239"/>
      <c r="UUH239"/>
      <c r="UUI239"/>
      <c r="UUJ239"/>
      <c r="UUK239"/>
      <c r="UUL239"/>
      <c r="UUM239"/>
      <c r="UUN239"/>
      <c r="UUO239"/>
      <c r="UUP239"/>
      <c r="UUQ239"/>
      <c r="UUR239"/>
      <c r="UUS239"/>
      <c r="UUT239"/>
      <c r="UUU239"/>
      <c r="UUV239"/>
      <c r="UUW239"/>
      <c r="UUX239"/>
      <c r="UUY239"/>
      <c r="UUZ239"/>
      <c r="UVA239"/>
      <c r="UVB239"/>
      <c r="UVC239"/>
      <c r="UVD239"/>
      <c r="UVE239"/>
      <c r="UVF239"/>
      <c r="UVG239"/>
      <c r="UVH239"/>
      <c r="UVI239"/>
      <c r="UVJ239"/>
      <c r="UVK239"/>
      <c r="UVL239"/>
      <c r="UVM239"/>
      <c r="UVN239"/>
      <c r="UVO239"/>
      <c r="UVP239"/>
      <c r="UVQ239"/>
      <c r="UVR239"/>
      <c r="UVS239"/>
      <c r="UVT239"/>
      <c r="UVU239"/>
      <c r="UVV239"/>
      <c r="UVW239"/>
      <c r="UVX239"/>
      <c r="UVY239"/>
      <c r="UVZ239"/>
      <c r="UWA239"/>
      <c r="UWB239"/>
      <c r="UWC239"/>
      <c r="UWD239"/>
      <c r="UWE239"/>
      <c r="UWF239"/>
      <c r="UWG239"/>
      <c r="UWH239"/>
      <c r="UWI239"/>
      <c r="UWJ239"/>
      <c r="UWK239"/>
      <c r="UWL239"/>
      <c r="UWM239"/>
      <c r="UWN239"/>
      <c r="UWO239"/>
      <c r="UWP239"/>
      <c r="UWQ239"/>
      <c r="UWR239"/>
      <c r="UWS239"/>
      <c r="UWT239"/>
      <c r="UWU239"/>
      <c r="UWV239"/>
      <c r="UWW239"/>
      <c r="UWX239"/>
      <c r="UWY239"/>
      <c r="UWZ239"/>
      <c r="UXA239"/>
      <c r="UXB239"/>
      <c r="UXC239"/>
      <c r="UXD239"/>
      <c r="UXE239"/>
      <c r="UXF239"/>
      <c r="UXG239"/>
      <c r="UXH239"/>
      <c r="UXI239"/>
      <c r="UXJ239"/>
      <c r="UXK239"/>
      <c r="UXL239"/>
      <c r="UXM239"/>
      <c r="UXN239"/>
      <c r="UXO239"/>
      <c r="UXP239"/>
      <c r="UXQ239"/>
      <c r="UXR239"/>
      <c r="UXS239"/>
      <c r="UXT239"/>
      <c r="UXU239"/>
      <c r="UXV239"/>
      <c r="UXW239"/>
      <c r="UXX239"/>
      <c r="UXY239"/>
      <c r="UXZ239"/>
      <c r="UYA239"/>
      <c r="UYB239"/>
      <c r="UYC239"/>
      <c r="UYD239"/>
      <c r="UYE239"/>
      <c r="UYF239"/>
      <c r="UYG239"/>
      <c r="UYH239"/>
      <c r="UYI239"/>
      <c r="UYJ239"/>
      <c r="UYK239"/>
      <c r="UYL239"/>
      <c r="UYM239"/>
      <c r="UYN239"/>
      <c r="UYO239"/>
      <c r="UYP239"/>
      <c r="UYQ239"/>
      <c r="UYR239"/>
      <c r="UYS239"/>
      <c r="UYT239"/>
      <c r="UYU239"/>
      <c r="UYV239"/>
      <c r="UYW239"/>
      <c r="UYX239"/>
      <c r="UYY239"/>
      <c r="UYZ239"/>
      <c r="UZA239"/>
      <c r="UZB239"/>
      <c r="UZC239"/>
      <c r="UZD239"/>
      <c r="UZE239"/>
      <c r="UZF239"/>
      <c r="UZG239"/>
      <c r="UZH239"/>
      <c r="UZI239"/>
      <c r="UZJ239"/>
      <c r="UZK239"/>
      <c r="UZL239"/>
      <c r="UZM239"/>
      <c r="UZN239"/>
      <c r="UZO239"/>
      <c r="UZP239"/>
      <c r="UZQ239"/>
      <c r="UZR239"/>
      <c r="UZS239"/>
      <c r="UZT239"/>
      <c r="UZU239"/>
      <c r="UZV239"/>
      <c r="UZW239"/>
      <c r="UZX239"/>
      <c r="UZY239"/>
      <c r="UZZ239"/>
      <c r="VAA239"/>
      <c r="VAB239"/>
      <c r="VAC239"/>
      <c r="VAD239"/>
      <c r="VAE239"/>
      <c r="VAF239"/>
      <c r="VAG239"/>
      <c r="VAH239"/>
      <c r="VAI239"/>
      <c r="VAJ239"/>
      <c r="VAK239"/>
      <c r="VAL239"/>
      <c r="VAM239"/>
      <c r="VAN239"/>
      <c r="VAO239"/>
      <c r="VAP239"/>
      <c r="VAQ239"/>
      <c r="VAR239"/>
      <c r="VAS239"/>
      <c r="VAT239"/>
      <c r="VAU239"/>
      <c r="VAV239"/>
      <c r="VAW239"/>
      <c r="VAX239"/>
      <c r="VAY239"/>
      <c r="VAZ239"/>
      <c r="VBA239"/>
      <c r="VBB239"/>
      <c r="VBC239"/>
      <c r="VBD239"/>
      <c r="VBE239"/>
      <c r="VBF239"/>
      <c r="VBG239"/>
      <c r="VBH239"/>
      <c r="VBI239"/>
      <c r="VBJ239"/>
      <c r="VBK239"/>
      <c r="VBL239"/>
      <c r="VBM239"/>
      <c r="VBN239"/>
      <c r="VBO239"/>
      <c r="VBP239"/>
      <c r="VBQ239"/>
      <c r="VBR239"/>
      <c r="VBS239"/>
      <c r="VBT239"/>
      <c r="VBU239"/>
      <c r="VBV239"/>
      <c r="VBW239"/>
      <c r="VBX239"/>
      <c r="VBY239"/>
      <c r="VBZ239"/>
      <c r="VCA239"/>
      <c r="VCB239"/>
      <c r="VCC239"/>
      <c r="VCD239"/>
      <c r="VCE239"/>
      <c r="VCF239"/>
      <c r="VCG239"/>
      <c r="VCH239"/>
      <c r="VCI239"/>
      <c r="VCJ239"/>
      <c r="VCK239"/>
      <c r="VCL239"/>
      <c r="VCM239"/>
      <c r="VCN239"/>
      <c r="VCO239"/>
      <c r="VCP239"/>
      <c r="VCQ239"/>
      <c r="VCR239"/>
      <c r="VCS239"/>
      <c r="VCT239"/>
      <c r="VCU239"/>
      <c r="VCV239"/>
      <c r="VCW239"/>
      <c r="VCX239"/>
      <c r="VCY239"/>
      <c r="VCZ239"/>
      <c r="VDA239"/>
      <c r="VDB239"/>
      <c r="VDC239"/>
      <c r="VDD239"/>
      <c r="VDE239"/>
      <c r="VDF239"/>
      <c r="VDG239"/>
      <c r="VDH239"/>
      <c r="VDI239"/>
      <c r="VDJ239"/>
      <c r="VDK239"/>
      <c r="VDL239"/>
      <c r="VDM239"/>
      <c r="VDN239"/>
      <c r="VDO239"/>
      <c r="VDP239"/>
      <c r="VDQ239"/>
      <c r="VDR239"/>
      <c r="VDS239"/>
      <c r="VDT239"/>
      <c r="VDU239"/>
      <c r="VDV239"/>
      <c r="VDW239"/>
      <c r="VDX239"/>
      <c r="VDY239"/>
      <c r="VDZ239"/>
      <c r="VEA239"/>
      <c r="VEB239"/>
      <c r="VEC239"/>
      <c r="VED239"/>
      <c r="VEE239"/>
      <c r="VEF239"/>
      <c r="VEG239"/>
      <c r="VEH239"/>
      <c r="VEI239"/>
      <c r="VEJ239"/>
      <c r="VEK239"/>
      <c r="VEL239"/>
      <c r="VEM239"/>
      <c r="VEN239"/>
      <c r="VEO239"/>
      <c r="VEP239"/>
      <c r="VEQ239"/>
      <c r="VER239"/>
      <c r="VES239"/>
      <c r="VET239"/>
      <c r="VEU239"/>
      <c r="VEV239"/>
      <c r="VEW239"/>
      <c r="VEX239"/>
      <c r="VEY239"/>
      <c r="VEZ239"/>
      <c r="VFA239"/>
      <c r="VFB239"/>
      <c r="VFC239"/>
      <c r="VFD239"/>
      <c r="VFE239"/>
      <c r="VFF239"/>
      <c r="VFG239"/>
      <c r="VFH239"/>
      <c r="VFI239"/>
      <c r="VFJ239"/>
      <c r="VFK239"/>
      <c r="VFL239"/>
      <c r="VFM239"/>
      <c r="VFN239"/>
      <c r="VFO239"/>
      <c r="VFP239"/>
      <c r="VFQ239"/>
      <c r="VFR239"/>
      <c r="VFS239"/>
      <c r="VFT239"/>
      <c r="VFU239"/>
      <c r="VFV239"/>
      <c r="VFW239"/>
      <c r="VFX239"/>
      <c r="VFY239"/>
      <c r="VFZ239"/>
      <c r="VGA239"/>
      <c r="VGB239"/>
      <c r="VGC239"/>
      <c r="VGD239"/>
      <c r="VGE239"/>
      <c r="VGF239"/>
      <c r="VGG239"/>
      <c r="VGH239"/>
      <c r="VGI239"/>
      <c r="VGJ239"/>
      <c r="VGK239"/>
      <c r="VGL239"/>
      <c r="VGM239"/>
      <c r="VGN239"/>
      <c r="VGO239"/>
      <c r="VGP239"/>
      <c r="VGQ239"/>
      <c r="VGR239"/>
      <c r="VGS239"/>
      <c r="VGT239"/>
      <c r="VGU239"/>
      <c r="VGV239"/>
      <c r="VGW239"/>
      <c r="VGX239"/>
      <c r="VGY239"/>
      <c r="VGZ239"/>
      <c r="VHA239"/>
      <c r="VHB239"/>
      <c r="VHC239"/>
      <c r="VHD239"/>
      <c r="VHE239"/>
      <c r="VHF239"/>
      <c r="VHG239"/>
      <c r="VHH239"/>
      <c r="VHI239"/>
      <c r="VHJ239"/>
      <c r="VHK239"/>
      <c r="VHL239"/>
      <c r="VHM239"/>
      <c r="VHN239"/>
      <c r="VHO239"/>
      <c r="VHP239"/>
      <c r="VHQ239"/>
      <c r="VHR239"/>
      <c r="VHS239"/>
      <c r="VHT239"/>
      <c r="VHU239"/>
      <c r="VHV239"/>
      <c r="VHW239"/>
      <c r="VHX239"/>
      <c r="VHY239"/>
      <c r="VHZ239"/>
      <c r="VIA239"/>
      <c r="VIB239"/>
      <c r="VIC239"/>
      <c r="VID239"/>
      <c r="VIE239"/>
      <c r="VIF239"/>
      <c r="VIG239"/>
      <c r="VIH239"/>
      <c r="VII239"/>
      <c r="VIJ239"/>
      <c r="VIK239"/>
      <c r="VIL239"/>
      <c r="VIM239"/>
      <c r="VIN239"/>
      <c r="VIO239"/>
      <c r="VIP239"/>
      <c r="VIQ239"/>
      <c r="VIR239"/>
      <c r="VIS239"/>
      <c r="VIT239"/>
      <c r="VIU239"/>
      <c r="VIV239"/>
      <c r="VIW239"/>
      <c r="VIX239"/>
      <c r="VIY239"/>
      <c r="VIZ239"/>
      <c r="VJA239"/>
      <c r="VJB239"/>
      <c r="VJC239"/>
      <c r="VJD239"/>
      <c r="VJE239"/>
      <c r="VJF239"/>
      <c r="VJG239"/>
      <c r="VJH239"/>
      <c r="VJI239"/>
      <c r="VJJ239"/>
      <c r="VJK239"/>
      <c r="VJL239"/>
      <c r="VJM239"/>
      <c r="VJN239"/>
      <c r="VJO239"/>
      <c r="VJP239"/>
      <c r="VJQ239"/>
      <c r="VJR239"/>
      <c r="VJS239"/>
      <c r="VJT239"/>
      <c r="VJU239"/>
      <c r="VJV239"/>
      <c r="VJW239"/>
      <c r="VJX239"/>
      <c r="VJY239"/>
      <c r="VJZ239"/>
      <c r="VKA239"/>
      <c r="VKB239"/>
      <c r="VKC239"/>
      <c r="VKD239"/>
      <c r="VKE239"/>
      <c r="VKF239"/>
      <c r="VKG239"/>
      <c r="VKH239"/>
      <c r="VKI239"/>
      <c r="VKJ239"/>
      <c r="VKK239"/>
      <c r="VKL239"/>
      <c r="VKM239"/>
      <c r="VKN239"/>
      <c r="VKO239"/>
      <c r="VKP239"/>
      <c r="VKQ239"/>
      <c r="VKR239"/>
      <c r="VKS239"/>
      <c r="VKT239"/>
      <c r="VKU239"/>
      <c r="VKV239"/>
      <c r="VKW239"/>
      <c r="VKX239"/>
      <c r="VKY239"/>
      <c r="VKZ239"/>
      <c r="VLA239"/>
      <c r="VLB239"/>
      <c r="VLC239"/>
      <c r="VLD239"/>
      <c r="VLE239"/>
      <c r="VLF239"/>
      <c r="VLG239"/>
      <c r="VLH239"/>
      <c r="VLI239"/>
      <c r="VLJ239"/>
      <c r="VLK239"/>
      <c r="VLL239"/>
      <c r="VLM239"/>
      <c r="VLN239"/>
      <c r="VLO239"/>
      <c r="VLP239"/>
      <c r="VLQ239"/>
      <c r="VLR239"/>
      <c r="VLS239"/>
      <c r="VLT239"/>
      <c r="VLU239"/>
      <c r="VLV239"/>
      <c r="VLW239"/>
      <c r="VLX239"/>
      <c r="VLY239"/>
      <c r="VLZ239"/>
      <c r="VMA239"/>
      <c r="VMB239"/>
      <c r="VMC239"/>
      <c r="VMD239"/>
      <c r="VME239"/>
      <c r="VMF239"/>
      <c r="VMG239"/>
      <c r="VMH239"/>
      <c r="VMI239"/>
      <c r="VMJ239"/>
      <c r="VMK239"/>
      <c r="VML239"/>
      <c r="VMM239"/>
      <c r="VMN239"/>
      <c r="VMO239"/>
      <c r="VMP239"/>
      <c r="VMQ239"/>
      <c r="VMR239"/>
      <c r="VMS239"/>
      <c r="VMT239"/>
      <c r="VMU239"/>
      <c r="VMV239"/>
      <c r="VMW239"/>
      <c r="VMX239"/>
      <c r="VMY239"/>
      <c r="VMZ239"/>
      <c r="VNA239"/>
      <c r="VNB239"/>
      <c r="VNC239"/>
      <c r="VND239"/>
      <c r="VNE239"/>
      <c r="VNF239"/>
      <c r="VNG239"/>
      <c r="VNH239"/>
      <c r="VNI239"/>
      <c r="VNJ239"/>
      <c r="VNK239"/>
      <c r="VNL239"/>
      <c r="VNM239"/>
      <c r="VNN239"/>
      <c r="VNO239"/>
      <c r="VNP239"/>
      <c r="VNQ239"/>
      <c r="VNR239"/>
      <c r="VNS239"/>
      <c r="VNT239"/>
      <c r="VNU239"/>
      <c r="VNV239"/>
      <c r="VNW239"/>
      <c r="VNX239"/>
      <c r="VNY239"/>
      <c r="VNZ239"/>
      <c r="VOA239"/>
      <c r="VOB239"/>
      <c r="VOC239"/>
      <c r="VOD239"/>
      <c r="VOE239"/>
      <c r="VOF239"/>
      <c r="VOG239"/>
      <c r="VOH239"/>
      <c r="VOI239"/>
      <c r="VOJ239"/>
      <c r="VOK239"/>
      <c r="VOL239"/>
      <c r="VOM239"/>
      <c r="VON239"/>
      <c r="VOO239"/>
      <c r="VOP239"/>
      <c r="VOQ239"/>
      <c r="VOR239"/>
      <c r="VOS239"/>
      <c r="VOT239"/>
      <c r="VOU239"/>
      <c r="VOV239"/>
      <c r="VOW239"/>
      <c r="VOX239"/>
      <c r="VOY239"/>
      <c r="VOZ239"/>
      <c r="VPA239"/>
      <c r="VPB239"/>
      <c r="VPC239"/>
      <c r="VPD239"/>
      <c r="VPE239"/>
      <c r="VPF239"/>
      <c r="VPG239"/>
      <c r="VPH239"/>
      <c r="VPI239"/>
      <c r="VPJ239"/>
      <c r="VPK239"/>
      <c r="VPL239"/>
      <c r="VPM239"/>
      <c r="VPN239"/>
      <c r="VPO239"/>
      <c r="VPP239"/>
      <c r="VPQ239"/>
      <c r="VPR239"/>
      <c r="VPS239"/>
      <c r="VPT239"/>
      <c r="VPU239"/>
      <c r="VPV239"/>
      <c r="VPW239"/>
      <c r="VPX239"/>
      <c r="VPY239"/>
      <c r="VPZ239"/>
      <c r="VQA239"/>
      <c r="VQB239"/>
      <c r="VQC239"/>
      <c r="VQD239"/>
      <c r="VQE239"/>
      <c r="VQF239"/>
      <c r="VQG239"/>
      <c r="VQH239"/>
      <c r="VQI239"/>
      <c r="VQJ239"/>
      <c r="VQK239"/>
      <c r="VQL239"/>
      <c r="VQM239"/>
      <c r="VQN239"/>
      <c r="VQO239"/>
      <c r="VQP239"/>
      <c r="VQQ239"/>
      <c r="VQR239"/>
      <c r="VQS239"/>
      <c r="VQT239"/>
      <c r="VQU239"/>
      <c r="VQV239"/>
      <c r="VQW239"/>
      <c r="VQX239"/>
      <c r="VQY239"/>
      <c r="VQZ239"/>
      <c r="VRA239"/>
      <c r="VRB239"/>
      <c r="VRC239"/>
      <c r="VRD239"/>
      <c r="VRE239"/>
      <c r="VRF239"/>
      <c r="VRG239"/>
      <c r="VRH239"/>
      <c r="VRI239"/>
      <c r="VRJ239"/>
      <c r="VRK239"/>
      <c r="VRL239"/>
      <c r="VRM239"/>
      <c r="VRN239"/>
      <c r="VRO239"/>
      <c r="VRP239"/>
      <c r="VRQ239"/>
      <c r="VRR239"/>
      <c r="VRS239"/>
      <c r="VRT239"/>
      <c r="VRU239"/>
      <c r="VRV239"/>
      <c r="VRW239"/>
      <c r="VRX239"/>
      <c r="VRY239"/>
      <c r="VRZ239"/>
      <c r="VSA239"/>
      <c r="VSB239"/>
      <c r="VSC239"/>
      <c r="VSD239"/>
      <c r="VSE239"/>
      <c r="VSF239"/>
      <c r="VSG239"/>
      <c r="VSH239"/>
      <c r="VSI239"/>
      <c r="VSJ239"/>
      <c r="VSK239"/>
      <c r="VSL239"/>
      <c r="VSM239"/>
      <c r="VSN239"/>
      <c r="VSO239"/>
      <c r="VSP239"/>
      <c r="VSQ239"/>
      <c r="VSR239"/>
      <c r="VSS239"/>
      <c r="VST239"/>
      <c r="VSU239"/>
      <c r="VSV239"/>
      <c r="VSW239"/>
      <c r="VSX239"/>
      <c r="VSY239"/>
      <c r="VSZ239"/>
      <c r="VTA239"/>
      <c r="VTB239"/>
      <c r="VTC239"/>
      <c r="VTD239"/>
      <c r="VTE239"/>
      <c r="VTF239"/>
      <c r="VTG239"/>
      <c r="VTH239"/>
      <c r="VTI239"/>
      <c r="VTJ239"/>
      <c r="VTK239"/>
      <c r="VTL239"/>
      <c r="VTM239"/>
      <c r="VTN239"/>
      <c r="VTO239"/>
      <c r="VTP239"/>
      <c r="VTQ239"/>
      <c r="VTR239"/>
      <c r="VTS239"/>
      <c r="VTT239"/>
      <c r="VTU239"/>
      <c r="VTV239"/>
      <c r="VTW239"/>
      <c r="VTX239"/>
      <c r="VTY239"/>
      <c r="VTZ239"/>
      <c r="VUA239"/>
      <c r="VUB239"/>
      <c r="VUC239"/>
      <c r="VUD239"/>
      <c r="VUE239"/>
      <c r="VUF239"/>
      <c r="VUG239"/>
      <c r="VUH239"/>
      <c r="VUI239"/>
      <c r="VUJ239"/>
      <c r="VUK239"/>
      <c r="VUL239"/>
      <c r="VUM239"/>
      <c r="VUN239"/>
      <c r="VUO239"/>
      <c r="VUP239"/>
      <c r="VUQ239"/>
      <c r="VUR239"/>
      <c r="VUS239"/>
      <c r="VUT239"/>
      <c r="VUU239"/>
      <c r="VUV239"/>
      <c r="VUW239"/>
      <c r="VUX239"/>
      <c r="VUY239"/>
      <c r="VUZ239"/>
      <c r="VVA239"/>
      <c r="VVB239"/>
      <c r="VVC239"/>
      <c r="VVD239"/>
      <c r="VVE239"/>
      <c r="VVF239"/>
      <c r="VVG239"/>
      <c r="VVH239"/>
      <c r="VVI239"/>
      <c r="VVJ239"/>
      <c r="VVK239"/>
      <c r="VVL239"/>
      <c r="VVM239"/>
      <c r="VVN239"/>
      <c r="VVO239"/>
      <c r="VVP239"/>
      <c r="VVQ239"/>
      <c r="VVR239"/>
      <c r="VVS239"/>
      <c r="VVT239"/>
      <c r="VVU239"/>
      <c r="VVV239"/>
      <c r="VVW239"/>
      <c r="VVX239"/>
      <c r="VVY239"/>
      <c r="VVZ239"/>
      <c r="VWA239"/>
      <c r="VWB239"/>
      <c r="VWC239"/>
      <c r="VWD239"/>
      <c r="VWE239"/>
      <c r="VWF239"/>
      <c r="VWG239"/>
      <c r="VWH239"/>
      <c r="VWI239"/>
      <c r="VWJ239"/>
      <c r="VWK239"/>
      <c r="VWL239"/>
      <c r="VWM239"/>
      <c r="VWN239"/>
      <c r="VWO239"/>
      <c r="VWP239"/>
      <c r="VWQ239"/>
      <c r="VWR239"/>
      <c r="VWS239"/>
      <c r="VWT239"/>
      <c r="VWU239"/>
      <c r="VWV239"/>
      <c r="VWW239"/>
      <c r="VWX239"/>
      <c r="VWY239"/>
      <c r="VWZ239"/>
      <c r="VXA239"/>
      <c r="VXB239"/>
      <c r="VXC239"/>
      <c r="VXD239"/>
      <c r="VXE239"/>
      <c r="VXF239"/>
      <c r="VXG239"/>
      <c r="VXH239"/>
      <c r="VXI239"/>
      <c r="VXJ239"/>
      <c r="VXK239"/>
      <c r="VXL239"/>
      <c r="VXM239"/>
      <c r="VXN239"/>
      <c r="VXO239"/>
      <c r="VXP239"/>
      <c r="VXQ239"/>
      <c r="VXR239"/>
      <c r="VXS239"/>
      <c r="VXT239"/>
      <c r="VXU239"/>
      <c r="VXV239"/>
      <c r="VXW239"/>
      <c r="VXX239"/>
      <c r="VXY239"/>
      <c r="VXZ239"/>
      <c r="VYA239"/>
      <c r="VYB239"/>
      <c r="VYC239"/>
      <c r="VYD239"/>
      <c r="VYE239"/>
      <c r="VYF239"/>
      <c r="VYG239"/>
      <c r="VYH239"/>
      <c r="VYI239"/>
      <c r="VYJ239"/>
      <c r="VYK239"/>
      <c r="VYL239"/>
      <c r="VYM239"/>
      <c r="VYN239"/>
      <c r="VYO239"/>
      <c r="VYP239"/>
      <c r="VYQ239"/>
      <c r="VYR239"/>
      <c r="VYS239"/>
      <c r="VYT239"/>
      <c r="VYU239"/>
      <c r="VYV239"/>
      <c r="VYW239"/>
      <c r="VYX239"/>
      <c r="VYY239"/>
      <c r="VYZ239"/>
      <c r="VZA239"/>
      <c r="VZB239"/>
      <c r="VZC239"/>
      <c r="VZD239"/>
      <c r="VZE239"/>
      <c r="VZF239"/>
      <c r="VZG239"/>
      <c r="VZH239"/>
      <c r="VZI239"/>
      <c r="VZJ239"/>
      <c r="VZK239"/>
      <c r="VZL239"/>
      <c r="VZM239"/>
      <c r="VZN239"/>
      <c r="VZO239"/>
      <c r="VZP239"/>
      <c r="VZQ239"/>
      <c r="VZR239"/>
      <c r="VZS239"/>
      <c r="VZT239"/>
      <c r="VZU239"/>
      <c r="VZV239"/>
      <c r="VZW239"/>
      <c r="VZX239"/>
      <c r="VZY239"/>
      <c r="VZZ239"/>
      <c r="WAA239"/>
      <c r="WAB239"/>
      <c r="WAC239"/>
      <c r="WAD239"/>
      <c r="WAE239"/>
      <c r="WAF239"/>
      <c r="WAG239"/>
      <c r="WAH239"/>
      <c r="WAI239"/>
      <c r="WAJ239"/>
      <c r="WAK239"/>
      <c r="WAL239"/>
      <c r="WAM239"/>
      <c r="WAN239"/>
      <c r="WAO239"/>
      <c r="WAP239"/>
      <c r="WAQ239"/>
      <c r="WAR239"/>
      <c r="WAS239"/>
      <c r="WAT239"/>
      <c r="WAU239"/>
      <c r="WAV239"/>
      <c r="WAW239"/>
      <c r="WAX239"/>
      <c r="WAY239"/>
      <c r="WAZ239"/>
      <c r="WBA239"/>
      <c r="WBB239"/>
      <c r="WBC239"/>
      <c r="WBD239"/>
      <c r="WBE239"/>
      <c r="WBF239"/>
      <c r="WBG239"/>
      <c r="WBH239"/>
      <c r="WBI239"/>
      <c r="WBJ239"/>
      <c r="WBK239"/>
      <c r="WBL239"/>
      <c r="WBM239"/>
      <c r="WBN239"/>
      <c r="WBO239"/>
      <c r="WBP239"/>
      <c r="WBQ239"/>
      <c r="WBR239"/>
      <c r="WBS239"/>
      <c r="WBT239"/>
      <c r="WBU239"/>
      <c r="WBV239"/>
      <c r="WBW239"/>
      <c r="WBX239"/>
      <c r="WBY239"/>
      <c r="WBZ239"/>
      <c r="WCA239"/>
      <c r="WCB239"/>
      <c r="WCC239"/>
      <c r="WCD239"/>
      <c r="WCE239"/>
      <c r="WCF239"/>
      <c r="WCG239"/>
      <c r="WCH239"/>
      <c r="WCI239"/>
      <c r="WCJ239"/>
      <c r="WCK239"/>
      <c r="WCL239"/>
      <c r="WCM239"/>
      <c r="WCN239"/>
      <c r="WCO239"/>
      <c r="WCP239"/>
      <c r="WCQ239"/>
      <c r="WCR239"/>
      <c r="WCS239"/>
      <c r="WCT239"/>
      <c r="WCU239"/>
      <c r="WCV239"/>
      <c r="WCW239"/>
      <c r="WCX239"/>
      <c r="WCY239"/>
      <c r="WCZ239"/>
      <c r="WDA239"/>
      <c r="WDB239"/>
      <c r="WDC239"/>
      <c r="WDD239"/>
      <c r="WDE239"/>
      <c r="WDF239"/>
      <c r="WDG239"/>
      <c r="WDH239"/>
      <c r="WDI239"/>
      <c r="WDJ239"/>
      <c r="WDK239"/>
      <c r="WDL239"/>
      <c r="WDM239"/>
      <c r="WDN239"/>
      <c r="WDO239"/>
      <c r="WDP239"/>
      <c r="WDQ239"/>
      <c r="WDR239"/>
      <c r="WDS239"/>
      <c r="WDT239"/>
      <c r="WDU239"/>
      <c r="WDV239"/>
      <c r="WDW239"/>
      <c r="WDX239"/>
      <c r="WDY239"/>
      <c r="WDZ239"/>
      <c r="WEA239"/>
      <c r="WEB239"/>
      <c r="WEC239"/>
      <c r="WED239"/>
      <c r="WEE239"/>
      <c r="WEF239"/>
      <c r="WEG239"/>
      <c r="WEH239"/>
      <c r="WEI239"/>
      <c r="WEJ239"/>
      <c r="WEK239"/>
      <c r="WEL239"/>
      <c r="WEM239"/>
      <c r="WEN239"/>
      <c r="WEO239"/>
      <c r="WEP239"/>
      <c r="WEQ239"/>
      <c r="WER239"/>
      <c r="WES239"/>
      <c r="WET239"/>
      <c r="WEU239"/>
      <c r="WEV239"/>
      <c r="WEW239"/>
      <c r="WEX239"/>
      <c r="WEY239"/>
      <c r="WEZ239"/>
      <c r="WFA239"/>
      <c r="WFB239"/>
      <c r="WFC239"/>
      <c r="WFD239"/>
      <c r="WFE239"/>
      <c r="WFF239"/>
      <c r="WFG239"/>
      <c r="WFH239"/>
      <c r="WFI239"/>
      <c r="WFJ239"/>
      <c r="WFK239"/>
      <c r="WFL239"/>
      <c r="WFM239"/>
      <c r="WFN239"/>
      <c r="WFO239"/>
      <c r="WFP239"/>
      <c r="WFQ239"/>
      <c r="WFR239"/>
      <c r="WFS239"/>
      <c r="WFT239"/>
      <c r="WFU239"/>
      <c r="WFV239"/>
      <c r="WFW239"/>
      <c r="WFX239"/>
      <c r="WFY239"/>
      <c r="WFZ239"/>
      <c r="WGA239"/>
      <c r="WGB239"/>
      <c r="WGC239"/>
      <c r="WGD239"/>
      <c r="WGE239"/>
      <c r="WGF239"/>
      <c r="WGG239"/>
      <c r="WGH239"/>
      <c r="WGI239"/>
      <c r="WGJ239"/>
      <c r="WGK239"/>
      <c r="WGL239"/>
      <c r="WGM239"/>
      <c r="WGN239"/>
      <c r="WGO239"/>
      <c r="WGP239"/>
      <c r="WGQ239"/>
      <c r="WGR239"/>
      <c r="WGS239"/>
      <c r="WGT239"/>
      <c r="WGU239"/>
      <c r="WGV239"/>
      <c r="WGW239"/>
      <c r="WGX239"/>
      <c r="WGY239"/>
      <c r="WGZ239"/>
      <c r="WHA239"/>
      <c r="WHB239"/>
      <c r="WHC239"/>
      <c r="WHD239"/>
      <c r="WHE239"/>
      <c r="WHF239"/>
      <c r="WHG239"/>
      <c r="WHH239"/>
      <c r="WHI239"/>
      <c r="WHJ239"/>
      <c r="WHK239"/>
      <c r="WHL239"/>
      <c r="WHM239"/>
      <c r="WHN239"/>
      <c r="WHO239"/>
      <c r="WHP239"/>
      <c r="WHQ239"/>
      <c r="WHR239"/>
      <c r="WHS239"/>
      <c r="WHT239"/>
      <c r="WHU239"/>
      <c r="WHV239"/>
      <c r="WHW239"/>
      <c r="WHX239"/>
      <c r="WHY239"/>
      <c r="WHZ239"/>
      <c r="WIA239"/>
      <c r="WIB239"/>
      <c r="WIC239"/>
      <c r="WID239"/>
      <c r="WIE239"/>
      <c r="WIF239"/>
      <c r="WIG239"/>
      <c r="WIH239"/>
      <c r="WII239"/>
      <c r="WIJ239"/>
      <c r="WIK239"/>
      <c r="WIL239"/>
      <c r="WIM239"/>
      <c r="WIN239"/>
      <c r="WIO239"/>
      <c r="WIP239"/>
      <c r="WIQ239"/>
      <c r="WIR239"/>
      <c r="WIS239"/>
      <c r="WIT239"/>
      <c r="WIU239"/>
      <c r="WIV239"/>
      <c r="WIW239"/>
      <c r="WIX239"/>
      <c r="WIY239"/>
      <c r="WIZ239"/>
      <c r="WJA239"/>
      <c r="WJB239"/>
      <c r="WJC239"/>
      <c r="WJD239"/>
      <c r="WJE239"/>
      <c r="WJF239"/>
      <c r="WJG239"/>
      <c r="WJH239"/>
      <c r="WJI239"/>
      <c r="WJJ239"/>
      <c r="WJK239"/>
      <c r="WJL239"/>
      <c r="WJM239"/>
      <c r="WJN239"/>
      <c r="WJO239"/>
      <c r="WJP239"/>
      <c r="WJQ239"/>
      <c r="WJR239"/>
      <c r="WJS239"/>
      <c r="WJT239"/>
      <c r="WJU239"/>
      <c r="WJV239"/>
      <c r="WJW239"/>
      <c r="WJX239"/>
      <c r="WJY239"/>
      <c r="WJZ239"/>
      <c r="WKA239"/>
      <c r="WKB239"/>
      <c r="WKC239"/>
      <c r="WKD239"/>
      <c r="WKE239"/>
      <c r="WKF239"/>
      <c r="WKG239"/>
      <c r="WKH239"/>
      <c r="WKI239"/>
      <c r="WKJ239"/>
      <c r="WKK239"/>
      <c r="WKL239"/>
      <c r="WKM239"/>
      <c r="WKN239"/>
      <c r="WKO239"/>
      <c r="WKP239"/>
      <c r="WKQ239"/>
      <c r="WKR239"/>
      <c r="WKS239"/>
      <c r="WKT239"/>
      <c r="WKU239"/>
      <c r="WKV239"/>
      <c r="WKW239"/>
      <c r="WKX239"/>
      <c r="WKY239"/>
      <c r="WKZ239"/>
      <c r="WLA239"/>
      <c r="WLB239"/>
      <c r="WLC239"/>
      <c r="WLD239"/>
      <c r="WLE239"/>
      <c r="WLF239"/>
      <c r="WLG239"/>
      <c r="WLH239"/>
      <c r="WLI239"/>
      <c r="WLJ239"/>
      <c r="WLK239"/>
      <c r="WLL239"/>
      <c r="WLM239"/>
      <c r="WLN239"/>
      <c r="WLO239"/>
      <c r="WLP239"/>
      <c r="WLQ239"/>
      <c r="WLR239"/>
      <c r="WLS239"/>
      <c r="WLT239"/>
      <c r="WLU239"/>
      <c r="WLV239"/>
      <c r="WLW239"/>
      <c r="WLX239"/>
      <c r="WLY239"/>
      <c r="WLZ239"/>
      <c r="WMA239"/>
      <c r="WMB239"/>
      <c r="WMC239"/>
      <c r="WMD239"/>
      <c r="WME239"/>
      <c r="WMF239"/>
      <c r="WMG239"/>
      <c r="WMH239"/>
      <c r="WMI239"/>
      <c r="WMJ239"/>
      <c r="WMK239"/>
      <c r="WML239"/>
      <c r="WMM239"/>
      <c r="WMN239"/>
      <c r="WMO239"/>
      <c r="WMP239"/>
      <c r="WMQ239"/>
      <c r="WMR239"/>
      <c r="WMS239"/>
      <c r="WMT239"/>
      <c r="WMU239"/>
      <c r="WMV239"/>
      <c r="WMW239"/>
      <c r="WMX239"/>
      <c r="WMY239"/>
      <c r="WMZ239"/>
      <c r="WNA239"/>
      <c r="WNB239"/>
      <c r="WNC239"/>
      <c r="WND239"/>
      <c r="WNE239"/>
      <c r="WNF239"/>
      <c r="WNG239"/>
      <c r="WNH239"/>
      <c r="WNI239"/>
      <c r="WNJ239"/>
      <c r="WNK239"/>
      <c r="WNL239"/>
      <c r="WNM239"/>
      <c r="WNN239"/>
      <c r="WNO239"/>
      <c r="WNP239"/>
      <c r="WNQ239"/>
      <c r="WNR239"/>
      <c r="WNS239"/>
      <c r="WNT239"/>
      <c r="WNU239"/>
      <c r="WNV239"/>
      <c r="WNW239"/>
      <c r="WNX239"/>
      <c r="WNY239"/>
      <c r="WNZ239"/>
      <c r="WOA239"/>
      <c r="WOB239"/>
      <c r="WOC239"/>
      <c r="WOD239"/>
      <c r="WOE239"/>
      <c r="WOF239"/>
      <c r="WOG239"/>
      <c r="WOH239"/>
      <c r="WOI239"/>
      <c r="WOJ239"/>
      <c r="WOK239"/>
      <c r="WOL239"/>
      <c r="WOM239"/>
      <c r="WON239"/>
      <c r="WOO239"/>
      <c r="WOP239"/>
      <c r="WOQ239"/>
      <c r="WOR239"/>
      <c r="WOS239"/>
      <c r="WOT239"/>
      <c r="WOU239"/>
      <c r="WOV239"/>
      <c r="WOW239"/>
      <c r="WOX239"/>
      <c r="WOY239"/>
      <c r="WOZ239"/>
      <c r="WPA239"/>
      <c r="WPB239"/>
      <c r="WPC239"/>
      <c r="WPD239"/>
      <c r="WPE239"/>
      <c r="WPF239"/>
      <c r="WPG239"/>
      <c r="WPH239"/>
      <c r="WPI239"/>
      <c r="WPJ239"/>
      <c r="WPK239"/>
      <c r="WPL239"/>
      <c r="WPM239"/>
      <c r="WPN239"/>
      <c r="WPO239"/>
      <c r="WPP239"/>
      <c r="WPQ239"/>
      <c r="WPR239"/>
      <c r="WPS239"/>
      <c r="WPT239"/>
      <c r="WPU239"/>
      <c r="WPV239"/>
      <c r="WPW239"/>
      <c r="WPX239"/>
      <c r="WPY239"/>
      <c r="WPZ239"/>
      <c r="WQA239"/>
      <c r="WQB239"/>
      <c r="WQC239"/>
      <c r="WQD239"/>
      <c r="WQE239"/>
      <c r="WQF239"/>
      <c r="WQG239"/>
      <c r="WQH239"/>
      <c r="WQI239"/>
      <c r="WQJ239"/>
      <c r="WQK239"/>
      <c r="WQL239"/>
      <c r="WQM239"/>
      <c r="WQN239"/>
      <c r="WQO239"/>
      <c r="WQP239"/>
      <c r="WQQ239"/>
      <c r="WQR239"/>
      <c r="WQS239"/>
      <c r="WQT239"/>
      <c r="WQU239"/>
      <c r="WQV239"/>
      <c r="WQW239"/>
      <c r="WQX239"/>
      <c r="WQY239"/>
      <c r="WQZ239"/>
      <c r="WRA239"/>
      <c r="WRB239"/>
      <c r="WRC239"/>
      <c r="WRD239"/>
      <c r="WRE239"/>
      <c r="WRF239"/>
      <c r="WRG239"/>
      <c r="WRH239"/>
      <c r="WRI239"/>
      <c r="WRJ239"/>
      <c r="WRK239"/>
      <c r="WRL239"/>
      <c r="WRM239"/>
      <c r="WRN239"/>
      <c r="WRO239"/>
      <c r="WRP239"/>
      <c r="WRQ239"/>
      <c r="WRR239"/>
      <c r="WRS239"/>
      <c r="WRT239"/>
      <c r="WRU239"/>
      <c r="WRV239"/>
      <c r="WRW239"/>
      <c r="WRX239"/>
      <c r="WRY239"/>
      <c r="WRZ239"/>
      <c r="WSA239"/>
      <c r="WSB239"/>
      <c r="WSC239"/>
      <c r="WSD239"/>
      <c r="WSE239"/>
      <c r="WSF239"/>
      <c r="WSG239"/>
      <c r="WSH239"/>
      <c r="WSI239"/>
      <c r="WSJ239"/>
      <c r="WSK239"/>
      <c r="WSL239"/>
      <c r="WSM239"/>
      <c r="WSN239"/>
      <c r="WSO239"/>
      <c r="WSP239"/>
      <c r="WSQ239"/>
      <c r="WSR239"/>
      <c r="WSS239"/>
      <c r="WST239"/>
      <c r="WSU239"/>
      <c r="WSV239"/>
      <c r="WSW239"/>
      <c r="WSX239"/>
      <c r="WSY239"/>
      <c r="WSZ239"/>
      <c r="WTA239"/>
      <c r="WTB239"/>
      <c r="WTC239"/>
      <c r="WTD239"/>
      <c r="WTE239"/>
      <c r="WTF239"/>
      <c r="WTG239"/>
      <c r="WTH239"/>
      <c r="WTI239"/>
      <c r="WTJ239"/>
      <c r="WTK239"/>
      <c r="WTL239"/>
      <c r="WTM239"/>
      <c r="WTN239"/>
      <c r="WTO239"/>
      <c r="WTP239"/>
      <c r="WTQ239"/>
      <c r="WTR239"/>
      <c r="WTS239"/>
      <c r="WTT239"/>
      <c r="WTU239"/>
      <c r="WTV239"/>
      <c r="WTW239"/>
      <c r="WTX239"/>
      <c r="WTY239"/>
      <c r="WTZ239"/>
      <c r="WUA239"/>
      <c r="WUB239"/>
      <c r="WUC239"/>
      <c r="WUD239"/>
      <c r="WUE239"/>
      <c r="WUF239"/>
      <c r="WUG239"/>
      <c r="WUH239"/>
      <c r="WUI239"/>
      <c r="WUJ239"/>
      <c r="WUK239"/>
      <c r="WUL239"/>
      <c r="WUM239"/>
      <c r="WUN239"/>
      <c r="WUO239"/>
      <c r="WUP239"/>
      <c r="WUQ239"/>
      <c r="WUR239"/>
      <c r="WUS239"/>
      <c r="WUT239"/>
      <c r="WUU239"/>
      <c r="WUV239"/>
      <c r="WUW239"/>
      <c r="WUX239"/>
      <c r="WUY239"/>
      <c r="WUZ239"/>
      <c r="WVA239"/>
      <c r="WVB239"/>
      <c r="WVC239"/>
      <c r="WVD239"/>
      <c r="WVE239"/>
      <c r="WVF239"/>
      <c r="WVG239"/>
      <c r="WVH239"/>
      <c r="WVI239"/>
      <c r="WVJ239"/>
      <c r="WVK239"/>
      <c r="WVL239"/>
      <c r="WVM239"/>
      <c r="WVN239"/>
      <c r="WVO239"/>
      <c r="WVP239"/>
      <c r="WVQ239"/>
      <c r="WVR239"/>
      <c r="WVS239"/>
      <c r="WVT239"/>
      <c r="WVU239"/>
      <c r="WVV239"/>
      <c r="WVW239"/>
      <c r="WVX239"/>
      <c r="WVY239"/>
      <c r="WVZ239"/>
      <c r="WWA239"/>
      <c r="WWB239"/>
      <c r="WWC239"/>
      <c r="WWD239"/>
      <c r="WWE239"/>
      <c r="WWF239"/>
      <c r="WWG239"/>
      <c r="WWH239"/>
      <c r="WWI239"/>
      <c r="WWJ239"/>
      <c r="WWK239"/>
      <c r="WWL239"/>
      <c r="WWM239"/>
      <c r="WWN239"/>
      <c r="WWO239"/>
      <c r="WWP239"/>
      <c r="WWQ239"/>
      <c r="WWR239"/>
      <c r="WWS239"/>
      <c r="WWT239"/>
      <c r="WWU239"/>
      <c r="WWV239"/>
      <c r="WWW239"/>
      <c r="WWX239"/>
      <c r="WWY239"/>
      <c r="WWZ239"/>
      <c r="WXA239"/>
      <c r="WXB239"/>
      <c r="WXC239"/>
      <c r="WXD239"/>
      <c r="WXE239"/>
      <c r="WXF239"/>
      <c r="WXG239"/>
      <c r="WXH239"/>
      <c r="WXI239"/>
      <c r="WXJ239"/>
      <c r="WXK239"/>
      <c r="WXL239"/>
      <c r="WXM239"/>
      <c r="WXN239"/>
      <c r="WXO239"/>
      <c r="WXP239"/>
      <c r="WXQ239"/>
      <c r="WXR239"/>
      <c r="WXS239"/>
      <c r="WXT239"/>
      <c r="WXU239"/>
      <c r="WXV239"/>
      <c r="WXW239"/>
      <c r="WXX239"/>
      <c r="WXY239"/>
      <c r="WXZ239"/>
      <c r="WYA239"/>
      <c r="WYB239"/>
      <c r="WYC239"/>
      <c r="WYD239"/>
      <c r="WYE239"/>
      <c r="WYF239"/>
      <c r="WYG239"/>
      <c r="WYH239"/>
      <c r="WYI239"/>
      <c r="WYJ239"/>
      <c r="WYK239"/>
      <c r="WYL239"/>
      <c r="WYM239"/>
      <c r="WYN239"/>
      <c r="WYO239"/>
      <c r="WYP239"/>
      <c r="WYQ239"/>
      <c r="WYR239"/>
      <c r="WYS239"/>
      <c r="WYT239"/>
      <c r="WYU239"/>
      <c r="WYV239"/>
      <c r="WYW239"/>
      <c r="WYX239"/>
      <c r="WYY239"/>
      <c r="WYZ239"/>
      <c r="WZA239"/>
      <c r="WZB239"/>
      <c r="WZC239"/>
      <c r="WZD239"/>
      <c r="WZE239"/>
      <c r="WZF239"/>
      <c r="WZG239"/>
      <c r="WZH239"/>
      <c r="WZI239"/>
      <c r="WZJ239"/>
      <c r="WZK239"/>
      <c r="WZL239"/>
      <c r="WZM239"/>
      <c r="WZN239"/>
      <c r="WZO239"/>
      <c r="WZP239"/>
      <c r="WZQ239"/>
      <c r="WZR239"/>
      <c r="WZS239"/>
      <c r="WZT239"/>
      <c r="WZU239"/>
      <c r="WZV239"/>
      <c r="WZW239"/>
      <c r="WZX239"/>
      <c r="WZY239"/>
      <c r="WZZ239"/>
      <c r="XAA239"/>
      <c r="XAB239"/>
      <c r="XAC239"/>
      <c r="XAD239"/>
      <c r="XAE239"/>
      <c r="XAF239"/>
      <c r="XAG239"/>
      <c r="XAH239"/>
      <c r="XAI239"/>
      <c r="XAJ239"/>
      <c r="XAK239"/>
      <c r="XAL239"/>
      <c r="XAM239"/>
      <c r="XAN239"/>
      <c r="XAO239"/>
      <c r="XAP239"/>
      <c r="XAQ239"/>
      <c r="XAR239"/>
      <c r="XAS239"/>
      <c r="XAT239"/>
      <c r="XAU239"/>
      <c r="XAV239"/>
      <c r="XAW239"/>
      <c r="XAX239"/>
      <c r="XAY239"/>
      <c r="XAZ239"/>
      <c r="XBA239"/>
      <c r="XBB239"/>
      <c r="XBC239"/>
      <c r="XBD239"/>
      <c r="XBE239"/>
      <c r="XBF239"/>
      <c r="XBG239"/>
      <c r="XBH239"/>
      <c r="XBI239"/>
      <c r="XBJ239"/>
      <c r="XBK239"/>
      <c r="XBL239"/>
      <c r="XBM239"/>
      <c r="XBN239"/>
      <c r="XBO239"/>
      <c r="XBP239"/>
      <c r="XBQ239"/>
      <c r="XBR239"/>
      <c r="XBS239"/>
      <c r="XBT239"/>
      <c r="XBU239"/>
      <c r="XBV239"/>
      <c r="XBW239"/>
      <c r="XBX239"/>
      <c r="XBY239"/>
      <c r="XBZ239"/>
      <c r="XCA239"/>
      <c r="XCB239"/>
      <c r="XCC239"/>
      <c r="XCD239"/>
      <c r="XCE239"/>
      <c r="XCF239"/>
      <c r="XCG239"/>
      <c r="XCH239"/>
      <c r="XCI239"/>
      <c r="XCJ239"/>
      <c r="XCK239"/>
      <c r="XCL239"/>
      <c r="XCM239"/>
      <c r="XCN239"/>
      <c r="XCO239"/>
      <c r="XCP239"/>
      <c r="XCQ239"/>
      <c r="XCR239"/>
      <c r="XCS239"/>
      <c r="XCT239"/>
      <c r="XCU239"/>
      <c r="XCV239"/>
      <c r="XCW239"/>
      <c r="XCX239"/>
      <c r="XCY239"/>
      <c r="XCZ239"/>
      <c r="XDA239"/>
      <c r="XDB239"/>
      <c r="XDC239"/>
      <c r="XDD239"/>
      <c r="XDE239"/>
      <c r="XDF239"/>
      <c r="XDG239"/>
      <c r="XDH239"/>
      <c r="XDI239"/>
      <c r="XDJ239"/>
      <c r="XDK239"/>
      <c r="XDL239"/>
      <c r="XDM239"/>
      <c r="XDN239"/>
      <c r="XDO239"/>
      <c r="XDP239"/>
      <c r="XDQ239"/>
      <c r="XDR239"/>
      <c r="XDS239"/>
      <c r="XDT239"/>
      <c r="XDU239"/>
      <c r="XDV239"/>
      <c r="XDW239"/>
      <c r="XDX239"/>
      <c r="XDY239"/>
      <c r="XDZ239"/>
      <c r="XEA239"/>
      <c r="XEB239"/>
      <c r="XEC239"/>
      <c r="XED239"/>
      <c r="XEE239"/>
      <c r="XEF239"/>
      <c r="XEG239"/>
      <c r="XEH239"/>
      <c r="XEI239"/>
      <c r="XEJ239"/>
      <c r="XEK239"/>
      <c r="XEL239"/>
      <c r="XEM239"/>
      <c r="XEN239"/>
      <c r="XEO239"/>
      <c r="XEP239"/>
      <c r="XEQ239"/>
      <c r="XER239"/>
      <c r="XES239"/>
      <c r="XET239"/>
      <c r="XEU239"/>
      <c r="XEV239"/>
      <c r="XEW239"/>
      <c r="XEX239"/>
      <c r="XEY239"/>
      <c r="XEZ239"/>
      <c r="XFA239"/>
      <c r="XFB239"/>
      <c r="XFC239"/>
      <c r="XFD239"/>
    </row>
    <row r="240" spans="5:16384" s="131" customFormat="1" x14ac:dyDescent="0.25">
      <c r="E240" s="175"/>
      <c r="F240" s="66" t="s">
        <v>45</v>
      </c>
      <c r="G240" s="139" t="s">
        <v>388</v>
      </c>
      <c r="H240" s="572"/>
      <c r="I240" s="572"/>
      <c r="J240" s="585">
        <f t="shared" ref="J240:AP240" si="47">J$78 * J210</f>
        <v>0</v>
      </c>
      <c r="K240" s="585">
        <f t="shared" si="47"/>
        <v>0</v>
      </c>
      <c r="L240" s="585">
        <f t="shared" si="47"/>
        <v>0</v>
      </c>
      <c r="M240" s="585">
        <f t="shared" si="47"/>
        <v>0</v>
      </c>
      <c r="N240" s="585">
        <f t="shared" si="47"/>
        <v>0</v>
      </c>
      <c r="O240" s="585">
        <f t="shared" si="47"/>
        <v>0</v>
      </c>
      <c r="P240" s="585">
        <f t="shared" si="47"/>
        <v>0</v>
      </c>
      <c r="Q240" s="585">
        <f t="shared" si="47"/>
        <v>0</v>
      </c>
      <c r="R240" s="585">
        <f t="shared" si="47"/>
        <v>0</v>
      </c>
      <c r="S240" s="585">
        <f t="shared" si="47"/>
        <v>0</v>
      </c>
      <c r="T240" s="585">
        <f t="shared" si="47"/>
        <v>0</v>
      </c>
      <c r="U240" s="585">
        <f t="shared" si="47"/>
        <v>4.4813786986395189E-3</v>
      </c>
      <c r="V240" s="585">
        <f t="shared" si="47"/>
        <v>3.9180350249512783E-3</v>
      </c>
      <c r="W240" s="585">
        <f t="shared" si="47"/>
        <v>3.4326493354552004E-3</v>
      </c>
      <c r="X240" s="585">
        <f t="shared" si="47"/>
        <v>0</v>
      </c>
      <c r="Y240" s="585">
        <f t="shared" si="47"/>
        <v>0</v>
      </c>
      <c r="Z240" s="585">
        <f t="shared" si="47"/>
        <v>0</v>
      </c>
      <c r="AA240" s="585">
        <f t="shared" si="47"/>
        <v>0</v>
      </c>
      <c r="AB240" s="585">
        <f t="shared" si="47"/>
        <v>0</v>
      </c>
      <c r="AC240" s="585">
        <f t="shared" si="47"/>
        <v>0</v>
      </c>
      <c r="AD240" s="585">
        <f t="shared" si="47"/>
        <v>0</v>
      </c>
      <c r="AE240" s="585">
        <f t="shared" si="47"/>
        <v>3.2392105333228184E-3</v>
      </c>
      <c r="AF240" s="585">
        <f t="shared" si="47"/>
        <v>0</v>
      </c>
      <c r="AG240" s="585">
        <f t="shared" si="47"/>
        <v>3.2392105333228184E-3</v>
      </c>
      <c r="AH240" s="585">
        <f t="shared" si="47"/>
        <v>0</v>
      </c>
      <c r="AI240" s="585">
        <f t="shared" si="47"/>
        <v>3.111307821722377E-3</v>
      </c>
      <c r="AJ240" s="585">
        <f t="shared" si="47"/>
        <v>0</v>
      </c>
      <c r="AK240" s="585">
        <f t="shared" si="47"/>
        <v>3.111307821722377E-3</v>
      </c>
      <c r="AL240" s="585">
        <f t="shared" si="47"/>
        <v>0</v>
      </c>
      <c r="AM240" s="585">
        <f t="shared" si="47"/>
        <v>3.0666905967454785E-3</v>
      </c>
      <c r="AN240" s="585">
        <f t="shared" si="47"/>
        <v>0</v>
      </c>
      <c r="AO240" s="585">
        <f t="shared" si="47"/>
        <v>3.0666905967454785E-3</v>
      </c>
      <c r="AP240" s="585">
        <f t="shared" si="47"/>
        <v>0</v>
      </c>
      <c r="AQ240" s="571"/>
      <c r="AR240" s="571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  <c r="FV240"/>
      <c r="FW240"/>
      <c r="FX240"/>
      <c r="FY240"/>
      <c r="FZ240"/>
      <c r="GA240"/>
      <c r="GB240"/>
      <c r="GC240"/>
      <c r="GD240"/>
      <c r="GE240"/>
      <c r="GF240"/>
      <c r="GG240"/>
      <c r="GH240"/>
      <c r="GI240"/>
      <c r="GJ240"/>
      <c r="GK240"/>
      <c r="GL240"/>
      <c r="GM240"/>
      <c r="GN240"/>
      <c r="GO240"/>
      <c r="GP240"/>
      <c r="GQ240"/>
      <c r="GR240"/>
      <c r="GS240"/>
      <c r="GT240"/>
      <c r="GU240"/>
      <c r="GV240"/>
      <c r="GW240"/>
      <c r="GX240"/>
      <c r="GY240"/>
      <c r="GZ240"/>
      <c r="HA240"/>
      <c r="HB240"/>
      <c r="HC240"/>
      <c r="HD240"/>
      <c r="HE240"/>
      <c r="HF240"/>
      <c r="HG240"/>
      <c r="HH240"/>
      <c r="HI240"/>
      <c r="HJ240"/>
      <c r="HK240"/>
      <c r="HL240"/>
      <c r="HM240"/>
      <c r="HN240"/>
      <c r="HO240"/>
      <c r="HP240"/>
      <c r="HQ240"/>
      <c r="HR240"/>
      <c r="HS240"/>
      <c r="HT240"/>
      <c r="HU240"/>
      <c r="HV240"/>
      <c r="HW240"/>
      <c r="HX240"/>
      <c r="HY240"/>
      <c r="HZ240"/>
      <c r="IA240"/>
      <c r="IB240"/>
      <c r="IC240"/>
      <c r="ID240"/>
      <c r="IE240"/>
      <c r="IF240"/>
      <c r="IG240"/>
      <c r="IH240"/>
      <c r="II240"/>
      <c r="IJ240"/>
      <c r="IK240"/>
      <c r="IL240"/>
      <c r="IM240"/>
      <c r="IN240"/>
      <c r="IO240"/>
      <c r="IP240"/>
      <c r="IQ240"/>
      <c r="IR240"/>
      <c r="IS240"/>
      <c r="IT240"/>
      <c r="IU240"/>
      <c r="IV240"/>
      <c r="IW240"/>
      <c r="IX240"/>
      <c r="IY240"/>
      <c r="IZ240"/>
      <c r="JA240"/>
      <c r="JB240"/>
      <c r="JC240"/>
      <c r="JD240"/>
      <c r="JE240"/>
      <c r="JF240"/>
      <c r="JG240"/>
      <c r="JH240"/>
      <c r="JI240"/>
      <c r="JJ240"/>
      <c r="JK240"/>
      <c r="JL240"/>
      <c r="JM240"/>
      <c r="JN240"/>
      <c r="JO240"/>
      <c r="JP240"/>
      <c r="JQ240"/>
      <c r="JR240"/>
      <c r="JS240"/>
      <c r="JT240"/>
      <c r="JU240"/>
      <c r="JV240"/>
      <c r="JW240"/>
      <c r="JX240"/>
      <c r="JY240"/>
      <c r="JZ240"/>
      <c r="KA240"/>
      <c r="KB240"/>
      <c r="KC240"/>
      <c r="KD240"/>
      <c r="KE240"/>
      <c r="KF240"/>
      <c r="KG240"/>
      <c r="KH240"/>
      <c r="KI240"/>
      <c r="KJ240"/>
      <c r="KK240"/>
      <c r="KL240"/>
      <c r="KM240"/>
      <c r="KN240"/>
      <c r="KO240"/>
      <c r="KP240"/>
      <c r="KQ240"/>
      <c r="KR240"/>
      <c r="KS240"/>
      <c r="KT240"/>
      <c r="KU240"/>
      <c r="KV240"/>
      <c r="KW240"/>
      <c r="KX240"/>
      <c r="KY240"/>
      <c r="KZ240"/>
      <c r="LA240"/>
      <c r="LB240"/>
      <c r="LC240"/>
      <c r="LD240"/>
      <c r="LE240"/>
      <c r="LF240"/>
      <c r="LG240"/>
      <c r="LH240"/>
      <c r="LI240"/>
      <c r="LJ240"/>
      <c r="LK240"/>
      <c r="LL240"/>
      <c r="LM240"/>
      <c r="LN240"/>
      <c r="LO240"/>
      <c r="LP240"/>
      <c r="LQ240"/>
      <c r="LR240"/>
      <c r="LS240"/>
      <c r="LT240"/>
      <c r="LU240"/>
      <c r="LV240"/>
      <c r="LW240"/>
      <c r="LX240"/>
      <c r="LY240"/>
      <c r="LZ240"/>
      <c r="MA240"/>
      <c r="MB240"/>
      <c r="MC240"/>
      <c r="MD240"/>
      <c r="ME240"/>
      <c r="MF240"/>
      <c r="MG240"/>
      <c r="MH240"/>
      <c r="MI240"/>
      <c r="MJ240"/>
      <c r="MK240"/>
      <c r="ML240"/>
      <c r="MM240"/>
      <c r="MN240"/>
      <c r="MO240"/>
      <c r="MP240"/>
      <c r="MQ240"/>
      <c r="MR240"/>
      <c r="MS240"/>
      <c r="MT240"/>
      <c r="MU240"/>
      <c r="MV240"/>
      <c r="MW240"/>
      <c r="MX240"/>
      <c r="MY240"/>
      <c r="MZ240"/>
      <c r="NA240"/>
      <c r="NB240"/>
      <c r="NC240"/>
      <c r="ND240"/>
      <c r="NE240"/>
      <c r="NF240"/>
      <c r="NG240"/>
      <c r="NH240"/>
      <c r="NI240"/>
      <c r="NJ240"/>
      <c r="NK240"/>
      <c r="NL240"/>
      <c r="NM240"/>
      <c r="NN240"/>
      <c r="NO240"/>
      <c r="NP240"/>
      <c r="NQ240"/>
      <c r="NR240"/>
      <c r="NS240"/>
      <c r="NT240"/>
      <c r="NU240"/>
      <c r="NV240"/>
      <c r="NW240"/>
      <c r="NX240"/>
      <c r="NY240"/>
      <c r="NZ240"/>
      <c r="OA240"/>
      <c r="OB240"/>
      <c r="OC240"/>
      <c r="OD240"/>
      <c r="OE240"/>
      <c r="OF240"/>
      <c r="OG240"/>
      <c r="OH240"/>
      <c r="OI240"/>
      <c r="OJ240"/>
      <c r="OK240"/>
      <c r="OL240"/>
      <c r="OM240"/>
      <c r="ON240"/>
      <c r="OO240"/>
      <c r="OP240"/>
      <c r="OQ240"/>
      <c r="OR240"/>
      <c r="OS240"/>
      <c r="OT240"/>
      <c r="OU240"/>
      <c r="OV240"/>
      <c r="OW240"/>
      <c r="OX240"/>
      <c r="OY240"/>
      <c r="OZ240"/>
      <c r="PA240"/>
      <c r="PB240"/>
      <c r="PC240"/>
      <c r="PD240"/>
      <c r="PE240"/>
      <c r="PF240"/>
      <c r="PG240"/>
      <c r="PH240"/>
      <c r="PI240"/>
      <c r="PJ240"/>
      <c r="PK240"/>
      <c r="PL240"/>
      <c r="PM240"/>
      <c r="PN240"/>
      <c r="PO240"/>
      <c r="PP240"/>
      <c r="PQ240"/>
      <c r="PR240"/>
      <c r="PS240"/>
      <c r="PT240"/>
      <c r="PU240"/>
      <c r="PV240"/>
      <c r="PW240"/>
      <c r="PX240"/>
      <c r="PY240"/>
      <c r="PZ240"/>
      <c r="QA240"/>
      <c r="QB240"/>
      <c r="QC240"/>
      <c r="QD240"/>
      <c r="QE240"/>
      <c r="QF240"/>
      <c r="QG240"/>
      <c r="QH240"/>
      <c r="QI240"/>
      <c r="QJ240"/>
      <c r="QK240"/>
      <c r="QL240"/>
      <c r="QM240"/>
      <c r="QN240"/>
      <c r="QO240"/>
      <c r="QP240"/>
      <c r="QQ240"/>
      <c r="QR240"/>
      <c r="QS240"/>
      <c r="QT240"/>
      <c r="QU240"/>
      <c r="QV240"/>
      <c r="QW240"/>
      <c r="QX240"/>
      <c r="QY240"/>
      <c r="QZ240"/>
      <c r="RA240"/>
      <c r="RB240"/>
      <c r="RC240"/>
      <c r="RD240"/>
      <c r="RE240"/>
      <c r="RF240"/>
      <c r="RG240"/>
      <c r="RH240"/>
      <c r="RI240"/>
      <c r="RJ240"/>
      <c r="RK240"/>
      <c r="RL240"/>
      <c r="RM240"/>
      <c r="RN240"/>
      <c r="RO240"/>
      <c r="RP240"/>
      <c r="RQ240"/>
      <c r="RR240"/>
      <c r="RS240"/>
      <c r="RT240"/>
      <c r="RU240"/>
      <c r="RV240"/>
      <c r="RW240"/>
      <c r="RX240"/>
      <c r="RY240"/>
      <c r="RZ240"/>
      <c r="SA240"/>
      <c r="SB240"/>
      <c r="SC240"/>
      <c r="SD240"/>
      <c r="SE240"/>
      <c r="SF240"/>
      <c r="SG240"/>
      <c r="SH240"/>
      <c r="SI240"/>
      <c r="SJ240"/>
      <c r="SK240"/>
      <c r="SL240"/>
      <c r="SM240"/>
      <c r="SN240"/>
      <c r="SO240"/>
      <c r="SP240"/>
      <c r="SQ240"/>
      <c r="SR240"/>
      <c r="SS240"/>
      <c r="ST240"/>
      <c r="SU240"/>
      <c r="SV240"/>
      <c r="SW240"/>
      <c r="SX240"/>
      <c r="SY240"/>
      <c r="SZ240"/>
      <c r="TA240"/>
      <c r="TB240"/>
      <c r="TC240"/>
      <c r="TD240"/>
      <c r="TE240"/>
      <c r="TF240"/>
      <c r="TG240"/>
      <c r="TH240"/>
      <c r="TI240"/>
      <c r="TJ240"/>
      <c r="TK240"/>
      <c r="TL240"/>
      <c r="TM240"/>
      <c r="TN240"/>
      <c r="TO240"/>
      <c r="TP240"/>
      <c r="TQ240"/>
      <c r="TR240"/>
      <c r="TS240"/>
      <c r="TT240"/>
      <c r="TU240"/>
      <c r="TV240"/>
      <c r="TW240"/>
      <c r="TX240"/>
      <c r="TY240"/>
      <c r="TZ240"/>
      <c r="UA240"/>
      <c r="UB240"/>
      <c r="UC240"/>
      <c r="UD240"/>
      <c r="UE240"/>
      <c r="UF240"/>
      <c r="UG240"/>
      <c r="UH240"/>
      <c r="UI240"/>
      <c r="UJ240"/>
      <c r="UK240"/>
      <c r="UL240"/>
      <c r="UM240"/>
      <c r="UN240"/>
      <c r="UO240"/>
      <c r="UP240"/>
      <c r="UQ240"/>
      <c r="UR240"/>
      <c r="US240"/>
      <c r="UT240"/>
      <c r="UU240"/>
      <c r="UV240"/>
      <c r="UW240"/>
      <c r="UX240"/>
      <c r="UY240"/>
      <c r="UZ240"/>
      <c r="VA240"/>
      <c r="VB240"/>
      <c r="VC240"/>
      <c r="VD240"/>
      <c r="VE240"/>
      <c r="VF240"/>
      <c r="VG240"/>
      <c r="VH240"/>
      <c r="VI240"/>
      <c r="VJ240"/>
      <c r="VK240"/>
      <c r="VL240"/>
      <c r="VM240"/>
      <c r="VN240"/>
      <c r="VO240"/>
      <c r="VP240"/>
      <c r="VQ240"/>
      <c r="VR240"/>
      <c r="VS240"/>
      <c r="VT240"/>
      <c r="VU240"/>
      <c r="VV240"/>
      <c r="VW240"/>
      <c r="VX240"/>
      <c r="VY240"/>
      <c r="VZ240"/>
      <c r="WA240"/>
      <c r="WB240"/>
      <c r="WC240"/>
      <c r="WD240"/>
      <c r="WE240"/>
      <c r="WF240"/>
      <c r="WG240"/>
      <c r="WH240"/>
      <c r="WI240"/>
      <c r="WJ240"/>
      <c r="WK240"/>
      <c r="WL240"/>
      <c r="WM240"/>
      <c r="WN240"/>
      <c r="WO240"/>
      <c r="WP240"/>
      <c r="WQ240"/>
      <c r="WR240"/>
      <c r="WS240"/>
      <c r="WT240"/>
      <c r="WU240"/>
      <c r="WV240"/>
      <c r="WW240"/>
      <c r="WX240"/>
      <c r="WY240"/>
      <c r="WZ240"/>
      <c r="XA240"/>
      <c r="XB240"/>
      <c r="XC240"/>
      <c r="XD240"/>
      <c r="XE240"/>
      <c r="XF240"/>
      <c r="XG240"/>
      <c r="XH240"/>
      <c r="XI240"/>
      <c r="XJ240"/>
      <c r="XK240"/>
      <c r="XL240"/>
      <c r="XM240"/>
      <c r="XN240"/>
      <c r="XO240"/>
      <c r="XP240"/>
      <c r="XQ240"/>
      <c r="XR240"/>
      <c r="XS240"/>
      <c r="XT240"/>
      <c r="XU240"/>
      <c r="XV240"/>
      <c r="XW240"/>
      <c r="XX240"/>
      <c r="XY240"/>
      <c r="XZ240"/>
      <c r="YA240"/>
      <c r="YB240"/>
      <c r="YC240"/>
      <c r="YD240"/>
      <c r="YE240"/>
      <c r="YF240"/>
      <c r="YG240"/>
      <c r="YH240"/>
      <c r="YI240"/>
      <c r="YJ240"/>
      <c r="YK240"/>
      <c r="YL240"/>
      <c r="YM240"/>
      <c r="YN240"/>
      <c r="YO240"/>
      <c r="YP240"/>
      <c r="YQ240"/>
      <c r="YR240"/>
      <c r="YS240"/>
      <c r="YT240"/>
      <c r="YU240"/>
      <c r="YV240"/>
      <c r="YW240"/>
      <c r="YX240"/>
      <c r="YY240"/>
      <c r="YZ240"/>
      <c r="ZA240"/>
      <c r="ZB240"/>
      <c r="ZC240"/>
      <c r="ZD240"/>
      <c r="ZE240"/>
      <c r="ZF240"/>
      <c r="ZG240"/>
      <c r="ZH240"/>
      <c r="ZI240"/>
      <c r="ZJ240"/>
      <c r="ZK240"/>
      <c r="ZL240"/>
      <c r="ZM240"/>
      <c r="ZN240"/>
      <c r="ZO240"/>
      <c r="ZP240"/>
      <c r="ZQ240"/>
      <c r="ZR240"/>
      <c r="ZS240"/>
      <c r="ZT240"/>
      <c r="ZU240"/>
      <c r="ZV240"/>
      <c r="ZW240"/>
      <c r="ZX240"/>
      <c r="ZY240"/>
      <c r="ZZ240"/>
      <c r="AAA240"/>
      <c r="AAB240"/>
      <c r="AAC240"/>
      <c r="AAD240"/>
      <c r="AAE240"/>
      <c r="AAF240"/>
      <c r="AAG240"/>
      <c r="AAH240"/>
      <c r="AAI240"/>
      <c r="AAJ240"/>
      <c r="AAK240"/>
      <c r="AAL240"/>
      <c r="AAM240"/>
      <c r="AAN240"/>
      <c r="AAO240"/>
      <c r="AAP240"/>
      <c r="AAQ240"/>
      <c r="AAR240"/>
      <c r="AAS240"/>
      <c r="AAT240"/>
      <c r="AAU240"/>
      <c r="AAV240"/>
      <c r="AAW240"/>
      <c r="AAX240"/>
      <c r="AAY240"/>
      <c r="AAZ240"/>
      <c r="ABA240"/>
      <c r="ABB240"/>
      <c r="ABC240"/>
      <c r="ABD240"/>
      <c r="ABE240"/>
      <c r="ABF240"/>
      <c r="ABG240"/>
      <c r="ABH240"/>
      <c r="ABI240"/>
      <c r="ABJ240"/>
      <c r="ABK240"/>
      <c r="ABL240"/>
      <c r="ABM240"/>
      <c r="ABN240"/>
      <c r="ABO240"/>
      <c r="ABP240"/>
      <c r="ABQ240"/>
      <c r="ABR240"/>
      <c r="ABS240"/>
      <c r="ABT240"/>
      <c r="ABU240"/>
      <c r="ABV240"/>
      <c r="ABW240"/>
      <c r="ABX240"/>
      <c r="ABY240"/>
      <c r="ABZ240"/>
      <c r="ACA240"/>
      <c r="ACB240"/>
      <c r="ACC240"/>
      <c r="ACD240"/>
      <c r="ACE240"/>
      <c r="ACF240"/>
      <c r="ACG240"/>
      <c r="ACH240"/>
      <c r="ACI240"/>
      <c r="ACJ240"/>
      <c r="ACK240"/>
      <c r="ACL240"/>
      <c r="ACM240"/>
      <c r="ACN240"/>
      <c r="ACO240"/>
      <c r="ACP240"/>
      <c r="ACQ240"/>
      <c r="ACR240"/>
      <c r="ACS240"/>
      <c r="ACT240"/>
      <c r="ACU240"/>
      <c r="ACV240"/>
      <c r="ACW240"/>
      <c r="ACX240"/>
      <c r="ACY240"/>
      <c r="ACZ240"/>
      <c r="ADA240"/>
      <c r="ADB240"/>
      <c r="ADC240"/>
      <c r="ADD240"/>
      <c r="ADE240"/>
      <c r="ADF240"/>
      <c r="ADG240"/>
      <c r="ADH240"/>
      <c r="ADI240"/>
      <c r="ADJ240"/>
      <c r="ADK240"/>
      <c r="ADL240"/>
      <c r="ADM240"/>
      <c r="ADN240"/>
      <c r="ADO240"/>
      <c r="ADP240"/>
      <c r="ADQ240"/>
      <c r="ADR240"/>
      <c r="ADS240"/>
      <c r="ADT240"/>
      <c r="ADU240"/>
      <c r="ADV240"/>
      <c r="ADW240"/>
      <c r="ADX240"/>
      <c r="ADY240"/>
      <c r="ADZ240"/>
      <c r="AEA240"/>
      <c r="AEB240"/>
      <c r="AEC240"/>
      <c r="AED240"/>
      <c r="AEE240"/>
      <c r="AEF240"/>
      <c r="AEG240"/>
      <c r="AEH240"/>
      <c r="AEI240"/>
      <c r="AEJ240"/>
      <c r="AEK240"/>
      <c r="AEL240"/>
      <c r="AEM240"/>
      <c r="AEN240"/>
      <c r="AEO240"/>
      <c r="AEP240"/>
      <c r="AEQ240"/>
      <c r="AER240"/>
      <c r="AES240"/>
      <c r="AET240"/>
      <c r="AEU240"/>
      <c r="AEV240"/>
      <c r="AEW240"/>
      <c r="AEX240"/>
      <c r="AEY240"/>
      <c r="AEZ240"/>
      <c r="AFA240"/>
      <c r="AFB240"/>
      <c r="AFC240"/>
      <c r="AFD240"/>
      <c r="AFE240"/>
      <c r="AFF240"/>
      <c r="AFG240"/>
      <c r="AFH240"/>
      <c r="AFI240"/>
      <c r="AFJ240"/>
      <c r="AFK240"/>
      <c r="AFL240"/>
      <c r="AFM240"/>
      <c r="AFN240"/>
      <c r="AFO240"/>
      <c r="AFP240"/>
      <c r="AFQ240"/>
      <c r="AFR240"/>
      <c r="AFS240"/>
      <c r="AFT240"/>
      <c r="AFU240"/>
      <c r="AFV240"/>
      <c r="AFW240"/>
      <c r="AFX240"/>
      <c r="AFY240"/>
      <c r="AFZ240"/>
      <c r="AGA240"/>
      <c r="AGB240"/>
      <c r="AGC240"/>
      <c r="AGD240"/>
      <c r="AGE240"/>
      <c r="AGF240"/>
      <c r="AGG240"/>
      <c r="AGH240"/>
      <c r="AGI240"/>
      <c r="AGJ240"/>
      <c r="AGK240"/>
      <c r="AGL240"/>
      <c r="AGM240"/>
      <c r="AGN240"/>
      <c r="AGO240"/>
      <c r="AGP240"/>
      <c r="AGQ240"/>
      <c r="AGR240"/>
      <c r="AGS240"/>
      <c r="AGT240"/>
      <c r="AGU240"/>
      <c r="AGV240"/>
      <c r="AGW240"/>
      <c r="AGX240"/>
      <c r="AGY240"/>
      <c r="AGZ240"/>
      <c r="AHA240"/>
      <c r="AHB240"/>
      <c r="AHC240"/>
      <c r="AHD240"/>
      <c r="AHE240"/>
      <c r="AHF240"/>
      <c r="AHG240"/>
      <c r="AHH240"/>
      <c r="AHI240"/>
      <c r="AHJ240"/>
      <c r="AHK240"/>
      <c r="AHL240"/>
      <c r="AHM240"/>
      <c r="AHN240"/>
      <c r="AHO240"/>
      <c r="AHP240"/>
      <c r="AHQ240"/>
      <c r="AHR240"/>
      <c r="AHS240"/>
      <c r="AHT240"/>
      <c r="AHU240"/>
      <c r="AHV240"/>
      <c r="AHW240"/>
      <c r="AHX240"/>
      <c r="AHY240"/>
      <c r="AHZ240"/>
      <c r="AIA240"/>
      <c r="AIB240"/>
      <c r="AIC240"/>
      <c r="AID240"/>
      <c r="AIE240"/>
      <c r="AIF240"/>
      <c r="AIG240"/>
      <c r="AIH240"/>
      <c r="AII240"/>
      <c r="AIJ240"/>
      <c r="AIK240"/>
      <c r="AIL240"/>
      <c r="AIM240"/>
      <c r="AIN240"/>
      <c r="AIO240"/>
      <c r="AIP240"/>
      <c r="AIQ240"/>
      <c r="AIR240"/>
      <c r="AIS240"/>
      <c r="AIT240"/>
      <c r="AIU240"/>
      <c r="AIV240"/>
      <c r="AIW240"/>
      <c r="AIX240"/>
      <c r="AIY240"/>
      <c r="AIZ240"/>
      <c r="AJA240"/>
      <c r="AJB240"/>
      <c r="AJC240"/>
      <c r="AJD240"/>
      <c r="AJE240"/>
      <c r="AJF240"/>
      <c r="AJG240"/>
      <c r="AJH240"/>
      <c r="AJI240"/>
      <c r="AJJ240"/>
      <c r="AJK240"/>
      <c r="AJL240"/>
      <c r="AJM240"/>
      <c r="AJN240"/>
      <c r="AJO240"/>
      <c r="AJP240"/>
      <c r="AJQ240"/>
      <c r="AJR240"/>
      <c r="AJS240"/>
      <c r="AJT240"/>
      <c r="AJU240"/>
      <c r="AJV240"/>
      <c r="AJW240"/>
      <c r="AJX240"/>
      <c r="AJY240"/>
      <c r="AJZ240"/>
      <c r="AKA240"/>
      <c r="AKB240"/>
      <c r="AKC240"/>
      <c r="AKD240"/>
      <c r="AKE240"/>
      <c r="AKF240"/>
      <c r="AKG240"/>
      <c r="AKH240"/>
      <c r="AKI240"/>
      <c r="AKJ240"/>
      <c r="AKK240"/>
      <c r="AKL240"/>
      <c r="AKM240"/>
      <c r="AKN240"/>
      <c r="AKO240"/>
      <c r="AKP240"/>
      <c r="AKQ240"/>
      <c r="AKR240"/>
      <c r="AKS240"/>
      <c r="AKT240"/>
      <c r="AKU240"/>
      <c r="AKV240"/>
      <c r="AKW240"/>
      <c r="AKX240"/>
      <c r="AKY240"/>
      <c r="AKZ240"/>
      <c r="ALA240"/>
      <c r="ALB240"/>
      <c r="ALC240"/>
      <c r="ALD240"/>
      <c r="ALE240"/>
      <c r="ALF240"/>
      <c r="ALG240"/>
      <c r="ALH240"/>
      <c r="ALI240"/>
      <c r="ALJ240"/>
      <c r="ALK240"/>
      <c r="ALL240"/>
      <c r="ALM240"/>
      <c r="ALN240"/>
      <c r="ALO240"/>
      <c r="ALP240"/>
      <c r="ALQ240"/>
      <c r="ALR240"/>
      <c r="ALS240"/>
      <c r="ALT240"/>
      <c r="ALU240"/>
      <c r="ALV240"/>
      <c r="ALW240"/>
      <c r="ALX240"/>
      <c r="ALY240"/>
      <c r="ALZ240"/>
      <c r="AMA240"/>
      <c r="AMB240"/>
      <c r="AMC240"/>
      <c r="AMD240"/>
      <c r="AME240"/>
      <c r="AMF240"/>
      <c r="AMG240"/>
      <c r="AMH240"/>
      <c r="AMI240"/>
      <c r="AMJ240"/>
      <c r="AMK240"/>
      <c r="AML240"/>
      <c r="AMM240"/>
      <c r="AMN240"/>
      <c r="AMO240"/>
      <c r="AMP240"/>
      <c r="AMQ240"/>
      <c r="AMR240"/>
      <c r="AMS240"/>
      <c r="AMT240"/>
      <c r="AMU240"/>
      <c r="AMV240"/>
      <c r="AMW240"/>
      <c r="AMX240"/>
      <c r="AMY240"/>
      <c r="AMZ240"/>
      <c r="ANA240"/>
      <c r="ANB240"/>
      <c r="ANC240"/>
      <c r="AND240"/>
      <c r="ANE240"/>
      <c r="ANF240"/>
      <c r="ANG240"/>
      <c r="ANH240"/>
      <c r="ANI240"/>
      <c r="ANJ240"/>
      <c r="ANK240"/>
      <c r="ANL240"/>
      <c r="ANM240"/>
      <c r="ANN240"/>
      <c r="ANO240"/>
      <c r="ANP240"/>
      <c r="ANQ240"/>
      <c r="ANR240"/>
      <c r="ANS240"/>
      <c r="ANT240"/>
      <c r="ANU240"/>
      <c r="ANV240"/>
      <c r="ANW240"/>
      <c r="ANX240"/>
      <c r="ANY240"/>
      <c r="ANZ240"/>
      <c r="AOA240"/>
      <c r="AOB240"/>
      <c r="AOC240"/>
      <c r="AOD240"/>
      <c r="AOE240"/>
      <c r="AOF240"/>
      <c r="AOG240"/>
      <c r="AOH240"/>
      <c r="AOI240"/>
      <c r="AOJ240"/>
      <c r="AOK240"/>
      <c r="AOL240"/>
      <c r="AOM240"/>
      <c r="AON240"/>
      <c r="AOO240"/>
      <c r="AOP240"/>
      <c r="AOQ240"/>
      <c r="AOR240"/>
      <c r="AOS240"/>
      <c r="AOT240"/>
      <c r="AOU240"/>
      <c r="AOV240"/>
      <c r="AOW240"/>
      <c r="AOX240"/>
      <c r="AOY240"/>
      <c r="AOZ240"/>
      <c r="APA240"/>
      <c r="APB240"/>
      <c r="APC240"/>
      <c r="APD240"/>
      <c r="APE240"/>
      <c r="APF240"/>
      <c r="APG240"/>
      <c r="APH240"/>
      <c r="API240"/>
      <c r="APJ240"/>
      <c r="APK240"/>
      <c r="APL240"/>
      <c r="APM240"/>
      <c r="APN240"/>
      <c r="APO240"/>
      <c r="APP240"/>
      <c r="APQ240"/>
      <c r="APR240"/>
      <c r="APS240"/>
      <c r="APT240"/>
      <c r="APU240"/>
      <c r="APV240"/>
      <c r="APW240"/>
      <c r="APX240"/>
      <c r="APY240"/>
      <c r="APZ240"/>
      <c r="AQA240"/>
      <c r="AQB240"/>
      <c r="AQC240"/>
      <c r="AQD240"/>
      <c r="AQE240"/>
      <c r="AQF240"/>
      <c r="AQG240"/>
      <c r="AQH240"/>
      <c r="AQI240"/>
      <c r="AQJ240"/>
      <c r="AQK240"/>
      <c r="AQL240"/>
      <c r="AQM240"/>
      <c r="AQN240"/>
      <c r="AQO240"/>
      <c r="AQP240"/>
      <c r="AQQ240"/>
      <c r="AQR240"/>
      <c r="AQS240"/>
      <c r="AQT240"/>
      <c r="AQU240"/>
      <c r="AQV240"/>
      <c r="AQW240"/>
      <c r="AQX240"/>
      <c r="AQY240"/>
      <c r="AQZ240"/>
      <c r="ARA240"/>
      <c r="ARB240"/>
      <c r="ARC240"/>
      <c r="ARD240"/>
      <c r="ARE240"/>
      <c r="ARF240"/>
      <c r="ARG240"/>
      <c r="ARH240"/>
      <c r="ARI240"/>
      <c r="ARJ240"/>
      <c r="ARK240"/>
      <c r="ARL240"/>
      <c r="ARM240"/>
      <c r="ARN240"/>
      <c r="ARO240"/>
      <c r="ARP240"/>
      <c r="ARQ240"/>
      <c r="ARR240"/>
      <c r="ARS240"/>
      <c r="ART240"/>
      <c r="ARU240"/>
      <c r="ARV240"/>
      <c r="ARW240"/>
      <c r="ARX240"/>
      <c r="ARY240"/>
      <c r="ARZ240"/>
      <c r="ASA240"/>
      <c r="ASB240"/>
      <c r="ASC240"/>
      <c r="ASD240"/>
      <c r="ASE240"/>
      <c r="ASF240"/>
      <c r="ASG240"/>
      <c r="ASH240"/>
      <c r="ASI240"/>
      <c r="ASJ240"/>
      <c r="ASK240"/>
      <c r="ASL240"/>
      <c r="ASM240"/>
      <c r="ASN240"/>
      <c r="ASO240"/>
      <c r="ASP240"/>
      <c r="ASQ240"/>
      <c r="ASR240"/>
      <c r="ASS240"/>
      <c r="AST240"/>
      <c r="ASU240"/>
      <c r="ASV240"/>
      <c r="ASW240"/>
      <c r="ASX240"/>
      <c r="ASY240"/>
      <c r="ASZ240"/>
      <c r="ATA240"/>
      <c r="ATB240"/>
      <c r="ATC240"/>
      <c r="ATD240"/>
      <c r="ATE240"/>
      <c r="ATF240"/>
      <c r="ATG240"/>
      <c r="ATH240"/>
      <c r="ATI240"/>
      <c r="ATJ240"/>
      <c r="ATK240"/>
      <c r="ATL240"/>
      <c r="ATM240"/>
      <c r="ATN240"/>
      <c r="ATO240"/>
      <c r="ATP240"/>
      <c r="ATQ240"/>
      <c r="ATR240"/>
      <c r="ATS240"/>
      <c r="ATT240"/>
      <c r="ATU240"/>
      <c r="ATV240"/>
      <c r="ATW240"/>
      <c r="ATX240"/>
      <c r="ATY240"/>
      <c r="ATZ240"/>
      <c r="AUA240"/>
      <c r="AUB240"/>
      <c r="AUC240"/>
      <c r="AUD240"/>
      <c r="AUE240"/>
      <c r="AUF240"/>
      <c r="AUG240"/>
      <c r="AUH240"/>
      <c r="AUI240"/>
      <c r="AUJ240"/>
      <c r="AUK240"/>
      <c r="AUL240"/>
      <c r="AUM240"/>
      <c r="AUN240"/>
      <c r="AUO240"/>
      <c r="AUP240"/>
      <c r="AUQ240"/>
      <c r="AUR240"/>
      <c r="AUS240"/>
      <c r="AUT240"/>
      <c r="AUU240"/>
      <c r="AUV240"/>
      <c r="AUW240"/>
      <c r="AUX240"/>
      <c r="AUY240"/>
      <c r="AUZ240"/>
      <c r="AVA240"/>
      <c r="AVB240"/>
      <c r="AVC240"/>
      <c r="AVD240"/>
      <c r="AVE240"/>
      <c r="AVF240"/>
      <c r="AVG240"/>
      <c r="AVH240"/>
      <c r="AVI240"/>
      <c r="AVJ240"/>
      <c r="AVK240"/>
      <c r="AVL240"/>
      <c r="AVM240"/>
      <c r="AVN240"/>
      <c r="AVO240"/>
      <c r="AVP240"/>
      <c r="AVQ240"/>
      <c r="AVR240"/>
      <c r="AVS240"/>
      <c r="AVT240"/>
      <c r="AVU240"/>
      <c r="AVV240"/>
      <c r="AVW240"/>
      <c r="AVX240"/>
      <c r="AVY240"/>
      <c r="AVZ240"/>
      <c r="AWA240"/>
      <c r="AWB240"/>
      <c r="AWC240"/>
      <c r="AWD240"/>
      <c r="AWE240"/>
      <c r="AWF240"/>
      <c r="AWG240"/>
      <c r="AWH240"/>
      <c r="AWI240"/>
      <c r="AWJ240"/>
      <c r="AWK240"/>
      <c r="AWL240"/>
      <c r="AWM240"/>
      <c r="AWN240"/>
      <c r="AWO240"/>
      <c r="AWP240"/>
      <c r="AWQ240"/>
      <c r="AWR240"/>
      <c r="AWS240"/>
      <c r="AWT240"/>
      <c r="AWU240"/>
      <c r="AWV240"/>
      <c r="AWW240"/>
      <c r="AWX240"/>
      <c r="AWY240"/>
      <c r="AWZ240"/>
      <c r="AXA240"/>
      <c r="AXB240"/>
      <c r="AXC240"/>
      <c r="AXD240"/>
      <c r="AXE240"/>
      <c r="AXF240"/>
      <c r="AXG240"/>
      <c r="AXH240"/>
      <c r="AXI240"/>
      <c r="AXJ240"/>
      <c r="AXK240"/>
      <c r="AXL240"/>
      <c r="AXM240"/>
      <c r="AXN240"/>
      <c r="AXO240"/>
      <c r="AXP240"/>
      <c r="AXQ240"/>
      <c r="AXR240"/>
      <c r="AXS240"/>
      <c r="AXT240"/>
      <c r="AXU240"/>
      <c r="AXV240"/>
      <c r="AXW240"/>
      <c r="AXX240"/>
      <c r="AXY240"/>
      <c r="AXZ240"/>
      <c r="AYA240"/>
      <c r="AYB240"/>
      <c r="AYC240"/>
      <c r="AYD240"/>
      <c r="AYE240"/>
      <c r="AYF240"/>
      <c r="AYG240"/>
      <c r="AYH240"/>
      <c r="AYI240"/>
      <c r="AYJ240"/>
      <c r="AYK240"/>
      <c r="AYL240"/>
      <c r="AYM240"/>
      <c r="AYN240"/>
      <c r="AYO240"/>
      <c r="AYP240"/>
      <c r="AYQ240"/>
      <c r="AYR240"/>
      <c r="AYS240"/>
      <c r="AYT240"/>
      <c r="AYU240"/>
      <c r="AYV240"/>
      <c r="AYW240"/>
      <c r="AYX240"/>
      <c r="AYY240"/>
      <c r="AYZ240"/>
      <c r="AZA240"/>
      <c r="AZB240"/>
      <c r="AZC240"/>
      <c r="AZD240"/>
      <c r="AZE240"/>
      <c r="AZF240"/>
      <c r="AZG240"/>
      <c r="AZH240"/>
      <c r="AZI240"/>
      <c r="AZJ240"/>
      <c r="AZK240"/>
      <c r="AZL240"/>
      <c r="AZM240"/>
      <c r="AZN240"/>
      <c r="AZO240"/>
      <c r="AZP240"/>
      <c r="AZQ240"/>
      <c r="AZR240"/>
      <c r="AZS240"/>
      <c r="AZT240"/>
      <c r="AZU240"/>
      <c r="AZV240"/>
      <c r="AZW240"/>
      <c r="AZX240"/>
      <c r="AZY240"/>
      <c r="AZZ240"/>
      <c r="BAA240"/>
      <c r="BAB240"/>
      <c r="BAC240"/>
      <c r="BAD240"/>
      <c r="BAE240"/>
      <c r="BAF240"/>
      <c r="BAG240"/>
      <c r="BAH240"/>
      <c r="BAI240"/>
      <c r="BAJ240"/>
      <c r="BAK240"/>
      <c r="BAL240"/>
      <c r="BAM240"/>
      <c r="BAN240"/>
      <c r="BAO240"/>
      <c r="BAP240"/>
      <c r="BAQ240"/>
      <c r="BAR240"/>
      <c r="BAS240"/>
      <c r="BAT240"/>
      <c r="BAU240"/>
      <c r="BAV240"/>
      <c r="BAW240"/>
      <c r="BAX240"/>
      <c r="BAY240"/>
      <c r="BAZ240"/>
      <c r="BBA240"/>
      <c r="BBB240"/>
      <c r="BBC240"/>
      <c r="BBD240"/>
      <c r="BBE240"/>
      <c r="BBF240"/>
      <c r="BBG240"/>
      <c r="BBH240"/>
      <c r="BBI240"/>
      <c r="BBJ240"/>
      <c r="BBK240"/>
      <c r="BBL240"/>
      <c r="BBM240"/>
      <c r="BBN240"/>
      <c r="BBO240"/>
      <c r="BBP240"/>
      <c r="BBQ240"/>
      <c r="BBR240"/>
      <c r="BBS240"/>
      <c r="BBT240"/>
      <c r="BBU240"/>
      <c r="BBV240"/>
      <c r="BBW240"/>
      <c r="BBX240"/>
      <c r="BBY240"/>
      <c r="BBZ240"/>
      <c r="BCA240"/>
      <c r="BCB240"/>
      <c r="BCC240"/>
      <c r="BCD240"/>
      <c r="BCE240"/>
      <c r="BCF240"/>
      <c r="BCG240"/>
      <c r="BCH240"/>
      <c r="BCI240"/>
      <c r="BCJ240"/>
      <c r="BCK240"/>
      <c r="BCL240"/>
      <c r="BCM240"/>
      <c r="BCN240"/>
      <c r="BCO240"/>
      <c r="BCP240"/>
      <c r="BCQ240"/>
      <c r="BCR240"/>
      <c r="BCS240"/>
      <c r="BCT240"/>
      <c r="BCU240"/>
      <c r="BCV240"/>
      <c r="BCW240"/>
      <c r="BCX240"/>
      <c r="BCY240"/>
      <c r="BCZ240"/>
      <c r="BDA240"/>
      <c r="BDB240"/>
      <c r="BDC240"/>
      <c r="BDD240"/>
      <c r="BDE240"/>
      <c r="BDF240"/>
      <c r="BDG240"/>
      <c r="BDH240"/>
      <c r="BDI240"/>
      <c r="BDJ240"/>
      <c r="BDK240"/>
      <c r="BDL240"/>
      <c r="BDM240"/>
      <c r="BDN240"/>
      <c r="BDO240"/>
      <c r="BDP240"/>
      <c r="BDQ240"/>
      <c r="BDR240"/>
      <c r="BDS240"/>
      <c r="BDT240"/>
      <c r="BDU240"/>
      <c r="BDV240"/>
      <c r="BDW240"/>
      <c r="BDX240"/>
      <c r="BDY240"/>
      <c r="BDZ240"/>
      <c r="BEA240"/>
      <c r="BEB240"/>
      <c r="BEC240"/>
      <c r="BED240"/>
      <c r="BEE240"/>
      <c r="BEF240"/>
      <c r="BEG240"/>
      <c r="BEH240"/>
      <c r="BEI240"/>
      <c r="BEJ240"/>
      <c r="BEK240"/>
      <c r="BEL240"/>
      <c r="BEM240"/>
      <c r="BEN240"/>
      <c r="BEO240"/>
      <c r="BEP240"/>
      <c r="BEQ240"/>
      <c r="BER240"/>
      <c r="BES240"/>
      <c r="BET240"/>
      <c r="BEU240"/>
      <c r="BEV240"/>
      <c r="BEW240"/>
      <c r="BEX240"/>
      <c r="BEY240"/>
      <c r="BEZ240"/>
      <c r="BFA240"/>
      <c r="BFB240"/>
      <c r="BFC240"/>
      <c r="BFD240"/>
      <c r="BFE240"/>
      <c r="BFF240"/>
      <c r="BFG240"/>
      <c r="BFH240"/>
      <c r="BFI240"/>
      <c r="BFJ240"/>
      <c r="BFK240"/>
      <c r="BFL240"/>
      <c r="BFM240"/>
      <c r="BFN240"/>
      <c r="BFO240"/>
      <c r="BFP240"/>
      <c r="BFQ240"/>
      <c r="BFR240"/>
      <c r="BFS240"/>
      <c r="BFT240"/>
      <c r="BFU240"/>
      <c r="BFV240"/>
      <c r="BFW240"/>
      <c r="BFX240"/>
      <c r="BFY240"/>
      <c r="BFZ240"/>
      <c r="BGA240"/>
      <c r="BGB240"/>
      <c r="BGC240"/>
      <c r="BGD240"/>
      <c r="BGE240"/>
      <c r="BGF240"/>
      <c r="BGG240"/>
      <c r="BGH240"/>
      <c r="BGI240"/>
      <c r="BGJ240"/>
      <c r="BGK240"/>
      <c r="BGL240"/>
      <c r="BGM240"/>
      <c r="BGN240"/>
      <c r="BGO240"/>
      <c r="BGP240"/>
      <c r="BGQ240"/>
      <c r="BGR240"/>
      <c r="BGS240"/>
      <c r="BGT240"/>
      <c r="BGU240"/>
      <c r="BGV240"/>
      <c r="BGW240"/>
      <c r="BGX240"/>
      <c r="BGY240"/>
      <c r="BGZ240"/>
      <c r="BHA240"/>
      <c r="BHB240"/>
      <c r="BHC240"/>
      <c r="BHD240"/>
      <c r="BHE240"/>
      <c r="BHF240"/>
      <c r="BHG240"/>
      <c r="BHH240"/>
      <c r="BHI240"/>
      <c r="BHJ240"/>
      <c r="BHK240"/>
      <c r="BHL240"/>
      <c r="BHM240"/>
      <c r="BHN240"/>
      <c r="BHO240"/>
      <c r="BHP240"/>
      <c r="BHQ240"/>
      <c r="BHR240"/>
      <c r="BHS240"/>
      <c r="BHT240"/>
      <c r="BHU240"/>
      <c r="BHV240"/>
      <c r="BHW240"/>
      <c r="BHX240"/>
      <c r="BHY240"/>
      <c r="BHZ240"/>
      <c r="BIA240"/>
      <c r="BIB240"/>
      <c r="BIC240"/>
      <c r="BID240"/>
      <c r="BIE240"/>
      <c r="BIF240"/>
      <c r="BIG240"/>
      <c r="BIH240"/>
      <c r="BII240"/>
      <c r="BIJ240"/>
      <c r="BIK240"/>
      <c r="BIL240"/>
      <c r="BIM240"/>
      <c r="BIN240"/>
      <c r="BIO240"/>
      <c r="BIP240"/>
      <c r="BIQ240"/>
      <c r="BIR240"/>
      <c r="BIS240"/>
      <c r="BIT240"/>
      <c r="BIU240"/>
      <c r="BIV240"/>
      <c r="BIW240"/>
      <c r="BIX240"/>
      <c r="BIY240"/>
      <c r="BIZ240"/>
      <c r="BJA240"/>
      <c r="BJB240"/>
      <c r="BJC240"/>
      <c r="BJD240"/>
      <c r="BJE240"/>
      <c r="BJF240"/>
      <c r="BJG240"/>
      <c r="BJH240"/>
      <c r="BJI240"/>
      <c r="BJJ240"/>
      <c r="BJK240"/>
      <c r="BJL240"/>
      <c r="BJM240"/>
      <c r="BJN240"/>
      <c r="BJO240"/>
      <c r="BJP240"/>
      <c r="BJQ240"/>
      <c r="BJR240"/>
      <c r="BJS240"/>
      <c r="BJT240"/>
      <c r="BJU240"/>
      <c r="BJV240"/>
      <c r="BJW240"/>
      <c r="BJX240"/>
      <c r="BJY240"/>
      <c r="BJZ240"/>
      <c r="BKA240"/>
      <c r="BKB240"/>
      <c r="BKC240"/>
      <c r="BKD240"/>
      <c r="BKE240"/>
      <c r="BKF240"/>
      <c r="BKG240"/>
      <c r="BKH240"/>
      <c r="BKI240"/>
      <c r="BKJ240"/>
      <c r="BKK240"/>
      <c r="BKL240"/>
      <c r="BKM240"/>
      <c r="BKN240"/>
      <c r="BKO240"/>
      <c r="BKP240"/>
      <c r="BKQ240"/>
      <c r="BKR240"/>
      <c r="BKS240"/>
      <c r="BKT240"/>
      <c r="BKU240"/>
      <c r="BKV240"/>
      <c r="BKW240"/>
      <c r="BKX240"/>
      <c r="BKY240"/>
      <c r="BKZ240"/>
      <c r="BLA240"/>
      <c r="BLB240"/>
      <c r="BLC240"/>
      <c r="BLD240"/>
      <c r="BLE240"/>
      <c r="BLF240"/>
      <c r="BLG240"/>
      <c r="BLH240"/>
      <c r="BLI240"/>
      <c r="BLJ240"/>
      <c r="BLK240"/>
      <c r="BLL240"/>
      <c r="BLM240"/>
      <c r="BLN240"/>
      <c r="BLO240"/>
      <c r="BLP240"/>
      <c r="BLQ240"/>
      <c r="BLR240"/>
      <c r="BLS240"/>
      <c r="BLT240"/>
      <c r="BLU240"/>
      <c r="BLV240"/>
      <c r="BLW240"/>
      <c r="BLX240"/>
      <c r="BLY240"/>
      <c r="BLZ240"/>
      <c r="BMA240"/>
      <c r="BMB240"/>
      <c r="BMC240"/>
      <c r="BMD240"/>
      <c r="BME240"/>
      <c r="BMF240"/>
      <c r="BMG240"/>
      <c r="BMH240"/>
      <c r="BMI240"/>
      <c r="BMJ240"/>
      <c r="BMK240"/>
      <c r="BML240"/>
      <c r="BMM240"/>
      <c r="BMN240"/>
      <c r="BMO240"/>
      <c r="BMP240"/>
      <c r="BMQ240"/>
      <c r="BMR240"/>
      <c r="BMS240"/>
      <c r="BMT240"/>
      <c r="BMU240"/>
      <c r="BMV240"/>
      <c r="BMW240"/>
      <c r="BMX240"/>
      <c r="BMY240"/>
      <c r="BMZ240"/>
      <c r="BNA240"/>
      <c r="BNB240"/>
      <c r="BNC240"/>
      <c r="BND240"/>
      <c r="BNE240"/>
      <c r="BNF240"/>
      <c r="BNG240"/>
      <c r="BNH240"/>
      <c r="BNI240"/>
      <c r="BNJ240"/>
      <c r="BNK240"/>
      <c r="BNL240"/>
      <c r="BNM240"/>
      <c r="BNN240"/>
      <c r="BNO240"/>
      <c r="BNP240"/>
      <c r="BNQ240"/>
      <c r="BNR240"/>
      <c r="BNS240"/>
      <c r="BNT240"/>
      <c r="BNU240"/>
      <c r="BNV240"/>
      <c r="BNW240"/>
      <c r="BNX240"/>
      <c r="BNY240"/>
      <c r="BNZ240"/>
      <c r="BOA240"/>
      <c r="BOB240"/>
      <c r="BOC240"/>
      <c r="BOD240"/>
      <c r="BOE240"/>
      <c r="BOF240"/>
      <c r="BOG240"/>
      <c r="BOH240"/>
      <c r="BOI240"/>
      <c r="BOJ240"/>
      <c r="BOK240"/>
      <c r="BOL240"/>
      <c r="BOM240"/>
      <c r="BON240"/>
      <c r="BOO240"/>
      <c r="BOP240"/>
      <c r="BOQ240"/>
      <c r="BOR240"/>
      <c r="BOS240"/>
      <c r="BOT240"/>
      <c r="BOU240"/>
      <c r="BOV240"/>
      <c r="BOW240"/>
      <c r="BOX240"/>
      <c r="BOY240"/>
      <c r="BOZ240"/>
      <c r="BPA240"/>
      <c r="BPB240"/>
      <c r="BPC240"/>
      <c r="BPD240"/>
      <c r="BPE240"/>
      <c r="BPF240"/>
      <c r="BPG240"/>
      <c r="BPH240"/>
      <c r="BPI240"/>
      <c r="BPJ240"/>
      <c r="BPK240"/>
      <c r="BPL240"/>
      <c r="BPM240"/>
      <c r="BPN240"/>
      <c r="BPO240"/>
      <c r="BPP240"/>
      <c r="BPQ240"/>
      <c r="BPR240"/>
      <c r="BPS240"/>
      <c r="BPT240"/>
      <c r="BPU240"/>
      <c r="BPV240"/>
      <c r="BPW240"/>
      <c r="BPX240"/>
      <c r="BPY240"/>
      <c r="BPZ240"/>
      <c r="BQA240"/>
      <c r="BQB240"/>
      <c r="BQC240"/>
      <c r="BQD240"/>
      <c r="BQE240"/>
      <c r="BQF240"/>
      <c r="BQG240"/>
      <c r="BQH240"/>
      <c r="BQI240"/>
      <c r="BQJ240"/>
      <c r="BQK240"/>
      <c r="BQL240"/>
      <c r="BQM240"/>
      <c r="BQN240"/>
      <c r="BQO240"/>
      <c r="BQP240"/>
      <c r="BQQ240"/>
      <c r="BQR240"/>
      <c r="BQS240"/>
      <c r="BQT240"/>
      <c r="BQU240"/>
      <c r="BQV240"/>
      <c r="BQW240"/>
      <c r="BQX240"/>
      <c r="BQY240"/>
      <c r="BQZ240"/>
      <c r="BRA240"/>
      <c r="BRB240"/>
      <c r="BRC240"/>
      <c r="BRD240"/>
      <c r="BRE240"/>
      <c r="BRF240"/>
      <c r="BRG240"/>
      <c r="BRH240"/>
      <c r="BRI240"/>
      <c r="BRJ240"/>
      <c r="BRK240"/>
      <c r="BRL240"/>
      <c r="BRM240"/>
      <c r="BRN240"/>
      <c r="BRO240"/>
      <c r="BRP240"/>
      <c r="BRQ240"/>
      <c r="BRR240"/>
      <c r="BRS240"/>
      <c r="BRT240"/>
      <c r="BRU240"/>
      <c r="BRV240"/>
      <c r="BRW240"/>
      <c r="BRX240"/>
      <c r="BRY240"/>
      <c r="BRZ240"/>
      <c r="BSA240"/>
      <c r="BSB240"/>
      <c r="BSC240"/>
      <c r="BSD240"/>
      <c r="BSE240"/>
      <c r="BSF240"/>
      <c r="BSG240"/>
      <c r="BSH240"/>
      <c r="BSI240"/>
      <c r="BSJ240"/>
      <c r="BSK240"/>
      <c r="BSL240"/>
      <c r="BSM240"/>
      <c r="BSN240"/>
      <c r="BSO240"/>
      <c r="BSP240"/>
      <c r="BSQ240"/>
      <c r="BSR240"/>
      <c r="BSS240"/>
      <c r="BST240"/>
      <c r="BSU240"/>
      <c r="BSV240"/>
      <c r="BSW240"/>
      <c r="BSX240"/>
      <c r="BSY240"/>
      <c r="BSZ240"/>
      <c r="BTA240"/>
      <c r="BTB240"/>
      <c r="BTC240"/>
      <c r="BTD240"/>
      <c r="BTE240"/>
      <c r="BTF240"/>
      <c r="BTG240"/>
      <c r="BTH240"/>
      <c r="BTI240"/>
      <c r="BTJ240"/>
      <c r="BTK240"/>
      <c r="BTL240"/>
      <c r="BTM240"/>
      <c r="BTN240"/>
      <c r="BTO240"/>
      <c r="BTP240"/>
      <c r="BTQ240"/>
      <c r="BTR240"/>
      <c r="BTS240"/>
      <c r="BTT240"/>
      <c r="BTU240"/>
      <c r="BTV240"/>
      <c r="BTW240"/>
      <c r="BTX240"/>
      <c r="BTY240"/>
      <c r="BTZ240"/>
      <c r="BUA240"/>
      <c r="BUB240"/>
      <c r="BUC240"/>
      <c r="BUD240"/>
      <c r="BUE240"/>
      <c r="BUF240"/>
      <c r="BUG240"/>
      <c r="BUH240"/>
      <c r="BUI240"/>
      <c r="BUJ240"/>
      <c r="BUK240"/>
      <c r="BUL240"/>
      <c r="BUM240"/>
      <c r="BUN240"/>
      <c r="BUO240"/>
      <c r="BUP240"/>
      <c r="BUQ240"/>
      <c r="BUR240"/>
      <c r="BUS240"/>
      <c r="BUT240"/>
      <c r="BUU240"/>
      <c r="BUV240"/>
      <c r="BUW240"/>
      <c r="BUX240"/>
      <c r="BUY240"/>
      <c r="BUZ240"/>
      <c r="BVA240"/>
      <c r="BVB240"/>
      <c r="BVC240"/>
      <c r="BVD240"/>
      <c r="BVE240"/>
      <c r="BVF240"/>
      <c r="BVG240"/>
      <c r="BVH240"/>
      <c r="BVI240"/>
      <c r="BVJ240"/>
      <c r="BVK240"/>
      <c r="BVL240"/>
      <c r="BVM240"/>
      <c r="BVN240"/>
      <c r="BVO240"/>
      <c r="BVP240"/>
      <c r="BVQ240"/>
      <c r="BVR240"/>
      <c r="BVS240"/>
      <c r="BVT240"/>
      <c r="BVU240"/>
      <c r="BVV240"/>
      <c r="BVW240"/>
      <c r="BVX240"/>
      <c r="BVY240"/>
      <c r="BVZ240"/>
      <c r="BWA240"/>
      <c r="BWB240"/>
      <c r="BWC240"/>
      <c r="BWD240"/>
      <c r="BWE240"/>
      <c r="BWF240"/>
      <c r="BWG240"/>
      <c r="BWH240"/>
      <c r="BWI240"/>
      <c r="BWJ240"/>
      <c r="BWK240"/>
      <c r="BWL240"/>
      <c r="BWM240"/>
      <c r="BWN240"/>
      <c r="BWO240"/>
      <c r="BWP240"/>
      <c r="BWQ240"/>
      <c r="BWR240"/>
      <c r="BWS240"/>
      <c r="BWT240"/>
      <c r="BWU240"/>
      <c r="BWV240"/>
      <c r="BWW240"/>
      <c r="BWX240"/>
      <c r="BWY240"/>
      <c r="BWZ240"/>
      <c r="BXA240"/>
      <c r="BXB240"/>
      <c r="BXC240"/>
      <c r="BXD240"/>
      <c r="BXE240"/>
      <c r="BXF240"/>
      <c r="BXG240"/>
      <c r="BXH240"/>
      <c r="BXI240"/>
      <c r="BXJ240"/>
      <c r="BXK240"/>
      <c r="BXL240"/>
      <c r="BXM240"/>
      <c r="BXN240"/>
      <c r="BXO240"/>
      <c r="BXP240"/>
      <c r="BXQ240"/>
      <c r="BXR240"/>
      <c r="BXS240"/>
      <c r="BXT240"/>
      <c r="BXU240"/>
      <c r="BXV240"/>
      <c r="BXW240"/>
      <c r="BXX240"/>
      <c r="BXY240"/>
      <c r="BXZ240"/>
      <c r="BYA240"/>
      <c r="BYB240"/>
      <c r="BYC240"/>
      <c r="BYD240"/>
      <c r="BYE240"/>
      <c r="BYF240"/>
      <c r="BYG240"/>
      <c r="BYH240"/>
      <c r="BYI240"/>
      <c r="BYJ240"/>
      <c r="BYK240"/>
      <c r="BYL240"/>
      <c r="BYM240"/>
      <c r="BYN240"/>
      <c r="BYO240"/>
      <c r="BYP240"/>
      <c r="BYQ240"/>
      <c r="BYR240"/>
      <c r="BYS240"/>
      <c r="BYT240"/>
      <c r="BYU240"/>
      <c r="BYV240"/>
      <c r="BYW240"/>
      <c r="BYX240"/>
      <c r="BYY240"/>
      <c r="BYZ240"/>
      <c r="BZA240"/>
      <c r="BZB240"/>
      <c r="BZC240"/>
      <c r="BZD240"/>
      <c r="BZE240"/>
      <c r="BZF240"/>
      <c r="BZG240"/>
      <c r="BZH240"/>
      <c r="BZI240"/>
      <c r="BZJ240"/>
      <c r="BZK240"/>
      <c r="BZL240"/>
      <c r="BZM240"/>
      <c r="BZN240"/>
      <c r="BZO240"/>
      <c r="BZP240"/>
      <c r="BZQ240"/>
      <c r="BZR240"/>
      <c r="BZS240"/>
      <c r="BZT240"/>
      <c r="BZU240"/>
      <c r="BZV240"/>
      <c r="BZW240"/>
      <c r="BZX240"/>
      <c r="BZY240"/>
      <c r="BZZ240"/>
      <c r="CAA240"/>
      <c r="CAB240"/>
      <c r="CAC240"/>
      <c r="CAD240"/>
      <c r="CAE240"/>
      <c r="CAF240"/>
      <c r="CAG240"/>
      <c r="CAH240"/>
      <c r="CAI240"/>
      <c r="CAJ240"/>
      <c r="CAK240"/>
      <c r="CAL240"/>
      <c r="CAM240"/>
      <c r="CAN240"/>
      <c r="CAO240"/>
      <c r="CAP240"/>
      <c r="CAQ240"/>
      <c r="CAR240"/>
      <c r="CAS240"/>
      <c r="CAT240"/>
      <c r="CAU240"/>
      <c r="CAV240"/>
      <c r="CAW240"/>
      <c r="CAX240"/>
      <c r="CAY240"/>
      <c r="CAZ240"/>
      <c r="CBA240"/>
      <c r="CBB240"/>
      <c r="CBC240"/>
      <c r="CBD240"/>
      <c r="CBE240"/>
      <c r="CBF240"/>
      <c r="CBG240"/>
      <c r="CBH240"/>
      <c r="CBI240"/>
      <c r="CBJ240"/>
      <c r="CBK240"/>
      <c r="CBL240"/>
      <c r="CBM240"/>
      <c r="CBN240"/>
      <c r="CBO240"/>
      <c r="CBP240"/>
      <c r="CBQ240"/>
      <c r="CBR240"/>
      <c r="CBS240"/>
      <c r="CBT240"/>
      <c r="CBU240"/>
      <c r="CBV240"/>
      <c r="CBW240"/>
      <c r="CBX240"/>
      <c r="CBY240"/>
      <c r="CBZ240"/>
      <c r="CCA240"/>
      <c r="CCB240"/>
      <c r="CCC240"/>
      <c r="CCD240"/>
      <c r="CCE240"/>
      <c r="CCF240"/>
      <c r="CCG240"/>
      <c r="CCH240"/>
      <c r="CCI240"/>
      <c r="CCJ240"/>
      <c r="CCK240"/>
      <c r="CCL240"/>
      <c r="CCM240"/>
      <c r="CCN240"/>
      <c r="CCO240"/>
      <c r="CCP240"/>
      <c r="CCQ240"/>
      <c r="CCR240"/>
      <c r="CCS240"/>
      <c r="CCT240"/>
      <c r="CCU240"/>
      <c r="CCV240"/>
      <c r="CCW240"/>
      <c r="CCX240"/>
      <c r="CCY240"/>
      <c r="CCZ240"/>
      <c r="CDA240"/>
      <c r="CDB240"/>
      <c r="CDC240"/>
      <c r="CDD240"/>
      <c r="CDE240"/>
      <c r="CDF240"/>
      <c r="CDG240"/>
      <c r="CDH240"/>
      <c r="CDI240"/>
      <c r="CDJ240"/>
      <c r="CDK240"/>
      <c r="CDL240"/>
      <c r="CDM240"/>
      <c r="CDN240"/>
      <c r="CDO240"/>
      <c r="CDP240"/>
      <c r="CDQ240"/>
      <c r="CDR240"/>
      <c r="CDS240"/>
      <c r="CDT240"/>
      <c r="CDU240"/>
      <c r="CDV240"/>
      <c r="CDW240"/>
      <c r="CDX240"/>
      <c r="CDY240"/>
      <c r="CDZ240"/>
      <c r="CEA240"/>
      <c r="CEB240"/>
      <c r="CEC240"/>
      <c r="CED240"/>
      <c r="CEE240"/>
      <c r="CEF240"/>
      <c r="CEG240"/>
      <c r="CEH240"/>
      <c r="CEI240"/>
      <c r="CEJ240"/>
      <c r="CEK240"/>
      <c r="CEL240"/>
      <c r="CEM240"/>
      <c r="CEN240"/>
      <c r="CEO240"/>
      <c r="CEP240"/>
      <c r="CEQ240"/>
      <c r="CER240"/>
      <c r="CES240"/>
      <c r="CET240"/>
      <c r="CEU240"/>
      <c r="CEV240"/>
      <c r="CEW240"/>
      <c r="CEX240"/>
      <c r="CEY240"/>
      <c r="CEZ240"/>
      <c r="CFA240"/>
      <c r="CFB240"/>
      <c r="CFC240"/>
      <c r="CFD240"/>
      <c r="CFE240"/>
      <c r="CFF240"/>
      <c r="CFG240"/>
      <c r="CFH240"/>
      <c r="CFI240"/>
      <c r="CFJ240"/>
      <c r="CFK240"/>
      <c r="CFL240"/>
      <c r="CFM240"/>
      <c r="CFN240"/>
      <c r="CFO240"/>
      <c r="CFP240"/>
      <c r="CFQ240"/>
      <c r="CFR240"/>
      <c r="CFS240"/>
      <c r="CFT240"/>
      <c r="CFU240"/>
      <c r="CFV240"/>
      <c r="CFW240"/>
      <c r="CFX240"/>
      <c r="CFY240"/>
      <c r="CFZ240"/>
      <c r="CGA240"/>
      <c r="CGB240"/>
      <c r="CGC240"/>
      <c r="CGD240"/>
      <c r="CGE240"/>
      <c r="CGF240"/>
      <c r="CGG240"/>
      <c r="CGH240"/>
      <c r="CGI240"/>
      <c r="CGJ240"/>
      <c r="CGK240"/>
      <c r="CGL240"/>
      <c r="CGM240"/>
      <c r="CGN240"/>
      <c r="CGO240"/>
      <c r="CGP240"/>
      <c r="CGQ240"/>
      <c r="CGR240"/>
      <c r="CGS240"/>
      <c r="CGT240"/>
      <c r="CGU240"/>
      <c r="CGV240"/>
      <c r="CGW240"/>
      <c r="CGX240"/>
      <c r="CGY240"/>
      <c r="CGZ240"/>
      <c r="CHA240"/>
      <c r="CHB240"/>
      <c r="CHC240"/>
      <c r="CHD240"/>
      <c r="CHE240"/>
      <c r="CHF240"/>
      <c r="CHG240"/>
      <c r="CHH240"/>
      <c r="CHI240"/>
      <c r="CHJ240"/>
      <c r="CHK240"/>
      <c r="CHL240"/>
      <c r="CHM240"/>
      <c r="CHN240"/>
      <c r="CHO240"/>
      <c r="CHP240"/>
      <c r="CHQ240"/>
      <c r="CHR240"/>
      <c r="CHS240"/>
      <c r="CHT240"/>
      <c r="CHU240"/>
      <c r="CHV240"/>
      <c r="CHW240"/>
      <c r="CHX240"/>
      <c r="CHY240"/>
      <c r="CHZ240"/>
      <c r="CIA240"/>
      <c r="CIB240"/>
      <c r="CIC240"/>
      <c r="CID240"/>
      <c r="CIE240"/>
      <c r="CIF240"/>
      <c r="CIG240"/>
      <c r="CIH240"/>
      <c r="CII240"/>
      <c r="CIJ240"/>
      <c r="CIK240"/>
      <c r="CIL240"/>
      <c r="CIM240"/>
      <c r="CIN240"/>
      <c r="CIO240"/>
      <c r="CIP240"/>
      <c r="CIQ240"/>
      <c r="CIR240"/>
      <c r="CIS240"/>
      <c r="CIT240"/>
      <c r="CIU240"/>
      <c r="CIV240"/>
      <c r="CIW240"/>
      <c r="CIX240"/>
      <c r="CIY240"/>
      <c r="CIZ240"/>
      <c r="CJA240"/>
      <c r="CJB240"/>
      <c r="CJC240"/>
      <c r="CJD240"/>
      <c r="CJE240"/>
      <c r="CJF240"/>
      <c r="CJG240"/>
      <c r="CJH240"/>
      <c r="CJI240"/>
      <c r="CJJ240"/>
      <c r="CJK240"/>
      <c r="CJL240"/>
      <c r="CJM240"/>
      <c r="CJN240"/>
      <c r="CJO240"/>
      <c r="CJP240"/>
      <c r="CJQ240"/>
      <c r="CJR240"/>
      <c r="CJS240"/>
      <c r="CJT240"/>
      <c r="CJU240"/>
      <c r="CJV240"/>
      <c r="CJW240"/>
      <c r="CJX240"/>
      <c r="CJY240"/>
      <c r="CJZ240"/>
      <c r="CKA240"/>
      <c r="CKB240"/>
      <c r="CKC240"/>
      <c r="CKD240"/>
      <c r="CKE240"/>
      <c r="CKF240"/>
      <c r="CKG240"/>
      <c r="CKH240"/>
      <c r="CKI240"/>
      <c r="CKJ240"/>
      <c r="CKK240"/>
      <c r="CKL240"/>
      <c r="CKM240"/>
      <c r="CKN240"/>
      <c r="CKO240"/>
      <c r="CKP240"/>
      <c r="CKQ240"/>
      <c r="CKR240"/>
      <c r="CKS240"/>
      <c r="CKT240"/>
      <c r="CKU240"/>
      <c r="CKV240"/>
      <c r="CKW240"/>
      <c r="CKX240"/>
      <c r="CKY240"/>
      <c r="CKZ240"/>
      <c r="CLA240"/>
      <c r="CLB240"/>
      <c r="CLC240"/>
      <c r="CLD240"/>
      <c r="CLE240"/>
      <c r="CLF240"/>
      <c r="CLG240"/>
      <c r="CLH240"/>
      <c r="CLI240"/>
      <c r="CLJ240"/>
      <c r="CLK240"/>
      <c r="CLL240"/>
      <c r="CLM240"/>
      <c r="CLN240"/>
      <c r="CLO240"/>
      <c r="CLP240"/>
      <c r="CLQ240"/>
      <c r="CLR240"/>
      <c r="CLS240"/>
      <c r="CLT240"/>
      <c r="CLU240"/>
      <c r="CLV240"/>
      <c r="CLW240"/>
      <c r="CLX240"/>
      <c r="CLY240"/>
      <c r="CLZ240"/>
      <c r="CMA240"/>
      <c r="CMB240"/>
      <c r="CMC240"/>
      <c r="CMD240"/>
      <c r="CME240"/>
      <c r="CMF240"/>
      <c r="CMG240"/>
      <c r="CMH240"/>
      <c r="CMI240"/>
      <c r="CMJ240"/>
      <c r="CMK240"/>
      <c r="CML240"/>
      <c r="CMM240"/>
      <c r="CMN240"/>
      <c r="CMO240"/>
      <c r="CMP240"/>
      <c r="CMQ240"/>
      <c r="CMR240"/>
      <c r="CMS240"/>
      <c r="CMT240"/>
      <c r="CMU240"/>
      <c r="CMV240"/>
      <c r="CMW240"/>
      <c r="CMX240"/>
      <c r="CMY240"/>
      <c r="CMZ240"/>
      <c r="CNA240"/>
      <c r="CNB240"/>
      <c r="CNC240"/>
      <c r="CND240"/>
      <c r="CNE240"/>
      <c r="CNF240"/>
      <c r="CNG240"/>
      <c r="CNH240"/>
      <c r="CNI240"/>
      <c r="CNJ240"/>
      <c r="CNK240"/>
      <c r="CNL240"/>
      <c r="CNM240"/>
      <c r="CNN240"/>
      <c r="CNO240"/>
      <c r="CNP240"/>
      <c r="CNQ240"/>
      <c r="CNR240"/>
      <c r="CNS240"/>
      <c r="CNT240"/>
      <c r="CNU240"/>
      <c r="CNV240"/>
      <c r="CNW240"/>
      <c r="CNX240"/>
      <c r="CNY240"/>
      <c r="CNZ240"/>
      <c r="COA240"/>
      <c r="COB240"/>
      <c r="COC240"/>
      <c r="COD240"/>
      <c r="COE240"/>
      <c r="COF240"/>
      <c r="COG240"/>
      <c r="COH240"/>
      <c r="COI240"/>
      <c r="COJ240"/>
      <c r="COK240"/>
      <c r="COL240"/>
      <c r="COM240"/>
      <c r="CON240"/>
      <c r="COO240"/>
      <c r="COP240"/>
      <c r="COQ240"/>
      <c r="COR240"/>
      <c r="COS240"/>
      <c r="COT240"/>
      <c r="COU240"/>
      <c r="COV240"/>
      <c r="COW240"/>
      <c r="COX240"/>
      <c r="COY240"/>
      <c r="COZ240"/>
      <c r="CPA240"/>
      <c r="CPB240"/>
      <c r="CPC240"/>
      <c r="CPD240"/>
      <c r="CPE240"/>
      <c r="CPF240"/>
      <c r="CPG240"/>
      <c r="CPH240"/>
      <c r="CPI240"/>
      <c r="CPJ240"/>
      <c r="CPK240"/>
      <c r="CPL240"/>
      <c r="CPM240"/>
      <c r="CPN240"/>
      <c r="CPO240"/>
      <c r="CPP240"/>
      <c r="CPQ240"/>
      <c r="CPR240"/>
      <c r="CPS240"/>
      <c r="CPT240"/>
      <c r="CPU240"/>
      <c r="CPV240"/>
      <c r="CPW240"/>
      <c r="CPX240"/>
      <c r="CPY240"/>
      <c r="CPZ240"/>
      <c r="CQA240"/>
      <c r="CQB240"/>
      <c r="CQC240"/>
      <c r="CQD240"/>
      <c r="CQE240"/>
      <c r="CQF240"/>
      <c r="CQG240"/>
      <c r="CQH240"/>
      <c r="CQI240"/>
      <c r="CQJ240"/>
      <c r="CQK240"/>
      <c r="CQL240"/>
      <c r="CQM240"/>
      <c r="CQN240"/>
      <c r="CQO240"/>
      <c r="CQP240"/>
      <c r="CQQ240"/>
      <c r="CQR240"/>
      <c r="CQS240"/>
      <c r="CQT240"/>
      <c r="CQU240"/>
      <c r="CQV240"/>
      <c r="CQW240"/>
      <c r="CQX240"/>
      <c r="CQY240"/>
      <c r="CQZ240"/>
      <c r="CRA240"/>
      <c r="CRB240"/>
      <c r="CRC240"/>
      <c r="CRD240"/>
      <c r="CRE240"/>
      <c r="CRF240"/>
      <c r="CRG240"/>
      <c r="CRH240"/>
      <c r="CRI240"/>
      <c r="CRJ240"/>
      <c r="CRK240"/>
      <c r="CRL240"/>
      <c r="CRM240"/>
      <c r="CRN240"/>
      <c r="CRO240"/>
      <c r="CRP240"/>
      <c r="CRQ240"/>
      <c r="CRR240"/>
      <c r="CRS240"/>
      <c r="CRT240"/>
      <c r="CRU240"/>
      <c r="CRV240"/>
      <c r="CRW240"/>
      <c r="CRX240"/>
      <c r="CRY240"/>
      <c r="CRZ240"/>
      <c r="CSA240"/>
      <c r="CSB240"/>
      <c r="CSC240"/>
      <c r="CSD240"/>
      <c r="CSE240"/>
      <c r="CSF240"/>
      <c r="CSG240"/>
      <c r="CSH240"/>
      <c r="CSI240"/>
      <c r="CSJ240"/>
      <c r="CSK240"/>
      <c r="CSL240"/>
      <c r="CSM240"/>
      <c r="CSN240"/>
      <c r="CSO240"/>
      <c r="CSP240"/>
      <c r="CSQ240"/>
      <c r="CSR240"/>
      <c r="CSS240"/>
      <c r="CST240"/>
      <c r="CSU240"/>
      <c r="CSV240"/>
      <c r="CSW240"/>
      <c r="CSX240"/>
      <c r="CSY240"/>
      <c r="CSZ240"/>
      <c r="CTA240"/>
      <c r="CTB240"/>
      <c r="CTC240"/>
      <c r="CTD240"/>
      <c r="CTE240"/>
      <c r="CTF240"/>
      <c r="CTG240"/>
      <c r="CTH240"/>
      <c r="CTI240"/>
      <c r="CTJ240"/>
      <c r="CTK240"/>
      <c r="CTL240"/>
      <c r="CTM240"/>
      <c r="CTN240"/>
      <c r="CTO240"/>
      <c r="CTP240"/>
      <c r="CTQ240"/>
      <c r="CTR240"/>
      <c r="CTS240"/>
      <c r="CTT240"/>
      <c r="CTU240"/>
      <c r="CTV240"/>
      <c r="CTW240"/>
      <c r="CTX240"/>
      <c r="CTY240"/>
      <c r="CTZ240"/>
      <c r="CUA240"/>
      <c r="CUB240"/>
      <c r="CUC240"/>
      <c r="CUD240"/>
      <c r="CUE240"/>
      <c r="CUF240"/>
      <c r="CUG240"/>
      <c r="CUH240"/>
      <c r="CUI240"/>
      <c r="CUJ240"/>
      <c r="CUK240"/>
      <c r="CUL240"/>
      <c r="CUM240"/>
      <c r="CUN240"/>
      <c r="CUO240"/>
      <c r="CUP240"/>
      <c r="CUQ240"/>
      <c r="CUR240"/>
      <c r="CUS240"/>
      <c r="CUT240"/>
      <c r="CUU240"/>
      <c r="CUV240"/>
      <c r="CUW240"/>
      <c r="CUX240"/>
      <c r="CUY240"/>
      <c r="CUZ240"/>
      <c r="CVA240"/>
      <c r="CVB240"/>
      <c r="CVC240"/>
      <c r="CVD240"/>
      <c r="CVE240"/>
      <c r="CVF240"/>
      <c r="CVG240"/>
      <c r="CVH240"/>
      <c r="CVI240"/>
      <c r="CVJ240"/>
      <c r="CVK240"/>
      <c r="CVL240"/>
      <c r="CVM240"/>
      <c r="CVN240"/>
      <c r="CVO240"/>
      <c r="CVP240"/>
      <c r="CVQ240"/>
      <c r="CVR240"/>
      <c r="CVS240"/>
      <c r="CVT240"/>
      <c r="CVU240"/>
      <c r="CVV240"/>
      <c r="CVW240"/>
      <c r="CVX240"/>
      <c r="CVY240"/>
      <c r="CVZ240"/>
      <c r="CWA240"/>
      <c r="CWB240"/>
      <c r="CWC240"/>
      <c r="CWD240"/>
      <c r="CWE240"/>
      <c r="CWF240"/>
      <c r="CWG240"/>
      <c r="CWH240"/>
      <c r="CWI240"/>
      <c r="CWJ240"/>
      <c r="CWK240"/>
      <c r="CWL240"/>
      <c r="CWM240"/>
      <c r="CWN240"/>
      <c r="CWO240"/>
      <c r="CWP240"/>
      <c r="CWQ240"/>
      <c r="CWR240"/>
      <c r="CWS240"/>
      <c r="CWT240"/>
      <c r="CWU240"/>
      <c r="CWV240"/>
      <c r="CWW240"/>
      <c r="CWX240"/>
      <c r="CWY240"/>
      <c r="CWZ240"/>
      <c r="CXA240"/>
      <c r="CXB240"/>
      <c r="CXC240"/>
      <c r="CXD240"/>
      <c r="CXE240"/>
      <c r="CXF240"/>
      <c r="CXG240"/>
      <c r="CXH240"/>
      <c r="CXI240"/>
      <c r="CXJ240"/>
      <c r="CXK240"/>
      <c r="CXL240"/>
      <c r="CXM240"/>
      <c r="CXN240"/>
      <c r="CXO240"/>
      <c r="CXP240"/>
      <c r="CXQ240"/>
      <c r="CXR240"/>
      <c r="CXS240"/>
      <c r="CXT240"/>
      <c r="CXU240"/>
      <c r="CXV240"/>
      <c r="CXW240"/>
      <c r="CXX240"/>
      <c r="CXY240"/>
      <c r="CXZ240"/>
      <c r="CYA240"/>
      <c r="CYB240"/>
      <c r="CYC240"/>
      <c r="CYD240"/>
      <c r="CYE240"/>
      <c r="CYF240"/>
      <c r="CYG240"/>
      <c r="CYH240"/>
      <c r="CYI240"/>
      <c r="CYJ240"/>
      <c r="CYK240"/>
      <c r="CYL240"/>
      <c r="CYM240"/>
      <c r="CYN240"/>
      <c r="CYO240"/>
      <c r="CYP240"/>
      <c r="CYQ240"/>
      <c r="CYR240"/>
      <c r="CYS240"/>
      <c r="CYT240"/>
      <c r="CYU240"/>
      <c r="CYV240"/>
      <c r="CYW240"/>
      <c r="CYX240"/>
      <c r="CYY240"/>
      <c r="CYZ240"/>
      <c r="CZA240"/>
      <c r="CZB240"/>
      <c r="CZC240"/>
      <c r="CZD240"/>
      <c r="CZE240"/>
      <c r="CZF240"/>
      <c r="CZG240"/>
      <c r="CZH240"/>
      <c r="CZI240"/>
      <c r="CZJ240"/>
      <c r="CZK240"/>
      <c r="CZL240"/>
      <c r="CZM240"/>
      <c r="CZN240"/>
      <c r="CZO240"/>
      <c r="CZP240"/>
      <c r="CZQ240"/>
      <c r="CZR240"/>
      <c r="CZS240"/>
      <c r="CZT240"/>
      <c r="CZU240"/>
      <c r="CZV240"/>
      <c r="CZW240"/>
      <c r="CZX240"/>
      <c r="CZY240"/>
      <c r="CZZ240"/>
      <c r="DAA240"/>
      <c r="DAB240"/>
      <c r="DAC240"/>
      <c r="DAD240"/>
      <c r="DAE240"/>
      <c r="DAF240"/>
      <c r="DAG240"/>
      <c r="DAH240"/>
      <c r="DAI240"/>
      <c r="DAJ240"/>
      <c r="DAK240"/>
      <c r="DAL240"/>
      <c r="DAM240"/>
      <c r="DAN240"/>
      <c r="DAO240"/>
      <c r="DAP240"/>
      <c r="DAQ240"/>
      <c r="DAR240"/>
      <c r="DAS240"/>
      <c r="DAT240"/>
      <c r="DAU240"/>
      <c r="DAV240"/>
      <c r="DAW240"/>
      <c r="DAX240"/>
      <c r="DAY240"/>
      <c r="DAZ240"/>
      <c r="DBA240"/>
      <c r="DBB240"/>
      <c r="DBC240"/>
      <c r="DBD240"/>
      <c r="DBE240"/>
      <c r="DBF240"/>
      <c r="DBG240"/>
      <c r="DBH240"/>
      <c r="DBI240"/>
      <c r="DBJ240"/>
      <c r="DBK240"/>
      <c r="DBL240"/>
      <c r="DBM240"/>
      <c r="DBN240"/>
      <c r="DBO240"/>
      <c r="DBP240"/>
      <c r="DBQ240"/>
      <c r="DBR240"/>
      <c r="DBS240"/>
      <c r="DBT240"/>
      <c r="DBU240"/>
      <c r="DBV240"/>
      <c r="DBW240"/>
      <c r="DBX240"/>
      <c r="DBY240"/>
      <c r="DBZ240"/>
      <c r="DCA240"/>
      <c r="DCB240"/>
      <c r="DCC240"/>
      <c r="DCD240"/>
      <c r="DCE240"/>
      <c r="DCF240"/>
      <c r="DCG240"/>
      <c r="DCH240"/>
      <c r="DCI240"/>
      <c r="DCJ240"/>
      <c r="DCK240"/>
      <c r="DCL240"/>
      <c r="DCM240"/>
      <c r="DCN240"/>
      <c r="DCO240"/>
      <c r="DCP240"/>
      <c r="DCQ240"/>
      <c r="DCR240"/>
      <c r="DCS240"/>
      <c r="DCT240"/>
      <c r="DCU240"/>
      <c r="DCV240"/>
      <c r="DCW240"/>
      <c r="DCX240"/>
      <c r="DCY240"/>
      <c r="DCZ240"/>
      <c r="DDA240"/>
      <c r="DDB240"/>
      <c r="DDC240"/>
      <c r="DDD240"/>
      <c r="DDE240"/>
      <c r="DDF240"/>
      <c r="DDG240"/>
      <c r="DDH240"/>
      <c r="DDI240"/>
      <c r="DDJ240"/>
      <c r="DDK240"/>
      <c r="DDL240"/>
      <c r="DDM240"/>
      <c r="DDN240"/>
      <c r="DDO240"/>
      <c r="DDP240"/>
      <c r="DDQ240"/>
      <c r="DDR240"/>
      <c r="DDS240"/>
      <c r="DDT240"/>
      <c r="DDU240"/>
      <c r="DDV240"/>
      <c r="DDW240"/>
      <c r="DDX240"/>
      <c r="DDY240"/>
      <c r="DDZ240"/>
      <c r="DEA240"/>
      <c r="DEB240"/>
      <c r="DEC240"/>
      <c r="DED240"/>
      <c r="DEE240"/>
      <c r="DEF240"/>
      <c r="DEG240"/>
      <c r="DEH240"/>
      <c r="DEI240"/>
      <c r="DEJ240"/>
      <c r="DEK240"/>
      <c r="DEL240"/>
      <c r="DEM240"/>
      <c r="DEN240"/>
      <c r="DEO240"/>
      <c r="DEP240"/>
      <c r="DEQ240"/>
      <c r="DER240"/>
      <c r="DES240"/>
      <c r="DET240"/>
      <c r="DEU240"/>
      <c r="DEV240"/>
      <c r="DEW240"/>
      <c r="DEX240"/>
      <c r="DEY240"/>
      <c r="DEZ240"/>
      <c r="DFA240"/>
      <c r="DFB240"/>
      <c r="DFC240"/>
      <c r="DFD240"/>
      <c r="DFE240"/>
      <c r="DFF240"/>
      <c r="DFG240"/>
      <c r="DFH240"/>
      <c r="DFI240"/>
      <c r="DFJ240"/>
      <c r="DFK240"/>
      <c r="DFL240"/>
      <c r="DFM240"/>
      <c r="DFN240"/>
      <c r="DFO240"/>
      <c r="DFP240"/>
      <c r="DFQ240"/>
      <c r="DFR240"/>
      <c r="DFS240"/>
      <c r="DFT240"/>
      <c r="DFU240"/>
      <c r="DFV240"/>
      <c r="DFW240"/>
      <c r="DFX240"/>
      <c r="DFY240"/>
      <c r="DFZ240"/>
      <c r="DGA240"/>
      <c r="DGB240"/>
      <c r="DGC240"/>
      <c r="DGD240"/>
      <c r="DGE240"/>
      <c r="DGF240"/>
      <c r="DGG240"/>
      <c r="DGH240"/>
      <c r="DGI240"/>
      <c r="DGJ240"/>
      <c r="DGK240"/>
      <c r="DGL240"/>
      <c r="DGM240"/>
      <c r="DGN240"/>
      <c r="DGO240"/>
      <c r="DGP240"/>
      <c r="DGQ240"/>
      <c r="DGR240"/>
      <c r="DGS240"/>
      <c r="DGT240"/>
      <c r="DGU240"/>
      <c r="DGV240"/>
      <c r="DGW240"/>
      <c r="DGX240"/>
      <c r="DGY240"/>
      <c r="DGZ240"/>
      <c r="DHA240"/>
      <c r="DHB240"/>
      <c r="DHC240"/>
      <c r="DHD240"/>
      <c r="DHE240"/>
      <c r="DHF240"/>
      <c r="DHG240"/>
      <c r="DHH240"/>
      <c r="DHI240"/>
      <c r="DHJ240"/>
      <c r="DHK240"/>
      <c r="DHL240"/>
      <c r="DHM240"/>
      <c r="DHN240"/>
      <c r="DHO240"/>
      <c r="DHP240"/>
      <c r="DHQ240"/>
      <c r="DHR240"/>
      <c r="DHS240"/>
      <c r="DHT240"/>
      <c r="DHU240"/>
      <c r="DHV240"/>
      <c r="DHW240"/>
      <c r="DHX240"/>
      <c r="DHY240"/>
      <c r="DHZ240"/>
      <c r="DIA240"/>
      <c r="DIB240"/>
      <c r="DIC240"/>
      <c r="DID240"/>
      <c r="DIE240"/>
      <c r="DIF240"/>
      <c r="DIG240"/>
      <c r="DIH240"/>
      <c r="DII240"/>
      <c r="DIJ240"/>
      <c r="DIK240"/>
      <c r="DIL240"/>
      <c r="DIM240"/>
      <c r="DIN240"/>
      <c r="DIO240"/>
      <c r="DIP240"/>
      <c r="DIQ240"/>
      <c r="DIR240"/>
      <c r="DIS240"/>
      <c r="DIT240"/>
      <c r="DIU240"/>
      <c r="DIV240"/>
      <c r="DIW240"/>
      <c r="DIX240"/>
      <c r="DIY240"/>
      <c r="DIZ240"/>
      <c r="DJA240"/>
      <c r="DJB240"/>
      <c r="DJC240"/>
      <c r="DJD240"/>
      <c r="DJE240"/>
      <c r="DJF240"/>
      <c r="DJG240"/>
      <c r="DJH240"/>
      <c r="DJI240"/>
      <c r="DJJ240"/>
      <c r="DJK240"/>
      <c r="DJL240"/>
      <c r="DJM240"/>
      <c r="DJN240"/>
      <c r="DJO240"/>
      <c r="DJP240"/>
      <c r="DJQ240"/>
      <c r="DJR240"/>
      <c r="DJS240"/>
      <c r="DJT240"/>
      <c r="DJU240"/>
      <c r="DJV240"/>
      <c r="DJW240"/>
      <c r="DJX240"/>
      <c r="DJY240"/>
      <c r="DJZ240"/>
      <c r="DKA240"/>
      <c r="DKB240"/>
      <c r="DKC240"/>
      <c r="DKD240"/>
      <c r="DKE240"/>
      <c r="DKF240"/>
      <c r="DKG240"/>
      <c r="DKH240"/>
      <c r="DKI240"/>
      <c r="DKJ240"/>
      <c r="DKK240"/>
      <c r="DKL240"/>
      <c r="DKM240"/>
      <c r="DKN240"/>
      <c r="DKO240"/>
      <c r="DKP240"/>
      <c r="DKQ240"/>
      <c r="DKR240"/>
      <c r="DKS240"/>
      <c r="DKT240"/>
      <c r="DKU240"/>
      <c r="DKV240"/>
      <c r="DKW240"/>
      <c r="DKX240"/>
      <c r="DKY240"/>
      <c r="DKZ240"/>
      <c r="DLA240"/>
      <c r="DLB240"/>
      <c r="DLC240"/>
      <c r="DLD240"/>
      <c r="DLE240"/>
      <c r="DLF240"/>
      <c r="DLG240"/>
      <c r="DLH240"/>
      <c r="DLI240"/>
      <c r="DLJ240"/>
      <c r="DLK240"/>
      <c r="DLL240"/>
      <c r="DLM240"/>
      <c r="DLN240"/>
      <c r="DLO240"/>
      <c r="DLP240"/>
      <c r="DLQ240"/>
      <c r="DLR240"/>
      <c r="DLS240"/>
      <c r="DLT240"/>
      <c r="DLU240"/>
      <c r="DLV240"/>
      <c r="DLW240"/>
      <c r="DLX240"/>
      <c r="DLY240"/>
      <c r="DLZ240"/>
      <c r="DMA240"/>
      <c r="DMB240"/>
      <c r="DMC240"/>
      <c r="DMD240"/>
      <c r="DME240"/>
      <c r="DMF240"/>
      <c r="DMG240"/>
      <c r="DMH240"/>
      <c r="DMI240"/>
      <c r="DMJ240"/>
      <c r="DMK240"/>
      <c r="DML240"/>
      <c r="DMM240"/>
      <c r="DMN240"/>
      <c r="DMO240"/>
      <c r="DMP240"/>
      <c r="DMQ240"/>
      <c r="DMR240"/>
      <c r="DMS240"/>
      <c r="DMT240"/>
      <c r="DMU240"/>
      <c r="DMV240"/>
      <c r="DMW240"/>
      <c r="DMX240"/>
      <c r="DMY240"/>
      <c r="DMZ240"/>
      <c r="DNA240"/>
      <c r="DNB240"/>
      <c r="DNC240"/>
      <c r="DND240"/>
      <c r="DNE240"/>
      <c r="DNF240"/>
      <c r="DNG240"/>
      <c r="DNH240"/>
      <c r="DNI240"/>
      <c r="DNJ240"/>
      <c r="DNK240"/>
      <c r="DNL240"/>
      <c r="DNM240"/>
      <c r="DNN240"/>
      <c r="DNO240"/>
      <c r="DNP240"/>
      <c r="DNQ240"/>
      <c r="DNR240"/>
      <c r="DNS240"/>
      <c r="DNT240"/>
      <c r="DNU240"/>
      <c r="DNV240"/>
      <c r="DNW240"/>
      <c r="DNX240"/>
      <c r="DNY240"/>
      <c r="DNZ240"/>
      <c r="DOA240"/>
      <c r="DOB240"/>
      <c r="DOC240"/>
      <c r="DOD240"/>
      <c r="DOE240"/>
      <c r="DOF240"/>
      <c r="DOG240"/>
      <c r="DOH240"/>
      <c r="DOI240"/>
      <c r="DOJ240"/>
      <c r="DOK240"/>
      <c r="DOL240"/>
      <c r="DOM240"/>
      <c r="DON240"/>
      <c r="DOO240"/>
      <c r="DOP240"/>
      <c r="DOQ240"/>
      <c r="DOR240"/>
      <c r="DOS240"/>
      <c r="DOT240"/>
      <c r="DOU240"/>
      <c r="DOV240"/>
      <c r="DOW240"/>
      <c r="DOX240"/>
      <c r="DOY240"/>
      <c r="DOZ240"/>
      <c r="DPA240"/>
      <c r="DPB240"/>
      <c r="DPC240"/>
      <c r="DPD240"/>
      <c r="DPE240"/>
      <c r="DPF240"/>
      <c r="DPG240"/>
      <c r="DPH240"/>
      <c r="DPI240"/>
      <c r="DPJ240"/>
      <c r="DPK240"/>
      <c r="DPL240"/>
      <c r="DPM240"/>
      <c r="DPN240"/>
      <c r="DPO240"/>
      <c r="DPP240"/>
      <c r="DPQ240"/>
      <c r="DPR240"/>
      <c r="DPS240"/>
      <c r="DPT240"/>
      <c r="DPU240"/>
      <c r="DPV240"/>
      <c r="DPW240"/>
      <c r="DPX240"/>
      <c r="DPY240"/>
      <c r="DPZ240"/>
      <c r="DQA240"/>
      <c r="DQB240"/>
      <c r="DQC240"/>
      <c r="DQD240"/>
      <c r="DQE240"/>
      <c r="DQF240"/>
      <c r="DQG240"/>
      <c r="DQH240"/>
      <c r="DQI240"/>
      <c r="DQJ240"/>
      <c r="DQK240"/>
      <c r="DQL240"/>
      <c r="DQM240"/>
      <c r="DQN240"/>
      <c r="DQO240"/>
      <c r="DQP240"/>
      <c r="DQQ240"/>
      <c r="DQR240"/>
      <c r="DQS240"/>
      <c r="DQT240"/>
      <c r="DQU240"/>
      <c r="DQV240"/>
      <c r="DQW240"/>
      <c r="DQX240"/>
      <c r="DQY240"/>
      <c r="DQZ240"/>
      <c r="DRA240"/>
      <c r="DRB240"/>
      <c r="DRC240"/>
      <c r="DRD240"/>
      <c r="DRE240"/>
      <c r="DRF240"/>
      <c r="DRG240"/>
      <c r="DRH240"/>
      <c r="DRI240"/>
      <c r="DRJ240"/>
      <c r="DRK240"/>
      <c r="DRL240"/>
      <c r="DRM240"/>
      <c r="DRN240"/>
      <c r="DRO240"/>
      <c r="DRP240"/>
      <c r="DRQ240"/>
      <c r="DRR240"/>
      <c r="DRS240"/>
      <c r="DRT240"/>
      <c r="DRU240"/>
      <c r="DRV240"/>
      <c r="DRW240"/>
      <c r="DRX240"/>
      <c r="DRY240"/>
      <c r="DRZ240"/>
      <c r="DSA240"/>
      <c r="DSB240"/>
      <c r="DSC240"/>
      <c r="DSD240"/>
      <c r="DSE240"/>
      <c r="DSF240"/>
      <c r="DSG240"/>
      <c r="DSH240"/>
      <c r="DSI240"/>
      <c r="DSJ240"/>
      <c r="DSK240"/>
      <c r="DSL240"/>
      <c r="DSM240"/>
      <c r="DSN240"/>
      <c r="DSO240"/>
      <c r="DSP240"/>
      <c r="DSQ240"/>
      <c r="DSR240"/>
      <c r="DSS240"/>
      <c r="DST240"/>
      <c r="DSU240"/>
      <c r="DSV240"/>
      <c r="DSW240"/>
      <c r="DSX240"/>
      <c r="DSY240"/>
      <c r="DSZ240"/>
      <c r="DTA240"/>
      <c r="DTB240"/>
      <c r="DTC240"/>
      <c r="DTD240"/>
      <c r="DTE240"/>
      <c r="DTF240"/>
      <c r="DTG240"/>
      <c r="DTH240"/>
      <c r="DTI240"/>
      <c r="DTJ240"/>
      <c r="DTK240"/>
      <c r="DTL240"/>
      <c r="DTM240"/>
      <c r="DTN240"/>
      <c r="DTO240"/>
      <c r="DTP240"/>
      <c r="DTQ240"/>
      <c r="DTR240"/>
      <c r="DTS240"/>
      <c r="DTT240"/>
      <c r="DTU240"/>
      <c r="DTV240"/>
      <c r="DTW240"/>
      <c r="DTX240"/>
      <c r="DTY240"/>
      <c r="DTZ240"/>
      <c r="DUA240"/>
      <c r="DUB240"/>
      <c r="DUC240"/>
      <c r="DUD240"/>
      <c r="DUE240"/>
      <c r="DUF240"/>
      <c r="DUG240"/>
      <c r="DUH240"/>
      <c r="DUI240"/>
      <c r="DUJ240"/>
      <c r="DUK240"/>
      <c r="DUL240"/>
      <c r="DUM240"/>
      <c r="DUN240"/>
      <c r="DUO240"/>
      <c r="DUP240"/>
      <c r="DUQ240"/>
      <c r="DUR240"/>
      <c r="DUS240"/>
      <c r="DUT240"/>
      <c r="DUU240"/>
      <c r="DUV240"/>
      <c r="DUW240"/>
      <c r="DUX240"/>
      <c r="DUY240"/>
      <c r="DUZ240"/>
      <c r="DVA240"/>
      <c r="DVB240"/>
      <c r="DVC240"/>
      <c r="DVD240"/>
      <c r="DVE240"/>
      <c r="DVF240"/>
      <c r="DVG240"/>
      <c r="DVH240"/>
      <c r="DVI240"/>
      <c r="DVJ240"/>
      <c r="DVK240"/>
      <c r="DVL240"/>
      <c r="DVM240"/>
      <c r="DVN240"/>
      <c r="DVO240"/>
      <c r="DVP240"/>
      <c r="DVQ240"/>
      <c r="DVR240"/>
      <c r="DVS240"/>
      <c r="DVT240"/>
      <c r="DVU240"/>
      <c r="DVV240"/>
      <c r="DVW240"/>
      <c r="DVX240"/>
      <c r="DVY240"/>
      <c r="DVZ240"/>
      <c r="DWA240"/>
      <c r="DWB240"/>
      <c r="DWC240"/>
      <c r="DWD240"/>
      <c r="DWE240"/>
      <c r="DWF240"/>
      <c r="DWG240"/>
      <c r="DWH240"/>
      <c r="DWI240"/>
      <c r="DWJ240"/>
      <c r="DWK240"/>
      <c r="DWL240"/>
      <c r="DWM240"/>
      <c r="DWN240"/>
      <c r="DWO240"/>
      <c r="DWP240"/>
      <c r="DWQ240"/>
      <c r="DWR240"/>
      <c r="DWS240"/>
      <c r="DWT240"/>
      <c r="DWU240"/>
      <c r="DWV240"/>
      <c r="DWW240"/>
      <c r="DWX240"/>
      <c r="DWY240"/>
      <c r="DWZ240"/>
      <c r="DXA240"/>
      <c r="DXB240"/>
      <c r="DXC240"/>
      <c r="DXD240"/>
      <c r="DXE240"/>
      <c r="DXF240"/>
      <c r="DXG240"/>
      <c r="DXH240"/>
      <c r="DXI240"/>
      <c r="DXJ240"/>
      <c r="DXK240"/>
      <c r="DXL240"/>
      <c r="DXM240"/>
      <c r="DXN240"/>
      <c r="DXO240"/>
      <c r="DXP240"/>
      <c r="DXQ240"/>
      <c r="DXR240"/>
      <c r="DXS240"/>
      <c r="DXT240"/>
      <c r="DXU240"/>
      <c r="DXV240"/>
      <c r="DXW240"/>
      <c r="DXX240"/>
      <c r="DXY240"/>
      <c r="DXZ240"/>
      <c r="DYA240"/>
      <c r="DYB240"/>
      <c r="DYC240"/>
      <c r="DYD240"/>
      <c r="DYE240"/>
      <c r="DYF240"/>
      <c r="DYG240"/>
      <c r="DYH240"/>
      <c r="DYI240"/>
      <c r="DYJ240"/>
      <c r="DYK240"/>
      <c r="DYL240"/>
      <c r="DYM240"/>
      <c r="DYN240"/>
      <c r="DYO240"/>
      <c r="DYP240"/>
      <c r="DYQ240"/>
      <c r="DYR240"/>
      <c r="DYS240"/>
      <c r="DYT240"/>
      <c r="DYU240"/>
      <c r="DYV240"/>
      <c r="DYW240"/>
      <c r="DYX240"/>
      <c r="DYY240"/>
      <c r="DYZ240"/>
      <c r="DZA240"/>
      <c r="DZB240"/>
      <c r="DZC240"/>
      <c r="DZD240"/>
      <c r="DZE240"/>
      <c r="DZF240"/>
      <c r="DZG240"/>
      <c r="DZH240"/>
      <c r="DZI240"/>
      <c r="DZJ240"/>
      <c r="DZK240"/>
      <c r="DZL240"/>
      <c r="DZM240"/>
      <c r="DZN240"/>
      <c r="DZO240"/>
      <c r="DZP240"/>
      <c r="DZQ240"/>
      <c r="DZR240"/>
      <c r="DZS240"/>
      <c r="DZT240"/>
      <c r="DZU240"/>
      <c r="DZV240"/>
      <c r="DZW240"/>
      <c r="DZX240"/>
      <c r="DZY240"/>
      <c r="DZZ240"/>
      <c r="EAA240"/>
      <c r="EAB240"/>
      <c r="EAC240"/>
      <c r="EAD240"/>
      <c r="EAE240"/>
      <c r="EAF240"/>
      <c r="EAG240"/>
      <c r="EAH240"/>
      <c r="EAI240"/>
      <c r="EAJ240"/>
      <c r="EAK240"/>
      <c r="EAL240"/>
      <c r="EAM240"/>
      <c r="EAN240"/>
      <c r="EAO240"/>
      <c r="EAP240"/>
      <c r="EAQ240"/>
      <c r="EAR240"/>
      <c r="EAS240"/>
      <c r="EAT240"/>
      <c r="EAU240"/>
      <c r="EAV240"/>
      <c r="EAW240"/>
      <c r="EAX240"/>
      <c r="EAY240"/>
      <c r="EAZ240"/>
      <c r="EBA240"/>
      <c r="EBB240"/>
      <c r="EBC240"/>
      <c r="EBD240"/>
      <c r="EBE240"/>
      <c r="EBF240"/>
      <c r="EBG240"/>
      <c r="EBH240"/>
      <c r="EBI240"/>
      <c r="EBJ240"/>
      <c r="EBK240"/>
      <c r="EBL240"/>
      <c r="EBM240"/>
      <c r="EBN240"/>
      <c r="EBO240"/>
      <c r="EBP240"/>
      <c r="EBQ240"/>
      <c r="EBR240"/>
      <c r="EBS240"/>
      <c r="EBT240"/>
      <c r="EBU240"/>
      <c r="EBV240"/>
      <c r="EBW240"/>
      <c r="EBX240"/>
      <c r="EBY240"/>
      <c r="EBZ240"/>
      <c r="ECA240"/>
      <c r="ECB240"/>
      <c r="ECC240"/>
      <c r="ECD240"/>
      <c r="ECE240"/>
      <c r="ECF240"/>
      <c r="ECG240"/>
      <c r="ECH240"/>
      <c r="ECI240"/>
      <c r="ECJ240"/>
      <c r="ECK240"/>
      <c r="ECL240"/>
      <c r="ECM240"/>
      <c r="ECN240"/>
      <c r="ECO240"/>
      <c r="ECP240"/>
      <c r="ECQ240"/>
      <c r="ECR240"/>
      <c r="ECS240"/>
      <c r="ECT240"/>
      <c r="ECU240"/>
      <c r="ECV240"/>
      <c r="ECW240"/>
      <c r="ECX240"/>
      <c r="ECY240"/>
      <c r="ECZ240"/>
      <c r="EDA240"/>
      <c r="EDB240"/>
      <c r="EDC240"/>
      <c r="EDD240"/>
      <c r="EDE240"/>
      <c r="EDF240"/>
      <c r="EDG240"/>
      <c r="EDH240"/>
      <c r="EDI240"/>
      <c r="EDJ240"/>
      <c r="EDK240"/>
      <c r="EDL240"/>
      <c r="EDM240"/>
      <c r="EDN240"/>
      <c r="EDO240"/>
      <c r="EDP240"/>
      <c r="EDQ240"/>
      <c r="EDR240"/>
      <c r="EDS240"/>
      <c r="EDT240"/>
      <c r="EDU240"/>
      <c r="EDV240"/>
      <c r="EDW240"/>
      <c r="EDX240"/>
      <c r="EDY240"/>
      <c r="EDZ240"/>
      <c r="EEA240"/>
      <c r="EEB240"/>
      <c r="EEC240"/>
      <c r="EED240"/>
      <c r="EEE240"/>
      <c r="EEF240"/>
      <c r="EEG240"/>
      <c r="EEH240"/>
      <c r="EEI240"/>
      <c r="EEJ240"/>
      <c r="EEK240"/>
      <c r="EEL240"/>
      <c r="EEM240"/>
      <c r="EEN240"/>
      <c r="EEO240"/>
      <c r="EEP240"/>
      <c r="EEQ240"/>
      <c r="EER240"/>
      <c r="EES240"/>
      <c r="EET240"/>
      <c r="EEU240"/>
      <c r="EEV240"/>
      <c r="EEW240"/>
      <c r="EEX240"/>
      <c r="EEY240"/>
      <c r="EEZ240"/>
      <c r="EFA240"/>
      <c r="EFB240"/>
      <c r="EFC240"/>
      <c r="EFD240"/>
      <c r="EFE240"/>
      <c r="EFF240"/>
      <c r="EFG240"/>
      <c r="EFH240"/>
      <c r="EFI240"/>
      <c r="EFJ240"/>
      <c r="EFK240"/>
      <c r="EFL240"/>
      <c r="EFM240"/>
      <c r="EFN240"/>
      <c r="EFO240"/>
      <c r="EFP240"/>
      <c r="EFQ240"/>
      <c r="EFR240"/>
      <c r="EFS240"/>
      <c r="EFT240"/>
      <c r="EFU240"/>
      <c r="EFV240"/>
      <c r="EFW240"/>
      <c r="EFX240"/>
      <c r="EFY240"/>
      <c r="EFZ240"/>
      <c r="EGA240"/>
      <c r="EGB240"/>
      <c r="EGC240"/>
      <c r="EGD240"/>
      <c r="EGE240"/>
      <c r="EGF240"/>
      <c r="EGG240"/>
      <c r="EGH240"/>
      <c r="EGI240"/>
      <c r="EGJ240"/>
      <c r="EGK240"/>
      <c r="EGL240"/>
      <c r="EGM240"/>
      <c r="EGN240"/>
      <c r="EGO240"/>
      <c r="EGP240"/>
      <c r="EGQ240"/>
      <c r="EGR240"/>
      <c r="EGS240"/>
      <c r="EGT240"/>
      <c r="EGU240"/>
      <c r="EGV240"/>
      <c r="EGW240"/>
      <c r="EGX240"/>
      <c r="EGY240"/>
      <c r="EGZ240"/>
      <c r="EHA240"/>
      <c r="EHB240"/>
      <c r="EHC240"/>
      <c r="EHD240"/>
      <c r="EHE240"/>
      <c r="EHF240"/>
      <c r="EHG240"/>
      <c r="EHH240"/>
      <c r="EHI240"/>
      <c r="EHJ240"/>
      <c r="EHK240"/>
      <c r="EHL240"/>
      <c r="EHM240"/>
      <c r="EHN240"/>
      <c r="EHO240"/>
      <c r="EHP240"/>
      <c r="EHQ240"/>
      <c r="EHR240"/>
      <c r="EHS240"/>
      <c r="EHT240"/>
      <c r="EHU240"/>
      <c r="EHV240"/>
      <c r="EHW240"/>
      <c r="EHX240"/>
      <c r="EHY240"/>
      <c r="EHZ240"/>
      <c r="EIA240"/>
      <c r="EIB240"/>
      <c r="EIC240"/>
      <c r="EID240"/>
      <c r="EIE240"/>
      <c r="EIF240"/>
      <c r="EIG240"/>
      <c r="EIH240"/>
      <c r="EII240"/>
      <c r="EIJ240"/>
      <c r="EIK240"/>
      <c r="EIL240"/>
      <c r="EIM240"/>
      <c r="EIN240"/>
      <c r="EIO240"/>
      <c r="EIP240"/>
      <c r="EIQ240"/>
      <c r="EIR240"/>
      <c r="EIS240"/>
      <c r="EIT240"/>
      <c r="EIU240"/>
      <c r="EIV240"/>
      <c r="EIW240"/>
      <c r="EIX240"/>
      <c r="EIY240"/>
      <c r="EIZ240"/>
      <c r="EJA240"/>
      <c r="EJB240"/>
      <c r="EJC240"/>
      <c r="EJD240"/>
      <c r="EJE240"/>
      <c r="EJF240"/>
      <c r="EJG240"/>
      <c r="EJH240"/>
      <c r="EJI240"/>
      <c r="EJJ240"/>
      <c r="EJK240"/>
      <c r="EJL240"/>
      <c r="EJM240"/>
      <c r="EJN240"/>
      <c r="EJO240"/>
      <c r="EJP240"/>
      <c r="EJQ240"/>
      <c r="EJR240"/>
      <c r="EJS240"/>
      <c r="EJT240"/>
      <c r="EJU240"/>
      <c r="EJV240"/>
      <c r="EJW240"/>
      <c r="EJX240"/>
      <c r="EJY240"/>
      <c r="EJZ240"/>
      <c r="EKA240"/>
      <c r="EKB240"/>
      <c r="EKC240"/>
      <c r="EKD240"/>
      <c r="EKE240"/>
      <c r="EKF240"/>
      <c r="EKG240"/>
      <c r="EKH240"/>
      <c r="EKI240"/>
      <c r="EKJ240"/>
      <c r="EKK240"/>
      <c r="EKL240"/>
      <c r="EKM240"/>
      <c r="EKN240"/>
      <c r="EKO240"/>
      <c r="EKP240"/>
      <c r="EKQ240"/>
      <c r="EKR240"/>
      <c r="EKS240"/>
      <c r="EKT240"/>
      <c r="EKU240"/>
      <c r="EKV240"/>
      <c r="EKW240"/>
      <c r="EKX240"/>
      <c r="EKY240"/>
      <c r="EKZ240"/>
      <c r="ELA240"/>
      <c r="ELB240"/>
      <c r="ELC240"/>
      <c r="ELD240"/>
      <c r="ELE240"/>
      <c r="ELF240"/>
      <c r="ELG240"/>
      <c r="ELH240"/>
      <c r="ELI240"/>
      <c r="ELJ240"/>
      <c r="ELK240"/>
      <c r="ELL240"/>
      <c r="ELM240"/>
      <c r="ELN240"/>
      <c r="ELO240"/>
      <c r="ELP240"/>
      <c r="ELQ240"/>
      <c r="ELR240"/>
      <c r="ELS240"/>
      <c r="ELT240"/>
      <c r="ELU240"/>
      <c r="ELV240"/>
      <c r="ELW240"/>
      <c r="ELX240"/>
      <c r="ELY240"/>
      <c r="ELZ240"/>
      <c r="EMA240"/>
      <c r="EMB240"/>
      <c r="EMC240"/>
      <c r="EMD240"/>
      <c r="EME240"/>
      <c r="EMF240"/>
      <c r="EMG240"/>
      <c r="EMH240"/>
      <c r="EMI240"/>
      <c r="EMJ240"/>
      <c r="EMK240"/>
      <c r="EML240"/>
      <c r="EMM240"/>
      <c r="EMN240"/>
      <c r="EMO240"/>
      <c r="EMP240"/>
      <c r="EMQ240"/>
      <c r="EMR240"/>
      <c r="EMS240"/>
      <c r="EMT240"/>
      <c r="EMU240"/>
      <c r="EMV240"/>
      <c r="EMW240"/>
      <c r="EMX240"/>
      <c r="EMY240"/>
      <c r="EMZ240"/>
      <c r="ENA240"/>
      <c r="ENB240"/>
      <c r="ENC240"/>
      <c r="END240"/>
      <c r="ENE240"/>
      <c r="ENF240"/>
      <c r="ENG240"/>
      <c r="ENH240"/>
      <c r="ENI240"/>
      <c r="ENJ240"/>
      <c r="ENK240"/>
      <c r="ENL240"/>
      <c r="ENM240"/>
      <c r="ENN240"/>
      <c r="ENO240"/>
      <c r="ENP240"/>
      <c r="ENQ240"/>
      <c r="ENR240"/>
      <c r="ENS240"/>
      <c r="ENT240"/>
      <c r="ENU240"/>
      <c r="ENV240"/>
      <c r="ENW240"/>
      <c r="ENX240"/>
      <c r="ENY240"/>
      <c r="ENZ240"/>
      <c r="EOA240"/>
      <c r="EOB240"/>
      <c r="EOC240"/>
      <c r="EOD240"/>
      <c r="EOE240"/>
      <c r="EOF240"/>
      <c r="EOG240"/>
      <c r="EOH240"/>
      <c r="EOI240"/>
      <c r="EOJ240"/>
      <c r="EOK240"/>
      <c r="EOL240"/>
      <c r="EOM240"/>
      <c r="EON240"/>
      <c r="EOO240"/>
      <c r="EOP240"/>
      <c r="EOQ240"/>
      <c r="EOR240"/>
      <c r="EOS240"/>
      <c r="EOT240"/>
      <c r="EOU240"/>
      <c r="EOV240"/>
      <c r="EOW240"/>
      <c r="EOX240"/>
      <c r="EOY240"/>
      <c r="EOZ240"/>
      <c r="EPA240"/>
      <c r="EPB240"/>
      <c r="EPC240"/>
      <c r="EPD240"/>
      <c r="EPE240"/>
      <c r="EPF240"/>
      <c r="EPG240"/>
      <c r="EPH240"/>
      <c r="EPI240"/>
      <c r="EPJ240"/>
      <c r="EPK240"/>
      <c r="EPL240"/>
      <c r="EPM240"/>
      <c r="EPN240"/>
      <c r="EPO240"/>
      <c r="EPP240"/>
      <c r="EPQ240"/>
      <c r="EPR240"/>
      <c r="EPS240"/>
      <c r="EPT240"/>
      <c r="EPU240"/>
      <c r="EPV240"/>
      <c r="EPW240"/>
      <c r="EPX240"/>
      <c r="EPY240"/>
      <c r="EPZ240"/>
      <c r="EQA240"/>
      <c r="EQB240"/>
      <c r="EQC240"/>
      <c r="EQD240"/>
      <c r="EQE240"/>
      <c r="EQF240"/>
      <c r="EQG240"/>
      <c r="EQH240"/>
      <c r="EQI240"/>
      <c r="EQJ240"/>
      <c r="EQK240"/>
      <c r="EQL240"/>
      <c r="EQM240"/>
      <c r="EQN240"/>
      <c r="EQO240"/>
      <c r="EQP240"/>
      <c r="EQQ240"/>
      <c r="EQR240"/>
      <c r="EQS240"/>
      <c r="EQT240"/>
      <c r="EQU240"/>
      <c r="EQV240"/>
      <c r="EQW240"/>
      <c r="EQX240"/>
      <c r="EQY240"/>
      <c r="EQZ240"/>
      <c r="ERA240"/>
      <c r="ERB240"/>
      <c r="ERC240"/>
      <c r="ERD240"/>
      <c r="ERE240"/>
      <c r="ERF240"/>
      <c r="ERG240"/>
      <c r="ERH240"/>
      <c r="ERI240"/>
      <c r="ERJ240"/>
      <c r="ERK240"/>
      <c r="ERL240"/>
      <c r="ERM240"/>
      <c r="ERN240"/>
      <c r="ERO240"/>
      <c r="ERP240"/>
      <c r="ERQ240"/>
      <c r="ERR240"/>
      <c r="ERS240"/>
      <c r="ERT240"/>
      <c r="ERU240"/>
      <c r="ERV240"/>
      <c r="ERW240"/>
      <c r="ERX240"/>
      <c r="ERY240"/>
      <c r="ERZ240"/>
      <c r="ESA240"/>
      <c r="ESB240"/>
      <c r="ESC240"/>
      <c r="ESD240"/>
      <c r="ESE240"/>
      <c r="ESF240"/>
      <c r="ESG240"/>
      <c r="ESH240"/>
      <c r="ESI240"/>
      <c r="ESJ240"/>
      <c r="ESK240"/>
      <c r="ESL240"/>
      <c r="ESM240"/>
      <c r="ESN240"/>
      <c r="ESO240"/>
      <c r="ESP240"/>
      <c r="ESQ240"/>
      <c r="ESR240"/>
      <c r="ESS240"/>
      <c r="EST240"/>
      <c r="ESU240"/>
      <c r="ESV240"/>
      <c r="ESW240"/>
      <c r="ESX240"/>
      <c r="ESY240"/>
      <c r="ESZ240"/>
      <c r="ETA240"/>
      <c r="ETB240"/>
      <c r="ETC240"/>
      <c r="ETD240"/>
      <c r="ETE240"/>
      <c r="ETF240"/>
      <c r="ETG240"/>
      <c r="ETH240"/>
      <c r="ETI240"/>
      <c r="ETJ240"/>
      <c r="ETK240"/>
      <c r="ETL240"/>
      <c r="ETM240"/>
      <c r="ETN240"/>
      <c r="ETO240"/>
      <c r="ETP240"/>
      <c r="ETQ240"/>
      <c r="ETR240"/>
      <c r="ETS240"/>
      <c r="ETT240"/>
      <c r="ETU240"/>
      <c r="ETV240"/>
      <c r="ETW240"/>
      <c r="ETX240"/>
      <c r="ETY240"/>
      <c r="ETZ240"/>
      <c r="EUA240"/>
      <c r="EUB240"/>
      <c r="EUC240"/>
      <c r="EUD240"/>
      <c r="EUE240"/>
      <c r="EUF240"/>
      <c r="EUG240"/>
      <c r="EUH240"/>
      <c r="EUI240"/>
      <c r="EUJ240"/>
      <c r="EUK240"/>
      <c r="EUL240"/>
      <c r="EUM240"/>
      <c r="EUN240"/>
      <c r="EUO240"/>
      <c r="EUP240"/>
      <c r="EUQ240"/>
      <c r="EUR240"/>
      <c r="EUS240"/>
      <c r="EUT240"/>
      <c r="EUU240"/>
      <c r="EUV240"/>
      <c r="EUW240"/>
      <c r="EUX240"/>
      <c r="EUY240"/>
      <c r="EUZ240"/>
      <c r="EVA240"/>
      <c r="EVB240"/>
      <c r="EVC240"/>
      <c r="EVD240"/>
      <c r="EVE240"/>
      <c r="EVF240"/>
      <c r="EVG240"/>
      <c r="EVH240"/>
      <c r="EVI240"/>
      <c r="EVJ240"/>
      <c r="EVK240"/>
      <c r="EVL240"/>
      <c r="EVM240"/>
      <c r="EVN240"/>
      <c r="EVO240"/>
      <c r="EVP240"/>
      <c r="EVQ240"/>
      <c r="EVR240"/>
      <c r="EVS240"/>
      <c r="EVT240"/>
      <c r="EVU240"/>
      <c r="EVV240"/>
      <c r="EVW240"/>
      <c r="EVX240"/>
      <c r="EVY240"/>
      <c r="EVZ240"/>
      <c r="EWA240"/>
      <c r="EWB240"/>
      <c r="EWC240"/>
      <c r="EWD240"/>
      <c r="EWE240"/>
      <c r="EWF240"/>
      <c r="EWG240"/>
      <c r="EWH240"/>
      <c r="EWI240"/>
      <c r="EWJ240"/>
      <c r="EWK240"/>
      <c r="EWL240"/>
      <c r="EWM240"/>
      <c r="EWN240"/>
      <c r="EWO240"/>
      <c r="EWP240"/>
      <c r="EWQ240"/>
      <c r="EWR240"/>
      <c r="EWS240"/>
      <c r="EWT240"/>
      <c r="EWU240"/>
      <c r="EWV240"/>
      <c r="EWW240"/>
      <c r="EWX240"/>
      <c r="EWY240"/>
      <c r="EWZ240"/>
      <c r="EXA240"/>
      <c r="EXB240"/>
      <c r="EXC240"/>
      <c r="EXD240"/>
      <c r="EXE240"/>
      <c r="EXF240"/>
      <c r="EXG240"/>
      <c r="EXH240"/>
      <c r="EXI240"/>
      <c r="EXJ240"/>
      <c r="EXK240"/>
      <c r="EXL240"/>
      <c r="EXM240"/>
      <c r="EXN240"/>
      <c r="EXO240"/>
      <c r="EXP240"/>
      <c r="EXQ240"/>
      <c r="EXR240"/>
      <c r="EXS240"/>
      <c r="EXT240"/>
      <c r="EXU240"/>
      <c r="EXV240"/>
      <c r="EXW240"/>
      <c r="EXX240"/>
      <c r="EXY240"/>
      <c r="EXZ240"/>
      <c r="EYA240"/>
      <c r="EYB240"/>
      <c r="EYC240"/>
      <c r="EYD240"/>
      <c r="EYE240"/>
      <c r="EYF240"/>
      <c r="EYG240"/>
      <c r="EYH240"/>
      <c r="EYI240"/>
      <c r="EYJ240"/>
      <c r="EYK240"/>
      <c r="EYL240"/>
      <c r="EYM240"/>
      <c r="EYN240"/>
      <c r="EYO240"/>
      <c r="EYP240"/>
      <c r="EYQ240"/>
      <c r="EYR240"/>
      <c r="EYS240"/>
      <c r="EYT240"/>
      <c r="EYU240"/>
      <c r="EYV240"/>
      <c r="EYW240"/>
      <c r="EYX240"/>
      <c r="EYY240"/>
      <c r="EYZ240"/>
      <c r="EZA240"/>
      <c r="EZB240"/>
      <c r="EZC240"/>
      <c r="EZD240"/>
      <c r="EZE240"/>
      <c r="EZF240"/>
      <c r="EZG240"/>
      <c r="EZH240"/>
      <c r="EZI240"/>
      <c r="EZJ240"/>
      <c r="EZK240"/>
      <c r="EZL240"/>
      <c r="EZM240"/>
      <c r="EZN240"/>
      <c r="EZO240"/>
      <c r="EZP240"/>
      <c r="EZQ240"/>
      <c r="EZR240"/>
      <c r="EZS240"/>
      <c r="EZT240"/>
      <c r="EZU240"/>
      <c r="EZV240"/>
      <c r="EZW240"/>
      <c r="EZX240"/>
      <c r="EZY240"/>
      <c r="EZZ240"/>
      <c r="FAA240"/>
      <c r="FAB240"/>
      <c r="FAC240"/>
      <c r="FAD240"/>
      <c r="FAE240"/>
      <c r="FAF240"/>
      <c r="FAG240"/>
      <c r="FAH240"/>
      <c r="FAI240"/>
      <c r="FAJ240"/>
      <c r="FAK240"/>
      <c r="FAL240"/>
      <c r="FAM240"/>
      <c r="FAN240"/>
      <c r="FAO240"/>
      <c r="FAP240"/>
      <c r="FAQ240"/>
      <c r="FAR240"/>
      <c r="FAS240"/>
      <c r="FAT240"/>
      <c r="FAU240"/>
      <c r="FAV240"/>
      <c r="FAW240"/>
      <c r="FAX240"/>
      <c r="FAY240"/>
      <c r="FAZ240"/>
      <c r="FBA240"/>
      <c r="FBB240"/>
      <c r="FBC240"/>
      <c r="FBD240"/>
      <c r="FBE240"/>
      <c r="FBF240"/>
      <c r="FBG240"/>
      <c r="FBH240"/>
      <c r="FBI240"/>
      <c r="FBJ240"/>
      <c r="FBK240"/>
      <c r="FBL240"/>
      <c r="FBM240"/>
      <c r="FBN240"/>
      <c r="FBO240"/>
      <c r="FBP240"/>
      <c r="FBQ240"/>
      <c r="FBR240"/>
      <c r="FBS240"/>
      <c r="FBT240"/>
      <c r="FBU240"/>
      <c r="FBV240"/>
      <c r="FBW240"/>
      <c r="FBX240"/>
      <c r="FBY240"/>
      <c r="FBZ240"/>
      <c r="FCA240"/>
      <c r="FCB240"/>
      <c r="FCC240"/>
      <c r="FCD240"/>
      <c r="FCE240"/>
      <c r="FCF240"/>
      <c r="FCG240"/>
      <c r="FCH240"/>
      <c r="FCI240"/>
      <c r="FCJ240"/>
      <c r="FCK240"/>
      <c r="FCL240"/>
      <c r="FCM240"/>
      <c r="FCN240"/>
      <c r="FCO240"/>
      <c r="FCP240"/>
      <c r="FCQ240"/>
      <c r="FCR240"/>
      <c r="FCS240"/>
      <c r="FCT240"/>
      <c r="FCU240"/>
      <c r="FCV240"/>
      <c r="FCW240"/>
      <c r="FCX240"/>
      <c r="FCY240"/>
      <c r="FCZ240"/>
      <c r="FDA240"/>
      <c r="FDB240"/>
      <c r="FDC240"/>
      <c r="FDD240"/>
      <c r="FDE240"/>
      <c r="FDF240"/>
      <c r="FDG240"/>
      <c r="FDH240"/>
      <c r="FDI240"/>
      <c r="FDJ240"/>
      <c r="FDK240"/>
      <c r="FDL240"/>
      <c r="FDM240"/>
      <c r="FDN240"/>
      <c r="FDO240"/>
      <c r="FDP240"/>
      <c r="FDQ240"/>
      <c r="FDR240"/>
      <c r="FDS240"/>
      <c r="FDT240"/>
      <c r="FDU240"/>
      <c r="FDV240"/>
      <c r="FDW240"/>
      <c r="FDX240"/>
      <c r="FDY240"/>
      <c r="FDZ240"/>
      <c r="FEA240"/>
      <c r="FEB240"/>
      <c r="FEC240"/>
      <c r="FED240"/>
      <c r="FEE240"/>
      <c r="FEF240"/>
      <c r="FEG240"/>
      <c r="FEH240"/>
      <c r="FEI240"/>
      <c r="FEJ240"/>
      <c r="FEK240"/>
      <c r="FEL240"/>
      <c r="FEM240"/>
      <c r="FEN240"/>
      <c r="FEO240"/>
      <c r="FEP240"/>
      <c r="FEQ240"/>
      <c r="FER240"/>
      <c r="FES240"/>
      <c r="FET240"/>
      <c r="FEU240"/>
      <c r="FEV240"/>
      <c r="FEW240"/>
      <c r="FEX240"/>
      <c r="FEY240"/>
      <c r="FEZ240"/>
      <c r="FFA240"/>
      <c r="FFB240"/>
      <c r="FFC240"/>
      <c r="FFD240"/>
      <c r="FFE240"/>
      <c r="FFF240"/>
      <c r="FFG240"/>
      <c r="FFH240"/>
      <c r="FFI240"/>
      <c r="FFJ240"/>
      <c r="FFK240"/>
      <c r="FFL240"/>
      <c r="FFM240"/>
      <c r="FFN240"/>
      <c r="FFO240"/>
      <c r="FFP240"/>
      <c r="FFQ240"/>
      <c r="FFR240"/>
      <c r="FFS240"/>
      <c r="FFT240"/>
      <c r="FFU240"/>
      <c r="FFV240"/>
      <c r="FFW240"/>
      <c r="FFX240"/>
      <c r="FFY240"/>
      <c r="FFZ240"/>
      <c r="FGA240"/>
      <c r="FGB240"/>
      <c r="FGC240"/>
      <c r="FGD240"/>
      <c r="FGE240"/>
      <c r="FGF240"/>
      <c r="FGG240"/>
      <c r="FGH240"/>
      <c r="FGI240"/>
      <c r="FGJ240"/>
      <c r="FGK240"/>
      <c r="FGL240"/>
      <c r="FGM240"/>
      <c r="FGN240"/>
      <c r="FGO240"/>
      <c r="FGP240"/>
      <c r="FGQ240"/>
      <c r="FGR240"/>
      <c r="FGS240"/>
      <c r="FGT240"/>
      <c r="FGU240"/>
      <c r="FGV240"/>
      <c r="FGW240"/>
      <c r="FGX240"/>
      <c r="FGY240"/>
      <c r="FGZ240"/>
      <c r="FHA240"/>
      <c r="FHB240"/>
      <c r="FHC240"/>
      <c r="FHD240"/>
      <c r="FHE240"/>
      <c r="FHF240"/>
      <c r="FHG240"/>
      <c r="FHH240"/>
      <c r="FHI240"/>
      <c r="FHJ240"/>
      <c r="FHK240"/>
      <c r="FHL240"/>
      <c r="FHM240"/>
      <c r="FHN240"/>
      <c r="FHO240"/>
      <c r="FHP240"/>
      <c r="FHQ240"/>
      <c r="FHR240"/>
      <c r="FHS240"/>
      <c r="FHT240"/>
      <c r="FHU240"/>
      <c r="FHV240"/>
      <c r="FHW240"/>
      <c r="FHX240"/>
      <c r="FHY240"/>
      <c r="FHZ240"/>
      <c r="FIA240"/>
      <c r="FIB240"/>
      <c r="FIC240"/>
      <c r="FID240"/>
      <c r="FIE240"/>
      <c r="FIF240"/>
      <c r="FIG240"/>
      <c r="FIH240"/>
      <c r="FII240"/>
      <c r="FIJ240"/>
      <c r="FIK240"/>
      <c r="FIL240"/>
      <c r="FIM240"/>
      <c r="FIN240"/>
      <c r="FIO240"/>
      <c r="FIP240"/>
      <c r="FIQ240"/>
      <c r="FIR240"/>
      <c r="FIS240"/>
      <c r="FIT240"/>
      <c r="FIU240"/>
      <c r="FIV240"/>
      <c r="FIW240"/>
      <c r="FIX240"/>
      <c r="FIY240"/>
      <c r="FIZ240"/>
      <c r="FJA240"/>
      <c r="FJB240"/>
      <c r="FJC240"/>
      <c r="FJD240"/>
      <c r="FJE240"/>
      <c r="FJF240"/>
      <c r="FJG240"/>
      <c r="FJH240"/>
      <c r="FJI240"/>
      <c r="FJJ240"/>
      <c r="FJK240"/>
      <c r="FJL240"/>
      <c r="FJM240"/>
      <c r="FJN240"/>
      <c r="FJO240"/>
      <c r="FJP240"/>
      <c r="FJQ240"/>
      <c r="FJR240"/>
      <c r="FJS240"/>
      <c r="FJT240"/>
      <c r="FJU240"/>
      <c r="FJV240"/>
      <c r="FJW240"/>
      <c r="FJX240"/>
      <c r="FJY240"/>
      <c r="FJZ240"/>
      <c r="FKA240"/>
      <c r="FKB240"/>
      <c r="FKC240"/>
      <c r="FKD240"/>
      <c r="FKE240"/>
      <c r="FKF240"/>
      <c r="FKG240"/>
      <c r="FKH240"/>
      <c r="FKI240"/>
      <c r="FKJ240"/>
      <c r="FKK240"/>
      <c r="FKL240"/>
      <c r="FKM240"/>
      <c r="FKN240"/>
      <c r="FKO240"/>
      <c r="FKP240"/>
      <c r="FKQ240"/>
      <c r="FKR240"/>
      <c r="FKS240"/>
      <c r="FKT240"/>
      <c r="FKU240"/>
      <c r="FKV240"/>
      <c r="FKW240"/>
      <c r="FKX240"/>
      <c r="FKY240"/>
      <c r="FKZ240"/>
      <c r="FLA240"/>
      <c r="FLB240"/>
      <c r="FLC240"/>
      <c r="FLD240"/>
      <c r="FLE240"/>
      <c r="FLF240"/>
      <c r="FLG240"/>
      <c r="FLH240"/>
      <c r="FLI240"/>
      <c r="FLJ240"/>
      <c r="FLK240"/>
      <c r="FLL240"/>
      <c r="FLM240"/>
      <c r="FLN240"/>
      <c r="FLO240"/>
      <c r="FLP240"/>
      <c r="FLQ240"/>
      <c r="FLR240"/>
      <c r="FLS240"/>
      <c r="FLT240"/>
      <c r="FLU240"/>
      <c r="FLV240"/>
      <c r="FLW240"/>
      <c r="FLX240"/>
      <c r="FLY240"/>
      <c r="FLZ240"/>
      <c r="FMA240"/>
      <c r="FMB240"/>
      <c r="FMC240"/>
      <c r="FMD240"/>
      <c r="FME240"/>
      <c r="FMF240"/>
      <c r="FMG240"/>
      <c r="FMH240"/>
      <c r="FMI240"/>
      <c r="FMJ240"/>
      <c r="FMK240"/>
      <c r="FML240"/>
      <c r="FMM240"/>
      <c r="FMN240"/>
      <c r="FMO240"/>
      <c r="FMP240"/>
      <c r="FMQ240"/>
      <c r="FMR240"/>
      <c r="FMS240"/>
      <c r="FMT240"/>
      <c r="FMU240"/>
      <c r="FMV240"/>
      <c r="FMW240"/>
      <c r="FMX240"/>
      <c r="FMY240"/>
      <c r="FMZ240"/>
      <c r="FNA240"/>
      <c r="FNB240"/>
      <c r="FNC240"/>
      <c r="FND240"/>
      <c r="FNE240"/>
      <c r="FNF240"/>
      <c r="FNG240"/>
      <c r="FNH240"/>
      <c r="FNI240"/>
      <c r="FNJ240"/>
      <c r="FNK240"/>
      <c r="FNL240"/>
      <c r="FNM240"/>
      <c r="FNN240"/>
      <c r="FNO240"/>
      <c r="FNP240"/>
      <c r="FNQ240"/>
      <c r="FNR240"/>
      <c r="FNS240"/>
      <c r="FNT240"/>
      <c r="FNU240"/>
      <c r="FNV240"/>
      <c r="FNW240"/>
      <c r="FNX240"/>
      <c r="FNY240"/>
      <c r="FNZ240"/>
      <c r="FOA240"/>
      <c r="FOB240"/>
      <c r="FOC240"/>
      <c r="FOD240"/>
      <c r="FOE240"/>
      <c r="FOF240"/>
      <c r="FOG240"/>
      <c r="FOH240"/>
      <c r="FOI240"/>
      <c r="FOJ240"/>
      <c r="FOK240"/>
      <c r="FOL240"/>
      <c r="FOM240"/>
      <c r="FON240"/>
      <c r="FOO240"/>
      <c r="FOP240"/>
      <c r="FOQ240"/>
      <c r="FOR240"/>
      <c r="FOS240"/>
      <c r="FOT240"/>
      <c r="FOU240"/>
      <c r="FOV240"/>
      <c r="FOW240"/>
      <c r="FOX240"/>
      <c r="FOY240"/>
      <c r="FOZ240"/>
      <c r="FPA240"/>
      <c r="FPB240"/>
      <c r="FPC240"/>
      <c r="FPD240"/>
      <c r="FPE240"/>
      <c r="FPF240"/>
      <c r="FPG240"/>
      <c r="FPH240"/>
      <c r="FPI240"/>
      <c r="FPJ240"/>
      <c r="FPK240"/>
      <c r="FPL240"/>
      <c r="FPM240"/>
      <c r="FPN240"/>
      <c r="FPO240"/>
      <c r="FPP240"/>
      <c r="FPQ240"/>
      <c r="FPR240"/>
      <c r="FPS240"/>
      <c r="FPT240"/>
      <c r="FPU240"/>
      <c r="FPV240"/>
      <c r="FPW240"/>
      <c r="FPX240"/>
      <c r="FPY240"/>
      <c r="FPZ240"/>
      <c r="FQA240"/>
      <c r="FQB240"/>
      <c r="FQC240"/>
      <c r="FQD240"/>
      <c r="FQE240"/>
      <c r="FQF240"/>
      <c r="FQG240"/>
      <c r="FQH240"/>
      <c r="FQI240"/>
      <c r="FQJ240"/>
      <c r="FQK240"/>
      <c r="FQL240"/>
      <c r="FQM240"/>
      <c r="FQN240"/>
      <c r="FQO240"/>
      <c r="FQP240"/>
      <c r="FQQ240"/>
      <c r="FQR240"/>
      <c r="FQS240"/>
      <c r="FQT240"/>
      <c r="FQU240"/>
      <c r="FQV240"/>
      <c r="FQW240"/>
      <c r="FQX240"/>
      <c r="FQY240"/>
      <c r="FQZ240"/>
      <c r="FRA240"/>
      <c r="FRB240"/>
      <c r="FRC240"/>
      <c r="FRD240"/>
      <c r="FRE240"/>
      <c r="FRF240"/>
      <c r="FRG240"/>
      <c r="FRH240"/>
      <c r="FRI240"/>
      <c r="FRJ240"/>
      <c r="FRK240"/>
      <c r="FRL240"/>
      <c r="FRM240"/>
      <c r="FRN240"/>
      <c r="FRO240"/>
      <c r="FRP240"/>
      <c r="FRQ240"/>
      <c r="FRR240"/>
      <c r="FRS240"/>
      <c r="FRT240"/>
      <c r="FRU240"/>
      <c r="FRV240"/>
      <c r="FRW240"/>
      <c r="FRX240"/>
      <c r="FRY240"/>
      <c r="FRZ240"/>
      <c r="FSA240"/>
      <c r="FSB240"/>
      <c r="FSC240"/>
      <c r="FSD240"/>
      <c r="FSE240"/>
      <c r="FSF240"/>
      <c r="FSG240"/>
      <c r="FSH240"/>
      <c r="FSI240"/>
      <c r="FSJ240"/>
      <c r="FSK240"/>
      <c r="FSL240"/>
      <c r="FSM240"/>
      <c r="FSN240"/>
      <c r="FSO240"/>
      <c r="FSP240"/>
      <c r="FSQ240"/>
      <c r="FSR240"/>
      <c r="FSS240"/>
      <c r="FST240"/>
      <c r="FSU240"/>
      <c r="FSV240"/>
      <c r="FSW240"/>
      <c r="FSX240"/>
      <c r="FSY240"/>
      <c r="FSZ240"/>
      <c r="FTA240"/>
      <c r="FTB240"/>
      <c r="FTC240"/>
      <c r="FTD240"/>
      <c r="FTE240"/>
      <c r="FTF240"/>
      <c r="FTG240"/>
      <c r="FTH240"/>
      <c r="FTI240"/>
      <c r="FTJ240"/>
      <c r="FTK240"/>
      <c r="FTL240"/>
      <c r="FTM240"/>
      <c r="FTN240"/>
      <c r="FTO240"/>
      <c r="FTP240"/>
      <c r="FTQ240"/>
      <c r="FTR240"/>
      <c r="FTS240"/>
      <c r="FTT240"/>
      <c r="FTU240"/>
      <c r="FTV240"/>
      <c r="FTW240"/>
      <c r="FTX240"/>
      <c r="FTY240"/>
      <c r="FTZ240"/>
      <c r="FUA240"/>
      <c r="FUB240"/>
      <c r="FUC240"/>
      <c r="FUD240"/>
      <c r="FUE240"/>
      <c r="FUF240"/>
      <c r="FUG240"/>
      <c r="FUH240"/>
      <c r="FUI240"/>
      <c r="FUJ240"/>
      <c r="FUK240"/>
      <c r="FUL240"/>
      <c r="FUM240"/>
      <c r="FUN240"/>
      <c r="FUO240"/>
      <c r="FUP240"/>
      <c r="FUQ240"/>
      <c r="FUR240"/>
      <c r="FUS240"/>
      <c r="FUT240"/>
      <c r="FUU240"/>
      <c r="FUV240"/>
      <c r="FUW240"/>
      <c r="FUX240"/>
      <c r="FUY240"/>
      <c r="FUZ240"/>
      <c r="FVA240"/>
      <c r="FVB240"/>
      <c r="FVC240"/>
      <c r="FVD240"/>
      <c r="FVE240"/>
      <c r="FVF240"/>
      <c r="FVG240"/>
      <c r="FVH240"/>
      <c r="FVI240"/>
      <c r="FVJ240"/>
      <c r="FVK240"/>
      <c r="FVL240"/>
      <c r="FVM240"/>
      <c r="FVN240"/>
      <c r="FVO240"/>
      <c r="FVP240"/>
      <c r="FVQ240"/>
      <c r="FVR240"/>
      <c r="FVS240"/>
      <c r="FVT240"/>
      <c r="FVU240"/>
      <c r="FVV240"/>
      <c r="FVW240"/>
      <c r="FVX240"/>
      <c r="FVY240"/>
      <c r="FVZ240"/>
      <c r="FWA240"/>
      <c r="FWB240"/>
      <c r="FWC240"/>
      <c r="FWD240"/>
      <c r="FWE240"/>
      <c r="FWF240"/>
      <c r="FWG240"/>
      <c r="FWH240"/>
      <c r="FWI240"/>
      <c r="FWJ240"/>
      <c r="FWK240"/>
      <c r="FWL240"/>
      <c r="FWM240"/>
      <c r="FWN240"/>
      <c r="FWO240"/>
      <c r="FWP240"/>
      <c r="FWQ240"/>
      <c r="FWR240"/>
      <c r="FWS240"/>
      <c r="FWT240"/>
      <c r="FWU240"/>
      <c r="FWV240"/>
      <c r="FWW240"/>
      <c r="FWX240"/>
      <c r="FWY240"/>
      <c r="FWZ240"/>
      <c r="FXA240"/>
      <c r="FXB240"/>
      <c r="FXC240"/>
      <c r="FXD240"/>
      <c r="FXE240"/>
      <c r="FXF240"/>
      <c r="FXG240"/>
      <c r="FXH240"/>
      <c r="FXI240"/>
      <c r="FXJ240"/>
      <c r="FXK240"/>
      <c r="FXL240"/>
      <c r="FXM240"/>
      <c r="FXN240"/>
      <c r="FXO240"/>
      <c r="FXP240"/>
      <c r="FXQ240"/>
      <c r="FXR240"/>
      <c r="FXS240"/>
      <c r="FXT240"/>
      <c r="FXU240"/>
      <c r="FXV240"/>
      <c r="FXW240"/>
      <c r="FXX240"/>
      <c r="FXY240"/>
      <c r="FXZ240"/>
      <c r="FYA240"/>
      <c r="FYB240"/>
      <c r="FYC240"/>
      <c r="FYD240"/>
      <c r="FYE240"/>
      <c r="FYF240"/>
      <c r="FYG240"/>
      <c r="FYH240"/>
      <c r="FYI240"/>
      <c r="FYJ240"/>
      <c r="FYK240"/>
      <c r="FYL240"/>
      <c r="FYM240"/>
      <c r="FYN240"/>
      <c r="FYO240"/>
      <c r="FYP240"/>
      <c r="FYQ240"/>
      <c r="FYR240"/>
      <c r="FYS240"/>
      <c r="FYT240"/>
      <c r="FYU240"/>
      <c r="FYV240"/>
      <c r="FYW240"/>
      <c r="FYX240"/>
      <c r="FYY240"/>
      <c r="FYZ240"/>
      <c r="FZA240"/>
      <c r="FZB240"/>
      <c r="FZC240"/>
      <c r="FZD240"/>
      <c r="FZE240"/>
      <c r="FZF240"/>
      <c r="FZG240"/>
      <c r="FZH240"/>
      <c r="FZI240"/>
      <c r="FZJ240"/>
      <c r="FZK240"/>
      <c r="FZL240"/>
      <c r="FZM240"/>
      <c r="FZN240"/>
      <c r="FZO240"/>
      <c r="FZP240"/>
      <c r="FZQ240"/>
      <c r="FZR240"/>
      <c r="FZS240"/>
      <c r="FZT240"/>
      <c r="FZU240"/>
      <c r="FZV240"/>
      <c r="FZW240"/>
      <c r="FZX240"/>
      <c r="FZY240"/>
      <c r="FZZ240"/>
      <c r="GAA240"/>
      <c r="GAB240"/>
      <c r="GAC240"/>
      <c r="GAD240"/>
      <c r="GAE240"/>
      <c r="GAF240"/>
      <c r="GAG240"/>
      <c r="GAH240"/>
      <c r="GAI240"/>
      <c r="GAJ240"/>
      <c r="GAK240"/>
      <c r="GAL240"/>
      <c r="GAM240"/>
      <c r="GAN240"/>
      <c r="GAO240"/>
      <c r="GAP240"/>
      <c r="GAQ240"/>
      <c r="GAR240"/>
      <c r="GAS240"/>
      <c r="GAT240"/>
      <c r="GAU240"/>
      <c r="GAV240"/>
      <c r="GAW240"/>
      <c r="GAX240"/>
      <c r="GAY240"/>
      <c r="GAZ240"/>
      <c r="GBA240"/>
      <c r="GBB240"/>
      <c r="GBC240"/>
      <c r="GBD240"/>
      <c r="GBE240"/>
      <c r="GBF240"/>
      <c r="GBG240"/>
      <c r="GBH240"/>
      <c r="GBI240"/>
      <c r="GBJ240"/>
      <c r="GBK240"/>
      <c r="GBL240"/>
      <c r="GBM240"/>
      <c r="GBN240"/>
      <c r="GBO240"/>
      <c r="GBP240"/>
      <c r="GBQ240"/>
      <c r="GBR240"/>
      <c r="GBS240"/>
      <c r="GBT240"/>
      <c r="GBU240"/>
      <c r="GBV240"/>
      <c r="GBW240"/>
      <c r="GBX240"/>
      <c r="GBY240"/>
      <c r="GBZ240"/>
      <c r="GCA240"/>
      <c r="GCB240"/>
      <c r="GCC240"/>
      <c r="GCD240"/>
      <c r="GCE240"/>
      <c r="GCF240"/>
      <c r="GCG240"/>
      <c r="GCH240"/>
      <c r="GCI240"/>
      <c r="GCJ240"/>
      <c r="GCK240"/>
      <c r="GCL240"/>
      <c r="GCM240"/>
      <c r="GCN240"/>
      <c r="GCO240"/>
      <c r="GCP240"/>
      <c r="GCQ240"/>
      <c r="GCR240"/>
      <c r="GCS240"/>
      <c r="GCT240"/>
      <c r="GCU240"/>
      <c r="GCV240"/>
      <c r="GCW240"/>
      <c r="GCX240"/>
      <c r="GCY240"/>
      <c r="GCZ240"/>
      <c r="GDA240"/>
      <c r="GDB240"/>
      <c r="GDC240"/>
      <c r="GDD240"/>
      <c r="GDE240"/>
      <c r="GDF240"/>
      <c r="GDG240"/>
      <c r="GDH240"/>
      <c r="GDI240"/>
      <c r="GDJ240"/>
      <c r="GDK240"/>
      <c r="GDL240"/>
      <c r="GDM240"/>
      <c r="GDN240"/>
      <c r="GDO240"/>
      <c r="GDP240"/>
      <c r="GDQ240"/>
      <c r="GDR240"/>
      <c r="GDS240"/>
      <c r="GDT240"/>
      <c r="GDU240"/>
      <c r="GDV240"/>
      <c r="GDW240"/>
      <c r="GDX240"/>
      <c r="GDY240"/>
      <c r="GDZ240"/>
      <c r="GEA240"/>
      <c r="GEB240"/>
      <c r="GEC240"/>
      <c r="GED240"/>
      <c r="GEE240"/>
      <c r="GEF240"/>
      <c r="GEG240"/>
      <c r="GEH240"/>
      <c r="GEI240"/>
      <c r="GEJ240"/>
      <c r="GEK240"/>
      <c r="GEL240"/>
      <c r="GEM240"/>
      <c r="GEN240"/>
      <c r="GEO240"/>
      <c r="GEP240"/>
      <c r="GEQ240"/>
      <c r="GER240"/>
      <c r="GES240"/>
      <c r="GET240"/>
      <c r="GEU240"/>
      <c r="GEV240"/>
      <c r="GEW240"/>
      <c r="GEX240"/>
      <c r="GEY240"/>
      <c r="GEZ240"/>
      <c r="GFA240"/>
      <c r="GFB240"/>
      <c r="GFC240"/>
      <c r="GFD240"/>
      <c r="GFE240"/>
      <c r="GFF240"/>
      <c r="GFG240"/>
      <c r="GFH240"/>
      <c r="GFI240"/>
      <c r="GFJ240"/>
      <c r="GFK240"/>
      <c r="GFL240"/>
      <c r="GFM240"/>
      <c r="GFN240"/>
      <c r="GFO240"/>
      <c r="GFP240"/>
      <c r="GFQ240"/>
      <c r="GFR240"/>
      <c r="GFS240"/>
      <c r="GFT240"/>
      <c r="GFU240"/>
      <c r="GFV240"/>
      <c r="GFW240"/>
      <c r="GFX240"/>
      <c r="GFY240"/>
      <c r="GFZ240"/>
      <c r="GGA240"/>
      <c r="GGB240"/>
      <c r="GGC240"/>
      <c r="GGD240"/>
      <c r="GGE240"/>
      <c r="GGF240"/>
      <c r="GGG240"/>
      <c r="GGH240"/>
      <c r="GGI240"/>
      <c r="GGJ240"/>
      <c r="GGK240"/>
      <c r="GGL240"/>
      <c r="GGM240"/>
      <c r="GGN240"/>
      <c r="GGO240"/>
      <c r="GGP240"/>
      <c r="GGQ240"/>
      <c r="GGR240"/>
      <c r="GGS240"/>
      <c r="GGT240"/>
      <c r="GGU240"/>
      <c r="GGV240"/>
      <c r="GGW240"/>
      <c r="GGX240"/>
      <c r="GGY240"/>
      <c r="GGZ240"/>
      <c r="GHA240"/>
      <c r="GHB240"/>
      <c r="GHC240"/>
      <c r="GHD240"/>
      <c r="GHE240"/>
      <c r="GHF240"/>
      <c r="GHG240"/>
      <c r="GHH240"/>
      <c r="GHI240"/>
      <c r="GHJ240"/>
      <c r="GHK240"/>
      <c r="GHL240"/>
      <c r="GHM240"/>
      <c r="GHN240"/>
      <c r="GHO240"/>
      <c r="GHP240"/>
      <c r="GHQ240"/>
      <c r="GHR240"/>
      <c r="GHS240"/>
      <c r="GHT240"/>
      <c r="GHU240"/>
      <c r="GHV240"/>
      <c r="GHW240"/>
      <c r="GHX240"/>
      <c r="GHY240"/>
      <c r="GHZ240"/>
      <c r="GIA240"/>
      <c r="GIB240"/>
      <c r="GIC240"/>
      <c r="GID240"/>
      <c r="GIE240"/>
      <c r="GIF240"/>
      <c r="GIG240"/>
      <c r="GIH240"/>
      <c r="GII240"/>
      <c r="GIJ240"/>
      <c r="GIK240"/>
      <c r="GIL240"/>
      <c r="GIM240"/>
      <c r="GIN240"/>
      <c r="GIO240"/>
      <c r="GIP240"/>
      <c r="GIQ240"/>
      <c r="GIR240"/>
      <c r="GIS240"/>
      <c r="GIT240"/>
      <c r="GIU240"/>
      <c r="GIV240"/>
      <c r="GIW240"/>
      <c r="GIX240"/>
      <c r="GIY240"/>
      <c r="GIZ240"/>
      <c r="GJA240"/>
      <c r="GJB240"/>
      <c r="GJC240"/>
      <c r="GJD240"/>
      <c r="GJE240"/>
      <c r="GJF240"/>
      <c r="GJG240"/>
      <c r="GJH240"/>
      <c r="GJI240"/>
      <c r="GJJ240"/>
      <c r="GJK240"/>
      <c r="GJL240"/>
      <c r="GJM240"/>
      <c r="GJN240"/>
      <c r="GJO240"/>
      <c r="GJP240"/>
      <c r="GJQ240"/>
      <c r="GJR240"/>
      <c r="GJS240"/>
      <c r="GJT240"/>
      <c r="GJU240"/>
      <c r="GJV240"/>
      <c r="GJW240"/>
      <c r="GJX240"/>
      <c r="GJY240"/>
      <c r="GJZ240"/>
      <c r="GKA240"/>
      <c r="GKB240"/>
      <c r="GKC240"/>
      <c r="GKD240"/>
      <c r="GKE240"/>
      <c r="GKF240"/>
      <c r="GKG240"/>
      <c r="GKH240"/>
      <c r="GKI240"/>
      <c r="GKJ240"/>
      <c r="GKK240"/>
      <c r="GKL240"/>
      <c r="GKM240"/>
      <c r="GKN240"/>
      <c r="GKO240"/>
      <c r="GKP240"/>
      <c r="GKQ240"/>
      <c r="GKR240"/>
      <c r="GKS240"/>
      <c r="GKT240"/>
      <c r="GKU240"/>
      <c r="GKV240"/>
      <c r="GKW240"/>
      <c r="GKX240"/>
      <c r="GKY240"/>
      <c r="GKZ240"/>
      <c r="GLA240"/>
      <c r="GLB240"/>
      <c r="GLC240"/>
      <c r="GLD240"/>
      <c r="GLE240"/>
      <c r="GLF240"/>
      <c r="GLG240"/>
      <c r="GLH240"/>
      <c r="GLI240"/>
      <c r="GLJ240"/>
      <c r="GLK240"/>
      <c r="GLL240"/>
      <c r="GLM240"/>
      <c r="GLN240"/>
      <c r="GLO240"/>
      <c r="GLP240"/>
      <c r="GLQ240"/>
      <c r="GLR240"/>
      <c r="GLS240"/>
      <c r="GLT240"/>
      <c r="GLU240"/>
      <c r="GLV240"/>
      <c r="GLW240"/>
      <c r="GLX240"/>
      <c r="GLY240"/>
      <c r="GLZ240"/>
      <c r="GMA240"/>
      <c r="GMB240"/>
      <c r="GMC240"/>
      <c r="GMD240"/>
      <c r="GME240"/>
      <c r="GMF240"/>
      <c r="GMG240"/>
      <c r="GMH240"/>
      <c r="GMI240"/>
      <c r="GMJ240"/>
      <c r="GMK240"/>
      <c r="GML240"/>
      <c r="GMM240"/>
      <c r="GMN240"/>
      <c r="GMO240"/>
      <c r="GMP240"/>
      <c r="GMQ240"/>
      <c r="GMR240"/>
      <c r="GMS240"/>
      <c r="GMT240"/>
      <c r="GMU240"/>
      <c r="GMV240"/>
      <c r="GMW240"/>
      <c r="GMX240"/>
      <c r="GMY240"/>
      <c r="GMZ240"/>
      <c r="GNA240"/>
      <c r="GNB240"/>
      <c r="GNC240"/>
      <c r="GND240"/>
      <c r="GNE240"/>
      <c r="GNF240"/>
      <c r="GNG240"/>
      <c r="GNH240"/>
      <c r="GNI240"/>
      <c r="GNJ240"/>
      <c r="GNK240"/>
      <c r="GNL240"/>
      <c r="GNM240"/>
      <c r="GNN240"/>
      <c r="GNO240"/>
      <c r="GNP240"/>
      <c r="GNQ240"/>
      <c r="GNR240"/>
      <c r="GNS240"/>
      <c r="GNT240"/>
      <c r="GNU240"/>
      <c r="GNV240"/>
      <c r="GNW240"/>
      <c r="GNX240"/>
      <c r="GNY240"/>
      <c r="GNZ240"/>
      <c r="GOA240"/>
      <c r="GOB240"/>
      <c r="GOC240"/>
      <c r="GOD240"/>
      <c r="GOE240"/>
      <c r="GOF240"/>
      <c r="GOG240"/>
      <c r="GOH240"/>
      <c r="GOI240"/>
      <c r="GOJ240"/>
      <c r="GOK240"/>
      <c r="GOL240"/>
      <c r="GOM240"/>
      <c r="GON240"/>
      <c r="GOO240"/>
      <c r="GOP240"/>
      <c r="GOQ240"/>
      <c r="GOR240"/>
      <c r="GOS240"/>
      <c r="GOT240"/>
      <c r="GOU240"/>
      <c r="GOV240"/>
      <c r="GOW240"/>
      <c r="GOX240"/>
      <c r="GOY240"/>
      <c r="GOZ240"/>
      <c r="GPA240"/>
      <c r="GPB240"/>
      <c r="GPC240"/>
      <c r="GPD240"/>
      <c r="GPE240"/>
      <c r="GPF240"/>
      <c r="GPG240"/>
      <c r="GPH240"/>
      <c r="GPI240"/>
      <c r="GPJ240"/>
      <c r="GPK240"/>
      <c r="GPL240"/>
      <c r="GPM240"/>
      <c r="GPN240"/>
      <c r="GPO240"/>
      <c r="GPP240"/>
      <c r="GPQ240"/>
      <c r="GPR240"/>
      <c r="GPS240"/>
      <c r="GPT240"/>
      <c r="GPU240"/>
      <c r="GPV240"/>
      <c r="GPW240"/>
      <c r="GPX240"/>
      <c r="GPY240"/>
      <c r="GPZ240"/>
      <c r="GQA240"/>
      <c r="GQB240"/>
      <c r="GQC240"/>
      <c r="GQD240"/>
      <c r="GQE240"/>
      <c r="GQF240"/>
      <c r="GQG240"/>
      <c r="GQH240"/>
      <c r="GQI240"/>
      <c r="GQJ240"/>
      <c r="GQK240"/>
      <c r="GQL240"/>
      <c r="GQM240"/>
      <c r="GQN240"/>
      <c r="GQO240"/>
      <c r="GQP240"/>
      <c r="GQQ240"/>
      <c r="GQR240"/>
      <c r="GQS240"/>
      <c r="GQT240"/>
      <c r="GQU240"/>
      <c r="GQV240"/>
      <c r="GQW240"/>
      <c r="GQX240"/>
      <c r="GQY240"/>
      <c r="GQZ240"/>
      <c r="GRA240"/>
      <c r="GRB240"/>
      <c r="GRC240"/>
      <c r="GRD240"/>
      <c r="GRE240"/>
      <c r="GRF240"/>
      <c r="GRG240"/>
      <c r="GRH240"/>
      <c r="GRI240"/>
      <c r="GRJ240"/>
      <c r="GRK240"/>
      <c r="GRL240"/>
      <c r="GRM240"/>
      <c r="GRN240"/>
      <c r="GRO240"/>
      <c r="GRP240"/>
      <c r="GRQ240"/>
      <c r="GRR240"/>
      <c r="GRS240"/>
      <c r="GRT240"/>
      <c r="GRU240"/>
      <c r="GRV240"/>
      <c r="GRW240"/>
      <c r="GRX240"/>
      <c r="GRY240"/>
      <c r="GRZ240"/>
      <c r="GSA240"/>
      <c r="GSB240"/>
      <c r="GSC240"/>
      <c r="GSD240"/>
      <c r="GSE240"/>
      <c r="GSF240"/>
      <c r="GSG240"/>
      <c r="GSH240"/>
      <c r="GSI240"/>
      <c r="GSJ240"/>
      <c r="GSK240"/>
      <c r="GSL240"/>
      <c r="GSM240"/>
      <c r="GSN240"/>
      <c r="GSO240"/>
      <c r="GSP240"/>
      <c r="GSQ240"/>
      <c r="GSR240"/>
      <c r="GSS240"/>
      <c r="GST240"/>
      <c r="GSU240"/>
      <c r="GSV240"/>
      <c r="GSW240"/>
      <c r="GSX240"/>
      <c r="GSY240"/>
      <c r="GSZ240"/>
      <c r="GTA240"/>
      <c r="GTB240"/>
      <c r="GTC240"/>
      <c r="GTD240"/>
      <c r="GTE240"/>
      <c r="GTF240"/>
      <c r="GTG240"/>
      <c r="GTH240"/>
      <c r="GTI240"/>
      <c r="GTJ240"/>
      <c r="GTK240"/>
      <c r="GTL240"/>
      <c r="GTM240"/>
      <c r="GTN240"/>
      <c r="GTO240"/>
      <c r="GTP240"/>
      <c r="GTQ240"/>
      <c r="GTR240"/>
      <c r="GTS240"/>
      <c r="GTT240"/>
      <c r="GTU240"/>
      <c r="GTV240"/>
      <c r="GTW240"/>
      <c r="GTX240"/>
      <c r="GTY240"/>
      <c r="GTZ240"/>
      <c r="GUA240"/>
      <c r="GUB240"/>
      <c r="GUC240"/>
      <c r="GUD240"/>
      <c r="GUE240"/>
      <c r="GUF240"/>
      <c r="GUG240"/>
      <c r="GUH240"/>
      <c r="GUI240"/>
      <c r="GUJ240"/>
      <c r="GUK240"/>
      <c r="GUL240"/>
      <c r="GUM240"/>
      <c r="GUN240"/>
      <c r="GUO240"/>
      <c r="GUP240"/>
      <c r="GUQ240"/>
      <c r="GUR240"/>
      <c r="GUS240"/>
      <c r="GUT240"/>
      <c r="GUU240"/>
      <c r="GUV240"/>
      <c r="GUW240"/>
      <c r="GUX240"/>
      <c r="GUY240"/>
      <c r="GUZ240"/>
      <c r="GVA240"/>
      <c r="GVB240"/>
      <c r="GVC240"/>
      <c r="GVD240"/>
      <c r="GVE240"/>
      <c r="GVF240"/>
      <c r="GVG240"/>
      <c r="GVH240"/>
      <c r="GVI240"/>
      <c r="GVJ240"/>
      <c r="GVK240"/>
      <c r="GVL240"/>
      <c r="GVM240"/>
      <c r="GVN240"/>
      <c r="GVO240"/>
      <c r="GVP240"/>
      <c r="GVQ240"/>
      <c r="GVR240"/>
      <c r="GVS240"/>
      <c r="GVT240"/>
      <c r="GVU240"/>
      <c r="GVV240"/>
      <c r="GVW240"/>
      <c r="GVX240"/>
      <c r="GVY240"/>
      <c r="GVZ240"/>
      <c r="GWA240"/>
      <c r="GWB240"/>
      <c r="GWC240"/>
      <c r="GWD240"/>
      <c r="GWE240"/>
      <c r="GWF240"/>
      <c r="GWG240"/>
      <c r="GWH240"/>
      <c r="GWI240"/>
      <c r="GWJ240"/>
      <c r="GWK240"/>
      <c r="GWL240"/>
      <c r="GWM240"/>
      <c r="GWN240"/>
      <c r="GWO240"/>
      <c r="GWP240"/>
      <c r="GWQ240"/>
      <c r="GWR240"/>
      <c r="GWS240"/>
      <c r="GWT240"/>
      <c r="GWU240"/>
      <c r="GWV240"/>
      <c r="GWW240"/>
      <c r="GWX240"/>
      <c r="GWY240"/>
      <c r="GWZ240"/>
      <c r="GXA240"/>
      <c r="GXB240"/>
      <c r="GXC240"/>
      <c r="GXD240"/>
      <c r="GXE240"/>
      <c r="GXF240"/>
      <c r="GXG240"/>
      <c r="GXH240"/>
      <c r="GXI240"/>
      <c r="GXJ240"/>
      <c r="GXK240"/>
      <c r="GXL240"/>
      <c r="GXM240"/>
      <c r="GXN240"/>
      <c r="GXO240"/>
      <c r="GXP240"/>
      <c r="GXQ240"/>
      <c r="GXR240"/>
      <c r="GXS240"/>
      <c r="GXT240"/>
      <c r="GXU240"/>
      <c r="GXV240"/>
      <c r="GXW240"/>
      <c r="GXX240"/>
      <c r="GXY240"/>
      <c r="GXZ240"/>
      <c r="GYA240"/>
      <c r="GYB240"/>
      <c r="GYC240"/>
      <c r="GYD240"/>
      <c r="GYE240"/>
      <c r="GYF240"/>
      <c r="GYG240"/>
      <c r="GYH240"/>
      <c r="GYI240"/>
      <c r="GYJ240"/>
      <c r="GYK240"/>
      <c r="GYL240"/>
      <c r="GYM240"/>
      <c r="GYN240"/>
      <c r="GYO240"/>
      <c r="GYP240"/>
      <c r="GYQ240"/>
      <c r="GYR240"/>
      <c r="GYS240"/>
      <c r="GYT240"/>
      <c r="GYU240"/>
      <c r="GYV240"/>
      <c r="GYW240"/>
      <c r="GYX240"/>
      <c r="GYY240"/>
      <c r="GYZ240"/>
      <c r="GZA240"/>
      <c r="GZB240"/>
      <c r="GZC240"/>
      <c r="GZD240"/>
      <c r="GZE240"/>
      <c r="GZF240"/>
      <c r="GZG240"/>
      <c r="GZH240"/>
      <c r="GZI240"/>
      <c r="GZJ240"/>
      <c r="GZK240"/>
      <c r="GZL240"/>
      <c r="GZM240"/>
      <c r="GZN240"/>
      <c r="GZO240"/>
      <c r="GZP240"/>
      <c r="GZQ240"/>
      <c r="GZR240"/>
      <c r="GZS240"/>
      <c r="GZT240"/>
      <c r="GZU240"/>
      <c r="GZV240"/>
      <c r="GZW240"/>
      <c r="GZX240"/>
      <c r="GZY240"/>
      <c r="GZZ240"/>
      <c r="HAA240"/>
      <c r="HAB240"/>
      <c r="HAC240"/>
      <c r="HAD240"/>
      <c r="HAE240"/>
      <c r="HAF240"/>
      <c r="HAG240"/>
      <c r="HAH240"/>
      <c r="HAI240"/>
      <c r="HAJ240"/>
      <c r="HAK240"/>
      <c r="HAL240"/>
      <c r="HAM240"/>
      <c r="HAN240"/>
      <c r="HAO240"/>
      <c r="HAP240"/>
      <c r="HAQ240"/>
      <c r="HAR240"/>
      <c r="HAS240"/>
      <c r="HAT240"/>
      <c r="HAU240"/>
      <c r="HAV240"/>
      <c r="HAW240"/>
      <c r="HAX240"/>
      <c r="HAY240"/>
      <c r="HAZ240"/>
      <c r="HBA240"/>
      <c r="HBB240"/>
      <c r="HBC240"/>
      <c r="HBD240"/>
      <c r="HBE240"/>
      <c r="HBF240"/>
      <c r="HBG240"/>
      <c r="HBH240"/>
      <c r="HBI240"/>
      <c r="HBJ240"/>
      <c r="HBK240"/>
      <c r="HBL240"/>
      <c r="HBM240"/>
      <c r="HBN240"/>
      <c r="HBO240"/>
      <c r="HBP240"/>
      <c r="HBQ240"/>
      <c r="HBR240"/>
      <c r="HBS240"/>
      <c r="HBT240"/>
      <c r="HBU240"/>
      <c r="HBV240"/>
      <c r="HBW240"/>
      <c r="HBX240"/>
      <c r="HBY240"/>
      <c r="HBZ240"/>
      <c r="HCA240"/>
      <c r="HCB240"/>
      <c r="HCC240"/>
      <c r="HCD240"/>
      <c r="HCE240"/>
      <c r="HCF240"/>
      <c r="HCG240"/>
      <c r="HCH240"/>
      <c r="HCI240"/>
      <c r="HCJ240"/>
      <c r="HCK240"/>
      <c r="HCL240"/>
      <c r="HCM240"/>
      <c r="HCN240"/>
      <c r="HCO240"/>
      <c r="HCP240"/>
      <c r="HCQ240"/>
      <c r="HCR240"/>
      <c r="HCS240"/>
      <c r="HCT240"/>
      <c r="HCU240"/>
      <c r="HCV240"/>
      <c r="HCW240"/>
      <c r="HCX240"/>
      <c r="HCY240"/>
      <c r="HCZ240"/>
      <c r="HDA240"/>
      <c r="HDB240"/>
      <c r="HDC240"/>
      <c r="HDD240"/>
      <c r="HDE240"/>
      <c r="HDF240"/>
      <c r="HDG240"/>
      <c r="HDH240"/>
      <c r="HDI240"/>
      <c r="HDJ240"/>
      <c r="HDK240"/>
      <c r="HDL240"/>
      <c r="HDM240"/>
      <c r="HDN240"/>
      <c r="HDO240"/>
      <c r="HDP240"/>
      <c r="HDQ240"/>
      <c r="HDR240"/>
      <c r="HDS240"/>
      <c r="HDT240"/>
      <c r="HDU240"/>
      <c r="HDV240"/>
      <c r="HDW240"/>
      <c r="HDX240"/>
      <c r="HDY240"/>
      <c r="HDZ240"/>
      <c r="HEA240"/>
      <c r="HEB240"/>
      <c r="HEC240"/>
      <c r="HED240"/>
      <c r="HEE240"/>
      <c r="HEF240"/>
      <c r="HEG240"/>
      <c r="HEH240"/>
      <c r="HEI240"/>
      <c r="HEJ240"/>
      <c r="HEK240"/>
      <c r="HEL240"/>
      <c r="HEM240"/>
      <c r="HEN240"/>
      <c r="HEO240"/>
      <c r="HEP240"/>
      <c r="HEQ240"/>
      <c r="HER240"/>
      <c r="HES240"/>
      <c r="HET240"/>
      <c r="HEU240"/>
      <c r="HEV240"/>
      <c r="HEW240"/>
      <c r="HEX240"/>
      <c r="HEY240"/>
      <c r="HEZ240"/>
      <c r="HFA240"/>
      <c r="HFB240"/>
      <c r="HFC240"/>
      <c r="HFD240"/>
      <c r="HFE240"/>
      <c r="HFF240"/>
      <c r="HFG240"/>
      <c r="HFH240"/>
      <c r="HFI240"/>
      <c r="HFJ240"/>
      <c r="HFK240"/>
      <c r="HFL240"/>
      <c r="HFM240"/>
      <c r="HFN240"/>
      <c r="HFO240"/>
      <c r="HFP240"/>
      <c r="HFQ240"/>
      <c r="HFR240"/>
      <c r="HFS240"/>
      <c r="HFT240"/>
      <c r="HFU240"/>
      <c r="HFV240"/>
      <c r="HFW240"/>
      <c r="HFX240"/>
      <c r="HFY240"/>
      <c r="HFZ240"/>
      <c r="HGA240"/>
      <c r="HGB240"/>
      <c r="HGC240"/>
      <c r="HGD240"/>
      <c r="HGE240"/>
      <c r="HGF240"/>
      <c r="HGG240"/>
      <c r="HGH240"/>
      <c r="HGI240"/>
      <c r="HGJ240"/>
      <c r="HGK240"/>
      <c r="HGL240"/>
      <c r="HGM240"/>
      <c r="HGN240"/>
      <c r="HGO240"/>
      <c r="HGP240"/>
      <c r="HGQ240"/>
      <c r="HGR240"/>
      <c r="HGS240"/>
      <c r="HGT240"/>
      <c r="HGU240"/>
      <c r="HGV240"/>
      <c r="HGW240"/>
      <c r="HGX240"/>
      <c r="HGY240"/>
      <c r="HGZ240"/>
      <c r="HHA240"/>
      <c r="HHB240"/>
      <c r="HHC240"/>
      <c r="HHD240"/>
      <c r="HHE240"/>
      <c r="HHF240"/>
      <c r="HHG240"/>
      <c r="HHH240"/>
      <c r="HHI240"/>
      <c r="HHJ240"/>
      <c r="HHK240"/>
      <c r="HHL240"/>
      <c r="HHM240"/>
      <c r="HHN240"/>
      <c r="HHO240"/>
      <c r="HHP240"/>
      <c r="HHQ240"/>
      <c r="HHR240"/>
      <c r="HHS240"/>
      <c r="HHT240"/>
      <c r="HHU240"/>
      <c r="HHV240"/>
      <c r="HHW240"/>
      <c r="HHX240"/>
      <c r="HHY240"/>
      <c r="HHZ240"/>
      <c r="HIA240"/>
      <c r="HIB240"/>
      <c r="HIC240"/>
      <c r="HID240"/>
      <c r="HIE240"/>
      <c r="HIF240"/>
      <c r="HIG240"/>
      <c r="HIH240"/>
      <c r="HII240"/>
      <c r="HIJ240"/>
      <c r="HIK240"/>
      <c r="HIL240"/>
      <c r="HIM240"/>
      <c r="HIN240"/>
      <c r="HIO240"/>
      <c r="HIP240"/>
      <c r="HIQ240"/>
      <c r="HIR240"/>
      <c r="HIS240"/>
      <c r="HIT240"/>
      <c r="HIU240"/>
      <c r="HIV240"/>
      <c r="HIW240"/>
      <c r="HIX240"/>
      <c r="HIY240"/>
      <c r="HIZ240"/>
      <c r="HJA240"/>
      <c r="HJB240"/>
      <c r="HJC240"/>
      <c r="HJD240"/>
      <c r="HJE240"/>
      <c r="HJF240"/>
      <c r="HJG240"/>
      <c r="HJH240"/>
      <c r="HJI240"/>
      <c r="HJJ240"/>
      <c r="HJK240"/>
      <c r="HJL240"/>
      <c r="HJM240"/>
      <c r="HJN240"/>
      <c r="HJO240"/>
      <c r="HJP240"/>
      <c r="HJQ240"/>
      <c r="HJR240"/>
      <c r="HJS240"/>
      <c r="HJT240"/>
      <c r="HJU240"/>
      <c r="HJV240"/>
      <c r="HJW240"/>
      <c r="HJX240"/>
      <c r="HJY240"/>
      <c r="HJZ240"/>
      <c r="HKA240"/>
      <c r="HKB240"/>
      <c r="HKC240"/>
      <c r="HKD240"/>
      <c r="HKE240"/>
      <c r="HKF240"/>
      <c r="HKG240"/>
      <c r="HKH240"/>
      <c r="HKI240"/>
      <c r="HKJ240"/>
      <c r="HKK240"/>
      <c r="HKL240"/>
      <c r="HKM240"/>
      <c r="HKN240"/>
      <c r="HKO240"/>
      <c r="HKP240"/>
      <c r="HKQ240"/>
      <c r="HKR240"/>
      <c r="HKS240"/>
      <c r="HKT240"/>
      <c r="HKU240"/>
      <c r="HKV240"/>
      <c r="HKW240"/>
      <c r="HKX240"/>
      <c r="HKY240"/>
      <c r="HKZ240"/>
      <c r="HLA240"/>
      <c r="HLB240"/>
      <c r="HLC240"/>
      <c r="HLD240"/>
      <c r="HLE240"/>
      <c r="HLF240"/>
      <c r="HLG240"/>
      <c r="HLH240"/>
      <c r="HLI240"/>
      <c r="HLJ240"/>
      <c r="HLK240"/>
      <c r="HLL240"/>
      <c r="HLM240"/>
      <c r="HLN240"/>
      <c r="HLO240"/>
      <c r="HLP240"/>
      <c r="HLQ240"/>
      <c r="HLR240"/>
      <c r="HLS240"/>
      <c r="HLT240"/>
      <c r="HLU240"/>
      <c r="HLV240"/>
      <c r="HLW240"/>
      <c r="HLX240"/>
      <c r="HLY240"/>
      <c r="HLZ240"/>
      <c r="HMA240"/>
      <c r="HMB240"/>
      <c r="HMC240"/>
      <c r="HMD240"/>
      <c r="HME240"/>
      <c r="HMF240"/>
      <c r="HMG240"/>
      <c r="HMH240"/>
      <c r="HMI240"/>
      <c r="HMJ240"/>
      <c r="HMK240"/>
      <c r="HML240"/>
      <c r="HMM240"/>
      <c r="HMN240"/>
      <c r="HMO240"/>
      <c r="HMP240"/>
      <c r="HMQ240"/>
      <c r="HMR240"/>
      <c r="HMS240"/>
      <c r="HMT240"/>
      <c r="HMU240"/>
      <c r="HMV240"/>
      <c r="HMW240"/>
      <c r="HMX240"/>
      <c r="HMY240"/>
      <c r="HMZ240"/>
      <c r="HNA240"/>
      <c r="HNB240"/>
      <c r="HNC240"/>
      <c r="HND240"/>
      <c r="HNE240"/>
      <c r="HNF240"/>
      <c r="HNG240"/>
      <c r="HNH240"/>
      <c r="HNI240"/>
      <c r="HNJ240"/>
      <c r="HNK240"/>
      <c r="HNL240"/>
      <c r="HNM240"/>
      <c r="HNN240"/>
      <c r="HNO240"/>
      <c r="HNP240"/>
      <c r="HNQ240"/>
      <c r="HNR240"/>
      <c r="HNS240"/>
      <c r="HNT240"/>
      <c r="HNU240"/>
      <c r="HNV240"/>
      <c r="HNW240"/>
      <c r="HNX240"/>
      <c r="HNY240"/>
      <c r="HNZ240"/>
      <c r="HOA240"/>
      <c r="HOB240"/>
      <c r="HOC240"/>
      <c r="HOD240"/>
      <c r="HOE240"/>
      <c r="HOF240"/>
      <c r="HOG240"/>
      <c r="HOH240"/>
      <c r="HOI240"/>
      <c r="HOJ240"/>
      <c r="HOK240"/>
      <c r="HOL240"/>
      <c r="HOM240"/>
      <c r="HON240"/>
      <c r="HOO240"/>
      <c r="HOP240"/>
      <c r="HOQ240"/>
      <c r="HOR240"/>
      <c r="HOS240"/>
      <c r="HOT240"/>
      <c r="HOU240"/>
      <c r="HOV240"/>
      <c r="HOW240"/>
      <c r="HOX240"/>
      <c r="HOY240"/>
      <c r="HOZ240"/>
      <c r="HPA240"/>
      <c r="HPB240"/>
      <c r="HPC240"/>
      <c r="HPD240"/>
      <c r="HPE240"/>
      <c r="HPF240"/>
      <c r="HPG240"/>
      <c r="HPH240"/>
      <c r="HPI240"/>
      <c r="HPJ240"/>
      <c r="HPK240"/>
      <c r="HPL240"/>
      <c r="HPM240"/>
      <c r="HPN240"/>
      <c r="HPO240"/>
      <c r="HPP240"/>
      <c r="HPQ240"/>
      <c r="HPR240"/>
      <c r="HPS240"/>
      <c r="HPT240"/>
      <c r="HPU240"/>
      <c r="HPV240"/>
      <c r="HPW240"/>
      <c r="HPX240"/>
      <c r="HPY240"/>
      <c r="HPZ240"/>
      <c r="HQA240"/>
      <c r="HQB240"/>
      <c r="HQC240"/>
      <c r="HQD240"/>
      <c r="HQE240"/>
      <c r="HQF240"/>
      <c r="HQG240"/>
      <c r="HQH240"/>
      <c r="HQI240"/>
      <c r="HQJ240"/>
      <c r="HQK240"/>
      <c r="HQL240"/>
      <c r="HQM240"/>
      <c r="HQN240"/>
      <c r="HQO240"/>
      <c r="HQP240"/>
      <c r="HQQ240"/>
      <c r="HQR240"/>
      <c r="HQS240"/>
      <c r="HQT240"/>
      <c r="HQU240"/>
      <c r="HQV240"/>
      <c r="HQW240"/>
      <c r="HQX240"/>
      <c r="HQY240"/>
      <c r="HQZ240"/>
      <c r="HRA240"/>
      <c r="HRB240"/>
      <c r="HRC240"/>
      <c r="HRD240"/>
      <c r="HRE240"/>
      <c r="HRF240"/>
      <c r="HRG240"/>
      <c r="HRH240"/>
      <c r="HRI240"/>
      <c r="HRJ240"/>
      <c r="HRK240"/>
      <c r="HRL240"/>
      <c r="HRM240"/>
      <c r="HRN240"/>
      <c r="HRO240"/>
      <c r="HRP240"/>
      <c r="HRQ240"/>
      <c r="HRR240"/>
      <c r="HRS240"/>
      <c r="HRT240"/>
      <c r="HRU240"/>
      <c r="HRV240"/>
      <c r="HRW240"/>
      <c r="HRX240"/>
      <c r="HRY240"/>
      <c r="HRZ240"/>
      <c r="HSA240"/>
      <c r="HSB240"/>
      <c r="HSC240"/>
      <c r="HSD240"/>
      <c r="HSE240"/>
      <c r="HSF240"/>
      <c r="HSG240"/>
      <c r="HSH240"/>
      <c r="HSI240"/>
      <c r="HSJ240"/>
      <c r="HSK240"/>
      <c r="HSL240"/>
      <c r="HSM240"/>
      <c r="HSN240"/>
      <c r="HSO240"/>
      <c r="HSP240"/>
      <c r="HSQ240"/>
      <c r="HSR240"/>
      <c r="HSS240"/>
      <c r="HST240"/>
      <c r="HSU240"/>
      <c r="HSV240"/>
      <c r="HSW240"/>
      <c r="HSX240"/>
      <c r="HSY240"/>
      <c r="HSZ240"/>
      <c r="HTA240"/>
      <c r="HTB240"/>
      <c r="HTC240"/>
      <c r="HTD240"/>
      <c r="HTE240"/>
      <c r="HTF240"/>
      <c r="HTG240"/>
      <c r="HTH240"/>
      <c r="HTI240"/>
      <c r="HTJ240"/>
      <c r="HTK240"/>
      <c r="HTL240"/>
      <c r="HTM240"/>
      <c r="HTN240"/>
      <c r="HTO240"/>
      <c r="HTP240"/>
      <c r="HTQ240"/>
      <c r="HTR240"/>
      <c r="HTS240"/>
      <c r="HTT240"/>
      <c r="HTU240"/>
      <c r="HTV240"/>
      <c r="HTW240"/>
      <c r="HTX240"/>
      <c r="HTY240"/>
      <c r="HTZ240"/>
      <c r="HUA240"/>
      <c r="HUB240"/>
      <c r="HUC240"/>
      <c r="HUD240"/>
      <c r="HUE240"/>
      <c r="HUF240"/>
      <c r="HUG240"/>
      <c r="HUH240"/>
      <c r="HUI240"/>
      <c r="HUJ240"/>
      <c r="HUK240"/>
      <c r="HUL240"/>
      <c r="HUM240"/>
      <c r="HUN240"/>
      <c r="HUO240"/>
      <c r="HUP240"/>
      <c r="HUQ240"/>
      <c r="HUR240"/>
      <c r="HUS240"/>
      <c r="HUT240"/>
      <c r="HUU240"/>
      <c r="HUV240"/>
      <c r="HUW240"/>
      <c r="HUX240"/>
      <c r="HUY240"/>
      <c r="HUZ240"/>
      <c r="HVA240"/>
      <c r="HVB240"/>
      <c r="HVC240"/>
      <c r="HVD240"/>
      <c r="HVE240"/>
      <c r="HVF240"/>
      <c r="HVG240"/>
      <c r="HVH240"/>
      <c r="HVI240"/>
      <c r="HVJ240"/>
      <c r="HVK240"/>
      <c r="HVL240"/>
      <c r="HVM240"/>
      <c r="HVN240"/>
      <c r="HVO240"/>
      <c r="HVP240"/>
      <c r="HVQ240"/>
      <c r="HVR240"/>
      <c r="HVS240"/>
      <c r="HVT240"/>
      <c r="HVU240"/>
      <c r="HVV240"/>
      <c r="HVW240"/>
      <c r="HVX240"/>
      <c r="HVY240"/>
      <c r="HVZ240"/>
      <c r="HWA240"/>
      <c r="HWB240"/>
      <c r="HWC240"/>
      <c r="HWD240"/>
      <c r="HWE240"/>
      <c r="HWF240"/>
      <c r="HWG240"/>
      <c r="HWH240"/>
      <c r="HWI240"/>
      <c r="HWJ240"/>
      <c r="HWK240"/>
      <c r="HWL240"/>
      <c r="HWM240"/>
      <c r="HWN240"/>
      <c r="HWO240"/>
      <c r="HWP240"/>
      <c r="HWQ240"/>
      <c r="HWR240"/>
      <c r="HWS240"/>
      <c r="HWT240"/>
      <c r="HWU240"/>
      <c r="HWV240"/>
      <c r="HWW240"/>
      <c r="HWX240"/>
      <c r="HWY240"/>
      <c r="HWZ240"/>
      <c r="HXA240"/>
      <c r="HXB240"/>
      <c r="HXC240"/>
      <c r="HXD240"/>
      <c r="HXE240"/>
      <c r="HXF240"/>
      <c r="HXG240"/>
      <c r="HXH240"/>
      <c r="HXI240"/>
      <c r="HXJ240"/>
      <c r="HXK240"/>
      <c r="HXL240"/>
      <c r="HXM240"/>
      <c r="HXN240"/>
      <c r="HXO240"/>
      <c r="HXP240"/>
      <c r="HXQ240"/>
      <c r="HXR240"/>
      <c r="HXS240"/>
      <c r="HXT240"/>
      <c r="HXU240"/>
      <c r="HXV240"/>
      <c r="HXW240"/>
      <c r="HXX240"/>
      <c r="HXY240"/>
      <c r="HXZ240"/>
      <c r="HYA240"/>
      <c r="HYB240"/>
      <c r="HYC240"/>
      <c r="HYD240"/>
      <c r="HYE240"/>
      <c r="HYF240"/>
      <c r="HYG240"/>
      <c r="HYH240"/>
      <c r="HYI240"/>
      <c r="HYJ240"/>
      <c r="HYK240"/>
      <c r="HYL240"/>
      <c r="HYM240"/>
      <c r="HYN240"/>
      <c r="HYO240"/>
      <c r="HYP240"/>
      <c r="HYQ240"/>
      <c r="HYR240"/>
      <c r="HYS240"/>
      <c r="HYT240"/>
      <c r="HYU240"/>
      <c r="HYV240"/>
      <c r="HYW240"/>
      <c r="HYX240"/>
      <c r="HYY240"/>
      <c r="HYZ240"/>
      <c r="HZA240"/>
      <c r="HZB240"/>
      <c r="HZC240"/>
      <c r="HZD240"/>
      <c r="HZE240"/>
      <c r="HZF240"/>
      <c r="HZG240"/>
      <c r="HZH240"/>
      <c r="HZI240"/>
      <c r="HZJ240"/>
      <c r="HZK240"/>
      <c r="HZL240"/>
      <c r="HZM240"/>
      <c r="HZN240"/>
      <c r="HZO240"/>
      <c r="HZP240"/>
      <c r="HZQ240"/>
      <c r="HZR240"/>
      <c r="HZS240"/>
      <c r="HZT240"/>
      <c r="HZU240"/>
      <c r="HZV240"/>
      <c r="HZW240"/>
      <c r="HZX240"/>
      <c r="HZY240"/>
      <c r="HZZ240"/>
      <c r="IAA240"/>
      <c r="IAB240"/>
      <c r="IAC240"/>
      <c r="IAD240"/>
      <c r="IAE240"/>
      <c r="IAF240"/>
      <c r="IAG240"/>
      <c r="IAH240"/>
      <c r="IAI240"/>
      <c r="IAJ240"/>
      <c r="IAK240"/>
      <c r="IAL240"/>
      <c r="IAM240"/>
      <c r="IAN240"/>
      <c r="IAO240"/>
      <c r="IAP240"/>
      <c r="IAQ240"/>
      <c r="IAR240"/>
      <c r="IAS240"/>
      <c r="IAT240"/>
      <c r="IAU240"/>
      <c r="IAV240"/>
      <c r="IAW240"/>
      <c r="IAX240"/>
      <c r="IAY240"/>
      <c r="IAZ240"/>
      <c r="IBA240"/>
      <c r="IBB240"/>
      <c r="IBC240"/>
      <c r="IBD240"/>
      <c r="IBE240"/>
      <c r="IBF240"/>
      <c r="IBG240"/>
      <c r="IBH240"/>
      <c r="IBI240"/>
      <c r="IBJ240"/>
      <c r="IBK240"/>
      <c r="IBL240"/>
      <c r="IBM240"/>
      <c r="IBN240"/>
      <c r="IBO240"/>
      <c r="IBP240"/>
      <c r="IBQ240"/>
      <c r="IBR240"/>
      <c r="IBS240"/>
      <c r="IBT240"/>
      <c r="IBU240"/>
      <c r="IBV240"/>
      <c r="IBW240"/>
      <c r="IBX240"/>
      <c r="IBY240"/>
      <c r="IBZ240"/>
      <c r="ICA240"/>
      <c r="ICB240"/>
      <c r="ICC240"/>
      <c r="ICD240"/>
      <c r="ICE240"/>
      <c r="ICF240"/>
      <c r="ICG240"/>
      <c r="ICH240"/>
      <c r="ICI240"/>
      <c r="ICJ240"/>
      <c r="ICK240"/>
      <c r="ICL240"/>
      <c r="ICM240"/>
      <c r="ICN240"/>
      <c r="ICO240"/>
      <c r="ICP240"/>
      <c r="ICQ240"/>
      <c r="ICR240"/>
      <c r="ICS240"/>
      <c r="ICT240"/>
      <c r="ICU240"/>
      <c r="ICV240"/>
      <c r="ICW240"/>
      <c r="ICX240"/>
      <c r="ICY240"/>
      <c r="ICZ240"/>
      <c r="IDA240"/>
      <c r="IDB240"/>
      <c r="IDC240"/>
      <c r="IDD240"/>
      <c r="IDE240"/>
      <c r="IDF240"/>
      <c r="IDG240"/>
      <c r="IDH240"/>
      <c r="IDI240"/>
      <c r="IDJ240"/>
      <c r="IDK240"/>
      <c r="IDL240"/>
      <c r="IDM240"/>
      <c r="IDN240"/>
      <c r="IDO240"/>
      <c r="IDP240"/>
      <c r="IDQ240"/>
      <c r="IDR240"/>
      <c r="IDS240"/>
      <c r="IDT240"/>
      <c r="IDU240"/>
      <c r="IDV240"/>
      <c r="IDW240"/>
      <c r="IDX240"/>
      <c r="IDY240"/>
      <c r="IDZ240"/>
      <c r="IEA240"/>
      <c r="IEB240"/>
      <c r="IEC240"/>
      <c r="IED240"/>
      <c r="IEE240"/>
      <c r="IEF240"/>
      <c r="IEG240"/>
      <c r="IEH240"/>
      <c r="IEI240"/>
      <c r="IEJ240"/>
      <c r="IEK240"/>
      <c r="IEL240"/>
      <c r="IEM240"/>
      <c r="IEN240"/>
      <c r="IEO240"/>
      <c r="IEP240"/>
      <c r="IEQ240"/>
      <c r="IER240"/>
      <c r="IES240"/>
      <c r="IET240"/>
      <c r="IEU240"/>
      <c r="IEV240"/>
      <c r="IEW240"/>
      <c r="IEX240"/>
      <c r="IEY240"/>
      <c r="IEZ240"/>
      <c r="IFA240"/>
      <c r="IFB240"/>
      <c r="IFC240"/>
      <c r="IFD240"/>
      <c r="IFE240"/>
      <c r="IFF240"/>
      <c r="IFG240"/>
      <c r="IFH240"/>
      <c r="IFI240"/>
      <c r="IFJ240"/>
      <c r="IFK240"/>
      <c r="IFL240"/>
      <c r="IFM240"/>
      <c r="IFN240"/>
      <c r="IFO240"/>
      <c r="IFP240"/>
      <c r="IFQ240"/>
      <c r="IFR240"/>
      <c r="IFS240"/>
      <c r="IFT240"/>
      <c r="IFU240"/>
      <c r="IFV240"/>
      <c r="IFW240"/>
      <c r="IFX240"/>
      <c r="IFY240"/>
      <c r="IFZ240"/>
      <c r="IGA240"/>
      <c r="IGB240"/>
      <c r="IGC240"/>
      <c r="IGD240"/>
      <c r="IGE240"/>
      <c r="IGF240"/>
      <c r="IGG240"/>
      <c r="IGH240"/>
      <c r="IGI240"/>
      <c r="IGJ240"/>
      <c r="IGK240"/>
      <c r="IGL240"/>
      <c r="IGM240"/>
      <c r="IGN240"/>
      <c r="IGO240"/>
      <c r="IGP240"/>
      <c r="IGQ240"/>
      <c r="IGR240"/>
      <c r="IGS240"/>
      <c r="IGT240"/>
      <c r="IGU240"/>
      <c r="IGV240"/>
      <c r="IGW240"/>
      <c r="IGX240"/>
      <c r="IGY240"/>
      <c r="IGZ240"/>
      <c r="IHA240"/>
      <c r="IHB240"/>
      <c r="IHC240"/>
      <c r="IHD240"/>
      <c r="IHE240"/>
      <c r="IHF240"/>
      <c r="IHG240"/>
      <c r="IHH240"/>
      <c r="IHI240"/>
      <c r="IHJ240"/>
      <c r="IHK240"/>
      <c r="IHL240"/>
      <c r="IHM240"/>
      <c r="IHN240"/>
      <c r="IHO240"/>
      <c r="IHP240"/>
      <c r="IHQ240"/>
      <c r="IHR240"/>
      <c r="IHS240"/>
      <c r="IHT240"/>
      <c r="IHU240"/>
      <c r="IHV240"/>
      <c r="IHW240"/>
      <c r="IHX240"/>
      <c r="IHY240"/>
      <c r="IHZ240"/>
      <c r="IIA240"/>
      <c r="IIB240"/>
      <c r="IIC240"/>
      <c r="IID240"/>
      <c r="IIE240"/>
      <c r="IIF240"/>
      <c r="IIG240"/>
      <c r="IIH240"/>
      <c r="III240"/>
      <c r="IIJ240"/>
      <c r="IIK240"/>
      <c r="IIL240"/>
      <c r="IIM240"/>
      <c r="IIN240"/>
      <c r="IIO240"/>
      <c r="IIP240"/>
      <c r="IIQ240"/>
      <c r="IIR240"/>
      <c r="IIS240"/>
      <c r="IIT240"/>
      <c r="IIU240"/>
      <c r="IIV240"/>
      <c r="IIW240"/>
      <c r="IIX240"/>
      <c r="IIY240"/>
      <c r="IIZ240"/>
      <c r="IJA240"/>
      <c r="IJB240"/>
      <c r="IJC240"/>
      <c r="IJD240"/>
      <c r="IJE240"/>
      <c r="IJF240"/>
      <c r="IJG240"/>
      <c r="IJH240"/>
      <c r="IJI240"/>
      <c r="IJJ240"/>
      <c r="IJK240"/>
      <c r="IJL240"/>
      <c r="IJM240"/>
      <c r="IJN240"/>
      <c r="IJO240"/>
      <c r="IJP240"/>
      <c r="IJQ240"/>
      <c r="IJR240"/>
      <c r="IJS240"/>
      <c r="IJT240"/>
      <c r="IJU240"/>
      <c r="IJV240"/>
      <c r="IJW240"/>
      <c r="IJX240"/>
      <c r="IJY240"/>
      <c r="IJZ240"/>
      <c r="IKA240"/>
      <c r="IKB240"/>
      <c r="IKC240"/>
      <c r="IKD240"/>
      <c r="IKE240"/>
      <c r="IKF240"/>
      <c r="IKG240"/>
      <c r="IKH240"/>
      <c r="IKI240"/>
      <c r="IKJ240"/>
      <c r="IKK240"/>
      <c r="IKL240"/>
      <c r="IKM240"/>
      <c r="IKN240"/>
      <c r="IKO240"/>
      <c r="IKP240"/>
      <c r="IKQ240"/>
      <c r="IKR240"/>
      <c r="IKS240"/>
      <c r="IKT240"/>
      <c r="IKU240"/>
      <c r="IKV240"/>
      <c r="IKW240"/>
      <c r="IKX240"/>
      <c r="IKY240"/>
      <c r="IKZ240"/>
      <c r="ILA240"/>
      <c r="ILB240"/>
      <c r="ILC240"/>
      <c r="ILD240"/>
      <c r="ILE240"/>
      <c r="ILF240"/>
      <c r="ILG240"/>
      <c r="ILH240"/>
      <c r="ILI240"/>
      <c r="ILJ240"/>
      <c r="ILK240"/>
      <c r="ILL240"/>
      <c r="ILM240"/>
      <c r="ILN240"/>
      <c r="ILO240"/>
      <c r="ILP240"/>
      <c r="ILQ240"/>
      <c r="ILR240"/>
      <c r="ILS240"/>
      <c r="ILT240"/>
      <c r="ILU240"/>
      <c r="ILV240"/>
      <c r="ILW240"/>
      <c r="ILX240"/>
      <c r="ILY240"/>
      <c r="ILZ240"/>
      <c r="IMA240"/>
      <c r="IMB240"/>
      <c r="IMC240"/>
      <c r="IMD240"/>
      <c r="IME240"/>
      <c r="IMF240"/>
      <c r="IMG240"/>
      <c r="IMH240"/>
      <c r="IMI240"/>
      <c r="IMJ240"/>
      <c r="IMK240"/>
      <c r="IML240"/>
      <c r="IMM240"/>
      <c r="IMN240"/>
      <c r="IMO240"/>
      <c r="IMP240"/>
      <c r="IMQ240"/>
      <c r="IMR240"/>
      <c r="IMS240"/>
      <c r="IMT240"/>
      <c r="IMU240"/>
      <c r="IMV240"/>
      <c r="IMW240"/>
      <c r="IMX240"/>
      <c r="IMY240"/>
      <c r="IMZ240"/>
      <c r="INA240"/>
      <c r="INB240"/>
      <c r="INC240"/>
      <c r="IND240"/>
      <c r="INE240"/>
      <c r="INF240"/>
      <c r="ING240"/>
      <c r="INH240"/>
      <c r="INI240"/>
      <c r="INJ240"/>
      <c r="INK240"/>
      <c r="INL240"/>
      <c r="INM240"/>
      <c r="INN240"/>
      <c r="INO240"/>
      <c r="INP240"/>
      <c r="INQ240"/>
      <c r="INR240"/>
      <c r="INS240"/>
      <c r="INT240"/>
      <c r="INU240"/>
      <c r="INV240"/>
      <c r="INW240"/>
      <c r="INX240"/>
      <c r="INY240"/>
      <c r="INZ240"/>
      <c r="IOA240"/>
      <c r="IOB240"/>
      <c r="IOC240"/>
      <c r="IOD240"/>
      <c r="IOE240"/>
      <c r="IOF240"/>
      <c r="IOG240"/>
      <c r="IOH240"/>
      <c r="IOI240"/>
      <c r="IOJ240"/>
      <c r="IOK240"/>
      <c r="IOL240"/>
      <c r="IOM240"/>
      <c r="ION240"/>
      <c r="IOO240"/>
      <c r="IOP240"/>
      <c r="IOQ240"/>
      <c r="IOR240"/>
      <c r="IOS240"/>
      <c r="IOT240"/>
      <c r="IOU240"/>
      <c r="IOV240"/>
      <c r="IOW240"/>
      <c r="IOX240"/>
      <c r="IOY240"/>
      <c r="IOZ240"/>
      <c r="IPA240"/>
      <c r="IPB240"/>
      <c r="IPC240"/>
      <c r="IPD240"/>
      <c r="IPE240"/>
      <c r="IPF240"/>
      <c r="IPG240"/>
      <c r="IPH240"/>
      <c r="IPI240"/>
      <c r="IPJ240"/>
      <c r="IPK240"/>
      <c r="IPL240"/>
      <c r="IPM240"/>
      <c r="IPN240"/>
      <c r="IPO240"/>
      <c r="IPP240"/>
      <c r="IPQ240"/>
      <c r="IPR240"/>
      <c r="IPS240"/>
      <c r="IPT240"/>
      <c r="IPU240"/>
      <c r="IPV240"/>
      <c r="IPW240"/>
      <c r="IPX240"/>
      <c r="IPY240"/>
      <c r="IPZ240"/>
      <c r="IQA240"/>
      <c r="IQB240"/>
      <c r="IQC240"/>
      <c r="IQD240"/>
      <c r="IQE240"/>
      <c r="IQF240"/>
      <c r="IQG240"/>
      <c r="IQH240"/>
      <c r="IQI240"/>
      <c r="IQJ240"/>
      <c r="IQK240"/>
      <c r="IQL240"/>
      <c r="IQM240"/>
      <c r="IQN240"/>
      <c r="IQO240"/>
      <c r="IQP240"/>
      <c r="IQQ240"/>
      <c r="IQR240"/>
      <c r="IQS240"/>
      <c r="IQT240"/>
      <c r="IQU240"/>
      <c r="IQV240"/>
      <c r="IQW240"/>
      <c r="IQX240"/>
      <c r="IQY240"/>
      <c r="IQZ240"/>
      <c r="IRA240"/>
      <c r="IRB240"/>
      <c r="IRC240"/>
      <c r="IRD240"/>
      <c r="IRE240"/>
      <c r="IRF240"/>
      <c r="IRG240"/>
      <c r="IRH240"/>
      <c r="IRI240"/>
      <c r="IRJ240"/>
      <c r="IRK240"/>
      <c r="IRL240"/>
      <c r="IRM240"/>
      <c r="IRN240"/>
      <c r="IRO240"/>
      <c r="IRP240"/>
      <c r="IRQ240"/>
      <c r="IRR240"/>
      <c r="IRS240"/>
      <c r="IRT240"/>
      <c r="IRU240"/>
      <c r="IRV240"/>
      <c r="IRW240"/>
      <c r="IRX240"/>
      <c r="IRY240"/>
      <c r="IRZ240"/>
      <c r="ISA240"/>
      <c r="ISB240"/>
      <c r="ISC240"/>
      <c r="ISD240"/>
      <c r="ISE240"/>
      <c r="ISF240"/>
      <c r="ISG240"/>
      <c r="ISH240"/>
      <c r="ISI240"/>
      <c r="ISJ240"/>
      <c r="ISK240"/>
      <c r="ISL240"/>
      <c r="ISM240"/>
      <c r="ISN240"/>
      <c r="ISO240"/>
      <c r="ISP240"/>
      <c r="ISQ240"/>
      <c r="ISR240"/>
      <c r="ISS240"/>
      <c r="IST240"/>
      <c r="ISU240"/>
      <c r="ISV240"/>
      <c r="ISW240"/>
      <c r="ISX240"/>
      <c r="ISY240"/>
      <c r="ISZ240"/>
      <c r="ITA240"/>
      <c r="ITB240"/>
      <c r="ITC240"/>
      <c r="ITD240"/>
      <c r="ITE240"/>
      <c r="ITF240"/>
      <c r="ITG240"/>
      <c r="ITH240"/>
      <c r="ITI240"/>
      <c r="ITJ240"/>
      <c r="ITK240"/>
      <c r="ITL240"/>
      <c r="ITM240"/>
      <c r="ITN240"/>
      <c r="ITO240"/>
      <c r="ITP240"/>
      <c r="ITQ240"/>
      <c r="ITR240"/>
      <c r="ITS240"/>
      <c r="ITT240"/>
      <c r="ITU240"/>
      <c r="ITV240"/>
      <c r="ITW240"/>
      <c r="ITX240"/>
      <c r="ITY240"/>
      <c r="ITZ240"/>
      <c r="IUA240"/>
      <c r="IUB240"/>
      <c r="IUC240"/>
      <c r="IUD240"/>
      <c r="IUE240"/>
      <c r="IUF240"/>
      <c r="IUG240"/>
      <c r="IUH240"/>
      <c r="IUI240"/>
      <c r="IUJ240"/>
      <c r="IUK240"/>
      <c r="IUL240"/>
      <c r="IUM240"/>
      <c r="IUN240"/>
      <c r="IUO240"/>
      <c r="IUP240"/>
      <c r="IUQ240"/>
      <c r="IUR240"/>
      <c r="IUS240"/>
      <c r="IUT240"/>
      <c r="IUU240"/>
      <c r="IUV240"/>
      <c r="IUW240"/>
      <c r="IUX240"/>
      <c r="IUY240"/>
      <c r="IUZ240"/>
      <c r="IVA240"/>
      <c r="IVB240"/>
      <c r="IVC240"/>
      <c r="IVD240"/>
      <c r="IVE240"/>
      <c r="IVF240"/>
      <c r="IVG240"/>
      <c r="IVH240"/>
      <c r="IVI240"/>
      <c r="IVJ240"/>
      <c r="IVK240"/>
      <c r="IVL240"/>
      <c r="IVM240"/>
      <c r="IVN240"/>
      <c r="IVO240"/>
      <c r="IVP240"/>
      <c r="IVQ240"/>
      <c r="IVR240"/>
      <c r="IVS240"/>
      <c r="IVT240"/>
      <c r="IVU240"/>
      <c r="IVV240"/>
      <c r="IVW240"/>
      <c r="IVX240"/>
      <c r="IVY240"/>
      <c r="IVZ240"/>
      <c r="IWA240"/>
      <c r="IWB240"/>
      <c r="IWC240"/>
      <c r="IWD240"/>
      <c r="IWE240"/>
      <c r="IWF240"/>
      <c r="IWG240"/>
      <c r="IWH240"/>
      <c r="IWI240"/>
      <c r="IWJ240"/>
      <c r="IWK240"/>
      <c r="IWL240"/>
      <c r="IWM240"/>
      <c r="IWN240"/>
      <c r="IWO240"/>
      <c r="IWP240"/>
      <c r="IWQ240"/>
      <c r="IWR240"/>
      <c r="IWS240"/>
      <c r="IWT240"/>
      <c r="IWU240"/>
      <c r="IWV240"/>
      <c r="IWW240"/>
      <c r="IWX240"/>
      <c r="IWY240"/>
      <c r="IWZ240"/>
      <c r="IXA240"/>
      <c r="IXB240"/>
      <c r="IXC240"/>
      <c r="IXD240"/>
      <c r="IXE240"/>
      <c r="IXF240"/>
      <c r="IXG240"/>
      <c r="IXH240"/>
      <c r="IXI240"/>
      <c r="IXJ240"/>
      <c r="IXK240"/>
      <c r="IXL240"/>
      <c r="IXM240"/>
      <c r="IXN240"/>
      <c r="IXO240"/>
      <c r="IXP240"/>
      <c r="IXQ240"/>
      <c r="IXR240"/>
      <c r="IXS240"/>
      <c r="IXT240"/>
      <c r="IXU240"/>
      <c r="IXV240"/>
      <c r="IXW240"/>
      <c r="IXX240"/>
      <c r="IXY240"/>
      <c r="IXZ240"/>
      <c r="IYA240"/>
      <c r="IYB240"/>
      <c r="IYC240"/>
      <c r="IYD240"/>
      <c r="IYE240"/>
      <c r="IYF240"/>
      <c r="IYG240"/>
      <c r="IYH240"/>
      <c r="IYI240"/>
      <c r="IYJ240"/>
      <c r="IYK240"/>
      <c r="IYL240"/>
      <c r="IYM240"/>
      <c r="IYN240"/>
      <c r="IYO240"/>
      <c r="IYP240"/>
      <c r="IYQ240"/>
      <c r="IYR240"/>
      <c r="IYS240"/>
      <c r="IYT240"/>
      <c r="IYU240"/>
      <c r="IYV240"/>
      <c r="IYW240"/>
      <c r="IYX240"/>
      <c r="IYY240"/>
      <c r="IYZ240"/>
      <c r="IZA240"/>
      <c r="IZB240"/>
      <c r="IZC240"/>
      <c r="IZD240"/>
      <c r="IZE240"/>
      <c r="IZF240"/>
      <c r="IZG240"/>
      <c r="IZH240"/>
      <c r="IZI240"/>
      <c r="IZJ240"/>
      <c r="IZK240"/>
      <c r="IZL240"/>
      <c r="IZM240"/>
      <c r="IZN240"/>
      <c r="IZO240"/>
      <c r="IZP240"/>
      <c r="IZQ240"/>
      <c r="IZR240"/>
      <c r="IZS240"/>
      <c r="IZT240"/>
      <c r="IZU240"/>
      <c r="IZV240"/>
      <c r="IZW240"/>
      <c r="IZX240"/>
      <c r="IZY240"/>
      <c r="IZZ240"/>
      <c r="JAA240"/>
      <c r="JAB240"/>
      <c r="JAC240"/>
      <c r="JAD240"/>
      <c r="JAE240"/>
      <c r="JAF240"/>
      <c r="JAG240"/>
      <c r="JAH240"/>
      <c r="JAI240"/>
      <c r="JAJ240"/>
      <c r="JAK240"/>
      <c r="JAL240"/>
      <c r="JAM240"/>
      <c r="JAN240"/>
      <c r="JAO240"/>
      <c r="JAP240"/>
      <c r="JAQ240"/>
      <c r="JAR240"/>
      <c r="JAS240"/>
      <c r="JAT240"/>
      <c r="JAU240"/>
      <c r="JAV240"/>
      <c r="JAW240"/>
      <c r="JAX240"/>
      <c r="JAY240"/>
      <c r="JAZ240"/>
      <c r="JBA240"/>
      <c r="JBB240"/>
      <c r="JBC240"/>
      <c r="JBD240"/>
      <c r="JBE240"/>
      <c r="JBF240"/>
      <c r="JBG240"/>
      <c r="JBH240"/>
      <c r="JBI240"/>
      <c r="JBJ240"/>
      <c r="JBK240"/>
      <c r="JBL240"/>
      <c r="JBM240"/>
      <c r="JBN240"/>
      <c r="JBO240"/>
      <c r="JBP240"/>
      <c r="JBQ240"/>
      <c r="JBR240"/>
      <c r="JBS240"/>
      <c r="JBT240"/>
      <c r="JBU240"/>
      <c r="JBV240"/>
      <c r="JBW240"/>
      <c r="JBX240"/>
      <c r="JBY240"/>
      <c r="JBZ240"/>
      <c r="JCA240"/>
      <c r="JCB240"/>
      <c r="JCC240"/>
      <c r="JCD240"/>
      <c r="JCE240"/>
      <c r="JCF240"/>
      <c r="JCG240"/>
      <c r="JCH240"/>
      <c r="JCI240"/>
      <c r="JCJ240"/>
      <c r="JCK240"/>
      <c r="JCL240"/>
      <c r="JCM240"/>
      <c r="JCN240"/>
      <c r="JCO240"/>
      <c r="JCP240"/>
      <c r="JCQ240"/>
      <c r="JCR240"/>
      <c r="JCS240"/>
      <c r="JCT240"/>
      <c r="JCU240"/>
      <c r="JCV240"/>
      <c r="JCW240"/>
      <c r="JCX240"/>
      <c r="JCY240"/>
      <c r="JCZ240"/>
      <c r="JDA240"/>
      <c r="JDB240"/>
      <c r="JDC240"/>
      <c r="JDD240"/>
      <c r="JDE240"/>
      <c r="JDF240"/>
      <c r="JDG240"/>
      <c r="JDH240"/>
      <c r="JDI240"/>
      <c r="JDJ240"/>
      <c r="JDK240"/>
      <c r="JDL240"/>
      <c r="JDM240"/>
      <c r="JDN240"/>
      <c r="JDO240"/>
      <c r="JDP240"/>
      <c r="JDQ240"/>
      <c r="JDR240"/>
      <c r="JDS240"/>
      <c r="JDT240"/>
      <c r="JDU240"/>
      <c r="JDV240"/>
      <c r="JDW240"/>
      <c r="JDX240"/>
      <c r="JDY240"/>
      <c r="JDZ240"/>
      <c r="JEA240"/>
      <c r="JEB240"/>
      <c r="JEC240"/>
      <c r="JED240"/>
      <c r="JEE240"/>
      <c r="JEF240"/>
      <c r="JEG240"/>
      <c r="JEH240"/>
      <c r="JEI240"/>
      <c r="JEJ240"/>
      <c r="JEK240"/>
      <c r="JEL240"/>
      <c r="JEM240"/>
      <c r="JEN240"/>
      <c r="JEO240"/>
      <c r="JEP240"/>
      <c r="JEQ240"/>
      <c r="JER240"/>
      <c r="JES240"/>
      <c r="JET240"/>
      <c r="JEU240"/>
      <c r="JEV240"/>
      <c r="JEW240"/>
      <c r="JEX240"/>
      <c r="JEY240"/>
      <c r="JEZ240"/>
      <c r="JFA240"/>
      <c r="JFB240"/>
      <c r="JFC240"/>
      <c r="JFD240"/>
      <c r="JFE240"/>
      <c r="JFF240"/>
      <c r="JFG240"/>
      <c r="JFH240"/>
      <c r="JFI240"/>
      <c r="JFJ240"/>
      <c r="JFK240"/>
      <c r="JFL240"/>
      <c r="JFM240"/>
      <c r="JFN240"/>
      <c r="JFO240"/>
      <c r="JFP240"/>
      <c r="JFQ240"/>
      <c r="JFR240"/>
      <c r="JFS240"/>
      <c r="JFT240"/>
      <c r="JFU240"/>
      <c r="JFV240"/>
      <c r="JFW240"/>
      <c r="JFX240"/>
      <c r="JFY240"/>
      <c r="JFZ240"/>
      <c r="JGA240"/>
      <c r="JGB240"/>
      <c r="JGC240"/>
      <c r="JGD240"/>
      <c r="JGE240"/>
      <c r="JGF240"/>
      <c r="JGG240"/>
      <c r="JGH240"/>
      <c r="JGI240"/>
      <c r="JGJ240"/>
      <c r="JGK240"/>
      <c r="JGL240"/>
      <c r="JGM240"/>
      <c r="JGN240"/>
      <c r="JGO240"/>
      <c r="JGP240"/>
      <c r="JGQ240"/>
      <c r="JGR240"/>
      <c r="JGS240"/>
      <c r="JGT240"/>
      <c r="JGU240"/>
      <c r="JGV240"/>
      <c r="JGW240"/>
      <c r="JGX240"/>
      <c r="JGY240"/>
      <c r="JGZ240"/>
      <c r="JHA240"/>
      <c r="JHB240"/>
      <c r="JHC240"/>
      <c r="JHD240"/>
      <c r="JHE240"/>
      <c r="JHF240"/>
      <c r="JHG240"/>
      <c r="JHH240"/>
      <c r="JHI240"/>
      <c r="JHJ240"/>
      <c r="JHK240"/>
      <c r="JHL240"/>
      <c r="JHM240"/>
      <c r="JHN240"/>
      <c r="JHO240"/>
      <c r="JHP240"/>
      <c r="JHQ240"/>
      <c r="JHR240"/>
      <c r="JHS240"/>
      <c r="JHT240"/>
      <c r="JHU240"/>
      <c r="JHV240"/>
      <c r="JHW240"/>
      <c r="JHX240"/>
      <c r="JHY240"/>
      <c r="JHZ240"/>
      <c r="JIA240"/>
      <c r="JIB240"/>
      <c r="JIC240"/>
      <c r="JID240"/>
      <c r="JIE240"/>
      <c r="JIF240"/>
      <c r="JIG240"/>
      <c r="JIH240"/>
      <c r="JII240"/>
      <c r="JIJ240"/>
      <c r="JIK240"/>
      <c r="JIL240"/>
      <c r="JIM240"/>
      <c r="JIN240"/>
      <c r="JIO240"/>
      <c r="JIP240"/>
      <c r="JIQ240"/>
      <c r="JIR240"/>
      <c r="JIS240"/>
      <c r="JIT240"/>
      <c r="JIU240"/>
      <c r="JIV240"/>
      <c r="JIW240"/>
      <c r="JIX240"/>
      <c r="JIY240"/>
      <c r="JIZ240"/>
      <c r="JJA240"/>
      <c r="JJB240"/>
      <c r="JJC240"/>
      <c r="JJD240"/>
      <c r="JJE240"/>
      <c r="JJF240"/>
      <c r="JJG240"/>
      <c r="JJH240"/>
      <c r="JJI240"/>
      <c r="JJJ240"/>
      <c r="JJK240"/>
      <c r="JJL240"/>
      <c r="JJM240"/>
      <c r="JJN240"/>
      <c r="JJO240"/>
      <c r="JJP240"/>
      <c r="JJQ240"/>
      <c r="JJR240"/>
      <c r="JJS240"/>
      <c r="JJT240"/>
      <c r="JJU240"/>
      <c r="JJV240"/>
      <c r="JJW240"/>
      <c r="JJX240"/>
      <c r="JJY240"/>
      <c r="JJZ240"/>
      <c r="JKA240"/>
      <c r="JKB240"/>
      <c r="JKC240"/>
      <c r="JKD240"/>
      <c r="JKE240"/>
      <c r="JKF240"/>
      <c r="JKG240"/>
      <c r="JKH240"/>
      <c r="JKI240"/>
      <c r="JKJ240"/>
      <c r="JKK240"/>
      <c r="JKL240"/>
      <c r="JKM240"/>
      <c r="JKN240"/>
      <c r="JKO240"/>
      <c r="JKP240"/>
      <c r="JKQ240"/>
      <c r="JKR240"/>
      <c r="JKS240"/>
      <c r="JKT240"/>
      <c r="JKU240"/>
      <c r="JKV240"/>
      <c r="JKW240"/>
      <c r="JKX240"/>
      <c r="JKY240"/>
      <c r="JKZ240"/>
      <c r="JLA240"/>
      <c r="JLB240"/>
      <c r="JLC240"/>
      <c r="JLD240"/>
      <c r="JLE240"/>
      <c r="JLF240"/>
      <c r="JLG240"/>
      <c r="JLH240"/>
      <c r="JLI240"/>
      <c r="JLJ240"/>
      <c r="JLK240"/>
      <c r="JLL240"/>
      <c r="JLM240"/>
      <c r="JLN240"/>
      <c r="JLO240"/>
      <c r="JLP240"/>
      <c r="JLQ240"/>
      <c r="JLR240"/>
      <c r="JLS240"/>
      <c r="JLT240"/>
      <c r="JLU240"/>
      <c r="JLV240"/>
      <c r="JLW240"/>
      <c r="JLX240"/>
      <c r="JLY240"/>
      <c r="JLZ240"/>
      <c r="JMA240"/>
      <c r="JMB240"/>
      <c r="JMC240"/>
      <c r="JMD240"/>
      <c r="JME240"/>
      <c r="JMF240"/>
      <c r="JMG240"/>
      <c r="JMH240"/>
      <c r="JMI240"/>
      <c r="JMJ240"/>
      <c r="JMK240"/>
      <c r="JML240"/>
      <c r="JMM240"/>
      <c r="JMN240"/>
      <c r="JMO240"/>
      <c r="JMP240"/>
      <c r="JMQ240"/>
      <c r="JMR240"/>
      <c r="JMS240"/>
      <c r="JMT240"/>
      <c r="JMU240"/>
      <c r="JMV240"/>
      <c r="JMW240"/>
      <c r="JMX240"/>
      <c r="JMY240"/>
      <c r="JMZ240"/>
      <c r="JNA240"/>
      <c r="JNB240"/>
      <c r="JNC240"/>
      <c r="JND240"/>
      <c r="JNE240"/>
      <c r="JNF240"/>
      <c r="JNG240"/>
      <c r="JNH240"/>
      <c r="JNI240"/>
      <c r="JNJ240"/>
      <c r="JNK240"/>
      <c r="JNL240"/>
      <c r="JNM240"/>
      <c r="JNN240"/>
      <c r="JNO240"/>
      <c r="JNP240"/>
      <c r="JNQ240"/>
      <c r="JNR240"/>
      <c r="JNS240"/>
      <c r="JNT240"/>
      <c r="JNU240"/>
      <c r="JNV240"/>
      <c r="JNW240"/>
      <c r="JNX240"/>
      <c r="JNY240"/>
      <c r="JNZ240"/>
      <c r="JOA240"/>
      <c r="JOB240"/>
      <c r="JOC240"/>
      <c r="JOD240"/>
      <c r="JOE240"/>
      <c r="JOF240"/>
      <c r="JOG240"/>
      <c r="JOH240"/>
      <c r="JOI240"/>
      <c r="JOJ240"/>
      <c r="JOK240"/>
      <c r="JOL240"/>
      <c r="JOM240"/>
      <c r="JON240"/>
      <c r="JOO240"/>
      <c r="JOP240"/>
      <c r="JOQ240"/>
      <c r="JOR240"/>
      <c r="JOS240"/>
      <c r="JOT240"/>
      <c r="JOU240"/>
      <c r="JOV240"/>
      <c r="JOW240"/>
      <c r="JOX240"/>
      <c r="JOY240"/>
      <c r="JOZ240"/>
      <c r="JPA240"/>
      <c r="JPB240"/>
      <c r="JPC240"/>
      <c r="JPD240"/>
      <c r="JPE240"/>
      <c r="JPF240"/>
      <c r="JPG240"/>
      <c r="JPH240"/>
      <c r="JPI240"/>
      <c r="JPJ240"/>
      <c r="JPK240"/>
      <c r="JPL240"/>
      <c r="JPM240"/>
      <c r="JPN240"/>
      <c r="JPO240"/>
      <c r="JPP240"/>
      <c r="JPQ240"/>
      <c r="JPR240"/>
      <c r="JPS240"/>
      <c r="JPT240"/>
      <c r="JPU240"/>
      <c r="JPV240"/>
      <c r="JPW240"/>
      <c r="JPX240"/>
      <c r="JPY240"/>
      <c r="JPZ240"/>
      <c r="JQA240"/>
      <c r="JQB240"/>
      <c r="JQC240"/>
      <c r="JQD240"/>
      <c r="JQE240"/>
      <c r="JQF240"/>
      <c r="JQG240"/>
      <c r="JQH240"/>
      <c r="JQI240"/>
      <c r="JQJ240"/>
      <c r="JQK240"/>
      <c r="JQL240"/>
      <c r="JQM240"/>
      <c r="JQN240"/>
      <c r="JQO240"/>
      <c r="JQP240"/>
      <c r="JQQ240"/>
      <c r="JQR240"/>
      <c r="JQS240"/>
      <c r="JQT240"/>
      <c r="JQU240"/>
      <c r="JQV240"/>
      <c r="JQW240"/>
      <c r="JQX240"/>
      <c r="JQY240"/>
      <c r="JQZ240"/>
      <c r="JRA240"/>
      <c r="JRB240"/>
      <c r="JRC240"/>
      <c r="JRD240"/>
      <c r="JRE240"/>
      <c r="JRF240"/>
      <c r="JRG240"/>
      <c r="JRH240"/>
      <c r="JRI240"/>
      <c r="JRJ240"/>
      <c r="JRK240"/>
      <c r="JRL240"/>
      <c r="JRM240"/>
      <c r="JRN240"/>
      <c r="JRO240"/>
      <c r="JRP240"/>
      <c r="JRQ240"/>
      <c r="JRR240"/>
      <c r="JRS240"/>
      <c r="JRT240"/>
      <c r="JRU240"/>
      <c r="JRV240"/>
      <c r="JRW240"/>
      <c r="JRX240"/>
      <c r="JRY240"/>
      <c r="JRZ240"/>
      <c r="JSA240"/>
      <c r="JSB240"/>
      <c r="JSC240"/>
      <c r="JSD240"/>
      <c r="JSE240"/>
      <c r="JSF240"/>
      <c r="JSG240"/>
      <c r="JSH240"/>
      <c r="JSI240"/>
      <c r="JSJ240"/>
      <c r="JSK240"/>
      <c r="JSL240"/>
      <c r="JSM240"/>
      <c r="JSN240"/>
      <c r="JSO240"/>
      <c r="JSP240"/>
      <c r="JSQ240"/>
      <c r="JSR240"/>
      <c r="JSS240"/>
      <c r="JST240"/>
      <c r="JSU240"/>
      <c r="JSV240"/>
      <c r="JSW240"/>
      <c r="JSX240"/>
      <c r="JSY240"/>
      <c r="JSZ240"/>
      <c r="JTA240"/>
      <c r="JTB240"/>
      <c r="JTC240"/>
      <c r="JTD240"/>
      <c r="JTE240"/>
      <c r="JTF240"/>
      <c r="JTG240"/>
      <c r="JTH240"/>
      <c r="JTI240"/>
      <c r="JTJ240"/>
      <c r="JTK240"/>
      <c r="JTL240"/>
      <c r="JTM240"/>
      <c r="JTN240"/>
      <c r="JTO240"/>
      <c r="JTP240"/>
      <c r="JTQ240"/>
      <c r="JTR240"/>
      <c r="JTS240"/>
      <c r="JTT240"/>
      <c r="JTU240"/>
      <c r="JTV240"/>
      <c r="JTW240"/>
      <c r="JTX240"/>
      <c r="JTY240"/>
      <c r="JTZ240"/>
      <c r="JUA240"/>
      <c r="JUB240"/>
      <c r="JUC240"/>
      <c r="JUD240"/>
      <c r="JUE240"/>
      <c r="JUF240"/>
      <c r="JUG240"/>
      <c r="JUH240"/>
      <c r="JUI240"/>
      <c r="JUJ240"/>
      <c r="JUK240"/>
      <c r="JUL240"/>
      <c r="JUM240"/>
      <c r="JUN240"/>
      <c r="JUO240"/>
      <c r="JUP240"/>
      <c r="JUQ240"/>
      <c r="JUR240"/>
      <c r="JUS240"/>
      <c r="JUT240"/>
      <c r="JUU240"/>
      <c r="JUV240"/>
      <c r="JUW240"/>
      <c r="JUX240"/>
      <c r="JUY240"/>
      <c r="JUZ240"/>
      <c r="JVA240"/>
      <c r="JVB240"/>
      <c r="JVC240"/>
      <c r="JVD240"/>
      <c r="JVE240"/>
      <c r="JVF240"/>
      <c r="JVG240"/>
      <c r="JVH240"/>
      <c r="JVI240"/>
      <c r="JVJ240"/>
      <c r="JVK240"/>
      <c r="JVL240"/>
      <c r="JVM240"/>
      <c r="JVN240"/>
      <c r="JVO240"/>
      <c r="JVP240"/>
      <c r="JVQ240"/>
      <c r="JVR240"/>
      <c r="JVS240"/>
      <c r="JVT240"/>
      <c r="JVU240"/>
      <c r="JVV240"/>
      <c r="JVW240"/>
      <c r="JVX240"/>
      <c r="JVY240"/>
      <c r="JVZ240"/>
      <c r="JWA240"/>
      <c r="JWB240"/>
      <c r="JWC240"/>
      <c r="JWD240"/>
      <c r="JWE240"/>
      <c r="JWF240"/>
      <c r="JWG240"/>
      <c r="JWH240"/>
      <c r="JWI240"/>
      <c r="JWJ240"/>
      <c r="JWK240"/>
      <c r="JWL240"/>
      <c r="JWM240"/>
      <c r="JWN240"/>
      <c r="JWO240"/>
      <c r="JWP240"/>
      <c r="JWQ240"/>
      <c r="JWR240"/>
      <c r="JWS240"/>
      <c r="JWT240"/>
      <c r="JWU240"/>
      <c r="JWV240"/>
      <c r="JWW240"/>
      <c r="JWX240"/>
      <c r="JWY240"/>
      <c r="JWZ240"/>
      <c r="JXA240"/>
      <c r="JXB240"/>
      <c r="JXC240"/>
      <c r="JXD240"/>
      <c r="JXE240"/>
      <c r="JXF240"/>
      <c r="JXG240"/>
      <c r="JXH240"/>
      <c r="JXI240"/>
      <c r="JXJ240"/>
      <c r="JXK240"/>
      <c r="JXL240"/>
      <c r="JXM240"/>
      <c r="JXN240"/>
      <c r="JXO240"/>
      <c r="JXP240"/>
      <c r="JXQ240"/>
      <c r="JXR240"/>
      <c r="JXS240"/>
      <c r="JXT240"/>
      <c r="JXU240"/>
      <c r="JXV240"/>
      <c r="JXW240"/>
      <c r="JXX240"/>
      <c r="JXY240"/>
      <c r="JXZ240"/>
      <c r="JYA240"/>
      <c r="JYB240"/>
      <c r="JYC240"/>
      <c r="JYD240"/>
      <c r="JYE240"/>
      <c r="JYF240"/>
      <c r="JYG240"/>
      <c r="JYH240"/>
      <c r="JYI240"/>
      <c r="JYJ240"/>
      <c r="JYK240"/>
      <c r="JYL240"/>
      <c r="JYM240"/>
      <c r="JYN240"/>
      <c r="JYO240"/>
      <c r="JYP240"/>
      <c r="JYQ240"/>
      <c r="JYR240"/>
      <c r="JYS240"/>
      <c r="JYT240"/>
      <c r="JYU240"/>
      <c r="JYV240"/>
      <c r="JYW240"/>
      <c r="JYX240"/>
      <c r="JYY240"/>
      <c r="JYZ240"/>
      <c r="JZA240"/>
      <c r="JZB240"/>
      <c r="JZC240"/>
      <c r="JZD240"/>
      <c r="JZE240"/>
      <c r="JZF240"/>
      <c r="JZG240"/>
      <c r="JZH240"/>
      <c r="JZI240"/>
      <c r="JZJ240"/>
      <c r="JZK240"/>
      <c r="JZL240"/>
      <c r="JZM240"/>
      <c r="JZN240"/>
      <c r="JZO240"/>
      <c r="JZP240"/>
      <c r="JZQ240"/>
      <c r="JZR240"/>
      <c r="JZS240"/>
      <c r="JZT240"/>
      <c r="JZU240"/>
      <c r="JZV240"/>
      <c r="JZW240"/>
      <c r="JZX240"/>
      <c r="JZY240"/>
      <c r="JZZ240"/>
      <c r="KAA240"/>
      <c r="KAB240"/>
      <c r="KAC240"/>
      <c r="KAD240"/>
      <c r="KAE240"/>
      <c r="KAF240"/>
      <c r="KAG240"/>
      <c r="KAH240"/>
      <c r="KAI240"/>
      <c r="KAJ240"/>
      <c r="KAK240"/>
      <c r="KAL240"/>
      <c r="KAM240"/>
      <c r="KAN240"/>
      <c r="KAO240"/>
      <c r="KAP240"/>
      <c r="KAQ240"/>
      <c r="KAR240"/>
      <c r="KAS240"/>
      <c r="KAT240"/>
      <c r="KAU240"/>
      <c r="KAV240"/>
      <c r="KAW240"/>
      <c r="KAX240"/>
      <c r="KAY240"/>
      <c r="KAZ240"/>
      <c r="KBA240"/>
      <c r="KBB240"/>
      <c r="KBC240"/>
      <c r="KBD240"/>
      <c r="KBE240"/>
      <c r="KBF240"/>
      <c r="KBG240"/>
      <c r="KBH240"/>
      <c r="KBI240"/>
      <c r="KBJ240"/>
      <c r="KBK240"/>
      <c r="KBL240"/>
      <c r="KBM240"/>
      <c r="KBN240"/>
      <c r="KBO240"/>
      <c r="KBP240"/>
      <c r="KBQ240"/>
      <c r="KBR240"/>
      <c r="KBS240"/>
      <c r="KBT240"/>
      <c r="KBU240"/>
      <c r="KBV240"/>
      <c r="KBW240"/>
      <c r="KBX240"/>
      <c r="KBY240"/>
      <c r="KBZ240"/>
      <c r="KCA240"/>
      <c r="KCB240"/>
      <c r="KCC240"/>
      <c r="KCD240"/>
      <c r="KCE240"/>
      <c r="KCF240"/>
      <c r="KCG240"/>
      <c r="KCH240"/>
      <c r="KCI240"/>
      <c r="KCJ240"/>
      <c r="KCK240"/>
      <c r="KCL240"/>
      <c r="KCM240"/>
      <c r="KCN240"/>
      <c r="KCO240"/>
      <c r="KCP240"/>
      <c r="KCQ240"/>
      <c r="KCR240"/>
      <c r="KCS240"/>
      <c r="KCT240"/>
      <c r="KCU240"/>
      <c r="KCV240"/>
      <c r="KCW240"/>
      <c r="KCX240"/>
      <c r="KCY240"/>
      <c r="KCZ240"/>
      <c r="KDA240"/>
      <c r="KDB240"/>
      <c r="KDC240"/>
      <c r="KDD240"/>
      <c r="KDE240"/>
      <c r="KDF240"/>
      <c r="KDG240"/>
      <c r="KDH240"/>
      <c r="KDI240"/>
      <c r="KDJ240"/>
      <c r="KDK240"/>
      <c r="KDL240"/>
      <c r="KDM240"/>
      <c r="KDN240"/>
      <c r="KDO240"/>
      <c r="KDP240"/>
      <c r="KDQ240"/>
      <c r="KDR240"/>
      <c r="KDS240"/>
      <c r="KDT240"/>
      <c r="KDU240"/>
      <c r="KDV240"/>
      <c r="KDW240"/>
      <c r="KDX240"/>
      <c r="KDY240"/>
      <c r="KDZ240"/>
      <c r="KEA240"/>
      <c r="KEB240"/>
      <c r="KEC240"/>
      <c r="KED240"/>
      <c r="KEE240"/>
      <c r="KEF240"/>
      <c r="KEG240"/>
      <c r="KEH240"/>
      <c r="KEI240"/>
      <c r="KEJ240"/>
      <c r="KEK240"/>
      <c r="KEL240"/>
      <c r="KEM240"/>
      <c r="KEN240"/>
      <c r="KEO240"/>
      <c r="KEP240"/>
      <c r="KEQ240"/>
      <c r="KER240"/>
      <c r="KES240"/>
      <c r="KET240"/>
      <c r="KEU240"/>
      <c r="KEV240"/>
      <c r="KEW240"/>
      <c r="KEX240"/>
      <c r="KEY240"/>
      <c r="KEZ240"/>
      <c r="KFA240"/>
      <c r="KFB240"/>
      <c r="KFC240"/>
      <c r="KFD240"/>
      <c r="KFE240"/>
      <c r="KFF240"/>
      <c r="KFG240"/>
      <c r="KFH240"/>
      <c r="KFI240"/>
      <c r="KFJ240"/>
      <c r="KFK240"/>
      <c r="KFL240"/>
      <c r="KFM240"/>
      <c r="KFN240"/>
      <c r="KFO240"/>
      <c r="KFP240"/>
      <c r="KFQ240"/>
      <c r="KFR240"/>
      <c r="KFS240"/>
      <c r="KFT240"/>
      <c r="KFU240"/>
      <c r="KFV240"/>
      <c r="KFW240"/>
      <c r="KFX240"/>
      <c r="KFY240"/>
      <c r="KFZ240"/>
      <c r="KGA240"/>
      <c r="KGB240"/>
      <c r="KGC240"/>
      <c r="KGD240"/>
      <c r="KGE240"/>
      <c r="KGF240"/>
      <c r="KGG240"/>
      <c r="KGH240"/>
      <c r="KGI240"/>
      <c r="KGJ240"/>
      <c r="KGK240"/>
      <c r="KGL240"/>
      <c r="KGM240"/>
      <c r="KGN240"/>
      <c r="KGO240"/>
      <c r="KGP240"/>
      <c r="KGQ240"/>
      <c r="KGR240"/>
      <c r="KGS240"/>
      <c r="KGT240"/>
      <c r="KGU240"/>
      <c r="KGV240"/>
      <c r="KGW240"/>
      <c r="KGX240"/>
      <c r="KGY240"/>
      <c r="KGZ240"/>
      <c r="KHA240"/>
      <c r="KHB240"/>
      <c r="KHC240"/>
      <c r="KHD240"/>
      <c r="KHE240"/>
      <c r="KHF240"/>
      <c r="KHG240"/>
      <c r="KHH240"/>
      <c r="KHI240"/>
      <c r="KHJ240"/>
      <c r="KHK240"/>
      <c r="KHL240"/>
      <c r="KHM240"/>
      <c r="KHN240"/>
      <c r="KHO240"/>
      <c r="KHP240"/>
      <c r="KHQ240"/>
      <c r="KHR240"/>
      <c r="KHS240"/>
      <c r="KHT240"/>
      <c r="KHU240"/>
      <c r="KHV240"/>
      <c r="KHW240"/>
      <c r="KHX240"/>
      <c r="KHY240"/>
      <c r="KHZ240"/>
      <c r="KIA240"/>
      <c r="KIB240"/>
      <c r="KIC240"/>
      <c r="KID240"/>
      <c r="KIE240"/>
      <c r="KIF240"/>
      <c r="KIG240"/>
      <c r="KIH240"/>
      <c r="KII240"/>
      <c r="KIJ240"/>
      <c r="KIK240"/>
      <c r="KIL240"/>
      <c r="KIM240"/>
      <c r="KIN240"/>
      <c r="KIO240"/>
      <c r="KIP240"/>
      <c r="KIQ240"/>
      <c r="KIR240"/>
      <c r="KIS240"/>
      <c r="KIT240"/>
      <c r="KIU240"/>
      <c r="KIV240"/>
      <c r="KIW240"/>
      <c r="KIX240"/>
      <c r="KIY240"/>
      <c r="KIZ240"/>
      <c r="KJA240"/>
      <c r="KJB240"/>
      <c r="KJC240"/>
      <c r="KJD240"/>
      <c r="KJE240"/>
      <c r="KJF240"/>
      <c r="KJG240"/>
      <c r="KJH240"/>
      <c r="KJI240"/>
      <c r="KJJ240"/>
      <c r="KJK240"/>
      <c r="KJL240"/>
      <c r="KJM240"/>
      <c r="KJN240"/>
      <c r="KJO240"/>
      <c r="KJP240"/>
      <c r="KJQ240"/>
      <c r="KJR240"/>
      <c r="KJS240"/>
      <c r="KJT240"/>
      <c r="KJU240"/>
      <c r="KJV240"/>
      <c r="KJW240"/>
      <c r="KJX240"/>
      <c r="KJY240"/>
      <c r="KJZ240"/>
      <c r="KKA240"/>
      <c r="KKB240"/>
      <c r="KKC240"/>
      <c r="KKD240"/>
      <c r="KKE240"/>
      <c r="KKF240"/>
      <c r="KKG240"/>
      <c r="KKH240"/>
      <c r="KKI240"/>
      <c r="KKJ240"/>
      <c r="KKK240"/>
      <c r="KKL240"/>
      <c r="KKM240"/>
      <c r="KKN240"/>
      <c r="KKO240"/>
      <c r="KKP240"/>
      <c r="KKQ240"/>
      <c r="KKR240"/>
      <c r="KKS240"/>
      <c r="KKT240"/>
      <c r="KKU240"/>
      <c r="KKV240"/>
      <c r="KKW240"/>
      <c r="KKX240"/>
      <c r="KKY240"/>
      <c r="KKZ240"/>
      <c r="KLA240"/>
      <c r="KLB240"/>
      <c r="KLC240"/>
      <c r="KLD240"/>
      <c r="KLE240"/>
      <c r="KLF240"/>
      <c r="KLG240"/>
      <c r="KLH240"/>
      <c r="KLI240"/>
      <c r="KLJ240"/>
      <c r="KLK240"/>
      <c r="KLL240"/>
      <c r="KLM240"/>
      <c r="KLN240"/>
      <c r="KLO240"/>
      <c r="KLP240"/>
      <c r="KLQ240"/>
      <c r="KLR240"/>
      <c r="KLS240"/>
      <c r="KLT240"/>
      <c r="KLU240"/>
      <c r="KLV240"/>
      <c r="KLW240"/>
      <c r="KLX240"/>
      <c r="KLY240"/>
      <c r="KLZ240"/>
      <c r="KMA240"/>
      <c r="KMB240"/>
      <c r="KMC240"/>
      <c r="KMD240"/>
      <c r="KME240"/>
      <c r="KMF240"/>
      <c r="KMG240"/>
      <c r="KMH240"/>
      <c r="KMI240"/>
      <c r="KMJ240"/>
      <c r="KMK240"/>
      <c r="KML240"/>
      <c r="KMM240"/>
      <c r="KMN240"/>
      <c r="KMO240"/>
      <c r="KMP240"/>
      <c r="KMQ240"/>
      <c r="KMR240"/>
      <c r="KMS240"/>
      <c r="KMT240"/>
      <c r="KMU240"/>
      <c r="KMV240"/>
      <c r="KMW240"/>
      <c r="KMX240"/>
      <c r="KMY240"/>
      <c r="KMZ240"/>
      <c r="KNA240"/>
      <c r="KNB240"/>
      <c r="KNC240"/>
      <c r="KND240"/>
      <c r="KNE240"/>
      <c r="KNF240"/>
      <c r="KNG240"/>
      <c r="KNH240"/>
      <c r="KNI240"/>
      <c r="KNJ240"/>
      <c r="KNK240"/>
      <c r="KNL240"/>
      <c r="KNM240"/>
      <c r="KNN240"/>
      <c r="KNO240"/>
      <c r="KNP240"/>
      <c r="KNQ240"/>
      <c r="KNR240"/>
      <c r="KNS240"/>
      <c r="KNT240"/>
      <c r="KNU240"/>
      <c r="KNV240"/>
      <c r="KNW240"/>
      <c r="KNX240"/>
      <c r="KNY240"/>
      <c r="KNZ240"/>
      <c r="KOA240"/>
      <c r="KOB240"/>
      <c r="KOC240"/>
      <c r="KOD240"/>
      <c r="KOE240"/>
      <c r="KOF240"/>
      <c r="KOG240"/>
      <c r="KOH240"/>
      <c r="KOI240"/>
      <c r="KOJ240"/>
      <c r="KOK240"/>
      <c r="KOL240"/>
      <c r="KOM240"/>
      <c r="KON240"/>
      <c r="KOO240"/>
      <c r="KOP240"/>
      <c r="KOQ240"/>
      <c r="KOR240"/>
      <c r="KOS240"/>
      <c r="KOT240"/>
      <c r="KOU240"/>
      <c r="KOV240"/>
      <c r="KOW240"/>
      <c r="KOX240"/>
      <c r="KOY240"/>
      <c r="KOZ240"/>
      <c r="KPA240"/>
      <c r="KPB240"/>
      <c r="KPC240"/>
      <c r="KPD240"/>
      <c r="KPE240"/>
      <c r="KPF240"/>
      <c r="KPG240"/>
      <c r="KPH240"/>
      <c r="KPI240"/>
      <c r="KPJ240"/>
      <c r="KPK240"/>
      <c r="KPL240"/>
      <c r="KPM240"/>
      <c r="KPN240"/>
      <c r="KPO240"/>
      <c r="KPP240"/>
      <c r="KPQ240"/>
      <c r="KPR240"/>
      <c r="KPS240"/>
      <c r="KPT240"/>
      <c r="KPU240"/>
      <c r="KPV240"/>
      <c r="KPW240"/>
      <c r="KPX240"/>
      <c r="KPY240"/>
      <c r="KPZ240"/>
      <c r="KQA240"/>
      <c r="KQB240"/>
      <c r="KQC240"/>
      <c r="KQD240"/>
      <c r="KQE240"/>
      <c r="KQF240"/>
      <c r="KQG240"/>
      <c r="KQH240"/>
      <c r="KQI240"/>
      <c r="KQJ240"/>
      <c r="KQK240"/>
      <c r="KQL240"/>
      <c r="KQM240"/>
      <c r="KQN240"/>
      <c r="KQO240"/>
      <c r="KQP240"/>
      <c r="KQQ240"/>
      <c r="KQR240"/>
      <c r="KQS240"/>
      <c r="KQT240"/>
      <c r="KQU240"/>
      <c r="KQV240"/>
      <c r="KQW240"/>
      <c r="KQX240"/>
      <c r="KQY240"/>
      <c r="KQZ240"/>
      <c r="KRA240"/>
      <c r="KRB240"/>
      <c r="KRC240"/>
      <c r="KRD240"/>
      <c r="KRE240"/>
      <c r="KRF240"/>
      <c r="KRG240"/>
      <c r="KRH240"/>
      <c r="KRI240"/>
      <c r="KRJ240"/>
      <c r="KRK240"/>
      <c r="KRL240"/>
      <c r="KRM240"/>
      <c r="KRN240"/>
      <c r="KRO240"/>
      <c r="KRP240"/>
      <c r="KRQ240"/>
      <c r="KRR240"/>
      <c r="KRS240"/>
      <c r="KRT240"/>
      <c r="KRU240"/>
      <c r="KRV240"/>
      <c r="KRW240"/>
      <c r="KRX240"/>
      <c r="KRY240"/>
      <c r="KRZ240"/>
      <c r="KSA240"/>
      <c r="KSB240"/>
      <c r="KSC240"/>
      <c r="KSD240"/>
      <c r="KSE240"/>
      <c r="KSF240"/>
      <c r="KSG240"/>
      <c r="KSH240"/>
      <c r="KSI240"/>
      <c r="KSJ240"/>
      <c r="KSK240"/>
      <c r="KSL240"/>
      <c r="KSM240"/>
      <c r="KSN240"/>
      <c r="KSO240"/>
      <c r="KSP240"/>
      <c r="KSQ240"/>
      <c r="KSR240"/>
      <c r="KSS240"/>
      <c r="KST240"/>
      <c r="KSU240"/>
      <c r="KSV240"/>
      <c r="KSW240"/>
      <c r="KSX240"/>
      <c r="KSY240"/>
      <c r="KSZ240"/>
      <c r="KTA240"/>
      <c r="KTB240"/>
      <c r="KTC240"/>
      <c r="KTD240"/>
      <c r="KTE240"/>
      <c r="KTF240"/>
      <c r="KTG240"/>
      <c r="KTH240"/>
      <c r="KTI240"/>
      <c r="KTJ240"/>
      <c r="KTK240"/>
      <c r="KTL240"/>
      <c r="KTM240"/>
      <c r="KTN240"/>
      <c r="KTO240"/>
      <c r="KTP240"/>
      <c r="KTQ240"/>
      <c r="KTR240"/>
      <c r="KTS240"/>
      <c r="KTT240"/>
      <c r="KTU240"/>
      <c r="KTV240"/>
      <c r="KTW240"/>
      <c r="KTX240"/>
      <c r="KTY240"/>
      <c r="KTZ240"/>
      <c r="KUA240"/>
      <c r="KUB240"/>
      <c r="KUC240"/>
      <c r="KUD240"/>
      <c r="KUE240"/>
      <c r="KUF240"/>
      <c r="KUG240"/>
      <c r="KUH240"/>
      <c r="KUI240"/>
      <c r="KUJ240"/>
      <c r="KUK240"/>
      <c r="KUL240"/>
      <c r="KUM240"/>
      <c r="KUN240"/>
      <c r="KUO240"/>
      <c r="KUP240"/>
      <c r="KUQ240"/>
      <c r="KUR240"/>
      <c r="KUS240"/>
      <c r="KUT240"/>
      <c r="KUU240"/>
      <c r="KUV240"/>
      <c r="KUW240"/>
      <c r="KUX240"/>
      <c r="KUY240"/>
      <c r="KUZ240"/>
      <c r="KVA240"/>
      <c r="KVB240"/>
      <c r="KVC240"/>
      <c r="KVD240"/>
      <c r="KVE240"/>
      <c r="KVF240"/>
      <c r="KVG240"/>
      <c r="KVH240"/>
      <c r="KVI240"/>
      <c r="KVJ240"/>
      <c r="KVK240"/>
      <c r="KVL240"/>
      <c r="KVM240"/>
      <c r="KVN240"/>
      <c r="KVO240"/>
      <c r="KVP240"/>
      <c r="KVQ240"/>
      <c r="KVR240"/>
      <c r="KVS240"/>
      <c r="KVT240"/>
      <c r="KVU240"/>
      <c r="KVV240"/>
      <c r="KVW240"/>
      <c r="KVX240"/>
      <c r="KVY240"/>
      <c r="KVZ240"/>
      <c r="KWA240"/>
      <c r="KWB240"/>
      <c r="KWC240"/>
      <c r="KWD240"/>
      <c r="KWE240"/>
      <c r="KWF240"/>
      <c r="KWG240"/>
      <c r="KWH240"/>
      <c r="KWI240"/>
      <c r="KWJ240"/>
      <c r="KWK240"/>
      <c r="KWL240"/>
      <c r="KWM240"/>
      <c r="KWN240"/>
      <c r="KWO240"/>
      <c r="KWP240"/>
      <c r="KWQ240"/>
      <c r="KWR240"/>
      <c r="KWS240"/>
      <c r="KWT240"/>
      <c r="KWU240"/>
      <c r="KWV240"/>
      <c r="KWW240"/>
      <c r="KWX240"/>
      <c r="KWY240"/>
      <c r="KWZ240"/>
      <c r="KXA240"/>
      <c r="KXB240"/>
      <c r="KXC240"/>
      <c r="KXD240"/>
      <c r="KXE240"/>
      <c r="KXF240"/>
      <c r="KXG240"/>
      <c r="KXH240"/>
      <c r="KXI240"/>
      <c r="KXJ240"/>
      <c r="KXK240"/>
      <c r="KXL240"/>
      <c r="KXM240"/>
      <c r="KXN240"/>
      <c r="KXO240"/>
      <c r="KXP240"/>
      <c r="KXQ240"/>
      <c r="KXR240"/>
      <c r="KXS240"/>
      <c r="KXT240"/>
      <c r="KXU240"/>
      <c r="KXV240"/>
      <c r="KXW240"/>
      <c r="KXX240"/>
      <c r="KXY240"/>
      <c r="KXZ240"/>
      <c r="KYA240"/>
      <c r="KYB240"/>
      <c r="KYC240"/>
      <c r="KYD240"/>
      <c r="KYE240"/>
      <c r="KYF240"/>
      <c r="KYG240"/>
      <c r="KYH240"/>
      <c r="KYI240"/>
      <c r="KYJ240"/>
      <c r="KYK240"/>
      <c r="KYL240"/>
      <c r="KYM240"/>
      <c r="KYN240"/>
      <c r="KYO240"/>
      <c r="KYP240"/>
      <c r="KYQ240"/>
      <c r="KYR240"/>
      <c r="KYS240"/>
      <c r="KYT240"/>
      <c r="KYU240"/>
      <c r="KYV240"/>
      <c r="KYW240"/>
      <c r="KYX240"/>
      <c r="KYY240"/>
      <c r="KYZ240"/>
      <c r="KZA240"/>
      <c r="KZB240"/>
      <c r="KZC240"/>
      <c r="KZD240"/>
      <c r="KZE240"/>
      <c r="KZF240"/>
      <c r="KZG240"/>
      <c r="KZH240"/>
      <c r="KZI240"/>
      <c r="KZJ240"/>
      <c r="KZK240"/>
      <c r="KZL240"/>
      <c r="KZM240"/>
      <c r="KZN240"/>
      <c r="KZO240"/>
      <c r="KZP240"/>
      <c r="KZQ240"/>
      <c r="KZR240"/>
      <c r="KZS240"/>
      <c r="KZT240"/>
      <c r="KZU240"/>
      <c r="KZV240"/>
      <c r="KZW240"/>
      <c r="KZX240"/>
      <c r="KZY240"/>
      <c r="KZZ240"/>
      <c r="LAA240"/>
      <c r="LAB240"/>
      <c r="LAC240"/>
      <c r="LAD240"/>
      <c r="LAE240"/>
      <c r="LAF240"/>
      <c r="LAG240"/>
      <c r="LAH240"/>
      <c r="LAI240"/>
      <c r="LAJ240"/>
      <c r="LAK240"/>
      <c r="LAL240"/>
      <c r="LAM240"/>
      <c r="LAN240"/>
      <c r="LAO240"/>
      <c r="LAP240"/>
      <c r="LAQ240"/>
      <c r="LAR240"/>
      <c r="LAS240"/>
      <c r="LAT240"/>
      <c r="LAU240"/>
      <c r="LAV240"/>
      <c r="LAW240"/>
      <c r="LAX240"/>
      <c r="LAY240"/>
      <c r="LAZ240"/>
      <c r="LBA240"/>
      <c r="LBB240"/>
      <c r="LBC240"/>
      <c r="LBD240"/>
      <c r="LBE240"/>
      <c r="LBF240"/>
      <c r="LBG240"/>
      <c r="LBH240"/>
      <c r="LBI240"/>
      <c r="LBJ240"/>
      <c r="LBK240"/>
      <c r="LBL240"/>
      <c r="LBM240"/>
      <c r="LBN240"/>
      <c r="LBO240"/>
      <c r="LBP240"/>
      <c r="LBQ240"/>
      <c r="LBR240"/>
      <c r="LBS240"/>
      <c r="LBT240"/>
      <c r="LBU240"/>
      <c r="LBV240"/>
      <c r="LBW240"/>
      <c r="LBX240"/>
      <c r="LBY240"/>
      <c r="LBZ240"/>
      <c r="LCA240"/>
      <c r="LCB240"/>
      <c r="LCC240"/>
      <c r="LCD240"/>
      <c r="LCE240"/>
      <c r="LCF240"/>
      <c r="LCG240"/>
      <c r="LCH240"/>
      <c r="LCI240"/>
      <c r="LCJ240"/>
      <c r="LCK240"/>
      <c r="LCL240"/>
      <c r="LCM240"/>
      <c r="LCN240"/>
      <c r="LCO240"/>
      <c r="LCP240"/>
      <c r="LCQ240"/>
      <c r="LCR240"/>
      <c r="LCS240"/>
      <c r="LCT240"/>
      <c r="LCU240"/>
      <c r="LCV240"/>
      <c r="LCW240"/>
      <c r="LCX240"/>
      <c r="LCY240"/>
      <c r="LCZ240"/>
      <c r="LDA240"/>
      <c r="LDB240"/>
      <c r="LDC240"/>
      <c r="LDD240"/>
      <c r="LDE240"/>
      <c r="LDF240"/>
      <c r="LDG240"/>
      <c r="LDH240"/>
      <c r="LDI240"/>
      <c r="LDJ240"/>
      <c r="LDK240"/>
      <c r="LDL240"/>
      <c r="LDM240"/>
      <c r="LDN240"/>
      <c r="LDO240"/>
      <c r="LDP240"/>
      <c r="LDQ240"/>
      <c r="LDR240"/>
      <c r="LDS240"/>
      <c r="LDT240"/>
      <c r="LDU240"/>
      <c r="LDV240"/>
      <c r="LDW240"/>
      <c r="LDX240"/>
      <c r="LDY240"/>
      <c r="LDZ240"/>
      <c r="LEA240"/>
      <c r="LEB240"/>
      <c r="LEC240"/>
      <c r="LED240"/>
      <c r="LEE240"/>
      <c r="LEF240"/>
      <c r="LEG240"/>
      <c r="LEH240"/>
      <c r="LEI240"/>
      <c r="LEJ240"/>
      <c r="LEK240"/>
      <c r="LEL240"/>
      <c r="LEM240"/>
      <c r="LEN240"/>
      <c r="LEO240"/>
      <c r="LEP240"/>
      <c r="LEQ240"/>
      <c r="LER240"/>
      <c r="LES240"/>
      <c r="LET240"/>
      <c r="LEU240"/>
      <c r="LEV240"/>
      <c r="LEW240"/>
      <c r="LEX240"/>
      <c r="LEY240"/>
      <c r="LEZ240"/>
      <c r="LFA240"/>
      <c r="LFB240"/>
      <c r="LFC240"/>
      <c r="LFD240"/>
      <c r="LFE240"/>
      <c r="LFF240"/>
      <c r="LFG240"/>
      <c r="LFH240"/>
      <c r="LFI240"/>
      <c r="LFJ240"/>
      <c r="LFK240"/>
      <c r="LFL240"/>
      <c r="LFM240"/>
      <c r="LFN240"/>
      <c r="LFO240"/>
      <c r="LFP240"/>
      <c r="LFQ240"/>
      <c r="LFR240"/>
      <c r="LFS240"/>
      <c r="LFT240"/>
      <c r="LFU240"/>
      <c r="LFV240"/>
      <c r="LFW240"/>
      <c r="LFX240"/>
      <c r="LFY240"/>
      <c r="LFZ240"/>
      <c r="LGA240"/>
      <c r="LGB240"/>
      <c r="LGC240"/>
      <c r="LGD240"/>
      <c r="LGE240"/>
      <c r="LGF240"/>
      <c r="LGG240"/>
      <c r="LGH240"/>
      <c r="LGI240"/>
      <c r="LGJ240"/>
      <c r="LGK240"/>
      <c r="LGL240"/>
      <c r="LGM240"/>
      <c r="LGN240"/>
      <c r="LGO240"/>
      <c r="LGP240"/>
      <c r="LGQ240"/>
      <c r="LGR240"/>
      <c r="LGS240"/>
      <c r="LGT240"/>
      <c r="LGU240"/>
      <c r="LGV240"/>
      <c r="LGW240"/>
      <c r="LGX240"/>
      <c r="LGY240"/>
      <c r="LGZ240"/>
      <c r="LHA240"/>
      <c r="LHB240"/>
      <c r="LHC240"/>
      <c r="LHD240"/>
      <c r="LHE240"/>
      <c r="LHF240"/>
      <c r="LHG240"/>
      <c r="LHH240"/>
      <c r="LHI240"/>
      <c r="LHJ240"/>
      <c r="LHK240"/>
      <c r="LHL240"/>
      <c r="LHM240"/>
      <c r="LHN240"/>
      <c r="LHO240"/>
      <c r="LHP240"/>
      <c r="LHQ240"/>
      <c r="LHR240"/>
      <c r="LHS240"/>
      <c r="LHT240"/>
      <c r="LHU240"/>
      <c r="LHV240"/>
      <c r="LHW240"/>
      <c r="LHX240"/>
      <c r="LHY240"/>
      <c r="LHZ240"/>
      <c r="LIA240"/>
      <c r="LIB240"/>
      <c r="LIC240"/>
      <c r="LID240"/>
      <c r="LIE240"/>
      <c r="LIF240"/>
      <c r="LIG240"/>
      <c r="LIH240"/>
      <c r="LII240"/>
      <c r="LIJ240"/>
      <c r="LIK240"/>
      <c r="LIL240"/>
      <c r="LIM240"/>
      <c r="LIN240"/>
      <c r="LIO240"/>
      <c r="LIP240"/>
      <c r="LIQ240"/>
      <c r="LIR240"/>
      <c r="LIS240"/>
      <c r="LIT240"/>
      <c r="LIU240"/>
      <c r="LIV240"/>
      <c r="LIW240"/>
      <c r="LIX240"/>
      <c r="LIY240"/>
      <c r="LIZ240"/>
      <c r="LJA240"/>
      <c r="LJB240"/>
      <c r="LJC240"/>
      <c r="LJD240"/>
      <c r="LJE240"/>
      <c r="LJF240"/>
      <c r="LJG240"/>
      <c r="LJH240"/>
      <c r="LJI240"/>
      <c r="LJJ240"/>
      <c r="LJK240"/>
      <c r="LJL240"/>
      <c r="LJM240"/>
      <c r="LJN240"/>
      <c r="LJO240"/>
      <c r="LJP240"/>
      <c r="LJQ240"/>
      <c r="LJR240"/>
      <c r="LJS240"/>
      <c r="LJT240"/>
      <c r="LJU240"/>
      <c r="LJV240"/>
      <c r="LJW240"/>
      <c r="LJX240"/>
      <c r="LJY240"/>
      <c r="LJZ240"/>
      <c r="LKA240"/>
      <c r="LKB240"/>
      <c r="LKC240"/>
      <c r="LKD240"/>
      <c r="LKE240"/>
      <c r="LKF240"/>
      <c r="LKG240"/>
      <c r="LKH240"/>
      <c r="LKI240"/>
      <c r="LKJ240"/>
      <c r="LKK240"/>
      <c r="LKL240"/>
      <c r="LKM240"/>
      <c r="LKN240"/>
      <c r="LKO240"/>
      <c r="LKP240"/>
      <c r="LKQ240"/>
      <c r="LKR240"/>
      <c r="LKS240"/>
      <c r="LKT240"/>
      <c r="LKU240"/>
      <c r="LKV240"/>
      <c r="LKW240"/>
      <c r="LKX240"/>
      <c r="LKY240"/>
      <c r="LKZ240"/>
      <c r="LLA240"/>
      <c r="LLB240"/>
      <c r="LLC240"/>
      <c r="LLD240"/>
      <c r="LLE240"/>
      <c r="LLF240"/>
      <c r="LLG240"/>
      <c r="LLH240"/>
      <c r="LLI240"/>
      <c r="LLJ240"/>
      <c r="LLK240"/>
      <c r="LLL240"/>
      <c r="LLM240"/>
      <c r="LLN240"/>
      <c r="LLO240"/>
      <c r="LLP240"/>
      <c r="LLQ240"/>
      <c r="LLR240"/>
      <c r="LLS240"/>
      <c r="LLT240"/>
      <c r="LLU240"/>
      <c r="LLV240"/>
      <c r="LLW240"/>
      <c r="LLX240"/>
      <c r="LLY240"/>
      <c r="LLZ240"/>
      <c r="LMA240"/>
      <c r="LMB240"/>
      <c r="LMC240"/>
      <c r="LMD240"/>
      <c r="LME240"/>
      <c r="LMF240"/>
      <c r="LMG240"/>
      <c r="LMH240"/>
      <c r="LMI240"/>
      <c r="LMJ240"/>
      <c r="LMK240"/>
      <c r="LML240"/>
      <c r="LMM240"/>
      <c r="LMN240"/>
      <c r="LMO240"/>
      <c r="LMP240"/>
      <c r="LMQ240"/>
      <c r="LMR240"/>
      <c r="LMS240"/>
      <c r="LMT240"/>
      <c r="LMU240"/>
      <c r="LMV240"/>
      <c r="LMW240"/>
      <c r="LMX240"/>
      <c r="LMY240"/>
      <c r="LMZ240"/>
      <c r="LNA240"/>
      <c r="LNB240"/>
      <c r="LNC240"/>
      <c r="LND240"/>
      <c r="LNE240"/>
      <c r="LNF240"/>
      <c r="LNG240"/>
      <c r="LNH240"/>
      <c r="LNI240"/>
      <c r="LNJ240"/>
      <c r="LNK240"/>
      <c r="LNL240"/>
      <c r="LNM240"/>
      <c r="LNN240"/>
      <c r="LNO240"/>
      <c r="LNP240"/>
      <c r="LNQ240"/>
      <c r="LNR240"/>
      <c r="LNS240"/>
      <c r="LNT240"/>
      <c r="LNU240"/>
      <c r="LNV240"/>
      <c r="LNW240"/>
      <c r="LNX240"/>
      <c r="LNY240"/>
      <c r="LNZ240"/>
      <c r="LOA240"/>
      <c r="LOB240"/>
      <c r="LOC240"/>
      <c r="LOD240"/>
      <c r="LOE240"/>
      <c r="LOF240"/>
      <c r="LOG240"/>
      <c r="LOH240"/>
      <c r="LOI240"/>
      <c r="LOJ240"/>
      <c r="LOK240"/>
      <c r="LOL240"/>
      <c r="LOM240"/>
      <c r="LON240"/>
      <c r="LOO240"/>
      <c r="LOP240"/>
      <c r="LOQ240"/>
      <c r="LOR240"/>
      <c r="LOS240"/>
      <c r="LOT240"/>
      <c r="LOU240"/>
      <c r="LOV240"/>
      <c r="LOW240"/>
      <c r="LOX240"/>
      <c r="LOY240"/>
      <c r="LOZ240"/>
      <c r="LPA240"/>
      <c r="LPB240"/>
      <c r="LPC240"/>
      <c r="LPD240"/>
      <c r="LPE240"/>
      <c r="LPF240"/>
      <c r="LPG240"/>
      <c r="LPH240"/>
      <c r="LPI240"/>
      <c r="LPJ240"/>
      <c r="LPK240"/>
      <c r="LPL240"/>
      <c r="LPM240"/>
      <c r="LPN240"/>
      <c r="LPO240"/>
      <c r="LPP240"/>
      <c r="LPQ240"/>
      <c r="LPR240"/>
      <c r="LPS240"/>
      <c r="LPT240"/>
      <c r="LPU240"/>
      <c r="LPV240"/>
      <c r="LPW240"/>
      <c r="LPX240"/>
      <c r="LPY240"/>
      <c r="LPZ240"/>
      <c r="LQA240"/>
      <c r="LQB240"/>
      <c r="LQC240"/>
      <c r="LQD240"/>
      <c r="LQE240"/>
      <c r="LQF240"/>
      <c r="LQG240"/>
      <c r="LQH240"/>
      <c r="LQI240"/>
      <c r="LQJ240"/>
      <c r="LQK240"/>
      <c r="LQL240"/>
      <c r="LQM240"/>
      <c r="LQN240"/>
      <c r="LQO240"/>
      <c r="LQP240"/>
      <c r="LQQ240"/>
      <c r="LQR240"/>
      <c r="LQS240"/>
      <c r="LQT240"/>
      <c r="LQU240"/>
      <c r="LQV240"/>
      <c r="LQW240"/>
      <c r="LQX240"/>
      <c r="LQY240"/>
      <c r="LQZ240"/>
      <c r="LRA240"/>
      <c r="LRB240"/>
      <c r="LRC240"/>
      <c r="LRD240"/>
      <c r="LRE240"/>
      <c r="LRF240"/>
      <c r="LRG240"/>
      <c r="LRH240"/>
      <c r="LRI240"/>
      <c r="LRJ240"/>
      <c r="LRK240"/>
      <c r="LRL240"/>
      <c r="LRM240"/>
      <c r="LRN240"/>
      <c r="LRO240"/>
      <c r="LRP240"/>
      <c r="LRQ240"/>
      <c r="LRR240"/>
      <c r="LRS240"/>
      <c r="LRT240"/>
      <c r="LRU240"/>
      <c r="LRV240"/>
      <c r="LRW240"/>
      <c r="LRX240"/>
      <c r="LRY240"/>
      <c r="LRZ240"/>
      <c r="LSA240"/>
      <c r="LSB240"/>
      <c r="LSC240"/>
      <c r="LSD240"/>
      <c r="LSE240"/>
      <c r="LSF240"/>
      <c r="LSG240"/>
      <c r="LSH240"/>
      <c r="LSI240"/>
      <c r="LSJ240"/>
      <c r="LSK240"/>
      <c r="LSL240"/>
      <c r="LSM240"/>
      <c r="LSN240"/>
      <c r="LSO240"/>
      <c r="LSP240"/>
      <c r="LSQ240"/>
      <c r="LSR240"/>
      <c r="LSS240"/>
      <c r="LST240"/>
      <c r="LSU240"/>
      <c r="LSV240"/>
      <c r="LSW240"/>
      <c r="LSX240"/>
      <c r="LSY240"/>
      <c r="LSZ240"/>
      <c r="LTA240"/>
      <c r="LTB240"/>
      <c r="LTC240"/>
      <c r="LTD240"/>
      <c r="LTE240"/>
      <c r="LTF240"/>
      <c r="LTG240"/>
      <c r="LTH240"/>
      <c r="LTI240"/>
      <c r="LTJ240"/>
      <c r="LTK240"/>
      <c r="LTL240"/>
      <c r="LTM240"/>
      <c r="LTN240"/>
      <c r="LTO240"/>
      <c r="LTP240"/>
      <c r="LTQ240"/>
      <c r="LTR240"/>
      <c r="LTS240"/>
      <c r="LTT240"/>
      <c r="LTU240"/>
      <c r="LTV240"/>
      <c r="LTW240"/>
      <c r="LTX240"/>
      <c r="LTY240"/>
      <c r="LTZ240"/>
      <c r="LUA240"/>
      <c r="LUB240"/>
      <c r="LUC240"/>
      <c r="LUD240"/>
      <c r="LUE240"/>
      <c r="LUF240"/>
      <c r="LUG240"/>
      <c r="LUH240"/>
      <c r="LUI240"/>
      <c r="LUJ240"/>
      <c r="LUK240"/>
      <c r="LUL240"/>
      <c r="LUM240"/>
      <c r="LUN240"/>
      <c r="LUO240"/>
      <c r="LUP240"/>
      <c r="LUQ240"/>
      <c r="LUR240"/>
      <c r="LUS240"/>
      <c r="LUT240"/>
      <c r="LUU240"/>
      <c r="LUV240"/>
      <c r="LUW240"/>
      <c r="LUX240"/>
      <c r="LUY240"/>
      <c r="LUZ240"/>
      <c r="LVA240"/>
      <c r="LVB240"/>
      <c r="LVC240"/>
      <c r="LVD240"/>
      <c r="LVE240"/>
      <c r="LVF240"/>
      <c r="LVG240"/>
      <c r="LVH240"/>
      <c r="LVI240"/>
      <c r="LVJ240"/>
      <c r="LVK240"/>
      <c r="LVL240"/>
      <c r="LVM240"/>
      <c r="LVN240"/>
      <c r="LVO240"/>
      <c r="LVP240"/>
      <c r="LVQ240"/>
      <c r="LVR240"/>
      <c r="LVS240"/>
      <c r="LVT240"/>
      <c r="LVU240"/>
      <c r="LVV240"/>
      <c r="LVW240"/>
      <c r="LVX240"/>
      <c r="LVY240"/>
      <c r="LVZ240"/>
      <c r="LWA240"/>
      <c r="LWB240"/>
      <c r="LWC240"/>
      <c r="LWD240"/>
      <c r="LWE240"/>
      <c r="LWF240"/>
      <c r="LWG240"/>
      <c r="LWH240"/>
      <c r="LWI240"/>
      <c r="LWJ240"/>
      <c r="LWK240"/>
      <c r="LWL240"/>
      <c r="LWM240"/>
      <c r="LWN240"/>
      <c r="LWO240"/>
      <c r="LWP240"/>
      <c r="LWQ240"/>
      <c r="LWR240"/>
      <c r="LWS240"/>
      <c r="LWT240"/>
      <c r="LWU240"/>
      <c r="LWV240"/>
      <c r="LWW240"/>
      <c r="LWX240"/>
      <c r="LWY240"/>
      <c r="LWZ240"/>
      <c r="LXA240"/>
      <c r="LXB240"/>
      <c r="LXC240"/>
      <c r="LXD240"/>
      <c r="LXE240"/>
      <c r="LXF240"/>
      <c r="LXG240"/>
      <c r="LXH240"/>
      <c r="LXI240"/>
      <c r="LXJ240"/>
      <c r="LXK240"/>
      <c r="LXL240"/>
      <c r="LXM240"/>
      <c r="LXN240"/>
      <c r="LXO240"/>
      <c r="LXP240"/>
      <c r="LXQ240"/>
      <c r="LXR240"/>
      <c r="LXS240"/>
      <c r="LXT240"/>
      <c r="LXU240"/>
      <c r="LXV240"/>
      <c r="LXW240"/>
      <c r="LXX240"/>
      <c r="LXY240"/>
      <c r="LXZ240"/>
      <c r="LYA240"/>
      <c r="LYB240"/>
      <c r="LYC240"/>
      <c r="LYD240"/>
      <c r="LYE240"/>
      <c r="LYF240"/>
      <c r="LYG240"/>
      <c r="LYH240"/>
      <c r="LYI240"/>
      <c r="LYJ240"/>
      <c r="LYK240"/>
      <c r="LYL240"/>
      <c r="LYM240"/>
      <c r="LYN240"/>
      <c r="LYO240"/>
      <c r="LYP240"/>
      <c r="LYQ240"/>
      <c r="LYR240"/>
      <c r="LYS240"/>
      <c r="LYT240"/>
      <c r="LYU240"/>
      <c r="LYV240"/>
      <c r="LYW240"/>
      <c r="LYX240"/>
      <c r="LYY240"/>
      <c r="LYZ240"/>
      <c r="LZA240"/>
      <c r="LZB240"/>
      <c r="LZC240"/>
      <c r="LZD240"/>
      <c r="LZE240"/>
      <c r="LZF240"/>
      <c r="LZG240"/>
      <c r="LZH240"/>
      <c r="LZI240"/>
      <c r="LZJ240"/>
      <c r="LZK240"/>
      <c r="LZL240"/>
      <c r="LZM240"/>
      <c r="LZN240"/>
      <c r="LZO240"/>
      <c r="LZP240"/>
      <c r="LZQ240"/>
      <c r="LZR240"/>
      <c r="LZS240"/>
      <c r="LZT240"/>
      <c r="LZU240"/>
      <c r="LZV240"/>
      <c r="LZW240"/>
      <c r="LZX240"/>
      <c r="LZY240"/>
      <c r="LZZ240"/>
      <c r="MAA240"/>
      <c r="MAB240"/>
      <c r="MAC240"/>
      <c r="MAD240"/>
      <c r="MAE240"/>
      <c r="MAF240"/>
      <c r="MAG240"/>
      <c r="MAH240"/>
      <c r="MAI240"/>
      <c r="MAJ240"/>
      <c r="MAK240"/>
      <c r="MAL240"/>
      <c r="MAM240"/>
      <c r="MAN240"/>
      <c r="MAO240"/>
      <c r="MAP240"/>
      <c r="MAQ240"/>
      <c r="MAR240"/>
      <c r="MAS240"/>
      <c r="MAT240"/>
      <c r="MAU240"/>
      <c r="MAV240"/>
      <c r="MAW240"/>
      <c r="MAX240"/>
      <c r="MAY240"/>
      <c r="MAZ240"/>
      <c r="MBA240"/>
      <c r="MBB240"/>
      <c r="MBC240"/>
      <c r="MBD240"/>
      <c r="MBE240"/>
      <c r="MBF240"/>
      <c r="MBG240"/>
      <c r="MBH240"/>
      <c r="MBI240"/>
      <c r="MBJ240"/>
      <c r="MBK240"/>
      <c r="MBL240"/>
      <c r="MBM240"/>
      <c r="MBN240"/>
      <c r="MBO240"/>
      <c r="MBP240"/>
      <c r="MBQ240"/>
      <c r="MBR240"/>
      <c r="MBS240"/>
      <c r="MBT240"/>
      <c r="MBU240"/>
      <c r="MBV240"/>
      <c r="MBW240"/>
      <c r="MBX240"/>
      <c r="MBY240"/>
      <c r="MBZ240"/>
      <c r="MCA240"/>
      <c r="MCB240"/>
      <c r="MCC240"/>
      <c r="MCD240"/>
      <c r="MCE240"/>
      <c r="MCF240"/>
      <c r="MCG240"/>
      <c r="MCH240"/>
      <c r="MCI240"/>
      <c r="MCJ240"/>
      <c r="MCK240"/>
      <c r="MCL240"/>
      <c r="MCM240"/>
      <c r="MCN240"/>
      <c r="MCO240"/>
      <c r="MCP240"/>
      <c r="MCQ240"/>
      <c r="MCR240"/>
      <c r="MCS240"/>
      <c r="MCT240"/>
      <c r="MCU240"/>
      <c r="MCV240"/>
      <c r="MCW240"/>
      <c r="MCX240"/>
      <c r="MCY240"/>
      <c r="MCZ240"/>
      <c r="MDA240"/>
      <c r="MDB240"/>
      <c r="MDC240"/>
      <c r="MDD240"/>
      <c r="MDE240"/>
      <c r="MDF240"/>
      <c r="MDG240"/>
      <c r="MDH240"/>
      <c r="MDI240"/>
      <c r="MDJ240"/>
      <c r="MDK240"/>
      <c r="MDL240"/>
      <c r="MDM240"/>
      <c r="MDN240"/>
      <c r="MDO240"/>
      <c r="MDP240"/>
      <c r="MDQ240"/>
      <c r="MDR240"/>
      <c r="MDS240"/>
      <c r="MDT240"/>
      <c r="MDU240"/>
      <c r="MDV240"/>
      <c r="MDW240"/>
      <c r="MDX240"/>
      <c r="MDY240"/>
      <c r="MDZ240"/>
      <c r="MEA240"/>
      <c r="MEB240"/>
      <c r="MEC240"/>
      <c r="MED240"/>
      <c r="MEE240"/>
      <c r="MEF240"/>
      <c r="MEG240"/>
      <c r="MEH240"/>
      <c r="MEI240"/>
      <c r="MEJ240"/>
      <c r="MEK240"/>
      <c r="MEL240"/>
      <c r="MEM240"/>
      <c r="MEN240"/>
      <c r="MEO240"/>
      <c r="MEP240"/>
      <c r="MEQ240"/>
      <c r="MER240"/>
      <c r="MES240"/>
      <c r="MET240"/>
      <c r="MEU240"/>
      <c r="MEV240"/>
      <c r="MEW240"/>
      <c r="MEX240"/>
      <c r="MEY240"/>
      <c r="MEZ240"/>
      <c r="MFA240"/>
      <c r="MFB240"/>
      <c r="MFC240"/>
      <c r="MFD240"/>
      <c r="MFE240"/>
      <c r="MFF240"/>
      <c r="MFG240"/>
      <c r="MFH240"/>
      <c r="MFI240"/>
      <c r="MFJ240"/>
      <c r="MFK240"/>
      <c r="MFL240"/>
      <c r="MFM240"/>
      <c r="MFN240"/>
      <c r="MFO240"/>
      <c r="MFP240"/>
      <c r="MFQ240"/>
      <c r="MFR240"/>
      <c r="MFS240"/>
      <c r="MFT240"/>
      <c r="MFU240"/>
      <c r="MFV240"/>
      <c r="MFW240"/>
      <c r="MFX240"/>
      <c r="MFY240"/>
      <c r="MFZ240"/>
      <c r="MGA240"/>
      <c r="MGB240"/>
      <c r="MGC240"/>
      <c r="MGD240"/>
      <c r="MGE240"/>
      <c r="MGF240"/>
      <c r="MGG240"/>
      <c r="MGH240"/>
      <c r="MGI240"/>
      <c r="MGJ240"/>
      <c r="MGK240"/>
      <c r="MGL240"/>
      <c r="MGM240"/>
      <c r="MGN240"/>
      <c r="MGO240"/>
      <c r="MGP240"/>
      <c r="MGQ240"/>
      <c r="MGR240"/>
      <c r="MGS240"/>
      <c r="MGT240"/>
      <c r="MGU240"/>
      <c r="MGV240"/>
      <c r="MGW240"/>
      <c r="MGX240"/>
      <c r="MGY240"/>
      <c r="MGZ240"/>
      <c r="MHA240"/>
      <c r="MHB240"/>
      <c r="MHC240"/>
      <c r="MHD240"/>
      <c r="MHE240"/>
      <c r="MHF240"/>
      <c r="MHG240"/>
      <c r="MHH240"/>
      <c r="MHI240"/>
      <c r="MHJ240"/>
      <c r="MHK240"/>
      <c r="MHL240"/>
      <c r="MHM240"/>
      <c r="MHN240"/>
      <c r="MHO240"/>
      <c r="MHP240"/>
      <c r="MHQ240"/>
      <c r="MHR240"/>
      <c r="MHS240"/>
      <c r="MHT240"/>
      <c r="MHU240"/>
      <c r="MHV240"/>
      <c r="MHW240"/>
      <c r="MHX240"/>
      <c r="MHY240"/>
      <c r="MHZ240"/>
      <c r="MIA240"/>
      <c r="MIB240"/>
      <c r="MIC240"/>
      <c r="MID240"/>
      <c r="MIE240"/>
      <c r="MIF240"/>
      <c r="MIG240"/>
      <c r="MIH240"/>
      <c r="MII240"/>
      <c r="MIJ240"/>
      <c r="MIK240"/>
      <c r="MIL240"/>
      <c r="MIM240"/>
      <c r="MIN240"/>
      <c r="MIO240"/>
      <c r="MIP240"/>
      <c r="MIQ240"/>
      <c r="MIR240"/>
      <c r="MIS240"/>
      <c r="MIT240"/>
      <c r="MIU240"/>
      <c r="MIV240"/>
      <c r="MIW240"/>
      <c r="MIX240"/>
      <c r="MIY240"/>
      <c r="MIZ240"/>
      <c r="MJA240"/>
      <c r="MJB240"/>
      <c r="MJC240"/>
      <c r="MJD240"/>
      <c r="MJE240"/>
      <c r="MJF240"/>
      <c r="MJG240"/>
      <c r="MJH240"/>
      <c r="MJI240"/>
      <c r="MJJ240"/>
      <c r="MJK240"/>
      <c r="MJL240"/>
      <c r="MJM240"/>
      <c r="MJN240"/>
      <c r="MJO240"/>
      <c r="MJP240"/>
      <c r="MJQ240"/>
      <c r="MJR240"/>
      <c r="MJS240"/>
      <c r="MJT240"/>
      <c r="MJU240"/>
      <c r="MJV240"/>
      <c r="MJW240"/>
      <c r="MJX240"/>
      <c r="MJY240"/>
      <c r="MJZ240"/>
      <c r="MKA240"/>
      <c r="MKB240"/>
      <c r="MKC240"/>
      <c r="MKD240"/>
      <c r="MKE240"/>
      <c r="MKF240"/>
      <c r="MKG240"/>
      <c r="MKH240"/>
      <c r="MKI240"/>
      <c r="MKJ240"/>
      <c r="MKK240"/>
      <c r="MKL240"/>
      <c r="MKM240"/>
      <c r="MKN240"/>
      <c r="MKO240"/>
      <c r="MKP240"/>
      <c r="MKQ240"/>
      <c r="MKR240"/>
      <c r="MKS240"/>
      <c r="MKT240"/>
      <c r="MKU240"/>
      <c r="MKV240"/>
      <c r="MKW240"/>
      <c r="MKX240"/>
      <c r="MKY240"/>
      <c r="MKZ240"/>
      <c r="MLA240"/>
      <c r="MLB240"/>
      <c r="MLC240"/>
      <c r="MLD240"/>
      <c r="MLE240"/>
      <c r="MLF240"/>
      <c r="MLG240"/>
      <c r="MLH240"/>
      <c r="MLI240"/>
      <c r="MLJ240"/>
      <c r="MLK240"/>
      <c r="MLL240"/>
      <c r="MLM240"/>
      <c r="MLN240"/>
      <c r="MLO240"/>
      <c r="MLP240"/>
      <c r="MLQ240"/>
      <c r="MLR240"/>
      <c r="MLS240"/>
      <c r="MLT240"/>
      <c r="MLU240"/>
      <c r="MLV240"/>
      <c r="MLW240"/>
      <c r="MLX240"/>
      <c r="MLY240"/>
      <c r="MLZ240"/>
      <c r="MMA240"/>
      <c r="MMB240"/>
      <c r="MMC240"/>
      <c r="MMD240"/>
      <c r="MME240"/>
      <c r="MMF240"/>
      <c r="MMG240"/>
      <c r="MMH240"/>
      <c r="MMI240"/>
      <c r="MMJ240"/>
      <c r="MMK240"/>
      <c r="MML240"/>
      <c r="MMM240"/>
      <c r="MMN240"/>
      <c r="MMO240"/>
      <c r="MMP240"/>
      <c r="MMQ240"/>
      <c r="MMR240"/>
      <c r="MMS240"/>
      <c r="MMT240"/>
      <c r="MMU240"/>
      <c r="MMV240"/>
      <c r="MMW240"/>
      <c r="MMX240"/>
      <c r="MMY240"/>
      <c r="MMZ240"/>
      <c r="MNA240"/>
      <c r="MNB240"/>
      <c r="MNC240"/>
      <c r="MND240"/>
      <c r="MNE240"/>
      <c r="MNF240"/>
      <c r="MNG240"/>
      <c r="MNH240"/>
      <c r="MNI240"/>
      <c r="MNJ240"/>
      <c r="MNK240"/>
      <c r="MNL240"/>
      <c r="MNM240"/>
      <c r="MNN240"/>
      <c r="MNO240"/>
      <c r="MNP240"/>
      <c r="MNQ240"/>
      <c r="MNR240"/>
      <c r="MNS240"/>
      <c r="MNT240"/>
      <c r="MNU240"/>
      <c r="MNV240"/>
      <c r="MNW240"/>
      <c r="MNX240"/>
      <c r="MNY240"/>
      <c r="MNZ240"/>
      <c r="MOA240"/>
      <c r="MOB240"/>
      <c r="MOC240"/>
      <c r="MOD240"/>
      <c r="MOE240"/>
      <c r="MOF240"/>
      <c r="MOG240"/>
      <c r="MOH240"/>
      <c r="MOI240"/>
      <c r="MOJ240"/>
      <c r="MOK240"/>
      <c r="MOL240"/>
      <c r="MOM240"/>
      <c r="MON240"/>
      <c r="MOO240"/>
      <c r="MOP240"/>
      <c r="MOQ240"/>
      <c r="MOR240"/>
      <c r="MOS240"/>
      <c r="MOT240"/>
      <c r="MOU240"/>
      <c r="MOV240"/>
      <c r="MOW240"/>
      <c r="MOX240"/>
      <c r="MOY240"/>
      <c r="MOZ240"/>
      <c r="MPA240"/>
      <c r="MPB240"/>
      <c r="MPC240"/>
      <c r="MPD240"/>
      <c r="MPE240"/>
      <c r="MPF240"/>
      <c r="MPG240"/>
      <c r="MPH240"/>
      <c r="MPI240"/>
      <c r="MPJ240"/>
      <c r="MPK240"/>
      <c r="MPL240"/>
      <c r="MPM240"/>
      <c r="MPN240"/>
      <c r="MPO240"/>
      <c r="MPP240"/>
      <c r="MPQ240"/>
      <c r="MPR240"/>
      <c r="MPS240"/>
      <c r="MPT240"/>
      <c r="MPU240"/>
      <c r="MPV240"/>
      <c r="MPW240"/>
      <c r="MPX240"/>
      <c r="MPY240"/>
      <c r="MPZ240"/>
      <c r="MQA240"/>
      <c r="MQB240"/>
      <c r="MQC240"/>
      <c r="MQD240"/>
      <c r="MQE240"/>
      <c r="MQF240"/>
      <c r="MQG240"/>
      <c r="MQH240"/>
      <c r="MQI240"/>
      <c r="MQJ240"/>
      <c r="MQK240"/>
      <c r="MQL240"/>
      <c r="MQM240"/>
      <c r="MQN240"/>
      <c r="MQO240"/>
      <c r="MQP240"/>
      <c r="MQQ240"/>
      <c r="MQR240"/>
      <c r="MQS240"/>
      <c r="MQT240"/>
      <c r="MQU240"/>
      <c r="MQV240"/>
      <c r="MQW240"/>
      <c r="MQX240"/>
      <c r="MQY240"/>
      <c r="MQZ240"/>
      <c r="MRA240"/>
      <c r="MRB240"/>
      <c r="MRC240"/>
      <c r="MRD240"/>
      <c r="MRE240"/>
      <c r="MRF240"/>
      <c r="MRG240"/>
      <c r="MRH240"/>
      <c r="MRI240"/>
      <c r="MRJ240"/>
      <c r="MRK240"/>
      <c r="MRL240"/>
      <c r="MRM240"/>
      <c r="MRN240"/>
      <c r="MRO240"/>
      <c r="MRP240"/>
      <c r="MRQ240"/>
      <c r="MRR240"/>
      <c r="MRS240"/>
      <c r="MRT240"/>
      <c r="MRU240"/>
      <c r="MRV240"/>
      <c r="MRW240"/>
      <c r="MRX240"/>
      <c r="MRY240"/>
      <c r="MRZ240"/>
      <c r="MSA240"/>
      <c r="MSB240"/>
      <c r="MSC240"/>
      <c r="MSD240"/>
      <c r="MSE240"/>
      <c r="MSF240"/>
      <c r="MSG240"/>
      <c r="MSH240"/>
      <c r="MSI240"/>
      <c r="MSJ240"/>
      <c r="MSK240"/>
      <c r="MSL240"/>
      <c r="MSM240"/>
      <c r="MSN240"/>
      <c r="MSO240"/>
      <c r="MSP240"/>
      <c r="MSQ240"/>
      <c r="MSR240"/>
      <c r="MSS240"/>
      <c r="MST240"/>
      <c r="MSU240"/>
      <c r="MSV240"/>
      <c r="MSW240"/>
      <c r="MSX240"/>
      <c r="MSY240"/>
      <c r="MSZ240"/>
      <c r="MTA240"/>
      <c r="MTB240"/>
      <c r="MTC240"/>
      <c r="MTD240"/>
      <c r="MTE240"/>
      <c r="MTF240"/>
      <c r="MTG240"/>
      <c r="MTH240"/>
      <c r="MTI240"/>
      <c r="MTJ240"/>
      <c r="MTK240"/>
      <c r="MTL240"/>
      <c r="MTM240"/>
      <c r="MTN240"/>
      <c r="MTO240"/>
      <c r="MTP240"/>
      <c r="MTQ240"/>
      <c r="MTR240"/>
      <c r="MTS240"/>
      <c r="MTT240"/>
      <c r="MTU240"/>
      <c r="MTV240"/>
      <c r="MTW240"/>
      <c r="MTX240"/>
      <c r="MTY240"/>
      <c r="MTZ240"/>
      <c r="MUA240"/>
      <c r="MUB240"/>
      <c r="MUC240"/>
      <c r="MUD240"/>
      <c r="MUE240"/>
      <c r="MUF240"/>
      <c r="MUG240"/>
      <c r="MUH240"/>
      <c r="MUI240"/>
      <c r="MUJ240"/>
      <c r="MUK240"/>
      <c r="MUL240"/>
      <c r="MUM240"/>
      <c r="MUN240"/>
      <c r="MUO240"/>
      <c r="MUP240"/>
      <c r="MUQ240"/>
      <c r="MUR240"/>
      <c r="MUS240"/>
      <c r="MUT240"/>
      <c r="MUU240"/>
      <c r="MUV240"/>
      <c r="MUW240"/>
      <c r="MUX240"/>
      <c r="MUY240"/>
      <c r="MUZ240"/>
      <c r="MVA240"/>
      <c r="MVB240"/>
      <c r="MVC240"/>
      <c r="MVD240"/>
      <c r="MVE240"/>
      <c r="MVF240"/>
      <c r="MVG240"/>
      <c r="MVH240"/>
      <c r="MVI240"/>
      <c r="MVJ240"/>
      <c r="MVK240"/>
      <c r="MVL240"/>
      <c r="MVM240"/>
      <c r="MVN240"/>
      <c r="MVO240"/>
      <c r="MVP240"/>
      <c r="MVQ240"/>
      <c r="MVR240"/>
      <c r="MVS240"/>
      <c r="MVT240"/>
      <c r="MVU240"/>
      <c r="MVV240"/>
      <c r="MVW240"/>
      <c r="MVX240"/>
      <c r="MVY240"/>
      <c r="MVZ240"/>
      <c r="MWA240"/>
      <c r="MWB240"/>
      <c r="MWC240"/>
      <c r="MWD240"/>
      <c r="MWE240"/>
      <c r="MWF240"/>
      <c r="MWG240"/>
      <c r="MWH240"/>
      <c r="MWI240"/>
      <c r="MWJ240"/>
      <c r="MWK240"/>
      <c r="MWL240"/>
      <c r="MWM240"/>
      <c r="MWN240"/>
      <c r="MWO240"/>
      <c r="MWP240"/>
      <c r="MWQ240"/>
      <c r="MWR240"/>
      <c r="MWS240"/>
      <c r="MWT240"/>
      <c r="MWU240"/>
      <c r="MWV240"/>
      <c r="MWW240"/>
      <c r="MWX240"/>
      <c r="MWY240"/>
      <c r="MWZ240"/>
      <c r="MXA240"/>
      <c r="MXB240"/>
      <c r="MXC240"/>
      <c r="MXD240"/>
      <c r="MXE240"/>
      <c r="MXF240"/>
      <c r="MXG240"/>
      <c r="MXH240"/>
      <c r="MXI240"/>
      <c r="MXJ240"/>
      <c r="MXK240"/>
      <c r="MXL240"/>
      <c r="MXM240"/>
      <c r="MXN240"/>
      <c r="MXO240"/>
      <c r="MXP240"/>
      <c r="MXQ240"/>
      <c r="MXR240"/>
      <c r="MXS240"/>
      <c r="MXT240"/>
      <c r="MXU240"/>
      <c r="MXV240"/>
      <c r="MXW240"/>
      <c r="MXX240"/>
      <c r="MXY240"/>
      <c r="MXZ240"/>
      <c r="MYA240"/>
      <c r="MYB240"/>
      <c r="MYC240"/>
      <c r="MYD240"/>
      <c r="MYE240"/>
      <c r="MYF240"/>
      <c r="MYG240"/>
      <c r="MYH240"/>
      <c r="MYI240"/>
      <c r="MYJ240"/>
      <c r="MYK240"/>
      <c r="MYL240"/>
      <c r="MYM240"/>
      <c r="MYN240"/>
      <c r="MYO240"/>
      <c r="MYP240"/>
      <c r="MYQ240"/>
      <c r="MYR240"/>
      <c r="MYS240"/>
      <c r="MYT240"/>
      <c r="MYU240"/>
      <c r="MYV240"/>
      <c r="MYW240"/>
      <c r="MYX240"/>
      <c r="MYY240"/>
      <c r="MYZ240"/>
      <c r="MZA240"/>
      <c r="MZB240"/>
      <c r="MZC240"/>
      <c r="MZD240"/>
      <c r="MZE240"/>
      <c r="MZF240"/>
      <c r="MZG240"/>
      <c r="MZH240"/>
      <c r="MZI240"/>
      <c r="MZJ240"/>
      <c r="MZK240"/>
      <c r="MZL240"/>
      <c r="MZM240"/>
      <c r="MZN240"/>
      <c r="MZO240"/>
      <c r="MZP240"/>
      <c r="MZQ240"/>
      <c r="MZR240"/>
      <c r="MZS240"/>
      <c r="MZT240"/>
      <c r="MZU240"/>
      <c r="MZV240"/>
      <c r="MZW240"/>
      <c r="MZX240"/>
      <c r="MZY240"/>
      <c r="MZZ240"/>
      <c r="NAA240"/>
      <c r="NAB240"/>
      <c r="NAC240"/>
      <c r="NAD240"/>
      <c r="NAE240"/>
      <c r="NAF240"/>
      <c r="NAG240"/>
      <c r="NAH240"/>
      <c r="NAI240"/>
      <c r="NAJ240"/>
      <c r="NAK240"/>
      <c r="NAL240"/>
      <c r="NAM240"/>
      <c r="NAN240"/>
      <c r="NAO240"/>
      <c r="NAP240"/>
      <c r="NAQ240"/>
      <c r="NAR240"/>
      <c r="NAS240"/>
      <c r="NAT240"/>
      <c r="NAU240"/>
      <c r="NAV240"/>
      <c r="NAW240"/>
      <c r="NAX240"/>
      <c r="NAY240"/>
      <c r="NAZ240"/>
      <c r="NBA240"/>
      <c r="NBB240"/>
      <c r="NBC240"/>
      <c r="NBD240"/>
      <c r="NBE240"/>
      <c r="NBF240"/>
      <c r="NBG240"/>
      <c r="NBH240"/>
      <c r="NBI240"/>
      <c r="NBJ240"/>
      <c r="NBK240"/>
      <c r="NBL240"/>
      <c r="NBM240"/>
      <c r="NBN240"/>
      <c r="NBO240"/>
      <c r="NBP240"/>
      <c r="NBQ240"/>
      <c r="NBR240"/>
      <c r="NBS240"/>
      <c r="NBT240"/>
      <c r="NBU240"/>
      <c r="NBV240"/>
      <c r="NBW240"/>
      <c r="NBX240"/>
      <c r="NBY240"/>
      <c r="NBZ240"/>
      <c r="NCA240"/>
      <c r="NCB240"/>
      <c r="NCC240"/>
      <c r="NCD240"/>
      <c r="NCE240"/>
      <c r="NCF240"/>
      <c r="NCG240"/>
      <c r="NCH240"/>
      <c r="NCI240"/>
      <c r="NCJ240"/>
      <c r="NCK240"/>
      <c r="NCL240"/>
      <c r="NCM240"/>
      <c r="NCN240"/>
      <c r="NCO240"/>
      <c r="NCP240"/>
      <c r="NCQ240"/>
      <c r="NCR240"/>
      <c r="NCS240"/>
      <c r="NCT240"/>
      <c r="NCU240"/>
      <c r="NCV240"/>
      <c r="NCW240"/>
      <c r="NCX240"/>
      <c r="NCY240"/>
      <c r="NCZ240"/>
      <c r="NDA240"/>
      <c r="NDB240"/>
      <c r="NDC240"/>
      <c r="NDD240"/>
      <c r="NDE240"/>
      <c r="NDF240"/>
      <c r="NDG240"/>
      <c r="NDH240"/>
      <c r="NDI240"/>
      <c r="NDJ240"/>
      <c r="NDK240"/>
      <c r="NDL240"/>
      <c r="NDM240"/>
      <c r="NDN240"/>
      <c r="NDO240"/>
      <c r="NDP240"/>
      <c r="NDQ240"/>
      <c r="NDR240"/>
      <c r="NDS240"/>
      <c r="NDT240"/>
      <c r="NDU240"/>
      <c r="NDV240"/>
      <c r="NDW240"/>
      <c r="NDX240"/>
      <c r="NDY240"/>
      <c r="NDZ240"/>
      <c r="NEA240"/>
      <c r="NEB240"/>
      <c r="NEC240"/>
      <c r="NED240"/>
      <c r="NEE240"/>
      <c r="NEF240"/>
      <c r="NEG240"/>
      <c r="NEH240"/>
      <c r="NEI240"/>
      <c r="NEJ240"/>
      <c r="NEK240"/>
      <c r="NEL240"/>
      <c r="NEM240"/>
      <c r="NEN240"/>
      <c r="NEO240"/>
      <c r="NEP240"/>
      <c r="NEQ240"/>
      <c r="NER240"/>
      <c r="NES240"/>
      <c r="NET240"/>
      <c r="NEU240"/>
      <c r="NEV240"/>
      <c r="NEW240"/>
      <c r="NEX240"/>
      <c r="NEY240"/>
      <c r="NEZ240"/>
      <c r="NFA240"/>
      <c r="NFB240"/>
      <c r="NFC240"/>
      <c r="NFD240"/>
      <c r="NFE240"/>
      <c r="NFF240"/>
      <c r="NFG240"/>
      <c r="NFH240"/>
      <c r="NFI240"/>
      <c r="NFJ240"/>
      <c r="NFK240"/>
      <c r="NFL240"/>
      <c r="NFM240"/>
      <c r="NFN240"/>
      <c r="NFO240"/>
      <c r="NFP240"/>
      <c r="NFQ240"/>
      <c r="NFR240"/>
      <c r="NFS240"/>
      <c r="NFT240"/>
      <c r="NFU240"/>
      <c r="NFV240"/>
      <c r="NFW240"/>
      <c r="NFX240"/>
      <c r="NFY240"/>
      <c r="NFZ240"/>
      <c r="NGA240"/>
      <c r="NGB240"/>
      <c r="NGC240"/>
      <c r="NGD240"/>
      <c r="NGE240"/>
      <c r="NGF240"/>
      <c r="NGG240"/>
      <c r="NGH240"/>
      <c r="NGI240"/>
      <c r="NGJ240"/>
      <c r="NGK240"/>
      <c r="NGL240"/>
      <c r="NGM240"/>
      <c r="NGN240"/>
      <c r="NGO240"/>
      <c r="NGP240"/>
      <c r="NGQ240"/>
      <c r="NGR240"/>
      <c r="NGS240"/>
      <c r="NGT240"/>
      <c r="NGU240"/>
      <c r="NGV240"/>
      <c r="NGW240"/>
      <c r="NGX240"/>
      <c r="NGY240"/>
      <c r="NGZ240"/>
      <c r="NHA240"/>
      <c r="NHB240"/>
      <c r="NHC240"/>
      <c r="NHD240"/>
      <c r="NHE240"/>
      <c r="NHF240"/>
      <c r="NHG240"/>
      <c r="NHH240"/>
      <c r="NHI240"/>
      <c r="NHJ240"/>
      <c r="NHK240"/>
      <c r="NHL240"/>
      <c r="NHM240"/>
      <c r="NHN240"/>
      <c r="NHO240"/>
      <c r="NHP240"/>
      <c r="NHQ240"/>
      <c r="NHR240"/>
      <c r="NHS240"/>
      <c r="NHT240"/>
      <c r="NHU240"/>
      <c r="NHV240"/>
      <c r="NHW240"/>
      <c r="NHX240"/>
      <c r="NHY240"/>
      <c r="NHZ240"/>
      <c r="NIA240"/>
      <c r="NIB240"/>
      <c r="NIC240"/>
      <c r="NID240"/>
      <c r="NIE240"/>
      <c r="NIF240"/>
      <c r="NIG240"/>
      <c r="NIH240"/>
      <c r="NII240"/>
      <c r="NIJ240"/>
      <c r="NIK240"/>
      <c r="NIL240"/>
      <c r="NIM240"/>
      <c r="NIN240"/>
      <c r="NIO240"/>
      <c r="NIP240"/>
      <c r="NIQ240"/>
      <c r="NIR240"/>
      <c r="NIS240"/>
      <c r="NIT240"/>
      <c r="NIU240"/>
      <c r="NIV240"/>
      <c r="NIW240"/>
      <c r="NIX240"/>
      <c r="NIY240"/>
      <c r="NIZ240"/>
      <c r="NJA240"/>
      <c r="NJB240"/>
      <c r="NJC240"/>
      <c r="NJD240"/>
      <c r="NJE240"/>
      <c r="NJF240"/>
      <c r="NJG240"/>
      <c r="NJH240"/>
      <c r="NJI240"/>
      <c r="NJJ240"/>
      <c r="NJK240"/>
      <c r="NJL240"/>
      <c r="NJM240"/>
      <c r="NJN240"/>
      <c r="NJO240"/>
      <c r="NJP240"/>
      <c r="NJQ240"/>
      <c r="NJR240"/>
      <c r="NJS240"/>
      <c r="NJT240"/>
      <c r="NJU240"/>
      <c r="NJV240"/>
      <c r="NJW240"/>
      <c r="NJX240"/>
      <c r="NJY240"/>
      <c r="NJZ240"/>
      <c r="NKA240"/>
      <c r="NKB240"/>
      <c r="NKC240"/>
      <c r="NKD240"/>
      <c r="NKE240"/>
      <c r="NKF240"/>
      <c r="NKG240"/>
      <c r="NKH240"/>
      <c r="NKI240"/>
      <c r="NKJ240"/>
      <c r="NKK240"/>
      <c r="NKL240"/>
      <c r="NKM240"/>
      <c r="NKN240"/>
      <c r="NKO240"/>
      <c r="NKP240"/>
      <c r="NKQ240"/>
      <c r="NKR240"/>
      <c r="NKS240"/>
      <c r="NKT240"/>
      <c r="NKU240"/>
      <c r="NKV240"/>
      <c r="NKW240"/>
      <c r="NKX240"/>
      <c r="NKY240"/>
      <c r="NKZ240"/>
      <c r="NLA240"/>
      <c r="NLB240"/>
      <c r="NLC240"/>
      <c r="NLD240"/>
      <c r="NLE240"/>
      <c r="NLF240"/>
      <c r="NLG240"/>
      <c r="NLH240"/>
      <c r="NLI240"/>
      <c r="NLJ240"/>
      <c r="NLK240"/>
      <c r="NLL240"/>
      <c r="NLM240"/>
      <c r="NLN240"/>
      <c r="NLO240"/>
      <c r="NLP240"/>
      <c r="NLQ240"/>
      <c r="NLR240"/>
      <c r="NLS240"/>
      <c r="NLT240"/>
      <c r="NLU240"/>
      <c r="NLV240"/>
      <c r="NLW240"/>
      <c r="NLX240"/>
      <c r="NLY240"/>
      <c r="NLZ240"/>
      <c r="NMA240"/>
      <c r="NMB240"/>
      <c r="NMC240"/>
      <c r="NMD240"/>
      <c r="NME240"/>
      <c r="NMF240"/>
      <c r="NMG240"/>
      <c r="NMH240"/>
      <c r="NMI240"/>
      <c r="NMJ240"/>
      <c r="NMK240"/>
      <c r="NML240"/>
      <c r="NMM240"/>
      <c r="NMN240"/>
      <c r="NMO240"/>
      <c r="NMP240"/>
      <c r="NMQ240"/>
      <c r="NMR240"/>
      <c r="NMS240"/>
      <c r="NMT240"/>
      <c r="NMU240"/>
      <c r="NMV240"/>
      <c r="NMW240"/>
      <c r="NMX240"/>
      <c r="NMY240"/>
      <c r="NMZ240"/>
      <c r="NNA240"/>
      <c r="NNB240"/>
      <c r="NNC240"/>
      <c r="NND240"/>
      <c r="NNE240"/>
      <c r="NNF240"/>
      <c r="NNG240"/>
      <c r="NNH240"/>
      <c r="NNI240"/>
      <c r="NNJ240"/>
      <c r="NNK240"/>
      <c r="NNL240"/>
      <c r="NNM240"/>
      <c r="NNN240"/>
      <c r="NNO240"/>
      <c r="NNP240"/>
      <c r="NNQ240"/>
      <c r="NNR240"/>
      <c r="NNS240"/>
      <c r="NNT240"/>
      <c r="NNU240"/>
      <c r="NNV240"/>
      <c r="NNW240"/>
      <c r="NNX240"/>
      <c r="NNY240"/>
      <c r="NNZ240"/>
      <c r="NOA240"/>
      <c r="NOB240"/>
      <c r="NOC240"/>
      <c r="NOD240"/>
      <c r="NOE240"/>
      <c r="NOF240"/>
      <c r="NOG240"/>
      <c r="NOH240"/>
      <c r="NOI240"/>
      <c r="NOJ240"/>
      <c r="NOK240"/>
      <c r="NOL240"/>
      <c r="NOM240"/>
      <c r="NON240"/>
      <c r="NOO240"/>
      <c r="NOP240"/>
      <c r="NOQ240"/>
      <c r="NOR240"/>
      <c r="NOS240"/>
      <c r="NOT240"/>
      <c r="NOU240"/>
      <c r="NOV240"/>
      <c r="NOW240"/>
      <c r="NOX240"/>
      <c r="NOY240"/>
      <c r="NOZ240"/>
      <c r="NPA240"/>
      <c r="NPB240"/>
      <c r="NPC240"/>
      <c r="NPD240"/>
      <c r="NPE240"/>
      <c r="NPF240"/>
      <c r="NPG240"/>
      <c r="NPH240"/>
      <c r="NPI240"/>
      <c r="NPJ240"/>
      <c r="NPK240"/>
      <c r="NPL240"/>
      <c r="NPM240"/>
      <c r="NPN240"/>
      <c r="NPO240"/>
      <c r="NPP240"/>
      <c r="NPQ240"/>
      <c r="NPR240"/>
      <c r="NPS240"/>
      <c r="NPT240"/>
      <c r="NPU240"/>
      <c r="NPV240"/>
      <c r="NPW240"/>
      <c r="NPX240"/>
      <c r="NPY240"/>
      <c r="NPZ240"/>
      <c r="NQA240"/>
      <c r="NQB240"/>
      <c r="NQC240"/>
      <c r="NQD240"/>
      <c r="NQE240"/>
      <c r="NQF240"/>
      <c r="NQG240"/>
      <c r="NQH240"/>
      <c r="NQI240"/>
      <c r="NQJ240"/>
      <c r="NQK240"/>
      <c r="NQL240"/>
      <c r="NQM240"/>
      <c r="NQN240"/>
      <c r="NQO240"/>
      <c r="NQP240"/>
      <c r="NQQ240"/>
      <c r="NQR240"/>
      <c r="NQS240"/>
      <c r="NQT240"/>
      <c r="NQU240"/>
      <c r="NQV240"/>
      <c r="NQW240"/>
      <c r="NQX240"/>
      <c r="NQY240"/>
      <c r="NQZ240"/>
      <c r="NRA240"/>
      <c r="NRB240"/>
      <c r="NRC240"/>
      <c r="NRD240"/>
      <c r="NRE240"/>
      <c r="NRF240"/>
      <c r="NRG240"/>
      <c r="NRH240"/>
      <c r="NRI240"/>
      <c r="NRJ240"/>
      <c r="NRK240"/>
      <c r="NRL240"/>
      <c r="NRM240"/>
      <c r="NRN240"/>
      <c r="NRO240"/>
      <c r="NRP240"/>
      <c r="NRQ240"/>
      <c r="NRR240"/>
      <c r="NRS240"/>
      <c r="NRT240"/>
      <c r="NRU240"/>
      <c r="NRV240"/>
      <c r="NRW240"/>
      <c r="NRX240"/>
      <c r="NRY240"/>
      <c r="NRZ240"/>
      <c r="NSA240"/>
      <c r="NSB240"/>
      <c r="NSC240"/>
      <c r="NSD240"/>
      <c r="NSE240"/>
      <c r="NSF240"/>
      <c r="NSG240"/>
      <c r="NSH240"/>
      <c r="NSI240"/>
      <c r="NSJ240"/>
      <c r="NSK240"/>
      <c r="NSL240"/>
      <c r="NSM240"/>
      <c r="NSN240"/>
      <c r="NSO240"/>
      <c r="NSP240"/>
      <c r="NSQ240"/>
      <c r="NSR240"/>
      <c r="NSS240"/>
      <c r="NST240"/>
      <c r="NSU240"/>
      <c r="NSV240"/>
      <c r="NSW240"/>
      <c r="NSX240"/>
      <c r="NSY240"/>
      <c r="NSZ240"/>
      <c r="NTA240"/>
      <c r="NTB240"/>
      <c r="NTC240"/>
      <c r="NTD240"/>
      <c r="NTE240"/>
      <c r="NTF240"/>
      <c r="NTG240"/>
      <c r="NTH240"/>
      <c r="NTI240"/>
      <c r="NTJ240"/>
      <c r="NTK240"/>
      <c r="NTL240"/>
      <c r="NTM240"/>
      <c r="NTN240"/>
      <c r="NTO240"/>
      <c r="NTP240"/>
      <c r="NTQ240"/>
      <c r="NTR240"/>
      <c r="NTS240"/>
      <c r="NTT240"/>
      <c r="NTU240"/>
      <c r="NTV240"/>
      <c r="NTW240"/>
      <c r="NTX240"/>
      <c r="NTY240"/>
      <c r="NTZ240"/>
      <c r="NUA240"/>
      <c r="NUB240"/>
      <c r="NUC240"/>
      <c r="NUD240"/>
      <c r="NUE240"/>
      <c r="NUF240"/>
      <c r="NUG240"/>
      <c r="NUH240"/>
      <c r="NUI240"/>
      <c r="NUJ240"/>
      <c r="NUK240"/>
      <c r="NUL240"/>
      <c r="NUM240"/>
      <c r="NUN240"/>
      <c r="NUO240"/>
      <c r="NUP240"/>
      <c r="NUQ240"/>
      <c r="NUR240"/>
      <c r="NUS240"/>
      <c r="NUT240"/>
      <c r="NUU240"/>
      <c r="NUV240"/>
      <c r="NUW240"/>
      <c r="NUX240"/>
      <c r="NUY240"/>
      <c r="NUZ240"/>
      <c r="NVA240"/>
      <c r="NVB240"/>
      <c r="NVC240"/>
      <c r="NVD240"/>
      <c r="NVE240"/>
      <c r="NVF240"/>
      <c r="NVG240"/>
      <c r="NVH240"/>
      <c r="NVI240"/>
      <c r="NVJ240"/>
      <c r="NVK240"/>
      <c r="NVL240"/>
      <c r="NVM240"/>
      <c r="NVN240"/>
      <c r="NVO240"/>
      <c r="NVP240"/>
      <c r="NVQ240"/>
      <c r="NVR240"/>
      <c r="NVS240"/>
      <c r="NVT240"/>
      <c r="NVU240"/>
      <c r="NVV240"/>
      <c r="NVW240"/>
      <c r="NVX240"/>
      <c r="NVY240"/>
      <c r="NVZ240"/>
      <c r="NWA240"/>
      <c r="NWB240"/>
      <c r="NWC240"/>
      <c r="NWD240"/>
      <c r="NWE240"/>
      <c r="NWF240"/>
      <c r="NWG240"/>
      <c r="NWH240"/>
      <c r="NWI240"/>
      <c r="NWJ240"/>
      <c r="NWK240"/>
      <c r="NWL240"/>
      <c r="NWM240"/>
      <c r="NWN240"/>
      <c r="NWO240"/>
      <c r="NWP240"/>
      <c r="NWQ240"/>
      <c r="NWR240"/>
      <c r="NWS240"/>
      <c r="NWT240"/>
      <c r="NWU240"/>
      <c r="NWV240"/>
      <c r="NWW240"/>
      <c r="NWX240"/>
      <c r="NWY240"/>
      <c r="NWZ240"/>
      <c r="NXA240"/>
      <c r="NXB240"/>
      <c r="NXC240"/>
      <c r="NXD240"/>
      <c r="NXE240"/>
      <c r="NXF240"/>
      <c r="NXG240"/>
      <c r="NXH240"/>
      <c r="NXI240"/>
      <c r="NXJ240"/>
      <c r="NXK240"/>
      <c r="NXL240"/>
      <c r="NXM240"/>
      <c r="NXN240"/>
      <c r="NXO240"/>
      <c r="NXP240"/>
      <c r="NXQ240"/>
      <c r="NXR240"/>
      <c r="NXS240"/>
      <c r="NXT240"/>
      <c r="NXU240"/>
      <c r="NXV240"/>
      <c r="NXW240"/>
      <c r="NXX240"/>
      <c r="NXY240"/>
      <c r="NXZ240"/>
      <c r="NYA240"/>
      <c r="NYB240"/>
      <c r="NYC240"/>
      <c r="NYD240"/>
      <c r="NYE240"/>
      <c r="NYF240"/>
      <c r="NYG240"/>
      <c r="NYH240"/>
      <c r="NYI240"/>
      <c r="NYJ240"/>
      <c r="NYK240"/>
      <c r="NYL240"/>
      <c r="NYM240"/>
      <c r="NYN240"/>
      <c r="NYO240"/>
      <c r="NYP240"/>
      <c r="NYQ240"/>
      <c r="NYR240"/>
      <c r="NYS240"/>
      <c r="NYT240"/>
      <c r="NYU240"/>
      <c r="NYV240"/>
      <c r="NYW240"/>
      <c r="NYX240"/>
      <c r="NYY240"/>
      <c r="NYZ240"/>
      <c r="NZA240"/>
      <c r="NZB240"/>
      <c r="NZC240"/>
      <c r="NZD240"/>
      <c r="NZE240"/>
      <c r="NZF240"/>
      <c r="NZG240"/>
      <c r="NZH240"/>
      <c r="NZI240"/>
      <c r="NZJ240"/>
      <c r="NZK240"/>
      <c r="NZL240"/>
      <c r="NZM240"/>
      <c r="NZN240"/>
      <c r="NZO240"/>
      <c r="NZP240"/>
      <c r="NZQ240"/>
      <c r="NZR240"/>
      <c r="NZS240"/>
      <c r="NZT240"/>
      <c r="NZU240"/>
      <c r="NZV240"/>
      <c r="NZW240"/>
      <c r="NZX240"/>
      <c r="NZY240"/>
      <c r="NZZ240"/>
      <c r="OAA240"/>
      <c r="OAB240"/>
      <c r="OAC240"/>
      <c r="OAD240"/>
      <c r="OAE240"/>
      <c r="OAF240"/>
      <c r="OAG240"/>
      <c r="OAH240"/>
      <c r="OAI240"/>
      <c r="OAJ240"/>
      <c r="OAK240"/>
      <c r="OAL240"/>
      <c r="OAM240"/>
      <c r="OAN240"/>
      <c r="OAO240"/>
      <c r="OAP240"/>
      <c r="OAQ240"/>
      <c r="OAR240"/>
      <c r="OAS240"/>
      <c r="OAT240"/>
      <c r="OAU240"/>
      <c r="OAV240"/>
      <c r="OAW240"/>
      <c r="OAX240"/>
      <c r="OAY240"/>
      <c r="OAZ240"/>
      <c r="OBA240"/>
      <c r="OBB240"/>
      <c r="OBC240"/>
      <c r="OBD240"/>
      <c r="OBE240"/>
      <c r="OBF240"/>
      <c r="OBG240"/>
      <c r="OBH240"/>
      <c r="OBI240"/>
      <c r="OBJ240"/>
      <c r="OBK240"/>
      <c r="OBL240"/>
      <c r="OBM240"/>
      <c r="OBN240"/>
      <c r="OBO240"/>
      <c r="OBP240"/>
      <c r="OBQ240"/>
      <c r="OBR240"/>
      <c r="OBS240"/>
      <c r="OBT240"/>
      <c r="OBU240"/>
      <c r="OBV240"/>
      <c r="OBW240"/>
      <c r="OBX240"/>
      <c r="OBY240"/>
      <c r="OBZ240"/>
      <c r="OCA240"/>
      <c r="OCB240"/>
      <c r="OCC240"/>
      <c r="OCD240"/>
      <c r="OCE240"/>
      <c r="OCF240"/>
      <c r="OCG240"/>
      <c r="OCH240"/>
      <c r="OCI240"/>
      <c r="OCJ240"/>
      <c r="OCK240"/>
      <c r="OCL240"/>
      <c r="OCM240"/>
      <c r="OCN240"/>
      <c r="OCO240"/>
      <c r="OCP240"/>
      <c r="OCQ240"/>
      <c r="OCR240"/>
      <c r="OCS240"/>
      <c r="OCT240"/>
      <c r="OCU240"/>
      <c r="OCV240"/>
      <c r="OCW240"/>
      <c r="OCX240"/>
      <c r="OCY240"/>
      <c r="OCZ240"/>
      <c r="ODA240"/>
      <c r="ODB240"/>
      <c r="ODC240"/>
      <c r="ODD240"/>
      <c r="ODE240"/>
      <c r="ODF240"/>
      <c r="ODG240"/>
      <c r="ODH240"/>
      <c r="ODI240"/>
      <c r="ODJ240"/>
      <c r="ODK240"/>
      <c r="ODL240"/>
      <c r="ODM240"/>
      <c r="ODN240"/>
      <c r="ODO240"/>
      <c r="ODP240"/>
      <c r="ODQ240"/>
      <c r="ODR240"/>
      <c r="ODS240"/>
      <c r="ODT240"/>
      <c r="ODU240"/>
      <c r="ODV240"/>
      <c r="ODW240"/>
      <c r="ODX240"/>
      <c r="ODY240"/>
      <c r="ODZ240"/>
      <c r="OEA240"/>
      <c r="OEB240"/>
      <c r="OEC240"/>
      <c r="OED240"/>
      <c r="OEE240"/>
      <c r="OEF240"/>
      <c r="OEG240"/>
      <c r="OEH240"/>
      <c r="OEI240"/>
      <c r="OEJ240"/>
      <c r="OEK240"/>
      <c r="OEL240"/>
      <c r="OEM240"/>
      <c r="OEN240"/>
      <c r="OEO240"/>
      <c r="OEP240"/>
      <c r="OEQ240"/>
      <c r="OER240"/>
      <c r="OES240"/>
      <c r="OET240"/>
      <c r="OEU240"/>
      <c r="OEV240"/>
      <c r="OEW240"/>
      <c r="OEX240"/>
      <c r="OEY240"/>
      <c r="OEZ240"/>
      <c r="OFA240"/>
      <c r="OFB240"/>
      <c r="OFC240"/>
      <c r="OFD240"/>
      <c r="OFE240"/>
      <c r="OFF240"/>
      <c r="OFG240"/>
      <c r="OFH240"/>
      <c r="OFI240"/>
      <c r="OFJ240"/>
      <c r="OFK240"/>
      <c r="OFL240"/>
      <c r="OFM240"/>
      <c r="OFN240"/>
      <c r="OFO240"/>
      <c r="OFP240"/>
      <c r="OFQ240"/>
      <c r="OFR240"/>
      <c r="OFS240"/>
      <c r="OFT240"/>
      <c r="OFU240"/>
      <c r="OFV240"/>
      <c r="OFW240"/>
      <c r="OFX240"/>
      <c r="OFY240"/>
      <c r="OFZ240"/>
      <c r="OGA240"/>
      <c r="OGB240"/>
      <c r="OGC240"/>
      <c r="OGD240"/>
      <c r="OGE240"/>
      <c r="OGF240"/>
      <c r="OGG240"/>
      <c r="OGH240"/>
      <c r="OGI240"/>
      <c r="OGJ240"/>
      <c r="OGK240"/>
      <c r="OGL240"/>
      <c r="OGM240"/>
      <c r="OGN240"/>
      <c r="OGO240"/>
      <c r="OGP240"/>
      <c r="OGQ240"/>
      <c r="OGR240"/>
      <c r="OGS240"/>
      <c r="OGT240"/>
      <c r="OGU240"/>
      <c r="OGV240"/>
      <c r="OGW240"/>
      <c r="OGX240"/>
      <c r="OGY240"/>
      <c r="OGZ240"/>
      <c r="OHA240"/>
      <c r="OHB240"/>
      <c r="OHC240"/>
      <c r="OHD240"/>
      <c r="OHE240"/>
      <c r="OHF240"/>
      <c r="OHG240"/>
      <c r="OHH240"/>
      <c r="OHI240"/>
      <c r="OHJ240"/>
      <c r="OHK240"/>
      <c r="OHL240"/>
      <c r="OHM240"/>
      <c r="OHN240"/>
      <c r="OHO240"/>
      <c r="OHP240"/>
      <c r="OHQ240"/>
      <c r="OHR240"/>
      <c r="OHS240"/>
      <c r="OHT240"/>
      <c r="OHU240"/>
      <c r="OHV240"/>
      <c r="OHW240"/>
      <c r="OHX240"/>
      <c r="OHY240"/>
      <c r="OHZ240"/>
      <c r="OIA240"/>
      <c r="OIB240"/>
      <c r="OIC240"/>
      <c r="OID240"/>
      <c r="OIE240"/>
      <c r="OIF240"/>
      <c r="OIG240"/>
      <c r="OIH240"/>
      <c r="OII240"/>
      <c r="OIJ240"/>
      <c r="OIK240"/>
      <c r="OIL240"/>
      <c r="OIM240"/>
      <c r="OIN240"/>
      <c r="OIO240"/>
      <c r="OIP240"/>
      <c r="OIQ240"/>
      <c r="OIR240"/>
      <c r="OIS240"/>
      <c r="OIT240"/>
      <c r="OIU240"/>
      <c r="OIV240"/>
      <c r="OIW240"/>
      <c r="OIX240"/>
      <c r="OIY240"/>
      <c r="OIZ240"/>
      <c r="OJA240"/>
      <c r="OJB240"/>
      <c r="OJC240"/>
      <c r="OJD240"/>
      <c r="OJE240"/>
      <c r="OJF240"/>
      <c r="OJG240"/>
      <c r="OJH240"/>
      <c r="OJI240"/>
      <c r="OJJ240"/>
      <c r="OJK240"/>
      <c r="OJL240"/>
      <c r="OJM240"/>
      <c r="OJN240"/>
      <c r="OJO240"/>
      <c r="OJP240"/>
      <c r="OJQ240"/>
      <c r="OJR240"/>
      <c r="OJS240"/>
      <c r="OJT240"/>
      <c r="OJU240"/>
      <c r="OJV240"/>
      <c r="OJW240"/>
      <c r="OJX240"/>
      <c r="OJY240"/>
      <c r="OJZ240"/>
      <c r="OKA240"/>
      <c r="OKB240"/>
      <c r="OKC240"/>
      <c r="OKD240"/>
      <c r="OKE240"/>
      <c r="OKF240"/>
      <c r="OKG240"/>
      <c r="OKH240"/>
      <c r="OKI240"/>
      <c r="OKJ240"/>
      <c r="OKK240"/>
      <c r="OKL240"/>
      <c r="OKM240"/>
      <c r="OKN240"/>
      <c r="OKO240"/>
      <c r="OKP240"/>
      <c r="OKQ240"/>
      <c r="OKR240"/>
      <c r="OKS240"/>
      <c r="OKT240"/>
      <c r="OKU240"/>
      <c r="OKV240"/>
      <c r="OKW240"/>
      <c r="OKX240"/>
      <c r="OKY240"/>
      <c r="OKZ240"/>
      <c r="OLA240"/>
      <c r="OLB240"/>
      <c r="OLC240"/>
      <c r="OLD240"/>
      <c r="OLE240"/>
      <c r="OLF240"/>
      <c r="OLG240"/>
      <c r="OLH240"/>
      <c r="OLI240"/>
      <c r="OLJ240"/>
      <c r="OLK240"/>
      <c r="OLL240"/>
      <c r="OLM240"/>
      <c r="OLN240"/>
      <c r="OLO240"/>
      <c r="OLP240"/>
      <c r="OLQ240"/>
      <c r="OLR240"/>
      <c r="OLS240"/>
      <c r="OLT240"/>
      <c r="OLU240"/>
      <c r="OLV240"/>
      <c r="OLW240"/>
      <c r="OLX240"/>
      <c r="OLY240"/>
      <c r="OLZ240"/>
      <c r="OMA240"/>
      <c r="OMB240"/>
      <c r="OMC240"/>
      <c r="OMD240"/>
      <c r="OME240"/>
      <c r="OMF240"/>
      <c r="OMG240"/>
      <c r="OMH240"/>
      <c r="OMI240"/>
      <c r="OMJ240"/>
      <c r="OMK240"/>
      <c r="OML240"/>
      <c r="OMM240"/>
      <c r="OMN240"/>
      <c r="OMO240"/>
      <c r="OMP240"/>
      <c r="OMQ240"/>
      <c r="OMR240"/>
      <c r="OMS240"/>
      <c r="OMT240"/>
      <c r="OMU240"/>
      <c r="OMV240"/>
      <c r="OMW240"/>
      <c r="OMX240"/>
      <c r="OMY240"/>
      <c r="OMZ240"/>
      <c r="ONA240"/>
      <c r="ONB240"/>
      <c r="ONC240"/>
      <c r="OND240"/>
      <c r="ONE240"/>
      <c r="ONF240"/>
      <c r="ONG240"/>
      <c r="ONH240"/>
      <c r="ONI240"/>
      <c r="ONJ240"/>
      <c r="ONK240"/>
      <c r="ONL240"/>
      <c r="ONM240"/>
      <c r="ONN240"/>
      <c r="ONO240"/>
      <c r="ONP240"/>
      <c r="ONQ240"/>
      <c r="ONR240"/>
      <c r="ONS240"/>
      <c r="ONT240"/>
      <c r="ONU240"/>
      <c r="ONV240"/>
      <c r="ONW240"/>
      <c r="ONX240"/>
      <c r="ONY240"/>
      <c r="ONZ240"/>
      <c r="OOA240"/>
      <c r="OOB240"/>
      <c r="OOC240"/>
      <c r="OOD240"/>
      <c r="OOE240"/>
      <c r="OOF240"/>
      <c r="OOG240"/>
      <c r="OOH240"/>
      <c r="OOI240"/>
      <c r="OOJ240"/>
      <c r="OOK240"/>
      <c r="OOL240"/>
      <c r="OOM240"/>
      <c r="OON240"/>
      <c r="OOO240"/>
      <c r="OOP240"/>
      <c r="OOQ240"/>
      <c r="OOR240"/>
      <c r="OOS240"/>
      <c r="OOT240"/>
      <c r="OOU240"/>
      <c r="OOV240"/>
      <c r="OOW240"/>
      <c r="OOX240"/>
      <c r="OOY240"/>
      <c r="OOZ240"/>
      <c r="OPA240"/>
      <c r="OPB240"/>
      <c r="OPC240"/>
      <c r="OPD240"/>
      <c r="OPE240"/>
      <c r="OPF240"/>
      <c r="OPG240"/>
      <c r="OPH240"/>
      <c r="OPI240"/>
      <c r="OPJ240"/>
      <c r="OPK240"/>
      <c r="OPL240"/>
      <c r="OPM240"/>
      <c r="OPN240"/>
      <c r="OPO240"/>
      <c r="OPP240"/>
      <c r="OPQ240"/>
      <c r="OPR240"/>
      <c r="OPS240"/>
      <c r="OPT240"/>
      <c r="OPU240"/>
      <c r="OPV240"/>
      <c r="OPW240"/>
      <c r="OPX240"/>
      <c r="OPY240"/>
      <c r="OPZ240"/>
      <c r="OQA240"/>
      <c r="OQB240"/>
      <c r="OQC240"/>
      <c r="OQD240"/>
      <c r="OQE240"/>
      <c r="OQF240"/>
      <c r="OQG240"/>
      <c r="OQH240"/>
      <c r="OQI240"/>
      <c r="OQJ240"/>
      <c r="OQK240"/>
      <c r="OQL240"/>
      <c r="OQM240"/>
      <c r="OQN240"/>
      <c r="OQO240"/>
      <c r="OQP240"/>
      <c r="OQQ240"/>
      <c r="OQR240"/>
      <c r="OQS240"/>
      <c r="OQT240"/>
      <c r="OQU240"/>
      <c r="OQV240"/>
      <c r="OQW240"/>
      <c r="OQX240"/>
      <c r="OQY240"/>
      <c r="OQZ240"/>
      <c r="ORA240"/>
      <c r="ORB240"/>
      <c r="ORC240"/>
      <c r="ORD240"/>
      <c r="ORE240"/>
      <c r="ORF240"/>
      <c r="ORG240"/>
      <c r="ORH240"/>
      <c r="ORI240"/>
      <c r="ORJ240"/>
      <c r="ORK240"/>
      <c r="ORL240"/>
      <c r="ORM240"/>
      <c r="ORN240"/>
      <c r="ORO240"/>
      <c r="ORP240"/>
      <c r="ORQ240"/>
      <c r="ORR240"/>
      <c r="ORS240"/>
      <c r="ORT240"/>
      <c r="ORU240"/>
      <c r="ORV240"/>
      <c r="ORW240"/>
      <c r="ORX240"/>
      <c r="ORY240"/>
      <c r="ORZ240"/>
      <c r="OSA240"/>
      <c r="OSB240"/>
      <c r="OSC240"/>
      <c r="OSD240"/>
      <c r="OSE240"/>
      <c r="OSF240"/>
      <c r="OSG240"/>
      <c r="OSH240"/>
      <c r="OSI240"/>
      <c r="OSJ240"/>
      <c r="OSK240"/>
      <c r="OSL240"/>
      <c r="OSM240"/>
      <c r="OSN240"/>
      <c r="OSO240"/>
      <c r="OSP240"/>
      <c r="OSQ240"/>
      <c r="OSR240"/>
      <c r="OSS240"/>
      <c r="OST240"/>
      <c r="OSU240"/>
      <c r="OSV240"/>
      <c r="OSW240"/>
      <c r="OSX240"/>
      <c r="OSY240"/>
      <c r="OSZ240"/>
      <c r="OTA240"/>
      <c r="OTB240"/>
      <c r="OTC240"/>
      <c r="OTD240"/>
      <c r="OTE240"/>
      <c r="OTF240"/>
      <c r="OTG240"/>
      <c r="OTH240"/>
      <c r="OTI240"/>
      <c r="OTJ240"/>
      <c r="OTK240"/>
      <c r="OTL240"/>
      <c r="OTM240"/>
      <c r="OTN240"/>
      <c r="OTO240"/>
      <c r="OTP240"/>
      <c r="OTQ240"/>
      <c r="OTR240"/>
      <c r="OTS240"/>
      <c r="OTT240"/>
      <c r="OTU240"/>
      <c r="OTV240"/>
      <c r="OTW240"/>
      <c r="OTX240"/>
      <c r="OTY240"/>
      <c r="OTZ240"/>
      <c r="OUA240"/>
      <c r="OUB240"/>
      <c r="OUC240"/>
      <c r="OUD240"/>
      <c r="OUE240"/>
      <c r="OUF240"/>
      <c r="OUG240"/>
      <c r="OUH240"/>
      <c r="OUI240"/>
      <c r="OUJ240"/>
      <c r="OUK240"/>
      <c r="OUL240"/>
      <c r="OUM240"/>
      <c r="OUN240"/>
      <c r="OUO240"/>
      <c r="OUP240"/>
      <c r="OUQ240"/>
      <c r="OUR240"/>
      <c r="OUS240"/>
      <c r="OUT240"/>
      <c r="OUU240"/>
      <c r="OUV240"/>
      <c r="OUW240"/>
      <c r="OUX240"/>
      <c r="OUY240"/>
      <c r="OUZ240"/>
      <c r="OVA240"/>
      <c r="OVB240"/>
      <c r="OVC240"/>
      <c r="OVD240"/>
      <c r="OVE240"/>
      <c r="OVF240"/>
      <c r="OVG240"/>
      <c r="OVH240"/>
      <c r="OVI240"/>
      <c r="OVJ240"/>
      <c r="OVK240"/>
      <c r="OVL240"/>
      <c r="OVM240"/>
      <c r="OVN240"/>
      <c r="OVO240"/>
      <c r="OVP240"/>
      <c r="OVQ240"/>
      <c r="OVR240"/>
      <c r="OVS240"/>
      <c r="OVT240"/>
      <c r="OVU240"/>
      <c r="OVV240"/>
      <c r="OVW240"/>
      <c r="OVX240"/>
      <c r="OVY240"/>
      <c r="OVZ240"/>
      <c r="OWA240"/>
      <c r="OWB240"/>
      <c r="OWC240"/>
      <c r="OWD240"/>
      <c r="OWE240"/>
      <c r="OWF240"/>
      <c r="OWG240"/>
      <c r="OWH240"/>
      <c r="OWI240"/>
      <c r="OWJ240"/>
      <c r="OWK240"/>
      <c r="OWL240"/>
      <c r="OWM240"/>
      <c r="OWN240"/>
      <c r="OWO240"/>
      <c r="OWP240"/>
      <c r="OWQ240"/>
      <c r="OWR240"/>
      <c r="OWS240"/>
      <c r="OWT240"/>
      <c r="OWU240"/>
      <c r="OWV240"/>
      <c r="OWW240"/>
      <c r="OWX240"/>
      <c r="OWY240"/>
      <c r="OWZ240"/>
      <c r="OXA240"/>
      <c r="OXB240"/>
      <c r="OXC240"/>
      <c r="OXD240"/>
      <c r="OXE240"/>
      <c r="OXF240"/>
      <c r="OXG240"/>
      <c r="OXH240"/>
      <c r="OXI240"/>
      <c r="OXJ240"/>
      <c r="OXK240"/>
      <c r="OXL240"/>
      <c r="OXM240"/>
      <c r="OXN240"/>
      <c r="OXO240"/>
      <c r="OXP240"/>
      <c r="OXQ240"/>
      <c r="OXR240"/>
      <c r="OXS240"/>
      <c r="OXT240"/>
      <c r="OXU240"/>
      <c r="OXV240"/>
      <c r="OXW240"/>
      <c r="OXX240"/>
      <c r="OXY240"/>
      <c r="OXZ240"/>
      <c r="OYA240"/>
      <c r="OYB240"/>
      <c r="OYC240"/>
      <c r="OYD240"/>
      <c r="OYE240"/>
      <c r="OYF240"/>
      <c r="OYG240"/>
      <c r="OYH240"/>
      <c r="OYI240"/>
      <c r="OYJ240"/>
      <c r="OYK240"/>
      <c r="OYL240"/>
      <c r="OYM240"/>
      <c r="OYN240"/>
      <c r="OYO240"/>
      <c r="OYP240"/>
      <c r="OYQ240"/>
      <c r="OYR240"/>
      <c r="OYS240"/>
      <c r="OYT240"/>
      <c r="OYU240"/>
      <c r="OYV240"/>
      <c r="OYW240"/>
      <c r="OYX240"/>
      <c r="OYY240"/>
      <c r="OYZ240"/>
      <c r="OZA240"/>
      <c r="OZB240"/>
      <c r="OZC240"/>
      <c r="OZD240"/>
      <c r="OZE240"/>
      <c r="OZF240"/>
      <c r="OZG240"/>
      <c r="OZH240"/>
      <c r="OZI240"/>
      <c r="OZJ240"/>
      <c r="OZK240"/>
      <c r="OZL240"/>
      <c r="OZM240"/>
      <c r="OZN240"/>
      <c r="OZO240"/>
      <c r="OZP240"/>
      <c r="OZQ240"/>
      <c r="OZR240"/>
      <c r="OZS240"/>
      <c r="OZT240"/>
      <c r="OZU240"/>
      <c r="OZV240"/>
      <c r="OZW240"/>
      <c r="OZX240"/>
      <c r="OZY240"/>
      <c r="OZZ240"/>
      <c r="PAA240"/>
      <c r="PAB240"/>
      <c r="PAC240"/>
      <c r="PAD240"/>
      <c r="PAE240"/>
      <c r="PAF240"/>
      <c r="PAG240"/>
      <c r="PAH240"/>
      <c r="PAI240"/>
      <c r="PAJ240"/>
      <c r="PAK240"/>
      <c r="PAL240"/>
      <c r="PAM240"/>
      <c r="PAN240"/>
      <c r="PAO240"/>
      <c r="PAP240"/>
      <c r="PAQ240"/>
      <c r="PAR240"/>
      <c r="PAS240"/>
      <c r="PAT240"/>
      <c r="PAU240"/>
      <c r="PAV240"/>
      <c r="PAW240"/>
      <c r="PAX240"/>
      <c r="PAY240"/>
      <c r="PAZ240"/>
      <c r="PBA240"/>
      <c r="PBB240"/>
      <c r="PBC240"/>
      <c r="PBD240"/>
      <c r="PBE240"/>
      <c r="PBF240"/>
      <c r="PBG240"/>
      <c r="PBH240"/>
      <c r="PBI240"/>
      <c r="PBJ240"/>
      <c r="PBK240"/>
      <c r="PBL240"/>
      <c r="PBM240"/>
      <c r="PBN240"/>
      <c r="PBO240"/>
      <c r="PBP240"/>
      <c r="PBQ240"/>
      <c r="PBR240"/>
      <c r="PBS240"/>
      <c r="PBT240"/>
      <c r="PBU240"/>
      <c r="PBV240"/>
      <c r="PBW240"/>
      <c r="PBX240"/>
      <c r="PBY240"/>
      <c r="PBZ240"/>
      <c r="PCA240"/>
      <c r="PCB240"/>
      <c r="PCC240"/>
      <c r="PCD240"/>
      <c r="PCE240"/>
      <c r="PCF240"/>
      <c r="PCG240"/>
      <c r="PCH240"/>
      <c r="PCI240"/>
      <c r="PCJ240"/>
      <c r="PCK240"/>
      <c r="PCL240"/>
      <c r="PCM240"/>
      <c r="PCN240"/>
      <c r="PCO240"/>
      <c r="PCP240"/>
      <c r="PCQ240"/>
      <c r="PCR240"/>
      <c r="PCS240"/>
      <c r="PCT240"/>
      <c r="PCU240"/>
      <c r="PCV240"/>
      <c r="PCW240"/>
      <c r="PCX240"/>
      <c r="PCY240"/>
      <c r="PCZ240"/>
      <c r="PDA240"/>
      <c r="PDB240"/>
      <c r="PDC240"/>
      <c r="PDD240"/>
      <c r="PDE240"/>
      <c r="PDF240"/>
      <c r="PDG240"/>
      <c r="PDH240"/>
      <c r="PDI240"/>
      <c r="PDJ240"/>
      <c r="PDK240"/>
      <c r="PDL240"/>
      <c r="PDM240"/>
      <c r="PDN240"/>
      <c r="PDO240"/>
      <c r="PDP240"/>
      <c r="PDQ240"/>
      <c r="PDR240"/>
      <c r="PDS240"/>
      <c r="PDT240"/>
      <c r="PDU240"/>
      <c r="PDV240"/>
      <c r="PDW240"/>
      <c r="PDX240"/>
      <c r="PDY240"/>
      <c r="PDZ240"/>
      <c r="PEA240"/>
      <c r="PEB240"/>
      <c r="PEC240"/>
      <c r="PED240"/>
      <c r="PEE240"/>
      <c r="PEF240"/>
      <c r="PEG240"/>
      <c r="PEH240"/>
      <c r="PEI240"/>
      <c r="PEJ240"/>
      <c r="PEK240"/>
      <c r="PEL240"/>
      <c r="PEM240"/>
      <c r="PEN240"/>
      <c r="PEO240"/>
      <c r="PEP240"/>
      <c r="PEQ240"/>
      <c r="PER240"/>
      <c r="PES240"/>
      <c r="PET240"/>
      <c r="PEU240"/>
      <c r="PEV240"/>
      <c r="PEW240"/>
      <c r="PEX240"/>
      <c r="PEY240"/>
      <c r="PEZ240"/>
      <c r="PFA240"/>
      <c r="PFB240"/>
      <c r="PFC240"/>
      <c r="PFD240"/>
      <c r="PFE240"/>
      <c r="PFF240"/>
      <c r="PFG240"/>
      <c r="PFH240"/>
      <c r="PFI240"/>
      <c r="PFJ240"/>
      <c r="PFK240"/>
      <c r="PFL240"/>
      <c r="PFM240"/>
      <c r="PFN240"/>
      <c r="PFO240"/>
      <c r="PFP240"/>
      <c r="PFQ240"/>
      <c r="PFR240"/>
      <c r="PFS240"/>
      <c r="PFT240"/>
      <c r="PFU240"/>
      <c r="PFV240"/>
      <c r="PFW240"/>
      <c r="PFX240"/>
      <c r="PFY240"/>
      <c r="PFZ240"/>
      <c r="PGA240"/>
      <c r="PGB240"/>
      <c r="PGC240"/>
      <c r="PGD240"/>
      <c r="PGE240"/>
      <c r="PGF240"/>
      <c r="PGG240"/>
      <c r="PGH240"/>
      <c r="PGI240"/>
      <c r="PGJ240"/>
      <c r="PGK240"/>
      <c r="PGL240"/>
      <c r="PGM240"/>
      <c r="PGN240"/>
      <c r="PGO240"/>
      <c r="PGP240"/>
      <c r="PGQ240"/>
      <c r="PGR240"/>
      <c r="PGS240"/>
      <c r="PGT240"/>
      <c r="PGU240"/>
      <c r="PGV240"/>
      <c r="PGW240"/>
      <c r="PGX240"/>
      <c r="PGY240"/>
      <c r="PGZ240"/>
      <c r="PHA240"/>
      <c r="PHB240"/>
      <c r="PHC240"/>
      <c r="PHD240"/>
      <c r="PHE240"/>
      <c r="PHF240"/>
      <c r="PHG240"/>
      <c r="PHH240"/>
      <c r="PHI240"/>
      <c r="PHJ240"/>
      <c r="PHK240"/>
      <c r="PHL240"/>
      <c r="PHM240"/>
      <c r="PHN240"/>
      <c r="PHO240"/>
      <c r="PHP240"/>
      <c r="PHQ240"/>
      <c r="PHR240"/>
      <c r="PHS240"/>
      <c r="PHT240"/>
      <c r="PHU240"/>
      <c r="PHV240"/>
      <c r="PHW240"/>
      <c r="PHX240"/>
      <c r="PHY240"/>
      <c r="PHZ240"/>
      <c r="PIA240"/>
      <c r="PIB240"/>
      <c r="PIC240"/>
      <c r="PID240"/>
      <c r="PIE240"/>
      <c r="PIF240"/>
      <c r="PIG240"/>
      <c r="PIH240"/>
      <c r="PII240"/>
      <c r="PIJ240"/>
      <c r="PIK240"/>
      <c r="PIL240"/>
      <c r="PIM240"/>
      <c r="PIN240"/>
      <c r="PIO240"/>
      <c r="PIP240"/>
      <c r="PIQ240"/>
      <c r="PIR240"/>
      <c r="PIS240"/>
      <c r="PIT240"/>
      <c r="PIU240"/>
      <c r="PIV240"/>
      <c r="PIW240"/>
      <c r="PIX240"/>
      <c r="PIY240"/>
      <c r="PIZ240"/>
      <c r="PJA240"/>
      <c r="PJB240"/>
      <c r="PJC240"/>
      <c r="PJD240"/>
      <c r="PJE240"/>
      <c r="PJF240"/>
      <c r="PJG240"/>
      <c r="PJH240"/>
      <c r="PJI240"/>
      <c r="PJJ240"/>
      <c r="PJK240"/>
      <c r="PJL240"/>
      <c r="PJM240"/>
      <c r="PJN240"/>
      <c r="PJO240"/>
      <c r="PJP240"/>
      <c r="PJQ240"/>
      <c r="PJR240"/>
      <c r="PJS240"/>
      <c r="PJT240"/>
      <c r="PJU240"/>
      <c r="PJV240"/>
      <c r="PJW240"/>
      <c r="PJX240"/>
      <c r="PJY240"/>
      <c r="PJZ240"/>
      <c r="PKA240"/>
      <c r="PKB240"/>
      <c r="PKC240"/>
      <c r="PKD240"/>
      <c r="PKE240"/>
      <c r="PKF240"/>
      <c r="PKG240"/>
      <c r="PKH240"/>
      <c r="PKI240"/>
      <c r="PKJ240"/>
      <c r="PKK240"/>
      <c r="PKL240"/>
      <c r="PKM240"/>
      <c r="PKN240"/>
      <c r="PKO240"/>
      <c r="PKP240"/>
      <c r="PKQ240"/>
      <c r="PKR240"/>
      <c r="PKS240"/>
      <c r="PKT240"/>
      <c r="PKU240"/>
      <c r="PKV240"/>
      <c r="PKW240"/>
      <c r="PKX240"/>
      <c r="PKY240"/>
      <c r="PKZ240"/>
      <c r="PLA240"/>
      <c r="PLB240"/>
      <c r="PLC240"/>
      <c r="PLD240"/>
      <c r="PLE240"/>
      <c r="PLF240"/>
      <c r="PLG240"/>
      <c r="PLH240"/>
      <c r="PLI240"/>
      <c r="PLJ240"/>
      <c r="PLK240"/>
      <c r="PLL240"/>
      <c r="PLM240"/>
      <c r="PLN240"/>
      <c r="PLO240"/>
      <c r="PLP240"/>
      <c r="PLQ240"/>
      <c r="PLR240"/>
      <c r="PLS240"/>
      <c r="PLT240"/>
      <c r="PLU240"/>
      <c r="PLV240"/>
      <c r="PLW240"/>
      <c r="PLX240"/>
      <c r="PLY240"/>
      <c r="PLZ240"/>
      <c r="PMA240"/>
      <c r="PMB240"/>
      <c r="PMC240"/>
      <c r="PMD240"/>
      <c r="PME240"/>
      <c r="PMF240"/>
      <c r="PMG240"/>
      <c r="PMH240"/>
      <c r="PMI240"/>
      <c r="PMJ240"/>
      <c r="PMK240"/>
      <c r="PML240"/>
      <c r="PMM240"/>
      <c r="PMN240"/>
      <c r="PMO240"/>
      <c r="PMP240"/>
      <c r="PMQ240"/>
      <c r="PMR240"/>
      <c r="PMS240"/>
      <c r="PMT240"/>
      <c r="PMU240"/>
      <c r="PMV240"/>
      <c r="PMW240"/>
      <c r="PMX240"/>
      <c r="PMY240"/>
      <c r="PMZ240"/>
      <c r="PNA240"/>
      <c r="PNB240"/>
      <c r="PNC240"/>
      <c r="PND240"/>
      <c r="PNE240"/>
      <c r="PNF240"/>
      <c r="PNG240"/>
      <c r="PNH240"/>
      <c r="PNI240"/>
      <c r="PNJ240"/>
      <c r="PNK240"/>
      <c r="PNL240"/>
      <c r="PNM240"/>
      <c r="PNN240"/>
      <c r="PNO240"/>
      <c r="PNP240"/>
      <c r="PNQ240"/>
      <c r="PNR240"/>
      <c r="PNS240"/>
      <c r="PNT240"/>
      <c r="PNU240"/>
      <c r="PNV240"/>
      <c r="PNW240"/>
      <c r="PNX240"/>
      <c r="PNY240"/>
      <c r="PNZ240"/>
      <c r="POA240"/>
      <c r="POB240"/>
      <c r="POC240"/>
      <c r="POD240"/>
      <c r="POE240"/>
      <c r="POF240"/>
      <c r="POG240"/>
      <c r="POH240"/>
      <c r="POI240"/>
      <c r="POJ240"/>
      <c r="POK240"/>
      <c r="POL240"/>
      <c r="POM240"/>
      <c r="PON240"/>
      <c r="POO240"/>
      <c r="POP240"/>
      <c r="POQ240"/>
      <c r="POR240"/>
      <c r="POS240"/>
      <c r="POT240"/>
      <c r="POU240"/>
      <c r="POV240"/>
      <c r="POW240"/>
      <c r="POX240"/>
      <c r="POY240"/>
      <c r="POZ240"/>
      <c r="PPA240"/>
      <c r="PPB240"/>
      <c r="PPC240"/>
      <c r="PPD240"/>
      <c r="PPE240"/>
      <c r="PPF240"/>
      <c r="PPG240"/>
      <c r="PPH240"/>
      <c r="PPI240"/>
      <c r="PPJ240"/>
      <c r="PPK240"/>
      <c r="PPL240"/>
      <c r="PPM240"/>
      <c r="PPN240"/>
      <c r="PPO240"/>
      <c r="PPP240"/>
      <c r="PPQ240"/>
      <c r="PPR240"/>
      <c r="PPS240"/>
      <c r="PPT240"/>
      <c r="PPU240"/>
      <c r="PPV240"/>
      <c r="PPW240"/>
      <c r="PPX240"/>
      <c r="PPY240"/>
      <c r="PPZ240"/>
      <c r="PQA240"/>
      <c r="PQB240"/>
      <c r="PQC240"/>
      <c r="PQD240"/>
      <c r="PQE240"/>
      <c r="PQF240"/>
      <c r="PQG240"/>
      <c r="PQH240"/>
      <c r="PQI240"/>
      <c r="PQJ240"/>
      <c r="PQK240"/>
      <c r="PQL240"/>
      <c r="PQM240"/>
      <c r="PQN240"/>
      <c r="PQO240"/>
      <c r="PQP240"/>
      <c r="PQQ240"/>
      <c r="PQR240"/>
      <c r="PQS240"/>
      <c r="PQT240"/>
      <c r="PQU240"/>
      <c r="PQV240"/>
      <c r="PQW240"/>
      <c r="PQX240"/>
      <c r="PQY240"/>
      <c r="PQZ240"/>
      <c r="PRA240"/>
      <c r="PRB240"/>
      <c r="PRC240"/>
      <c r="PRD240"/>
      <c r="PRE240"/>
      <c r="PRF240"/>
      <c r="PRG240"/>
      <c r="PRH240"/>
      <c r="PRI240"/>
      <c r="PRJ240"/>
      <c r="PRK240"/>
      <c r="PRL240"/>
      <c r="PRM240"/>
      <c r="PRN240"/>
      <c r="PRO240"/>
      <c r="PRP240"/>
      <c r="PRQ240"/>
      <c r="PRR240"/>
      <c r="PRS240"/>
      <c r="PRT240"/>
      <c r="PRU240"/>
      <c r="PRV240"/>
      <c r="PRW240"/>
      <c r="PRX240"/>
      <c r="PRY240"/>
      <c r="PRZ240"/>
      <c r="PSA240"/>
      <c r="PSB240"/>
      <c r="PSC240"/>
      <c r="PSD240"/>
      <c r="PSE240"/>
      <c r="PSF240"/>
      <c r="PSG240"/>
      <c r="PSH240"/>
      <c r="PSI240"/>
      <c r="PSJ240"/>
      <c r="PSK240"/>
      <c r="PSL240"/>
      <c r="PSM240"/>
      <c r="PSN240"/>
      <c r="PSO240"/>
      <c r="PSP240"/>
      <c r="PSQ240"/>
      <c r="PSR240"/>
      <c r="PSS240"/>
      <c r="PST240"/>
      <c r="PSU240"/>
      <c r="PSV240"/>
      <c r="PSW240"/>
      <c r="PSX240"/>
      <c r="PSY240"/>
      <c r="PSZ240"/>
      <c r="PTA240"/>
      <c r="PTB240"/>
      <c r="PTC240"/>
      <c r="PTD240"/>
      <c r="PTE240"/>
      <c r="PTF240"/>
      <c r="PTG240"/>
      <c r="PTH240"/>
      <c r="PTI240"/>
      <c r="PTJ240"/>
      <c r="PTK240"/>
      <c r="PTL240"/>
      <c r="PTM240"/>
      <c r="PTN240"/>
      <c r="PTO240"/>
      <c r="PTP240"/>
      <c r="PTQ240"/>
      <c r="PTR240"/>
      <c r="PTS240"/>
      <c r="PTT240"/>
      <c r="PTU240"/>
      <c r="PTV240"/>
      <c r="PTW240"/>
      <c r="PTX240"/>
      <c r="PTY240"/>
      <c r="PTZ240"/>
      <c r="PUA240"/>
      <c r="PUB240"/>
      <c r="PUC240"/>
      <c r="PUD240"/>
      <c r="PUE240"/>
      <c r="PUF240"/>
      <c r="PUG240"/>
      <c r="PUH240"/>
      <c r="PUI240"/>
      <c r="PUJ240"/>
      <c r="PUK240"/>
      <c r="PUL240"/>
      <c r="PUM240"/>
      <c r="PUN240"/>
      <c r="PUO240"/>
      <c r="PUP240"/>
      <c r="PUQ240"/>
      <c r="PUR240"/>
      <c r="PUS240"/>
      <c r="PUT240"/>
      <c r="PUU240"/>
      <c r="PUV240"/>
      <c r="PUW240"/>
      <c r="PUX240"/>
      <c r="PUY240"/>
      <c r="PUZ240"/>
      <c r="PVA240"/>
      <c r="PVB240"/>
      <c r="PVC240"/>
      <c r="PVD240"/>
      <c r="PVE240"/>
      <c r="PVF240"/>
      <c r="PVG240"/>
      <c r="PVH240"/>
      <c r="PVI240"/>
      <c r="PVJ240"/>
      <c r="PVK240"/>
      <c r="PVL240"/>
      <c r="PVM240"/>
      <c r="PVN240"/>
      <c r="PVO240"/>
      <c r="PVP240"/>
      <c r="PVQ240"/>
      <c r="PVR240"/>
      <c r="PVS240"/>
      <c r="PVT240"/>
      <c r="PVU240"/>
      <c r="PVV240"/>
      <c r="PVW240"/>
      <c r="PVX240"/>
      <c r="PVY240"/>
      <c r="PVZ240"/>
      <c r="PWA240"/>
      <c r="PWB240"/>
      <c r="PWC240"/>
      <c r="PWD240"/>
      <c r="PWE240"/>
      <c r="PWF240"/>
      <c r="PWG240"/>
      <c r="PWH240"/>
      <c r="PWI240"/>
      <c r="PWJ240"/>
      <c r="PWK240"/>
      <c r="PWL240"/>
      <c r="PWM240"/>
      <c r="PWN240"/>
      <c r="PWO240"/>
      <c r="PWP240"/>
      <c r="PWQ240"/>
      <c r="PWR240"/>
      <c r="PWS240"/>
      <c r="PWT240"/>
      <c r="PWU240"/>
      <c r="PWV240"/>
      <c r="PWW240"/>
      <c r="PWX240"/>
      <c r="PWY240"/>
      <c r="PWZ240"/>
      <c r="PXA240"/>
      <c r="PXB240"/>
      <c r="PXC240"/>
      <c r="PXD240"/>
      <c r="PXE240"/>
      <c r="PXF240"/>
      <c r="PXG240"/>
      <c r="PXH240"/>
      <c r="PXI240"/>
      <c r="PXJ240"/>
      <c r="PXK240"/>
      <c r="PXL240"/>
      <c r="PXM240"/>
      <c r="PXN240"/>
      <c r="PXO240"/>
      <c r="PXP240"/>
      <c r="PXQ240"/>
      <c r="PXR240"/>
      <c r="PXS240"/>
      <c r="PXT240"/>
      <c r="PXU240"/>
      <c r="PXV240"/>
      <c r="PXW240"/>
      <c r="PXX240"/>
      <c r="PXY240"/>
      <c r="PXZ240"/>
      <c r="PYA240"/>
      <c r="PYB240"/>
      <c r="PYC240"/>
      <c r="PYD240"/>
      <c r="PYE240"/>
      <c r="PYF240"/>
      <c r="PYG240"/>
      <c r="PYH240"/>
      <c r="PYI240"/>
      <c r="PYJ240"/>
      <c r="PYK240"/>
      <c r="PYL240"/>
      <c r="PYM240"/>
      <c r="PYN240"/>
      <c r="PYO240"/>
      <c r="PYP240"/>
      <c r="PYQ240"/>
      <c r="PYR240"/>
      <c r="PYS240"/>
      <c r="PYT240"/>
      <c r="PYU240"/>
      <c r="PYV240"/>
      <c r="PYW240"/>
      <c r="PYX240"/>
      <c r="PYY240"/>
      <c r="PYZ240"/>
      <c r="PZA240"/>
      <c r="PZB240"/>
      <c r="PZC240"/>
      <c r="PZD240"/>
      <c r="PZE240"/>
      <c r="PZF240"/>
      <c r="PZG240"/>
      <c r="PZH240"/>
      <c r="PZI240"/>
      <c r="PZJ240"/>
      <c r="PZK240"/>
      <c r="PZL240"/>
      <c r="PZM240"/>
      <c r="PZN240"/>
      <c r="PZO240"/>
      <c r="PZP240"/>
      <c r="PZQ240"/>
      <c r="PZR240"/>
      <c r="PZS240"/>
      <c r="PZT240"/>
      <c r="PZU240"/>
      <c r="PZV240"/>
      <c r="PZW240"/>
      <c r="PZX240"/>
      <c r="PZY240"/>
      <c r="PZZ240"/>
      <c r="QAA240"/>
      <c r="QAB240"/>
      <c r="QAC240"/>
      <c r="QAD240"/>
      <c r="QAE240"/>
      <c r="QAF240"/>
      <c r="QAG240"/>
      <c r="QAH240"/>
      <c r="QAI240"/>
      <c r="QAJ240"/>
      <c r="QAK240"/>
      <c r="QAL240"/>
      <c r="QAM240"/>
      <c r="QAN240"/>
      <c r="QAO240"/>
      <c r="QAP240"/>
      <c r="QAQ240"/>
      <c r="QAR240"/>
      <c r="QAS240"/>
      <c r="QAT240"/>
      <c r="QAU240"/>
      <c r="QAV240"/>
      <c r="QAW240"/>
      <c r="QAX240"/>
      <c r="QAY240"/>
      <c r="QAZ240"/>
      <c r="QBA240"/>
      <c r="QBB240"/>
      <c r="QBC240"/>
      <c r="QBD240"/>
      <c r="QBE240"/>
      <c r="QBF240"/>
      <c r="QBG240"/>
      <c r="QBH240"/>
      <c r="QBI240"/>
      <c r="QBJ240"/>
      <c r="QBK240"/>
      <c r="QBL240"/>
      <c r="QBM240"/>
      <c r="QBN240"/>
      <c r="QBO240"/>
      <c r="QBP240"/>
      <c r="QBQ240"/>
      <c r="QBR240"/>
      <c r="QBS240"/>
      <c r="QBT240"/>
      <c r="QBU240"/>
      <c r="QBV240"/>
      <c r="QBW240"/>
      <c r="QBX240"/>
      <c r="QBY240"/>
      <c r="QBZ240"/>
      <c r="QCA240"/>
      <c r="QCB240"/>
      <c r="QCC240"/>
      <c r="QCD240"/>
      <c r="QCE240"/>
      <c r="QCF240"/>
      <c r="QCG240"/>
      <c r="QCH240"/>
      <c r="QCI240"/>
      <c r="QCJ240"/>
      <c r="QCK240"/>
      <c r="QCL240"/>
      <c r="QCM240"/>
      <c r="QCN240"/>
      <c r="QCO240"/>
      <c r="QCP240"/>
      <c r="QCQ240"/>
      <c r="QCR240"/>
      <c r="QCS240"/>
      <c r="QCT240"/>
      <c r="QCU240"/>
      <c r="QCV240"/>
      <c r="QCW240"/>
      <c r="QCX240"/>
      <c r="QCY240"/>
      <c r="QCZ240"/>
      <c r="QDA240"/>
      <c r="QDB240"/>
      <c r="QDC240"/>
      <c r="QDD240"/>
      <c r="QDE240"/>
      <c r="QDF240"/>
      <c r="QDG240"/>
      <c r="QDH240"/>
      <c r="QDI240"/>
      <c r="QDJ240"/>
      <c r="QDK240"/>
      <c r="QDL240"/>
      <c r="QDM240"/>
      <c r="QDN240"/>
      <c r="QDO240"/>
      <c r="QDP240"/>
      <c r="QDQ240"/>
      <c r="QDR240"/>
      <c r="QDS240"/>
      <c r="QDT240"/>
      <c r="QDU240"/>
      <c r="QDV240"/>
      <c r="QDW240"/>
      <c r="QDX240"/>
      <c r="QDY240"/>
      <c r="QDZ240"/>
      <c r="QEA240"/>
      <c r="QEB240"/>
      <c r="QEC240"/>
      <c r="QED240"/>
      <c r="QEE240"/>
      <c r="QEF240"/>
      <c r="QEG240"/>
      <c r="QEH240"/>
      <c r="QEI240"/>
      <c r="QEJ240"/>
      <c r="QEK240"/>
      <c r="QEL240"/>
      <c r="QEM240"/>
      <c r="QEN240"/>
      <c r="QEO240"/>
      <c r="QEP240"/>
      <c r="QEQ240"/>
      <c r="QER240"/>
      <c r="QES240"/>
      <c r="QET240"/>
      <c r="QEU240"/>
      <c r="QEV240"/>
      <c r="QEW240"/>
      <c r="QEX240"/>
      <c r="QEY240"/>
      <c r="QEZ240"/>
      <c r="QFA240"/>
      <c r="QFB240"/>
      <c r="QFC240"/>
      <c r="QFD240"/>
      <c r="QFE240"/>
      <c r="QFF240"/>
      <c r="QFG240"/>
      <c r="QFH240"/>
      <c r="QFI240"/>
      <c r="QFJ240"/>
      <c r="QFK240"/>
      <c r="QFL240"/>
      <c r="QFM240"/>
      <c r="QFN240"/>
      <c r="QFO240"/>
      <c r="QFP240"/>
      <c r="QFQ240"/>
      <c r="QFR240"/>
      <c r="QFS240"/>
      <c r="QFT240"/>
      <c r="QFU240"/>
      <c r="QFV240"/>
      <c r="QFW240"/>
      <c r="QFX240"/>
      <c r="QFY240"/>
      <c r="QFZ240"/>
      <c r="QGA240"/>
      <c r="QGB240"/>
      <c r="QGC240"/>
      <c r="QGD240"/>
      <c r="QGE240"/>
      <c r="QGF240"/>
      <c r="QGG240"/>
      <c r="QGH240"/>
      <c r="QGI240"/>
      <c r="QGJ240"/>
      <c r="QGK240"/>
      <c r="QGL240"/>
      <c r="QGM240"/>
      <c r="QGN240"/>
      <c r="QGO240"/>
      <c r="QGP240"/>
      <c r="QGQ240"/>
      <c r="QGR240"/>
      <c r="QGS240"/>
      <c r="QGT240"/>
      <c r="QGU240"/>
      <c r="QGV240"/>
      <c r="QGW240"/>
      <c r="QGX240"/>
      <c r="QGY240"/>
      <c r="QGZ240"/>
      <c r="QHA240"/>
      <c r="QHB240"/>
      <c r="QHC240"/>
      <c r="QHD240"/>
      <c r="QHE240"/>
      <c r="QHF240"/>
      <c r="QHG240"/>
      <c r="QHH240"/>
      <c r="QHI240"/>
      <c r="QHJ240"/>
      <c r="QHK240"/>
      <c r="QHL240"/>
      <c r="QHM240"/>
      <c r="QHN240"/>
      <c r="QHO240"/>
      <c r="QHP240"/>
      <c r="QHQ240"/>
      <c r="QHR240"/>
      <c r="QHS240"/>
      <c r="QHT240"/>
      <c r="QHU240"/>
      <c r="QHV240"/>
      <c r="QHW240"/>
      <c r="QHX240"/>
      <c r="QHY240"/>
      <c r="QHZ240"/>
      <c r="QIA240"/>
      <c r="QIB240"/>
      <c r="QIC240"/>
      <c r="QID240"/>
      <c r="QIE240"/>
      <c r="QIF240"/>
      <c r="QIG240"/>
      <c r="QIH240"/>
      <c r="QII240"/>
      <c r="QIJ240"/>
      <c r="QIK240"/>
      <c r="QIL240"/>
      <c r="QIM240"/>
      <c r="QIN240"/>
      <c r="QIO240"/>
      <c r="QIP240"/>
      <c r="QIQ240"/>
      <c r="QIR240"/>
      <c r="QIS240"/>
      <c r="QIT240"/>
      <c r="QIU240"/>
      <c r="QIV240"/>
      <c r="QIW240"/>
      <c r="QIX240"/>
      <c r="QIY240"/>
      <c r="QIZ240"/>
      <c r="QJA240"/>
      <c r="QJB240"/>
      <c r="QJC240"/>
      <c r="QJD240"/>
      <c r="QJE240"/>
      <c r="QJF240"/>
      <c r="QJG240"/>
      <c r="QJH240"/>
      <c r="QJI240"/>
      <c r="QJJ240"/>
      <c r="QJK240"/>
      <c r="QJL240"/>
      <c r="QJM240"/>
      <c r="QJN240"/>
      <c r="QJO240"/>
      <c r="QJP240"/>
      <c r="QJQ240"/>
      <c r="QJR240"/>
      <c r="QJS240"/>
      <c r="QJT240"/>
      <c r="QJU240"/>
      <c r="QJV240"/>
      <c r="QJW240"/>
      <c r="QJX240"/>
      <c r="QJY240"/>
      <c r="QJZ240"/>
      <c r="QKA240"/>
      <c r="QKB240"/>
      <c r="QKC240"/>
      <c r="QKD240"/>
      <c r="QKE240"/>
      <c r="QKF240"/>
      <c r="QKG240"/>
      <c r="QKH240"/>
      <c r="QKI240"/>
      <c r="QKJ240"/>
      <c r="QKK240"/>
      <c r="QKL240"/>
      <c r="QKM240"/>
      <c r="QKN240"/>
      <c r="QKO240"/>
      <c r="QKP240"/>
      <c r="QKQ240"/>
      <c r="QKR240"/>
      <c r="QKS240"/>
      <c r="QKT240"/>
      <c r="QKU240"/>
      <c r="QKV240"/>
      <c r="QKW240"/>
      <c r="QKX240"/>
      <c r="QKY240"/>
      <c r="QKZ240"/>
      <c r="QLA240"/>
      <c r="QLB240"/>
      <c r="QLC240"/>
      <c r="QLD240"/>
      <c r="QLE240"/>
      <c r="QLF240"/>
      <c r="QLG240"/>
      <c r="QLH240"/>
      <c r="QLI240"/>
      <c r="QLJ240"/>
      <c r="QLK240"/>
      <c r="QLL240"/>
      <c r="QLM240"/>
      <c r="QLN240"/>
      <c r="QLO240"/>
      <c r="QLP240"/>
      <c r="QLQ240"/>
      <c r="QLR240"/>
      <c r="QLS240"/>
      <c r="QLT240"/>
      <c r="QLU240"/>
      <c r="QLV240"/>
      <c r="QLW240"/>
      <c r="QLX240"/>
      <c r="QLY240"/>
      <c r="QLZ240"/>
      <c r="QMA240"/>
      <c r="QMB240"/>
      <c r="QMC240"/>
      <c r="QMD240"/>
      <c r="QME240"/>
      <c r="QMF240"/>
      <c r="QMG240"/>
      <c r="QMH240"/>
      <c r="QMI240"/>
      <c r="QMJ240"/>
      <c r="QMK240"/>
      <c r="QML240"/>
      <c r="QMM240"/>
      <c r="QMN240"/>
      <c r="QMO240"/>
      <c r="QMP240"/>
      <c r="QMQ240"/>
      <c r="QMR240"/>
      <c r="QMS240"/>
      <c r="QMT240"/>
      <c r="QMU240"/>
      <c r="QMV240"/>
      <c r="QMW240"/>
      <c r="QMX240"/>
      <c r="QMY240"/>
      <c r="QMZ240"/>
      <c r="QNA240"/>
      <c r="QNB240"/>
      <c r="QNC240"/>
      <c r="QND240"/>
      <c r="QNE240"/>
      <c r="QNF240"/>
      <c r="QNG240"/>
      <c r="QNH240"/>
      <c r="QNI240"/>
      <c r="QNJ240"/>
      <c r="QNK240"/>
      <c r="QNL240"/>
      <c r="QNM240"/>
      <c r="QNN240"/>
      <c r="QNO240"/>
      <c r="QNP240"/>
      <c r="QNQ240"/>
      <c r="QNR240"/>
      <c r="QNS240"/>
      <c r="QNT240"/>
      <c r="QNU240"/>
      <c r="QNV240"/>
      <c r="QNW240"/>
      <c r="QNX240"/>
      <c r="QNY240"/>
      <c r="QNZ240"/>
      <c r="QOA240"/>
      <c r="QOB240"/>
      <c r="QOC240"/>
      <c r="QOD240"/>
      <c r="QOE240"/>
      <c r="QOF240"/>
      <c r="QOG240"/>
      <c r="QOH240"/>
      <c r="QOI240"/>
      <c r="QOJ240"/>
      <c r="QOK240"/>
      <c r="QOL240"/>
      <c r="QOM240"/>
      <c r="QON240"/>
      <c r="QOO240"/>
      <c r="QOP240"/>
      <c r="QOQ240"/>
      <c r="QOR240"/>
      <c r="QOS240"/>
      <c r="QOT240"/>
      <c r="QOU240"/>
      <c r="QOV240"/>
      <c r="QOW240"/>
      <c r="QOX240"/>
      <c r="QOY240"/>
      <c r="QOZ240"/>
      <c r="QPA240"/>
      <c r="QPB240"/>
      <c r="QPC240"/>
      <c r="QPD240"/>
      <c r="QPE240"/>
      <c r="QPF240"/>
      <c r="QPG240"/>
      <c r="QPH240"/>
      <c r="QPI240"/>
      <c r="QPJ240"/>
      <c r="QPK240"/>
      <c r="QPL240"/>
      <c r="QPM240"/>
      <c r="QPN240"/>
      <c r="QPO240"/>
      <c r="QPP240"/>
      <c r="QPQ240"/>
      <c r="QPR240"/>
      <c r="QPS240"/>
      <c r="QPT240"/>
      <c r="QPU240"/>
      <c r="QPV240"/>
      <c r="QPW240"/>
      <c r="QPX240"/>
      <c r="QPY240"/>
      <c r="QPZ240"/>
      <c r="QQA240"/>
      <c r="QQB240"/>
      <c r="QQC240"/>
      <c r="QQD240"/>
      <c r="QQE240"/>
      <c r="QQF240"/>
      <c r="QQG240"/>
      <c r="QQH240"/>
      <c r="QQI240"/>
      <c r="QQJ240"/>
      <c r="QQK240"/>
      <c r="QQL240"/>
      <c r="QQM240"/>
      <c r="QQN240"/>
      <c r="QQO240"/>
      <c r="QQP240"/>
      <c r="QQQ240"/>
      <c r="QQR240"/>
      <c r="QQS240"/>
      <c r="QQT240"/>
      <c r="QQU240"/>
      <c r="QQV240"/>
      <c r="QQW240"/>
      <c r="QQX240"/>
      <c r="QQY240"/>
      <c r="QQZ240"/>
      <c r="QRA240"/>
      <c r="QRB240"/>
      <c r="QRC240"/>
      <c r="QRD240"/>
      <c r="QRE240"/>
      <c r="QRF240"/>
      <c r="QRG240"/>
      <c r="QRH240"/>
      <c r="QRI240"/>
      <c r="QRJ240"/>
      <c r="QRK240"/>
      <c r="QRL240"/>
      <c r="QRM240"/>
      <c r="QRN240"/>
      <c r="QRO240"/>
      <c r="QRP240"/>
      <c r="QRQ240"/>
      <c r="QRR240"/>
      <c r="QRS240"/>
      <c r="QRT240"/>
      <c r="QRU240"/>
      <c r="QRV240"/>
      <c r="QRW240"/>
      <c r="QRX240"/>
      <c r="QRY240"/>
      <c r="QRZ240"/>
      <c r="QSA240"/>
      <c r="QSB240"/>
      <c r="QSC240"/>
      <c r="QSD240"/>
      <c r="QSE240"/>
      <c r="QSF240"/>
      <c r="QSG240"/>
      <c r="QSH240"/>
      <c r="QSI240"/>
      <c r="QSJ240"/>
      <c r="QSK240"/>
      <c r="QSL240"/>
      <c r="QSM240"/>
      <c r="QSN240"/>
      <c r="QSO240"/>
      <c r="QSP240"/>
      <c r="QSQ240"/>
      <c r="QSR240"/>
      <c r="QSS240"/>
      <c r="QST240"/>
      <c r="QSU240"/>
      <c r="QSV240"/>
      <c r="QSW240"/>
      <c r="QSX240"/>
      <c r="QSY240"/>
      <c r="QSZ240"/>
      <c r="QTA240"/>
      <c r="QTB240"/>
      <c r="QTC240"/>
      <c r="QTD240"/>
      <c r="QTE240"/>
      <c r="QTF240"/>
      <c r="QTG240"/>
      <c r="QTH240"/>
      <c r="QTI240"/>
      <c r="QTJ240"/>
      <c r="QTK240"/>
      <c r="QTL240"/>
      <c r="QTM240"/>
      <c r="QTN240"/>
      <c r="QTO240"/>
      <c r="QTP240"/>
      <c r="QTQ240"/>
      <c r="QTR240"/>
      <c r="QTS240"/>
      <c r="QTT240"/>
      <c r="QTU240"/>
      <c r="QTV240"/>
      <c r="QTW240"/>
      <c r="QTX240"/>
      <c r="QTY240"/>
      <c r="QTZ240"/>
      <c r="QUA240"/>
      <c r="QUB240"/>
      <c r="QUC240"/>
      <c r="QUD240"/>
      <c r="QUE240"/>
      <c r="QUF240"/>
      <c r="QUG240"/>
      <c r="QUH240"/>
      <c r="QUI240"/>
      <c r="QUJ240"/>
      <c r="QUK240"/>
      <c r="QUL240"/>
      <c r="QUM240"/>
      <c r="QUN240"/>
      <c r="QUO240"/>
      <c r="QUP240"/>
      <c r="QUQ240"/>
      <c r="QUR240"/>
      <c r="QUS240"/>
      <c r="QUT240"/>
      <c r="QUU240"/>
      <c r="QUV240"/>
      <c r="QUW240"/>
      <c r="QUX240"/>
      <c r="QUY240"/>
      <c r="QUZ240"/>
      <c r="QVA240"/>
      <c r="QVB240"/>
      <c r="QVC240"/>
      <c r="QVD240"/>
      <c r="QVE240"/>
      <c r="QVF240"/>
      <c r="QVG240"/>
      <c r="QVH240"/>
      <c r="QVI240"/>
      <c r="QVJ240"/>
      <c r="QVK240"/>
      <c r="QVL240"/>
      <c r="QVM240"/>
      <c r="QVN240"/>
      <c r="QVO240"/>
      <c r="QVP240"/>
      <c r="QVQ240"/>
      <c r="QVR240"/>
      <c r="QVS240"/>
      <c r="QVT240"/>
      <c r="QVU240"/>
      <c r="QVV240"/>
      <c r="QVW240"/>
      <c r="QVX240"/>
      <c r="QVY240"/>
      <c r="QVZ240"/>
      <c r="QWA240"/>
      <c r="QWB240"/>
      <c r="QWC240"/>
      <c r="QWD240"/>
      <c r="QWE240"/>
      <c r="QWF240"/>
      <c r="QWG240"/>
      <c r="QWH240"/>
      <c r="QWI240"/>
      <c r="QWJ240"/>
      <c r="QWK240"/>
      <c r="QWL240"/>
      <c r="QWM240"/>
      <c r="QWN240"/>
      <c r="QWO240"/>
      <c r="QWP240"/>
      <c r="QWQ240"/>
      <c r="QWR240"/>
      <c r="QWS240"/>
      <c r="QWT240"/>
      <c r="QWU240"/>
      <c r="QWV240"/>
      <c r="QWW240"/>
      <c r="QWX240"/>
      <c r="QWY240"/>
      <c r="QWZ240"/>
      <c r="QXA240"/>
      <c r="QXB240"/>
      <c r="QXC240"/>
      <c r="QXD240"/>
      <c r="QXE240"/>
      <c r="QXF240"/>
      <c r="QXG240"/>
      <c r="QXH240"/>
      <c r="QXI240"/>
      <c r="QXJ240"/>
      <c r="QXK240"/>
      <c r="QXL240"/>
      <c r="QXM240"/>
      <c r="QXN240"/>
      <c r="QXO240"/>
      <c r="QXP240"/>
      <c r="QXQ240"/>
      <c r="QXR240"/>
      <c r="QXS240"/>
      <c r="QXT240"/>
      <c r="QXU240"/>
      <c r="QXV240"/>
      <c r="QXW240"/>
      <c r="QXX240"/>
      <c r="QXY240"/>
      <c r="QXZ240"/>
      <c r="QYA240"/>
      <c r="QYB240"/>
      <c r="QYC240"/>
      <c r="QYD240"/>
      <c r="QYE240"/>
      <c r="QYF240"/>
      <c r="QYG240"/>
      <c r="QYH240"/>
      <c r="QYI240"/>
      <c r="QYJ240"/>
      <c r="QYK240"/>
      <c r="QYL240"/>
      <c r="QYM240"/>
      <c r="QYN240"/>
      <c r="QYO240"/>
      <c r="QYP240"/>
      <c r="QYQ240"/>
      <c r="QYR240"/>
      <c r="QYS240"/>
      <c r="QYT240"/>
      <c r="QYU240"/>
      <c r="QYV240"/>
      <c r="QYW240"/>
      <c r="QYX240"/>
      <c r="QYY240"/>
      <c r="QYZ240"/>
      <c r="QZA240"/>
      <c r="QZB240"/>
      <c r="QZC240"/>
      <c r="QZD240"/>
      <c r="QZE240"/>
      <c r="QZF240"/>
      <c r="QZG240"/>
      <c r="QZH240"/>
      <c r="QZI240"/>
      <c r="QZJ240"/>
      <c r="QZK240"/>
      <c r="QZL240"/>
      <c r="QZM240"/>
      <c r="QZN240"/>
      <c r="QZO240"/>
      <c r="QZP240"/>
      <c r="QZQ240"/>
      <c r="QZR240"/>
      <c r="QZS240"/>
      <c r="QZT240"/>
      <c r="QZU240"/>
      <c r="QZV240"/>
      <c r="QZW240"/>
      <c r="QZX240"/>
      <c r="QZY240"/>
      <c r="QZZ240"/>
      <c r="RAA240"/>
      <c r="RAB240"/>
      <c r="RAC240"/>
      <c r="RAD240"/>
      <c r="RAE240"/>
      <c r="RAF240"/>
      <c r="RAG240"/>
      <c r="RAH240"/>
      <c r="RAI240"/>
      <c r="RAJ240"/>
      <c r="RAK240"/>
      <c r="RAL240"/>
      <c r="RAM240"/>
      <c r="RAN240"/>
      <c r="RAO240"/>
      <c r="RAP240"/>
      <c r="RAQ240"/>
      <c r="RAR240"/>
      <c r="RAS240"/>
      <c r="RAT240"/>
      <c r="RAU240"/>
      <c r="RAV240"/>
      <c r="RAW240"/>
      <c r="RAX240"/>
      <c r="RAY240"/>
      <c r="RAZ240"/>
      <c r="RBA240"/>
      <c r="RBB240"/>
      <c r="RBC240"/>
      <c r="RBD240"/>
      <c r="RBE240"/>
      <c r="RBF240"/>
      <c r="RBG240"/>
      <c r="RBH240"/>
      <c r="RBI240"/>
      <c r="RBJ240"/>
      <c r="RBK240"/>
      <c r="RBL240"/>
      <c r="RBM240"/>
      <c r="RBN240"/>
      <c r="RBO240"/>
      <c r="RBP240"/>
      <c r="RBQ240"/>
      <c r="RBR240"/>
      <c r="RBS240"/>
      <c r="RBT240"/>
      <c r="RBU240"/>
      <c r="RBV240"/>
      <c r="RBW240"/>
      <c r="RBX240"/>
      <c r="RBY240"/>
      <c r="RBZ240"/>
      <c r="RCA240"/>
      <c r="RCB240"/>
      <c r="RCC240"/>
      <c r="RCD240"/>
      <c r="RCE240"/>
      <c r="RCF240"/>
      <c r="RCG240"/>
      <c r="RCH240"/>
      <c r="RCI240"/>
      <c r="RCJ240"/>
      <c r="RCK240"/>
      <c r="RCL240"/>
      <c r="RCM240"/>
      <c r="RCN240"/>
      <c r="RCO240"/>
      <c r="RCP240"/>
      <c r="RCQ240"/>
      <c r="RCR240"/>
      <c r="RCS240"/>
      <c r="RCT240"/>
      <c r="RCU240"/>
      <c r="RCV240"/>
      <c r="RCW240"/>
      <c r="RCX240"/>
      <c r="RCY240"/>
      <c r="RCZ240"/>
      <c r="RDA240"/>
      <c r="RDB240"/>
      <c r="RDC240"/>
      <c r="RDD240"/>
      <c r="RDE240"/>
      <c r="RDF240"/>
      <c r="RDG240"/>
      <c r="RDH240"/>
      <c r="RDI240"/>
      <c r="RDJ240"/>
      <c r="RDK240"/>
      <c r="RDL240"/>
      <c r="RDM240"/>
      <c r="RDN240"/>
      <c r="RDO240"/>
      <c r="RDP240"/>
      <c r="RDQ240"/>
      <c r="RDR240"/>
      <c r="RDS240"/>
      <c r="RDT240"/>
      <c r="RDU240"/>
      <c r="RDV240"/>
      <c r="RDW240"/>
      <c r="RDX240"/>
      <c r="RDY240"/>
      <c r="RDZ240"/>
      <c r="REA240"/>
      <c r="REB240"/>
      <c r="REC240"/>
      <c r="RED240"/>
      <c r="REE240"/>
      <c r="REF240"/>
      <c r="REG240"/>
      <c r="REH240"/>
      <c r="REI240"/>
      <c r="REJ240"/>
      <c r="REK240"/>
      <c r="REL240"/>
      <c r="REM240"/>
      <c r="REN240"/>
      <c r="REO240"/>
      <c r="REP240"/>
      <c r="REQ240"/>
      <c r="RER240"/>
      <c r="RES240"/>
      <c r="RET240"/>
      <c r="REU240"/>
      <c r="REV240"/>
      <c r="REW240"/>
      <c r="REX240"/>
      <c r="REY240"/>
      <c r="REZ240"/>
      <c r="RFA240"/>
      <c r="RFB240"/>
      <c r="RFC240"/>
      <c r="RFD240"/>
      <c r="RFE240"/>
      <c r="RFF240"/>
      <c r="RFG240"/>
      <c r="RFH240"/>
      <c r="RFI240"/>
      <c r="RFJ240"/>
      <c r="RFK240"/>
      <c r="RFL240"/>
      <c r="RFM240"/>
      <c r="RFN240"/>
      <c r="RFO240"/>
      <c r="RFP240"/>
      <c r="RFQ240"/>
      <c r="RFR240"/>
      <c r="RFS240"/>
      <c r="RFT240"/>
      <c r="RFU240"/>
      <c r="RFV240"/>
      <c r="RFW240"/>
      <c r="RFX240"/>
      <c r="RFY240"/>
      <c r="RFZ240"/>
      <c r="RGA240"/>
      <c r="RGB240"/>
      <c r="RGC240"/>
      <c r="RGD240"/>
      <c r="RGE240"/>
      <c r="RGF240"/>
      <c r="RGG240"/>
      <c r="RGH240"/>
      <c r="RGI240"/>
      <c r="RGJ240"/>
      <c r="RGK240"/>
      <c r="RGL240"/>
      <c r="RGM240"/>
      <c r="RGN240"/>
      <c r="RGO240"/>
      <c r="RGP240"/>
      <c r="RGQ240"/>
      <c r="RGR240"/>
      <c r="RGS240"/>
      <c r="RGT240"/>
      <c r="RGU240"/>
      <c r="RGV240"/>
      <c r="RGW240"/>
      <c r="RGX240"/>
      <c r="RGY240"/>
      <c r="RGZ240"/>
      <c r="RHA240"/>
      <c r="RHB240"/>
      <c r="RHC240"/>
      <c r="RHD240"/>
      <c r="RHE240"/>
      <c r="RHF240"/>
      <c r="RHG240"/>
      <c r="RHH240"/>
      <c r="RHI240"/>
      <c r="RHJ240"/>
      <c r="RHK240"/>
      <c r="RHL240"/>
      <c r="RHM240"/>
      <c r="RHN240"/>
      <c r="RHO240"/>
      <c r="RHP240"/>
      <c r="RHQ240"/>
      <c r="RHR240"/>
      <c r="RHS240"/>
      <c r="RHT240"/>
      <c r="RHU240"/>
      <c r="RHV240"/>
      <c r="RHW240"/>
      <c r="RHX240"/>
      <c r="RHY240"/>
      <c r="RHZ240"/>
      <c r="RIA240"/>
      <c r="RIB240"/>
      <c r="RIC240"/>
      <c r="RID240"/>
      <c r="RIE240"/>
      <c r="RIF240"/>
      <c r="RIG240"/>
      <c r="RIH240"/>
      <c r="RII240"/>
      <c r="RIJ240"/>
      <c r="RIK240"/>
      <c r="RIL240"/>
      <c r="RIM240"/>
      <c r="RIN240"/>
      <c r="RIO240"/>
      <c r="RIP240"/>
      <c r="RIQ240"/>
      <c r="RIR240"/>
      <c r="RIS240"/>
      <c r="RIT240"/>
      <c r="RIU240"/>
      <c r="RIV240"/>
      <c r="RIW240"/>
      <c r="RIX240"/>
      <c r="RIY240"/>
      <c r="RIZ240"/>
      <c r="RJA240"/>
      <c r="RJB240"/>
      <c r="RJC240"/>
      <c r="RJD240"/>
      <c r="RJE240"/>
      <c r="RJF240"/>
      <c r="RJG240"/>
      <c r="RJH240"/>
      <c r="RJI240"/>
      <c r="RJJ240"/>
      <c r="RJK240"/>
      <c r="RJL240"/>
      <c r="RJM240"/>
      <c r="RJN240"/>
      <c r="RJO240"/>
      <c r="RJP240"/>
      <c r="RJQ240"/>
      <c r="RJR240"/>
      <c r="RJS240"/>
      <c r="RJT240"/>
      <c r="RJU240"/>
      <c r="RJV240"/>
      <c r="RJW240"/>
      <c r="RJX240"/>
      <c r="RJY240"/>
      <c r="RJZ240"/>
      <c r="RKA240"/>
      <c r="RKB240"/>
      <c r="RKC240"/>
      <c r="RKD240"/>
      <c r="RKE240"/>
      <c r="RKF240"/>
      <c r="RKG240"/>
      <c r="RKH240"/>
      <c r="RKI240"/>
      <c r="RKJ240"/>
      <c r="RKK240"/>
      <c r="RKL240"/>
      <c r="RKM240"/>
      <c r="RKN240"/>
      <c r="RKO240"/>
      <c r="RKP240"/>
      <c r="RKQ240"/>
      <c r="RKR240"/>
      <c r="RKS240"/>
      <c r="RKT240"/>
      <c r="RKU240"/>
      <c r="RKV240"/>
      <c r="RKW240"/>
      <c r="RKX240"/>
      <c r="RKY240"/>
      <c r="RKZ240"/>
      <c r="RLA240"/>
      <c r="RLB240"/>
      <c r="RLC240"/>
      <c r="RLD240"/>
      <c r="RLE240"/>
      <c r="RLF240"/>
      <c r="RLG240"/>
      <c r="RLH240"/>
      <c r="RLI240"/>
      <c r="RLJ240"/>
      <c r="RLK240"/>
      <c r="RLL240"/>
      <c r="RLM240"/>
      <c r="RLN240"/>
      <c r="RLO240"/>
      <c r="RLP240"/>
      <c r="RLQ240"/>
      <c r="RLR240"/>
      <c r="RLS240"/>
      <c r="RLT240"/>
      <c r="RLU240"/>
      <c r="RLV240"/>
      <c r="RLW240"/>
      <c r="RLX240"/>
      <c r="RLY240"/>
      <c r="RLZ240"/>
      <c r="RMA240"/>
      <c r="RMB240"/>
      <c r="RMC240"/>
      <c r="RMD240"/>
      <c r="RME240"/>
      <c r="RMF240"/>
      <c r="RMG240"/>
      <c r="RMH240"/>
      <c r="RMI240"/>
      <c r="RMJ240"/>
      <c r="RMK240"/>
      <c r="RML240"/>
      <c r="RMM240"/>
      <c r="RMN240"/>
      <c r="RMO240"/>
      <c r="RMP240"/>
      <c r="RMQ240"/>
      <c r="RMR240"/>
      <c r="RMS240"/>
      <c r="RMT240"/>
      <c r="RMU240"/>
      <c r="RMV240"/>
      <c r="RMW240"/>
      <c r="RMX240"/>
      <c r="RMY240"/>
      <c r="RMZ240"/>
      <c r="RNA240"/>
      <c r="RNB240"/>
      <c r="RNC240"/>
      <c r="RND240"/>
      <c r="RNE240"/>
      <c r="RNF240"/>
      <c r="RNG240"/>
      <c r="RNH240"/>
      <c r="RNI240"/>
      <c r="RNJ240"/>
      <c r="RNK240"/>
      <c r="RNL240"/>
      <c r="RNM240"/>
      <c r="RNN240"/>
      <c r="RNO240"/>
      <c r="RNP240"/>
      <c r="RNQ240"/>
      <c r="RNR240"/>
      <c r="RNS240"/>
      <c r="RNT240"/>
      <c r="RNU240"/>
      <c r="RNV240"/>
      <c r="RNW240"/>
      <c r="RNX240"/>
      <c r="RNY240"/>
      <c r="RNZ240"/>
      <c r="ROA240"/>
      <c r="ROB240"/>
      <c r="ROC240"/>
      <c r="ROD240"/>
      <c r="ROE240"/>
      <c r="ROF240"/>
      <c r="ROG240"/>
      <c r="ROH240"/>
      <c r="ROI240"/>
      <c r="ROJ240"/>
      <c r="ROK240"/>
      <c r="ROL240"/>
      <c r="ROM240"/>
      <c r="RON240"/>
      <c r="ROO240"/>
      <c r="ROP240"/>
      <c r="ROQ240"/>
      <c r="ROR240"/>
      <c r="ROS240"/>
      <c r="ROT240"/>
      <c r="ROU240"/>
      <c r="ROV240"/>
      <c r="ROW240"/>
      <c r="ROX240"/>
      <c r="ROY240"/>
      <c r="ROZ240"/>
      <c r="RPA240"/>
      <c r="RPB240"/>
      <c r="RPC240"/>
      <c r="RPD240"/>
      <c r="RPE240"/>
      <c r="RPF240"/>
      <c r="RPG240"/>
      <c r="RPH240"/>
      <c r="RPI240"/>
      <c r="RPJ240"/>
      <c r="RPK240"/>
      <c r="RPL240"/>
      <c r="RPM240"/>
      <c r="RPN240"/>
      <c r="RPO240"/>
      <c r="RPP240"/>
      <c r="RPQ240"/>
      <c r="RPR240"/>
      <c r="RPS240"/>
      <c r="RPT240"/>
      <c r="RPU240"/>
      <c r="RPV240"/>
      <c r="RPW240"/>
      <c r="RPX240"/>
      <c r="RPY240"/>
      <c r="RPZ240"/>
      <c r="RQA240"/>
      <c r="RQB240"/>
      <c r="RQC240"/>
      <c r="RQD240"/>
      <c r="RQE240"/>
      <c r="RQF240"/>
      <c r="RQG240"/>
      <c r="RQH240"/>
      <c r="RQI240"/>
      <c r="RQJ240"/>
      <c r="RQK240"/>
      <c r="RQL240"/>
      <c r="RQM240"/>
      <c r="RQN240"/>
      <c r="RQO240"/>
      <c r="RQP240"/>
      <c r="RQQ240"/>
      <c r="RQR240"/>
      <c r="RQS240"/>
      <c r="RQT240"/>
      <c r="RQU240"/>
      <c r="RQV240"/>
      <c r="RQW240"/>
      <c r="RQX240"/>
      <c r="RQY240"/>
      <c r="RQZ240"/>
      <c r="RRA240"/>
      <c r="RRB240"/>
      <c r="RRC240"/>
      <c r="RRD240"/>
      <c r="RRE240"/>
      <c r="RRF240"/>
      <c r="RRG240"/>
      <c r="RRH240"/>
      <c r="RRI240"/>
      <c r="RRJ240"/>
      <c r="RRK240"/>
      <c r="RRL240"/>
      <c r="RRM240"/>
      <c r="RRN240"/>
      <c r="RRO240"/>
      <c r="RRP240"/>
      <c r="RRQ240"/>
      <c r="RRR240"/>
      <c r="RRS240"/>
      <c r="RRT240"/>
      <c r="RRU240"/>
      <c r="RRV240"/>
      <c r="RRW240"/>
      <c r="RRX240"/>
      <c r="RRY240"/>
      <c r="RRZ240"/>
      <c r="RSA240"/>
      <c r="RSB240"/>
      <c r="RSC240"/>
      <c r="RSD240"/>
      <c r="RSE240"/>
      <c r="RSF240"/>
      <c r="RSG240"/>
      <c r="RSH240"/>
      <c r="RSI240"/>
      <c r="RSJ240"/>
      <c r="RSK240"/>
      <c r="RSL240"/>
      <c r="RSM240"/>
      <c r="RSN240"/>
      <c r="RSO240"/>
      <c r="RSP240"/>
      <c r="RSQ240"/>
      <c r="RSR240"/>
      <c r="RSS240"/>
      <c r="RST240"/>
      <c r="RSU240"/>
      <c r="RSV240"/>
      <c r="RSW240"/>
      <c r="RSX240"/>
      <c r="RSY240"/>
      <c r="RSZ240"/>
      <c r="RTA240"/>
      <c r="RTB240"/>
      <c r="RTC240"/>
      <c r="RTD240"/>
      <c r="RTE240"/>
      <c r="RTF240"/>
      <c r="RTG240"/>
      <c r="RTH240"/>
      <c r="RTI240"/>
      <c r="RTJ240"/>
      <c r="RTK240"/>
      <c r="RTL240"/>
      <c r="RTM240"/>
      <c r="RTN240"/>
      <c r="RTO240"/>
      <c r="RTP240"/>
      <c r="RTQ240"/>
      <c r="RTR240"/>
      <c r="RTS240"/>
      <c r="RTT240"/>
      <c r="RTU240"/>
      <c r="RTV240"/>
      <c r="RTW240"/>
      <c r="RTX240"/>
      <c r="RTY240"/>
      <c r="RTZ240"/>
      <c r="RUA240"/>
      <c r="RUB240"/>
      <c r="RUC240"/>
      <c r="RUD240"/>
      <c r="RUE240"/>
      <c r="RUF240"/>
      <c r="RUG240"/>
      <c r="RUH240"/>
      <c r="RUI240"/>
      <c r="RUJ240"/>
      <c r="RUK240"/>
      <c r="RUL240"/>
      <c r="RUM240"/>
      <c r="RUN240"/>
      <c r="RUO240"/>
      <c r="RUP240"/>
      <c r="RUQ240"/>
      <c r="RUR240"/>
      <c r="RUS240"/>
      <c r="RUT240"/>
      <c r="RUU240"/>
      <c r="RUV240"/>
      <c r="RUW240"/>
      <c r="RUX240"/>
      <c r="RUY240"/>
      <c r="RUZ240"/>
      <c r="RVA240"/>
      <c r="RVB240"/>
      <c r="RVC240"/>
      <c r="RVD240"/>
      <c r="RVE240"/>
      <c r="RVF240"/>
      <c r="RVG240"/>
      <c r="RVH240"/>
      <c r="RVI240"/>
      <c r="RVJ240"/>
      <c r="RVK240"/>
      <c r="RVL240"/>
      <c r="RVM240"/>
      <c r="RVN240"/>
      <c r="RVO240"/>
      <c r="RVP240"/>
      <c r="RVQ240"/>
      <c r="RVR240"/>
      <c r="RVS240"/>
      <c r="RVT240"/>
      <c r="RVU240"/>
      <c r="RVV240"/>
      <c r="RVW240"/>
      <c r="RVX240"/>
      <c r="RVY240"/>
      <c r="RVZ240"/>
      <c r="RWA240"/>
      <c r="RWB240"/>
      <c r="RWC240"/>
      <c r="RWD240"/>
      <c r="RWE240"/>
      <c r="RWF240"/>
      <c r="RWG240"/>
      <c r="RWH240"/>
      <c r="RWI240"/>
      <c r="RWJ240"/>
      <c r="RWK240"/>
      <c r="RWL240"/>
      <c r="RWM240"/>
      <c r="RWN240"/>
      <c r="RWO240"/>
      <c r="RWP240"/>
      <c r="RWQ240"/>
      <c r="RWR240"/>
      <c r="RWS240"/>
      <c r="RWT240"/>
      <c r="RWU240"/>
      <c r="RWV240"/>
      <c r="RWW240"/>
      <c r="RWX240"/>
      <c r="RWY240"/>
      <c r="RWZ240"/>
      <c r="RXA240"/>
      <c r="RXB240"/>
      <c r="RXC240"/>
      <c r="RXD240"/>
      <c r="RXE240"/>
      <c r="RXF240"/>
      <c r="RXG240"/>
      <c r="RXH240"/>
      <c r="RXI240"/>
      <c r="RXJ240"/>
      <c r="RXK240"/>
      <c r="RXL240"/>
      <c r="RXM240"/>
      <c r="RXN240"/>
      <c r="RXO240"/>
      <c r="RXP240"/>
      <c r="RXQ240"/>
      <c r="RXR240"/>
      <c r="RXS240"/>
      <c r="RXT240"/>
      <c r="RXU240"/>
      <c r="RXV240"/>
      <c r="RXW240"/>
      <c r="RXX240"/>
      <c r="RXY240"/>
      <c r="RXZ240"/>
      <c r="RYA240"/>
      <c r="RYB240"/>
      <c r="RYC240"/>
      <c r="RYD240"/>
      <c r="RYE240"/>
      <c r="RYF240"/>
      <c r="RYG240"/>
      <c r="RYH240"/>
      <c r="RYI240"/>
      <c r="RYJ240"/>
      <c r="RYK240"/>
      <c r="RYL240"/>
      <c r="RYM240"/>
      <c r="RYN240"/>
      <c r="RYO240"/>
      <c r="RYP240"/>
      <c r="RYQ240"/>
      <c r="RYR240"/>
      <c r="RYS240"/>
      <c r="RYT240"/>
      <c r="RYU240"/>
      <c r="RYV240"/>
      <c r="RYW240"/>
      <c r="RYX240"/>
      <c r="RYY240"/>
      <c r="RYZ240"/>
      <c r="RZA240"/>
      <c r="RZB240"/>
      <c r="RZC240"/>
      <c r="RZD240"/>
      <c r="RZE240"/>
      <c r="RZF240"/>
      <c r="RZG240"/>
      <c r="RZH240"/>
      <c r="RZI240"/>
      <c r="RZJ240"/>
      <c r="RZK240"/>
      <c r="RZL240"/>
      <c r="RZM240"/>
      <c r="RZN240"/>
      <c r="RZO240"/>
      <c r="RZP240"/>
      <c r="RZQ240"/>
      <c r="RZR240"/>
      <c r="RZS240"/>
      <c r="RZT240"/>
      <c r="RZU240"/>
      <c r="RZV240"/>
      <c r="RZW240"/>
      <c r="RZX240"/>
      <c r="RZY240"/>
      <c r="RZZ240"/>
      <c r="SAA240"/>
      <c r="SAB240"/>
      <c r="SAC240"/>
      <c r="SAD240"/>
      <c r="SAE240"/>
      <c r="SAF240"/>
      <c r="SAG240"/>
      <c r="SAH240"/>
      <c r="SAI240"/>
      <c r="SAJ240"/>
      <c r="SAK240"/>
      <c r="SAL240"/>
      <c r="SAM240"/>
      <c r="SAN240"/>
      <c r="SAO240"/>
      <c r="SAP240"/>
      <c r="SAQ240"/>
      <c r="SAR240"/>
      <c r="SAS240"/>
      <c r="SAT240"/>
      <c r="SAU240"/>
      <c r="SAV240"/>
      <c r="SAW240"/>
      <c r="SAX240"/>
      <c r="SAY240"/>
      <c r="SAZ240"/>
      <c r="SBA240"/>
      <c r="SBB240"/>
      <c r="SBC240"/>
      <c r="SBD240"/>
      <c r="SBE240"/>
      <c r="SBF240"/>
      <c r="SBG240"/>
      <c r="SBH240"/>
      <c r="SBI240"/>
      <c r="SBJ240"/>
      <c r="SBK240"/>
      <c r="SBL240"/>
      <c r="SBM240"/>
      <c r="SBN240"/>
      <c r="SBO240"/>
      <c r="SBP240"/>
      <c r="SBQ240"/>
      <c r="SBR240"/>
      <c r="SBS240"/>
      <c r="SBT240"/>
      <c r="SBU240"/>
      <c r="SBV240"/>
      <c r="SBW240"/>
      <c r="SBX240"/>
      <c r="SBY240"/>
      <c r="SBZ240"/>
      <c r="SCA240"/>
      <c r="SCB240"/>
      <c r="SCC240"/>
      <c r="SCD240"/>
      <c r="SCE240"/>
      <c r="SCF240"/>
      <c r="SCG240"/>
      <c r="SCH240"/>
      <c r="SCI240"/>
      <c r="SCJ240"/>
      <c r="SCK240"/>
      <c r="SCL240"/>
      <c r="SCM240"/>
      <c r="SCN240"/>
      <c r="SCO240"/>
      <c r="SCP240"/>
      <c r="SCQ240"/>
      <c r="SCR240"/>
      <c r="SCS240"/>
      <c r="SCT240"/>
      <c r="SCU240"/>
      <c r="SCV240"/>
      <c r="SCW240"/>
      <c r="SCX240"/>
      <c r="SCY240"/>
      <c r="SCZ240"/>
      <c r="SDA240"/>
      <c r="SDB240"/>
      <c r="SDC240"/>
      <c r="SDD240"/>
      <c r="SDE240"/>
      <c r="SDF240"/>
      <c r="SDG240"/>
      <c r="SDH240"/>
      <c r="SDI240"/>
      <c r="SDJ240"/>
      <c r="SDK240"/>
      <c r="SDL240"/>
      <c r="SDM240"/>
      <c r="SDN240"/>
      <c r="SDO240"/>
      <c r="SDP240"/>
      <c r="SDQ240"/>
      <c r="SDR240"/>
      <c r="SDS240"/>
      <c r="SDT240"/>
      <c r="SDU240"/>
      <c r="SDV240"/>
      <c r="SDW240"/>
      <c r="SDX240"/>
      <c r="SDY240"/>
      <c r="SDZ240"/>
      <c r="SEA240"/>
      <c r="SEB240"/>
      <c r="SEC240"/>
      <c r="SED240"/>
      <c r="SEE240"/>
      <c r="SEF240"/>
      <c r="SEG240"/>
      <c r="SEH240"/>
      <c r="SEI240"/>
      <c r="SEJ240"/>
      <c r="SEK240"/>
      <c r="SEL240"/>
      <c r="SEM240"/>
      <c r="SEN240"/>
      <c r="SEO240"/>
      <c r="SEP240"/>
      <c r="SEQ240"/>
      <c r="SER240"/>
      <c r="SES240"/>
      <c r="SET240"/>
      <c r="SEU240"/>
      <c r="SEV240"/>
      <c r="SEW240"/>
      <c r="SEX240"/>
      <c r="SEY240"/>
      <c r="SEZ240"/>
      <c r="SFA240"/>
      <c r="SFB240"/>
      <c r="SFC240"/>
      <c r="SFD240"/>
      <c r="SFE240"/>
      <c r="SFF240"/>
      <c r="SFG240"/>
      <c r="SFH240"/>
      <c r="SFI240"/>
      <c r="SFJ240"/>
      <c r="SFK240"/>
      <c r="SFL240"/>
      <c r="SFM240"/>
      <c r="SFN240"/>
      <c r="SFO240"/>
      <c r="SFP240"/>
      <c r="SFQ240"/>
      <c r="SFR240"/>
      <c r="SFS240"/>
      <c r="SFT240"/>
      <c r="SFU240"/>
      <c r="SFV240"/>
      <c r="SFW240"/>
      <c r="SFX240"/>
      <c r="SFY240"/>
      <c r="SFZ240"/>
      <c r="SGA240"/>
      <c r="SGB240"/>
      <c r="SGC240"/>
      <c r="SGD240"/>
      <c r="SGE240"/>
      <c r="SGF240"/>
      <c r="SGG240"/>
      <c r="SGH240"/>
      <c r="SGI240"/>
      <c r="SGJ240"/>
      <c r="SGK240"/>
      <c r="SGL240"/>
      <c r="SGM240"/>
      <c r="SGN240"/>
      <c r="SGO240"/>
      <c r="SGP240"/>
      <c r="SGQ240"/>
      <c r="SGR240"/>
      <c r="SGS240"/>
      <c r="SGT240"/>
      <c r="SGU240"/>
      <c r="SGV240"/>
      <c r="SGW240"/>
      <c r="SGX240"/>
      <c r="SGY240"/>
      <c r="SGZ240"/>
      <c r="SHA240"/>
      <c r="SHB240"/>
      <c r="SHC240"/>
      <c r="SHD240"/>
      <c r="SHE240"/>
      <c r="SHF240"/>
      <c r="SHG240"/>
      <c r="SHH240"/>
      <c r="SHI240"/>
      <c r="SHJ240"/>
      <c r="SHK240"/>
      <c r="SHL240"/>
      <c r="SHM240"/>
      <c r="SHN240"/>
      <c r="SHO240"/>
      <c r="SHP240"/>
      <c r="SHQ240"/>
      <c r="SHR240"/>
      <c r="SHS240"/>
      <c r="SHT240"/>
      <c r="SHU240"/>
      <c r="SHV240"/>
      <c r="SHW240"/>
      <c r="SHX240"/>
      <c r="SHY240"/>
      <c r="SHZ240"/>
      <c r="SIA240"/>
      <c r="SIB240"/>
      <c r="SIC240"/>
      <c r="SID240"/>
      <c r="SIE240"/>
      <c r="SIF240"/>
      <c r="SIG240"/>
      <c r="SIH240"/>
      <c r="SII240"/>
      <c r="SIJ240"/>
      <c r="SIK240"/>
      <c r="SIL240"/>
      <c r="SIM240"/>
      <c r="SIN240"/>
      <c r="SIO240"/>
      <c r="SIP240"/>
      <c r="SIQ240"/>
      <c r="SIR240"/>
      <c r="SIS240"/>
      <c r="SIT240"/>
      <c r="SIU240"/>
      <c r="SIV240"/>
      <c r="SIW240"/>
      <c r="SIX240"/>
      <c r="SIY240"/>
      <c r="SIZ240"/>
      <c r="SJA240"/>
      <c r="SJB240"/>
      <c r="SJC240"/>
      <c r="SJD240"/>
      <c r="SJE240"/>
      <c r="SJF240"/>
      <c r="SJG240"/>
      <c r="SJH240"/>
      <c r="SJI240"/>
      <c r="SJJ240"/>
      <c r="SJK240"/>
      <c r="SJL240"/>
      <c r="SJM240"/>
      <c r="SJN240"/>
      <c r="SJO240"/>
      <c r="SJP240"/>
      <c r="SJQ240"/>
      <c r="SJR240"/>
      <c r="SJS240"/>
      <c r="SJT240"/>
      <c r="SJU240"/>
      <c r="SJV240"/>
      <c r="SJW240"/>
      <c r="SJX240"/>
      <c r="SJY240"/>
      <c r="SJZ240"/>
      <c r="SKA240"/>
      <c r="SKB240"/>
      <c r="SKC240"/>
      <c r="SKD240"/>
      <c r="SKE240"/>
      <c r="SKF240"/>
      <c r="SKG240"/>
      <c r="SKH240"/>
      <c r="SKI240"/>
      <c r="SKJ240"/>
      <c r="SKK240"/>
      <c r="SKL240"/>
      <c r="SKM240"/>
      <c r="SKN240"/>
      <c r="SKO240"/>
      <c r="SKP240"/>
      <c r="SKQ240"/>
      <c r="SKR240"/>
      <c r="SKS240"/>
      <c r="SKT240"/>
      <c r="SKU240"/>
      <c r="SKV240"/>
      <c r="SKW240"/>
      <c r="SKX240"/>
      <c r="SKY240"/>
      <c r="SKZ240"/>
      <c r="SLA240"/>
      <c r="SLB240"/>
      <c r="SLC240"/>
      <c r="SLD240"/>
      <c r="SLE240"/>
      <c r="SLF240"/>
      <c r="SLG240"/>
      <c r="SLH240"/>
      <c r="SLI240"/>
      <c r="SLJ240"/>
      <c r="SLK240"/>
      <c r="SLL240"/>
      <c r="SLM240"/>
      <c r="SLN240"/>
      <c r="SLO240"/>
      <c r="SLP240"/>
      <c r="SLQ240"/>
      <c r="SLR240"/>
      <c r="SLS240"/>
      <c r="SLT240"/>
      <c r="SLU240"/>
      <c r="SLV240"/>
      <c r="SLW240"/>
      <c r="SLX240"/>
      <c r="SLY240"/>
      <c r="SLZ240"/>
      <c r="SMA240"/>
      <c r="SMB240"/>
      <c r="SMC240"/>
      <c r="SMD240"/>
      <c r="SME240"/>
      <c r="SMF240"/>
      <c r="SMG240"/>
      <c r="SMH240"/>
      <c r="SMI240"/>
      <c r="SMJ240"/>
      <c r="SMK240"/>
      <c r="SML240"/>
      <c r="SMM240"/>
      <c r="SMN240"/>
      <c r="SMO240"/>
      <c r="SMP240"/>
      <c r="SMQ240"/>
      <c r="SMR240"/>
      <c r="SMS240"/>
      <c r="SMT240"/>
      <c r="SMU240"/>
      <c r="SMV240"/>
      <c r="SMW240"/>
      <c r="SMX240"/>
      <c r="SMY240"/>
      <c r="SMZ240"/>
      <c r="SNA240"/>
      <c r="SNB240"/>
      <c r="SNC240"/>
      <c r="SND240"/>
      <c r="SNE240"/>
      <c r="SNF240"/>
      <c r="SNG240"/>
      <c r="SNH240"/>
      <c r="SNI240"/>
      <c r="SNJ240"/>
      <c r="SNK240"/>
      <c r="SNL240"/>
      <c r="SNM240"/>
      <c r="SNN240"/>
      <c r="SNO240"/>
      <c r="SNP240"/>
      <c r="SNQ240"/>
      <c r="SNR240"/>
      <c r="SNS240"/>
      <c r="SNT240"/>
      <c r="SNU240"/>
      <c r="SNV240"/>
      <c r="SNW240"/>
      <c r="SNX240"/>
      <c r="SNY240"/>
      <c r="SNZ240"/>
      <c r="SOA240"/>
      <c r="SOB240"/>
      <c r="SOC240"/>
      <c r="SOD240"/>
      <c r="SOE240"/>
      <c r="SOF240"/>
      <c r="SOG240"/>
      <c r="SOH240"/>
      <c r="SOI240"/>
      <c r="SOJ240"/>
      <c r="SOK240"/>
      <c r="SOL240"/>
      <c r="SOM240"/>
      <c r="SON240"/>
      <c r="SOO240"/>
      <c r="SOP240"/>
      <c r="SOQ240"/>
      <c r="SOR240"/>
      <c r="SOS240"/>
      <c r="SOT240"/>
      <c r="SOU240"/>
      <c r="SOV240"/>
      <c r="SOW240"/>
      <c r="SOX240"/>
      <c r="SOY240"/>
      <c r="SOZ240"/>
      <c r="SPA240"/>
      <c r="SPB240"/>
      <c r="SPC240"/>
      <c r="SPD240"/>
      <c r="SPE240"/>
      <c r="SPF240"/>
      <c r="SPG240"/>
      <c r="SPH240"/>
      <c r="SPI240"/>
      <c r="SPJ240"/>
      <c r="SPK240"/>
      <c r="SPL240"/>
      <c r="SPM240"/>
      <c r="SPN240"/>
      <c r="SPO240"/>
      <c r="SPP240"/>
      <c r="SPQ240"/>
      <c r="SPR240"/>
      <c r="SPS240"/>
      <c r="SPT240"/>
      <c r="SPU240"/>
      <c r="SPV240"/>
      <c r="SPW240"/>
      <c r="SPX240"/>
      <c r="SPY240"/>
      <c r="SPZ240"/>
      <c r="SQA240"/>
      <c r="SQB240"/>
      <c r="SQC240"/>
      <c r="SQD240"/>
      <c r="SQE240"/>
      <c r="SQF240"/>
      <c r="SQG240"/>
      <c r="SQH240"/>
      <c r="SQI240"/>
      <c r="SQJ240"/>
      <c r="SQK240"/>
      <c r="SQL240"/>
      <c r="SQM240"/>
      <c r="SQN240"/>
      <c r="SQO240"/>
      <c r="SQP240"/>
      <c r="SQQ240"/>
      <c r="SQR240"/>
      <c r="SQS240"/>
      <c r="SQT240"/>
      <c r="SQU240"/>
      <c r="SQV240"/>
      <c r="SQW240"/>
      <c r="SQX240"/>
      <c r="SQY240"/>
      <c r="SQZ240"/>
      <c r="SRA240"/>
      <c r="SRB240"/>
      <c r="SRC240"/>
      <c r="SRD240"/>
      <c r="SRE240"/>
      <c r="SRF240"/>
      <c r="SRG240"/>
      <c r="SRH240"/>
      <c r="SRI240"/>
      <c r="SRJ240"/>
      <c r="SRK240"/>
      <c r="SRL240"/>
      <c r="SRM240"/>
      <c r="SRN240"/>
      <c r="SRO240"/>
      <c r="SRP240"/>
      <c r="SRQ240"/>
      <c r="SRR240"/>
      <c r="SRS240"/>
      <c r="SRT240"/>
      <c r="SRU240"/>
      <c r="SRV240"/>
      <c r="SRW240"/>
      <c r="SRX240"/>
      <c r="SRY240"/>
      <c r="SRZ240"/>
      <c r="SSA240"/>
      <c r="SSB240"/>
      <c r="SSC240"/>
      <c r="SSD240"/>
      <c r="SSE240"/>
      <c r="SSF240"/>
      <c r="SSG240"/>
      <c r="SSH240"/>
      <c r="SSI240"/>
      <c r="SSJ240"/>
      <c r="SSK240"/>
      <c r="SSL240"/>
      <c r="SSM240"/>
      <c r="SSN240"/>
      <c r="SSO240"/>
      <c r="SSP240"/>
      <c r="SSQ240"/>
      <c r="SSR240"/>
      <c r="SSS240"/>
      <c r="SST240"/>
      <c r="SSU240"/>
      <c r="SSV240"/>
      <c r="SSW240"/>
      <c r="SSX240"/>
      <c r="SSY240"/>
      <c r="SSZ240"/>
      <c r="STA240"/>
      <c r="STB240"/>
      <c r="STC240"/>
      <c r="STD240"/>
      <c r="STE240"/>
      <c r="STF240"/>
      <c r="STG240"/>
      <c r="STH240"/>
      <c r="STI240"/>
      <c r="STJ240"/>
      <c r="STK240"/>
      <c r="STL240"/>
      <c r="STM240"/>
      <c r="STN240"/>
      <c r="STO240"/>
      <c r="STP240"/>
      <c r="STQ240"/>
      <c r="STR240"/>
      <c r="STS240"/>
      <c r="STT240"/>
      <c r="STU240"/>
      <c r="STV240"/>
      <c r="STW240"/>
      <c r="STX240"/>
      <c r="STY240"/>
      <c r="STZ240"/>
      <c r="SUA240"/>
      <c r="SUB240"/>
      <c r="SUC240"/>
      <c r="SUD240"/>
      <c r="SUE240"/>
      <c r="SUF240"/>
      <c r="SUG240"/>
      <c r="SUH240"/>
      <c r="SUI240"/>
      <c r="SUJ240"/>
      <c r="SUK240"/>
      <c r="SUL240"/>
      <c r="SUM240"/>
      <c r="SUN240"/>
      <c r="SUO240"/>
      <c r="SUP240"/>
      <c r="SUQ240"/>
      <c r="SUR240"/>
      <c r="SUS240"/>
      <c r="SUT240"/>
      <c r="SUU240"/>
      <c r="SUV240"/>
      <c r="SUW240"/>
      <c r="SUX240"/>
      <c r="SUY240"/>
      <c r="SUZ240"/>
      <c r="SVA240"/>
      <c r="SVB240"/>
      <c r="SVC240"/>
      <c r="SVD240"/>
      <c r="SVE240"/>
      <c r="SVF240"/>
      <c r="SVG240"/>
      <c r="SVH240"/>
      <c r="SVI240"/>
      <c r="SVJ240"/>
      <c r="SVK240"/>
      <c r="SVL240"/>
      <c r="SVM240"/>
      <c r="SVN240"/>
      <c r="SVO240"/>
      <c r="SVP240"/>
      <c r="SVQ240"/>
      <c r="SVR240"/>
      <c r="SVS240"/>
      <c r="SVT240"/>
      <c r="SVU240"/>
      <c r="SVV240"/>
      <c r="SVW240"/>
      <c r="SVX240"/>
      <c r="SVY240"/>
      <c r="SVZ240"/>
      <c r="SWA240"/>
      <c r="SWB240"/>
      <c r="SWC240"/>
      <c r="SWD240"/>
      <c r="SWE240"/>
      <c r="SWF240"/>
      <c r="SWG240"/>
      <c r="SWH240"/>
      <c r="SWI240"/>
      <c r="SWJ240"/>
      <c r="SWK240"/>
      <c r="SWL240"/>
      <c r="SWM240"/>
      <c r="SWN240"/>
      <c r="SWO240"/>
      <c r="SWP240"/>
      <c r="SWQ240"/>
      <c r="SWR240"/>
      <c r="SWS240"/>
      <c r="SWT240"/>
      <c r="SWU240"/>
      <c r="SWV240"/>
      <c r="SWW240"/>
      <c r="SWX240"/>
      <c r="SWY240"/>
      <c r="SWZ240"/>
      <c r="SXA240"/>
      <c r="SXB240"/>
      <c r="SXC240"/>
      <c r="SXD240"/>
      <c r="SXE240"/>
      <c r="SXF240"/>
      <c r="SXG240"/>
      <c r="SXH240"/>
      <c r="SXI240"/>
      <c r="SXJ240"/>
      <c r="SXK240"/>
      <c r="SXL240"/>
      <c r="SXM240"/>
      <c r="SXN240"/>
      <c r="SXO240"/>
      <c r="SXP240"/>
      <c r="SXQ240"/>
      <c r="SXR240"/>
      <c r="SXS240"/>
      <c r="SXT240"/>
      <c r="SXU240"/>
      <c r="SXV240"/>
      <c r="SXW240"/>
      <c r="SXX240"/>
      <c r="SXY240"/>
      <c r="SXZ240"/>
      <c r="SYA240"/>
      <c r="SYB240"/>
      <c r="SYC240"/>
      <c r="SYD240"/>
      <c r="SYE240"/>
      <c r="SYF240"/>
      <c r="SYG240"/>
      <c r="SYH240"/>
      <c r="SYI240"/>
      <c r="SYJ240"/>
      <c r="SYK240"/>
      <c r="SYL240"/>
      <c r="SYM240"/>
      <c r="SYN240"/>
      <c r="SYO240"/>
      <c r="SYP240"/>
      <c r="SYQ240"/>
      <c r="SYR240"/>
      <c r="SYS240"/>
      <c r="SYT240"/>
      <c r="SYU240"/>
      <c r="SYV240"/>
      <c r="SYW240"/>
      <c r="SYX240"/>
      <c r="SYY240"/>
      <c r="SYZ240"/>
      <c r="SZA240"/>
      <c r="SZB240"/>
      <c r="SZC240"/>
      <c r="SZD240"/>
      <c r="SZE240"/>
      <c r="SZF240"/>
      <c r="SZG240"/>
      <c r="SZH240"/>
      <c r="SZI240"/>
      <c r="SZJ240"/>
      <c r="SZK240"/>
      <c r="SZL240"/>
      <c r="SZM240"/>
      <c r="SZN240"/>
      <c r="SZO240"/>
      <c r="SZP240"/>
      <c r="SZQ240"/>
      <c r="SZR240"/>
      <c r="SZS240"/>
      <c r="SZT240"/>
      <c r="SZU240"/>
      <c r="SZV240"/>
      <c r="SZW240"/>
      <c r="SZX240"/>
      <c r="SZY240"/>
      <c r="SZZ240"/>
      <c r="TAA240"/>
      <c r="TAB240"/>
      <c r="TAC240"/>
      <c r="TAD240"/>
      <c r="TAE240"/>
      <c r="TAF240"/>
      <c r="TAG240"/>
      <c r="TAH240"/>
      <c r="TAI240"/>
      <c r="TAJ240"/>
      <c r="TAK240"/>
      <c r="TAL240"/>
      <c r="TAM240"/>
      <c r="TAN240"/>
      <c r="TAO240"/>
      <c r="TAP240"/>
      <c r="TAQ240"/>
      <c r="TAR240"/>
      <c r="TAS240"/>
      <c r="TAT240"/>
      <c r="TAU240"/>
      <c r="TAV240"/>
      <c r="TAW240"/>
      <c r="TAX240"/>
      <c r="TAY240"/>
      <c r="TAZ240"/>
      <c r="TBA240"/>
      <c r="TBB240"/>
      <c r="TBC240"/>
      <c r="TBD240"/>
      <c r="TBE240"/>
      <c r="TBF240"/>
      <c r="TBG240"/>
      <c r="TBH240"/>
      <c r="TBI240"/>
      <c r="TBJ240"/>
      <c r="TBK240"/>
      <c r="TBL240"/>
      <c r="TBM240"/>
      <c r="TBN240"/>
      <c r="TBO240"/>
      <c r="TBP240"/>
      <c r="TBQ240"/>
      <c r="TBR240"/>
      <c r="TBS240"/>
      <c r="TBT240"/>
      <c r="TBU240"/>
      <c r="TBV240"/>
      <c r="TBW240"/>
      <c r="TBX240"/>
      <c r="TBY240"/>
      <c r="TBZ240"/>
      <c r="TCA240"/>
      <c r="TCB240"/>
      <c r="TCC240"/>
      <c r="TCD240"/>
      <c r="TCE240"/>
      <c r="TCF240"/>
      <c r="TCG240"/>
      <c r="TCH240"/>
      <c r="TCI240"/>
      <c r="TCJ240"/>
      <c r="TCK240"/>
      <c r="TCL240"/>
      <c r="TCM240"/>
      <c r="TCN240"/>
      <c r="TCO240"/>
      <c r="TCP240"/>
      <c r="TCQ240"/>
      <c r="TCR240"/>
      <c r="TCS240"/>
      <c r="TCT240"/>
      <c r="TCU240"/>
      <c r="TCV240"/>
      <c r="TCW240"/>
      <c r="TCX240"/>
      <c r="TCY240"/>
      <c r="TCZ240"/>
      <c r="TDA240"/>
      <c r="TDB240"/>
      <c r="TDC240"/>
      <c r="TDD240"/>
      <c r="TDE240"/>
      <c r="TDF240"/>
      <c r="TDG240"/>
      <c r="TDH240"/>
      <c r="TDI240"/>
      <c r="TDJ240"/>
      <c r="TDK240"/>
      <c r="TDL240"/>
      <c r="TDM240"/>
      <c r="TDN240"/>
      <c r="TDO240"/>
      <c r="TDP240"/>
      <c r="TDQ240"/>
      <c r="TDR240"/>
      <c r="TDS240"/>
      <c r="TDT240"/>
      <c r="TDU240"/>
      <c r="TDV240"/>
      <c r="TDW240"/>
      <c r="TDX240"/>
      <c r="TDY240"/>
      <c r="TDZ240"/>
      <c r="TEA240"/>
      <c r="TEB240"/>
      <c r="TEC240"/>
      <c r="TED240"/>
      <c r="TEE240"/>
      <c r="TEF240"/>
      <c r="TEG240"/>
      <c r="TEH240"/>
      <c r="TEI240"/>
      <c r="TEJ240"/>
      <c r="TEK240"/>
      <c r="TEL240"/>
      <c r="TEM240"/>
      <c r="TEN240"/>
      <c r="TEO240"/>
      <c r="TEP240"/>
      <c r="TEQ240"/>
      <c r="TER240"/>
      <c r="TES240"/>
      <c r="TET240"/>
      <c r="TEU240"/>
      <c r="TEV240"/>
      <c r="TEW240"/>
      <c r="TEX240"/>
      <c r="TEY240"/>
      <c r="TEZ240"/>
      <c r="TFA240"/>
      <c r="TFB240"/>
      <c r="TFC240"/>
      <c r="TFD240"/>
      <c r="TFE240"/>
      <c r="TFF240"/>
      <c r="TFG240"/>
      <c r="TFH240"/>
      <c r="TFI240"/>
      <c r="TFJ240"/>
      <c r="TFK240"/>
      <c r="TFL240"/>
      <c r="TFM240"/>
      <c r="TFN240"/>
      <c r="TFO240"/>
      <c r="TFP240"/>
      <c r="TFQ240"/>
      <c r="TFR240"/>
      <c r="TFS240"/>
      <c r="TFT240"/>
      <c r="TFU240"/>
      <c r="TFV240"/>
      <c r="TFW240"/>
      <c r="TFX240"/>
      <c r="TFY240"/>
      <c r="TFZ240"/>
      <c r="TGA240"/>
      <c r="TGB240"/>
      <c r="TGC240"/>
      <c r="TGD240"/>
      <c r="TGE240"/>
      <c r="TGF240"/>
      <c r="TGG240"/>
      <c r="TGH240"/>
      <c r="TGI240"/>
      <c r="TGJ240"/>
      <c r="TGK240"/>
      <c r="TGL240"/>
      <c r="TGM240"/>
      <c r="TGN240"/>
      <c r="TGO240"/>
      <c r="TGP240"/>
      <c r="TGQ240"/>
      <c r="TGR240"/>
      <c r="TGS240"/>
      <c r="TGT240"/>
      <c r="TGU240"/>
      <c r="TGV240"/>
      <c r="TGW240"/>
      <c r="TGX240"/>
      <c r="TGY240"/>
      <c r="TGZ240"/>
      <c r="THA240"/>
      <c r="THB240"/>
      <c r="THC240"/>
      <c r="THD240"/>
      <c r="THE240"/>
      <c r="THF240"/>
      <c r="THG240"/>
      <c r="THH240"/>
      <c r="THI240"/>
      <c r="THJ240"/>
      <c r="THK240"/>
      <c r="THL240"/>
      <c r="THM240"/>
      <c r="THN240"/>
      <c r="THO240"/>
      <c r="THP240"/>
      <c r="THQ240"/>
      <c r="THR240"/>
      <c r="THS240"/>
      <c r="THT240"/>
      <c r="THU240"/>
      <c r="THV240"/>
      <c r="THW240"/>
      <c r="THX240"/>
      <c r="THY240"/>
      <c r="THZ240"/>
      <c r="TIA240"/>
      <c r="TIB240"/>
      <c r="TIC240"/>
      <c r="TID240"/>
      <c r="TIE240"/>
      <c r="TIF240"/>
      <c r="TIG240"/>
      <c r="TIH240"/>
      <c r="TII240"/>
      <c r="TIJ240"/>
      <c r="TIK240"/>
      <c r="TIL240"/>
      <c r="TIM240"/>
      <c r="TIN240"/>
      <c r="TIO240"/>
      <c r="TIP240"/>
      <c r="TIQ240"/>
      <c r="TIR240"/>
      <c r="TIS240"/>
      <c r="TIT240"/>
      <c r="TIU240"/>
      <c r="TIV240"/>
      <c r="TIW240"/>
      <c r="TIX240"/>
      <c r="TIY240"/>
      <c r="TIZ240"/>
      <c r="TJA240"/>
      <c r="TJB240"/>
      <c r="TJC240"/>
      <c r="TJD240"/>
      <c r="TJE240"/>
      <c r="TJF240"/>
      <c r="TJG240"/>
      <c r="TJH240"/>
      <c r="TJI240"/>
      <c r="TJJ240"/>
      <c r="TJK240"/>
      <c r="TJL240"/>
      <c r="TJM240"/>
      <c r="TJN240"/>
      <c r="TJO240"/>
      <c r="TJP240"/>
      <c r="TJQ240"/>
      <c r="TJR240"/>
      <c r="TJS240"/>
      <c r="TJT240"/>
      <c r="TJU240"/>
      <c r="TJV240"/>
      <c r="TJW240"/>
      <c r="TJX240"/>
      <c r="TJY240"/>
      <c r="TJZ240"/>
      <c r="TKA240"/>
      <c r="TKB240"/>
      <c r="TKC240"/>
      <c r="TKD240"/>
      <c r="TKE240"/>
      <c r="TKF240"/>
      <c r="TKG240"/>
      <c r="TKH240"/>
      <c r="TKI240"/>
      <c r="TKJ240"/>
      <c r="TKK240"/>
      <c r="TKL240"/>
      <c r="TKM240"/>
      <c r="TKN240"/>
      <c r="TKO240"/>
      <c r="TKP240"/>
      <c r="TKQ240"/>
      <c r="TKR240"/>
      <c r="TKS240"/>
      <c r="TKT240"/>
      <c r="TKU240"/>
      <c r="TKV240"/>
      <c r="TKW240"/>
      <c r="TKX240"/>
      <c r="TKY240"/>
      <c r="TKZ240"/>
      <c r="TLA240"/>
      <c r="TLB240"/>
      <c r="TLC240"/>
      <c r="TLD240"/>
      <c r="TLE240"/>
      <c r="TLF240"/>
      <c r="TLG240"/>
      <c r="TLH240"/>
      <c r="TLI240"/>
      <c r="TLJ240"/>
      <c r="TLK240"/>
      <c r="TLL240"/>
      <c r="TLM240"/>
      <c r="TLN240"/>
      <c r="TLO240"/>
      <c r="TLP240"/>
      <c r="TLQ240"/>
      <c r="TLR240"/>
      <c r="TLS240"/>
      <c r="TLT240"/>
      <c r="TLU240"/>
      <c r="TLV240"/>
      <c r="TLW240"/>
      <c r="TLX240"/>
      <c r="TLY240"/>
      <c r="TLZ240"/>
      <c r="TMA240"/>
      <c r="TMB240"/>
      <c r="TMC240"/>
      <c r="TMD240"/>
      <c r="TME240"/>
      <c r="TMF240"/>
      <c r="TMG240"/>
      <c r="TMH240"/>
      <c r="TMI240"/>
      <c r="TMJ240"/>
      <c r="TMK240"/>
      <c r="TML240"/>
      <c r="TMM240"/>
      <c r="TMN240"/>
      <c r="TMO240"/>
      <c r="TMP240"/>
      <c r="TMQ240"/>
      <c r="TMR240"/>
      <c r="TMS240"/>
      <c r="TMT240"/>
      <c r="TMU240"/>
      <c r="TMV240"/>
      <c r="TMW240"/>
      <c r="TMX240"/>
      <c r="TMY240"/>
      <c r="TMZ240"/>
      <c r="TNA240"/>
      <c r="TNB240"/>
      <c r="TNC240"/>
      <c r="TND240"/>
      <c r="TNE240"/>
      <c r="TNF240"/>
      <c r="TNG240"/>
      <c r="TNH240"/>
      <c r="TNI240"/>
      <c r="TNJ240"/>
      <c r="TNK240"/>
      <c r="TNL240"/>
      <c r="TNM240"/>
      <c r="TNN240"/>
      <c r="TNO240"/>
      <c r="TNP240"/>
      <c r="TNQ240"/>
      <c r="TNR240"/>
      <c r="TNS240"/>
      <c r="TNT240"/>
      <c r="TNU240"/>
      <c r="TNV240"/>
      <c r="TNW240"/>
      <c r="TNX240"/>
      <c r="TNY240"/>
      <c r="TNZ240"/>
      <c r="TOA240"/>
      <c r="TOB240"/>
      <c r="TOC240"/>
      <c r="TOD240"/>
      <c r="TOE240"/>
      <c r="TOF240"/>
      <c r="TOG240"/>
      <c r="TOH240"/>
      <c r="TOI240"/>
      <c r="TOJ240"/>
      <c r="TOK240"/>
      <c r="TOL240"/>
      <c r="TOM240"/>
      <c r="TON240"/>
      <c r="TOO240"/>
      <c r="TOP240"/>
      <c r="TOQ240"/>
      <c r="TOR240"/>
      <c r="TOS240"/>
      <c r="TOT240"/>
      <c r="TOU240"/>
      <c r="TOV240"/>
      <c r="TOW240"/>
      <c r="TOX240"/>
      <c r="TOY240"/>
      <c r="TOZ240"/>
      <c r="TPA240"/>
      <c r="TPB240"/>
      <c r="TPC240"/>
      <c r="TPD240"/>
      <c r="TPE240"/>
      <c r="TPF240"/>
      <c r="TPG240"/>
      <c r="TPH240"/>
      <c r="TPI240"/>
      <c r="TPJ240"/>
      <c r="TPK240"/>
      <c r="TPL240"/>
      <c r="TPM240"/>
      <c r="TPN240"/>
      <c r="TPO240"/>
      <c r="TPP240"/>
      <c r="TPQ240"/>
      <c r="TPR240"/>
      <c r="TPS240"/>
      <c r="TPT240"/>
      <c r="TPU240"/>
      <c r="TPV240"/>
      <c r="TPW240"/>
      <c r="TPX240"/>
      <c r="TPY240"/>
      <c r="TPZ240"/>
      <c r="TQA240"/>
      <c r="TQB240"/>
      <c r="TQC240"/>
      <c r="TQD240"/>
      <c r="TQE240"/>
      <c r="TQF240"/>
      <c r="TQG240"/>
      <c r="TQH240"/>
      <c r="TQI240"/>
      <c r="TQJ240"/>
      <c r="TQK240"/>
      <c r="TQL240"/>
      <c r="TQM240"/>
      <c r="TQN240"/>
      <c r="TQO240"/>
      <c r="TQP240"/>
      <c r="TQQ240"/>
      <c r="TQR240"/>
      <c r="TQS240"/>
      <c r="TQT240"/>
      <c r="TQU240"/>
      <c r="TQV240"/>
      <c r="TQW240"/>
      <c r="TQX240"/>
      <c r="TQY240"/>
      <c r="TQZ240"/>
      <c r="TRA240"/>
      <c r="TRB240"/>
      <c r="TRC240"/>
      <c r="TRD240"/>
      <c r="TRE240"/>
      <c r="TRF240"/>
      <c r="TRG240"/>
      <c r="TRH240"/>
      <c r="TRI240"/>
      <c r="TRJ240"/>
      <c r="TRK240"/>
      <c r="TRL240"/>
      <c r="TRM240"/>
      <c r="TRN240"/>
      <c r="TRO240"/>
      <c r="TRP240"/>
      <c r="TRQ240"/>
      <c r="TRR240"/>
      <c r="TRS240"/>
      <c r="TRT240"/>
      <c r="TRU240"/>
      <c r="TRV240"/>
      <c r="TRW240"/>
      <c r="TRX240"/>
      <c r="TRY240"/>
      <c r="TRZ240"/>
      <c r="TSA240"/>
      <c r="TSB240"/>
      <c r="TSC240"/>
      <c r="TSD240"/>
      <c r="TSE240"/>
      <c r="TSF240"/>
      <c r="TSG240"/>
      <c r="TSH240"/>
      <c r="TSI240"/>
      <c r="TSJ240"/>
      <c r="TSK240"/>
      <c r="TSL240"/>
      <c r="TSM240"/>
      <c r="TSN240"/>
      <c r="TSO240"/>
      <c r="TSP240"/>
      <c r="TSQ240"/>
      <c r="TSR240"/>
      <c r="TSS240"/>
      <c r="TST240"/>
      <c r="TSU240"/>
      <c r="TSV240"/>
      <c r="TSW240"/>
      <c r="TSX240"/>
      <c r="TSY240"/>
      <c r="TSZ240"/>
      <c r="TTA240"/>
      <c r="TTB240"/>
      <c r="TTC240"/>
      <c r="TTD240"/>
      <c r="TTE240"/>
      <c r="TTF240"/>
      <c r="TTG240"/>
      <c r="TTH240"/>
      <c r="TTI240"/>
      <c r="TTJ240"/>
      <c r="TTK240"/>
      <c r="TTL240"/>
      <c r="TTM240"/>
      <c r="TTN240"/>
      <c r="TTO240"/>
      <c r="TTP240"/>
      <c r="TTQ240"/>
      <c r="TTR240"/>
      <c r="TTS240"/>
      <c r="TTT240"/>
      <c r="TTU240"/>
      <c r="TTV240"/>
      <c r="TTW240"/>
      <c r="TTX240"/>
      <c r="TTY240"/>
      <c r="TTZ240"/>
      <c r="TUA240"/>
      <c r="TUB240"/>
      <c r="TUC240"/>
      <c r="TUD240"/>
      <c r="TUE240"/>
      <c r="TUF240"/>
      <c r="TUG240"/>
      <c r="TUH240"/>
      <c r="TUI240"/>
      <c r="TUJ240"/>
      <c r="TUK240"/>
      <c r="TUL240"/>
      <c r="TUM240"/>
      <c r="TUN240"/>
      <c r="TUO240"/>
      <c r="TUP240"/>
      <c r="TUQ240"/>
      <c r="TUR240"/>
      <c r="TUS240"/>
      <c r="TUT240"/>
      <c r="TUU240"/>
      <c r="TUV240"/>
      <c r="TUW240"/>
      <c r="TUX240"/>
      <c r="TUY240"/>
      <c r="TUZ240"/>
      <c r="TVA240"/>
      <c r="TVB240"/>
      <c r="TVC240"/>
      <c r="TVD240"/>
      <c r="TVE240"/>
      <c r="TVF240"/>
      <c r="TVG240"/>
      <c r="TVH240"/>
      <c r="TVI240"/>
      <c r="TVJ240"/>
      <c r="TVK240"/>
      <c r="TVL240"/>
      <c r="TVM240"/>
      <c r="TVN240"/>
      <c r="TVO240"/>
      <c r="TVP240"/>
      <c r="TVQ240"/>
      <c r="TVR240"/>
      <c r="TVS240"/>
      <c r="TVT240"/>
      <c r="TVU240"/>
      <c r="TVV240"/>
      <c r="TVW240"/>
      <c r="TVX240"/>
      <c r="TVY240"/>
      <c r="TVZ240"/>
      <c r="TWA240"/>
      <c r="TWB240"/>
      <c r="TWC240"/>
      <c r="TWD240"/>
      <c r="TWE240"/>
      <c r="TWF240"/>
      <c r="TWG240"/>
      <c r="TWH240"/>
      <c r="TWI240"/>
      <c r="TWJ240"/>
      <c r="TWK240"/>
      <c r="TWL240"/>
      <c r="TWM240"/>
      <c r="TWN240"/>
      <c r="TWO240"/>
      <c r="TWP240"/>
      <c r="TWQ240"/>
      <c r="TWR240"/>
      <c r="TWS240"/>
      <c r="TWT240"/>
      <c r="TWU240"/>
      <c r="TWV240"/>
      <c r="TWW240"/>
      <c r="TWX240"/>
      <c r="TWY240"/>
      <c r="TWZ240"/>
      <c r="TXA240"/>
      <c r="TXB240"/>
      <c r="TXC240"/>
      <c r="TXD240"/>
      <c r="TXE240"/>
      <c r="TXF240"/>
      <c r="TXG240"/>
      <c r="TXH240"/>
      <c r="TXI240"/>
      <c r="TXJ240"/>
      <c r="TXK240"/>
      <c r="TXL240"/>
      <c r="TXM240"/>
      <c r="TXN240"/>
      <c r="TXO240"/>
      <c r="TXP240"/>
      <c r="TXQ240"/>
      <c r="TXR240"/>
      <c r="TXS240"/>
      <c r="TXT240"/>
      <c r="TXU240"/>
      <c r="TXV240"/>
      <c r="TXW240"/>
      <c r="TXX240"/>
      <c r="TXY240"/>
      <c r="TXZ240"/>
      <c r="TYA240"/>
      <c r="TYB240"/>
      <c r="TYC240"/>
      <c r="TYD240"/>
      <c r="TYE240"/>
      <c r="TYF240"/>
      <c r="TYG240"/>
      <c r="TYH240"/>
      <c r="TYI240"/>
      <c r="TYJ240"/>
      <c r="TYK240"/>
      <c r="TYL240"/>
      <c r="TYM240"/>
      <c r="TYN240"/>
      <c r="TYO240"/>
      <c r="TYP240"/>
      <c r="TYQ240"/>
      <c r="TYR240"/>
      <c r="TYS240"/>
      <c r="TYT240"/>
      <c r="TYU240"/>
      <c r="TYV240"/>
      <c r="TYW240"/>
      <c r="TYX240"/>
      <c r="TYY240"/>
      <c r="TYZ240"/>
      <c r="TZA240"/>
      <c r="TZB240"/>
      <c r="TZC240"/>
      <c r="TZD240"/>
      <c r="TZE240"/>
      <c r="TZF240"/>
      <c r="TZG240"/>
      <c r="TZH240"/>
      <c r="TZI240"/>
      <c r="TZJ240"/>
      <c r="TZK240"/>
      <c r="TZL240"/>
      <c r="TZM240"/>
      <c r="TZN240"/>
      <c r="TZO240"/>
      <c r="TZP240"/>
      <c r="TZQ240"/>
      <c r="TZR240"/>
      <c r="TZS240"/>
      <c r="TZT240"/>
      <c r="TZU240"/>
      <c r="TZV240"/>
      <c r="TZW240"/>
      <c r="TZX240"/>
      <c r="TZY240"/>
      <c r="TZZ240"/>
      <c r="UAA240"/>
      <c r="UAB240"/>
      <c r="UAC240"/>
      <c r="UAD240"/>
      <c r="UAE240"/>
      <c r="UAF240"/>
      <c r="UAG240"/>
      <c r="UAH240"/>
      <c r="UAI240"/>
      <c r="UAJ240"/>
      <c r="UAK240"/>
      <c r="UAL240"/>
      <c r="UAM240"/>
      <c r="UAN240"/>
      <c r="UAO240"/>
      <c r="UAP240"/>
      <c r="UAQ240"/>
      <c r="UAR240"/>
      <c r="UAS240"/>
      <c r="UAT240"/>
      <c r="UAU240"/>
      <c r="UAV240"/>
      <c r="UAW240"/>
      <c r="UAX240"/>
      <c r="UAY240"/>
      <c r="UAZ240"/>
      <c r="UBA240"/>
      <c r="UBB240"/>
      <c r="UBC240"/>
      <c r="UBD240"/>
      <c r="UBE240"/>
      <c r="UBF240"/>
      <c r="UBG240"/>
      <c r="UBH240"/>
      <c r="UBI240"/>
      <c r="UBJ240"/>
      <c r="UBK240"/>
      <c r="UBL240"/>
      <c r="UBM240"/>
      <c r="UBN240"/>
      <c r="UBO240"/>
      <c r="UBP240"/>
      <c r="UBQ240"/>
      <c r="UBR240"/>
      <c r="UBS240"/>
      <c r="UBT240"/>
      <c r="UBU240"/>
      <c r="UBV240"/>
      <c r="UBW240"/>
      <c r="UBX240"/>
      <c r="UBY240"/>
      <c r="UBZ240"/>
      <c r="UCA240"/>
      <c r="UCB240"/>
      <c r="UCC240"/>
      <c r="UCD240"/>
      <c r="UCE240"/>
      <c r="UCF240"/>
      <c r="UCG240"/>
      <c r="UCH240"/>
      <c r="UCI240"/>
      <c r="UCJ240"/>
      <c r="UCK240"/>
      <c r="UCL240"/>
      <c r="UCM240"/>
      <c r="UCN240"/>
      <c r="UCO240"/>
      <c r="UCP240"/>
      <c r="UCQ240"/>
      <c r="UCR240"/>
      <c r="UCS240"/>
      <c r="UCT240"/>
      <c r="UCU240"/>
      <c r="UCV240"/>
      <c r="UCW240"/>
      <c r="UCX240"/>
      <c r="UCY240"/>
      <c r="UCZ240"/>
      <c r="UDA240"/>
      <c r="UDB240"/>
      <c r="UDC240"/>
      <c r="UDD240"/>
      <c r="UDE240"/>
      <c r="UDF240"/>
      <c r="UDG240"/>
      <c r="UDH240"/>
      <c r="UDI240"/>
      <c r="UDJ240"/>
      <c r="UDK240"/>
      <c r="UDL240"/>
      <c r="UDM240"/>
      <c r="UDN240"/>
      <c r="UDO240"/>
      <c r="UDP240"/>
      <c r="UDQ240"/>
      <c r="UDR240"/>
      <c r="UDS240"/>
      <c r="UDT240"/>
      <c r="UDU240"/>
      <c r="UDV240"/>
      <c r="UDW240"/>
      <c r="UDX240"/>
      <c r="UDY240"/>
      <c r="UDZ240"/>
      <c r="UEA240"/>
      <c r="UEB240"/>
      <c r="UEC240"/>
      <c r="UED240"/>
      <c r="UEE240"/>
      <c r="UEF240"/>
      <c r="UEG240"/>
      <c r="UEH240"/>
      <c r="UEI240"/>
      <c r="UEJ240"/>
      <c r="UEK240"/>
      <c r="UEL240"/>
      <c r="UEM240"/>
      <c r="UEN240"/>
      <c r="UEO240"/>
      <c r="UEP240"/>
      <c r="UEQ240"/>
      <c r="UER240"/>
      <c r="UES240"/>
      <c r="UET240"/>
      <c r="UEU240"/>
      <c r="UEV240"/>
      <c r="UEW240"/>
      <c r="UEX240"/>
      <c r="UEY240"/>
      <c r="UEZ240"/>
      <c r="UFA240"/>
      <c r="UFB240"/>
      <c r="UFC240"/>
      <c r="UFD240"/>
      <c r="UFE240"/>
      <c r="UFF240"/>
      <c r="UFG240"/>
      <c r="UFH240"/>
      <c r="UFI240"/>
      <c r="UFJ240"/>
      <c r="UFK240"/>
      <c r="UFL240"/>
      <c r="UFM240"/>
      <c r="UFN240"/>
      <c r="UFO240"/>
      <c r="UFP240"/>
      <c r="UFQ240"/>
      <c r="UFR240"/>
      <c r="UFS240"/>
      <c r="UFT240"/>
      <c r="UFU240"/>
      <c r="UFV240"/>
      <c r="UFW240"/>
      <c r="UFX240"/>
      <c r="UFY240"/>
      <c r="UFZ240"/>
      <c r="UGA240"/>
      <c r="UGB240"/>
      <c r="UGC240"/>
      <c r="UGD240"/>
      <c r="UGE240"/>
      <c r="UGF240"/>
      <c r="UGG240"/>
      <c r="UGH240"/>
      <c r="UGI240"/>
      <c r="UGJ240"/>
      <c r="UGK240"/>
      <c r="UGL240"/>
      <c r="UGM240"/>
      <c r="UGN240"/>
      <c r="UGO240"/>
      <c r="UGP240"/>
      <c r="UGQ240"/>
      <c r="UGR240"/>
      <c r="UGS240"/>
      <c r="UGT240"/>
      <c r="UGU240"/>
      <c r="UGV240"/>
      <c r="UGW240"/>
      <c r="UGX240"/>
      <c r="UGY240"/>
      <c r="UGZ240"/>
      <c r="UHA240"/>
      <c r="UHB240"/>
      <c r="UHC240"/>
      <c r="UHD240"/>
      <c r="UHE240"/>
      <c r="UHF240"/>
      <c r="UHG240"/>
      <c r="UHH240"/>
      <c r="UHI240"/>
      <c r="UHJ240"/>
      <c r="UHK240"/>
      <c r="UHL240"/>
      <c r="UHM240"/>
      <c r="UHN240"/>
      <c r="UHO240"/>
      <c r="UHP240"/>
      <c r="UHQ240"/>
      <c r="UHR240"/>
      <c r="UHS240"/>
      <c r="UHT240"/>
      <c r="UHU240"/>
      <c r="UHV240"/>
      <c r="UHW240"/>
      <c r="UHX240"/>
      <c r="UHY240"/>
      <c r="UHZ240"/>
      <c r="UIA240"/>
      <c r="UIB240"/>
      <c r="UIC240"/>
      <c r="UID240"/>
      <c r="UIE240"/>
      <c r="UIF240"/>
      <c r="UIG240"/>
      <c r="UIH240"/>
      <c r="UII240"/>
      <c r="UIJ240"/>
      <c r="UIK240"/>
      <c r="UIL240"/>
      <c r="UIM240"/>
      <c r="UIN240"/>
      <c r="UIO240"/>
      <c r="UIP240"/>
      <c r="UIQ240"/>
      <c r="UIR240"/>
      <c r="UIS240"/>
      <c r="UIT240"/>
      <c r="UIU240"/>
      <c r="UIV240"/>
      <c r="UIW240"/>
      <c r="UIX240"/>
      <c r="UIY240"/>
      <c r="UIZ240"/>
      <c r="UJA240"/>
      <c r="UJB240"/>
      <c r="UJC240"/>
      <c r="UJD240"/>
      <c r="UJE240"/>
      <c r="UJF240"/>
      <c r="UJG240"/>
      <c r="UJH240"/>
      <c r="UJI240"/>
      <c r="UJJ240"/>
      <c r="UJK240"/>
      <c r="UJL240"/>
      <c r="UJM240"/>
      <c r="UJN240"/>
      <c r="UJO240"/>
      <c r="UJP240"/>
      <c r="UJQ240"/>
      <c r="UJR240"/>
      <c r="UJS240"/>
      <c r="UJT240"/>
      <c r="UJU240"/>
      <c r="UJV240"/>
      <c r="UJW240"/>
      <c r="UJX240"/>
      <c r="UJY240"/>
      <c r="UJZ240"/>
      <c r="UKA240"/>
      <c r="UKB240"/>
      <c r="UKC240"/>
      <c r="UKD240"/>
      <c r="UKE240"/>
      <c r="UKF240"/>
      <c r="UKG240"/>
      <c r="UKH240"/>
      <c r="UKI240"/>
      <c r="UKJ240"/>
      <c r="UKK240"/>
      <c r="UKL240"/>
      <c r="UKM240"/>
      <c r="UKN240"/>
      <c r="UKO240"/>
      <c r="UKP240"/>
      <c r="UKQ240"/>
      <c r="UKR240"/>
      <c r="UKS240"/>
      <c r="UKT240"/>
      <c r="UKU240"/>
      <c r="UKV240"/>
      <c r="UKW240"/>
      <c r="UKX240"/>
      <c r="UKY240"/>
      <c r="UKZ240"/>
      <c r="ULA240"/>
      <c r="ULB240"/>
      <c r="ULC240"/>
      <c r="ULD240"/>
      <c r="ULE240"/>
      <c r="ULF240"/>
      <c r="ULG240"/>
      <c r="ULH240"/>
      <c r="ULI240"/>
      <c r="ULJ240"/>
      <c r="ULK240"/>
      <c r="ULL240"/>
      <c r="ULM240"/>
      <c r="ULN240"/>
      <c r="ULO240"/>
      <c r="ULP240"/>
      <c r="ULQ240"/>
      <c r="ULR240"/>
      <c r="ULS240"/>
      <c r="ULT240"/>
      <c r="ULU240"/>
      <c r="ULV240"/>
      <c r="ULW240"/>
      <c r="ULX240"/>
      <c r="ULY240"/>
      <c r="ULZ240"/>
      <c r="UMA240"/>
      <c r="UMB240"/>
      <c r="UMC240"/>
      <c r="UMD240"/>
      <c r="UME240"/>
      <c r="UMF240"/>
      <c r="UMG240"/>
      <c r="UMH240"/>
      <c r="UMI240"/>
      <c r="UMJ240"/>
      <c r="UMK240"/>
      <c r="UML240"/>
      <c r="UMM240"/>
      <c r="UMN240"/>
      <c r="UMO240"/>
      <c r="UMP240"/>
      <c r="UMQ240"/>
      <c r="UMR240"/>
      <c r="UMS240"/>
      <c r="UMT240"/>
      <c r="UMU240"/>
      <c r="UMV240"/>
      <c r="UMW240"/>
      <c r="UMX240"/>
      <c r="UMY240"/>
      <c r="UMZ240"/>
      <c r="UNA240"/>
      <c r="UNB240"/>
      <c r="UNC240"/>
      <c r="UND240"/>
      <c r="UNE240"/>
      <c r="UNF240"/>
      <c r="UNG240"/>
      <c r="UNH240"/>
      <c r="UNI240"/>
      <c r="UNJ240"/>
      <c r="UNK240"/>
      <c r="UNL240"/>
      <c r="UNM240"/>
      <c r="UNN240"/>
      <c r="UNO240"/>
      <c r="UNP240"/>
      <c r="UNQ240"/>
      <c r="UNR240"/>
      <c r="UNS240"/>
      <c r="UNT240"/>
      <c r="UNU240"/>
      <c r="UNV240"/>
      <c r="UNW240"/>
      <c r="UNX240"/>
      <c r="UNY240"/>
      <c r="UNZ240"/>
      <c r="UOA240"/>
      <c r="UOB240"/>
      <c r="UOC240"/>
      <c r="UOD240"/>
      <c r="UOE240"/>
      <c r="UOF240"/>
      <c r="UOG240"/>
      <c r="UOH240"/>
      <c r="UOI240"/>
      <c r="UOJ240"/>
      <c r="UOK240"/>
      <c r="UOL240"/>
      <c r="UOM240"/>
      <c r="UON240"/>
      <c r="UOO240"/>
      <c r="UOP240"/>
      <c r="UOQ240"/>
      <c r="UOR240"/>
      <c r="UOS240"/>
      <c r="UOT240"/>
      <c r="UOU240"/>
      <c r="UOV240"/>
      <c r="UOW240"/>
      <c r="UOX240"/>
      <c r="UOY240"/>
      <c r="UOZ240"/>
      <c r="UPA240"/>
      <c r="UPB240"/>
      <c r="UPC240"/>
      <c r="UPD240"/>
      <c r="UPE240"/>
      <c r="UPF240"/>
      <c r="UPG240"/>
      <c r="UPH240"/>
      <c r="UPI240"/>
      <c r="UPJ240"/>
      <c r="UPK240"/>
      <c r="UPL240"/>
      <c r="UPM240"/>
      <c r="UPN240"/>
      <c r="UPO240"/>
      <c r="UPP240"/>
      <c r="UPQ240"/>
      <c r="UPR240"/>
      <c r="UPS240"/>
      <c r="UPT240"/>
      <c r="UPU240"/>
      <c r="UPV240"/>
      <c r="UPW240"/>
      <c r="UPX240"/>
      <c r="UPY240"/>
      <c r="UPZ240"/>
      <c r="UQA240"/>
      <c r="UQB240"/>
      <c r="UQC240"/>
      <c r="UQD240"/>
      <c r="UQE240"/>
      <c r="UQF240"/>
      <c r="UQG240"/>
      <c r="UQH240"/>
      <c r="UQI240"/>
      <c r="UQJ240"/>
      <c r="UQK240"/>
      <c r="UQL240"/>
      <c r="UQM240"/>
      <c r="UQN240"/>
      <c r="UQO240"/>
      <c r="UQP240"/>
      <c r="UQQ240"/>
      <c r="UQR240"/>
      <c r="UQS240"/>
      <c r="UQT240"/>
      <c r="UQU240"/>
      <c r="UQV240"/>
      <c r="UQW240"/>
      <c r="UQX240"/>
      <c r="UQY240"/>
      <c r="UQZ240"/>
      <c r="URA240"/>
      <c r="URB240"/>
      <c r="URC240"/>
      <c r="URD240"/>
      <c r="URE240"/>
      <c r="URF240"/>
      <c r="URG240"/>
      <c r="URH240"/>
      <c r="URI240"/>
      <c r="URJ240"/>
      <c r="URK240"/>
      <c r="URL240"/>
      <c r="URM240"/>
      <c r="URN240"/>
      <c r="URO240"/>
      <c r="URP240"/>
      <c r="URQ240"/>
      <c r="URR240"/>
      <c r="URS240"/>
      <c r="URT240"/>
      <c r="URU240"/>
      <c r="URV240"/>
      <c r="URW240"/>
      <c r="URX240"/>
      <c r="URY240"/>
      <c r="URZ240"/>
      <c r="USA240"/>
      <c r="USB240"/>
      <c r="USC240"/>
      <c r="USD240"/>
      <c r="USE240"/>
      <c r="USF240"/>
      <c r="USG240"/>
      <c r="USH240"/>
      <c r="USI240"/>
      <c r="USJ240"/>
      <c r="USK240"/>
      <c r="USL240"/>
      <c r="USM240"/>
      <c r="USN240"/>
      <c r="USO240"/>
      <c r="USP240"/>
      <c r="USQ240"/>
      <c r="USR240"/>
      <c r="USS240"/>
      <c r="UST240"/>
      <c r="USU240"/>
      <c r="USV240"/>
      <c r="USW240"/>
      <c r="USX240"/>
      <c r="USY240"/>
      <c r="USZ240"/>
      <c r="UTA240"/>
      <c r="UTB240"/>
      <c r="UTC240"/>
      <c r="UTD240"/>
      <c r="UTE240"/>
      <c r="UTF240"/>
      <c r="UTG240"/>
      <c r="UTH240"/>
      <c r="UTI240"/>
      <c r="UTJ240"/>
      <c r="UTK240"/>
      <c r="UTL240"/>
      <c r="UTM240"/>
      <c r="UTN240"/>
      <c r="UTO240"/>
      <c r="UTP240"/>
      <c r="UTQ240"/>
      <c r="UTR240"/>
      <c r="UTS240"/>
      <c r="UTT240"/>
      <c r="UTU240"/>
      <c r="UTV240"/>
      <c r="UTW240"/>
      <c r="UTX240"/>
      <c r="UTY240"/>
      <c r="UTZ240"/>
      <c r="UUA240"/>
      <c r="UUB240"/>
      <c r="UUC240"/>
      <c r="UUD240"/>
      <c r="UUE240"/>
      <c r="UUF240"/>
      <c r="UUG240"/>
      <c r="UUH240"/>
      <c r="UUI240"/>
      <c r="UUJ240"/>
      <c r="UUK240"/>
      <c r="UUL240"/>
      <c r="UUM240"/>
      <c r="UUN240"/>
      <c r="UUO240"/>
      <c r="UUP240"/>
      <c r="UUQ240"/>
      <c r="UUR240"/>
      <c r="UUS240"/>
      <c r="UUT240"/>
      <c r="UUU240"/>
      <c r="UUV240"/>
      <c r="UUW240"/>
      <c r="UUX240"/>
      <c r="UUY240"/>
      <c r="UUZ240"/>
      <c r="UVA240"/>
      <c r="UVB240"/>
      <c r="UVC240"/>
      <c r="UVD240"/>
      <c r="UVE240"/>
      <c r="UVF240"/>
      <c r="UVG240"/>
      <c r="UVH240"/>
      <c r="UVI240"/>
      <c r="UVJ240"/>
      <c r="UVK240"/>
      <c r="UVL240"/>
      <c r="UVM240"/>
      <c r="UVN240"/>
      <c r="UVO240"/>
      <c r="UVP240"/>
      <c r="UVQ240"/>
      <c r="UVR240"/>
      <c r="UVS240"/>
      <c r="UVT240"/>
      <c r="UVU240"/>
      <c r="UVV240"/>
      <c r="UVW240"/>
      <c r="UVX240"/>
      <c r="UVY240"/>
      <c r="UVZ240"/>
      <c r="UWA240"/>
      <c r="UWB240"/>
      <c r="UWC240"/>
      <c r="UWD240"/>
      <c r="UWE240"/>
      <c r="UWF240"/>
      <c r="UWG240"/>
      <c r="UWH240"/>
      <c r="UWI240"/>
      <c r="UWJ240"/>
      <c r="UWK240"/>
      <c r="UWL240"/>
      <c r="UWM240"/>
      <c r="UWN240"/>
      <c r="UWO240"/>
      <c r="UWP240"/>
      <c r="UWQ240"/>
      <c r="UWR240"/>
      <c r="UWS240"/>
      <c r="UWT240"/>
      <c r="UWU240"/>
      <c r="UWV240"/>
      <c r="UWW240"/>
      <c r="UWX240"/>
      <c r="UWY240"/>
      <c r="UWZ240"/>
      <c r="UXA240"/>
      <c r="UXB240"/>
      <c r="UXC240"/>
      <c r="UXD240"/>
      <c r="UXE240"/>
      <c r="UXF240"/>
      <c r="UXG240"/>
      <c r="UXH240"/>
      <c r="UXI240"/>
      <c r="UXJ240"/>
      <c r="UXK240"/>
      <c r="UXL240"/>
      <c r="UXM240"/>
      <c r="UXN240"/>
      <c r="UXO240"/>
      <c r="UXP240"/>
      <c r="UXQ240"/>
      <c r="UXR240"/>
      <c r="UXS240"/>
      <c r="UXT240"/>
      <c r="UXU240"/>
      <c r="UXV240"/>
      <c r="UXW240"/>
      <c r="UXX240"/>
      <c r="UXY240"/>
      <c r="UXZ240"/>
      <c r="UYA240"/>
      <c r="UYB240"/>
      <c r="UYC240"/>
      <c r="UYD240"/>
      <c r="UYE240"/>
      <c r="UYF240"/>
      <c r="UYG240"/>
      <c r="UYH240"/>
      <c r="UYI240"/>
      <c r="UYJ240"/>
      <c r="UYK240"/>
      <c r="UYL240"/>
      <c r="UYM240"/>
      <c r="UYN240"/>
      <c r="UYO240"/>
      <c r="UYP240"/>
      <c r="UYQ240"/>
      <c r="UYR240"/>
      <c r="UYS240"/>
      <c r="UYT240"/>
      <c r="UYU240"/>
      <c r="UYV240"/>
      <c r="UYW240"/>
      <c r="UYX240"/>
      <c r="UYY240"/>
      <c r="UYZ240"/>
      <c r="UZA240"/>
      <c r="UZB240"/>
      <c r="UZC240"/>
      <c r="UZD240"/>
      <c r="UZE240"/>
      <c r="UZF240"/>
      <c r="UZG240"/>
      <c r="UZH240"/>
      <c r="UZI240"/>
      <c r="UZJ240"/>
      <c r="UZK240"/>
      <c r="UZL240"/>
      <c r="UZM240"/>
      <c r="UZN240"/>
      <c r="UZO240"/>
      <c r="UZP240"/>
      <c r="UZQ240"/>
      <c r="UZR240"/>
      <c r="UZS240"/>
      <c r="UZT240"/>
      <c r="UZU240"/>
      <c r="UZV240"/>
      <c r="UZW240"/>
      <c r="UZX240"/>
      <c r="UZY240"/>
      <c r="UZZ240"/>
      <c r="VAA240"/>
      <c r="VAB240"/>
      <c r="VAC240"/>
      <c r="VAD240"/>
      <c r="VAE240"/>
      <c r="VAF240"/>
      <c r="VAG240"/>
      <c r="VAH240"/>
      <c r="VAI240"/>
      <c r="VAJ240"/>
      <c r="VAK240"/>
      <c r="VAL240"/>
      <c r="VAM240"/>
      <c r="VAN240"/>
      <c r="VAO240"/>
      <c r="VAP240"/>
      <c r="VAQ240"/>
      <c r="VAR240"/>
      <c r="VAS240"/>
      <c r="VAT240"/>
      <c r="VAU240"/>
      <c r="VAV240"/>
      <c r="VAW240"/>
      <c r="VAX240"/>
      <c r="VAY240"/>
      <c r="VAZ240"/>
      <c r="VBA240"/>
      <c r="VBB240"/>
      <c r="VBC240"/>
      <c r="VBD240"/>
      <c r="VBE240"/>
      <c r="VBF240"/>
      <c r="VBG240"/>
      <c r="VBH240"/>
      <c r="VBI240"/>
      <c r="VBJ240"/>
      <c r="VBK240"/>
      <c r="VBL240"/>
      <c r="VBM240"/>
      <c r="VBN240"/>
      <c r="VBO240"/>
      <c r="VBP240"/>
      <c r="VBQ240"/>
      <c r="VBR240"/>
      <c r="VBS240"/>
      <c r="VBT240"/>
      <c r="VBU240"/>
      <c r="VBV240"/>
      <c r="VBW240"/>
      <c r="VBX240"/>
      <c r="VBY240"/>
      <c r="VBZ240"/>
      <c r="VCA240"/>
      <c r="VCB240"/>
      <c r="VCC240"/>
      <c r="VCD240"/>
      <c r="VCE240"/>
      <c r="VCF240"/>
      <c r="VCG240"/>
      <c r="VCH240"/>
      <c r="VCI240"/>
      <c r="VCJ240"/>
      <c r="VCK240"/>
      <c r="VCL240"/>
      <c r="VCM240"/>
      <c r="VCN240"/>
      <c r="VCO240"/>
      <c r="VCP240"/>
      <c r="VCQ240"/>
      <c r="VCR240"/>
      <c r="VCS240"/>
      <c r="VCT240"/>
      <c r="VCU240"/>
      <c r="VCV240"/>
      <c r="VCW240"/>
      <c r="VCX240"/>
      <c r="VCY240"/>
      <c r="VCZ240"/>
      <c r="VDA240"/>
      <c r="VDB240"/>
      <c r="VDC240"/>
      <c r="VDD240"/>
      <c r="VDE240"/>
      <c r="VDF240"/>
      <c r="VDG240"/>
      <c r="VDH240"/>
      <c r="VDI240"/>
      <c r="VDJ240"/>
      <c r="VDK240"/>
      <c r="VDL240"/>
      <c r="VDM240"/>
      <c r="VDN240"/>
      <c r="VDO240"/>
      <c r="VDP240"/>
      <c r="VDQ240"/>
      <c r="VDR240"/>
      <c r="VDS240"/>
      <c r="VDT240"/>
      <c r="VDU240"/>
      <c r="VDV240"/>
      <c r="VDW240"/>
      <c r="VDX240"/>
      <c r="VDY240"/>
      <c r="VDZ240"/>
      <c r="VEA240"/>
      <c r="VEB240"/>
      <c r="VEC240"/>
      <c r="VED240"/>
      <c r="VEE240"/>
      <c r="VEF240"/>
      <c r="VEG240"/>
      <c r="VEH240"/>
      <c r="VEI240"/>
      <c r="VEJ240"/>
      <c r="VEK240"/>
      <c r="VEL240"/>
      <c r="VEM240"/>
      <c r="VEN240"/>
      <c r="VEO240"/>
      <c r="VEP240"/>
      <c r="VEQ240"/>
      <c r="VER240"/>
      <c r="VES240"/>
      <c r="VET240"/>
      <c r="VEU240"/>
      <c r="VEV240"/>
      <c r="VEW240"/>
      <c r="VEX240"/>
      <c r="VEY240"/>
      <c r="VEZ240"/>
      <c r="VFA240"/>
      <c r="VFB240"/>
      <c r="VFC240"/>
      <c r="VFD240"/>
      <c r="VFE240"/>
      <c r="VFF240"/>
      <c r="VFG240"/>
      <c r="VFH240"/>
      <c r="VFI240"/>
      <c r="VFJ240"/>
      <c r="VFK240"/>
      <c r="VFL240"/>
      <c r="VFM240"/>
      <c r="VFN240"/>
      <c r="VFO240"/>
      <c r="VFP240"/>
      <c r="VFQ240"/>
      <c r="VFR240"/>
      <c r="VFS240"/>
      <c r="VFT240"/>
      <c r="VFU240"/>
      <c r="VFV240"/>
      <c r="VFW240"/>
      <c r="VFX240"/>
      <c r="VFY240"/>
      <c r="VFZ240"/>
      <c r="VGA240"/>
      <c r="VGB240"/>
      <c r="VGC240"/>
      <c r="VGD240"/>
      <c r="VGE240"/>
      <c r="VGF240"/>
      <c r="VGG240"/>
      <c r="VGH240"/>
      <c r="VGI240"/>
      <c r="VGJ240"/>
      <c r="VGK240"/>
      <c r="VGL240"/>
      <c r="VGM240"/>
      <c r="VGN240"/>
      <c r="VGO240"/>
      <c r="VGP240"/>
      <c r="VGQ240"/>
      <c r="VGR240"/>
      <c r="VGS240"/>
      <c r="VGT240"/>
      <c r="VGU240"/>
      <c r="VGV240"/>
      <c r="VGW240"/>
      <c r="VGX240"/>
      <c r="VGY240"/>
      <c r="VGZ240"/>
      <c r="VHA240"/>
      <c r="VHB240"/>
      <c r="VHC240"/>
      <c r="VHD240"/>
      <c r="VHE240"/>
      <c r="VHF240"/>
      <c r="VHG240"/>
      <c r="VHH240"/>
      <c r="VHI240"/>
      <c r="VHJ240"/>
      <c r="VHK240"/>
      <c r="VHL240"/>
      <c r="VHM240"/>
      <c r="VHN240"/>
      <c r="VHO240"/>
      <c r="VHP240"/>
      <c r="VHQ240"/>
      <c r="VHR240"/>
      <c r="VHS240"/>
      <c r="VHT240"/>
      <c r="VHU240"/>
      <c r="VHV240"/>
      <c r="VHW240"/>
      <c r="VHX240"/>
      <c r="VHY240"/>
      <c r="VHZ240"/>
      <c r="VIA240"/>
      <c r="VIB240"/>
      <c r="VIC240"/>
      <c r="VID240"/>
      <c r="VIE240"/>
      <c r="VIF240"/>
      <c r="VIG240"/>
      <c r="VIH240"/>
      <c r="VII240"/>
      <c r="VIJ240"/>
      <c r="VIK240"/>
      <c r="VIL240"/>
      <c r="VIM240"/>
      <c r="VIN240"/>
      <c r="VIO240"/>
      <c r="VIP240"/>
      <c r="VIQ240"/>
      <c r="VIR240"/>
      <c r="VIS240"/>
      <c r="VIT240"/>
      <c r="VIU240"/>
      <c r="VIV240"/>
      <c r="VIW240"/>
      <c r="VIX240"/>
      <c r="VIY240"/>
      <c r="VIZ240"/>
      <c r="VJA240"/>
      <c r="VJB240"/>
      <c r="VJC240"/>
      <c r="VJD240"/>
      <c r="VJE240"/>
      <c r="VJF240"/>
      <c r="VJG240"/>
      <c r="VJH240"/>
      <c r="VJI240"/>
      <c r="VJJ240"/>
      <c r="VJK240"/>
      <c r="VJL240"/>
      <c r="VJM240"/>
      <c r="VJN240"/>
      <c r="VJO240"/>
      <c r="VJP240"/>
      <c r="VJQ240"/>
      <c r="VJR240"/>
      <c r="VJS240"/>
      <c r="VJT240"/>
      <c r="VJU240"/>
      <c r="VJV240"/>
      <c r="VJW240"/>
      <c r="VJX240"/>
      <c r="VJY240"/>
      <c r="VJZ240"/>
      <c r="VKA240"/>
      <c r="VKB240"/>
      <c r="VKC240"/>
      <c r="VKD240"/>
      <c r="VKE240"/>
      <c r="VKF240"/>
      <c r="VKG240"/>
      <c r="VKH240"/>
      <c r="VKI240"/>
      <c r="VKJ240"/>
      <c r="VKK240"/>
      <c r="VKL240"/>
      <c r="VKM240"/>
      <c r="VKN240"/>
      <c r="VKO240"/>
      <c r="VKP240"/>
      <c r="VKQ240"/>
      <c r="VKR240"/>
      <c r="VKS240"/>
      <c r="VKT240"/>
      <c r="VKU240"/>
      <c r="VKV240"/>
      <c r="VKW240"/>
      <c r="VKX240"/>
      <c r="VKY240"/>
      <c r="VKZ240"/>
      <c r="VLA240"/>
      <c r="VLB240"/>
      <c r="VLC240"/>
      <c r="VLD240"/>
      <c r="VLE240"/>
      <c r="VLF240"/>
      <c r="VLG240"/>
      <c r="VLH240"/>
      <c r="VLI240"/>
      <c r="VLJ240"/>
      <c r="VLK240"/>
      <c r="VLL240"/>
      <c r="VLM240"/>
      <c r="VLN240"/>
      <c r="VLO240"/>
      <c r="VLP240"/>
      <c r="VLQ240"/>
      <c r="VLR240"/>
      <c r="VLS240"/>
      <c r="VLT240"/>
      <c r="VLU240"/>
      <c r="VLV240"/>
      <c r="VLW240"/>
      <c r="VLX240"/>
      <c r="VLY240"/>
      <c r="VLZ240"/>
      <c r="VMA240"/>
      <c r="VMB240"/>
      <c r="VMC240"/>
      <c r="VMD240"/>
      <c r="VME240"/>
      <c r="VMF240"/>
      <c r="VMG240"/>
      <c r="VMH240"/>
      <c r="VMI240"/>
      <c r="VMJ240"/>
      <c r="VMK240"/>
      <c r="VML240"/>
      <c r="VMM240"/>
      <c r="VMN240"/>
      <c r="VMO240"/>
      <c r="VMP240"/>
      <c r="VMQ240"/>
      <c r="VMR240"/>
      <c r="VMS240"/>
      <c r="VMT240"/>
      <c r="VMU240"/>
      <c r="VMV240"/>
      <c r="VMW240"/>
      <c r="VMX240"/>
      <c r="VMY240"/>
      <c r="VMZ240"/>
      <c r="VNA240"/>
      <c r="VNB240"/>
      <c r="VNC240"/>
      <c r="VND240"/>
      <c r="VNE240"/>
      <c r="VNF240"/>
      <c r="VNG240"/>
      <c r="VNH240"/>
      <c r="VNI240"/>
      <c r="VNJ240"/>
      <c r="VNK240"/>
      <c r="VNL240"/>
      <c r="VNM240"/>
      <c r="VNN240"/>
      <c r="VNO240"/>
      <c r="VNP240"/>
      <c r="VNQ240"/>
      <c r="VNR240"/>
      <c r="VNS240"/>
      <c r="VNT240"/>
      <c r="VNU240"/>
      <c r="VNV240"/>
      <c r="VNW240"/>
      <c r="VNX240"/>
      <c r="VNY240"/>
      <c r="VNZ240"/>
      <c r="VOA240"/>
      <c r="VOB240"/>
      <c r="VOC240"/>
      <c r="VOD240"/>
      <c r="VOE240"/>
      <c r="VOF240"/>
      <c r="VOG240"/>
      <c r="VOH240"/>
      <c r="VOI240"/>
      <c r="VOJ240"/>
      <c r="VOK240"/>
      <c r="VOL240"/>
      <c r="VOM240"/>
      <c r="VON240"/>
      <c r="VOO240"/>
      <c r="VOP240"/>
      <c r="VOQ240"/>
      <c r="VOR240"/>
      <c r="VOS240"/>
      <c r="VOT240"/>
      <c r="VOU240"/>
      <c r="VOV240"/>
      <c r="VOW240"/>
      <c r="VOX240"/>
      <c r="VOY240"/>
      <c r="VOZ240"/>
      <c r="VPA240"/>
      <c r="VPB240"/>
      <c r="VPC240"/>
      <c r="VPD240"/>
      <c r="VPE240"/>
      <c r="VPF240"/>
      <c r="VPG240"/>
      <c r="VPH240"/>
      <c r="VPI240"/>
      <c r="VPJ240"/>
      <c r="VPK240"/>
      <c r="VPL240"/>
      <c r="VPM240"/>
      <c r="VPN240"/>
      <c r="VPO240"/>
      <c r="VPP240"/>
      <c r="VPQ240"/>
      <c r="VPR240"/>
      <c r="VPS240"/>
      <c r="VPT240"/>
      <c r="VPU240"/>
      <c r="VPV240"/>
      <c r="VPW240"/>
      <c r="VPX240"/>
      <c r="VPY240"/>
      <c r="VPZ240"/>
      <c r="VQA240"/>
      <c r="VQB240"/>
      <c r="VQC240"/>
      <c r="VQD240"/>
      <c r="VQE240"/>
      <c r="VQF240"/>
      <c r="VQG240"/>
      <c r="VQH240"/>
      <c r="VQI240"/>
      <c r="VQJ240"/>
      <c r="VQK240"/>
      <c r="VQL240"/>
      <c r="VQM240"/>
      <c r="VQN240"/>
      <c r="VQO240"/>
      <c r="VQP240"/>
      <c r="VQQ240"/>
      <c r="VQR240"/>
      <c r="VQS240"/>
      <c r="VQT240"/>
      <c r="VQU240"/>
      <c r="VQV240"/>
      <c r="VQW240"/>
      <c r="VQX240"/>
      <c r="VQY240"/>
      <c r="VQZ240"/>
      <c r="VRA240"/>
      <c r="VRB240"/>
      <c r="VRC240"/>
      <c r="VRD240"/>
      <c r="VRE240"/>
      <c r="VRF240"/>
      <c r="VRG240"/>
      <c r="VRH240"/>
      <c r="VRI240"/>
      <c r="VRJ240"/>
      <c r="VRK240"/>
      <c r="VRL240"/>
      <c r="VRM240"/>
      <c r="VRN240"/>
      <c r="VRO240"/>
      <c r="VRP240"/>
      <c r="VRQ240"/>
      <c r="VRR240"/>
      <c r="VRS240"/>
      <c r="VRT240"/>
      <c r="VRU240"/>
      <c r="VRV240"/>
      <c r="VRW240"/>
      <c r="VRX240"/>
      <c r="VRY240"/>
      <c r="VRZ240"/>
      <c r="VSA240"/>
      <c r="VSB240"/>
      <c r="VSC240"/>
      <c r="VSD240"/>
      <c r="VSE240"/>
      <c r="VSF240"/>
      <c r="VSG240"/>
      <c r="VSH240"/>
      <c r="VSI240"/>
      <c r="VSJ240"/>
      <c r="VSK240"/>
      <c r="VSL240"/>
      <c r="VSM240"/>
      <c r="VSN240"/>
      <c r="VSO240"/>
      <c r="VSP240"/>
      <c r="VSQ240"/>
      <c r="VSR240"/>
      <c r="VSS240"/>
      <c r="VST240"/>
      <c r="VSU240"/>
      <c r="VSV240"/>
      <c r="VSW240"/>
      <c r="VSX240"/>
      <c r="VSY240"/>
      <c r="VSZ240"/>
      <c r="VTA240"/>
      <c r="VTB240"/>
      <c r="VTC240"/>
      <c r="VTD240"/>
      <c r="VTE240"/>
      <c r="VTF240"/>
      <c r="VTG240"/>
      <c r="VTH240"/>
      <c r="VTI240"/>
      <c r="VTJ240"/>
      <c r="VTK240"/>
      <c r="VTL240"/>
      <c r="VTM240"/>
      <c r="VTN240"/>
      <c r="VTO240"/>
      <c r="VTP240"/>
      <c r="VTQ240"/>
      <c r="VTR240"/>
      <c r="VTS240"/>
      <c r="VTT240"/>
      <c r="VTU240"/>
      <c r="VTV240"/>
      <c r="VTW240"/>
      <c r="VTX240"/>
      <c r="VTY240"/>
      <c r="VTZ240"/>
      <c r="VUA240"/>
      <c r="VUB240"/>
      <c r="VUC240"/>
      <c r="VUD240"/>
      <c r="VUE240"/>
      <c r="VUF240"/>
      <c r="VUG240"/>
      <c r="VUH240"/>
      <c r="VUI240"/>
      <c r="VUJ240"/>
      <c r="VUK240"/>
      <c r="VUL240"/>
      <c r="VUM240"/>
      <c r="VUN240"/>
      <c r="VUO240"/>
      <c r="VUP240"/>
      <c r="VUQ240"/>
      <c r="VUR240"/>
      <c r="VUS240"/>
      <c r="VUT240"/>
      <c r="VUU240"/>
      <c r="VUV240"/>
      <c r="VUW240"/>
      <c r="VUX240"/>
      <c r="VUY240"/>
      <c r="VUZ240"/>
      <c r="VVA240"/>
      <c r="VVB240"/>
      <c r="VVC240"/>
      <c r="VVD240"/>
      <c r="VVE240"/>
      <c r="VVF240"/>
      <c r="VVG240"/>
      <c r="VVH240"/>
      <c r="VVI240"/>
      <c r="VVJ240"/>
      <c r="VVK240"/>
      <c r="VVL240"/>
      <c r="VVM240"/>
      <c r="VVN240"/>
      <c r="VVO240"/>
      <c r="VVP240"/>
      <c r="VVQ240"/>
      <c r="VVR240"/>
      <c r="VVS240"/>
      <c r="VVT240"/>
      <c r="VVU240"/>
      <c r="VVV240"/>
      <c r="VVW240"/>
      <c r="VVX240"/>
      <c r="VVY240"/>
      <c r="VVZ240"/>
      <c r="VWA240"/>
      <c r="VWB240"/>
      <c r="VWC240"/>
      <c r="VWD240"/>
      <c r="VWE240"/>
      <c r="VWF240"/>
      <c r="VWG240"/>
      <c r="VWH240"/>
      <c r="VWI240"/>
      <c r="VWJ240"/>
      <c r="VWK240"/>
      <c r="VWL240"/>
      <c r="VWM240"/>
      <c r="VWN240"/>
      <c r="VWO240"/>
      <c r="VWP240"/>
      <c r="VWQ240"/>
      <c r="VWR240"/>
      <c r="VWS240"/>
      <c r="VWT240"/>
      <c r="VWU240"/>
      <c r="VWV240"/>
      <c r="VWW240"/>
      <c r="VWX240"/>
      <c r="VWY240"/>
      <c r="VWZ240"/>
      <c r="VXA240"/>
      <c r="VXB240"/>
      <c r="VXC240"/>
      <c r="VXD240"/>
      <c r="VXE240"/>
      <c r="VXF240"/>
      <c r="VXG240"/>
      <c r="VXH240"/>
      <c r="VXI240"/>
      <c r="VXJ240"/>
      <c r="VXK240"/>
      <c r="VXL240"/>
      <c r="VXM240"/>
      <c r="VXN240"/>
      <c r="VXO240"/>
      <c r="VXP240"/>
      <c r="VXQ240"/>
      <c r="VXR240"/>
      <c r="VXS240"/>
      <c r="VXT240"/>
      <c r="VXU240"/>
      <c r="VXV240"/>
      <c r="VXW240"/>
      <c r="VXX240"/>
      <c r="VXY240"/>
      <c r="VXZ240"/>
      <c r="VYA240"/>
      <c r="VYB240"/>
      <c r="VYC240"/>
      <c r="VYD240"/>
      <c r="VYE240"/>
      <c r="VYF240"/>
      <c r="VYG240"/>
      <c r="VYH240"/>
      <c r="VYI240"/>
      <c r="VYJ240"/>
      <c r="VYK240"/>
      <c r="VYL240"/>
      <c r="VYM240"/>
      <c r="VYN240"/>
      <c r="VYO240"/>
      <c r="VYP240"/>
      <c r="VYQ240"/>
      <c r="VYR240"/>
      <c r="VYS240"/>
      <c r="VYT240"/>
      <c r="VYU240"/>
      <c r="VYV240"/>
      <c r="VYW240"/>
      <c r="VYX240"/>
      <c r="VYY240"/>
      <c r="VYZ240"/>
      <c r="VZA240"/>
      <c r="VZB240"/>
      <c r="VZC240"/>
      <c r="VZD240"/>
      <c r="VZE240"/>
      <c r="VZF240"/>
      <c r="VZG240"/>
      <c r="VZH240"/>
      <c r="VZI240"/>
      <c r="VZJ240"/>
      <c r="VZK240"/>
      <c r="VZL240"/>
      <c r="VZM240"/>
      <c r="VZN240"/>
      <c r="VZO240"/>
      <c r="VZP240"/>
      <c r="VZQ240"/>
      <c r="VZR240"/>
      <c r="VZS240"/>
      <c r="VZT240"/>
      <c r="VZU240"/>
      <c r="VZV240"/>
      <c r="VZW240"/>
      <c r="VZX240"/>
      <c r="VZY240"/>
      <c r="VZZ240"/>
      <c r="WAA240"/>
      <c r="WAB240"/>
      <c r="WAC240"/>
      <c r="WAD240"/>
      <c r="WAE240"/>
      <c r="WAF240"/>
      <c r="WAG240"/>
      <c r="WAH240"/>
      <c r="WAI240"/>
      <c r="WAJ240"/>
      <c r="WAK240"/>
      <c r="WAL240"/>
      <c r="WAM240"/>
      <c r="WAN240"/>
      <c r="WAO240"/>
      <c r="WAP240"/>
      <c r="WAQ240"/>
      <c r="WAR240"/>
      <c r="WAS240"/>
      <c r="WAT240"/>
      <c r="WAU240"/>
      <c r="WAV240"/>
      <c r="WAW240"/>
      <c r="WAX240"/>
      <c r="WAY240"/>
      <c r="WAZ240"/>
      <c r="WBA240"/>
      <c r="WBB240"/>
      <c r="WBC240"/>
      <c r="WBD240"/>
      <c r="WBE240"/>
      <c r="WBF240"/>
      <c r="WBG240"/>
      <c r="WBH240"/>
      <c r="WBI240"/>
      <c r="WBJ240"/>
      <c r="WBK240"/>
      <c r="WBL240"/>
      <c r="WBM240"/>
      <c r="WBN240"/>
      <c r="WBO240"/>
      <c r="WBP240"/>
      <c r="WBQ240"/>
      <c r="WBR240"/>
      <c r="WBS240"/>
      <c r="WBT240"/>
      <c r="WBU240"/>
      <c r="WBV240"/>
      <c r="WBW240"/>
      <c r="WBX240"/>
      <c r="WBY240"/>
      <c r="WBZ240"/>
      <c r="WCA240"/>
      <c r="WCB240"/>
      <c r="WCC240"/>
      <c r="WCD240"/>
      <c r="WCE240"/>
      <c r="WCF240"/>
      <c r="WCG240"/>
      <c r="WCH240"/>
      <c r="WCI240"/>
      <c r="WCJ240"/>
      <c r="WCK240"/>
      <c r="WCL240"/>
      <c r="WCM240"/>
      <c r="WCN240"/>
      <c r="WCO240"/>
      <c r="WCP240"/>
      <c r="WCQ240"/>
      <c r="WCR240"/>
      <c r="WCS240"/>
      <c r="WCT240"/>
      <c r="WCU240"/>
      <c r="WCV240"/>
      <c r="WCW240"/>
      <c r="WCX240"/>
      <c r="WCY240"/>
      <c r="WCZ240"/>
      <c r="WDA240"/>
      <c r="WDB240"/>
      <c r="WDC240"/>
      <c r="WDD240"/>
      <c r="WDE240"/>
      <c r="WDF240"/>
      <c r="WDG240"/>
      <c r="WDH240"/>
      <c r="WDI240"/>
      <c r="WDJ240"/>
      <c r="WDK240"/>
      <c r="WDL240"/>
      <c r="WDM240"/>
      <c r="WDN240"/>
      <c r="WDO240"/>
      <c r="WDP240"/>
      <c r="WDQ240"/>
      <c r="WDR240"/>
      <c r="WDS240"/>
      <c r="WDT240"/>
      <c r="WDU240"/>
      <c r="WDV240"/>
      <c r="WDW240"/>
      <c r="WDX240"/>
      <c r="WDY240"/>
      <c r="WDZ240"/>
      <c r="WEA240"/>
      <c r="WEB240"/>
      <c r="WEC240"/>
      <c r="WED240"/>
      <c r="WEE240"/>
      <c r="WEF240"/>
      <c r="WEG240"/>
      <c r="WEH240"/>
      <c r="WEI240"/>
      <c r="WEJ240"/>
      <c r="WEK240"/>
      <c r="WEL240"/>
      <c r="WEM240"/>
      <c r="WEN240"/>
      <c r="WEO240"/>
      <c r="WEP240"/>
      <c r="WEQ240"/>
      <c r="WER240"/>
      <c r="WES240"/>
      <c r="WET240"/>
      <c r="WEU240"/>
      <c r="WEV240"/>
      <c r="WEW240"/>
      <c r="WEX240"/>
      <c r="WEY240"/>
      <c r="WEZ240"/>
      <c r="WFA240"/>
      <c r="WFB240"/>
      <c r="WFC240"/>
      <c r="WFD240"/>
      <c r="WFE240"/>
      <c r="WFF240"/>
      <c r="WFG240"/>
      <c r="WFH240"/>
      <c r="WFI240"/>
      <c r="WFJ240"/>
      <c r="WFK240"/>
      <c r="WFL240"/>
      <c r="WFM240"/>
      <c r="WFN240"/>
      <c r="WFO240"/>
      <c r="WFP240"/>
      <c r="WFQ240"/>
      <c r="WFR240"/>
      <c r="WFS240"/>
      <c r="WFT240"/>
      <c r="WFU240"/>
      <c r="WFV240"/>
      <c r="WFW240"/>
      <c r="WFX240"/>
      <c r="WFY240"/>
      <c r="WFZ240"/>
      <c r="WGA240"/>
      <c r="WGB240"/>
      <c r="WGC240"/>
      <c r="WGD240"/>
      <c r="WGE240"/>
      <c r="WGF240"/>
      <c r="WGG240"/>
      <c r="WGH240"/>
      <c r="WGI240"/>
      <c r="WGJ240"/>
      <c r="WGK240"/>
      <c r="WGL240"/>
      <c r="WGM240"/>
      <c r="WGN240"/>
      <c r="WGO240"/>
      <c r="WGP240"/>
      <c r="WGQ240"/>
      <c r="WGR240"/>
      <c r="WGS240"/>
      <c r="WGT240"/>
      <c r="WGU240"/>
      <c r="WGV240"/>
      <c r="WGW240"/>
      <c r="WGX240"/>
      <c r="WGY240"/>
      <c r="WGZ240"/>
      <c r="WHA240"/>
      <c r="WHB240"/>
      <c r="WHC240"/>
      <c r="WHD240"/>
      <c r="WHE240"/>
      <c r="WHF240"/>
      <c r="WHG240"/>
      <c r="WHH240"/>
      <c r="WHI240"/>
      <c r="WHJ240"/>
      <c r="WHK240"/>
      <c r="WHL240"/>
      <c r="WHM240"/>
      <c r="WHN240"/>
      <c r="WHO240"/>
      <c r="WHP240"/>
      <c r="WHQ240"/>
      <c r="WHR240"/>
      <c r="WHS240"/>
      <c r="WHT240"/>
      <c r="WHU240"/>
      <c r="WHV240"/>
      <c r="WHW240"/>
      <c r="WHX240"/>
      <c r="WHY240"/>
      <c r="WHZ240"/>
      <c r="WIA240"/>
      <c r="WIB240"/>
      <c r="WIC240"/>
      <c r="WID240"/>
      <c r="WIE240"/>
      <c r="WIF240"/>
      <c r="WIG240"/>
      <c r="WIH240"/>
      <c r="WII240"/>
      <c r="WIJ240"/>
      <c r="WIK240"/>
      <c r="WIL240"/>
      <c r="WIM240"/>
      <c r="WIN240"/>
      <c r="WIO240"/>
      <c r="WIP240"/>
      <c r="WIQ240"/>
      <c r="WIR240"/>
      <c r="WIS240"/>
      <c r="WIT240"/>
      <c r="WIU240"/>
      <c r="WIV240"/>
      <c r="WIW240"/>
      <c r="WIX240"/>
      <c r="WIY240"/>
      <c r="WIZ240"/>
      <c r="WJA240"/>
      <c r="WJB240"/>
      <c r="WJC240"/>
      <c r="WJD240"/>
      <c r="WJE240"/>
      <c r="WJF240"/>
      <c r="WJG240"/>
      <c r="WJH240"/>
      <c r="WJI240"/>
      <c r="WJJ240"/>
      <c r="WJK240"/>
      <c r="WJL240"/>
      <c r="WJM240"/>
      <c r="WJN240"/>
      <c r="WJO240"/>
      <c r="WJP240"/>
      <c r="WJQ240"/>
      <c r="WJR240"/>
      <c r="WJS240"/>
      <c r="WJT240"/>
      <c r="WJU240"/>
      <c r="WJV240"/>
      <c r="WJW240"/>
      <c r="WJX240"/>
      <c r="WJY240"/>
      <c r="WJZ240"/>
      <c r="WKA240"/>
      <c r="WKB240"/>
      <c r="WKC240"/>
      <c r="WKD240"/>
      <c r="WKE240"/>
      <c r="WKF240"/>
      <c r="WKG240"/>
      <c r="WKH240"/>
      <c r="WKI240"/>
      <c r="WKJ240"/>
      <c r="WKK240"/>
      <c r="WKL240"/>
      <c r="WKM240"/>
      <c r="WKN240"/>
      <c r="WKO240"/>
      <c r="WKP240"/>
      <c r="WKQ240"/>
      <c r="WKR240"/>
      <c r="WKS240"/>
      <c r="WKT240"/>
      <c r="WKU240"/>
      <c r="WKV240"/>
      <c r="WKW240"/>
      <c r="WKX240"/>
      <c r="WKY240"/>
      <c r="WKZ240"/>
      <c r="WLA240"/>
      <c r="WLB240"/>
      <c r="WLC240"/>
      <c r="WLD240"/>
      <c r="WLE240"/>
      <c r="WLF240"/>
      <c r="WLG240"/>
      <c r="WLH240"/>
      <c r="WLI240"/>
      <c r="WLJ240"/>
      <c r="WLK240"/>
      <c r="WLL240"/>
      <c r="WLM240"/>
      <c r="WLN240"/>
      <c r="WLO240"/>
      <c r="WLP240"/>
      <c r="WLQ240"/>
      <c r="WLR240"/>
      <c r="WLS240"/>
      <c r="WLT240"/>
      <c r="WLU240"/>
      <c r="WLV240"/>
      <c r="WLW240"/>
      <c r="WLX240"/>
      <c r="WLY240"/>
      <c r="WLZ240"/>
      <c r="WMA240"/>
      <c r="WMB240"/>
      <c r="WMC240"/>
      <c r="WMD240"/>
      <c r="WME240"/>
      <c r="WMF240"/>
      <c r="WMG240"/>
      <c r="WMH240"/>
      <c r="WMI240"/>
      <c r="WMJ240"/>
      <c r="WMK240"/>
      <c r="WML240"/>
      <c r="WMM240"/>
      <c r="WMN240"/>
      <c r="WMO240"/>
      <c r="WMP240"/>
      <c r="WMQ240"/>
      <c r="WMR240"/>
      <c r="WMS240"/>
      <c r="WMT240"/>
      <c r="WMU240"/>
      <c r="WMV240"/>
      <c r="WMW240"/>
      <c r="WMX240"/>
      <c r="WMY240"/>
      <c r="WMZ240"/>
      <c r="WNA240"/>
      <c r="WNB240"/>
      <c r="WNC240"/>
      <c r="WND240"/>
      <c r="WNE240"/>
      <c r="WNF240"/>
      <c r="WNG240"/>
      <c r="WNH240"/>
      <c r="WNI240"/>
      <c r="WNJ240"/>
      <c r="WNK240"/>
      <c r="WNL240"/>
      <c r="WNM240"/>
      <c r="WNN240"/>
      <c r="WNO240"/>
      <c r="WNP240"/>
      <c r="WNQ240"/>
      <c r="WNR240"/>
      <c r="WNS240"/>
      <c r="WNT240"/>
      <c r="WNU240"/>
      <c r="WNV240"/>
      <c r="WNW240"/>
      <c r="WNX240"/>
      <c r="WNY240"/>
      <c r="WNZ240"/>
      <c r="WOA240"/>
      <c r="WOB240"/>
      <c r="WOC240"/>
      <c r="WOD240"/>
      <c r="WOE240"/>
      <c r="WOF240"/>
      <c r="WOG240"/>
      <c r="WOH240"/>
      <c r="WOI240"/>
      <c r="WOJ240"/>
      <c r="WOK240"/>
      <c r="WOL240"/>
      <c r="WOM240"/>
      <c r="WON240"/>
      <c r="WOO240"/>
      <c r="WOP240"/>
      <c r="WOQ240"/>
      <c r="WOR240"/>
      <c r="WOS240"/>
      <c r="WOT240"/>
      <c r="WOU240"/>
      <c r="WOV240"/>
      <c r="WOW240"/>
      <c r="WOX240"/>
      <c r="WOY240"/>
      <c r="WOZ240"/>
      <c r="WPA240"/>
      <c r="WPB240"/>
      <c r="WPC240"/>
      <c r="WPD240"/>
      <c r="WPE240"/>
      <c r="WPF240"/>
      <c r="WPG240"/>
      <c r="WPH240"/>
      <c r="WPI240"/>
      <c r="WPJ240"/>
      <c r="WPK240"/>
      <c r="WPL240"/>
      <c r="WPM240"/>
      <c r="WPN240"/>
      <c r="WPO240"/>
      <c r="WPP240"/>
      <c r="WPQ240"/>
      <c r="WPR240"/>
      <c r="WPS240"/>
      <c r="WPT240"/>
      <c r="WPU240"/>
      <c r="WPV240"/>
      <c r="WPW240"/>
      <c r="WPX240"/>
      <c r="WPY240"/>
      <c r="WPZ240"/>
      <c r="WQA240"/>
      <c r="WQB240"/>
      <c r="WQC240"/>
      <c r="WQD240"/>
      <c r="WQE240"/>
      <c r="WQF240"/>
      <c r="WQG240"/>
      <c r="WQH240"/>
      <c r="WQI240"/>
      <c r="WQJ240"/>
      <c r="WQK240"/>
      <c r="WQL240"/>
      <c r="WQM240"/>
      <c r="WQN240"/>
      <c r="WQO240"/>
      <c r="WQP240"/>
      <c r="WQQ240"/>
      <c r="WQR240"/>
      <c r="WQS240"/>
      <c r="WQT240"/>
      <c r="WQU240"/>
      <c r="WQV240"/>
      <c r="WQW240"/>
      <c r="WQX240"/>
      <c r="WQY240"/>
      <c r="WQZ240"/>
      <c r="WRA240"/>
      <c r="WRB240"/>
      <c r="WRC240"/>
      <c r="WRD240"/>
      <c r="WRE240"/>
      <c r="WRF240"/>
      <c r="WRG240"/>
      <c r="WRH240"/>
      <c r="WRI240"/>
      <c r="WRJ240"/>
      <c r="WRK240"/>
      <c r="WRL240"/>
      <c r="WRM240"/>
      <c r="WRN240"/>
      <c r="WRO240"/>
      <c r="WRP240"/>
      <c r="WRQ240"/>
      <c r="WRR240"/>
      <c r="WRS240"/>
      <c r="WRT240"/>
      <c r="WRU240"/>
      <c r="WRV240"/>
      <c r="WRW240"/>
      <c r="WRX240"/>
      <c r="WRY240"/>
      <c r="WRZ240"/>
      <c r="WSA240"/>
      <c r="WSB240"/>
      <c r="WSC240"/>
      <c r="WSD240"/>
      <c r="WSE240"/>
      <c r="WSF240"/>
      <c r="WSG240"/>
      <c r="WSH240"/>
      <c r="WSI240"/>
      <c r="WSJ240"/>
      <c r="WSK240"/>
      <c r="WSL240"/>
      <c r="WSM240"/>
      <c r="WSN240"/>
      <c r="WSO240"/>
      <c r="WSP240"/>
      <c r="WSQ240"/>
      <c r="WSR240"/>
      <c r="WSS240"/>
      <c r="WST240"/>
      <c r="WSU240"/>
      <c r="WSV240"/>
      <c r="WSW240"/>
      <c r="WSX240"/>
      <c r="WSY240"/>
      <c r="WSZ240"/>
      <c r="WTA240"/>
      <c r="WTB240"/>
      <c r="WTC240"/>
      <c r="WTD240"/>
      <c r="WTE240"/>
      <c r="WTF240"/>
      <c r="WTG240"/>
      <c r="WTH240"/>
      <c r="WTI240"/>
      <c r="WTJ240"/>
      <c r="WTK240"/>
      <c r="WTL240"/>
      <c r="WTM240"/>
      <c r="WTN240"/>
      <c r="WTO240"/>
      <c r="WTP240"/>
      <c r="WTQ240"/>
      <c r="WTR240"/>
      <c r="WTS240"/>
      <c r="WTT240"/>
      <c r="WTU240"/>
      <c r="WTV240"/>
      <c r="WTW240"/>
      <c r="WTX240"/>
      <c r="WTY240"/>
      <c r="WTZ240"/>
      <c r="WUA240"/>
      <c r="WUB240"/>
      <c r="WUC240"/>
      <c r="WUD240"/>
      <c r="WUE240"/>
      <c r="WUF240"/>
      <c r="WUG240"/>
      <c r="WUH240"/>
      <c r="WUI240"/>
      <c r="WUJ240"/>
      <c r="WUK240"/>
      <c r="WUL240"/>
      <c r="WUM240"/>
      <c r="WUN240"/>
      <c r="WUO240"/>
      <c r="WUP240"/>
      <c r="WUQ240"/>
      <c r="WUR240"/>
      <c r="WUS240"/>
      <c r="WUT240"/>
      <c r="WUU240"/>
      <c r="WUV240"/>
      <c r="WUW240"/>
      <c r="WUX240"/>
      <c r="WUY240"/>
      <c r="WUZ240"/>
      <c r="WVA240"/>
      <c r="WVB240"/>
      <c r="WVC240"/>
      <c r="WVD240"/>
      <c r="WVE240"/>
      <c r="WVF240"/>
      <c r="WVG240"/>
      <c r="WVH240"/>
      <c r="WVI240"/>
      <c r="WVJ240"/>
      <c r="WVK240"/>
      <c r="WVL240"/>
      <c r="WVM240"/>
      <c r="WVN240"/>
      <c r="WVO240"/>
      <c r="WVP240"/>
      <c r="WVQ240"/>
      <c r="WVR240"/>
      <c r="WVS240"/>
      <c r="WVT240"/>
      <c r="WVU240"/>
      <c r="WVV240"/>
      <c r="WVW240"/>
      <c r="WVX240"/>
      <c r="WVY240"/>
      <c r="WVZ240"/>
      <c r="WWA240"/>
      <c r="WWB240"/>
      <c r="WWC240"/>
      <c r="WWD240"/>
      <c r="WWE240"/>
      <c r="WWF240"/>
      <c r="WWG240"/>
      <c r="WWH240"/>
      <c r="WWI240"/>
      <c r="WWJ240"/>
      <c r="WWK240"/>
      <c r="WWL240"/>
      <c r="WWM240"/>
      <c r="WWN240"/>
      <c r="WWO240"/>
      <c r="WWP240"/>
      <c r="WWQ240"/>
      <c r="WWR240"/>
      <c r="WWS240"/>
      <c r="WWT240"/>
      <c r="WWU240"/>
      <c r="WWV240"/>
      <c r="WWW240"/>
      <c r="WWX240"/>
      <c r="WWY240"/>
      <c r="WWZ240"/>
      <c r="WXA240"/>
      <c r="WXB240"/>
      <c r="WXC240"/>
      <c r="WXD240"/>
      <c r="WXE240"/>
      <c r="WXF240"/>
      <c r="WXG240"/>
      <c r="WXH240"/>
      <c r="WXI240"/>
      <c r="WXJ240"/>
      <c r="WXK240"/>
      <c r="WXL240"/>
      <c r="WXM240"/>
      <c r="WXN240"/>
      <c r="WXO240"/>
      <c r="WXP240"/>
      <c r="WXQ240"/>
      <c r="WXR240"/>
      <c r="WXS240"/>
      <c r="WXT240"/>
      <c r="WXU240"/>
      <c r="WXV240"/>
      <c r="WXW240"/>
      <c r="WXX240"/>
      <c r="WXY240"/>
      <c r="WXZ240"/>
      <c r="WYA240"/>
      <c r="WYB240"/>
      <c r="WYC240"/>
      <c r="WYD240"/>
      <c r="WYE240"/>
      <c r="WYF240"/>
      <c r="WYG240"/>
      <c r="WYH240"/>
      <c r="WYI240"/>
      <c r="WYJ240"/>
      <c r="WYK240"/>
      <c r="WYL240"/>
      <c r="WYM240"/>
      <c r="WYN240"/>
      <c r="WYO240"/>
      <c r="WYP240"/>
      <c r="WYQ240"/>
      <c r="WYR240"/>
      <c r="WYS240"/>
      <c r="WYT240"/>
      <c r="WYU240"/>
      <c r="WYV240"/>
      <c r="WYW240"/>
      <c r="WYX240"/>
      <c r="WYY240"/>
      <c r="WYZ240"/>
      <c r="WZA240"/>
      <c r="WZB240"/>
      <c r="WZC240"/>
      <c r="WZD240"/>
      <c r="WZE240"/>
      <c r="WZF240"/>
      <c r="WZG240"/>
      <c r="WZH240"/>
      <c r="WZI240"/>
      <c r="WZJ240"/>
      <c r="WZK240"/>
      <c r="WZL240"/>
      <c r="WZM240"/>
      <c r="WZN240"/>
      <c r="WZO240"/>
      <c r="WZP240"/>
      <c r="WZQ240"/>
      <c r="WZR240"/>
      <c r="WZS240"/>
      <c r="WZT240"/>
      <c r="WZU240"/>
      <c r="WZV240"/>
      <c r="WZW240"/>
      <c r="WZX240"/>
      <c r="WZY240"/>
      <c r="WZZ240"/>
      <c r="XAA240"/>
      <c r="XAB240"/>
      <c r="XAC240"/>
      <c r="XAD240"/>
      <c r="XAE240"/>
      <c r="XAF240"/>
      <c r="XAG240"/>
      <c r="XAH240"/>
      <c r="XAI240"/>
      <c r="XAJ240"/>
      <c r="XAK240"/>
      <c r="XAL240"/>
      <c r="XAM240"/>
      <c r="XAN240"/>
      <c r="XAO240"/>
      <c r="XAP240"/>
      <c r="XAQ240"/>
      <c r="XAR240"/>
      <c r="XAS240"/>
      <c r="XAT240"/>
      <c r="XAU240"/>
      <c r="XAV240"/>
      <c r="XAW240"/>
      <c r="XAX240"/>
      <c r="XAY240"/>
      <c r="XAZ240"/>
      <c r="XBA240"/>
      <c r="XBB240"/>
      <c r="XBC240"/>
      <c r="XBD240"/>
      <c r="XBE240"/>
      <c r="XBF240"/>
      <c r="XBG240"/>
      <c r="XBH240"/>
      <c r="XBI240"/>
      <c r="XBJ240"/>
      <c r="XBK240"/>
      <c r="XBL240"/>
      <c r="XBM240"/>
      <c r="XBN240"/>
      <c r="XBO240"/>
      <c r="XBP240"/>
      <c r="XBQ240"/>
      <c r="XBR240"/>
      <c r="XBS240"/>
      <c r="XBT240"/>
      <c r="XBU240"/>
      <c r="XBV240"/>
      <c r="XBW240"/>
      <c r="XBX240"/>
      <c r="XBY240"/>
      <c r="XBZ240"/>
      <c r="XCA240"/>
      <c r="XCB240"/>
      <c r="XCC240"/>
      <c r="XCD240"/>
      <c r="XCE240"/>
      <c r="XCF240"/>
      <c r="XCG240"/>
      <c r="XCH240"/>
      <c r="XCI240"/>
      <c r="XCJ240"/>
      <c r="XCK240"/>
      <c r="XCL240"/>
      <c r="XCM240"/>
      <c r="XCN240"/>
      <c r="XCO240"/>
      <c r="XCP240"/>
      <c r="XCQ240"/>
      <c r="XCR240"/>
      <c r="XCS240"/>
      <c r="XCT240"/>
      <c r="XCU240"/>
      <c r="XCV240"/>
      <c r="XCW240"/>
      <c r="XCX240"/>
      <c r="XCY240"/>
      <c r="XCZ240"/>
      <c r="XDA240"/>
      <c r="XDB240"/>
      <c r="XDC240"/>
      <c r="XDD240"/>
      <c r="XDE240"/>
      <c r="XDF240"/>
      <c r="XDG240"/>
      <c r="XDH240"/>
      <c r="XDI240"/>
      <c r="XDJ240"/>
      <c r="XDK240"/>
      <c r="XDL240"/>
      <c r="XDM240"/>
      <c r="XDN240"/>
      <c r="XDO240"/>
      <c r="XDP240"/>
      <c r="XDQ240"/>
      <c r="XDR240"/>
      <c r="XDS240"/>
      <c r="XDT240"/>
      <c r="XDU240"/>
      <c r="XDV240"/>
      <c r="XDW240"/>
      <c r="XDX240"/>
      <c r="XDY240"/>
      <c r="XDZ240"/>
      <c r="XEA240"/>
      <c r="XEB240"/>
      <c r="XEC240"/>
      <c r="XED240"/>
      <c r="XEE240"/>
      <c r="XEF240"/>
      <c r="XEG240"/>
      <c r="XEH240"/>
      <c r="XEI240"/>
      <c r="XEJ240"/>
      <c r="XEK240"/>
      <c r="XEL240"/>
      <c r="XEM240"/>
      <c r="XEN240"/>
      <c r="XEO240"/>
      <c r="XEP240"/>
      <c r="XEQ240"/>
      <c r="XER240"/>
      <c r="XES240"/>
      <c r="XET240"/>
      <c r="XEU240"/>
      <c r="XEV240"/>
      <c r="XEW240"/>
      <c r="XEX240"/>
      <c r="XEY240"/>
      <c r="XEZ240"/>
      <c r="XFA240"/>
      <c r="XFB240"/>
      <c r="XFC240"/>
      <c r="XFD240"/>
    </row>
    <row r="241" spans="2:16384" s="131" customFormat="1" x14ac:dyDescent="0.25">
      <c r="E241" s="175"/>
      <c r="F241" s="66" t="s">
        <v>46</v>
      </c>
      <c r="G241" s="139" t="s">
        <v>388</v>
      </c>
      <c r="H241" s="572"/>
      <c r="I241" s="572"/>
      <c r="J241" s="585">
        <f t="shared" ref="J241:AP241" si="48">J$78 * J211</f>
        <v>0</v>
      </c>
      <c r="K241" s="585">
        <f t="shared" si="48"/>
        <v>0</v>
      </c>
      <c r="L241" s="585">
        <f t="shared" si="48"/>
        <v>0</v>
      </c>
      <c r="M241" s="585">
        <f t="shared" si="48"/>
        <v>0</v>
      </c>
      <c r="N241" s="585">
        <f t="shared" si="48"/>
        <v>0</v>
      </c>
      <c r="O241" s="585">
        <f t="shared" si="48"/>
        <v>0</v>
      </c>
      <c r="P241" s="585">
        <f t="shared" si="48"/>
        <v>0</v>
      </c>
      <c r="Q241" s="585">
        <f t="shared" si="48"/>
        <v>0</v>
      </c>
      <c r="R241" s="585">
        <f t="shared" si="48"/>
        <v>0</v>
      </c>
      <c r="S241" s="585">
        <f t="shared" si="48"/>
        <v>0</v>
      </c>
      <c r="T241" s="585">
        <f t="shared" si="48"/>
        <v>0</v>
      </c>
      <c r="U241" s="585">
        <f t="shared" si="48"/>
        <v>1.0751153103623417E-2</v>
      </c>
      <c r="V241" s="585">
        <f t="shared" si="48"/>
        <v>9.3996506993256831E-3</v>
      </c>
      <c r="W241" s="585">
        <f t="shared" si="48"/>
        <v>6.5881401306671682E-3</v>
      </c>
      <c r="X241" s="585">
        <f t="shared" si="48"/>
        <v>0</v>
      </c>
      <c r="Y241" s="585">
        <f t="shared" si="48"/>
        <v>0</v>
      </c>
      <c r="Z241" s="585">
        <f t="shared" si="48"/>
        <v>0</v>
      </c>
      <c r="AA241" s="585">
        <f t="shared" si="48"/>
        <v>0</v>
      </c>
      <c r="AB241" s="585">
        <f t="shared" si="48"/>
        <v>0</v>
      </c>
      <c r="AC241" s="585">
        <f t="shared" si="48"/>
        <v>0</v>
      </c>
      <c r="AD241" s="585">
        <f t="shared" si="48"/>
        <v>0</v>
      </c>
      <c r="AE241" s="585">
        <f t="shared" si="48"/>
        <v>7.7711014222466212E-3</v>
      </c>
      <c r="AF241" s="585">
        <f t="shared" si="48"/>
        <v>0</v>
      </c>
      <c r="AG241" s="585">
        <f t="shared" si="48"/>
        <v>7.7711014222466212E-3</v>
      </c>
      <c r="AH241" s="585">
        <f t="shared" si="48"/>
        <v>0</v>
      </c>
      <c r="AI241" s="585">
        <f t="shared" si="48"/>
        <v>7.4642535240311914E-3</v>
      </c>
      <c r="AJ241" s="585">
        <f t="shared" si="48"/>
        <v>0</v>
      </c>
      <c r="AK241" s="585">
        <f t="shared" si="48"/>
        <v>7.4642535240311914E-3</v>
      </c>
      <c r="AL241" s="585">
        <f t="shared" si="48"/>
        <v>0</v>
      </c>
      <c r="AM241" s="585">
        <f t="shared" si="48"/>
        <v>7.3572135595374351E-3</v>
      </c>
      <c r="AN241" s="585">
        <f t="shared" si="48"/>
        <v>0</v>
      </c>
      <c r="AO241" s="585">
        <f t="shared" si="48"/>
        <v>7.3572135595374351E-3</v>
      </c>
      <c r="AP241" s="585">
        <f t="shared" si="48"/>
        <v>0</v>
      </c>
      <c r="AQ241" s="571"/>
      <c r="AR241" s="57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  <c r="FX241"/>
      <c r="FY241"/>
      <c r="FZ241"/>
      <c r="GA241"/>
      <c r="GB241"/>
      <c r="GC241"/>
      <c r="GD241"/>
      <c r="GE241"/>
      <c r="GF241"/>
      <c r="GG241"/>
      <c r="GH241"/>
      <c r="GI241"/>
      <c r="GJ241"/>
      <c r="GK241"/>
      <c r="GL241"/>
      <c r="GM241"/>
      <c r="GN241"/>
      <c r="GO241"/>
      <c r="GP241"/>
      <c r="GQ241"/>
      <c r="GR241"/>
      <c r="GS241"/>
      <c r="GT241"/>
      <c r="GU241"/>
      <c r="GV241"/>
      <c r="GW241"/>
      <c r="GX241"/>
      <c r="GY241"/>
      <c r="GZ241"/>
      <c r="HA241"/>
      <c r="HB241"/>
      <c r="HC241"/>
      <c r="HD241"/>
      <c r="HE241"/>
      <c r="HF241"/>
      <c r="HG241"/>
      <c r="HH241"/>
      <c r="HI241"/>
      <c r="HJ241"/>
      <c r="HK241"/>
      <c r="HL241"/>
      <c r="HM241"/>
      <c r="HN241"/>
      <c r="HO241"/>
      <c r="HP241"/>
      <c r="HQ241"/>
      <c r="HR241"/>
      <c r="HS241"/>
      <c r="HT241"/>
      <c r="HU241"/>
      <c r="HV241"/>
      <c r="HW241"/>
      <c r="HX241"/>
      <c r="HY241"/>
      <c r="HZ241"/>
      <c r="IA241"/>
      <c r="IB241"/>
      <c r="IC241"/>
      <c r="ID241"/>
      <c r="IE241"/>
      <c r="IF241"/>
      <c r="IG241"/>
      <c r="IH241"/>
      <c r="II241"/>
      <c r="IJ241"/>
      <c r="IK241"/>
      <c r="IL241"/>
      <c r="IM241"/>
      <c r="IN241"/>
      <c r="IO241"/>
      <c r="IP241"/>
      <c r="IQ241"/>
      <c r="IR241"/>
      <c r="IS241"/>
      <c r="IT241"/>
      <c r="IU241"/>
      <c r="IV241"/>
      <c r="IW241"/>
      <c r="IX241"/>
      <c r="IY241"/>
      <c r="IZ241"/>
      <c r="JA241"/>
      <c r="JB241"/>
      <c r="JC241"/>
      <c r="JD241"/>
      <c r="JE241"/>
      <c r="JF241"/>
      <c r="JG241"/>
      <c r="JH241"/>
      <c r="JI241"/>
      <c r="JJ241"/>
      <c r="JK241"/>
      <c r="JL241"/>
      <c r="JM241"/>
      <c r="JN241"/>
      <c r="JO241"/>
      <c r="JP241"/>
      <c r="JQ241"/>
      <c r="JR241"/>
      <c r="JS241"/>
      <c r="JT241"/>
      <c r="JU241"/>
      <c r="JV241"/>
      <c r="JW241"/>
      <c r="JX241"/>
      <c r="JY241"/>
      <c r="JZ241"/>
      <c r="KA241"/>
      <c r="KB241"/>
      <c r="KC241"/>
      <c r="KD241"/>
      <c r="KE241"/>
      <c r="KF241"/>
      <c r="KG241"/>
      <c r="KH241"/>
      <c r="KI241"/>
      <c r="KJ241"/>
      <c r="KK241"/>
      <c r="KL241"/>
      <c r="KM241"/>
      <c r="KN241"/>
      <c r="KO241"/>
      <c r="KP241"/>
      <c r="KQ241"/>
      <c r="KR241"/>
      <c r="KS241"/>
      <c r="KT241"/>
      <c r="KU241"/>
      <c r="KV241"/>
      <c r="KW241"/>
      <c r="KX241"/>
      <c r="KY241"/>
      <c r="KZ241"/>
      <c r="LA241"/>
      <c r="LB241"/>
      <c r="LC241"/>
      <c r="LD241"/>
      <c r="LE241"/>
      <c r="LF241"/>
      <c r="LG241"/>
      <c r="LH241"/>
      <c r="LI241"/>
      <c r="LJ241"/>
      <c r="LK241"/>
      <c r="LL241"/>
      <c r="LM241"/>
      <c r="LN241"/>
      <c r="LO241"/>
      <c r="LP241"/>
      <c r="LQ241"/>
      <c r="LR241"/>
      <c r="LS241"/>
      <c r="LT241"/>
      <c r="LU241"/>
      <c r="LV241"/>
      <c r="LW241"/>
      <c r="LX241"/>
      <c r="LY241"/>
      <c r="LZ241"/>
      <c r="MA241"/>
      <c r="MB241"/>
      <c r="MC241"/>
      <c r="MD241"/>
      <c r="ME241"/>
      <c r="MF241"/>
      <c r="MG241"/>
      <c r="MH241"/>
      <c r="MI241"/>
      <c r="MJ241"/>
      <c r="MK241"/>
      <c r="ML241"/>
      <c r="MM241"/>
      <c r="MN241"/>
      <c r="MO241"/>
      <c r="MP241"/>
      <c r="MQ241"/>
      <c r="MR241"/>
      <c r="MS241"/>
      <c r="MT241"/>
      <c r="MU241"/>
      <c r="MV241"/>
      <c r="MW241"/>
      <c r="MX241"/>
      <c r="MY241"/>
      <c r="MZ241"/>
      <c r="NA241"/>
      <c r="NB241"/>
      <c r="NC241"/>
      <c r="ND241"/>
      <c r="NE241"/>
      <c r="NF241"/>
      <c r="NG241"/>
      <c r="NH241"/>
      <c r="NI241"/>
      <c r="NJ241"/>
      <c r="NK241"/>
      <c r="NL241"/>
      <c r="NM241"/>
      <c r="NN241"/>
      <c r="NO241"/>
      <c r="NP241"/>
      <c r="NQ241"/>
      <c r="NR241"/>
      <c r="NS241"/>
      <c r="NT241"/>
      <c r="NU241"/>
      <c r="NV241"/>
      <c r="NW241"/>
      <c r="NX241"/>
      <c r="NY241"/>
      <c r="NZ241"/>
      <c r="OA241"/>
      <c r="OB241"/>
      <c r="OC241"/>
      <c r="OD241"/>
      <c r="OE241"/>
      <c r="OF241"/>
      <c r="OG241"/>
      <c r="OH241"/>
      <c r="OI241"/>
      <c r="OJ241"/>
      <c r="OK241"/>
      <c r="OL241"/>
      <c r="OM241"/>
      <c r="ON241"/>
      <c r="OO241"/>
      <c r="OP241"/>
      <c r="OQ241"/>
      <c r="OR241"/>
      <c r="OS241"/>
      <c r="OT241"/>
      <c r="OU241"/>
      <c r="OV241"/>
      <c r="OW241"/>
      <c r="OX241"/>
      <c r="OY241"/>
      <c r="OZ241"/>
      <c r="PA241"/>
      <c r="PB241"/>
      <c r="PC241"/>
      <c r="PD241"/>
      <c r="PE241"/>
      <c r="PF241"/>
      <c r="PG241"/>
      <c r="PH241"/>
      <c r="PI241"/>
      <c r="PJ241"/>
      <c r="PK241"/>
      <c r="PL241"/>
      <c r="PM241"/>
      <c r="PN241"/>
      <c r="PO241"/>
      <c r="PP241"/>
      <c r="PQ241"/>
      <c r="PR241"/>
      <c r="PS241"/>
      <c r="PT241"/>
      <c r="PU241"/>
      <c r="PV241"/>
      <c r="PW241"/>
      <c r="PX241"/>
      <c r="PY241"/>
      <c r="PZ241"/>
      <c r="QA241"/>
      <c r="QB241"/>
      <c r="QC241"/>
      <c r="QD241"/>
      <c r="QE241"/>
      <c r="QF241"/>
      <c r="QG241"/>
      <c r="QH241"/>
      <c r="QI241"/>
      <c r="QJ241"/>
      <c r="QK241"/>
      <c r="QL241"/>
      <c r="QM241"/>
      <c r="QN241"/>
      <c r="QO241"/>
      <c r="QP241"/>
      <c r="QQ241"/>
      <c r="QR241"/>
      <c r="QS241"/>
      <c r="QT241"/>
      <c r="QU241"/>
      <c r="QV241"/>
      <c r="QW241"/>
      <c r="QX241"/>
      <c r="QY241"/>
      <c r="QZ241"/>
      <c r="RA241"/>
      <c r="RB241"/>
      <c r="RC241"/>
      <c r="RD241"/>
      <c r="RE241"/>
      <c r="RF241"/>
      <c r="RG241"/>
      <c r="RH241"/>
      <c r="RI241"/>
      <c r="RJ241"/>
      <c r="RK241"/>
      <c r="RL241"/>
      <c r="RM241"/>
      <c r="RN241"/>
      <c r="RO241"/>
      <c r="RP241"/>
      <c r="RQ241"/>
      <c r="RR241"/>
      <c r="RS241"/>
      <c r="RT241"/>
      <c r="RU241"/>
      <c r="RV241"/>
      <c r="RW241"/>
      <c r="RX241"/>
      <c r="RY241"/>
      <c r="RZ241"/>
      <c r="SA241"/>
      <c r="SB241"/>
      <c r="SC241"/>
      <c r="SD241"/>
      <c r="SE241"/>
      <c r="SF241"/>
      <c r="SG241"/>
      <c r="SH241"/>
      <c r="SI241"/>
      <c r="SJ241"/>
      <c r="SK241"/>
      <c r="SL241"/>
      <c r="SM241"/>
      <c r="SN241"/>
      <c r="SO241"/>
      <c r="SP241"/>
      <c r="SQ241"/>
      <c r="SR241"/>
      <c r="SS241"/>
      <c r="ST241"/>
      <c r="SU241"/>
      <c r="SV241"/>
      <c r="SW241"/>
      <c r="SX241"/>
      <c r="SY241"/>
      <c r="SZ241"/>
      <c r="TA241"/>
      <c r="TB241"/>
      <c r="TC241"/>
      <c r="TD241"/>
      <c r="TE241"/>
      <c r="TF241"/>
      <c r="TG241"/>
      <c r="TH241"/>
      <c r="TI241"/>
      <c r="TJ241"/>
      <c r="TK241"/>
      <c r="TL241"/>
      <c r="TM241"/>
      <c r="TN241"/>
      <c r="TO241"/>
      <c r="TP241"/>
      <c r="TQ241"/>
      <c r="TR241"/>
      <c r="TS241"/>
      <c r="TT241"/>
      <c r="TU241"/>
      <c r="TV241"/>
      <c r="TW241"/>
      <c r="TX241"/>
      <c r="TY241"/>
      <c r="TZ241"/>
      <c r="UA241"/>
      <c r="UB241"/>
      <c r="UC241"/>
      <c r="UD241"/>
      <c r="UE241"/>
      <c r="UF241"/>
      <c r="UG241"/>
      <c r="UH241"/>
      <c r="UI241"/>
      <c r="UJ241"/>
      <c r="UK241"/>
      <c r="UL241"/>
      <c r="UM241"/>
      <c r="UN241"/>
      <c r="UO241"/>
      <c r="UP241"/>
      <c r="UQ241"/>
      <c r="UR241"/>
      <c r="US241"/>
      <c r="UT241"/>
      <c r="UU241"/>
      <c r="UV241"/>
      <c r="UW241"/>
      <c r="UX241"/>
      <c r="UY241"/>
      <c r="UZ241"/>
      <c r="VA241"/>
      <c r="VB241"/>
      <c r="VC241"/>
      <c r="VD241"/>
      <c r="VE241"/>
      <c r="VF241"/>
      <c r="VG241"/>
      <c r="VH241"/>
      <c r="VI241"/>
      <c r="VJ241"/>
      <c r="VK241"/>
      <c r="VL241"/>
      <c r="VM241"/>
      <c r="VN241"/>
      <c r="VO241"/>
      <c r="VP241"/>
      <c r="VQ241"/>
      <c r="VR241"/>
      <c r="VS241"/>
      <c r="VT241"/>
      <c r="VU241"/>
      <c r="VV241"/>
      <c r="VW241"/>
      <c r="VX241"/>
      <c r="VY241"/>
      <c r="VZ241"/>
      <c r="WA241"/>
      <c r="WB241"/>
      <c r="WC241"/>
      <c r="WD241"/>
      <c r="WE241"/>
      <c r="WF241"/>
      <c r="WG241"/>
      <c r="WH241"/>
      <c r="WI241"/>
      <c r="WJ241"/>
      <c r="WK241"/>
      <c r="WL241"/>
      <c r="WM241"/>
      <c r="WN241"/>
      <c r="WO241"/>
      <c r="WP241"/>
      <c r="WQ241"/>
      <c r="WR241"/>
      <c r="WS241"/>
      <c r="WT241"/>
      <c r="WU241"/>
      <c r="WV241"/>
      <c r="WW241"/>
      <c r="WX241"/>
      <c r="WY241"/>
      <c r="WZ241"/>
      <c r="XA241"/>
      <c r="XB241"/>
      <c r="XC241"/>
      <c r="XD241"/>
      <c r="XE241"/>
      <c r="XF241"/>
      <c r="XG241"/>
      <c r="XH241"/>
      <c r="XI241"/>
      <c r="XJ241"/>
      <c r="XK241"/>
      <c r="XL241"/>
      <c r="XM241"/>
      <c r="XN241"/>
      <c r="XO241"/>
      <c r="XP241"/>
      <c r="XQ241"/>
      <c r="XR241"/>
      <c r="XS241"/>
      <c r="XT241"/>
      <c r="XU241"/>
      <c r="XV241"/>
      <c r="XW241"/>
      <c r="XX241"/>
      <c r="XY241"/>
      <c r="XZ241"/>
      <c r="YA241"/>
      <c r="YB241"/>
      <c r="YC241"/>
      <c r="YD241"/>
      <c r="YE241"/>
      <c r="YF241"/>
      <c r="YG241"/>
      <c r="YH241"/>
      <c r="YI241"/>
      <c r="YJ241"/>
      <c r="YK241"/>
      <c r="YL241"/>
      <c r="YM241"/>
      <c r="YN241"/>
      <c r="YO241"/>
      <c r="YP241"/>
      <c r="YQ241"/>
      <c r="YR241"/>
      <c r="YS241"/>
      <c r="YT241"/>
      <c r="YU241"/>
      <c r="YV241"/>
      <c r="YW241"/>
      <c r="YX241"/>
      <c r="YY241"/>
      <c r="YZ241"/>
      <c r="ZA241"/>
      <c r="ZB241"/>
      <c r="ZC241"/>
      <c r="ZD241"/>
      <c r="ZE241"/>
      <c r="ZF241"/>
      <c r="ZG241"/>
      <c r="ZH241"/>
      <c r="ZI241"/>
      <c r="ZJ241"/>
      <c r="ZK241"/>
      <c r="ZL241"/>
      <c r="ZM241"/>
      <c r="ZN241"/>
      <c r="ZO241"/>
      <c r="ZP241"/>
      <c r="ZQ241"/>
      <c r="ZR241"/>
      <c r="ZS241"/>
      <c r="ZT241"/>
      <c r="ZU241"/>
      <c r="ZV241"/>
      <c r="ZW241"/>
      <c r="ZX241"/>
      <c r="ZY241"/>
      <c r="ZZ241"/>
      <c r="AAA241"/>
      <c r="AAB241"/>
      <c r="AAC241"/>
      <c r="AAD241"/>
      <c r="AAE241"/>
      <c r="AAF241"/>
      <c r="AAG241"/>
      <c r="AAH241"/>
      <c r="AAI241"/>
      <c r="AAJ241"/>
      <c r="AAK241"/>
      <c r="AAL241"/>
      <c r="AAM241"/>
      <c r="AAN241"/>
      <c r="AAO241"/>
      <c r="AAP241"/>
      <c r="AAQ241"/>
      <c r="AAR241"/>
      <c r="AAS241"/>
      <c r="AAT241"/>
      <c r="AAU241"/>
      <c r="AAV241"/>
      <c r="AAW241"/>
      <c r="AAX241"/>
      <c r="AAY241"/>
      <c r="AAZ241"/>
      <c r="ABA241"/>
      <c r="ABB241"/>
      <c r="ABC241"/>
      <c r="ABD241"/>
      <c r="ABE241"/>
      <c r="ABF241"/>
      <c r="ABG241"/>
      <c r="ABH241"/>
      <c r="ABI241"/>
      <c r="ABJ241"/>
      <c r="ABK241"/>
      <c r="ABL241"/>
      <c r="ABM241"/>
      <c r="ABN241"/>
      <c r="ABO241"/>
      <c r="ABP241"/>
      <c r="ABQ241"/>
      <c r="ABR241"/>
      <c r="ABS241"/>
      <c r="ABT241"/>
      <c r="ABU241"/>
      <c r="ABV241"/>
      <c r="ABW241"/>
      <c r="ABX241"/>
      <c r="ABY241"/>
      <c r="ABZ241"/>
      <c r="ACA241"/>
      <c r="ACB241"/>
      <c r="ACC241"/>
      <c r="ACD241"/>
      <c r="ACE241"/>
      <c r="ACF241"/>
      <c r="ACG241"/>
      <c r="ACH241"/>
      <c r="ACI241"/>
      <c r="ACJ241"/>
      <c r="ACK241"/>
      <c r="ACL241"/>
      <c r="ACM241"/>
      <c r="ACN241"/>
      <c r="ACO241"/>
      <c r="ACP241"/>
      <c r="ACQ241"/>
      <c r="ACR241"/>
      <c r="ACS241"/>
      <c r="ACT241"/>
      <c r="ACU241"/>
      <c r="ACV241"/>
      <c r="ACW241"/>
      <c r="ACX241"/>
      <c r="ACY241"/>
      <c r="ACZ241"/>
      <c r="ADA241"/>
      <c r="ADB241"/>
      <c r="ADC241"/>
      <c r="ADD241"/>
      <c r="ADE241"/>
      <c r="ADF241"/>
      <c r="ADG241"/>
      <c r="ADH241"/>
      <c r="ADI241"/>
      <c r="ADJ241"/>
      <c r="ADK241"/>
      <c r="ADL241"/>
      <c r="ADM241"/>
      <c r="ADN241"/>
      <c r="ADO241"/>
      <c r="ADP241"/>
      <c r="ADQ241"/>
      <c r="ADR241"/>
      <c r="ADS241"/>
      <c r="ADT241"/>
      <c r="ADU241"/>
      <c r="ADV241"/>
      <c r="ADW241"/>
      <c r="ADX241"/>
      <c r="ADY241"/>
      <c r="ADZ241"/>
      <c r="AEA241"/>
      <c r="AEB241"/>
      <c r="AEC241"/>
      <c r="AED241"/>
      <c r="AEE241"/>
      <c r="AEF241"/>
      <c r="AEG241"/>
      <c r="AEH241"/>
      <c r="AEI241"/>
      <c r="AEJ241"/>
      <c r="AEK241"/>
      <c r="AEL241"/>
      <c r="AEM241"/>
      <c r="AEN241"/>
      <c r="AEO241"/>
      <c r="AEP241"/>
      <c r="AEQ241"/>
      <c r="AER241"/>
      <c r="AES241"/>
      <c r="AET241"/>
      <c r="AEU241"/>
      <c r="AEV241"/>
      <c r="AEW241"/>
      <c r="AEX241"/>
      <c r="AEY241"/>
      <c r="AEZ241"/>
      <c r="AFA241"/>
      <c r="AFB241"/>
      <c r="AFC241"/>
      <c r="AFD241"/>
      <c r="AFE241"/>
      <c r="AFF241"/>
      <c r="AFG241"/>
      <c r="AFH241"/>
      <c r="AFI241"/>
      <c r="AFJ241"/>
      <c r="AFK241"/>
      <c r="AFL241"/>
      <c r="AFM241"/>
      <c r="AFN241"/>
      <c r="AFO241"/>
      <c r="AFP241"/>
      <c r="AFQ241"/>
      <c r="AFR241"/>
      <c r="AFS241"/>
      <c r="AFT241"/>
      <c r="AFU241"/>
      <c r="AFV241"/>
      <c r="AFW241"/>
      <c r="AFX241"/>
      <c r="AFY241"/>
      <c r="AFZ241"/>
      <c r="AGA241"/>
      <c r="AGB241"/>
      <c r="AGC241"/>
      <c r="AGD241"/>
      <c r="AGE241"/>
      <c r="AGF241"/>
      <c r="AGG241"/>
      <c r="AGH241"/>
      <c r="AGI241"/>
      <c r="AGJ241"/>
      <c r="AGK241"/>
      <c r="AGL241"/>
      <c r="AGM241"/>
      <c r="AGN241"/>
      <c r="AGO241"/>
      <c r="AGP241"/>
      <c r="AGQ241"/>
      <c r="AGR241"/>
      <c r="AGS241"/>
      <c r="AGT241"/>
      <c r="AGU241"/>
      <c r="AGV241"/>
      <c r="AGW241"/>
      <c r="AGX241"/>
      <c r="AGY241"/>
      <c r="AGZ241"/>
      <c r="AHA241"/>
      <c r="AHB241"/>
      <c r="AHC241"/>
      <c r="AHD241"/>
      <c r="AHE241"/>
      <c r="AHF241"/>
      <c r="AHG241"/>
      <c r="AHH241"/>
      <c r="AHI241"/>
      <c r="AHJ241"/>
      <c r="AHK241"/>
      <c r="AHL241"/>
      <c r="AHM241"/>
      <c r="AHN241"/>
      <c r="AHO241"/>
      <c r="AHP241"/>
      <c r="AHQ241"/>
      <c r="AHR241"/>
      <c r="AHS241"/>
      <c r="AHT241"/>
      <c r="AHU241"/>
      <c r="AHV241"/>
      <c r="AHW241"/>
      <c r="AHX241"/>
      <c r="AHY241"/>
      <c r="AHZ241"/>
      <c r="AIA241"/>
      <c r="AIB241"/>
      <c r="AIC241"/>
      <c r="AID241"/>
      <c r="AIE241"/>
      <c r="AIF241"/>
      <c r="AIG241"/>
      <c r="AIH241"/>
      <c r="AII241"/>
      <c r="AIJ241"/>
      <c r="AIK241"/>
      <c r="AIL241"/>
      <c r="AIM241"/>
      <c r="AIN241"/>
      <c r="AIO241"/>
      <c r="AIP241"/>
      <c r="AIQ241"/>
      <c r="AIR241"/>
      <c r="AIS241"/>
      <c r="AIT241"/>
      <c r="AIU241"/>
      <c r="AIV241"/>
      <c r="AIW241"/>
      <c r="AIX241"/>
      <c r="AIY241"/>
      <c r="AIZ241"/>
      <c r="AJA241"/>
      <c r="AJB241"/>
      <c r="AJC241"/>
      <c r="AJD241"/>
      <c r="AJE241"/>
      <c r="AJF241"/>
      <c r="AJG241"/>
      <c r="AJH241"/>
      <c r="AJI241"/>
      <c r="AJJ241"/>
      <c r="AJK241"/>
      <c r="AJL241"/>
      <c r="AJM241"/>
      <c r="AJN241"/>
      <c r="AJO241"/>
      <c r="AJP241"/>
      <c r="AJQ241"/>
      <c r="AJR241"/>
      <c r="AJS241"/>
      <c r="AJT241"/>
      <c r="AJU241"/>
      <c r="AJV241"/>
      <c r="AJW241"/>
      <c r="AJX241"/>
      <c r="AJY241"/>
      <c r="AJZ241"/>
      <c r="AKA241"/>
      <c r="AKB241"/>
      <c r="AKC241"/>
      <c r="AKD241"/>
      <c r="AKE241"/>
      <c r="AKF241"/>
      <c r="AKG241"/>
      <c r="AKH241"/>
      <c r="AKI241"/>
      <c r="AKJ241"/>
      <c r="AKK241"/>
      <c r="AKL241"/>
      <c r="AKM241"/>
      <c r="AKN241"/>
      <c r="AKO241"/>
      <c r="AKP241"/>
      <c r="AKQ241"/>
      <c r="AKR241"/>
      <c r="AKS241"/>
      <c r="AKT241"/>
      <c r="AKU241"/>
      <c r="AKV241"/>
      <c r="AKW241"/>
      <c r="AKX241"/>
      <c r="AKY241"/>
      <c r="AKZ241"/>
      <c r="ALA241"/>
      <c r="ALB241"/>
      <c r="ALC241"/>
      <c r="ALD241"/>
      <c r="ALE241"/>
      <c r="ALF241"/>
      <c r="ALG241"/>
      <c r="ALH241"/>
      <c r="ALI241"/>
      <c r="ALJ241"/>
      <c r="ALK241"/>
      <c r="ALL241"/>
      <c r="ALM241"/>
      <c r="ALN241"/>
      <c r="ALO241"/>
      <c r="ALP241"/>
      <c r="ALQ241"/>
      <c r="ALR241"/>
      <c r="ALS241"/>
      <c r="ALT241"/>
      <c r="ALU241"/>
      <c r="ALV241"/>
      <c r="ALW241"/>
      <c r="ALX241"/>
      <c r="ALY241"/>
      <c r="ALZ241"/>
      <c r="AMA241"/>
      <c r="AMB241"/>
      <c r="AMC241"/>
      <c r="AMD241"/>
      <c r="AME241"/>
      <c r="AMF241"/>
      <c r="AMG241"/>
      <c r="AMH241"/>
      <c r="AMI241"/>
      <c r="AMJ241"/>
      <c r="AMK241"/>
      <c r="AML241"/>
      <c r="AMM241"/>
      <c r="AMN241"/>
      <c r="AMO241"/>
      <c r="AMP241"/>
      <c r="AMQ241"/>
      <c r="AMR241"/>
      <c r="AMS241"/>
      <c r="AMT241"/>
      <c r="AMU241"/>
      <c r="AMV241"/>
      <c r="AMW241"/>
      <c r="AMX241"/>
      <c r="AMY241"/>
      <c r="AMZ241"/>
      <c r="ANA241"/>
      <c r="ANB241"/>
      <c r="ANC241"/>
      <c r="AND241"/>
      <c r="ANE241"/>
      <c r="ANF241"/>
      <c r="ANG241"/>
      <c r="ANH241"/>
      <c r="ANI241"/>
      <c r="ANJ241"/>
      <c r="ANK241"/>
      <c r="ANL241"/>
      <c r="ANM241"/>
      <c r="ANN241"/>
      <c r="ANO241"/>
      <c r="ANP241"/>
      <c r="ANQ241"/>
      <c r="ANR241"/>
      <c r="ANS241"/>
      <c r="ANT241"/>
      <c r="ANU241"/>
      <c r="ANV241"/>
      <c r="ANW241"/>
      <c r="ANX241"/>
      <c r="ANY241"/>
      <c r="ANZ241"/>
      <c r="AOA241"/>
      <c r="AOB241"/>
      <c r="AOC241"/>
      <c r="AOD241"/>
      <c r="AOE241"/>
      <c r="AOF241"/>
      <c r="AOG241"/>
      <c r="AOH241"/>
      <c r="AOI241"/>
      <c r="AOJ241"/>
      <c r="AOK241"/>
      <c r="AOL241"/>
      <c r="AOM241"/>
      <c r="AON241"/>
      <c r="AOO241"/>
      <c r="AOP241"/>
      <c r="AOQ241"/>
      <c r="AOR241"/>
      <c r="AOS241"/>
      <c r="AOT241"/>
      <c r="AOU241"/>
      <c r="AOV241"/>
      <c r="AOW241"/>
      <c r="AOX241"/>
      <c r="AOY241"/>
      <c r="AOZ241"/>
      <c r="APA241"/>
      <c r="APB241"/>
      <c r="APC241"/>
      <c r="APD241"/>
      <c r="APE241"/>
      <c r="APF241"/>
      <c r="APG241"/>
      <c r="APH241"/>
      <c r="API241"/>
      <c r="APJ241"/>
      <c r="APK241"/>
      <c r="APL241"/>
      <c r="APM241"/>
      <c r="APN241"/>
      <c r="APO241"/>
      <c r="APP241"/>
      <c r="APQ241"/>
      <c r="APR241"/>
      <c r="APS241"/>
      <c r="APT241"/>
      <c r="APU241"/>
      <c r="APV241"/>
      <c r="APW241"/>
      <c r="APX241"/>
      <c r="APY241"/>
      <c r="APZ241"/>
      <c r="AQA241"/>
      <c r="AQB241"/>
      <c r="AQC241"/>
      <c r="AQD241"/>
      <c r="AQE241"/>
      <c r="AQF241"/>
      <c r="AQG241"/>
      <c r="AQH241"/>
      <c r="AQI241"/>
      <c r="AQJ241"/>
      <c r="AQK241"/>
      <c r="AQL241"/>
      <c r="AQM241"/>
      <c r="AQN241"/>
      <c r="AQO241"/>
      <c r="AQP241"/>
      <c r="AQQ241"/>
      <c r="AQR241"/>
      <c r="AQS241"/>
      <c r="AQT241"/>
      <c r="AQU241"/>
      <c r="AQV241"/>
      <c r="AQW241"/>
      <c r="AQX241"/>
      <c r="AQY241"/>
      <c r="AQZ241"/>
      <c r="ARA241"/>
      <c r="ARB241"/>
      <c r="ARC241"/>
      <c r="ARD241"/>
      <c r="ARE241"/>
      <c r="ARF241"/>
      <c r="ARG241"/>
      <c r="ARH241"/>
      <c r="ARI241"/>
      <c r="ARJ241"/>
      <c r="ARK241"/>
      <c r="ARL241"/>
      <c r="ARM241"/>
      <c r="ARN241"/>
      <c r="ARO241"/>
      <c r="ARP241"/>
      <c r="ARQ241"/>
      <c r="ARR241"/>
      <c r="ARS241"/>
      <c r="ART241"/>
      <c r="ARU241"/>
      <c r="ARV241"/>
      <c r="ARW241"/>
      <c r="ARX241"/>
      <c r="ARY241"/>
      <c r="ARZ241"/>
      <c r="ASA241"/>
      <c r="ASB241"/>
      <c r="ASC241"/>
      <c r="ASD241"/>
      <c r="ASE241"/>
      <c r="ASF241"/>
      <c r="ASG241"/>
      <c r="ASH241"/>
      <c r="ASI241"/>
      <c r="ASJ241"/>
      <c r="ASK241"/>
      <c r="ASL241"/>
      <c r="ASM241"/>
      <c r="ASN241"/>
      <c r="ASO241"/>
      <c r="ASP241"/>
      <c r="ASQ241"/>
      <c r="ASR241"/>
      <c r="ASS241"/>
      <c r="AST241"/>
      <c r="ASU241"/>
      <c r="ASV241"/>
      <c r="ASW241"/>
      <c r="ASX241"/>
      <c r="ASY241"/>
      <c r="ASZ241"/>
      <c r="ATA241"/>
      <c r="ATB241"/>
      <c r="ATC241"/>
      <c r="ATD241"/>
      <c r="ATE241"/>
      <c r="ATF241"/>
      <c r="ATG241"/>
      <c r="ATH241"/>
      <c r="ATI241"/>
      <c r="ATJ241"/>
      <c r="ATK241"/>
      <c r="ATL241"/>
      <c r="ATM241"/>
      <c r="ATN241"/>
      <c r="ATO241"/>
      <c r="ATP241"/>
      <c r="ATQ241"/>
      <c r="ATR241"/>
      <c r="ATS241"/>
      <c r="ATT241"/>
      <c r="ATU241"/>
      <c r="ATV241"/>
      <c r="ATW241"/>
      <c r="ATX241"/>
      <c r="ATY241"/>
      <c r="ATZ241"/>
      <c r="AUA241"/>
      <c r="AUB241"/>
      <c r="AUC241"/>
      <c r="AUD241"/>
      <c r="AUE241"/>
      <c r="AUF241"/>
      <c r="AUG241"/>
      <c r="AUH241"/>
      <c r="AUI241"/>
      <c r="AUJ241"/>
      <c r="AUK241"/>
      <c r="AUL241"/>
      <c r="AUM241"/>
      <c r="AUN241"/>
      <c r="AUO241"/>
      <c r="AUP241"/>
      <c r="AUQ241"/>
      <c r="AUR241"/>
      <c r="AUS241"/>
      <c r="AUT241"/>
      <c r="AUU241"/>
      <c r="AUV241"/>
      <c r="AUW241"/>
      <c r="AUX241"/>
      <c r="AUY241"/>
      <c r="AUZ241"/>
      <c r="AVA241"/>
      <c r="AVB241"/>
      <c r="AVC241"/>
      <c r="AVD241"/>
      <c r="AVE241"/>
      <c r="AVF241"/>
      <c r="AVG241"/>
      <c r="AVH241"/>
      <c r="AVI241"/>
      <c r="AVJ241"/>
      <c r="AVK241"/>
      <c r="AVL241"/>
      <c r="AVM241"/>
      <c r="AVN241"/>
      <c r="AVO241"/>
      <c r="AVP241"/>
      <c r="AVQ241"/>
      <c r="AVR241"/>
      <c r="AVS241"/>
      <c r="AVT241"/>
      <c r="AVU241"/>
      <c r="AVV241"/>
      <c r="AVW241"/>
      <c r="AVX241"/>
      <c r="AVY241"/>
      <c r="AVZ241"/>
      <c r="AWA241"/>
      <c r="AWB241"/>
      <c r="AWC241"/>
      <c r="AWD241"/>
      <c r="AWE241"/>
      <c r="AWF241"/>
      <c r="AWG241"/>
      <c r="AWH241"/>
      <c r="AWI241"/>
      <c r="AWJ241"/>
      <c r="AWK241"/>
      <c r="AWL241"/>
      <c r="AWM241"/>
      <c r="AWN241"/>
      <c r="AWO241"/>
      <c r="AWP241"/>
      <c r="AWQ241"/>
      <c r="AWR241"/>
      <c r="AWS241"/>
      <c r="AWT241"/>
      <c r="AWU241"/>
      <c r="AWV241"/>
      <c r="AWW241"/>
      <c r="AWX241"/>
      <c r="AWY241"/>
      <c r="AWZ241"/>
      <c r="AXA241"/>
      <c r="AXB241"/>
      <c r="AXC241"/>
      <c r="AXD241"/>
      <c r="AXE241"/>
      <c r="AXF241"/>
      <c r="AXG241"/>
      <c r="AXH241"/>
      <c r="AXI241"/>
      <c r="AXJ241"/>
      <c r="AXK241"/>
      <c r="AXL241"/>
      <c r="AXM241"/>
      <c r="AXN241"/>
      <c r="AXO241"/>
      <c r="AXP241"/>
      <c r="AXQ241"/>
      <c r="AXR241"/>
      <c r="AXS241"/>
      <c r="AXT241"/>
      <c r="AXU241"/>
      <c r="AXV241"/>
      <c r="AXW241"/>
      <c r="AXX241"/>
      <c r="AXY241"/>
      <c r="AXZ241"/>
      <c r="AYA241"/>
      <c r="AYB241"/>
      <c r="AYC241"/>
      <c r="AYD241"/>
      <c r="AYE241"/>
      <c r="AYF241"/>
      <c r="AYG241"/>
      <c r="AYH241"/>
      <c r="AYI241"/>
      <c r="AYJ241"/>
      <c r="AYK241"/>
      <c r="AYL241"/>
      <c r="AYM241"/>
      <c r="AYN241"/>
      <c r="AYO241"/>
      <c r="AYP241"/>
      <c r="AYQ241"/>
      <c r="AYR241"/>
      <c r="AYS241"/>
      <c r="AYT241"/>
      <c r="AYU241"/>
      <c r="AYV241"/>
      <c r="AYW241"/>
      <c r="AYX241"/>
      <c r="AYY241"/>
      <c r="AYZ241"/>
      <c r="AZA241"/>
      <c r="AZB241"/>
      <c r="AZC241"/>
      <c r="AZD241"/>
      <c r="AZE241"/>
      <c r="AZF241"/>
      <c r="AZG241"/>
      <c r="AZH241"/>
      <c r="AZI241"/>
      <c r="AZJ241"/>
      <c r="AZK241"/>
      <c r="AZL241"/>
      <c r="AZM241"/>
      <c r="AZN241"/>
      <c r="AZO241"/>
      <c r="AZP241"/>
      <c r="AZQ241"/>
      <c r="AZR241"/>
      <c r="AZS241"/>
      <c r="AZT241"/>
      <c r="AZU241"/>
      <c r="AZV241"/>
      <c r="AZW241"/>
      <c r="AZX241"/>
      <c r="AZY241"/>
      <c r="AZZ241"/>
      <c r="BAA241"/>
      <c r="BAB241"/>
      <c r="BAC241"/>
      <c r="BAD241"/>
      <c r="BAE241"/>
      <c r="BAF241"/>
      <c r="BAG241"/>
      <c r="BAH241"/>
      <c r="BAI241"/>
      <c r="BAJ241"/>
      <c r="BAK241"/>
      <c r="BAL241"/>
      <c r="BAM241"/>
      <c r="BAN241"/>
      <c r="BAO241"/>
      <c r="BAP241"/>
      <c r="BAQ241"/>
      <c r="BAR241"/>
      <c r="BAS241"/>
      <c r="BAT241"/>
      <c r="BAU241"/>
      <c r="BAV241"/>
      <c r="BAW241"/>
      <c r="BAX241"/>
      <c r="BAY241"/>
      <c r="BAZ241"/>
      <c r="BBA241"/>
      <c r="BBB241"/>
      <c r="BBC241"/>
      <c r="BBD241"/>
      <c r="BBE241"/>
      <c r="BBF241"/>
      <c r="BBG241"/>
      <c r="BBH241"/>
      <c r="BBI241"/>
      <c r="BBJ241"/>
      <c r="BBK241"/>
      <c r="BBL241"/>
      <c r="BBM241"/>
      <c r="BBN241"/>
      <c r="BBO241"/>
      <c r="BBP241"/>
      <c r="BBQ241"/>
      <c r="BBR241"/>
      <c r="BBS241"/>
      <c r="BBT241"/>
      <c r="BBU241"/>
      <c r="BBV241"/>
      <c r="BBW241"/>
      <c r="BBX241"/>
      <c r="BBY241"/>
      <c r="BBZ241"/>
      <c r="BCA241"/>
      <c r="BCB241"/>
      <c r="BCC241"/>
      <c r="BCD241"/>
      <c r="BCE241"/>
      <c r="BCF241"/>
      <c r="BCG241"/>
      <c r="BCH241"/>
      <c r="BCI241"/>
      <c r="BCJ241"/>
      <c r="BCK241"/>
      <c r="BCL241"/>
      <c r="BCM241"/>
      <c r="BCN241"/>
      <c r="BCO241"/>
      <c r="BCP241"/>
      <c r="BCQ241"/>
      <c r="BCR241"/>
      <c r="BCS241"/>
      <c r="BCT241"/>
      <c r="BCU241"/>
      <c r="BCV241"/>
      <c r="BCW241"/>
      <c r="BCX241"/>
      <c r="BCY241"/>
      <c r="BCZ241"/>
      <c r="BDA241"/>
      <c r="BDB241"/>
      <c r="BDC241"/>
      <c r="BDD241"/>
      <c r="BDE241"/>
      <c r="BDF241"/>
      <c r="BDG241"/>
      <c r="BDH241"/>
      <c r="BDI241"/>
      <c r="BDJ241"/>
      <c r="BDK241"/>
      <c r="BDL241"/>
      <c r="BDM241"/>
      <c r="BDN241"/>
      <c r="BDO241"/>
      <c r="BDP241"/>
      <c r="BDQ241"/>
      <c r="BDR241"/>
      <c r="BDS241"/>
      <c r="BDT241"/>
      <c r="BDU241"/>
      <c r="BDV241"/>
      <c r="BDW241"/>
      <c r="BDX241"/>
      <c r="BDY241"/>
      <c r="BDZ241"/>
      <c r="BEA241"/>
      <c r="BEB241"/>
      <c r="BEC241"/>
      <c r="BED241"/>
      <c r="BEE241"/>
      <c r="BEF241"/>
      <c r="BEG241"/>
      <c r="BEH241"/>
      <c r="BEI241"/>
      <c r="BEJ241"/>
      <c r="BEK241"/>
      <c r="BEL241"/>
      <c r="BEM241"/>
      <c r="BEN241"/>
      <c r="BEO241"/>
      <c r="BEP241"/>
      <c r="BEQ241"/>
      <c r="BER241"/>
      <c r="BES241"/>
      <c r="BET241"/>
      <c r="BEU241"/>
      <c r="BEV241"/>
      <c r="BEW241"/>
      <c r="BEX241"/>
      <c r="BEY241"/>
      <c r="BEZ241"/>
      <c r="BFA241"/>
      <c r="BFB241"/>
      <c r="BFC241"/>
      <c r="BFD241"/>
      <c r="BFE241"/>
      <c r="BFF241"/>
      <c r="BFG241"/>
      <c r="BFH241"/>
      <c r="BFI241"/>
      <c r="BFJ241"/>
      <c r="BFK241"/>
      <c r="BFL241"/>
      <c r="BFM241"/>
      <c r="BFN241"/>
      <c r="BFO241"/>
      <c r="BFP241"/>
      <c r="BFQ241"/>
      <c r="BFR241"/>
      <c r="BFS241"/>
      <c r="BFT241"/>
      <c r="BFU241"/>
      <c r="BFV241"/>
      <c r="BFW241"/>
      <c r="BFX241"/>
      <c r="BFY241"/>
      <c r="BFZ241"/>
      <c r="BGA241"/>
      <c r="BGB241"/>
      <c r="BGC241"/>
      <c r="BGD241"/>
      <c r="BGE241"/>
      <c r="BGF241"/>
      <c r="BGG241"/>
      <c r="BGH241"/>
      <c r="BGI241"/>
      <c r="BGJ241"/>
      <c r="BGK241"/>
      <c r="BGL241"/>
      <c r="BGM241"/>
      <c r="BGN241"/>
      <c r="BGO241"/>
      <c r="BGP241"/>
      <c r="BGQ241"/>
      <c r="BGR241"/>
      <c r="BGS241"/>
      <c r="BGT241"/>
      <c r="BGU241"/>
      <c r="BGV241"/>
      <c r="BGW241"/>
      <c r="BGX241"/>
      <c r="BGY241"/>
      <c r="BGZ241"/>
      <c r="BHA241"/>
      <c r="BHB241"/>
      <c r="BHC241"/>
      <c r="BHD241"/>
      <c r="BHE241"/>
      <c r="BHF241"/>
      <c r="BHG241"/>
      <c r="BHH241"/>
      <c r="BHI241"/>
      <c r="BHJ241"/>
      <c r="BHK241"/>
      <c r="BHL241"/>
      <c r="BHM241"/>
      <c r="BHN241"/>
      <c r="BHO241"/>
      <c r="BHP241"/>
      <c r="BHQ241"/>
      <c r="BHR241"/>
      <c r="BHS241"/>
      <c r="BHT241"/>
      <c r="BHU241"/>
      <c r="BHV241"/>
      <c r="BHW241"/>
      <c r="BHX241"/>
      <c r="BHY241"/>
      <c r="BHZ241"/>
      <c r="BIA241"/>
      <c r="BIB241"/>
      <c r="BIC241"/>
      <c r="BID241"/>
      <c r="BIE241"/>
      <c r="BIF241"/>
      <c r="BIG241"/>
      <c r="BIH241"/>
      <c r="BII241"/>
      <c r="BIJ241"/>
      <c r="BIK241"/>
      <c r="BIL241"/>
      <c r="BIM241"/>
      <c r="BIN241"/>
      <c r="BIO241"/>
      <c r="BIP241"/>
      <c r="BIQ241"/>
      <c r="BIR241"/>
      <c r="BIS241"/>
      <c r="BIT241"/>
      <c r="BIU241"/>
      <c r="BIV241"/>
      <c r="BIW241"/>
      <c r="BIX241"/>
      <c r="BIY241"/>
      <c r="BIZ241"/>
      <c r="BJA241"/>
      <c r="BJB241"/>
      <c r="BJC241"/>
      <c r="BJD241"/>
      <c r="BJE241"/>
      <c r="BJF241"/>
      <c r="BJG241"/>
      <c r="BJH241"/>
      <c r="BJI241"/>
      <c r="BJJ241"/>
      <c r="BJK241"/>
      <c r="BJL241"/>
      <c r="BJM241"/>
      <c r="BJN241"/>
      <c r="BJO241"/>
      <c r="BJP241"/>
      <c r="BJQ241"/>
      <c r="BJR241"/>
      <c r="BJS241"/>
      <c r="BJT241"/>
      <c r="BJU241"/>
      <c r="BJV241"/>
      <c r="BJW241"/>
      <c r="BJX241"/>
      <c r="BJY241"/>
      <c r="BJZ241"/>
      <c r="BKA241"/>
      <c r="BKB241"/>
      <c r="BKC241"/>
      <c r="BKD241"/>
      <c r="BKE241"/>
      <c r="BKF241"/>
      <c r="BKG241"/>
      <c r="BKH241"/>
      <c r="BKI241"/>
      <c r="BKJ241"/>
      <c r="BKK241"/>
      <c r="BKL241"/>
      <c r="BKM241"/>
      <c r="BKN241"/>
      <c r="BKO241"/>
      <c r="BKP241"/>
      <c r="BKQ241"/>
      <c r="BKR241"/>
      <c r="BKS241"/>
      <c r="BKT241"/>
      <c r="BKU241"/>
      <c r="BKV241"/>
      <c r="BKW241"/>
      <c r="BKX241"/>
      <c r="BKY241"/>
      <c r="BKZ241"/>
      <c r="BLA241"/>
      <c r="BLB241"/>
      <c r="BLC241"/>
      <c r="BLD241"/>
      <c r="BLE241"/>
      <c r="BLF241"/>
      <c r="BLG241"/>
      <c r="BLH241"/>
      <c r="BLI241"/>
      <c r="BLJ241"/>
      <c r="BLK241"/>
      <c r="BLL241"/>
      <c r="BLM241"/>
      <c r="BLN241"/>
      <c r="BLO241"/>
      <c r="BLP241"/>
      <c r="BLQ241"/>
      <c r="BLR241"/>
      <c r="BLS241"/>
      <c r="BLT241"/>
      <c r="BLU241"/>
      <c r="BLV241"/>
      <c r="BLW241"/>
      <c r="BLX241"/>
      <c r="BLY241"/>
      <c r="BLZ241"/>
      <c r="BMA241"/>
      <c r="BMB241"/>
      <c r="BMC241"/>
      <c r="BMD241"/>
      <c r="BME241"/>
      <c r="BMF241"/>
      <c r="BMG241"/>
      <c r="BMH241"/>
      <c r="BMI241"/>
      <c r="BMJ241"/>
      <c r="BMK241"/>
      <c r="BML241"/>
      <c r="BMM241"/>
      <c r="BMN241"/>
      <c r="BMO241"/>
      <c r="BMP241"/>
      <c r="BMQ241"/>
      <c r="BMR241"/>
      <c r="BMS241"/>
      <c r="BMT241"/>
      <c r="BMU241"/>
      <c r="BMV241"/>
      <c r="BMW241"/>
      <c r="BMX241"/>
      <c r="BMY241"/>
      <c r="BMZ241"/>
      <c r="BNA241"/>
      <c r="BNB241"/>
      <c r="BNC241"/>
      <c r="BND241"/>
      <c r="BNE241"/>
      <c r="BNF241"/>
      <c r="BNG241"/>
      <c r="BNH241"/>
      <c r="BNI241"/>
      <c r="BNJ241"/>
      <c r="BNK241"/>
      <c r="BNL241"/>
      <c r="BNM241"/>
      <c r="BNN241"/>
      <c r="BNO241"/>
      <c r="BNP241"/>
      <c r="BNQ241"/>
      <c r="BNR241"/>
      <c r="BNS241"/>
      <c r="BNT241"/>
      <c r="BNU241"/>
      <c r="BNV241"/>
      <c r="BNW241"/>
      <c r="BNX241"/>
      <c r="BNY241"/>
      <c r="BNZ241"/>
      <c r="BOA241"/>
      <c r="BOB241"/>
      <c r="BOC241"/>
      <c r="BOD241"/>
      <c r="BOE241"/>
      <c r="BOF241"/>
      <c r="BOG241"/>
      <c r="BOH241"/>
      <c r="BOI241"/>
      <c r="BOJ241"/>
      <c r="BOK241"/>
      <c r="BOL241"/>
      <c r="BOM241"/>
      <c r="BON241"/>
      <c r="BOO241"/>
      <c r="BOP241"/>
      <c r="BOQ241"/>
      <c r="BOR241"/>
      <c r="BOS241"/>
      <c r="BOT241"/>
      <c r="BOU241"/>
      <c r="BOV241"/>
      <c r="BOW241"/>
      <c r="BOX241"/>
      <c r="BOY241"/>
      <c r="BOZ241"/>
      <c r="BPA241"/>
      <c r="BPB241"/>
      <c r="BPC241"/>
      <c r="BPD241"/>
      <c r="BPE241"/>
      <c r="BPF241"/>
      <c r="BPG241"/>
      <c r="BPH241"/>
      <c r="BPI241"/>
      <c r="BPJ241"/>
      <c r="BPK241"/>
      <c r="BPL241"/>
      <c r="BPM241"/>
      <c r="BPN241"/>
      <c r="BPO241"/>
      <c r="BPP241"/>
      <c r="BPQ241"/>
      <c r="BPR241"/>
      <c r="BPS241"/>
      <c r="BPT241"/>
      <c r="BPU241"/>
      <c r="BPV241"/>
      <c r="BPW241"/>
      <c r="BPX241"/>
      <c r="BPY241"/>
      <c r="BPZ241"/>
      <c r="BQA241"/>
      <c r="BQB241"/>
      <c r="BQC241"/>
      <c r="BQD241"/>
      <c r="BQE241"/>
      <c r="BQF241"/>
      <c r="BQG241"/>
      <c r="BQH241"/>
      <c r="BQI241"/>
      <c r="BQJ241"/>
      <c r="BQK241"/>
      <c r="BQL241"/>
      <c r="BQM241"/>
      <c r="BQN241"/>
      <c r="BQO241"/>
      <c r="BQP241"/>
      <c r="BQQ241"/>
      <c r="BQR241"/>
      <c r="BQS241"/>
      <c r="BQT241"/>
      <c r="BQU241"/>
      <c r="BQV241"/>
      <c r="BQW241"/>
      <c r="BQX241"/>
      <c r="BQY241"/>
      <c r="BQZ241"/>
      <c r="BRA241"/>
      <c r="BRB241"/>
      <c r="BRC241"/>
      <c r="BRD241"/>
      <c r="BRE241"/>
      <c r="BRF241"/>
      <c r="BRG241"/>
      <c r="BRH241"/>
      <c r="BRI241"/>
      <c r="BRJ241"/>
      <c r="BRK241"/>
      <c r="BRL241"/>
      <c r="BRM241"/>
      <c r="BRN241"/>
      <c r="BRO241"/>
      <c r="BRP241"/>
      <c r="BRQ241"/>
      <c r="BRR241"/>
      <c r="BRS241"/>
      <c r="BRT241"/>
      <c r="BRU241"/>
      <c r="BRV241"/>
      <c r="BRW241"/>
      <c r="BRX241"/>
      <c r="BRY241"/>
      <c r="BRZ241"/>
      <c r="BSA241"/>
      <c r="BSB241"/>
      <c r="BSC241"/>
      <c r="BSD241"/>
      <c r="BSE241"/>
      <c r="BSF241"/>
      <c r="BSG241"/>
      <c r="BSH241"/>
      <c r="BSI241"/>
      <c r="BSJ241"/>
      <c r="BSK241"/>
      <c r="BSL241"/>
      <c r="BSM241"/>
      <c r="BSN241"/>
      <c r="BSO241"/>
      <c r="BSP241"/>
      <c r="BSQ241"/>
      <c r="BSR241"/>
      <c r="BSS241"/>
      <c r="BST241"/>
      <c r="BSU241"/>
      <c r="BSV241"/>
      <c r="BSW241"/>
      <c r="BSX241"/>
      <c r="BSY241"/>
      <c r="BSZ241"/>
      <c r="BTA241"/>
      <c r="BTB241"/>
      <c r="BTC241"/>
      <c r="BTD241"/>
      <c r="BTE241"/>
      <c r="BTF241"/>
      <c r="BTG241"/>
      <c r="BTH241"/>
      <c r="BTI241"/>
      <c r="BTJ241"/>
      <c r="BTK241"/>
      <c r="BTL241"/>
      <c r="BTM241"/>
      <c r="BTN241"/>
      <c r="BTO241"/>
      <c r="BTP241"/>
      <c r="BTQ241"/>
      <c r="BTR241"/>
      <c r="BTS241"/>
      <c r="BTT241"/>
      <c r="BTU241"/>
      <c r="BTV241"/>
      <c r="BTW241"/>
      <c r="BTX241"/>
      <c r="BTY241"/>
      <c r="BTZ241"/>
      <c r="BUA241"/>
      <c r="BUB241"/>
      <c r="BUC241"/>
      <c r="BUD241"/>
      <c r="BUE241"/>
      <c r="BUF241"/>
      <c r="BUG241"/>
      <c r="BUH241"/>
      <c r="BUI241"/>
      <c r="BUJ241"/>
      <c r="BUK241"/>
      <c r="BUL241"/>
      <c r="BUM241"/>
      <c r="BUN241"/>
      <c r="BUO241"/>
      <c r="BUP241"/>
      <c r="BUQ241"/>
      <c r="BUR241"/>
      <c r="BUS241"/>
      <c r="BUT241"/>
      <c r="BUU241"/>
      <c r="BUV241"/>
      <c r="BUW241"/>
      <c r="BUX241"/>
      <c r="BUY241"/>
      <c r="BUZ241"/>
      <c r="BVA241"/>
      <c r="BVB241"/>
      <c r="BVC241"/>
      <c r="BVD241"/>
      <c r="BVE241"/>
      <c r="BVF241"/>
      <c r="BVG241"/>
      <c r="BVH241"/>
      <c r="BVI241"/>
      <c r="BVJ241"/>
      <c r="BVK241"/>
      <c r="BVL241"/>
      <c r="BVM241"/>
      <c r="BVN241"/>
      <c r="BVO241"/>
      <c r="BVP241"/>
      <c r="BVQ241"/>
      <c r="BVR241"/>
      <c r="BVS241"/>
      <c r="BVT241"/>
      <c r="BVU241"/>
      <c r="BVV241"/>
      <c r="BVW241"/>
      <c r="BVX241"/>
      <c r="BVY241"/>
      <c r="BVZ241"/>
      <c r="BWA241"/>
      <c r="BWB241"/>
      <c r="BWC241"/>
      <c r="BWD241"/>
      <c r="BWE241"/>
      <c r="BWF241"/>
      <c r="BWG241"/>
      <c r="BWH241"/>
      <c r="BWI241"/>
      <c r="BWJ241"/>
      <c r="BWK241"/>
      <c r="BWL241"/>
      <c r="BWM241"/>
      <c r="BWN241"/>
      <c r="BWO241"/>
      <c r="BWP241"/>
      <c r="BWQ241"/>
      <c r="BWR241"/>
      <c r="BWS241"/>
      <c r="BWT241"/>
      <c r="BWU241"/>
      <c r="BWV241"/>
      <c r="BWW241"/>
      <c r="BWX241"/>
      <c r="BWY241"/>
      <c r="BWZ241"/>
      <c r="BXA241"/>
      <c r="BXB241"/>
      <c r="BXC241"/>
      <c r="BXD241"/>
      <c r="BXE241"/>
      <c r="BXF241"/>
      <c r="BXG241"/>
      <c r="BXH241"/>
      <c r="BXI241"/>
      <c r="BXJ241"/>
      <c r="BXK241"/>
      <c r="BXL241"/>
      <c r="BXM241"/>
      <c r="BXN241"/>
      <c r="BXO241"/>
      <c r="BXP241"/>
      <c r="BXQ241"/>
      <c r="BXR241"/>
      <c r="BXS241"/>
      <c r="BXT241"/>
      <c r="BXU241"/>
      <c r="BXV241"/>
      <c r="BXW241"/>
      <c r="BXX241"/>
      <c r="BXY241"/>
      <c r="BXZ241"/>
      <c r="BYA241"/>
      <c r="BYB241"/>
      <c r="BYC241"/>
      <c r="BYD241"/>
      <c r="BYE241"/>
      <c r="BYF241"/>
      <c r="BYG241"/>
      <c r="BYH241"/>
      <c r="BYI241"/>
      <c r="BYJ241"/>
      <c r="BYK241"/>
      <c r="BYL241"/>
      <c r="BYM241"/>
      <c r="BYN241"/>
      <c r="BYO241"/>
      <c r="BYP241"/>
      <c r="BYQ241"/>
      <c r="BYR241"/>
      <c r="BYS241"/>
      <c r="BYT241"/>
      <c r="BYU241"/>
      <c r="BYV241"/>
      <c r="BYW241"/>
      <c r="BYX241"/>
      <c r="BYY241"/>
      <c r="BYZ241"/>
      <c r="BZA241"/>
      <c r="BZB241"/>
      <c r="BZC241"/>
      <c r="BZD241"/>
      <c r="BZE241"/>
      <c r="BZF241"/>
      <c r="BZG241"/>
      <c r="BZH241"/>
      <c r="BZI241"/>
      <c r="BZJ241"/>
      <c r="BZK241"/>
      <c r="BZL241"/>
      <c r="BZM241"/>
      <c r="BZN241"/>
      <c r="BZO241"/>
      <c r="BZP241"/>
      <c r="BZQ241"/>
      <c r="BZR241"/>
      <c r="BZS241"/>
      <c r="BZT241"/>
      <c r="BZU241"/>
      <c r="BZV241"/>
      <c r="BZW241"/>
      <c r="BZX241"/>
      <c r="BZY241"/>
      <c r="BZZ241"/>
      <c r="CAA241"/>
      <c r="CAB241"/>
      <c r="CAC241"/>
      <c r="CAD241"/>
      <c r="CAE241"/>
      <c r="CAF241"/>
      <c r="CAG241"/>
      <c r="CAH241"/>
      <c r="CAI241"/>
      <c r="CAJ241"/>
      <c r="CAK241"/>
      <c r="CAL241"/>
      <c r="CAM241"/>
      <c r="CAN241"/>
      <c r="CAO241"/>
      <c r="CAP241"/>
      <c r="CAQ241"/>
      <c r="CAR241"/>
      <c r="CAS241"/>
      <c r="CAT241"/>
      <c r="CAU241"/>
      <c r="CAV241"/>
      <c r="CAW241"/>
      <c r="CAX241"/>
      <c r="CAY241"/>
      <c r="CAZ241"/>
      <c r="CBA241"/>
      <c r="CBB241"/>
      <c r="CBC241"/>
      <c r="CBD241"/>
      <c r="CBE241"/>
      <c r="CBF241"/>
      <c r="CBG241"/>
      <c r="CBH241"/>
      <c r="CBI241"/>
      <c r="CBJ241"/>
      <c r="CBK241"/>
      <c r="CBL241"/>
      <c r="CBM241"/>
      <c r="CBN241"/>
      <c r="CBO241"/>
      <c r="CBP241"/>
      <c r="CBQ241"/>
      <c r="CBR241"/>
      <c r="CBS241"/>
      <c r="CBT241"/>
      <c r="CBU241"/>
      <c r="CBV241"/>
      <c r="CBW241"/>
      <c r="CBX241"/>
      <c r="CBY241"/>
      <c r="CBZ241"/>
      <c r="CCA241"/>
      <c r="CCB241"/>
      <c r="CCC241"/>
      <c r="CCD241"/>
      <c r="CCE241"/>
      <c r="CCF241"/>
      <c r="CCG241"/>
      <c r="CCH241"/>
      <c r="CCI241"/>
      <c r="CCJ241"/>
      <c r="CCK241"/>
      <c r="CCL241"/>
      <c r="CCM241"/>
      <c r="CCN241"/>
      <c r="CCO241"/>
      <c r="CCP241"/>
      <c r="CCQ241"/>
      <c r="CCR241"/>
      <c r="CCS241"/>
      <c r="CCT241"/>
      <c r="CCU241"/>
      <c r="CCV241"/>
      <c r="CCW241"/>
      <c r="CCX241"/>
      <c r="CCY241"/>
      <c r="CCZ241"/>
      <c r="CDA241"/>
      <c r="CDB241"/>
      <c r="CDC241"/>
      <c r="CDD241"/>
      <c r="CDE241"/>
      <c r="CDF241"/>
      <c r="CDG241"/>
      <c r="CDH241"/>
      <c r="CDI241"/>
      <c r="CDJ241"/>
      <c r="CDK241"/>
      <c r="CDL241"/>
      <c r="CDM241"/>
      <c r="CDN241"/>
      <c r="CDO241"/>
      <c r="CDP241"/>
      <c r="CDQ241"/>
      <c r="CDR241"/>
      <c r="CDS241"/>
      <c r="CDT241"/>
      <c r="CDU241"/>
      <c r="CDV241"/>
      <c r="CDW241"/>
      <c r="CDX241"/>
      <c r="CDY241"/>
      <c r="CDZ241"/>
      <c r="CEA241"/>
      <c r="CEB241"/>
      <c r="CEC241"/>
      <c r="CED241"/>
      <c r="CEE241"/>
      <c r="CEF241"/>
      <c r="CEG241"/>
      <c r="CEH241"/>
      <c r="CEI241"/>
      <c r="CEJ241"/>
      <c r="CEK241"/>
      <c r="CEL241"/>
      <c r="CEM241"/>
      <c r="CEN241"/>
      <c r="CEO241"/>
      <c r="CEP241"/>
      <c r="CEQ241"/>
      <c r="CER241"/>
      <c r="CES241"/>
      <c r="CET241"/>
      <c r="CEU241"/>
      <c r="CEV241"/>
      <c r="CEW241"/>
      <c r="CEX241"/>
      <c r="CEY241"/>
      <c r="CEZ241"/>
      <c r="CFA241"/>
      <c r="CFB241"/>
      <c r="CFC241"/>
      <c r="CFD241"/>
      <c r="CFE241"/>
      <c r="CFF241"/>
      <c r="CFG241"/>
      <c r="CFH241"/>
      <c r="CFI241"/>
      <c r="CFJ241"/>
      <c r="CFK241"/>
      <c r="CFL241"/>
      <c r="CFM241"/>
      <c r="CFN241"/>
      <c r="CFO241"/>
      <c r="CFP241"/>
      <c r="CFQ241"/>
      <c r="CFR241"/>
      <c r="CFS241"/>
      <c r="CFT241"/>
      <c r="CFU241"/>
      <c r="CFV241"/>
      <c r="CFW241"/>
      <c r="CFX241"/>
      <c r="CFY241"/>
      <c r="CFZ241"/>
      <c r="CGA241"/>
      <c r="CGB241"/>
      <c r="CGC241"/>
      <c r="CGD241"/>
      <c r="CGE241"/>
      <c r="CGF241"/>
      <c r="CGG241"/>
      <c r="CGH241"/>
      <c r="CGI241"/>
      <c r="CGJ241"/>
      <c r="CGK241"/>
      <c r="CGL241"/>
      <c r="CGM241"/>
      <c r="CGN241"/>
      <c r="CGO241"/>
      <c r="CGP241"/>
      <c r="CGQ241"/>
      <c r="CGR241"/>
      <c r="CGS241"/>
      <c r="CGT241"/>
      <c r="CGU241"/>
      <c r="CGV241"/>
      <c r="CGW241"/>
      <c r="CGX241"/>
      <c r="CGY241"/>
      <c r="CGZ241"/>
      <c r="CHA241"/>
      <c r="CHB241"/>
      <c r="CHC241"/>
      <c r="CHD241"/>
      <c r="CHE241"/>
      <c r="CHF241"/>
      <c r="CHG241"/>
      <c r="CHH241"/>
      <c r="CHI241"/>
      <c r="CHJ241"/>
      <c r="CHK241"/>
      <c r="CHL241"/>
      <c r="CHM241"/>
      <c r="CHN241"/>
      <c r="CHO241"/>
      <c r="CHP241"/>
      <c r="CHQ241"/>
      <c r="CHR241"/>
      <c r="CHS241"/>
      <c r="CHT241"/>
      <c r="CHU241"/>
      <c r="CHV241"/>
      <c r="CHW241"/>
      <c r="CHX241"/>
      <c r="CHY241"/>
      <c r="CHZ241"/>
      <c r="CIA241"/>
      <c r="CIB241"/>
      <c r="CIC241"/>
      <c r="CID241"/>
      <c r="CIE241"/>
      <c r="CIF241"/>
      <c r="CIG241"/>
      <c r="CIH241"/>
      <c r="CII241"/>
      <c r="CIJ241"/>
      <c r="CIK241"/>
      <c r="CIL241"/>
      <c r="CIM241"/>
      <c r="CIN241"/>
      <c r="CIO241"/>
      <c r="CIP241"/>
      <c r="CIQ241"/>
      <c r="CIR241"/>
      <c r="CIS241"/>
      <c r="CIT241"/>
      <c r="CIU241"/>
      <c r="CIV241"/>
      <c r="CIW241"/>
      <c r="CIX241"/>
      <c r="CIY241"/>
      <c r="CIZ241"/>
      <c r="CJA241"/>
      <c r="CJB241"/>
      <c r="CJC241"/>
      <c r="CJD241"/>
      <c r="CJE241"/>
      <c r="CJF241"/>
      <c r="CJG241"/>
      <c r="CJH241"/>
      <c r="CJI241"/>
      <c r="CJJ241"/>
      <c r="CJK241"/>
      <c r="CJL241"/>
      <c r="CJM241"/>
      <c r="CJN241"/>
      <c r="CJO241"/>
      <c r="CJP241"/>
      <c r="CJQ241"/>
      <c r="CJR241"/>
      <c r="CJS241"/>
      <c r="CJT241"/>
      <c r="CJU241"/>
      <c r="CJV241"/>
      <c r="CJW241"/>
      <c r="CJX241"/>
      <c r="CJY241"/>
      <c r="CJZ241"/>
      <c r="CKA241"/>
      <c r="CKB241"/>
      <c r="CKC241"/>
      <c r="CKD241"/>
      <c r="CKE241"/>
      <c r="CKF241"/>
      <c r="CKG241"/>
      <c r="CKH241"/>
      <c r="CKI241"/>
      <c r="CKJ241"/>
      <c r="CKK241"/>
      <c r="CKL241"/>
      <c r="CKM241"/>
      <c r="CKN241"/>
      <c r="CKO241"/>
      <c r="CKP241"/>
      <c r="CKQ241"/>
      <c r="CKR241"/>
      <c r="CKS241"/>
      <c r="CKT241"/>
      <c r="CKU241"/>
      <c r="CKV241"/>
      <c r="CKW241"/>
      <c r="CKX241"/>
      <c r="CKY241"/>
      <c r="CKZ241"/>
      <c r="CLA241"/>
      <c r="CLB241"/>
      <c r="CLC241"/>
      <c r="CLD241"/>
      <c r="CLE241"/>
      <c r="CLF241"/>
      <c r="CLG241"/>
      <c r="CLH241"/>
      <c r="CLI241"/>
      <c r="CLJ241"/>
      <c r="CLK241"/>
      <c r="CLL241"/>
      <c r="CLM241"/>
      <c r="CLN241"/>
      <c r="CLO241"/>
      <c r="CLP241"/>
      <c r="CLQ241"/>
      <c r="CLR241"/>
      <c r="CLS241"/>
      <c r="CLT241"/>
      <c r="CLU241"/>
      <c r="CLV241"/>
      <c r="CLW241"/>
      <c r="CLX241"/>
      <c r="CLY241"/>
      <c r="CLZ241"/>
      <c r="CMA241"/>
      <c r="CMB241"/>
      <c r="CMC241"/>
      <c r="CMD241"/>
      <c r="CME241"/>
      <c r="CMF241"/>
      <c r="CMG241"/>
      <c r="CMH241"/>
      <c r="CMI241"/>
      <c r="CMJ241"/>
      <c r="CMK241"/>
      <c r="CML241"/>
      <c r="CMM241"/>
      <c r="CMN241"/>
      <c r="CMO241"/>
      <c r="CMP241"/>
      <c r="CMQ241"/>
      <c r="CMR241"/>
      <c r="CMS241"/>
      <c r="CMT241"/>
      <c r="CMU241"/>
      <c r="CMV241"/>
      <c r="CMW241"/>
      <c r="CMX241"/>
      <c r="CMY241"/>
      <c r="CMZ241"/>
      <c r="CNA241"/>
      <c r="CNB241"/>
      <c r="CNC241"/>
      <c r="CND241"/>
      <c r="CNE241"/>
      <c r="CNF241"/>
      <c r="CNG241"/>
      <c r="CNH241"/>
      <c r="CNI241"/>
      <c r="CNJ241"/>
      <c r="CNK241"/>
      <c r="CNL241"/>
      <c r="CNM241"/>
      <c r="CNN241"/>
      <c r="CNO241"/>
      <c r="CNP241"/>
      <c r="CNQ241"/>
      <c r="CNR241"/>
      <c r="CNS241"/>
      <c r="CNT241"/>
      <c r="CNU241"/>
      <c r="CNV241"/>
      <c r="CNW241"/>
      <c r="CNX241"/>
      <c r="CNY241"/>
      <c r="CNZ241"/>
      <c r="COA241"/>
      <c r="COB241"/>
      <c r="COC241"/>
      <c r="COD241"/>
      <c r="COE241"/>
      <c r="COF241"/>
      <c r="COG241"/>
      <c r="COH241"/>
      <c r="COI241"/>
      <c r="COJ241"/>
      <c r="COK241"/>
      <c r="COL241"/>
      <c r="COM241"/>
      <c r="CON241"/>
      <c r="COO241"/>
      <c r="COP241"/>
      <c r="COQ241"/>
      <c r="COR241"/>
      <c r="COS241"/>
      <c r="COT241"/>
      <c r="COU241"/>
      <c r="COV241"/>
      <c r="COW241"/>
      <c r="COX241"/>
      <c r="COY241"/>
      <c r="COZ241"/>
      <c r="CPA241"/>
      <c r="CPB241"/>
      <c r="CPC241"/>
      <c r="CPD241"/>
      <c r="CPE241"/>
      <c r="CPF241"/>
      <c r="CPG241"/>
      <c r="CPH241"/>
      <c r="CPI241"/>
      <c r="CPJ241"/>
      <c r="CPK241"/>
      <c r="CPL241"/>
      <c r="CPM241"/>
      <c r="CPN241"/>
      <c r="CPO241"/>
      <c r="CPP241"/>
      <c r="CPQ241"/>
      <c r="CPR241"/>
      <c r="CPS241"/>
      <c r="CPT241"/>
      <c r="CPU241"/>
      <c r="CPV241"/>
      <c r="CPW241"/>
      <c r="CPX241"/>
      <c r="CPY241"/>
      <c r="CPZ241"/>
      <c r="CQA241"/>
      <c r="CQB241"/>
      <c r="CQC241"/>
      <c r="CQD241"/>
      <c r="CQE241"/>
      <c r="CQF241"/>
      <c r="CQG241"/>
      <c r="CQH241"/>
      <c r="CQI241"/>
      <c r="CQJ241"/>
      <c r="CQK241"/>
      <c r="CQL241"/>
      <c r="CQM241"/>
      <c r="CQN241"/>
      <c r="CQO241"/>
      <c r="CQP241"/>
      <c r="CQQ241"/>
      <c r="CQR241"/>
      <c r="CQS241"/>
      <c r="CQT241"/>
      <c r="CQU241"/>
      <c r="CQV241"/>
      <c r="CQW241"/>
      <c r="CQX241"/>
      <c r="CQY241"/>
      <c r="CQZ241"/>
      <c r="CRA241"/>
      <c r="CRB241"/>
      <c r="CRC241"/>
      <c r="CRD241"/>
      <c r="CRE241"/>
      <c r="CRF241"/>
      <c r="CRG241"/>
      <c r="CRH241"/>
      <c r="CRI241"/>
      <c r="CRJ241"/>
      <c r="CRK241"/>
      <c r="CRL241"/>
      <c r="CRM241"/>
      <c r="CRN241"/>
      <c r="CRO241"/>
      <c r="CRP241"/>
      <c r="CRQ241"/>
      <c r="CRR241"/>
      <c r="CRS241"/>
      <c r="CRT241"/>
      <c r="CRU241"/>
      <c r="CRV241"/>
      <c r="CRW241"/>
      <c r="CRX241"/>
      <c r="CRY241"/>
      <c r="CRZ241"/>
      <c r="CSA241"/>
      <c r="CSB241"/>
      <c r="CSC241"/>
      <c r="CSD241"/>
      <c r="CSE241"/>
      <c r="CSF241"/>
      <c r="CSG241"/>
      <c r="CSH241"/>
      <c r="CSI241"/>
      <c r="CSJ241"/>
      <c r="CSK241"/>
      <c r="CSL241"/>
      <c r="CSM241"/>
      <c r="CSN241"/>
      <c r="CSO241"/>
      <c r="CSP241"/>
      <c r="CSQ241"/>
      <c r="CSR241"/>
      <c r="CSS241"/>
      <c r="CST241"/>
      <c r="CSU241"/>
      <c r="CSV241"/>
      <c r="CSW241"/>
      <c r="CSX241"/>
      <c r="CSY241"/>
      <c r="CSZ241"/>
      <c r="CTA241"/>
      <c r="CTB241"/>
      <c r="CTC241"/>
      <c r="CTD241"/>
      <c r="CTE241"/>
      <c r="CTF241"/>
      <c r="CTG241"/>
      <c r="CTH241"/>
      <c r="CTI241"/>
      <c r="CTJ241"/>
      <c r="CTK241"/>
      <c r="CTL241"/>
      <c r="CTM241"/>
      <c r="CTN241"/>
      <c r="CTO241"/>
      <c r="CTP241"/>
      <c r="CTQ241"/>
      <c r="CTR241"/>
      <c r="CTS241"/>
      <c r="CTT241"/>
      <c r="CTU241"/>
      <c r="CTV241"/>
      <c r="CTW241"/>
      <c r="CTX241"/>
      <c r="CTY241"/>
      <c r="CTZ241"/>
      <c r="CUA241"/>
      <c r="CUB241"/>
      <c r="CUC241"/>
      <c r="CUD241"/>
      <c r="CUE241"/>
      <c r="CUF241"/>
      <c r="CUG241"/>
      <c r="CUH241"/>
      <c r="CUI241"/>
      <c r="CUJ241"/>
      <c r="CUK241"/>
      <c r="CUL241"/>
      <c r="CUM241"/>
      <c r="CUN241"/>
      <c r="CUO241"/>
      <c r="CUP241"/>
      <c r="CUQ241"/>
      <c r="CUR241"/>
      <c r="CUS241"/>
      <c r="CUT241"/>
      <c r="CUU241"/>
      <c r="CUV241"/>
      <c r="CUW241"/>
      <c r="CUX241"/>
      <c r="CUY241"/>
      <c r="CUZ241"/>
      <c r="CVA241"/>
      <c r="CVB241"/>
      <c r="CVC241"/>
      <c r="CVD241"/>
      <c r="CVE241"/>
      <c r="CVF241"/>
      <c r="CVG241"/>
      <c r="CVH241"/>
      <c r="CVI241"/>
      <c r="CVJ241"/>
      <c r="CVK241"/>
      <c r="CVL241"/>
      <c r="CVM241"/>
      <c r="CVN241"/>
      <c r="CVO241"/>
      <c r="CVP241"/>
      <c r="CVQ241"/>
      <c r="CVR241"/>
      <c r="CVS241"/>
      <c r="CVT241"/>
      <c r="CVU241"/>
      <c r="CVV241"/>
      <c r="CVW241"/>
      <c r="CVX241"/>
      <c r="CVY241"/>
      <c r="CVZ241"/>
      <c r="CWA241"/>
      <c r="CWB241"/>
      <c r="CWC241"/>
      <c r="CWD241"/>
      <c r="CWE241"/>
      <c r="CWF241"/>
      <c r="CWG241"/>
      <c r="CWH241"/>
      <c r="CWI241"/>
      <c r="CWJ241"/>
      <c r="CWK241"/>
      <c r="CWL241"/>
      <c r="CWM241"/>
      <c r="CWN241"/>
      <c r="CWO241"/>
      <c r="CWP241"/>
      <c r="CWQ241"/>
      <c r="CWR241"/>
      <c r="CWS241"/>
      <c r="CWT241"/>
      <c r="CWU241"/>
      <c r="CWV241"/>
      <c r="CWW241"/>
      <c r="CWX241"/>
      <c r="CWY241"/>
      <c r="CWZ241"/>
      <c r="CXA241"/>
      <c r="CXB241"/>
      <c r="CXC241"/>
      <c r="CXD241"/>
      <c r="CXE241"/>
      <c r="CXF241"/>
      <c r="CXG241"/>
      <c r="CXH241"/>
      <c r="CXI241"/>
      <c r="CXJ241"/>
      <c r="CXK241"/>
      <c r="CXL241"/>
      <c r="CXM241"/>
      <c r="CXN241"/>
      <c r="CXO241"/>
      <c r="CXP241"/>
      <c r="CXQ241"/>
      <c r="CXR241"/>
      <c r="CXS241"/>
      <c r="CXT241"/>
      <c r="CXU241"/>
      <c r="CXV241"/>
      <c r="CXW241"/>
      <c r="CXX241"/>
      <c r="CXY241"/>
      <c r="CXZ241"/>
      <c r="CYA241"/>
      <c r="CYB241"/>
      <c r="CYC241"/>
      <c r="CYD241"/>
      <c r="CYE241"/>
      <c r="CYF241"/>
      <c r="CYG241"/>
      <c r="CYH241"/>
      <c r="CYI241"/>
      <c r="CYJ241"/>
      <c r="CYK241"/>
      <c r="CYL241"/>
      <c r="CYM241"/>
      <c r="CYN241"/>
      <c r="CYO241"/>
      <c r="CYP241"/>
      <c r="CYQ241"/>
      <c r="CYR241"/>
      <c r="CYS241"/>
      <c r="CYT241"/>
      <c r="CYU241"/>
      <c r="CYV241"/>
      <c r="CYW241"/>
      <c r="CYX241"/>
      <c r="CYY241"/>
      <c r="CYZ241"/>
      <c r="CZA241"/>
      <c r="CZB241"/>
      <c r="CZC241"/>
      <c r="CZD241"/>
      <c r="CZE241"/>
      <c r="CZF241"/>
      <c r="CZG241"/>
      <c r="CZH241"/>
      <c r="CZI241"/>
      <c r="CZJ241"/>
      <c r="CZK241"/>
      <c r="CZL241"/>
      <c r="CZM241"/>
      <c r="CZN241"/>
      <c r="CZO241"/>
      <c r="CZP241"/>
      <c r="CZQ241"/>
      <c r="CZR241"/>
      <c r="CZS241"/>
      <c r="CZT241"/>
      <c r="CZU241"/>
      <c r="CZV241"/>
      <c r="CZW241"/>
      <c r="CZX241"/>
      <c r="CZY241"/>
      <c r="CZZ241"/>
      <c r="DAA241"/>
      <c r="DAB241"/>
      <c r="DAC241"/>
      <c r="DAD241"/>
      <c r="DAE241"/>
      <c r="DAF241"/>
      <c r="DAG241"/>
      <c r="DAH241"/>
      <c r="DAI241"/>
      <c r="DAJ241"/>
      <c r="DAK241"/>
      <c r="DAL241"/>
      <c r="DAM241"/>
      <c r="DAN241"/>
      <c r="DAO241"/>
      <c r="DAP241"/>
      <c r="DAQ241"/>
      <c r="DAR241"/>
      <c r="DAS241"/>
      <c r="DAT241"/>
      <c r="DAU241"/>
      <c r="DAV241"/>
      <c r="DAW241"/>
      <c r="DAX241"/>
      <c r="DAY241"/>
      <c r="DAZ241"/>
      <c r="DBA241"/>
      <c r="DBB241"/>
      <c r="DBC241"/>
      <c r="DBD241"/>
      <c r="DBE241"/>
      <c r="DBF241"/>
      <c r="DBG241"/>
      <c r="DBH241"/>
      <c r="DBI241"/>
      <c r="DBJ241"/>
      <c r="DBK241"/>
      <c r="DBL241"/>
      <c r="DBM241"/>
      <c r="DBN241"/>
      <c r="DBO241"/>
      <c r="DBP241"/>
      <c r="DBQ241"/>
      <c r="DBR241"/>
      <c r="DBS241"/>
      <c r="DBT241"/>
      <c r="DBU241"/>
      <c r="DBV241"/>
      <c r="DBW241"/>
      <c r="DBX241"/>
      <c r="DBY241"/>
      <c r="DBZ241"/>
      <c r="DCA241"/>
      <c r="DCB241"/>
      <c r="DCC241"/>
      <c r="DCD241"/>
      <c r="DCE241"/>
      <c r="DCF241"/>
      <c r="DCG241"/>
      <c r="DCH241"/>
      <c r="DCI241"/>
      <c r="DCJ241"/>
      <c r="DCK241"/>
      <c r="DCL241"/>
      <c r="DCM241"/>
      <c r="DCN241"/>
      <c r="DCO241"/>
      <c r="DCP241"/>
      <c r="DCQ241"/>
      <c r="DCR241"/>
      <c r="DCS241"/>
      <c r="DCT241"/>
      <c r="DCU241"/>
      <c r="DCV241"/>
      <c r="DCW241"/>
      <c r="DCX241"/>
      <c r="DCY241"/>
      <c r="DCZ241"/>
      <c r="DDA241"/>
      <c r="DDB241"/>
      <c r="DDC241"/>
      <c r="DDD241"/>
      <c r="DDE241"/>
      <c r="DDF241"/>
      <c r="DDG241"/>
      <c r="DDH241"/>
      <c r="DDI241"/>
      <c r="DDJ241"/>
      <c r="DDK241"/>
      <c r="DDL241"/>
      <c r="DDM241"/>
      <c r="DDN241"/>
      <c r="DDO241"/>
      <c r="DDP241"/>
      <c r="DDQ241"/>
      <c r="DDR241"/>
      <c r="DDS241"/>
      <c r="DDT241"/>
      <c r="DDU241"/>
      <c r="DDV241"/>
      <c r="DDW241"/>
      <c r="DDX241"/>
      <c r="DDY241"/>
      <c r="DDZ241"/>
      <c r="DEA241"/>
      <c r="DEB241"/>
      <c r="DEC241"/>
      <c r="DED241"/>
      <c r="DEE241"/>
      <c r="DEF241"/>
      <c r="DEG241"/>
      <c r="DEH241"/>
      <c r="DEI241"/>
      <c r="DEJ241"/>
      <c r="DEK241"/>
      <c r="DEL241"/>
      <c r="DEM241"/>
      <c r="DEN241"/>
      <c r="DEO241"/>
      <c r="DEP241"/>
      <c r="DEQ241"/>
      <c r="DER241"/>
      <c r="DES241"/>
      <c r="DET241"/>
      <c r="DEU241"/>
      <c r="DEV241"/>
      <c r="DEW241"/>
      <c r="DEX241"/>
      <c r="DEY241"/>
      <c r="DEZ241"/>
      <c r="DFA241"/>
      <c r="DFB241"/>
      <c r="DFC241"/>
      <c r="DFD241"/>
      <c r="DFE241"/>
      <c r="DFF241"/>
      <c r="DFG241"/>
      <c r="DFH241"/>
      <c r="DFI241"/>
      <c r="DFJ241"/>
      <c r="DFK241"/>
      <c r="DFL241"/>
      <c r="DFM241"/>
      <c r="DFN241"/>
      <c r="DFO241"/>
      <c r="DFP241"/>
      <c r="DFQ241"/>
      <c r="DFR241"/>
      <c r="DFS241"/>
      <c r="DFT241"/>
      <c r="DFU241"/>
      <c r="DFV241"/>
      <c r="DFW241"/>
      <c r="DFX241"/>
      <c r="DFY241"/>
      <c r="DFZ241"/>
      <c r="DGA241"/>
      <c r="DGB241"/>
      <c r="DGC241"/>
      <c r="DGD241"/>
      <c r="DGE241"/>
      <c r="DGF241"/>
      <c r="DGG241"/>
      <c r="DGH241"/>
      <c r="DGI241"/>
      <c r="DGJ241"/>
      <c r="DGK241"/>
      <c r="DGL241"/>
      <c r="DGM241"/>
      <c r="DGN241"/>
      <c r="DGO241"/>
      <c r="DGP241"/>
      <c r="DGQ241"/>
      <c r="DGR241"/>
      <c r="DGS241"/>
      <c r="DGT241"/>
      <c r="DGU241"/>
      <c r="DGV241"/>
      <c r="DGW241"/>
      <c r="DGX241"/>
      <c r="DGY241"/>
      <c r="DGZ241"/>
      <c r="DHA241"/>
      <c r="DHB241"/>
      <c r="DHC241"/>
      <c r="DHD241"/>
      <c r="DHE241"/>
      <c r="DHF241"/>
      <c r="DHG241"/>
      <c r="DHH241"/>
      <c r="DHI241"/>
      <c r="DHJ241"/>
      <c r="DHK241"/>
      <c r="DHL241"/>
      <c r="DHM241"/>
      <c r="DHN241"/>
      <c r="DHO241"/>
      <c r="DHP241"/>
      <c r="DHQ241"/>
      <c r="DHR241"/>
      <c r="DHS241"/>
      <c r="DHT241"/>
      <c r="DHU241"/>
      <c r="DHV241"/>
      <c r="DHW241"/>
      <c r="DHX241"/>
      <c r="DHY241"/>
      <c r="DHZ241"/>
      <c r="DIA241"/>
      <c r="DIB241"/>
      <c r="DIC241"/>
      <c r="DID241"/>
      <c r="DIE241"/>
      <c r="DIF241"/>
      <c r="DIG241"/>
      <c r="DIH241"/>
      <c r="DII241"/>
      <c r="DIJ241"/>
      <c r="DIK241"/>
      <c r="DIL241"/>
      <c r="DIM241"/>
      <c r="DIN241"/>
      <c r="DIO241"/>
      <c r="DIP241"/>
      <c r="DIQ241"/>
      <c r="DIR241"/>
      <c r="DIS241"/>
      <c r="DIT241"/>
      <c r="DIU241"/>
      <c r="DIV241"/>
      <c r="DIW241"/>
      <c r="DIX241"/>
      <c r="DIY241"/>
      <c r="DIZ241"/>
      <c r="DJA241"/>
      <c r="DJB241"/>
      <c r="DJC241"/>
      <c r="DJD241"/>
      <c r="DJE241"/>
      <c r="DJF241"/>
      <c r="DJG241"/>
      <c r="DJH241"/>
      <c r="DJI241"/>
      <c r="DJJ241"/>
      <c r="DJK241"/>
      <c r="DJL241"/>
      <c r="DJM241"/>
      <c r="DJN241"/>
      <c r="DJO241"/>
      <c r="DJP241"/>
      <c r="DJQ241"/>
      <c r="DJR241"/>
      <c r="DJS241"/>
      <c r="DJT241"/>
      <c r="DJU241"/>
      <c r="DJV241"/>
      <c r="DJW241"/>
      <c r="DJX241"/>
      <c r="DJY241"/>
      <c r="DJZ241"/>
      <c r="DKA241"/>
      <c r="DKB241"/>
      <c r="DKC241"/>
      <c r="DKD241"/>
      <c r="DKE241"/>
      <c r="DKF241"/>
      <c r="DKG241"/>
      <c r="DKH241"/>
      <c r="DKI241"/>
      <c r="DKJ241"/>
      <c r="DKK241"/>
      <c r="DKL241"/>
      <c r="DKM241"/>
      <c r="DKN241"/>
      <c r="DKO241"/>
      <c r="DKP241"/>
      <c r="DKQ241"/>
      <c r="DKR241"/>
      <c r="DKS241"/>
      <c r="DKT241"/>
      <c r="DKU241"/>
      <c r="DKV241"/>
      <c r="DKW241"/>
      <c r="DKX241"/>
      <c r="DKY241"/>
      <c r="DKZ241"/>
      <c r="DLA241"/>
      <c r="DLB241"/>
      <c r="DLC241"/>
      <c r="DLD241"/>
      <c r="DLE241"/>
      <c r="DLF241"/>
      <c r="DLG241"/>
      <c r="DLH241"/>
      <c r="DLI241"/>
      <c r="DLJ241"/>
      <c r="DLK241"/>
      <c r="DLL241"/>
      <c r="DLM241"/>
      <c r="DLN241"/>
      <c r="DLO241"/>
      <c r="DLP241"/>
      <c r="DLQ241"/>
      <c r="DLR241"/>
      <c r="DLS241"/>
      <c r="DLT241"/>
      <c r="DLU241"/>
      <c r="DLV241"/>
      <c r="DLW241"/>
      <c r="DLX241"/>
      <c r="DLY241"/>
      <c r="DLZ241"/>
      <c r="DMA241"/>
      <c r="DMB241"/>
      <c r="DMC241"/>
      <c r="DMD241"/>
      <c r="DME241"/>
      <c r="DMF241"/>
      <c r="DMG241"/>
      <c r="DMH241"/>
      <c r="DMI241"/>
      <c r="DMJ241"/>
      <c r="DMK241"/>
      <c r="DML241"/>
      <c r="DMM241"/>
      <c r="DMN241"/>
      <c r="DMO241"/>
      <c r="DMP241"/>
      <c r="DMQ241"/>
      <c r="DMR241"/>
      <c r="DMS241"/>
      <c r="DMT241"/>
      <c r="DMU241"/>
      <c r="DMV241"/>
      <c r="DMW241"/>
      <c r="DMX241"/>
      <c r="DMY241"/>
      <c r="DMZ241"/>
      <c r="DNA241"/>
      <c r="DNB241"/>
      <c r="DNC241"/>
      <c r="DND241"/>
      <c r="DNE241"/>
      <c r="DNF241"/>
      <c r="DNG241"/>
      <c r="DNH241"/>
      <c r="DNI241"/>
      <c r="DNJ241"/>
      <c r="DNK241"/>
      <c r="DNL241"/>
      <c r="DNM241"/>
      <c r="DNN241"/>
      <c r="DNO241"/>
      <c r="DNP241"/>
      <c r="DNQ241"/>
      <c r="DNR241"/>
      <c r="DNS241"/>
      <c r="DNT241"/>
      <c r="DNU241"/>
      <c r="DNV241"/>
      <c r="DNW241"/>
      <c r="DNX241"/>
      <c r="DNY241"/>
      <c r="DNZ241"/>
      <c r="DOA241"/>
      <c r="DOB241"/>
      <c r="DOC241"/>
      <c r="DOD241"/>
      <c r="DOE241"/>
      <c r="DOF241"/>
      <c r="DOG241"/>
      <c r="DOH241"/>
      <c r="DOI241"/>
      <c r="DOJ241"/>
      <c r="DOK241"/>
      <c r="DOL241"/>
      <c r="DOM241"/>
      <c r="DON241"/>
      <c r="DOO241"/>
      <c r="DOP241"/>
      <c r="DOQ241"/>
      <c r="DOR241"/>
      <c r="DOS241"/>
      <c r="DOT241"/>
      <c r="DOU241"/>
      <c r="DOV241"/>
      <c r="DOW241"/>
      <c r="DOX241"/>
      <c r="DOY241"/>
      <c r="DOZ241"/>
      <c r="DPA241"/>
      <c r="DPB241"/>
      <c r="DPC241"/>
      <c r="DPD241"/>
      <c r="DPE241"/>
      <c r="DPF241"/>
      <c r="DPG241"/>
      <c r="DPH241"/>
      <c r="DPI241"/>
      <c r="DPJ241"/>
      <c r="DPK241"/>
      <c r="DPL241"/>
      <c r="DPM241"/>
      <c r="DPN241"/>
      <c r="DPO241"/>
      <c r="DPP241"/>
      <c r="DPQ241"/>
      <c r="DPR241"/>
      <c r="DPS241"/>
      <c r="DPT241"/>
      <c r="DPU241"/>
      <c r="DPV241"/>
      <c r="DPW241"/>
      <c r="DPX241"/>
      <c r="DPY241"/>
      <c r="DPZ241"/>
      <c r="DQA241"/>
      <c r="DQB241"/>
      <c r="DQC241"/>
      <c r="DQD241"/>
      <c r="DQE241"/>
      <c r="DQF241"/>
      <c r="DQG241"/>
      <c r="DQH241"/>
      <c r="DQI241"/>
      <c r="DQJ241"/>
      <c r="DQK241"/>
      <c r="DQL241"/>
      <c r="DQM241"/>
      <c r="DQN241"/>
      <c r="DQO241"/>
      <c r="DQP241"/>
      <c r="DQQ241"/>
      <c r="DQR241"/>
      <c r="DQS241"/>
      <c r="DQT241"/>
      <c r="DQU241"/>
      <c r="DQV241"/>
      <c r="DQW241"/>
      <c r="DQX241"/>
      <c r="DQY241"/>
      <c r="DQZ241"/>
      <c r="DRA241"/>
      <c r="DRB241"/>
      <c r="DRC241"/>
      <c r="DRD241"/>
      <c r="DRE241"/>
      <c r="DRF241"/>
      <c r="DRG241"/>
      <c r="DRH241"/>
      <c r="DRI241"/>
      <c r="DRJ241"/>
      <c r="DRK241"/>
      <c r="DRL241"/>
      <c r="DRM241"/>
      <c r="DRN241"/>
      <c r="DRO241"/>
      <c r="DRP241"/>
      <c r="DRQ241"/>
      <c r="DRR241"/>
      <c r="DRS241"/>
      <c r="DRT241"/>
      <c r="DRU241"/>
      <c r="DRV241"/>
      <c r="DRW241"/>
      <c r="DRX241"/>
      <c r="DRY241"/>
      <c r="DRZ241"/>
      <c r="DSA241"/>
      <c r="DSB241"/>
      <c r="DSC241"/>
      <c r="DSD241"/>
      <c r="DSE241"/>
      <c r="DSF241"/>
      <c r="DSG241"/>
      <c r="DSH241"/>
      <c r="DSI241"/>
      <c r="DSJ241"/>
      <c r="DSK241"/>
      <c r="DSL241"/>
      <c r="DSM241"/>
      <c r="DSN241"/>
      <c r="DSO241"/>
      <c r="DSP241"/>
      <c r="DSQ241"/>
      <c r="DSR241"/>
      <c r="DSS241"/>
      <c r="DST241"/>
      <c r="DSU241"/>
      <c r="DSV241"/>
      <c r="DSW241"/>
      <c r="DSX241"/>
      <c r="DSY241"/>
      <c r="DSZ241"/>
      <c r="DTA241"/>
      <c r="DTB241"/>
      <c r="DTC241"/>
      <c r="DTD241"/>
      <c r="DTE241"/>
      <c r="DTF241"/>
      <c r="DTG241"/>
      <c r="DTH241"/>
      <c r="DTI241"/>
      <c r="DTJ241"/>
      <c r="DTK241"/>
      <c r="DTL241"/>
      <c r="DTM241"/>
      <c r="DTN241"/>
      <c r="DTO241"/>
      <c r="DTP241"/>
      <c r="DTQ241"/>
      <c r="DTR241"/>
      <c r="DTS241"/>
      <c r="DTT241"/>
      <c r="DTU241"/>
      <c r="DTV241"/>
      <c r="DTW241"/>
      <c r="DTX241"/>
      <c r="DTY241"/>
      <c r="DTZ241"/>
      <c r="DUA241"/>
      <c r="DUB241"/>
      <c r="DUC241"/>
      <c r="DUD241"/>
      <c r="DUE241"/>
      <c r="DUF241"/>
      <c r="DUG241"/>
      <c r="DUH241"/>
      <c r="DUI241"/>
      <c r="DUJ241"/>
      <c r="DUK241"/>
      <c r="DUL241"/>
      <c r="DUM241"/>
      <c r="DUN241"/>
      <c r="DUO241"/>
      <c r="DUP241"/>
      <c r="DUQ241"/>
      <c r="DUR241"/>
      <c r="DUS241"/>
      <c r="DUT241"/>
      <c r="DUU241"/>
      <c r="DUV241"/>
      <c r="DUW241"/>
      <c r="DUX241"/>
      <c r="DUY241"/>
      <c r="DUZ241"/>
      <c r="DVA241"/>
      <c r="DVB241"/>
      <c r="DVC241"/>
      <c r="DVD241"/>
      <c r="DVE241"/>
      <c r="DVF241"/>
      <c r="DVG241"/>
      <c r="DVH241"/>
      <c r="DVI241"/>
      <c r="DVJ241"/>
      <c r="DVK241"/>
      <c r="DVL241"/>
      <c r="DVM241"/>
      <c r="DVN241"/>
      <c r="DVO241"/>
      <c r="DVP241"/>
      <c r="DVQ241"/>
      <c r="DVR241"/>
      <c r="DVS241"/>
      <c r="DVT241"/>
      <c r="DVU241"/>
      <c r="DVV241"/>
      <c r="DVW241"/>
      <c r="DVX241"/>
      <c r="DVY241"/>
      <c r="DVZ241"/>
      <c r="DWA241"/>
      <c r="DWB241"/>
      <c r="DWC241"/>
      <c r="DWD241"/>
      <c r="DWE241"/>
      <c r="DWF241"/>
      <c r="DWG241"/>
      <c r="DWH241"/>
      <c r="DWI241"/>
      <c r="DWJ241"/>
      <c r="DWK241"/>
      <c r="DWL241"/>
      <c r="DWM241"/>
      <c r="DWN241"/>
      <c r="DWO241"/>
      <c r="DWP241"/>
      <c r="DWQ241"/>
      <c r="DWR241"/>
      <c r="DWS241"/>
      <c r="DWT241"/>
      <c r="DWU241"/>
      <c r="DWV241"/>
      <c r="DWW241"/>
      <c r="DWX241"/>
      <c r="DWY241"/>
      <c r="DWZ241"/>
      <c r="DXA241"/>
      <c r="DXB241"/>
      <c r="DXC241"/>
      <c r="DXD241"/>
      <c r="DXE241"/>
      <c r="DXF241"/>
      <c r="DXG241"/>
      <c r="DXH241"/>
      <c r="DXI241"/>
      <c r="DXJ241"/>
      <c r="DXK241"/>
      <c r="DXL241"/>
      <c r="DXM241"/>
      <c r="DXN241"/>
      <c r="DXO241"/>
      <c r="DXP241"/>
      <c r="DXQ241"/>
      <c r="DXR241"/>
      <c r="DXS241"/>
      <c r="DXT241"/>
      <c r="DXU241"/>
      <c r="DXV241"/>
      <c r="DXW241"/>
      <c r="DXX241"/>
      <c r="DXY241"/>
      <c r="DXZ241"/>
      <c r="DYA241"/>
      <c r="DYB241"/>
      <c r="DYC241"/>
      <c r="DYD241"/>
      <c r="DYE241"/>
      <c r="DYF241"/>
      <c r="DYG241"/>
      <c r="DYH241"/>
      <c r="DYI241"/>
      <c r="DYJ241"/>
      <c r="DYK241"/>
      <c r="DYL241"/>
      <c r="DYM241"/>
      <c r="DYN241"/>
      <c r="DYO241"/>
      <c r="DYP241"/>
      <c r="DYQ241"/>
      <c r="DYR241"/>
      <c r="DYS241"/>
      <c r="DYT241"/>
      <c r="DYU241"/>
      <c r="DYV241"/>
      <c r="DYW241"/>
      <c r="DYX241"/>
      <c r="DYY241"/>
      <c r="DYZ241"/>
      <c r="DZA241"/>
      <c r="DZB241"/>
      <c r="DZC241"/>
      <c r="DZD241"/>
      <c r="DZE241"/>
      <c r="DZF241"/>
      <c r="DZG241"/>
      <c r="DZH241"/>
      <c r="DZI241"/>
      <c r="DZJ241"/>
      <c r="DZK241"/>
      <c r="DZL241"/>
      <c r="DZM241"/>
      <c r="DZN241"/>
      <c r="DZO241"/>
      <c r="DZP241"/>
      <c r="DZQ241"/>
      <c r="DZR241"/>
      <c r="DZS241"/>
      <c r="DZT241"/>
      <c r="DZU241"/>
      <c r="DZV241"/>
      <c r="DZW241"/>
      <c r="DZX241"/>
      <c r="DZY241"/>
      <c r="DZZ241"/>
      <c r="EAA241"/>
      <c r="EAB241"/>
      <c r="EAC241"/>
      <c r="EAD241"/>
      <c r="EAE241"/>
      <c r="EAF241"/>
      <c r="EAG241"/>
      <c r="EAH241"/>
      <c r="EAI241"/>
      <c r="EAJ241"/>
      <c r="EAK241"/>
      <c r="EAL241"/>
      <c r="EAM241"/>
      <c r="EAN241"/>
      <c r="EAO241"/>
      <c r="EAP241"/>
      <c r="EAQ241"/>
      <c r="EAR241"/>
      <c r="EAS241"/>
      <c r="EAT241"/>
      <c r="EAU241"/>
      <c r="EAV241"/>
      <c r="EAW241"/>
      <c r="EAX241"/>
      <c r="EAY241"/>
      <c r="EAZ241"/>
      <c r="EBA241"/>
      <c r="EBB241"/>
      <c r="EBC241"/>
      <c r="EBD241"/>
      <c r="EBE241"/>
      <c r="EBF241"/>
      <c r="EBG241"/>
      <c r="EBH241"/>
      <c r="EBI241"/>
      <c r="EBJ241"/>
      <c r="EBK241"/>
      <c r="EBL241"/>
      <c r="EBM241"/>
      <c r="EBN241"/>
      <c r="EBO241"/>
      <c r="EBP241"/>
      <c r="EBQ241"/>
      <c r="EBR241"/>
      <c r="EBS241"/>
      <c r="EBT241"/>
      <c r="EBU241"/>
      <c r="EBV241"/>
      <c r="EBW241"/>
      <c r="EBX241"/>
      <c r="EBY241"/>
      <c r="EBZ241"/>
      <c r="ECA241"/>
      <c r="ECB241"/>
      <c r="ECC241"/>
      <c r="ECD241"/>
      <c r="ECE241"/>
      <c r="ECF241"/>
      <c r="ECG241"/>
      <c r="ECH241"/>
      <c r="ECI241"/>
      <c r="ECJ241"/>
      <c r="ECK241"/>
      <c r="ECL241"/>
      <c r="ECM241"/>
      <c r="ECN241"/>
      <c r="ECO241"/>
      <c r="ECP241"/>
      <c r="ECQ241"/>
      <c r="ECR241"/>
      <c r="ECS241"/>
      <c r="ECT241"/>
      <c r="ECU241"/>
      <c r="ECV241"/>
      <c r="ECW241"/>
      <c r="ECX241"/>
      <c r="ECY241"/>
      <c r="ECZ241"/>
      <c r="EDA241"/>
      <c r="EDB241"/>
      <c r="EDC241"/>
      <c r="EDD241"/>
      <c r="EDE241"/>
      <c r="EDF241"/>
      <c r="EDG241"/>
      <c r="EDH241"/>
      <c r="EDI241"/>
      <c r="EDJ241"/>
      <c r="EDK241"/>
      <c r="EDL241"/>
      <c r="EDM241"/>
      <c r="EDN241"/>
      <c r="EDO241"/>
      <c r="EDP241"/>
      <c r="EDQ241"/>
      <c r="EDR241"/>
      <c r="EDS241"/>
      <c r="EDT241"/>
      <c r="EDU241"/>
      <c r="EDV241"/>
      <c r="EDW241"/>
      <c r="EDX241"/>
      <c r="EDY241"/>
      <c r="EDZ241"/>
      <c r="EEA241"/>
      <c r="EEB241"/>
      <c r="EEC241"/>
      <c r="EED241"/>
      <c r="EEE241"/>
      <c r="EEF241"/>
      <c r="EEG241"/>
      <c r="EEH241"/>
      <c r="EEI241"/>
      <c r="EEJ241"/>
      <c r="EEK241"/>
      <c r="EEL241"/>
      <c r="EEM241"/>
      <c r="EEN241"/>
      <c r="EEO241"/>
      <c r="EEP241"/>
      <c r="EEQ241"/>
      <c r="EER241"/>
      <c r="EES241"/>
      <c r="EET241"/>
      <c r="EEU241"/>
      <c r="EEV241"/>
      <c r="EEW241"/>
      <c r="EEX241"/>
      <c r="EEY241"/>
      <c r="EEZ241"/>
      <c r="EFA241"/>
      <c r="EFB241"/>
      <c r="EFC241"/>
      <c r="EFD241"/>
      <c r="EFE241"/>
      <c r="EFF241"/>
      <c r="EFG241"/>
      <c r="EFH241"/>
      <c r="EFI241"/>
      <c r="EFJ241"/>
      <c r="EFK241"/>
      <c r="EFL241"/>
      <c r="EFM241"/>
      <c r="EFN241"/>
      <c r="EFO241"/>
      <c r="EFP241"/>
      <c r="EFQ241"/>
      <c r="EFR241"/>
      <c r="EFS241"/>
      <c r="EFT241"/>
      <c r="EFU241"/>
      <c r="EFV241"/>
      <c r="EFW241"/>
      <c r="EFX241"/>
      <c r="EFY241"/>
      <c r="EFZ241"/>
      <c r="EGA241"/>
      <c r="EGB241"/>
      <c r="EGC241"/>
      <c r="EGD241"/>
      <c r="EGE241"/>
      <c r="EGF241"/>
      <c r="EGG241"/>
      <c r="EGH241"/>
      <c r="EGI241"/>
      <c r="EGJ241"/>
      <c r="EGK241"/>
      <c r="EGL241"/>
      <c r="EGM241"/>
      <c r="EGN241"/>
      <c r="EGO241"/>
      <c r="EGP241"/>
      <c r="EGQ241"/>
      <c r="EGR241"/>
      <c r="EGS241"/>
      <c r="EGT241"/>
      <c r="EGU241"/>
      <c r="EGV241"/>
      <c r="EGW241"/>
      <c r="EGX241"/>
      <c r="EGY241"/>
      <c r="EGZ241"/>
      <c r="EHA241"/>
      <c r="EHB241"/>
      <c r="EHC241"/>
      <c r="EHD241"/>
      <c r="EHE241"/>
      <c r="EHF241"/>
      <c r="EHG241"/>
      <c r="EHH241"/>
      <c r="EHI241"/>
      <c r="EHJ241"/>
      <c r="EHK241"/>
      <c r="EHL241"/>
      <c r="EHM241"/>
      <c r="EHN241"/>
      <c r="EHO241"/>
      <c r="EHP241"/>
      <c r="EHQ241"/>
      <c r="EHR241"/>
      <c r="EHS241"/>
      <c r="EHT241"/>
      <c r="EHU241"/>
      <c r="EHV241"/>
      <c r="EHW241"/>
      <c r="EHX241"/>
      <c r="EHY241"/>
      <c r="EHZ241"/>
      <c r="EIA241"/>
      <c r="EIB241"/>
      <c r="EIC241"/>
      <c r="EID241"/>
      <c r="EIE241"/>
      <c r="EIF241"/>
      <c r="EIG241"/>
      <c r="EIH241"/>
      <c r="EII241"/>
      <c r="EIJ241"/>
      <c r="EIK241"/>
      <c r="EIL241"/>
      <c r="EIM241"/>
      <c r="EIN241"/>
      <c r="EIO241"/>
      <c r="EIP241"/>
      <c r="EIQ241"/>
      <c r="EIR241"/>
      <c r="EIS241"/>
      <c r="EIT241"/>
      <c r="EIU241"/>
      <c r="EIV241"/>
      <c r="EIW241"/>
      <c r="EIX241"/>
      <c r="EIY241"/>
      <c r="EIZ241"/>
      <c r="EJA241"/>
      <c r="EJB241"/>
      <c r="EJC241"/>
      <c r="EJD241"/>
      <c r="EJE241"/>
      <c r="EJF241"/>
      <c r="EJG241"/>
      <c r="EJH241"/>
      <c r="EJI241"/>
      <c r="EJJ241"/>
      <c r="EJK241"/>
      <c r="EJL241"/>
      <c r="EJM241"/>
      <c r="EJN241"/>
      <c r="EJO241"/>
      <c r="EJP241"/>
      <c r="EJQ241"/>
      <c r="EJR241"/>
      <c r="EJS241"/>
      <c r="EJT241"/>
      <c r="EJU241"/>
      <c r="EJV241"/>
      <c r="EJW241"/>
      <c r="EJX241"/>
      <c r="EJY241"/>
      <c r="EJZ241"/>
      <c r="EKA241"/>
      <c r="EKB241"/>
      <c r="EKC241"/>
      <c r="EKD241"/>
      <c r="EKE241"/>
      <c r="EKF241"/>
      <c r="EKG241"/>
      <c r="EKH241"/>
      <c r="EKI241"/>
      <c r="EKJ241"/>
      <c r="EKK241"/>
      <c r="EKL241"/>
      <c r="EKM241"/>
      <c r="EKN241"/>
      <c r="EKO241"/>
      <c r="EKP241"/>
      <c r="EKQ241"/>
      <c r="EKR241"/>
      <c r="EKS241"/>
      <c r="EKT241"/>
      <c r="EKU241"/>
      <c r="EKV241"/>
      <c r="EKW241"/>
      <c r="EKX241"/>
      <c r="EKY241"/>
      <c r="EKZ241"/>
      <c r="ELA241"/>
      <c r="ELB241"/>
      <c r="ELC241"/>
      <c r="ELD241"/>
      <c r="ELE241"/>
      <c r="ELF241"/>
      <c r="ELG241"/>
      <c r="ELH241"/>
      <c r="ELI241"/>
      <c r="ELJ241"/>
      <c r="ELK241"/>
      <c r="ELL241"/>
      <c r="ELM241"/>
      <c r="ELN241"/>
      <c r="ELO241"/>
      <c r="ELP241"/>
      <c r="ELQ241"/>
      <c r="ELR241"/>
      <c r="ELS241"/>
      <c r="ELT241"/>
      <c r="ELU241"/>
      <c r="ELV241"/>
      <c r="ELW241"/>
      <c r="ELX241"/>
      <c r="ELY241"/>
      <c r="ELZ241"/>
      <c r="EMA241"/>
      <c r="EMB241"/>
      <c r="EMC241"/>
      <c r="EMD241"/>
      <c r="EME241"/>
      <c r="EMF241"/>
      <c r="EMG241"/>
      <c r="EMH241"/>
      <c r="EMI241"/>
      <c r="EMJ241"/>
      <c r="EMK241"/>
      <c r="EML241"/>
      <c r="EMM241"/>
      <c r="EMN241"/>
      <c r="EMO241"/>
      <c r="EMP241"/>
      <c r="EMQ241"/>
      <c r="EMR241"/>
      <c r="EMS241"/>
      <c r="EMT241"/>
      <c r="EMU241"/>
      <c r="EMV241"/>
      <c r="EMW241"/>
      <c r="EMX241"/>
      <c r="EMY241"/>
      <c r="EMZ241"/>
      <c r="ENA241"/>
      <c r="ENB241"/>
      <c r="ENC241"/>
      <c r="END241"/>
      <c r="ENE241"/>
      <c r="ENF241"/>
      <c r="ENG241"/>
      <c r="ENH241"/>
      <c r="ENI241"/>
      <c r="ENJ241"/>
      <c r="ENK241"/>
      <c r="ENL241"/>
      <c r="ENM241"/>
      <c r="ENN241"/>
      <c r="ENO241"/>
      <c r="ENP241"/>
      <c r="ENQ241"/>
      <c r="ENR241"/>
      <c r="ENS241"/>
      <c r="ENT241"/>
      <c r="ENU241"/>
      <c r="ENV241"/>
      <c r="ENW241"/>
      <c r="ENX241"/>
      <c r="ENY241"/>
      <c r="ENZ241"/>
      <c r="EOA241"/>
      <c r="EOB241"/>
      <c r="EOC241"/>
      <c r="EOD241"/>
      <c r="EOE241"/>
      <c r="EOF241"/>
      <c r="EOG241"/>
      <c r="EOH241"/>
      <c r="EOI241"/>
      <c r="EOJ241"/>
      <c r="EOK241"/>
      <c r="EOL241"/>
      <c r="EOM241"/>
      <c r="EON241"/>
      <c r="EOO241"/>
      <c r="EOP241"/>
      <c r="EOQ241"/>
      <c r="EOR241"/>
      <c r="EOS241"/>
      <c r="EOT241"/>
      <c r="EOU241"/>
      <c r="EOV241"/>
      <c r="EOW241"/>
      <c r="EOX241"/>
      <c r="EOY241"/>
      <c r="EOZ241"/>
      <c r="EPA241"/>
      <c r="EPB241"/>
      <c r="EPC241"/>
      <c r="EPD241"/>
      <c r="EPE241"/>
      <c r="EPF241"/>
      <c r="EPG241"/>
      <c r="EPH241"/>
      <c r="EPI241"/>
      <c r="EPJ241"/>
      <c r="EPK241"/>
      <c r="EPL241"/>
      <c r="EPM241"/>
      <c r="EPN241"/>
      <c r="EPO241"/>
      <c r="EPP241"/>
      <c r="EPQ241"/>
      <c r="EPR241"/>
      <c r="EPS241"/>
      <c r="EPT241"/>
      <c r="EPU241"/>
      <c r="EPV241"/>
      <c r="EPW241"/>
      <c r="EPX241"/>
      <c r="EPY241"/>
      <c r="EPZ241"/>
      <c r="EQA241"/>
      <c r="EQB241"/>
      <c r="EQC241"/>
      <c r="EQD241"/>
      <c r="EQE241"/>
      <c r="EQF241"/>
      <c r="EQG241"/>
      <c r="EQH241"/>
      <c r="EQI241"/>
      <c r="EQJ241"/>
      <c r="EQK241"/>
      <c r="EQL241"/>
      <c r="EQM241"/>
      <c r="EQN241"/>
      <c r="EQO241"/>
      <c r="EQP241"/>
      <c r="EQQ241"/>
      <c r="EQR241"/>
      <c r="EQS241"/>
      <c r="EQT241"/>
      <c r="EQU241"/>
      <c r="EQV241"/>
      <c r="EQW241"/>
      <c r="EQX241"/>
      <c r="EQY241"/>
      <c r="EQZ241"/>
      <c r="ERA241"/>
      <c r="ERB241"/>
      <c r="ERC241"/>
      <c r="ERD241"/>
      <c r="ERE241"/>
      <c r="ERF241"/>
      <c r="ERG241"/>
      <c r="ERH241"/>
      <c r="ERI241"/>
      <c r="ERJ241"/>
      <c r="ERK241"/>
      <c r="ERL241"/>
      <c r="ERM241"/>
      <c r="ERN241"/>
      <c r="ERO241"/>
      <c r="ERP241"/>
      <c r="ERQ241"/>
      <c r="ERR241"/>
      <c r="ERS241"/>
      <c r="ERT241"/>
      <c r="ERU241"/>
      <c r="ERV241"/>
      <c r="ERW241"/>
      <c r="ERX241"/>
      <c r="ERY241"/>
      <c r="ERZ241"/>
      <c r="ESA241"/>
      <c r="ESB241"/>
      <c r="ESC241"/>
      <c r="ESD241"/>
      <c r="ESE241"/>
      <c r="ESF241"/>
      <c r="ESG241"/>
      <c r="ESH241"/>
      <c r="ESI241"/>
      <c r="ESJ241"/>
      <c r="ESK241"/>
      <c r="ESL241"/>
      <c r="ESM241"/>
      <c r="ESN241"/>
      <c r="ESO241"/>
      <c r="ESP241"/>
      <c r="ESQ241"/>
      <c r="ESR241"/>
      <c r="ESS241"/>
      <c r="EST241"/>
      <c r="ESU241"/>
      <c r="ESV241"/>
      <c r="ESW241"/>
      <c r="ESX241"/>
      <c r="ESY241"/>
      <c r="ESZ241"/>
      <c r="ETA241"/>
      <c r="ETB241"/>
      <c r="ETC241"/>
      <c r="ETD241"/>
      <c r="ETE241"/>
      <c r="ETF241"/>
      <c r="ETG241"/>
      <c r="ETH241"/>
      <c r="ETI241"/>
      <c r="ETJ241"/>
      <c r="ETK241"/>
      <c r="ETL241"/>
      <c r="ETM241"/>
      <c r="ETN241"/>
      <c r="ETO241"/>
      <c r="ETP241"/>
      <c r="ETQ241"/>
      <c r="ETR241"/>
      <c r="ETS241"/>
      <c r="ETT241"/>
      <c r="ETU241"/>
      <c r="ETV241"/>
      <c r="ETW241"/>
      <c r="ETX241"/>
      <c r="ETY241"/>
      <c r="ETZ241"/>
      <c r="EUA241"/>
      <c r="EUB241"/>
      <c r="EUC241"/>
      <c r="EUD241"/>
      <c r="EUE241"/>
      <c r="EUF241"/>
      <c r="EUG241"/>
      <c r="EUH241"/>
      <c r="EUI241"/>
      <c r="EUJ241"/>
      <c r="EUK241"/>
      <c r="EUL241"/>
      <c r="EUM241"/>
      <c r="EUN241"/>
      <c r="EUO241"/>
      <c r="EUP241"/>
      <c r="EUQ241"/>
      <c r="EUR241"/>
      <c r="EUS241"/>
      <c r="EUT241"/>
      <c r="EUU241"/>
      <c r="EUV241"/>
      <c r="EUW241"/>
      <c r="EUX241"/>
      <c r="EUY241"/>
      <c r="EUZ241"/>
      <c r="EVA241"/>
      <c r="EVB241"/>
      <c r="EVC241"/>
      <c r="EVD241"/>
      <c r="EVE241"/>
      <c r="EVF241"/>
      <c r="EVG241"/>
      <c r="EVH241"/>
      <c r="EVI241"/>
      <c r="EVJ241"/>
      <c r="EVK241"/>
      <c r="EVL241"/>
      <c r="EVM241"/>
      <c r="EVN241"/>
      <c r="EVO241"/>
      <c r="EVP241"/>
      <c r="EVQ241"/>
      <c r="EVR241"/>
      <c r="EVS241"/>
      <c r="EVT241"/>
      <c r="EVU241"/>
      <c r="EVV241"/>
      <c r="EVW241"/>
      <c r="EVX241"/>
      <c r="EVY241"/>
      <c r="EVZ241"/>
      <c r="EWA241"/>
      <c r="EWB241"/>
      <c r="EWC241"/>
      <c r="EWD241"/>
      <c r="EWE241"/>
      <c r="EWF241"/>
      <c r="EWG241"/>
      <c r="EWH241"/>
      <c r="EWI241"/>
      <c r="EWJ241"/>
      <c r="EWK241"/>
      <c r="EWL241"/>
      <c r="EWM241"/>
      <c r="EWN241"/>
      <c r="EWO241"/>
      <c r="EWP241"/>
      <c r="EWQ241"/>
      <c r="EWR241"/>
      <c r="EWS241"/>
      <c r="EWT241"/>
      <c r="EWU241"/>
      <c r="EWV241"/>
      <c r="EWW241"/>
      <c r="EWX241"/>
      <c r="EWY241"/>
      <c r="EWZ241"/>
      <c r="EXA241"/>
      <c r="EXB241"/>
      <c r="EXC241"/>
      <c r="EXD241"/>
      <c r="EXE241"/>
      <c r="EXF241"/>
      <c r="EXG241"/>
      <c r="EXH241"/>
      <c r="EXI241"/>
      <c r="EXJ241"/>
      <c r="EXK241"/>
      <c r="EXL241"/>
      <c r="EXM241"/>
      <c r="EXN241"/>
      <c r="EXO241"/>
      <c r="EXP241"/>
      <c r="EXQ241"/>
      <c r="EXR241"/>
      <c r="EXS241"/>
      <c r="EXT241"/>
      <c r="EXU241"/>
      <c r="EXV241"/>
      <c r="EXW241"/>
      <c r="EXX241"/>
      <c r="EXY241"/>
      <c r="EXZ241"/>
      <c r="EYA241"/>
      <c r="EYB241"/>
      <c r="EYC241"/>
      <c r="EYD241"/>
      <c r="EYE241"/>
      <c r="EYF241"/>
      <c r="EYG241"/>
      <c r="EYH241"/>
      <c r="EYI241"/>
      <c r="EYJ241"/>
      <c r="EYK241"/>
      <c r="EYL241"/>
      <c r="EYM241"/>
      <c r="EYN241"/>
      <c r="EYO241"/>
      <c r="EYP241"/>
      <c r="EYQ241"/>
      <c r="EYR241"/>
      <c r="EYS241"/>
      <c r="EYT241"/>
      <c r="EYU241"/>
      <c r="EYV241"/>
      <c r="EYW241"/>
      <c r="EYX241"/>
      <c r="EYY241"/>
      <c r="EYZ241"/>
      <c r="EZA241"/>
      <c r="EZB241"/>
      <c r="EZC241"/>
      <c r="EZD241"/>
      <c r="EZE241"/>
      <c r="EZF241"/>
      <c r="EZG241"/>
      <c r="EZH241"/>
      <c r="EZI241"/>
      <c r="EZJ241"/>
      <c r="EZK241"/>
      <c r="EZL241"/>
      <c r="EZM241"/>
      <c r="EZN241"/>
      <c r="EZO241"/>
      <c r="EZP241"/>
      <c r="EZQ241"/>
      <c r="EZR241"/>
      <c r="EZS241"/>
      <c r="EZT241"/>
      <c r="EZU241"/>
      <c r="EZV241"/>
      <c r="EZW241"/>
      <c r="EZX241"/>
      <c r="EZY241"/>
      <c r="EZZ241"/>
      <c r="FAA241"/>
      <c r="FAB241"/>
      <c r="FAC241"/>
      <c r="FAD241"/>
      <c r="FAE241"/>
      <c r="FAF241"/>
      <c r="FAG241"/>
      <c r="FAH241"/>
      <c r="FAI241"/>
      <c r="FAJ241"/>
      <c r="FAK241"/>
      <c r="FAL241"/>
      <c r="FAM241"/>
      <c r="FAN241"/>
      <c r="FAO241"/>
      <c r="FAP241"/>
      <c r="FAQ241"/>
      <c r="FAR241"/>
      <c r="FAS241"/>
      <c r="FAT241"/>
      <c r="FAU241"/>
      <c r="FAV241"/>
      <c r="FAW241"/>
      <c r="FAX241"/>
      <c r="FAY241"/>
      <c r="FAZ241"/>
      <c r="FBA241"/>
      <c r="FBB241"/>
      <c r="FBC241"/>
      <c r="FBD241"/>
      <c r="FBE241"/>
      <c r="FBF241"/>
      <c r="FBG241"/>
      <c r="FBH241"/>
      <c r="FBI241"/>
      <c r="FBJ241"/>
      <c r="FBK241"/>
      <c r="FBL241"/>
      <c r="FBM241"/>
      <c r="FBN241"/>
      <c r="FBO241"/>
      <c r="FBP241"/>
      <c r="FBQ241"/>
      <c r="FBR241"/>
      <c r="FBS241"/>
      <c r="FBT241"/>
      <c r="FBU241"/>
      <c r="FBV241"/>
      <c r="FBW241"/>
      <c r="FBX241"/>
      <c r="FBY241"/>
      <c r="FBZ241"/>
      <c r="FCA241"/>
      <c r="FCB241"/>
      <c r="FCC241"/>
      <c r="FCD241"/>
      <c r="FCE241"/>
      <c r="FCF241"/>
      <c r="FCG241"/>
      <c r="FCH241"/>
      <c r="FCI241"/>
      <c r="FCJ241"/>
      <c r="FCK241"/>
      <c r="FCL241"/>
      <c r="FCM241"/>
      <c r="FCN241"/>
      <c r="FCO241"/>
      <c r="FCP241"/>
      <c r="FCQ241"/>
      <c r="FCR241"/>
      <c r="FCS241"/>
      <c r="FCT241"/>
      <c r="FCU241"/>
      <c r="FCV241"/>
      <c r="FCW241"/>
      <c r="FCX241"/>
      <c r="FCY241"/>
      <c r="FCZ241"/>
      <c r="FDA241"/>
      <c r="FDB241"/>
      <c r="FDC241"/>
      <c r="FDD241"/>
      <c r="FDE241"/>
      <c r="FDF241"/>
      <c r="FDG241"/>
      <c r="FDH241"/>
      <c r="FDI241"/>
      <c r="FDJ241"/>
      <c r="FDK241"/>
      <c r="FDL241"/>
      <c r="FDM241"/>
      <c r="FDN241"/>
      <c r="FDO241"/>
      <c r="FDP241"/>
      <c r="FDQ241"/>
      <c r="FDR241"/>
      <c r="FDS241"/>
      <c r="FDT241"/>
      <c r="FDU241"/>
      <c r="FDV241"/>
      <c r="FDW241"/>
      <c r="FDX241"/>
      <c r="FDY241"/>
      <c r="FDZ241"/>
      <c r="FEA241"/>
      <c r="FEB241"/>
      <c r="FEC241"/>
      <c r="FED241"/>
      <c r="FEE241"/>
      <c r="FEF241"/>
      <c r="FEG241"/>
      <c r="FEH241"/>
      <c r="FEI241"/>
      <c r="FEJ241"/>
      <c r="FEK241"/>
      <c r="FEL241"/>
      <c r="FEM241"/>
      <c r="FEN241"/>
      <c r="FEO241"/>
      <c r="FEP241"/>
      <c r="FEQ241"/>
      <c r="FER241"/>
      <c r="FES241"/>
      <c r="FET241"/>
      <c r="FEU241"/>
      <c r="FEV241"/>
      <c r="FEW241"/>
      <c r="FEX241"/>
      <c r="FEY241"/>
      <c r="FEZ241"/>
      <c r="FFA241"/>
      <c r="FFB241"/>
      <c r="FFC241"/>
      <c r="FFD241"/>
      <c r="FFE241"/>
      <c r="FFF241"/>
      <c r="FFG241"/>
      <c r="FFH241"/>
      <c r="FFI241"/>
      <c r="FFJ241"/>
      <c r="FFK241"/>
      <c r="FFL241"/>
      <c r="FFM241"/>
      <c r="FFN241"/>
      <c r="FFO241"/>
      <c r="FFP241"/>
      <c r="FFQ241"/>
      <c r="FFR241"/>
      <c r="FFS241"/>
      <c r="FFT241"/>
      <c r="FFU241"/>
      <c r="FFV241"/>
      <c r="FFW241"/>
      <c r="FFX241"/>
      <c r="FFY241"/>
      <c r="FFZ241"/>
      <c r="FGA241"/>
      <c r="FGB241"/>
      <c r="FGC241"/>
      <c r="FGD241"/>
      <c r="FGE241"/>
      <c r="FGF241"/>
      <c r="FGG241"/>
      <c r="FGH241"/>
      <c r="FGI241"/>
      <c r="FGJ241"/>
      <c r="FGK241"/>
      <c r="FGL241"/>
      <c r="FGM241"/>
      <c r="FGN241"/>
      <c r="FGO241"/>
      <c r="FGP241"/>
      <c r="FGQ241"/>
      <c r="FGR241"/>
      <c r="FGS241"/>
      <c r="FGT241"/>
      <c r="FGU241"/>
      <c r="FGV241"/>
      <c r="FGW241"/>
      <c r="FGX241"/>
      <c r="FGY241"/>
      <c r="FGZ241"/>
      <c r="FHA241"/>
      <c r="FHB241"/>
      <c r="FHC241"/>
      <c r="FHD241"/>
      <c r="FHE241"/>
      <c r="FHF241"/>
      <c r="FHG241"/>
      <c r="FHH241"/>
      <c r="FHI241"/>
      <c r="FHJ241"/>
      <c r="FHK241"/>
      <c r="FHL241"/>
      <c r="FHM241"/>
      <c r="FHN241"/>
      <c r="FHO241"/>
      <c r="FHP241"/>
      <c r="FHQ241"/>
      <c r="FHR241"/>
      <c r="FHS241"/>
      <c r="FHT241"/>
      <c r="FHU241"/>
      <c r="FHV241"/>
      <c r="FHW241"/>
      <c r="FHX241"/>
      <c r="FHY241"/>
      <c r="FHZ241"/>
      <c r="FIA241"/>
      <c r="FIB241"/>
      <c r="FIC241"/>
      <c r="FID241"/>
      <c r="FIE241"/>
      <c r="FIF241"/>
      <c r="FIG241"/>
      <c r="FIH241"/>
      <c r="FII241"/>
      <c r="FIJ241"/>
      <c r="FIK241"/>
      <c r="FIL241"/>
      <c r="FIM241"/>
      <c r="FIN241"/>
      <c r="FIO241"/>
      <c r="FIP241"/>
      <c r="FIQ241"/>
      <c r="FIR241"/>
      <c r="FIS241"/>
      <c r="FIT241"/>
      <c r="FIU241"/>
      <c r="FIV241"/>
      <c r="FIW241"/>
      <c r="FIX241"/>
      <c r="FIY241"/>
      <c r="FIZ241"/>
      <c r="FJA241"/>
      <c r="FJB241"/>
      <c r="FJC241"/>
      <c r="FJD241"/>
      <c r="FJE241"/>
      <c r="FJF241"/>
      <c r="FJG241"/>
      <c r="FJH241"/>
      <c r="FJI241"/>
      <c r="FJJ241"/>
      <c r="FJK241"/>
      <c r="FJL241"/>
      <c r="FJM241"/>
      <c r="FJN241"/>
      <c r="FJO241"/>
      <c r="FJP241"/>
      <c r="FJQ241"/>
      <c r="FJR241"/>
      <c r="FJS241"/>
      <c r="FJT241"/>
      <c r="FJU241"/>
      <c r="FJV241"/>
      <c r="FJW241"/>
      <c r="FJX241"/>
      <c r="FJY241"/>
      <c r="FJZ241"/>
      <c r="FKA241"/>
      <c r="FKB241"/>
      <c r="FKC241"/>
      <c r="FKD241"/>
      <c r="FKE241"/>
      <c r="FKF241"/>
      <c r="FKG241"/>
      <c r="FKH241"/>
      <c r="FKI241"/>
      <c r="FKJ241"/>
      <c r="FKK241"/>
      <c r="FKL241"/>
      <c r="FKM241"/>
      <c r="FKN241"/>
      <c r="FKO241"/>
      <c r="FKP241"/>
      <c r="FKQ241"/>
      <c r="FKR241"/>
      <c r="FKS241"/>
      <c r="FKT241"/>
      <c r="FKU241"/>
      <c r="FKV241"/>
      <c r="FKW241"/>
      <c r="FKX241"/>
      <c r="FKY241"/>
      <c r="FKZ241"/>
      <c r="FLA241"/>
      <c r="FLB241"/>
      <c r="FLC241"/>
      <c r="FLD241"/>
      <c r="FLE241"/>
      <c r="FLF241"/>
      <c r="FLG241"/>
      <c r="FLH241"/>
      <c r="FLI241"/>
      <c r="FLJ241"/>
      <c r="FLK241"/>
      <c r="FLL241"/>
      <c r="FLM241"/>
      <c r="FLN241"/>
      <c r="FLO241"/>
      <c r="FLP241"/>
      <c r="FLQ241"/>
      <c r="FLR241"/>
      <c r="FLS241"/>
      <c r="FLT241"/>
      <c r="FLU241"/>
      <c r="FLV241"/>
      <c r="FLW241"/>
      <c r="FLX241"/>
      <c r="FLY241"/>
      <c r="FLZ241"/>
      <c r="FMA241"/>
      <c r="FMB241"/>
      <c r="FMC241"/>
      <c r="FMD241"/>
      <c r="FME241"/>
      <c r="FMF241"/>
      <c r="FMG241"/>
      <c r="FMH241"/>
      <c r="FMI241"/>
      <c r="FMJ241"/>
      <c r="FMK241"/>
      <c r="FML241"/>
      <c r="FMM241"/>
      <c r="FMN241"/>
      <c r="FMO241"/>
      <c r="FMP241"/>
      <c r="FMQ241"/>
      <c r="FMR241"/>
      <c r="FMS241"/>
      <c r="FMT241"/>
      <c r="FMU241"/>
      <c r="FMV241"/>
      <c r="FMW241"/>
      <c r="FMX241"/>
      <c r="FMY241"/>
      <c r="FMZ241"/>
      <c r="FNA241"/>
      <c r="FNB241"/>
      <c r="FNC241"/>
      <c r="FND241"/>
      <c r="FNE241"/>
      <c r="FNF241"/>
      <c r="FNG241"/>
      <c r="FNH241"/>
      <c r="FNI241"/>
      <c r="FNJ241"/>
      <c r="FNK241"/>
      <c r="FNL241"/>
      <c r="FNM241"/>
      <c r="FNN241"/>
      <c r="FNO241"/>
      <c r="FNP241"/>
      <c r="FNQ241"/>
      <c r="FNR241"/>
      <c r="FNS241"/>
      <c r="FNT241"/>
      <c r="FNU241"/>
      <c r="FNV241"/>
      <c r="FNW241"/>
      <c r="FNX241"/>
      <c r="FNY241"/>
      <c r="FNZ241"/>
      <c r="FOA241"/>
      <c r="FOB241"/>
      <c r="FOC241"/>
      <c r="FOD241"/>
      <c r="FOE241"/>
      <c r="FOF241"/>
      <c r="FOG241"/>
      <c r="FOH241"/>
      <c r="FOI241"/>
      <c r="FOJ241"/>
      <c r="FOK241"/>
      <c r="FOL241"/>
      <c r="FOM241"/>
      <c r="FON241"/>
      <c r="FOO241"/>
      <c r="FOP241"/>
      <c r="FOQ241"/>
      <c r="FOR241"/>
      <c r="FOS241"/>
      <c r="FOT241"/>
      <c r="FOU241"/>
      <c r="FOV241"/>
      <c r="FOW241"/>
      <c r="FOX241"/>
      <c r="FOY241"/>
      <c r="FOZ241"/>
      <c r="FPA241"/>
      <c r="FPB241"/>
      <c r="FPC241"/>
      <c r="FPD241"/>
      <c r="FPE241"/>
      <c r="FPF241"/>
      <c r="FPG241"/>
      <c r="FPH241"/>
      <c r="FPI241"/>
      <c r="FPJ241"/>
      <c r="FPK241"/>
      <c r="FPL241"/>
      <c r="FPM241"/>
      <c r="FPN241"/>
      <c r="FPO241"/>
      <c r="FPP241"/>
      <c r="FPQ241"/>
      <c r="FPR241"/>
      <c r="FPS241"/>
      <c r="FPT241"/>
      <c r="FPU241"/>
      <c r="FPV241"/>
      <c r="FPW241"/>
      <c r="FPX241"/>
      <c r="FPY241"/>
      <c r="FPZ241"/>
      <c r="FQA241"/>
      <c r="FQB241"/>
      <c r="FQC241"/>
      <c r="FQD241"/>
      <c r="FQE241"/>
      <c r="FQF241"/>
      <c r="FQG241"/>
      <c r="FQH241"/>
      <c r="FQI241"/>
      <c r="FQJ241"/>
      <c r="FQK241"/>
      <c r="FQL241"/>
      <c r="FQM241"/>
      <c r="FQN241"/>
      <c r="FQO241"/>
      <c r="FQP241"/>
      <c r="FQQ241"/>
      <c r="FQR241"/>
      <c r="FQS241"/>
      <c r="FQT241"/>
      <c r="FQU241"/>
      <c r="FQV241"/>
      <c r="FQW241"/>
      <c r="FQX241"/>
      <c r="FQY241"/>
      <c r="FQZ241"/>
      <c r="FRA241"/>
      <c r="FRB241"/>
      <c r="FRC241"/>
      <c r="FRD241"/>
      <c r="FRE241"/>
      <c r="FRF241"/>
      <c r="FRG241"/>
      <c r="FRH241"/>
      <c r="FRI241"/>
      <c r="FRJ241"/>
      <c r="FRK241"/>
      <c r="FRL241"/>
      <c r="FRM241"/>
      <c r="FRN241"/>
      <c r="FRO241"/>
      <c r="FRP241"/>
      <c r="FRQ241"/>
      <c r="FRR241"/>
      <c r="FRS241"/>
      <c r="FRT241"/>
      <c r="FRU241"/>
      <c r="FRV241"/>
      <c r="FRW241"/>
      <c r="FRX241"/>
      <c r="FRY241"/>
      <c r="FRZ241"/>
      <c r="FSA241"/>
      <c r="FSB241"/>
      <c r="FSC241"/>
      <c r="FSD241"/>
      <c r="FSE241"/>
      <c r="FSF241"/>
      <c r="FSG241"/>
      <c r="FSH241"/>
      <c r="FSI241"/>
      <c r="FSJ241"/>
      <c r="FSK241"/>
      <c r="FSL241"/>
      <c r="FSM241"/>
      <c r="FSN241"/>
      <c r="FSO241"/>
      <c r="FSP241"/>
      <c r="FSQ241"/>
      <c r="FSR241"/>
      <c r="FSS241"/>
      <c r="FST241"/>
      <c r="FSU241"/>
      <c r="FSV241"/>
      <c r="FSW241"/>
      <c r="FSX241"/>
      <c r="FSY241"/>
      <c r="FSZ241"/>
      <c r="FTA241"/>
      <c r="FTB241"/>
      <c r="FTC241"/>
      <c r="FTD241"/>
      <c r="FTE241"/>
      <c r="FTF241"/>
      <c r="FTG241"/>
      <c r="FTH241"/>
      <c r="FTI241"/>
      <c r="FTJ241"/>
      <c r="FTK241"/>
      <c r="FTL241"/>
      <c r="FTM241"/>
      <c r="FTN241"/>
      <c r="FTO241"/>
      <c r="FTP241"/>
      <c r="FTQ241"/>
      <c r="FTR241"/>
      <c r="FTS241"/>
      <c r="FTT241"/>
      <c r="FTU241"/>
      <c r="FTV241"/>
      <c r="FTW241"/>
      <c r="FTX241"/>
      <c r="FTY241"/>
      <c r="FTZ241"/>
      <c r="FUA241"/>
      <c r="FUB241"/>
      <c r="FUC241"/>
      <c r="FUD241"/>
      <c r="FUE241"/>
      <c r="FUF241"/>
      <c r="FUG241"/>
      <c r="FUH241"/>
      <c r="FUI241"/>
      <c r="FUJ241"/>
      <c r="FUK241"/>
      <c r="FUL241"/>
      <c r="FUM241"/>
      <c r="FUN241"/>
      <c r="FUO241"/>
      <c r="FUP241"/>
      <c r="FUQ241"/>
      <c r="FUR241"/>
      <c r="FUS241"/>
      <c r="FUT241"/>
      <c r="FUU241"/>
      <c r="FUV241"/>
      <c r="FUW241"/>
      <c r="FUX241"/>
      <c r="FUY241"/>
      <c r="FUZ241"/>
      <c r="FVA241"/>
      <c r="FVB241"/>
      <c r="FVC241"/>
      <c r="FVD241"/>
      <c r="FVE241"/>
      <c r="FVF241"/>
      <c r="FVG241"/>
      <c r="FVH241"/>
      <c r="FVI241"/>
      <c r="FVJ241"/>
      <c r="FVK241"/>
      <c r="FVL241"/>
      <c r="FVM241"/>
      <c r="FVN241"/>
      <c r="FVO241"/>
      <c r="FVP241"/>
      <c r="FVQ241"/>
      <c r="FVR241"/>
      <c r="FVS241"/>
      <c r="FVT241"/>
      <c r="FVU241"/>
      <c r="FVV241"/>
      <c r="FVW241"/>
      <c r="FVX241"/>
      <c r="FVY241"/>
      <c r="FVZ241"/>
      <c r="FWA241"/>
      <c r="FWB241"/>
      <c r="FWC241"/>
      <c r="FWD241"/>
      <c r="FWE241"/>
      <c r="FWF241"/>
      <c r="FWG241"/>
      <c r="FWH241"/>
      <c r="FWI241"/>
      <c r="FWJ241"/>
      <c r="FWK241"/>
      <c r="FWL241"/>
      <c r="FWM241"/>
      <c r="FWN241"/>
      <c r="FWO241"/>
      <c r="FWP241"/>
      <c r="FWQ241"/>
      <c r="FWR241"/>
      <c r="FWS241"/>
      <c r="FWT241"/>
      <c r="FWU241"/>
      <c r="FWV241"/>
      <c r="FWW241"/>
      <c r="FWX241"/>
      <c r="FWY241"/>
      <c r="FWZ241"/>
      <c r="FXA241"/>
      <c r="FXB241"/>
      <c r="FXC241"/>
      <c r="FXD241"/>
      <c r="FXE241"/>
      <c r="FXF241"/>
      <c r="FXG241"/>
      <c r="FXH241"/>
      <c r="FXI241"/>
      <c r="FXJ241"/>
      <c r="FXK241"/>
      <c r="FXL241"/>
      <c r="FXM241"/>
      <c r="FXN241"/>
      <c r="FXO241"/>
      <c r="FXP241"/>
      <c r="FXQ241"/>
      <c r="FXR241"/>
      <c r="FXS241"/>
      <c r="FXT241"/>
      <c r="FXU241"/>
      <c r="FXV241"/>
      <c r="FXW241"/>
      <c r="FXX241"/>
      <c r="FXY241"/>
      <c r="FXZ241"/>
      <c r="FYA241"/>
      <c r="FYB241"/>
      <c r="FYC241"/>
      <c r="FYD241"/>
      <c r="FYE241"/>
      <c r="FYF241"/>
      <c r="FYG241"/>
      <c r="FYH241"/>
      <c r="FYI241"/>
      <c r="FYJ241"/>
      <c r="FYK241"/>
      <c r="FYL241"/>
      <c r="FYM241"/>
      <c r="FYN241"/>
      <c r="FYO241"/>
      <c r="FYP241"/>
      <c r="FYQ241"/>
      <c r="FYR241"/>
      <c r="FYS241"/>
      <c r="FYT241"/>
      <c r="FYU241"/>
      <c r="FYV241"/>
      <c r="FYW241"/>
      <c r="FYX241"/>
      <c r="FYY241"/>
      <c r="FYZ241"/>
      <c r="FZA241"/>
      <c r="FZB241"/>
      <c r="FZC241"/>
      <c r="FZD241"/>
      <c r="FZE241"/>
      <c r="FZF241"/>
      <c r="FZG241"/>
      <c r="FZH241"/>
      <c r="FZI241"/>
      <c r="FZJ241"/>
      <c r="FZK241"/>
      <c r="FZL241"/>
      <c r="FZM241"/>
      <c r="FZN241"/>
      <c r="FZO241"/>
      <c r="FZP241"/>
      <c r="FZQ241"/>
      <c r="FZR241"/>
      <c r="FZS241"/>
      <c r="FZT241"/>
      <c r="FZU241"/>
      <c r="FZV241"/>
      <c r="FZW241"/>
      <c r="FZX241"/>
      <c r="FZY241"/>
      <c r="FZZ241"/>
      <c r="GAA241"/>
      <c r="GAB241"/>
      <c r="GAC241"/>
      <c r="GAD241"/>
      <c r="GAE241"/>
      <c r="GAF241"/>
      <c r="GAG241"/>
      <c r="GAH241"/>
      <c r="GAI241"/>
      <c r="GAJ241"/>
      <c r="GAK241"/>
      <c r="GAL241"/>
      <c r="GAM241"/>
      <c r="GAN241"/>
      <c r="GAO241"/>
      <c r="GAP241"/>
      <c r="GAQ241"/>
      <c r="GAR241"/>
      <c r="GAS241"/>
      <c r="GAT241"/>
      <c r="GAU241"/>
      <c r="GAV241"/>
      <c r="GAW241"/>
      <c r="GAX241"/>
      <c r="GAY241"/>
      <c r="GAZ241"/>
      <c r="GBA241"/>
      <c r="GBB241"/>
      <c r="GBC241"/>
      <c r="GBD241"/>
      <c r="GBE241"/>
      <c r="GBF241"/>
      <c r="GBG241"/>
      <c r="GBH241"/>
      <c r="GBI241"/>
      <c r="GBJ241"/>
      <c r="GBK241"/>
      <c r="GBL241"/>
      <c r="GBM241"/>
      <c r="GBN241"/>
      <c r="GBO241"/>
      <c r="GBP241"/>
      <c r="GBQ241"/>
      <c r="GBR241"/>
      <c r="GBS241"/>
      <c r="GBT241"/>
      <c r="GBU241"/>
      <c r="GBV241"/>
      <c r="GBW241"/>
      <c r="GBX241"/>
      <c r="GBY241"/>
      <c r="GBZ241"/>
      <c r="GCA241"/>
      <c r="GCB241"/>
      <c r="GCC241"/>
      <c r="GCD241"/>
      <c r="GCE241"/>
      <c r="GCF241"/>
      <c r="GCG241"/>
      <c r="GCH241"/>
      <c r="GCI241"/>
      <c r="GCJ241"/>
      <c r="GCK241"/>
      <c r="GCL241"/>
      <c r="GCM241"/>
      <c r="GCN241"/>
      <c r="GCO241"/>
      <c r="GCP241"/>
      <c r="GCQ241"/>
      <c r="GCR241"/>
      <c r="GCS241"/>
      <c r="GCT241"/>
      <c r="GCU241"/>
      <c r="GCV241"/>
      <c r="GCW241"/>
      <c r="GCX241"/>
      <c r="GCY241"/>
      <c r="GCZ241"/>
      <c r="GDA241"/>
      <c r="GDB241"/>
      <c r="GDC241"/>
      <c r="GDD241"/>
      <c r="GDE241"/>
      <c r="GDF241"/>
      <c r="GDG241"/>
      <c r="GDH241"/>
      <c r="GDI241"/>
      <c r="GDJ241"/>
      <c r="GDK241"/>
      <c r="GDL241"/>
      <c r="GDM241"/>
      <c r="GDN241"/>
      <c r="GDO241"/>
      <c r="GDP241"/>
      <c r="GDQ241"/>
      <c r="GDR241"/>
      <c r="GDS241"/>
      <c r="GDT241"/>
      <c r="GDU241"/>
      <c r="GDV241"/>
      <c r="GDW241"/>
      <c r="GDX241"/>
      <c r="GDY241"/>
      <c r="GDZ241"/>
      <c r="GEA241"/>
      <c r="GEB241"/>
      <c r="GEC241"/>
      <c r="GED241"/>
      <c r="GEE241"/>
      <c r="GEF241"/>
      <c r="GEG241"/>
      <c r="GEH241"/>
      <c r="GEI241"/>
      <c r="GEJ241"/>
      <c r="GEK241"/>
      <c r="GEL241"/>
      <c r="GEM241"/>
      <c r="GEN241"/>
      <c r="GEO241"/>
      <c r="GEP241"/>
      <c r="GEQ241"/>
      <c r="GER241"/>
      <c r="GES241"/>
      <c r="GET241"/>
      <c r="GEU241"/>
      <c r="GEV241"/>
      <c r="GEW241"/>
      <c r="GEX241"/>
      <c r="GEY241"/>
      <c r="GEZ241"/>
      <c r="GFA241"/>
      <c r="GFB241"/>
      <c r="GFC241"/>
      <c r="GFD241"/>
      <c r="GFE241"/>
      <c r="GFF241"/>
      <c r="GFG241"/>
      <c r="GFH241"/>
      <c r="GFI241"/>
      <c r="GFJ241"/>
      <c r="GFK241"/>
      <c r="GFL241"/>
      <c r="GFM241"/>
      <c r="GFN241"/>
      <c r="GFO241"/>
      <c r="GFP241"/>
      <c r="GFQ241"/>
      <c r="GFR241"/>
      <c r="GFS241"/>
      <c r="GFT241"/>
      <c r="GFU241"/>
      <c r="GFV241"/>
      <c r="GFW241"/>
      <c r="GFX241"/>
      <c r="GFY241"/>
      <c r="GFZ241"/>
      <c r="GGA241"/>
      <c r="GGB241"/>
      <c r="GGC241"/>
      <c r="GGD241"/>
      <c r="GGE241"/>
      <c r="GGF241"/>
      <c r="GGG241"/>
      <c r="GGH241"/>
      <c r="GGI241"/>
      <c r="GGJ241"/>
      <c r="GGK241"/>
      <c r="GGL241"/>
      <c r="GGM241"/>
      <c r="GGN241"/>
      <c r="GGO241"/>
      <c r="GGP241"/>
      <c r="GGQ241"/>
      <c r="GGR241"/>
      <c r="GGS241"/>
      <c r="GGT241"/>
      <c r="GGU241"/>
      <c r="GGV241"/>
      <c r="GGW241"/>
      <c r="GGX241"/>
      <c r="GGY241"/>
      <c r="GGZ241"/>
      <c r="GHA241"/>
      <c r="GHB241"/>
      <c r="GHC241"/>
      <c r="GHD241"/>
      <c r="GHE241"/>
      <c r="GHF241"/>
      <c r="GHG241"/>
      <c r="GHH241"/>
      <c r="GHI241"/>
      <c r="GHJ241"/>
      <c r="GHK241"/>
      <c r="GHL241"/>
      <c r="GHM241"/>
      <c r="GHN241"/>
      <c r="GHO241"/>
      <c r="GHP241"/>
      <c r="GHQ241"/>
      <c r="GHR241"/>
      <c r="GHS241"/>
      <c r="GHT241"/>
      <c r="GHU241"/>
      <c r="GHV241"/>
      <c r="GHW241"/>
      <c r="GHX241"/>
      <c r="GHY241"/>
      <c r="GHZ241"/>
      <c r="GIA241"/>
      <c r="GIB241"/>
      <c r="GIC241"/>
      <c r="GID241"/>
      <c r="GIE241"/>
      <c r="GIF241"/>
      <c r="GIG241"/>
      <c r="GIH241"/>
      <c r="GII241"/>
      <c r="GIJ241"/>
      <c r="GIK241"/>
      <c r="GIL241"/>
      <c r="GIM241"/>
      <c r="GIN241"/>
      <c r="GIO241"/>
      <c r="GIP241"/>
      <c r="GIQ241"/>
      <c r="GIR241"/>
      <c r="GIS241"/>
      <c r="GIT241"/>
      <c r="GIU241"/>
      <c r="GIV241"/>
      <c r="GIW241"/>
      <c r="GIX241"/>
      <c r="GIY241"/>
      <c r="GIZ241"/>
      <c r="GJA241"/>
      <c r="GJB241"/>
      <c r="GJC241"/>
      <c r="GJD241"/>
      <c r="GJE241"/>
      <c r="GJF241"/>
      <c r="GJG241"/>
      <c r="GJH241"/>
      <c r="GJI241"/>
      <c r="GJJ241"/>
      <c r="GJK241"/>
      <c r="GJL241"/>
      <c r="GJM241"/>
      <c r="GJN241"/>
      <c r="GJO241"/>
      <c r="GJP241"/>
      <c r="GJQ241"/>
      <c r="GJR241"/>
      <c r="GJS241"/>
      <c r="GJT241"/>
      <c r="GJU241"/>
      <c r="GJV241"/>
      <c r="GJW241"/>
      <c r="GJX241"/>
      <c r="GJY241"/>
      <c r="GJZ241"/>
      <c r="GKA241"/>
      <c r="GKB241"/>
      <c r="GKC241"/>
      <c r="GKD241"/>
      <c r="GKE241"/>
      <c r="GKF241"/>
      <c r="GKG241"/>
      <c r="GKH241"/>
      <c r="GKI241"/>
      <c r="GKJ241"/>
      <c r="GKK241"/>
      <c r="GKL241"/>
      <c r="GKM241"/>
      <c r="GKN241"/>
      <c r="GKO241"/>
      <c r="GKP241"/>
      <c r="GKQ241"/>
      <c r="GKR241"/>
      <c r="GKS241"/>
      <c r="GKT241"/>
      <c r="GKU241"/>
      <c r="GKV241"/>
      <c r="GKW241"/>
      <c r="GKX241"/>
      <c r="GKY241"/>
      <c r="GKZ241"/>
      <c r="GLA241"/>
      <c r="GLB241"/>
      <c r="GLC241"/>
      <c r="GLD241"/>
      <c r="GLE241"/>
      <c r="GLF241"/>
      <c r="GLG241"/>
      <c r="GLH241"/>
      <c r="GLI241"/>
      <c r="GLJ241"/>
      <c r="GLK241"/>
      <c r="GLL241"/>
      <c r="GLM241"/>
      <c r="GLN241"/>
      <c r="GLO241"/>
      <c r="GLP241"/>
      <c r="GLQ241"/>
      <c r="GLR241"/>
      <c r="GLS241"/>
      <c r="GLT241"/>
      <c r="GLU241"/>
      <c r="GLV241"/>
      <c r="GLW241"/>
      <c r="GLX241"/>
      <c r="GLY241"/>
      <c r="GLZ241"/>
      <c r="GMA241"/>
      <c r="GMB241"/>
      <c r="GMC241"/>
      <c r="GMD241"/>
      <c r="GME241"/>
      <c r="GMF241"/>
      <c r="GMG241"/>
      <c r="GMH241"/>
      <c r="GMI241"/>
      <c r="GMJ241"/>
      <c r="GMK241"/>
      <c r="GML241"/>
      <c r="GMM241"/>
      <c r="GMN241"/>
      <c r="GMO241"/>
      <c r="GMP241"/>
      <c r="GMQ241"/>
      <c r="GMR241"/>
      <c r="GMS241"/>
      <c r="GMT241"/>
      <c r="GMU241"/>
      <c r="GMV241"/>
      <c r="GMW241"/>
      <c r="GMX241"/>
      <c r="GMY241"/>
      <c r="GMZ241"/>
      <c r="GNA241"/>
      <c r="GNB241"/>
      <c r="GNC241"/>
      <c r="GND241"/>
      <c r="GNE241"/>
      <c r="GNF241"/>
      <c r="GNG241"/>
      <c r="GNH241"/>
      <c r="GNI241"/>
      <c r="GNJ241"/>
      <c r="GNK241"/>
      <c r="GNL241"/>
      <c r="GNM241"/>
      <c r="GNN241"/>
      <c r="GNO241"/>
      <c r="GNP241"/>
      <c r="GNQ241"/>
      <c r="GNR241"/>
      <c r="GNS241"/>
      <c r="GNT241"/>
      <c r="GNU241"/>
      <c r="GNV241"/>
      <c r="GNW241"/>
      <c r="GNX241"/>
      <c r="GNY241"/>
      <c r="GNZ241"/>
      <c r="GOA241"/>
      <c r="GOB241"/>
      <c r="GOC241"/>
      <c r="GOD241"/>
      <c r="GOE241"/>
      <c r="GOF241"/>
      <c r="GOG241"/>
      <c r="GOH241"/>
      <c r="GOI241"/>
      <c r="GOJ241"/>
      <c r="GOK241"/>
      <c r="GOL241"/>
      <c r="GOM241"/>
      <c r="GON241"/>
      <c r="GOO241"/>
      <c r="GOP241"/>
      <c r="GOQ241"/>
      <c r="GOR241"/>
      <c r="GOS241"/>
      <c r="GOT241"/>
      <c r="GOU241"/>
      <c r="GOV241"/>
      <c r="GOW241"/>
      <c r="GOX241"/>
      <c r="GOY241"/>
      <c r="GOZ241"/>
      <c r="GPA241"/>
      <c r="GPB241"/>
      <c r="GPC241"/>
      <c r="GPD241"/>
      <c r="GPE241"/>
      <c r="GPF241"/>
      <c r="GPG241"/>
      <c r="GPH241"/>
      <c r="GPI241"/>
      <c r="GPJ241"/>
      <c r="GPK241"/>
      <c r="GPL241"/>
      <c r="GPM241"/>
      <c r="GPN241"/>
      <c r="GPO241"/>
      <c r="GPP241"/>
      <c r="GPQ241"/>
      <c r="GPR241"/>
      <c r="GPS241"/>
      <c r="GPT241"/>
      <c r="GPU241"/>
      <c r="GPV241"/>
      <c r="GPW241"/>
      <c r="GPX241"/>
      <c r="GPY241"/>
      <c r="GPZ241"/>
      <c r="GQA241"/>
      <c r="GQB241"/>
      <c r="GQC241"/>
      <c r="GQD241"/>
      <c r="GQE241"/>
      <c r="GQF241"/>
      <c r="GQG241"/>
      <c r="GQH241"/>
      <c r="GQI241"/>
      <c r="GQJ241"/>
      <c r="GQK241"/>
      <c r="GQL241"/>
      <c r="GQM241"/>
      <c r="GQN241"/>
      <c r="GQO241"/>
      <c r="GQP241"/>
      <c r="GQQ241"/>
      <c r="GQR241"/>
      <c r="GQS241"/>
      <c r="GQT241"/>
      <c r="GQU241"/>
      <c r="GQV241"/>
      <c r="GQW241"/>
      <c r="GQX241"/>
      <c r="GQY241"/>
      <c r="GQZ241"/>
      <c r="GRA241"/>
      <c r="GRB241"/>
      <c r="GRC241"/>
      <c r="GRD241"/>
      <c r="GRE241"/>
      <c r="GRF241"/>
      <c r="GRG241"/>
      <c r="GRH241"/>
      <c r="GRI241"/>
      <c r="GRJ241"/>
      <c r="GRK241"/>
      <c r="GRL241"/>
      <c r="GRM241"/>
      <c r="GRN241"/>
      <c r="GRO241"/>
      <c r="GRP241"/>
      <c r="GRQ241"/>
      <c r="GRR241"/>
      <c r="GRS241"/>
      <c r="GRT241"/>
      <c r="GRU241"/>
      <c r="GRV241"/>
      <c r="GRW241"/>
      <c r="GRX241"/>
      <c r="GRY241"/>
      <c r="GRZ241"/>
      <c r="GSA241"/>
      <c r="GSB241"/>
      <c r="GSC241"/>
      <c r="GSD241"/>
      <c r="GSE241"/>
      <c r="GSF241"/>
      <c r="GSG241"/>
      <c r="GSH241"/>
      <c r="GSI241"/>
      <c r="GSJ241"/>
      <c r="GSK241"/>
      <c r="GSL241"/>
      <c r="GSM241"/>
      <c r="GSN241"/>
      <c r="GSO241"/>
      <c r="GSP241"/>
      <c r="GSQ241"/>
      <c r="GSR241"/>
      <c r="GSS241"/>
      <c r="GST241"/>
      <c r="GSU241"/>
      <c r="GSV241"/>
      <c r="GSW241"/>
      <c r="GSX241"/>
      <c r="GSY241"/>
      <c r="GSZ241"/>
      <c r="GTA241"/>
      <c r="GTB241"/>
      <c r="GTC241"/>
      <c r="GTD241"/>
      <c r="GTE241"/>
      <c r="GTF241"/>
      <c r="GTG241"/>
      <c r="GTH241"/>
      <c r="GTI241"/>
      <c r="GTJ241"/>
      <c r="GTK241"/>
      <c r="GTL241"/>
      <c r="GTM241"/>
      <c r="GTN241"/>
      <c r="GTO241"/>
      <c r="GTP241"/>
      <c r="GTQ241"/>
      <c r="GTR241"/>
      <c r="GTS241"/>
      <c r="GTT241"/>
      <c r="GTU241"/>
      <c r="GTV241"/>
      <c r="GTW241"/>
      <c r="GTX241"/>
      <c r="GTY241"/>
      <c r="GTZ241"/>
      <c r="GUA241"/>
      <c r="GUB241"/>
      <c r="GUC241"/>
      <c r="GUD241"/>
      <c r="GUE241"/>
      <c r="GUF241"/>
      <c r="GUG241"/>
      <c r="GUH241"/>
      <c r="GUI241"/>
      <c r="GUJ241"/>
      <c r="GUK241"/>
      <c r="GUL241"/>
      <c r="GUM241"/>
      <c r="GUN241"/>
      <c r="GUO241"/>
      <c r="GUP241"/>
      <c r="GUQ241"/>
      <c r="GUR241"/>
      <c r="GUS241"/>
      <c r="GUT241"/>
      <c r="GUU241"/>
      <c r="GUV241"/>
      <c r="GUW241"/>
      <c r="GUX241"/>
      <c r="GUY241"/>
      <c r="GUZ241"/>
      <c r="GVA241"/>
      <c r="GVB241"/>
      <c r="GVC241"/>
      <c r="GVD241"/>
      <c r="GVE241"/>
      <c r="GVF241"/>
      <c r="GVG241"/>
      <c r="GVH241"/>
      <c r="GVI241"/>
      <c r="GVJ241"/>
      <c r="GVK241"/>
      <c r="GVL241"/>
      <c r="GVM241"/>
      <c r="GVN241"/>
      <c r="GVO241"/>
      <c r="GVP241"/>
      <c r="GVQ241"/>
      <c r="GVR241"/>
      <c r="GVS241"/>
      <c r="GVT241"/>
      <c r="GVU241"/>
      <c r="GVV241"/>
      <c r="GVW241"/>
      <c r="GVX241"/>
      <c r="GVY241"/>
      <c r="GVZ241"/>
      <c r="GWA241"/>
      <c r="GWB241"/>
      <c r="GWC241"/>
      <c r="GWD241"/>
      <c r="GWE241"/>
      <c r="GWF241"/>
      <c r="GWG241"/>
      <c r="GWH241"/>
      <c r="GWI241"/>
      <c r="GWJ241"/>
      <c r="GWK241"/>
      <c r="GWL241"/>
      <c r="GWM241"/>
      <c r="GWN241"/>
      <c r="GWO241"/>
      <c r="GWP241"/>
      <c r="GWQ241"/>
      <c r="GWR241"/>
      <c r="GWS241"/>
      <c r="GWT241"/>
      <c r="GWU241"/>
      <c r="GWV241"/>
      <c r="GWW241"/>
      <c r="GWX241"/>
      <c r="GWY241"/>
      <c r="GWZ241"/>
      <c r="GXA241"/>
      <c r="GXB241"/>
      <c r="GXC241"/>
      <c r="GXD241"/>
      <c r="GXE241"/>
      <c r="GXF241"/>
      <c r="GXG241"/>
      <c r="GXH241"/>
      <c r="GXI241"/>
      <c r="GXJ241"/>
      <c r="GXK241"/>
      <c r="GXL241"/>
      <c r="GXM241"/>
      <c r="GXN241"/>
      <c r="GXO241"/>
      <c r="GXP241"/>
      <c r="GXQ241"/>
      <c r="GXR241"/>
      <c r="GXS241"/>
      <c r="GXT241"/>
      <c r="GXU241"/>
      <c r="GXV241"/>
      <c r="GXW241"/>
      <c r="GXX241"/>
      <c r="GXY241"/>
      <c r="GXZ241"/>
      <c r="GYA241"/>
      <c r="GYB241"/>
      <c r="GYC241"/>
      <c r="GYD241"/>
      <c r="GYE241"/>
      <c r="GYF241"/>
      <c r="GYG241"/>
      <c r="GYH241"/>
      <c r="GYI241"/>
      <c r="GYJ241"/>
      <c r="GYK241"/>
      <c r="GYL241"/>
      <c r="GYM241"/>
      <c r="GYN241"/>
      <c r="GYO241"/>
      <c r="GYP241"/>
      <c r="GYQ241"/>
      <c r="GYR241"/>
      <c r="GYS241"/>
      <c r="GYT241"/>
      <c r="GYU241"/>
      <c r="GYV241"/>
      <c r="GYW241"/>
      <c r="GYX241"/>
      <c r="GYY241"/>
      <c r="GYZ241"/>
      <c r="GZA241"/>
      <c r="GZB241"/>
      <c r="GZC241"/>
      <c r="GZD241"/>
      <c r="GZE241"/>
      <c r="GZF241"/>
      <c r="GZG241"/>
      <c r="GZH241"/>
      <c r="GZI241"/>
      <c r="GZJ241"/>
      <c r="GZK241"/>
      <c r="GZL241"/>
      <c r="GZM241"/>
      <c r="GZN241"/>
      <c r="GZO241"/>
      <c r="GZP241"/>
      <c r="GZQ241"/>
      <c r="GZR241"/>
      <c r="GZS241"/>
      <c r="GZT241"/>
      <c r="GZU241"/>
      <c r="GZV241"/>
      <c r="GZW241"/>
      <c r="GZX241"/>
      <c r="GZY241"/>
      <c r="GZZ241"/>
      <c r="HAA241"/>
      <c r="HAB241"/>
      <c r="HAC241"/>
      <c r="HAD241"/>
      <c r="HAE241"/>
      <c r="HAF241"/>
      <c r="HAG241"/>
      <c r="HAH241"/>
      <c r="HAI241"/>
      <c r="HAJ241"/>
      <c r="HAK241"/>
      <c r="HAL241"/>
      <c r="HAM241"/>
      <c r="HAN241"/>
      <c r="HAO241"/>
      <c r="HAP241"/>
      <c r="HAQ241"/>
      <c r="HAR241"/>
      <c r="HAS241"/>
      <c r="HAT241"/>
      <c r="HAU241"/>
      <c r="HAV241"/>
      <c r="HAW241"/>
      <c r="HAX241"/>
      <c r="HAY241"/>
      <c r="HAZ241"/>
      <c r="HBA241"/>
      <c r="HBB241"/>
      <c r="HBC241"/>
      <c r="HBD241"/>
      <c r="HBE241"/>
      <c r="HBF241"/>
      <c r="HBG241"/>
      <c r="HBH241"/>
      <c r="HBI241"/>
      <c r="HBJ241"/>
      <c r="HBK241"/>
      <c r="HBL241"/>
      <c r="HBM241"/>
      <c r="HBN241"/>
      <c r="HBO241"/>
      <c r="HBP241"/>
      <c r="HBQ241"/>
      <c r="HBR241"/>
      <c r="HBS241"/>
      <c r="HBT241"/>
      <c r="HBU241"/>
      <c r="HBV241"/>
      <c r="HBW241"/>
      <c r="HBX241"/>
      <c r="HBY241"/>
      <c r="HBZ241"/>
      <c r="HCA241"/>
      <c r="HCB241"/>
      <c r="HCC241"/>
      <c r="HCD241"/>
      <c r="HCE241"/>
      <c r="HCF241"/>
      <c r="HCG241"/>
      <c r="HCH241"/>
      <c r="HCI241"/>
      <c r="HCJ241"/>
      <c r="HCK241"/>
      <c r="HCL241"/>
      <c r="HCM241"/>
      <c r="HCN241"/>
      <c r="HCO241"/>
      <c r="HCP241"/>
      <c r="HCQ241"/>
      <c r="HCR241"/>
      <c r="HCS241"/>
      <c r="HCT241"/>
      <c r="HCU241"/>
      <c r="HCV241"/>
      <c r="HCW241"/>
      <c r="HCX241"/>
      <c r="HCY241"/>
      <c r="HCZ241"/>
      <c r="HDA241"/>
      <c r="HDB241"/>
      <c r="HDC241"/>
      <c r="HDD241"/>
      <c r="HDE241"/>
      <c r="HDF241"/>
      <c r="HDG241"/>
      <c r="HDH241"/>
      <c r="HDI241"/>
      <c r="HDJ241"/>
      <c r="HDK241"/>
      <c r="HDL241"/>
      <c r="HDM241"/>
      <c r="HDN241"/>
      <c r="HDO241"/>
      <c r="HDP241"/>
      <c r="HDQ241"/>
      <c r="HDR241"/>
      <c r="HDS241"/>
      <c r="HDT241"/>
      <c r="HDU241"/>
      <c r="HDV241"/>
      <c r="HDW241"/>
      <c r="HDX241"/>
      <c r="HDY241"/>
      <c r="HDZ241"/>
      <c r="HEA241"/>
      <c r="HEB241"/>
      <c r="HEC241"/>
      <c r="HED241"/>
      <c r="HEE241"/>
      <c r="HEF241"/>
      <c r="HEG241"/>
      <c r="HEH241"/>
      <c r="HEI241"/>
      <c r="HEJ241"/>
      <c r="HEK241"/>
      <c r="HEL241"/>
      <c r="HEM241"/>
      <c r="HEN241"/>
      <c r="HEO241"/>
      <c r="HEP241"/>
      <c r="HEQ241"/>
      <c r="HER241"/>
      <c r="HES241"/>
      <c r="HET241"/>
      <c r="HEU241"/>
      <c r="HEV241"/>
      <c r="HEW241"/>
      <c r="HEX241"/>
      <c r="HEY241"/>
      <c r="HEZ241"/>
      <c r="HFA241"/>
      <c r="HFB241"/>
      <c r="HFC241"/>
      <c r="HFD241"/>
      <c r="HFE241"/>
      <c r="HFF241"/>
      <c r="HFG241"/>
      <c r="HFH241"/>
      <c r="HFI241"/>
      <c r="HFJ241"/>
      <c r="HFK241"/>
      <c r="HFL241"/>
      <c r="HFM241"/>
      <c r="HFN241"/>
      <c r="HFO241"/>
      <c r="HFP241"/>
      <c r="HFQ241"/>
      <c r="HFR241"/>
      <c r="HFS241"/>
      <c r="HFT241"/>
      <c r="HFU241"/>
      <c r="HFV241"/>
      <c r="HFW241"/>
      <c r="HFX241"/>
      <c r="HFY241"/>
      <c r="HFZ241"/>
      <c r="HGA241"/>
      <c r="HGB241"/>
      <c r="HGC241"/>
      <c r="HGD241"/>
      <c r="HGE241"/>
      <c r="HGF241"/>
      <c r="HGG241"/>
      <c r="HGH241"/>
      <c r="HGI241"/>
      <c r="HGJ241"/>
      <c r="HGK241"/>
      <c r="HGL241"/>
      <c r="HGM241"/>
      <c r="HGN241"/>
      <c r="HGO241"/>
      <c r="HGP241"/>
      <c r="HGQ241"/>
      <c r="HGR241"/>
      <c r="HGS241"/>
      <c r="HGT241"/>
      <c r="HGU241"/>
      <c r="HGV241"/>
      <c r="HGW241"/>
      <c r="HGX241"/>
      <c r="HGY241"/>
      <c r="HGZ241"/>
      <c r="HHA241"/>
      <c r="HHB241"/>
      <c r="HHC241"/>
      <c r="HHD241"/>
      <c r="HHE241"/>
      <c r="HHF241"/>
      <c r="HHG241"/>
      <c r="HHH241"/>
      <c r="HHI241"/>
      <c r="HHJ241"/>
      <c r="HHK241"/>
      <c r="HHL241"/>
      <c r="HHM241"/>
      <c r="HHN241"/>
      <c r="HHO241"/>
      <c r="HHP241"/>
      <c r="HHQ241"/>
      <c r="HHR241"/>
      <c r="HHS241"/>
      <c r="HHT241"/>
      <c r="HHU241"/>
      <c r="HHV241"/>
      <c r="HHW241"/>
      <c r="HHX241"/>
      <c r="HHY241"/>
      <c r="HHZ241"/>
      <c r="HIA241"/>
      <c r="HIB241"/>
      <c r="HIC241"/>
      <c r="HID241"/>
      <c r="HIE241"/>
      <c r="HIF241"/>
      <c r="HIG241"/>
      <c r="HIH241"/>
      <c r="HII241"/>
      <c r="HIJ241"/>
      <c r="HIK241"/>
      <c r="HIL241"/>
      <c r="HIM241"/>
      <c r="HIN241"/>
      <c r="HIO241"/>
      <c r="HIP241"/>
      <c r="HIQ241"/>
      <c r="HIR241"/>
      <c r="HIS241"/>
      <c r="HIT241"/>
      <c r="HIU241"/>
      <c r="HIV241"/>
      <c r="HIW241"/>
      <c r="HIX241"/>
      <c r="HIY241"/>
      <c r="HIZ241"/>
      <c r="HJA241"/>
      <c r="HJB241"/>
      <c r="HJC241"/>
      <c r="HJD241"/>
      <c r="HJE241"/>
      <c r="HJF241"/>
      <c r="HJG241"/>
      <c r="HJH241"/>
      <c r="HJI241"/>
      <c r="HJJ241"/>
      <c r="HJK241"/>
      <c r="HJL241"/>
      <c r="HJM241"/>
      <c r="HJN241"/>
      <c r="HJO241"/>
      <c r="HJP241"/>
      <c r="HJQ241"/>
      <c r="HJR241"/>
      <c r="HJS241"/>
      <c r="HJT241"/>
      <c r="HJU241"/>
      <c r="HJV241"/>
      <c r="HJW241"/>
      <c r="HJX241"/>
      <c r="HJY241"/>
      <c r="HJZ241"/>
      <c r="HKA241"/>
      <c r="HKB241"/>
      <c r="HKC241"/>
      <c r="HKD241"/>
      <c r="HKE241"/>
      <c r="HKF241"/>
      <c r="HKG241"/>
      <c r="HKH241"/>
      <c r="HKI241"/>
      <c r="HKJ241"/>
      <c r="HKK241"/>
      <c r="HKL241"/>
      <c r="HKM241"/>
      <c r="HKN241"/>
      <c r="HKO241"/>
      <c r="HKP241"/>
      <c r="HKQ241"/>
      <c r="HKR241"/>
      <c r="HKS241"/>
      <c r="HKT241"/>
      <c r="HKU241"/>
      <c r="HKV241"/>
      <c r="HKW241"/>
      <c r="HKX241"/>
      <c r="HKY241"/>
      <c r="HKZ241"/>
      <c r="HLA241"/>
      <c r="HLB241"/>
      <c r="HLC241"/>
      <c r="HLD241"/>
      <c r="HLE241"/>
      <c r="HLF241"/>
      <c r="HLG241"/>
      <c r="HLH241"/>
      <c r="HLI241"/>
      <c r="HLJ241"/>
      <c r="HLK241"/>
      <c r="HLL241"/>
      <c r="HLM241"/>
      <c r="HLN241"/>
      <c r="HLO241"/>
      <c r="HLP241"/>
      <c r="HLQ241"/>
      <c r="HLR241"/>
      <c r="HLS241"/>
      <c r="HLT241"/>
      <c r="HLU241"/>
      <c r="HLV241"/>
      <c r="HLW241"/>
      <c r="HLX241"/>
      <c r="HLY241"/>
      <c r="HLZ241"/>
      <c r="HMA241"/>
      <c r="HMB241"/>
      <c r="HMC241"/>
      <c r="HMD241"/>
      <c r="HME241"/>
      <c r="HMF241"/>
      <c r="HMG241"/>
      <c r="HMH241"/>
      <c r="HMI241"/>
      <c r="HMJ241"/>
      <c r="HMK241"/>
      <c r="HML241"/>
      <c r="HMM241"/>
      <c r="HMN241"/>
      <c r="HMO241"/>
      <c r="HMP241"/>
      <c r="HMQ241"/>
      <c r="HMR241"/>
      <c r="HMS241"/>
      <c r="HMT241"/>
      <c r="HMU241"/>
      <c r="HMV241"/>
      <c r="HMW241"/>
      <c r="HMX241"/>
      <c r="HMY241"/>
      <c r="HMZ241"/>
      <c r="HNA241"/>
      <c r="HNB241"/>
      <c r="HNC241"/>
      <c r="HND241"/>
      <c r="HNE241"/>
      <c r="HNF241"/>
      <c r="HNG241"/>
      <c r="HNH241"/>
      <c r="HNI241"/>
      <c r="HNJ241"/>
      <c r="HNK241"/>
      <c r="HNL241"/>
      <c r="HNM241"/>
      <c r="HNN241"/>
      <c r="HNO241"/>
      <c r="HNP241"/>
      <c r="HNQ241"/>
      <c r="HNR241"/>
      <c r="HNS241"/>
      <c r="HNT241"/>
      <c r="HNU241"/>
      <c r="HNV241"/>
      <c r="HNW241"/>
      <c r="HNX241"/>
      <c r="HNY241"/>
      <c r="HNZ241"/>
      <c r="HOA241"/>
      <c r="HOB241"/>
      <c r="HOC241"/>
      <c r="HOD241"/>
      <c r="HOE241"/>
      <c r="HOF241"/>
      <c r="HOG241"/>
      <c r="HOH241"/>
      <c r="HOI241"/>
      <c r="HOJ241"/>
      <c r="HOK241"/>
      <c r="HOL241"/>
      <c r="HOM241"/>
      <c r="HON241"/>
      <c r="HOO241"/>
      <c r="HOP241"/>
      <c r="HOQ241"/>
      <c r="HOR241"/>
      <c r="HOS241"/>
      <c r="HOT241"/>
      <c r="HOU241"/>
      <c r="HOV241"/>
      <c r="HOW241"/>
      <c r="HOX241"/>
      <c r="HOY241"/>
      <c r="HOZ241"/>
      <c r="HPA241"/>
      <c r="HPB241"/>
      <c r="HPC241"/>
      <c r="HPD241"/>
      <c r="HPE241"/>
      <c r="HPF241"/>
      <c r="HPG241"/>
      <c r="HPH241"/>
      <c r="HPI241"/>
      <c r="HPJ241"/>
      <c r="HPK241"/>
      <c r="HPL241"/>
      <c r="HPM241"/>
      <c r="HPN241"/>
      <c r="HPO241"/>
      <c r="HPP241"/>
      <c r="HPQ241"/>
      <c r="HPR241"/>
      <c r="HPS241"/>
      <c r="HPT241"/>
      <c r="HPU241"/>
      <c r="HPV241"/>
      <c r="HPW241"/>
      <c r="HPX241"/>
      <c r="HPY241"/>
      <c r="HPZ241"/>
      <c r="HQA241"/>
      <c r="HQB241"/>
      <c r="HQC241"/>
      <c r="HQD241"/>
      <c r="HQE241"/>
      <c r="HQF241"/>
      <c r="HQG241"/>
      <c r="HQH241"/>
      <c r="HQI241"/>
      <c r="HQJ241"/>
      <c r="HQK241"/>
      <c r="HQL241"/>
      <c r="HQM241"/>
      <c r="HQN241"/>
      <c r="HQO241"/>
      <c r="HQP241"/>
      <c r="HQQ241"/>
      <c r="HQR241"/>
      <c r="HQS241"/>
      <c r="HQT241"/>
      <c r="HQU241"/>
      <c r="HQV241"/>
      <c r="HQW241"/>
      <c r="HQX241"/>
      <c r="HQY241"/>
      <c r="HQZ241"/>
      <c r="HRA241"/>
      <c r="HRB241"/>
      <c r="HRC241"/>
      <c r="HRD241"/>
      <c r="HRE241"/>
      <c r="HRF241"/>
      <c r="HRG241"/>
      <c r="HRH241"/>
      <c r="HRI241"/>
      <c r="HRJ241"/>
      <c r="HRK241"/>
      <c r="HRL241"/>
      <c r="HRM241"/>
      <c r="HRN241"/>
      <c r="HRO241"/>
      <c r="HRP241"/>
      <c r="HRQ241"/>
      <c r="HRR241"/>
      <c r="HRS241"/>
      <c r="HRT241"/>
      <c r="HRU241"/>
      <c r="HRV241"/>
      <c r="HRW241"/>
      <c r="HRX241"/>
      <c r="HRY241"/>
      <c r="HRZ241"/>
      <c r="HSA241"/>
      <c r="HSB241"/>
      <c r="HSC241"/>
      <c r="HSD241"/>
      <c r="HSE241"/>
      <c r="HSF241"/>
      <c r="HSG241"/>
      <c r="HSH241"/>
      <c r="HSI241"/>
      <c r="HSJ241"/>
      <c r="HSK241"/>
      <c r="HSL241"/>
      <c r="HSM241"/>
      <c r="HSN241"/>
      <c r="HSO241"/>
      <c r="HSP241"/>
      <c r="HSQ241"/>
      <c r="HSR241"/>
      <c r="HSS241"/>
      <c r="HST241"/>
      <c r="HSU241"/>
      <c r="HSV241"/>
      <c r="HSW241"/>
      <c r="HSX241"/>
      <c r="HSY241"/>
      <c r="HSZ241"/>
      <c r="HTA241"/>
      <c r="HTB241"/>
      <c r="HTC241"/>
      <c r="HTD241"/>
      <c r="HTE241"/>
      <c r="HTF241"/>
      <c r="HTG241"/>
      <c r="HTH241"/>
      <c r="HTI241"/>
      <c r="HTJ241"/>
      <c r="HTK241"/>
      <c r="HTL241"/>
      <c r="HTM241"/>
      <c r="HTN241"/>
      <c r="HTO241"/>
      <c r="HTP241"/>
      <c r="HTQ241"/>
      <c r="HTR241"/>
      <c r="HTS241"/>
      <c r="HTT241"/>
      <c r="HTU241"/>
      <c r="HTV241"/>
      <c r="HTW241"/>
      <c r="HTX241"/>
      <c r="HTY241"/>
      <c r="HTZ241"/>
      <c r="HUA241"/>
      <c r="HUB241"/>
      <c r="HUC241"/>
      <c r="HUD241"/>
      <c r="HUE241"/>
      <c r="HUF241"/>
      <c r="HUG241"/>
      <c r="HUH241"/>
      <c r="HUI241"/>
      <c r="HUJ241"/>
      <c r="HUK241"/>
      <c r="HUL241"/>
      <c r="HUM241"/>
      <c r="HUN241"/>
      <c r="HUO241"/>
      <c r="HUP241"/>
      <c r="HUQ241"/>
      <c r="HUR241"/>
      <c r="HUS241"/>
      <c r="HUT241"/>
      <c r="HUU241"/>
      <c r="HUV241"/>
      <c r="HUW241"/>
      <c r="HUX241"/>
      <c r="HUY241"/>
      <c r="HUZ241"/>
      <c r="HVA241"/>
      <c r="HVB241"/>
      <c r="HVC241"/>
      <c r="HVD241"/>
      <c r="HVE241"/>
      <c r="HVF241"/>
      <c r="HVG241"/>
      <c r="HVH241"/>
      <c r="HVI241"/>
      <c r="HVJ241"/>
      <c r="HVK241"/>
      <c r="HVL241"/>
      <c r="HVM241"/>
      <c r="HVN241"/>
      <c r="HVO241"/>
      <c r="HVP241"/>
      <c r="HVQ241"/>
      <c r="HVR241"/>
      <c r="HVS241"/>
      <c r="HVT241"/>
      <c r="HVU241"/>
      <c r="HVV241"/>
      <c r="HVW241"/>
      <c r="HVX241"/>
      <c r="HVY241"/>
      <c r="HVZ241"/>
      <c r="HWA241"/>
      <c r="HWB241"/>
      <c r="HWC241"/>
      <c r="HWD241"/>
      <c r="HWE241"/>
      <c r="HWF241"/>
      <c r="HWG241"/>
      <c r="HWH241"/>
      <c r="HWI241"/>
      <c r="HWJ241"/>
      <c r="HWK241"/>
      <c r="HWL241"/>
      <c r="HWM241"/>
      <c r="HWN241"/>
      <c r="HWO241"/>
      <c r="HWP241"/>
      <c r="HWQ241"/>
      <c r="HWR241"/>
      <c r="HWS241"/>
      <c r="HWT241"/>
      <c r="HWU241"/>
      <c r="HWV241"/>
      <c r="HWW241"/>
      <c r="HWX241"/>
      <c r="HWY241"/>
      <c r="HWZ241"/>
      <c r="HXA241"/>
      <c r="HXB241"/>
      <c r="HXC241"/>
      <c r="HXD241"/>
      <c r="HXE241"/>
      <c r="HXF241"/>
      <c r="HXG241"/>
      <c r="HXH241"/>
      <c r="HXI241"/>
      <c r="HXJ241"/>
      <c r="HXK241"/>
      <c r="HXL241"/>
      <c r="HXM241"/>
      <c r="HXN241"/>
      <c r="HXO241"/>
      <c r="HXP241"/>
      <c r="HXQ241"/>
      <c r="HXR241"/>
      <c r="HXS241"/>
      <c r="HXT241"/>
      <c r="HXU241"/>
      <c r="HXV241"/>
      <c r="HXW241"/>
      <c r="HXX241"/>
      <c r="HXY241"/>
      <c r="HXZ241"/>
      <c r="HYA241"/>
      <c r="HYB241"/>
      <c r="HYC241"/>
      <c r="HYD241"/>
      <c r="HYE241"/>
      <c r="HYF241"/>
      <c r="HYG241"/>
      <c r="HYH241"/>
      <c r="HYI241"/>
      <c r="HYJ241"/>
      <c r="HYK241"/>
      <c r="HYL241"/>
      <c r="HYM241"/>
      <c r="HYN241"/>
      <c r="HYO241"/>
      <c r="HYP241"/>
      <c r="HYQ241"/>
      <c r="HYR241"/>
      <c r="HYS241"/>
      <c r="HYT241"/>
      <c r="HYU241"/>
      <c r="HYV241"/>
      <c r="HYW241"/>
      <c r="HYX241"/>
      <c r="HYY241"/>
      <c r="HYZ241"/>
      <c r="HZA241"/>
      <c r="HZB241"/>
      <c r="HZC241"/>
      <c r="HZD241"/>
      <c r="HZE241"/>
      <c r="HZF241"/>
      <c r="HZG241"/>
      <c r="HZH241"/>
      <c r="HZI241"/>
      <c r="HZJ241"/>
      <c r="HZK241"/>
      <c r="HZL241"/>
      <c r="HZM241"/>
      <c r="HZN241"/>
      <c r="HZO241"/>
      <c r="HZP241"/>
      <c r="HZQ241"/>
      <c r="HZR241"/>
      <c r="HZS241"/>
      <c r="HZT241"/>
      <c r="HZU241"/>
      <c r="HZV241"/>
      <c r="HZW241"/>
      <c r="HZX241"/>
      <c r="HZY241"/>
      <c r="HZZ241"/>
      <c r="IAA241"/>
      <c r="IAB241"/>
      <c r="IAC241"/>
      <c r="IAD241"/>
      <c r="IAE241"/>
      <c r="IAF241"/>
      <c r="IAG241"/>
      <c r="IAH241"/>
      <c r="IAI241"/>
      <c r="IAJ241"/>
      <c r="IAK241"/>
      <c r="IAL241"/>
      <c r="IAM241"/>
      <c r="IAN241"/>
      <c r="IAO241"/>
      <c r="IAP241"/>
      <c r="IAQ241"/>
      <c r="IAR241"/>
      <c r="IAS241"/>
      <c r="IAT241"/>
      <c r="IAU241"/>
      <c r="IAV241"/>
      <c r="IAW241"/>
      <c r="IAX241"/>
      <c r="IAY241"/>
      <c r="IAZ241"/>
      <c r="IBA241"/>
      <c r="IBB241"/>
      <c r="IBC241"/>
      <c r="IBD241"/>
      <c r="IBE241"/>
      <c r="IBF241"/>
      <c r="IBG241"/>
      <c r="IBH241"/>
      <c r="IBI241"/>
      <c r="IBJ241"/>
      <c r="IBK241"/>
      <c r="IBL241"/>
      <c r="IBM241"/>
      <c r="IBN241"/>
      <c r="IBO241"/>
      <c r="IBP241"/>
      <c r="IBQ241"/>
      <c r="IBR241"/>
      <c r="IBS241"/>
      <c r="IBT241"/>
      <c r="IBU241"/>
      <c r="IBV241"/>
      <c r="IBW241"/>
      <c r="IBX241"/>
      <c r="IBY241"/>
      <c r="IBZ241"/>
      <c r="ICA241"/>
      <c r="ICB241"/>
      <c r="ICC241"/>
      <c r="ICD241"/>
      <c r="ICE241"/>
      <c r="ICF241"/>
      <c r="ICG241"/>
      <c r="ICH241"/>
      <c r="ICI241"/>
      <c r="ICJ241"/>
      <c r="ICK241"/>
      <c r="ICL241"/>
      <c r="ICM241"/>
      <c r="ICN241"/>
      <c r="ICO241"/>
      <c r="ICP241"/>
      <c r="ICQ241"/>
      <c r="ICR241"/>
      <c r="ICS241"/>
      <c r="ICT241"/>
      <c r="ICU241"/>
      <c r="ICV241"/>
      <c r="ICW241"/>
      <c r="ICX241"/>
      <c r="ICY241"/>
      <c r="ICZ241"/>
      <c r="IDA241"/>
      <c r="IDB241"/>
      <c r="IDC241"/>
      <c r="IDD241"/>
      <c r="IDE241"/>
      <c r="IDF241"/>
      <c r="IDG241"/>
      <c r="IDH241"/>
      <c r="IDI241"/>
      <c r="IDJ241"/>
      <c r="IDK241"/>
      <c r="IDL241"/>
      <c r="IDM241"/>
      <c r="IDN241"/>
      <c r="IDO241"/>
      <c r="IDP241"/>
      <c r="IDQ241"/>
      <c r="IDR241"/>
      <c r="IDS241"/>
      <c r="IDT241"/>
      <c r="IDU241"/>
      <c r="IDV241"/>
      <c r="IDW241"/>
      <c r="IDX241"/>
      <c r="IDY241"/>
      <c r="IDZ241"/>
      <c r="IEA241"/>
      <c r="IEB241"/>
      <c r="IEC241"/>
      <c r="IED241"/>
      <c r="IEE241"/>
      <c r="IEF241"/>
      <c r="IEG241"/>
      <c r="IEH241"/>
      <c r="IEI241"/>
      <c r="IEJ241"/>
      <c r="IEK241"/>
      <c r="IEL241"/>
      <c r="IEM241"/>
      <c r="IEN241"/>
      <c r="IEO241"/>
      <c r="IEP241"/>
      <c r="IEQ241"/>
      <c r="IER241"/>
      <c r="IES241"/>
      <c r="IET241"/>
      <c r="IEU241"/>
      <c r="IEV241"/>
      <c r="IEW241"/>
      <c r="IEX241"/>
      <c r="IEY241"/>
      <c r="IEZ241"/>
      <c r="IFA241"/>
      <c r="IFB241"/>
      <c r="IFC241"/>
      <c r="IFD241"/>
      <c r="IFE241"/>
      <c r="IFF241"/>
      <c r="IFG241"/>
      <c r="IFH241"/>
      <c r="IFI241"/>
      <c r="IFJ241"/>
      <c r="IFK241"/>
      <c r="IFL241"/>
      <c r="IFM241"/>
      <c r="IFN241"/>
      <c r="IFO241"/>
      <c r="IFP241"/>
      <c r="IFQ241"/>
      <c r="IFR241"/>
      <c r="IFS241"/>
      <c r="IFT241"/>
      <c r="IFU241"/>
      <c r="IFV241"/>
      <c r="IFW241"/>
      <c r="IFX241"/>
      <c r="IFY241"/>
      <c r="IFZ241"/>
      <c r="IGA241"/>
      <c r="IGB241"/>
      <c r="IGC241"/>
      <c r="IGD241"/>
      <c r="IGE241"/>
      <c r="IGF241"/>
      <c r="IGG241"/>
      <c r="IGH241"/>
      <c r="IGI241"/>
      <c r="IGJ241"/>
      <c r="IGK241"/>
      <c r="IGL241"/>
      <c r="IGM241"/>
      <c r="IGN241"/>
      <c r="IGO241"/>
      <c r="IGP241"/>
      <c r="IGQ241"/>
      <c r="IGR241"/>
      <c r="IGS241"/>
      <c r="IGT241"/>
      <c r="IGU241"/>
      <c r="IGV241"/>
      <c r="IGW241"/>
      <c r="IGX241"/>
      <c r="IGY241"/>
      <c r="IGZ241"/>
      <c r="IHA241"/>
      <c r="IHB241"/>
      <c r="IHC241"/>
      <c r="IHD241"/>
      <c r="IHE241"/>
      <c r="IHF241"/>
      <c r="IHG241"/>
      <c r="IHH241"/>
      <c r="IHI241"/>
      <c r="IHJ241"/>
      <c r="IHK241"/>
      <c r="IHL241"/>
      <c r="IHM241"/>
      <c r="IHN241"/>
      <c r="IHO241"/>
      <c r="IHP241"/>
      <c r="IHQ241"/>
      <c r="IHR241"/>
      <c r="IHS241"/>
      <c r="IHT241"/>
      <c r="IHU241"/>
      <c r="IHV241"/>
      <c r="IHW241"/>
      <c r="IHX241"/>
      <c r="IHY241"/>
      <c r="IHZ241"/>
      <c r="IIA241"/>
      <c r="IIB241"/>
      <c r="IIC241"/>
      <c r="IID241"/>
      <c r="IIE241"/>
      <c r="IIF241"/>
      <c r="IIG241"/>
      <c r="IIH241"/>
      <c r="III241"/>
      <c r="IIJ241"/>
      <c r="IIK241"/>
      <c r="IIL241"/>
      <c r="IIM241"/>
      <c r="IIN241"/>
      <c r="IIO241"/>
      <c r="IIP241"/>
      <c r="IIQ241"/>
      <c r="IIR241"/>
      <c r="IIS241"/>
      <c r="IIT241"/>
      <c r="IIU241"/>
      <c r="IIV241"/>
      <c r="IIW241"/>
      <c r="IIX241"/>
      <c r="IIY241"/>
      <c r="IIZ241"/>
      <c r="IJA241"/>
      <c r="IJB241"/>
      <c r="IJC241"/>
      <c r="IJD241"/>
      <c r="IJE241"/>
      <c r="IJF241"/>
      <c r="IJG241"/>
      <c r="IJH241"/>
      <c r="IJI241"/>
      <c r="IJJ241"/>
      <c r="IJK241"/>
      <c r="IJL241"/>
      <c r="IJM241"/>
      <c r="IJN241"/>
      <c r="IJO241"/>
      <c r="IJP241"/>
      <c r="IJQ241"/>
      <c r="IJR241"/>
      <c r="IJS241"/>
      <c r="IJT241"/>
      <c r="IJU241"/>
      <c r="IJV241"/>
      <c r="IJW241"/>
      <c r="IJX241"/>
      <c r="IJY241"/>
      <c r="IJZ241"/>
      <c r="IKA241"/>
      <c r="IKB241"/>
      <c r="IKC241"/>
      <c r="IKD241"/>
      <c r="IKE241"/>
      <c r="IKF241"/>
      <c r="IKG241"/>
      <c r="IKH241"/>
      <c r="IKI241"/>
      <c r="IKJ241"/>
      <c r="IKK241"/>
      <c r="IKL241"/>
      <c r="IKM241"/>
      <c r="IKN241"/>
      <c r="IKO241"/>
      <c r="IKP241"/>
      <c r="IKQ241"/>
      <c r="IKR241"/>
      <c r="IKS241"/>
      <c r="IKT241"/>
      <c r="IKU241"/>
      <c r="IKV241"/>
      <c r="IKW241"/>
      <c r="IKX241"/>
      <c r="IKY241"/>
      <c r="IKZ241"/>
      <c r="ILA241"/>
      <c r="ILB241"/>
      <c r="ILC241"/>
      <c r="ILD241"/>
      <c r="ILE241"/>
      <c r="ILF241"/>
      <c r="ILG241"/>
      <c r="ILH241"/>
      <c r="ILI241"/>
      <c r="ILJ241"/>
      <c r="ILK241"/>
      <c r="ILL241"/>
      <c r="ILM241"/>
      <c r="ILN241"/>
      <c r="ILO241"/>
      <c r="ILP241"/>
      <c r="ILQ241"/>
      <c r="ILR241"/>
      <c r="ILS241"/>
      <c r="ILT241"/>
      <c r="ILU241"/>
      <c r="ILV241"/>
      <c r="ILW241"/>
      <c r="ILX241"/>
      <c r="ILY241"/>
      <c r="ILZ241"/>
      <c r="IMA241"/>
      <c r="IMB241"/>
      <c r="IMC241"/>
      <c r="IMD241"/>
      <c r="IME241"/>
      <c r="IMF241"/>
      <c r="IMG241"/>
      <c r="IMH241"/>
      <c r="IMI241"/>
      <c r="IMJ241"/>
      <c r="IMK241"/>
      <c r="IML241"/>
      <c r="IMM241"/>
      <c r="IMN241"/>
      <c r="IMO241"/>
      <c r="IMP241"/>
      <c r="IMQ241"/>
      <c r="IMR241"/>
      <c r="IMS241"/>
      <c r="IMT241"/>
      <c r="IMU241"/>
      <c r="IMV241"/>
      <c r="IMW241"/>
      <c r="IMX241"/>
      <c r="IMY241"/>
      <c r="IMZ241"/>
      <c r="INA241"/>
      <c r="INB241"/>
      <c r="INC241"/>
      <c r="IND241"/>
      <c r="INE241"/>
      <c r="INF241"/>
      <c r="ING241"/>
      <c r="INH241"/>
      <c r="INI241"/>
      <c r="INJ241"/>
      <c r="INK241"/>
      <c r="INL241"/>
      <c r="INM241"/>
      <c r="INN241"/>
      <c r="INO241"/>
      <c r="INP241"/>
      <c r="INQ241"/>
      <c r="INR241"/>
      <c r="INS241"/>
      <c r="INT241"/>
      <c r="INU241"/>
      <c r="INV241"/>
      <c r="INW241"/>
      <c r="INX241"/>
      <c r="INY241"/>
      <c r="INZ241"/>
      <c r="IOA241"/>
      <c r="IOB241"/>
      <c r="IOC241"/>
      <c r="IOD241"/>
      <c r="IOE241"/>
      <c r="IOF241"/>
      <c r="IOG241"/>
      <c r="IOH241"/>
      <c r="IOI241"/>
      <c r="IOJ241"/>
      <c r="IOK241"/>
      <c r="IOL241"/>
      <c r="IOM241"/>
      <c r="ION241"/>
      <c r="IOO241"/>
      <c r="IOP241"/>
      <c r="IOQ241"/>
      <c r="IOR241"/>
      <c r="IOS241"/>
      <c r="IOT241"/>
      <c r="IOU241"/>
      <c r="IOV241"/>
      <c r="IOW241"/>
      <c r="IOX241"/>
      <c r="IOY241"/>
      <c r="IOZ241"/>
      <c r="IPA241"/>
      <c r="IPB241"/>
      <c r="IPC241"/>
      <c r="IPD241"/>
      <c r="IPE241"/>
      <c r="IPF241"/>
      <c r="IPG241"/>
      <c r="IPH241"/>
      <c r="IPI241"/>
      <c r="IPJ241"/>
      <c r="IPK241"/>
      <c r="IPL241"/>
      <c r="IPM241"/>
      <c r="IPN241"/>
      <c r="IPO241"/>
      <c r="IPP241"/>
      <c r="IPQ241"/>
      <c r="IPR241"/>
      <c r="IPS241"/>
      <c r="IPT241"/>
      <c r="IPU241"/>
      <c r="IPV241"/>
      <c r="IPW241"/>
      <c r="IPX241"/>
      <c r="IPY241"/>
      <c r="IPZ241"/>
      <c r="IQA241"/>
      <c r="IQB241"/>
      <c r="IQC241"/>
      <c r="IQD241"/>
      <c r="IQE241"/>
      <c r="IQF241"/>
      <c r="IQG241"/>
      <c r="IQH241"/>
      <c r="IQI241"/>
      <c r="IQJ241"/>
      <c r="IQK241"/>
      <c r="IQL241"/>
      <c r="IQM241"/>
      <c r="IQN241"/>
      <c r="IQO241"/>
      <c r="IQP241"/>
      <c r="IQQ241"/>
      <c r="IQR241"/>
      <c r="IQS241"/>
      <c r="IQT241"/>
      <c r="IQU241"/>
      <c r="IQV241"/>
      <c r="IQW241"/>
      <c r="IQX241"/>
      <c r="IQY241"/>
      <c r="IQZ241"/>
      <c r="IRA241"/>
      <c r="IRB241"/>
      <c r="IRC241"/>
      <c r="IRD241"/>
      <c r="IRE241"/>
      <c r="IRF241"/>
      <c r="IRG241"/>
      <c r="IRH241"/>
      <c r="IRI241"/>
      <c r="IRJ241"/>
      <c r="IRK241"/>
      <c r="IRL241"/>
      <c r="IRM241"/>
      <c r="IRN241"/>
      <c r="IRO241"/>
      <c r="IRP241"/>
      <c r="IRQ241"/>
      <c r="IRR241"/>
      <c r="IRS241"/>
      <c r="IRT241"/>
      <c r="IRU241"/>
      <c r="IRV241"/>
      <c r="IRW241"/>
      <c r="IRX241"/>
      <c r="IRY241"/>
      <c r="IRZ241"/>
      <c r="ISA241"/>
      <c r="ISB241"/>
      <c r="ISC241"/>
      <c r="ISD241"/>
      <c r="ISE241"/>
      <c r="ISF241"/>
      <c r="ISG241"/>
      <c r="ISH241"/>
      <c r="ISI241"/>
      <c r="ISJ241"/>
      <c r="ISK241"/>
      <c r="ISL241"/>
      <c r="ISM241"/>
      <c r="ISN241"/>
      <c r="ISO241"/>
      <c r="ISP241"/>
      <c r="ISQ241"/>
      <c r="ISR241"/>
      <c r="ISS241"/>
      <c r="IST241"/>
      <c r="ISU241"/>
      <c r="ISV241"/>
      <c r="ISW241"/>
      <c r="ISX241"/>
      <c r="ISY241"/>
      <c r="ISZ241"/>
      <c r="ITA241"/>
      <c r="ITB241"/>
      <c r="ITC241"/>
      <c r="ITD241"/>
      <c r="ITE241"/>
      <c r="ITF241"/>
      <c r="ITG241"/>
      <c r="ITH241"/>
      <c r="ITI241"/>
      <c r="ITJ241"/>
      <c r="ITK241"/>
      <c r="ITL241"/>
      <c r="ITM241"/>
      <c r="ITN241"/>
      <c r="ITO241"/>
      <c r="ITP241"/>
      <c r="ITQ241"/>
      <c r="ITR241"/>
      <c r="ITS241"/>
      <c r="ITT241"/>
      <c r="ITU241"/>
      <c r="ITV241"/>
      <c r="ITW241"/>
      <c r="ITX241"/>
      <c r="ITY241"/>
      <c r="ITZ241"/>
      <c r="IUA241"/>
      <c r="IUB241"/>
      <c r="IUC241"/>
      <c r="IUD241"/>
      <c r="IUE241"/>
      <c r="IUF241"/>
      <c r="IUG241"/>
      <c r="IUH241"/>
      <c r="IUI241"/>
      <c r="IUJ241"/>
      <c r="IUK241"/>
      <c r="IUL241"/>
      <c r="IUM241"/>
      <c r="IUN241"/>
      <c r="IUO241"/>
      <c r="IUP241"/>
      <c r="IUQ241"/>
      <c r="IUR241"/>
      <c r="IUS241"/>
      <c r="IUT241"/>
      <c r="IUU241"/>
      <c r="IUV241"/>
      <c r="IUW241"/>
      <c r="IUX241"/>
      <c r="IUY241"/>
      <c r="IUZ241"/>
      <c r="IVA241"/>
      <c r="IVB241"/>
      <c r="IVC241"/>
      <c r="IVD241"/>
      <c r="IVE241"/>
      <c r="IVF241"/>
      <c r="IVG241"/>
      <c r="IVH241"/>
      <c r="IVI241"/>
      <c r="IVJ241"/>
      <c r="IVK241"/>
      <c r="IVL241"/>
      <c r="IVM241"/>
      <c r="IVN241"/>
      <c r="IVO241"/>
      <c r="IVP241"/>
      <c r="IVQ241"/>
      <c r="IVR241"/>
      <c r="IVS241"/>
      <c r="IVT241"/>
      <c r="IVU241"/>
      <c r="IVV241"/>
      <c r="IVW241"/>
      <c r="IVX241"/>
      <c r="IVY241"/>
      <c r="IVZ241"/>
      <c r="IWA241"/>
      <c r="IWB241"/>
      <c r="IWC241"/>
      <c r="IWD241"/>
      <c r="IWE241"/>
      <c r="IWF241"/>
      <c r="IWG241"/>
      <c r="IWH241"/>
      <c r="IWI241"/>
      <c r="IWJ241"/>
      <c r="IWK241"/>
      <c r="IWL241"/>
      <c r="IWM241"/>
      <c r="IWN241"/>
      <c r="IWO241"/>
      <c r="IWP241"/>
      <c r="IWQ241"/>
      <c r="IWR241"/>
      <c r="IWS241"/>
      <c r="IWT241"/>
      <c r="IWU241"/>
      <c r="IWV241"/>
      <c r="IWW241"/>
      <c r="IWX241"/>
      <c r="IWY241"/>
      <c r="IWZ241"/>
      <c r="IXA241"/>
      <c r="IXB241"/>
      <c r="IXC241"/>
      <c r="IXD241"/>
      <c r="IXE241"/>
      <c r="IXF241"/>
      <c r="IXG241"/>
      <c r="IXH241"/>
      <c r="IXI241"/>
      <c r="IXJ241"/>
      <c r="IXK241"/>
      <c r="IXL241"/>
      <c r="IXM241"/>
      <c r="IXN241"/>
      <c r="IXO241"/>
      <c r="IXP241"/>
      <c r="IXQ241"/>
      <c r="IXR241"/>
      <c r="IXS241"/>
      <c r="IXT241"/>
      <c r="IXU241"/>
      <c r="IXV241"/>
      <c r="IXW241"/>
      <c r="IXX241"/>
      <c r="IXY241"/>
      <c r="IXZ241"/>
      <c r="IYA241"/>
      <c r="IYB241"/>
      <c r="IYC241"/>
      <c r="IYD241"/>
      <c r="IYE241"/>
      <c r="IYF241"/>
      <c r="IYG241"/>
      <c r="IYH241"/>
      <c r="IYI241"/>
      <c r="IYJ241"/>
      <c r="IYK241"/>
      <c r="IYL241"/>
      <c r="IYM241"/>
      <c r="IYN241"/>
      <c r="IYO241"/>
      <c r="IYP241"/>
      <c r="IYQ241"/>
      <c r="IYR241"/>
      <c r="IYS241"/>
      <c r="IYT241"/>
      <c r="IYU241"/>
      <c r="IYV241"/>
      <c r="IYW241"/>
      <c r="IYX241"/>
      <c r="IYY241"/>
      <c r="IYZ241"/>
      <c r="IZA241"/>
      <c r="IZB241"/>
      <c r="IZC241"/>
      <c r="IZD241"/>
      <c r="IZE241"/>
      <c r="IZF241"/>
      <c r="IZG241"/>
      <c r="IZH241"/>
      <c r="IZI241"/>
      <c r="IZJ241"/>
      <c r="IZK241"/>
      <c r="IZL241"/>
      <c r="IZM241"/>
      <c r="IZN241"/>
      <c r="IZO241"/>
      <c r="IZP241"/>
      <c r="IZQ241"/>
      <c r="IZR241"/>
      <c r="IZS241"/>
      <c r="IZT241"/>
      <c r="IZU241"/>
      <c r="IZV241"/>
      <c r="IZW241"/>
      <c r="IZX241"/>
      <c r="IZY241"/>
      <c r="IZZ241"/>
      <c r="JAA241"/>
      <c r="JAB241"/>
      <c r="JAC241"/>
      <c r="JAD241"/>
      <c r="JAE241"/>
      <c r="JAF241"/>
      <c r="JAG241"/>
      <c r="JAH241"/>
      <c r="JAI241"/>
      <c r="JAJ241"/>
      <c r="JAK241"/>
      <c r="JAL241"/>
      <c r="JAM241"/>
      <c r="JAN241"/>
      <c r="JAO241"/>
      <c r="JAP241"/>
      <c r="JAQ241"/>
      <c r="JAR241"/>
      <c r="JAS241"/>
      <c r="JAT241"/>
      <c r="JAU241"/>
      <c r="JAV241"/>
      <c r="JAW241"/>
      <c r="JAX241"/>
      <c r="JAY241"/>
      <c r="JAZ241"/>
      <c r="JBA241"/>
      <c r="JBB241"/>
      <c r="JBC241"/>
      <c r="JBD241"/>
      <c r="JBE241"/>
      <c r="JBF241"/>
      <c r="JBG241"/>
      <c r="JBH241"/>
      <c r="JBI241"/>
      <c r="JBJ241"/>
      <c r="JBK241"/>
      <c r="JBL241"/>
      <c r="JBM241"/>
      <c r="JBN241"/>
      <c r="JBO241"/>
      <c r="JBP241"/>
      <c r="JBQ241"/>
      <c r="JBR241"/>
      <c r="JBS241"/>
      <c r="JBT241"/>
      <c r="JBU241"/>
      <c r="JBV241"/>
      <c r="JBW241"/>
      <c r="JBX241"/>
      <c r="JBY241"/>
      <c r="JBZ241"/>
      <c r="JCA241"/>
      <c r="JCB241"/>
      <c r="JCC241"/>
      <c r="JCD241"/>
      <c r="JCE241"/>
      <c r="JCF241"/>
      <c r="JCG241"/>
      <c r="JCH241"/>
      <c r="JCI241"/>
      <c r="JCJ241"/>
      <c r="JCK241"/>
      <c r="JCL241"/>
      <c r="JCM241"/>
      <c r="JCN241"/>
      <c r="JCO241"/>
      <c r="JCP241"/>
      <c r="JCQ241"/>
      <c r="JCR241"/>
      <c r="JCS241"/>
      <c r="JCT241"/>
      <c r="JCU241"/>
      <c r="JCV241"/>
      <c r="JCW241"/>
      <c r="JCX241"/>
      <c r="JCY241"/>
      <c r="JCZ241"/>
      <c r="JDA241"/>
      <c r="JDB241"/>
      <c r="JDC241"/>
      <c r="JDD241"/>
      <c r="JDE241"/>
      <c r="JDF241"/>
      <c r="JDG241"/>
      <c r="JDH241"/>
      <c r="JDI241"/>
      <c r="JDJ241"/>
      <c r="JDK241"/>
      <c r="JDL241"/>
      <c r="JDM241"/>
      <c r="JDN241"/>
      <c r="JDO241"/>
      <c r="JDP241"/>
      <c r="JDQ241"/>
      <c r="JDR241"/>
      <c r="JDS241"/>
      <c r="JDT241"/>
      <c r="JDU241"/>
      <c r="JDV241"/>
      <c r="JDW241"/>
      <c r="JDX241"/>
      <c r="JDY241"/>
      <c r="JDZ241"/>
      <c r="JEA241"/>
      <c r="JEB241"/>
      <c r="JEC241"/>
      <c r="JED241"/>
      <c r="JEE241"/>
      <c r="JEF241"/>
      <c r="JEG241"/>
      <c r="JEH241"/>
      <c r="JEI241"/>
      <c r="JEJ241"/>
      <c r="JEK241"/>
      <c r="JEL241"/>
      <c r="JEM241"/>
      <c r="JEN241"/>
      <c r="JEO241"/>
      <c r="JEP241"/>
      <c r="JEQ241"/>
      <c r="JER241"/>
      <c r="JES241"/>
      <c r="JET241"/>
      <c r="JEU241"/>
      <c r="JEV241"/>
      <c r="JEW241"/>
      <c r="JEX241"/>
      <c r="JEY241"/>
      <c r="JEZ241"/>
      <c r="JFA241"/>
      <c r="JFB241"/>
      <c r="JFC241"/>
      <c r="JFD241"/>
      <c r="JFE241"/>
      <c r="JFF241"/>
      <c r="JFG241"/>
      <c r="JFH241"/>
      <c r="JFI241"/>
      <c r="JFJ241"/>
      <c r="JFK241"/>
      <c r="JFL241"/>
      <c r="JFM241"/>
      <c r="JFN241"/>
      <c r="JFO241"/>
      <c r="JFP241"/>
      <c r="JFQ241"/>
      <c r="JFR241"/>
      <c r="JFS241"/>
      <c r="JFT241"/>
      <c r="JFU241"/>
      <c r="JFV241"/>
      <c r="JFW241"/>
      <c r="JFX241"/>
      <c r="JFY241"/>
      <c r="JFZ241"/>
      <c r="JGA241"/>
      <c r="JGB241"/>
      <c r="JGC241"/>
      <c r="JGD241"/>
      <c r="JGE241"/>
      <c r="JGF241"/>
      <c r="JGG241"/>
      <c r="JGH241"/>
      <c r="JGI241"/>
      <c r="JGJ241"/>
      <c r="JGK241"/>
      <c r="JGL241"/>
      <c r="JGM241"/>
      <c r="JGN241"/>
      <c r="JGO241"/>
      <c r="JGP241"/>
      <c r="JGQ241"/>
      <c r="JGR241"/>
      <c r="JGS241"/>
      <c r="JGT241"/>
      <c r="JGU241"/>
      <c r="JGV241"/>
      <c r="JGW241"/>
      <c r="JGX241"/>
      <c r="JGY241"/>
      <c r="JGZ241"/>
      <c r="JHA241"/>
      <c r="JHB241"/>
      <c r="JHC241"/>
      <c r="JHD241"/>
      <c r="JHE241"/>
      <c r="JHF241"/>
      <c r="JHG241"/>
      <c r="JHH241"/>
      <c r="JHI241"/>
      <c r="JHJ241"/>
      <c r="JHK241"/>
      <c r="JHL241"/>
      <c r="JHM241"/>
      <c r="JHN241"/>
      <c r="JHO241"/>
      <c r="JHP241"/>
      <c r="JHQ241"/>
      <c r="JHR241"/>
      <c r="JHS241"/>
      <c r="JHT241"/>
      <c r="JHU241"/>
      <c r="JHV241"/>
      <c r="JHW241"/>
      <c r="JHX241"/>
      <c r="JHY241"/>
      <c r="JHZ241"/>
      <c r="JIA241"/>
      <c r="JIB241"/>
      <c r="JIC241"/>
      <c r="JID241"/>
      <c r="JIE241"/>
      <c r="JIF241"/>
      <c r="JIG241"/>
      <c r="JIH241"/>
      <c r="JII241"/>
      <c r="JIJ241"/>
      <c r="JIK241"/>
      <c r="JIL241"/>
      <c r="JIM241"/>
      <c r="JIN241"/>
      <c r="JIO241"/>
      <c r="JIP241"/>
      <c r="JIQ241"/>
      <c r="JIR241"/>
      <c r="JIS241"/>
      <c r="JIT241"/>
      <c r="JIU241"/>
      <c r="JIV241"/>
      <c r="JIW241"/>
      <c r="JIX241"/>
      <c r="JIY241"/>
      <c r="JIZ241"/>
      <c r="JJA241"/>
      <c r="JJB241"/>
      <c r="JJC241"/>
      <c r="JJD241"/>
      <c r="JJE241"/>
      <c r="JJF241"/>
      <c r="JJG241"/>
      <c r="JJH241"/>
      <c r="JJI241"/>
      <c r="JJJ241"/>
      <c r="JJK241"/>
      <c r="JJL241"/>
      <c r="JJM241"/>
      <c r="JJN241"/>
      <c r="JJO241"/>
      <c r="JJP241"/>
      <c r="JJQ241"/>
      <c r="JJR241"/>
      <c r="JJS241"/>
      <c r="JJT241"/>
      <c r="JJU241"/>
      <c r="JJV241"/>
      <c r="JJW241"/>
      <c r="JJX241"/>
      <c r="JJY241"/>
      <c r="JJZ241"/>
      <c r="JKA241"/>
      <c r="JKB241"/>
      <c r="JKC241"/>
      <c r="JKD241"/>
      <c r="JKE241"/>
      <c r="JKF241"/>
      <c r="JKG241"/>
      <c r="JKH241"/>
      <c r="JKI241"/>
      <c r="JKJ241"/>
      <c r="JKK241"/>
      <c r="JKL241"/>
      <c r="JKM241"/>
      <c r="JKN241"/>
      <c r="JKO241"/>
      <c r="JKP241"/>
      <c r="JKQ241"/>
      <c r="JKR241"/>
      <c r="JKS241"/>
      <c r="JKT241"/>
      <c r="JKU241"/>
      <c r="JKV241"/>
      <c r="JKW241"/>
      <c r="JKX241"/>
      <c r="JKY241"/>
      <c r="JKZ241"/>
      <c r="JLA241"/>
      <c r="JLB241"/>
      <c r="JLC241"/>
      <c r="JLD241"/>
      <c r="JLE241"/>
      <c r="JLF241"/>
      <c r="JLG241"/>
      <c r="JLH241"/>
      <c r="JLI241"/>
      <c r="JLJ241"/>
      <c r="JLK241"/>
      <c r="JLL241"/>
      <c r="JLM241"/>
      <c r="JLN241"/>
      <c r="JLO241"/>
      <c r="JLP241"/>
      <c r="JLQ241"/>
      <c r="JLR241"/>
      <c r="JLS241"/>
      <c r="JLT241"/>
      <c r="JLU241"/>
      <c r="JLV241"/>
      <c r="JLW241"/>
      <c r="JLX241"/>
      <c r="JLY241"/>
      <c r="JLZ241"/>
      <c r="JMA241"/>
      <c r="JMB241"/>
      <c r="JMC241"/>
      <c r="JMD241"/>
      <c r="JME241"/>
      <c r="JMF241"/>
      <c r="JMG241"/>
      <c r="JMH241"/>
      <c r="JMI241"/>
      <c r="JMJ241"/>
      <c r="JMK241"/>
      <c r="JML241"/>
      <c r="JMM241"/>
      <c r="JMN241"/>
      <c r="JMO241"/>
      <c r="JMP241"/>
      <c r="JMQ241"/>
      <c r="JMR241"/>
      <c r="JMS241"/>
      <c r="JMT241"/>
      <c r="JMU241"/>
      <c r="JMV241"/>
      <c r="JMW241"/>
      <c r="JMX241"/>
      <c r="JMY241"/>
      <c r="JMZ241"/>
      <c r="JNA241"/>
      <c r="JNB241"/>
      <c r="JNC241"/>
      <c r="JND241"/>
      <c r="JNE241"/>
      <c r="JNF241"/>
      <c r="JNG241"/>
      <c r="JNH241"/>
      <c r="JNI241"/>
      <c r="JNJ241"/>
      <c r="JNK241"/>
      <c r="JNL241"/>
      <c r="JNM241"/>
      <c r="JNN241"/>
      <c r="JNO241"/>
      <c r="JNP241"/>
      <c r="JNQ241"/>
      <c r="JNR241"/>
      <c r="JNS241"/>
      <c r="JNT241"/>
      <c r="JNU241"/>
      <c r="JNV241"/>
      <c r="JNW241"/>
      <c r="JNX241"/>
      <c r="JNY241"/>
      <c r="JNZ241"/>
      <c r="JOA241"/>
      <c r="JOB241"/>
      <c r="JOC241"/>
      <c r="JOD241"/>
      <c r="JOE241"/>
      <c r="JOF241"/>
      <c r="JOG241"/>
      <c r="JOH241"/>
      <c r="JOI241"/>
      <c r="JOJ241"/>
      <c r="JOK241"/>
      <c r="JOL241"/>
      <c r="JOM241"/>
      <c r="JON241"/>
      <c r="JOO241"/>
      <c r="JOP241"/>
      <c r="JOQ241"/>
      <c r="JOR241"/>
      <c r="JOS241"/>
      <c r="JOT241"/>
      <c r="JOU241"/>
      <c r="JOV241"/>
      <c r="JOW241"/>
      <c r="JOX241"/>
      <c r="JOY241"/>
      <c r="JOZ241"/>
      <c r="JPA241"/>
      <c r="JPB241"/>
      <c r="JPC241"/>
      <c r="JPD241"/>
      <c r="JPE241"/>
      <c r="JPF241"/>
      <c r="JPG241"/>
      <c r="JPH241"/>
      <c r="JPI241"/>
      <c r="JPJ241"/>
      <c r="JPK241"/>
      <c r="JPL241"/>
      <c r="JPM241"/>
      <c r="JPN241"/>
      <c r="JPO241"/>
      <c r="JPP241"/>
      <c r="JPQ241"/>
      <c r="JPR241"/>
      <c r="JPS241"/>
      <c r="JPT241"/>
      <c r="JPU241"/>
      <c r="JPV241"/>
      <c r="JPW241"/>
      <c r="JPX241"/>
      <c r="JPY241"/>
      <c r="JPZ241"/>
      <c r="JQA241"/>
      <c r="JQB241"/>
      <c r="JQC241"/>
      <c r="JQD241"/>
      <c r="JQE241"/>
      <c r="JQF241"/>
      <c r="JQG241"/>
      <c r="JQH241"/>
      <c r="JQI241"/>
      <c r="JQJ241"/>
      <c r="JQK241"/>
      <c r="JQL241"/>
      <c r="JQM241"/>
      <c r="JQN241"/>
      <c r="JQO241"/>
      <c r="JQP241"/>
      <c r="JQQ241"/>
      <c r="JQR241"/>
      <c r="JQS241"/>
      <c r="JQT241"/>
      <c r="JQU241"/>
      <c r="JQV241"/>
      <c r="JQW241"/>
      <c r="JQX241"/>
      <c r="JQY241"/>
      <c r="JQZ241"/>
      <c r="JRA241"/>
      <c r="JRB241"/>
      <c r="JRC241"/>
      <c r="JRD241"/>
      <c r="JRE241"/>
      <c r="JRF241"/>
      <c r="JRG241"/>
      <c r="JRH241"/>
      <c r="JRI241"/>
      <c r="JRJ241"/>
      <c r="JRK241"/>
      <c r="JRL241"/>
      <c r="JRM241"/>
      <c r="JRN241"/>
      <c r="JRO241"/>
      <c r="JRP241"/>
      <c r="JRQ241"/>
      <c r="JRR241"/>
      <c r="JRS241"/>
      <c r="JRT241"/>
      <c r="JRU241"/>
      <c r="JRV241"/>
      <c r="JRW241"/>
      <c r="JRX241"/>
      <c r="JRY241"/>
      <c r="JRZ241"/>
      <c r="JSA241"/>
      <c r="JSB241"/>
      <c r="JSC241"/>
      <c r="JSD241"/>
      <c r="JSE241"/>
      <c r="JSF241"/>
      <c r="JSG241"/>
      <c r="JSH241"/>
      <c r="JSI241"/>
      <c r="JSJ241"/>
      <c r="JSK241"/>
      <c r="JSL241"/>
      <c r="JSM241"/>
      <c r="JSN241"/>
      <c r="JSO241"/>
      <c r="JSP241"/>
      <c r="JSQ241"/>
      <c r="JSR241"/>
      <c r="JSS241"/>
      <c r="JST241"/>
      <c r="JSU241"/>
      <c r="JSV241"/>
      <c r="JSW241"/>
      <c r="JSX241"/>
      <c r="JSY241"/>
      <c r="JSZ241"/>
      <c r="JTA241"/>
      <c r="JTB241"/>
      <c r="JTC241"/>
      <c r="JTD241"/>
      <c r="JTE241"/>
      <c r="JTF241"/>
      <c r="JTG241"/>
      <c r="JTH241"/>
      <c r="JTI241"/>
      <c r="JTJ241"/>
      <c r="JTK241"/>
      <c r="JTL241"/>
      <c r="JTM241"/>
      <c r="JTN241"/>
      <c r="JTO241"/>
      <c r="JTP241"/>
      <c r="JTQ241"/>
      <c r="JTR241"/>
      <c r="JTS241"/>
      <c r="JTT241"/>
      <c r="JTU241"/>
      <c r="JTV241"/>
      <c r="JTW241"/>
      <c r="JTX241"/>
      <c r="JTY241"/>
      <c r="JTZ241"/>
      <c r="JUA241"/>
      <c r="JUB241"/>
      <c r="JUC241"/>
      <c r="JUD241"/>
      <c r="JUE241"/>
      <c r="JUF241"/>
      <c r="JUG241"/>
      <c r="JUH241"/>
      <c r="JUI241"/>
      <c r="JUJ241"/>
      <c r="JUK241"/>
      <c r="JUL241"/>
      <c r="JUM241"/>
      <c r="JUN241"/>
      <c r="JUO241"/>
      <c r="JUP241"/>
      <c r="JUQ241"/>
      <c r="JUR241"/>
      <c r="JUS241"/>
      <c r="JUT241"/>
      <c r="JUU241"/>
      <c r="JUV241"/>
      <c r="JUW241"/>
      <c r="JUX241"/>
      <c r="JUY241"/>
      <c r="JUZ241"/>
      <c r="JVA241"/>
      <c r="JVB241"/>
      <c r="JVC241"/>
      <c r="JVD241"/>
      <c r="JVE241"/>
      <c r="JVF241"/>
      <c r="JVG241"/>
      <c r="JVH241"/>
      <c r="JVI241"/>
      <c r="JVJ241"/>
      <c r="JVK241"/>
      <c r="JVL241"/>
      <c r="JVM241"/>
      <c r="JVN241"/>
      <c r="JVO241"/>
      <c r="JVP241"/>
      <c r="JVQ241"/>
      <c r="JVR241"/>
      <c r="JVS241"/>
      <c r="JVT241"/>
      <c r="JVU241"/>
      <c r="JVV241"/>
      <c r="JVW241"/>
      <c r="JVX241"/>
      <c r="JVY241"/>
      <c r="JVZ241"/>
      <c r="JWA241"/>
      <c r="JWB241"/>
      <c r="JWC241"/>
      <c r="JWD241"/>
      <c r="JWE241"/>
      <c r="JWF241"/>
      <c r="JWG241"/>
      <c r="JWH241"/>
      <c r="JWI241"/>
      <c r="JWJ241"/>
      <c r="JWK241"/>
      <c r="JWL241"/>
      <c r="JWM241"/>
      <c r="JWN241"/>
      <c r="JWO241"/>
      <c r="JWP241"/>
      <c r="JWQ241"/>
      <c r="JWR241"/>
      <c r="JWS241"/>
      <c r="JWT241"/>
      <c r="JWU241"/>
      <c r="JWV241"/>
      <c r="JWW241"/>
      <c r="JWX241"/>
      <c r="JWY241"/>
      <c r="JWZ241"/>
      <c r="JXA241"/>
      <c r="JXB241"/>
      <c r="JXC241"/>
      <c r="JXD241"/>
      <c r="JXE241"/>
      <c r="JXF241"/>
      <c r="JXG241"/>
      <c r="JXH241"/>
      <c r="JXI241"/>
      <c r="JXJ241"/>
      <c r="JXK241"/>
      <c r="JXL241"/>
      <c r="JXM241"/>
      <c r="JXN241"/>
      <c r="JXO241"/>
      <c r="JXP241"/>
      <c r="JXQ241"/>
      <c r="JXR241"/>
      <c r="JXS241"/>
      <c r="JXT241"/>
      <c r="JXU241"/>
      <c r="JXV241"/>
      <c r="JXW241"/>
      <c r="JXX241"/>
      <c r="JXY241"/>
      <c r="JXZ241"/>
      <c r="JYA241"/>
      <c r="JYB241"/>
      <c r="JYC241"/>
      <c r="JYD241"/>
      <c r="JYE241"/>
      <c r="JYF241"/>
      <c r="JYG241"/>
      <c r="JYH241"/>
      <c r="JYI241"/>
      <c r="JYJ241"/>
      <c r="JYK241"/>
      <c r="JYL241"/>
      <c r="JYM241"/>
      <c r="JYN241"/>
      <c r="JYO241"/>
      <c r="JYP241"/>
      <c r="JYQ241"/>
      <c r="JYR241"/>
      <c r="JYS241"/>
      <c r="JYT241"/>
      <c r="JYU241"/>
      <c r="JYV241"/>
      <c r="JYW241"/>
      <c r="JYX241"/>
      <c r="JYY241"/>
      <c r="JYZ241"/>
      <c r="JZA241"/>
      <c r="JZB241"/>
      <c r="JZC241"/>
      <c r="JZD241"/>
      <c r="JZE241"/>
      <c r="JZF241"/>
      <c r="JZG241"/>
      <c r="JZH241"/>
      <c r="JZI241"/>
      <c r="JZJ241"/>
      <c r="JZK241"/>
      <c r="JZL241"/>
      <c r="JZM241"/>
      <c r="JZN241"/>
      <c r="JZO241"/>
      <c r="JZP241"/>
      <c r="JZQ241"/>
      <c r="JZR241"/>
      <c r="JZS241"/>
      <c r="JZT241"/>
      <c r="JZU241"/>
      <c r="JZV241"/>
      <c r="JZW241"/>
      <c r="JZX241"/>
      <c r="JZY241"/>
      <c r="JZZ241"/>
      <c r="KAA241"/>
      <c r="KAB241"/>
      <c r="KAC241"/>
      <c r="KAD241"/>
      <c r="KAE241"/>
      <c r="KAF241"/>
      <c r="KAG241"/>
      <c r="KAH241"/>
      <c r="KAI241"/>
      <c r="KAJ241"/>
      <c r="KAK241"/>
      <c r="KAL241"/>
      <c r="KAM241"/>
      <c r="KAN241"/>
      <c r="KAO241"/>
      <c r="KAP241"/>
      <c r="KAQ241"/>
      <c r="KAR241"/>
      <c r="KAS241"/>
      <c r="KAT241"/>
      <c r="KAU241"/>
      <c r="KAV241"/>
      <c r="KAW241"/>
      <c r="KAX241"/>
      <c r="KAY241"/>
      <c r="KAZ241"/>
      <c r="KBA241"/>
      <c r="KBB241"/>
      <c r="KBC241"/>
      <c r="KBD241"/>
      <c r="KBE241"/>
      <c r="KBF241"/>
      <c r="KBG241"/>
      <c r="KBH241"/>
      <c r="KBI241"/>
      <c r="KBJ241"/>
      <c r="KBK241"/>
      <c r="KBL241"/>
      <c r="KBM241"/>
      <c r="KBN241"/>
      <c r="KBO241"/>
      <c r="KBP241"/>
      <c r="KBQ241"/>
      <c r="KBR241"/>
      <c r="KBS241"/>
      <c r="KBT241"/>
      <c r="KBU241"/>
      <c r="KBV241"/>
      <c r="KBW241"/>
      <c r="KBX241"/>
      <c r="KBY241"/>
      <c r="KBZ241"/>
      <c r="KCA241"/>
      <c r="KCB241"/>
      <c r="KCC241"/>
      <c r="KCD241"/>
      <c r="KCE241"/>
      <c r="KCF241"/>
      <c r="KCG241"/>
      <c r="KCH241"/>
      <c r="KCI241"/>
      <c r="KCJ241"/>
      <c r="KCK241"/>
      <c r="KCL241"/>
      <c r="KCM241"/>
      <c r="KCN241"/>
      <c r="KCO241"/>
      <c r="KCP241"/>
      <c r="KCQ241"/>
      <c r="KCR241"/>
      <c r="KCS241"/>
      <c r="KCT241"/>
      <c r="KCU241"/>
      <c r="KCV241"/>
      <c r="KCW241"/>
      <c r="KCX241"/>
      <c r="KCY241"/>
      <c r="KCZ241"/>
      <c r="KDA241"/>
      <c r="KDB241"/>
      <c r="KDC241"/>
      <c r="KDD241"/>
      <c r="KDE241"/>
      <c r="KDF241"/>
      <c r="KDG241"/>
      <c r="KDH241"/>
      <c r="KDI241"/>
      <c r="KDJ241"/>
      <c r="KDK241"/>
      <c r="KDL241"/>
      <c r="KDM241"/>
      <c r="KDN241"/>
      <c r="KDO241"/>
      <c r="KDP241"/>
      <c r="KDQ241"/>
      <c r="KDR241"/>
      <c r="KDS241"/>
      <c r="KDT241"/>
      <c r="KDU241"/>
      <c r="KDV241"/>
      <c r="KDW241"/>
      <c r="KDX241"/>
      <c r="KDY241"/>
      <c r="KDZ241"/>
      <c r="KEA241"/>
      <c r="KEB241"/>
      <c r="KEC241"/>
      <c r="KED241"/>
      <c r="KEE241"/>
      <c r="KEF241"/>
      <c r="KEG241"/>
      <c r="KEH241"/>
      <c r="KEI241"/>
      <c r="KEJ241"/>
      <c r="KEK241"/>
      <c r="KEL241"/>
      <c r="KEM241"/>
      <c r="KEN241"/>
      <c r="KEO241"/>
      <c r="KEP241"/>
      <c r="KEQ241"/>
      <c r="KER241"/>
      <c r="KES241"/>
      <c r="KET241"/>
      <c r="KEU241"/>
      <c r="KEV241"/>
      <c r="KEW241"/>
      <c r="KEX241"/>
      <c r="KEY241"/>
      <c r="KEZ241"/>
      <c r="KFA241"/>
      <c r="KFB241"/>
      <c r="KFC241"/>
      <c r="KFD241"/>
      <c r="KFE241"/>
      <c r="KFF241"/>
      <c r="KFG241"/>
      <c r="KFH241"/>
      <c r="KFI241"/>
      <c r="KFJ241"/>
      <c r="KFK241"/>
      <c r="KFL241"/>
      <c r="KFM241"/>
      <c r="KFN241"/>
      <c r="KFO241"/>
      <c r="KFP241"/>
      <c r="KFQ241"/>
      <c r="KFR241"/>
      <c r="KFS241"/>
      <c r="KFT241"/>
      <c r="KFU241"/>
      <c r="KFV241"/>
      <c r="KFW241"/>
      <c r="KFX241"/>
      <c r="KFY241"/>
      <c r="KFZ241"/>
      <c r="KGA241"/>
      <c r="KGB241"/>
      <c r="KGC241"/>
      <c r="KGD241"/>
      <c r="KGE241"/>
      <c r="KGF241"/>
      <c r="KGG241"/>
      <c r="KGH241"/>
      <c r="KGI241"/>
      <c r="KGJ241"/>
      <c r="KGK241"/>
      <c r="KGL241"/>
      <c r="KGM241"/>
      <c r="KGN241"/>
      <c r="KGO241"/>
      <c r="KGP241"/>
      <c r="KGQ241"/>
      <c r="KGR241"/>
      <c r="KGS241"/>
      <c r="KGT241"/>
      <c r="KGU241"/>
      <c r="KGV241"/>
      <c r="KGW241"/>
      <c r="KGX241"/>
      <c r="KGY241"/>
      <c r="KGZ241"/>
      <c r="KHA241"/>
      <c r="KHB241"/>
      <c r="KHC241"/>
      <c r="KHD241"/>
      <c r="KHE241"/>
      <c r="KHF241"/>
      <c r="KHG241"/>
      <c r="KHH241"/>
      <c r="KHI241"/>
      <c r="KHJ241"/>
      <c r="KHK241"/>
      <c r="KHL241"/>
      <c r="KHM241"/>
      <c r="KHN241"/>
      <c r="KHO241"/>
      <c r="KHP241"/>
      <c r="KHQ241"/>
      <c r="KHR241"/>
      <c r="KHS241"/>
      <c r="KHT241"/>
      <c r="KHU241"/>
      <c r="KHV241"/>
      <c r="KHW241"/>
      <c r="KHX241"/>
      <c r="KHY241"/>
      <c r="KHZ241"/>
      <c r="KIA241"/>
      <c r="KIB241"/>
      <c r="KIC241"/>
      <c r="KID241"/>
      <c r="KIE241"/>
      <c r="KIF241"/>
      <c r="KIG241"/>
      <c r="KIH241"/>
      <c r="KII241"/>
      <c r="KIJ241"/>
      <c r="KIK241"/>
      <c r="KIL241"/>
      <c r="KIM241"/>
      <c r="KIN241"/>
      <c r="KIO241"/>
      <c r="KIP241"/>
      <c r="KIQ241"/>
      <c r="KIR241"/>
      <c r="KIS241"/>
      <c r="KIT241"/>
      <c r="KIU241"/>
      <c r="KIV241"/>
      <c r="KIW241"/>
      <c r="KIX241"/>
      <c r="KIY241"/>
      <c r="KIZ241"/>
      <c r="KJA241"/>
      <c r="KJB241"/>
      <c r="KJC241"/>
      <c r="KJD241"/>
      <c r="KJE241"/>
      <c r="KJF241"/>
      <c r="KJG241"/>
      <c r="KJH241"/>
      <c r="KJI241"/>
      <c r="KJJ241"/>
      <c r="KJK241"/>
      <c r="KJL241"/>
      <c r="KJM241"/>
      <c r="KJN241"/>
      <c r="KJO241"/>
      <c r="KJP241"/>
      <c r="KJQ241"/>
      <c r="KJR241"/>
      <c r="KJS241"/>
      <c r="KJT241"/>
      <c r="KJU241"/>
      <c r="KJV241"/>
      <c r="KJW241"/>
      <c r="KJX241"/>
      <c r="KJY241"/>
      <c r="KJZ241"/>
      <c r="KKA241"/>
      <c r="KKB241"/>
      <c r="KKC241"/>
      <c r="KKD241"/>
      <c r="KKE241"/>
      <c r="KKF241"/>
      <c r="KKG241"/>
      <c r="KKH241"/>
      <c r="KKI241"/>
      <c r="KKJ241"/>
      <c r="KKK241"/>
      <c r="KKL241"/>
      <c r="KKM241"/>
      <c r="KKN241"/>
      <c r="KKO241"/>
      <c r="KKP241"/>
      <c r="KKQ241"/>
      <c r="KKR241"/>
      <c r="KKS241"/>
      <c r="KKT241"/>
      <c r="KKU241"/>
      <c r="KKV241"/>
      <c r="KKW241"/>
      <c r="KKX241"/>
      <c r="KKY241"/>
      <c r="KKZ241"/>
      <c r="KLA241"/>
      <c r="KLB241"/>
      <c r="KLC241"/>
      <c r="KLD241"/>
      <c r="KLE241"/>
      <c r="KLF241"/>
      <c r="KLG241"/>
      <c r="KLH241"/>
      <c r="KLI241"/>
      <c r="KLJ241"/>
      <c r="KLK241"/>
      <c r="KLL241"/>
      <c r="KLM241"/>
      <c r="KLN241"/>
      <c r="KLO241"/>
      <c r="KLP241"/>
      <c r="KLQ241"/>
      <c r="KLR241"/>
      <c r="KLS241"/>
      <c r="KLT241"/>
      <c r="KLU241"/>
      <c r="KLV241"/>
      <c r="KLW241"/>
      <c r="KLX241"/>
      <c r="KLY241"/>
      <c r="KLZ241"/>
      <c r="KMA241"/>
      <c r="KMB241"/>
      <c r="KMC241"/>
      <c r="KMD241"/>
      <c r="KME241"/>
      <c r="KMF241"/>
      <c r="KMG241"/>
      <c r="KMH241"/>
      <c r="KMI241"/>
      <c r="KMJ241"/>
      <c r="KMK241"/>
      <c r="KML241"/>
      <c r="KMM241"/>
      <c r="KMN241"/>
      <c r="KMO241"/>
      <c r="KMP241"/>
      <c r="KMQ241"/>
      <c r="KMR241"/>
      <c r="KMS241"/>
      <c r="KMT241"/>
      <c r="KMU241"/>
      <c r="KMV241"/>
      <c r="KMW241"/>
      <c r="KMX241"/>
      <c r="KMY241"/>
      <c r="KMZ241"/>
      <c r="KNA241"/>
      <c r="KNB241"/>
      <c r="KNC241"/>
      <c r="KND241"/>
      <c r="KNE241"/>
      <c r="KNF241"/>
      <c r="KNG241"/>
      <c r="KNH241"/>
      <c r="KNI241"/>
      <c r="KNJ241"/>
      <c r="KNK241"/>
      <c r="KNL241"/>
      <c r="KNM241"/>
      <c r="KNN241"/>
      <c r="KNO241"/>
      <c r="KNP241"/>
      <c r="KNQ241"/>
      <c r="KNR241"/>
      <c r="KNS241"/>
      <c r="KNT241"/>
      <c r="KNU241"/>
      <c r="KNV241"/>
      <c r="KNW241"/>
      <c r="KNX241"/>
      <c r="KNY241"/>
      <c r="KNZ241"/>
      <c r="KOA241"/>
      <c r="KOB241"/>
      <c r="KOC241"/>
      <c r="KOD241"/>
      <c r="KOE241"/>
      <c r="KOF241"/>
      <c r="KOG241"/>
      <c r="KOH241"/>
      <c r="KOI241"/>
      <c r="KOJ241"/>
      <c r="KOK241"/>
      <c r="KOL241"/>
      <c r="KOM241"/>
      <c r="KON241"/>
      <c r="KOO241"/>
      <c r="KOP241"/>
      <c r="KOQ241"/>
      <c r="KOR241"/>
      <c r="KOS241"/>
      <c r="KOT241"/>
      <c r="KOU241"/>
      <c r="KOV241"/>
      <c r="KOW241"/>
      <c r="KOX241"/>
      <c r="KOY241"/>
      <c r="KOZ241"/>
      <c r="KPA241"/>
      <c r="KPB241"/>
      <c r="KPC241"/>
      <c r="KPD241"/>
      <c r="KPE241"/>
      <c r="KPF241"/>
      <c r="KPG241"/>
      <c r="KPH241"/>
      <c r="KPI241"/>
      <c r="KPJ241"/>
      <c r="KPK241"/>
      <c r="KPL241"/>
      <c r="KPM241"/>
      <c r="KPN241"/>
      <c r="KPO241"/>
      <c r="KPP241"/>
      <c r="KPQ241"/>
      <c r="KPR241"/>
      <c r="KPS241"/>
      <c r="KPT241"/>
      <c r="KPU241"/>
      <c r="KPV241"/>
      <c r="KPW241"/>
      <c r="KPX241"/>
      <c r="KPY241"/>
      <c r="KPZ241"/>
      <c r="KQA241"/>
      <c r="KQB241"/>
      <c r="KQC241"/>
      <c r="KQD241"/>
      <c r="KQE241"/>
      <c r="KQF241"/>
      <c r="KQG241"/>
      <c r="KQH241"/>
      <c r="KQI241"/>
      <c r="KQJ241"/>
      <c r="KQK241"/>
      <c r="KQL241"/>
      <c r="KQM241"/>
      <c r="KQN241"/>
      <c r="KQO241"/>
      <c r="KQP241"/>
      <c r="KQQ241"/>
      <c r="KQR241"/>
      <c r="KQS241"/>
      <c r="KQT241"/>
      <c r="KQU241"/>
      <c r="KQV241"/>
      <c r="KQW241"/>
      <c r="KQX241"/>
      <c r="KQY241"/>
      <c r="KQZ241"/>
      <c r="KRA241"/>
      <c r="KRB241"/>
      <c r="KRC241"/>
      <c r="KRD241"/>
      <c r="KRE241"/>
      <c r="KRF241"/>
      <c r="KRG241"/>
      <c r="KRH241"/>
      <c r="KRI241"/>
      <c r="KRJ241"/>
      <c r="KRK241"/>
      <c r="KRL241"/>
      <c r="KRM241"/>
      <c r="KRN241"/>
      <c r="KRO241"/>
      <c r="KRP241"/>
      <c r="KRQ241"/>
      <c r="KRR241"/>
      <c r="KRS241"/>
      <c r="KRT241"/>
      <c r="KRU241"/>
      <c r="KRV241"/>
      <c r="KRW241"/>
      <c r="KRX241"/>
      <c r="KRY241"/>
      <c r="KRZ241"/>
      <c r="KSA241"/>
      <c r="KSB241"/>
      <c r="KSC241"/>
      <c r="KSD241"/>
      <c r="KSE241"/>
      <c r="KSF241"/>
      <c r="KSG241"/>
      <c r="KSH241"/>
      <c r="KSI241"/>
      <c r="KSJ241"/>
      <c r="KSK241"/>
      <c r="KSL241"/>
      <c r="KSM241"/>
      <c r="KSN241"/>
      <c r="KSO241"/>
      <c r="KSP241"/>
      <c r="KSQ241"/>
      <c r="KSR241"/>
      <c r="KSS241"/>
      <c r="KST241"/>
      <c r="KSU241"/>
      <c r="KSV241"/>
      <c r="KSW241"/>
      <c r="KSX241"/>
      <c r="KSY241"/>
      <c r="KSZ241"/>
      <c r="KTA241"/>
      <c r="KTB241"/>
      <c r="KTC241"/>
      <c r="KTD241"/>
      <c r="KTE241"/>
      <c r="KTF241"/>
      <c r="KTG241"/>
      <c r="KTH241"/>
      <c r="KTI241"/>
      <c r="KTJ241"/>
      <c r="KTK241"/>
      <c r="KTL241"/>
      <c r="KTM241"/>
      <c r="KTN241"/>
      <c r="KTO241"/>
      <c r="KTP241"/>
      <c r="KTQ241"/>
      <c r="KTR241"/>
      <c r="KTS241"/>
      <c r="KTT241"/>
      <c r="KTU241"/>
      <c r="KTV241"/>
      <c r="KTW241"/>
      <c r="KTX241"/>
      <c r="KTY241"/>
      <c r="KTZ241"/>
      <c r="KUA241"/>
      <c r="KUB241"/>
      <c r="KUC241"/>
      <c r="KUD241"/>
      <c r="KUE241"/>
      <c r="KUF241"/>
      <c r="KUG241"/>
      <c r="KUH241"/>
      <c r="KUI241"/>
      <c r="KUJ241"/>
      <c r="KUK241"/>
      <c r="KUL241"/>
      <c r="KUM241"/>
      <c r="KUN241"/>
      <c r="KUO241"/>
      <c r="KUP241"/>
      <c r="KUQ241"/>
      <c r="KUR241"/>
      <c r="KUS241"/>
      <c r="KUT241"/>
      <c r="KUU241"/>
      <c r="KUV241"/>
      <c r="KUW241"/>
      <c r="KUX241"/>
      <c r="KUY241"/>
      <c r="KUZ241"/>
      <c r="KVA241"/>
      <c r="KVB241"/>
      <c r="KVC241"/>
      <c r="KVD241"/>
      <c r="KVE241"/>
      <c r="KVF241"/>
      <c r="KVG241"/>
      <c r="KVH241"/>
      <c r="KVI241"/>
      <c r="KVJ241"/>
      <c r="KVK241"/>
      <c r="KVL241"/>
      <c r="KVM241"/>
      <c r="KVN241"/>
      <c r="KVO241"/>
      <c r="KVP241"/>
      <c r="KVQ241"/>
      <c r="KVR241"/>
      <c r="KVS241"/>
      <c r="KVT241"/>
      <c r="KVU241"/>
      <c r="KVV241"/>
      <c r="KVW241"/>
      <c r="KVX241"/>
      <c r="KVY241"/>
      <c r="KVZ241"/>
      <c r="KWA241"/>
      <c r="KWB241"/>
      <c r="KWC241"/>
      <c r="KWD241"/>
      <c r="KWE241"/>
      <c r="KWF241"/>
      <c r="KWG241"/>
      <c r="KWH241"/>
      <c r="KWI241"/>
      <c r="KWJ241"/>
      <c r="KWK241"/>
      <c r="KWL241"/>
      <c r="KWM241"/>
      <c r="KWN241"/>
      <c r="KWO241"/>
      <c r="KWP241"/>
      <c r="KWQ241"/>
      <c r="KWR241"/>
      <c r="KWS241"/>
      <c r="KWT241"/>
      <c r="KWU241"/>
      <c r="KWV241"/>
      <c r="KWW241"/>
      <c r="KWX241"/>
      <c r="KWY241"/>
      <c r="KWZ241"/>
      <c r="KXA241"/>
      <c r="KXB241"/>
      <c r="KXC241"/>
      <c r="KXD241"/>
      <c r="KXE241"/>
      <c r="KXF241"/>
      <c r="KXG241"/>
      <c r="KXH241"/>
      <c r="KXI241"/>
      <c r="KXJ241"/>
      <c r="KXK241"/>
      <c r="KXL241"/>
      <c r="KXM241"/>
      <c r="KXN241"/>
      <c r="KXO241"/>
      <c r="KXP241"/>
      <c r="KXQ241"/>
      <c r="KXR241"/>
      <c r="KXS241"/>
      <c r="KXT241"/>
      <c r="KXU241"/>
      <c r="KXV241"/>
      <c r="KXW241"/>
      <c r="KXX241"/>
      <c r="KXY241"/>
      <c r="KXZ241"/>
      <c r="KYA241"/>
      <c r="KYB241"/>
      <c r="KYC241"/>
      <c r="KYD241"/>
      <c r="KYE241"/>
      <c r="KYF241"/>
      <c r="KYG241"/>
      <c r="KYH241"/>
      <c r="KYI241"/>
      <c r="KYJ241"/>
      <c r="KYK241"/>
      <c r="KYL241"/>
      <c r="KYM241"/>
      <c r="KYN241"/>
      <c r="KYO241"/>
      <c r="KYP241"/>
      <c r="KYQ241"/>
      <c r="KYR241"/>
      <c r="KYS241"/>
      <c r="KYT241"/>
      <c r="KYU241"/>
      <c r="KYV241"/>
      <c r="KYW241"/>
      <c r="KYX241"/>
      <c r="KYY241"/>
      <c r="KYZ241"/>
      <c r="KZA241"/>
      <c r="KZB241"/>
      <c r="KZC241"/>
      <c r="KZD241"/>
      <c r="KZE241"/>
      <c r="KZF241"/>
      <c r="KZG241"/>
      <c r="KZH241"/>
      <c r="KZI241"/>
      <c r="KZJ241"/>
      <c r="KZK241"/>
      <c r="KZL241"/>
      <c r="KZM241"/>
      <c r="KZN241"/>
      <c r="KZO241"/>
      <c r="KZP241"/>
      <c r="KZQ241"/>
      <c r="KZR241"/>
      <c r="KZS241"/>
      <c r="KZT241"/>
      <c r="KZU241"/>
      <c r="KZV241"/>
      <c r="KZW241"/>
      <c r="KZX241"/>
      <c r="KZY241"/>
      <c r="KZZ241"/>
      <c r="LAA241"/>
      <c r="LAB241"/>
      <c r="LAC241"/>
      <c r="LAD241"/>
      <c r="LAE241"/>
      <c r="LAF241"/>
      <c r="LAG241"/>
      <c r="LAH241"/>
      <c r="LAI241"/>
      <c r="LAJ241"/>
      <c r="LAK241"/>
      <c r="LAL241"/>
      <c r="LAM241"/>
      <c r="LAN241"/>
      <c r="LAO241"/>
      <c r="LAP241"/>
      <c r="LAQ241"/>
      <c r="LAR241"/>
      <c r="LAS241"/>
      <c r="LAT241"/>
      <c r="LAU241"/>
      <c r="LAV241"/>
      <c r="LAW241"/>
      <c r="LAX241"/>
      <c r="LAY241"/>
      <c r="LAZ241"/>
      <c r="LBA241"/>
      <c r="LBB241"/>
      <c r="LBC241"/>
      <c r="LBD241"/>
      <c r="LBE241"/>
      <c r="LBF241"/>
      <c r="LBG241"/>
      <c r="LBH241"/>
      <c r="LBI241"/>
      <c r="LBJ241"/>
      <c r="LBK241"/>
      <c r="LBL241"/>
      <c r="LBM241"/>
      <c r="LBN241"/>
      <c r="LBO241"/>
      <c r="LBP241"/>
      <c r="LBQ241"/>
      <c r="LBR241"/>
      <c r="LBS241"/>
      <c r="LBT241"/>
      <c r="LBU241"/>
      <c r="LBV241"/>
      <c r="LBW241"/>
      <c r="LBX241"/>
      <c r="LBY241"/>
      <c r="LBZ241"/>
      <c r="LCA241"/>
      <c r="LCB241"/>
      <c r="LCC241"/>
      <c r="LCD241"/>
      <c r="LCE241"/>
      <c r="LCF241"/>
      <c r="LCG241"/>
      <c r="LCH241"/>
      <c r="LCI241"/>
      <c r="LCJ241"/>
      <c r="LCK241"/>
      <c r="LCL241"/>
      <c r="LCM241"/>
      <c r="LCN241"/>
      <c r="LCO241"/>
      <c r="LCP241"/>
      <c r="LCQ241"/>
      <c r="LCR241"/>
      <c r="LCS241"/>
      <c r="LCT241"/>
      <c r="LCU241"/>
      <c r="LCV241"/>
      <c r="LCW241"/>
      <c r="LCX241"/>
      <c r="LCY241"/>
      <c r="LCZ241"/>
      <c r="LDA241"/>
      <c r="LDB241"/>
      <c r="LDC241"/>
      <c r="LDD241"/>
      <c r="LDE241"/>
      <c r="LDF241"/>
      <c r="LDG241"/>
      <c r="LDH241"/>
      <c r="LDI241"/>
      <c r="LDJ241"/>
      <c r="LDK241"/>
      <c r="LDL241"/>
      <c r="LDM241"/>
      <c r="LDN241"/>
      <c r="LDO241"/>
      <c r="LDP241"/>
      <c r="LDQ241"/>
      <c r="LDR241"/>
      <c r="LDS241"/>
      <c r="LDT241"/>
      <c r="LDU241"/>
      <c r="LDV241"/>
      <c r="LDW241"/>
      <c r="LDX241"/>
      <c r="LDY241"/>
      <c r="LDZ241"/>
      <c r="LEA241"/>
      <c r="LEB241"/>
      <c r="LEC241"/>
      <c r="LED241"/>
      <c r="LEE241"/>
      <c r="LEF241"/>
      <c r="LEG241"/>
      <c r="LEH241"/>
      <c r="LEI241"/>
      <c r="LEJ241"/>
      <c r="LEK241"/>
      <c r="LEL241"/>
      <c r="LEM241"/>
      <c r="LEN241"/>
      <c r="LEO241"/>
      <c r="LEP241"/>
      <c r="LEQ241"/>
      <c r="LER241"/>
      <c r="LES241"/>
      <c r="LET241"/>
      <c r="LEU241"/>
      <c r="LEV241"/>
      <c r="LEW241"/>
      <c r="LEX241"/>
      <c r="LEY241"/>
      <c r="LEZ241"/>
      <c r="LFA241"/>
      <c r="LFB241"/>
      <c r="LFC241"/>
      <c r="LFD241"/>
      <c r="LFE241"/>
      <c r="LFF241"/>
      <c r="LFG241"/>
      <c r="LFH241"/>
      <c r="LFI241"/>
      <c r="LFJ241"/>
      <c r="LFK241"/>
      <c r="LFL241"/>
      <c r="LFM241"/>
      <c r="LFN241"/>
      <c r="LFO241"/>
      <c r="LFP241"/>
      <c r="LFQ241"/>
      <c r="LFR241"/>
      <c r="LFS241"/>
      <c r="LFT241"/>
      <c r="LFU241"/>
      <c r="LFV241"/>
      <c r="LFW241"/>
      <c r="LFX241"/>
      <c r="LFY241"/>
      <c r="LFZ241"/>
      <c r="LGA241"/>
      <c r="LGB241"/>
      <c r="LGC241"/>
      <c r="LGD241"/>
      <c r="LGE241"/>
      <c r="LGF241"/>
      <c r="LGG241"/>
      <c r="LGH241"/>
      <c r="LGI241"/>
      <c r="LGJ241"/>
      <c r="LGK241"/>
      <c r="LGL241"/>
      <c r="LGM241"/>
      <c r="LGN241"/>
      <c r="LGO241"/>
      <c r="LGP241"/>
      <c r="LGQ241"/>
      <c r="LGR241"/>
      <c r="LGS241"/>
      <c r="LGT241"/>
      <c r="LGU241"/>
      <c r="LGV241"/>
      <c r="LGW241"/>
      <c r="LGX241"/>
      <c r="LGY241"/>
      <c r="LGZ241"/>
      <c r="LHA241"/>
      <c r="LHB241"/>
      <c r="LHC241"/>
      <c r="LHD241"/>
      <c r="LHE241"/>
      <c r="LHF241"/>
      <c r="LHG241"/>
      <c r="LHH241"/>
      <c r="LHI241"/>
      <c r="LHJ241"/>
      <c r="LHK241"/>
      <c r="LHL241"/>
      <c r="LHM241"/>
      <c r="LHN241"/>
      <c r="LHO241"/>
      <c r="LHP241"/>
      <c r="LHQ241"/>
      <c r="LHR241"/>
      <c r="LHS241"/>
      <c r="LHT241"/>
      <c r="LHU241"/>
      <c r="LHV241"/>
      <c r="LHW241"/>
      <c r="LHX241"/>
      <c r="LHY241"/>
      <c r="LHZ241"/>
      <c r="LIA241"/>
      <c r="LIB241"/>
      <c r="LIC241"/>
      <c r="LID241"/>
      <c r="LIE241"/>
      <c r="LIF241"/>
      <c r="LIG241"/>
      <c r="LIH241"/>
      <c r="LII241"/>
      <c r="LIJ241"/>
      <c r="LIK241"/>
      <c r="LIL241"/>
      <c r="LIM241"/>
      <c r="LIN241"/>
      <c r="LIO241"/>
      <c r="LIP241"/>
      <c r="LIQ241"/>
      <c r="LIR241"/>
      <c r="LIS241"/>
      <c r="LIT241"/>
      <c r="LIU241"/>
      <c r="LIV241"/>
      <c r="LIW241"/>
      <c r="LIX241"/>
      <c r="LIY241"/>
      <c r="LIZ241"/>
      <c r="LJA241"/>
      <c r="LJB241"/>
      <c r="LJC241"/>
      <c r="LJD241"/>
      <c r="LJE241"/>
      <c r="LJF241"/>
      <c r="LJG241"/>
      <c r="LJH241"/>
      <c r="LJI241"/>
      <c r="LJJ241"/>
      <c r="LJK241"/>
      <c r="LJL241"/>
      <c r="LJM241"/>
      <c r="LJN241"/>
      <c r="LJO241"/>
      <c r="LJP241"/>
      <c r="LJQ241"/>
      <c r="LJR241"/>
      <c r="LJS241"/>
      <c r="LJT241"/>
      <c r="LJU241"/>
      <c r="LJV241"/>
      <c r="LJW241"/>
      <c r="LJX241"/>
      <c r="LJY241"/>
      <c r="LJZ241"/>
      <c r="LKA241"/>
      <c r="LKB241"/>
      <c r="LKC241"/>
      <c r="LKD241"/>
      <c r="LKE241"/>
      <c r="LKF241"/>
      <c r="LKG241"/>
      <c r="LKH241"/>
      <c r="LKI241"/>
      <c r="LKJ241"/>
      <c r="LKK241"/>
      <c r="LKL241"/>
      <c r="LKM241"/>
      <c r="LKN241"/>
      <c r="LKO241"/>
      <c r="LKP241"/>
      <c r="LKQ241"/>
      <c r="LKR241"/>
      <c r="LKS241"/>
      <c r="LKT241"/>
      <c r="LKU241"/>
      <c r="LKV241"/>
      <c r="LKW241"/>
      <c r="LKX241"/>
      <c r="LKY241"/>
      <c r="LKZ241"/>
      <c r="LLA241"/>
      <c r="LLB241"/>
      <c r="LLC241"/>
      <c r="LLD241"/>
      <c r="LLE241"/>
      <c r="LLF241"/>
      <c r="LLG241"/>
      <c r="LLH241"/>
      <c r="LLI241"/>
      <c r="LLJ241"/>
      <c r="LLK241"/>
      <c r="LLL241"/>
      <c r="LLM241"/>
      <c r="LLN241"/>
      <c r="LLO241"/>
      <c r="LLP241"/>
      <c r="LLQ241"/>
      <c r="LLR241"/>
      <c r="LLS241"/>
      <c r="LLT241"/>
      <c r="LLU241"/>
      <c r="LLV241"/>
      <c r="LLW241"/>
      <c r="LLX241"/>
      <c r="LLY241"/>
      <c r="LLZ241"/>
      <c r="LMA241"/>
      <c r="LMB241"/>
      <c r="LMC241"/>
      <c r="LMD241"/>
      <c r="LME241"/>
      <c r="LMF241"/>
      <c r="LMG241"/>
      <c r="LMH241"/>
      <c r="LMI241"/>
      <c r="LMJ241"/>
      <c r="LMK241"/>
      <c r="LML241"/>
      <c r="LMM241"/>
      <c r="LMN241"/>
      <c r="LMO241"/>
      <c r="LMP241"/>
      <c r="LMQ241"/>
      <c r="LMR241"/>
      <c r="LMS241"/>
      <c r="LMT241"/>
      <c r="LMU241"/>
      <c r="LMV241"/>
      <c r="LMW241"/>
      <c r="LMX241"/>
      <c r="LMY241"/>
      <c r="LMZ241"/>
      <c r="LNA241"/>
      <c r="LNB241"/>
      <c r="LNC241"/>
      <c r="LND241"/>
      <c r="LNE241"/>
      <c r="LNF241"/>
      <c r="LNG241"/>
      <c r="LNH241"/>
      <c r="LNI241"/>
      <c r="LNJ241"/>
      <c r="LNK241"/>
      <c r="LNL241"/>
      <c r="LNM241"/>
      <c r="LNN241"/>
      <c r="LNO241"/>
      <c r="LNP241"/>
      <c r="LNQ241"/>
      <c r="LNR241"/>
      <c r="LNS241"/>
      <c r="LNT241"/>
      <c r="LNU241"/>
      <c r="LNV241"/>
      <c r="LNW241"/>
      <c r="LNX241"/>
      <c r="LNY241"/>
      <c r="LNZ241"/>
      <c r="LOA241"/>
      <c r="LOB241"/>
      <c r="LOC241"/>
      <c r="LOD241"/>
      <c r="LOE241"/>
      <c r="LOF241"/>
      <c r="LOG241"/>
      <c r="LOH241"/>
      <c r="LOI241"/>
      <c r="LOJ241"/>
      <c r="LOK241"/>
      <c r="LOL241"/>
      <c r="LOM241"/>
      <c r="LON241"/>
      <c r="LOO241"/>
      <c r="LOP241"/>
      <c r="LOQ241"/>
      <c r="LOR241"/>
      <c r="LOS241"/>
      <c r="LOT241"/>
      <c r="LOU241"/>
      <c r="LOV241"/>
      <c r="LOW241"/>
      <c r="LOX241"/>
      <c r="LOY241"/>
      <c r="LOZ241"/>
      <c r="LPA241"/>
      <c r="LPB241"/>
      <c r="LPC241"/>
      <c r="LPD241"/>
      <c r="LPE241"/>
      <c r="LPF241"/>
      <c r="LPG241"/>
      <c r="LPH241"/>
      <c r="LPI241"/>
      <c r="LPJ241"/>
      <c r="LPK241"/>
      <c r="LPL241"/>
      <c r="LPM241"/>
      <c r="LPN241"/>
      <c r="LPO241"/>
      <c r="LPP241"/>
      <c r="LPQ241"/>
      <c r="LPR241"/>
      <c r="LPS241"/>
      <c r="LPT241"/>
      <c r="LPU241"/>
      <c r="LPV241"/>
      <c r="LPW241"/>
      <c r="LPX241"/>
      <c r="LPY241"/>
      <c r="LPZ241"/>
      <c r="LQA241"/>
      <c r="LQB241"/>
      <c r="LQC241"/>
      <c r="LQD241"/>
      <c r="LQE241"/>
      <c r="LQF241"/>
      <c r="LQG241"/>
      <c r="LQH241"/>
      <c r="LQI241"/>
      <c r="LQJ241"/>
      <c r="LQK241"/>
      <c r="LQL241"/>
      <c r="LQM241"/>
      <c r="LQN241"/>
      <c r="LQO241"/>
      <c r="LQP241"/>
      <c r="LQQ241"/>
      <c r="LQR241"/>
      <c r="LQS241"/>
      <c r="LQT241"/>
      <c r="LQU241"/>
      <c r="LQV241"/>
      <c r="LQW241"/>
      <c r="LQX241"/>
      <c r="LQY241"/>
      <c r="LQZ241"/>
      <c r="LRA241"/>
      <c r="LRB241"/>
      <c r="LRC241"/>
      <c r="LRD241"/>
      <c r="LRE241"/>
      <c r="LRF241"/>
      <c r="LRG241"/>
      <c r="LRH241"/>
      <c r="LRI241"/>
      <c r="LRJ241"/>
      <c r="LRK241"/>
      <c r="LRL241"/>
      <c r="LRM241"/>
      <c r="LRN241"/>
      <c r="LRO241"/>
      <c r="LRP241"/>
      <c r="LRQ241"/>
      <c r="LRR241"/>
      <c r="LRS241"/>
      <c r="LRT241"/>
      <c r="LRU241"/>
      <c r="LRV241"/>
      <c r="LRW241"/>
      <c r="LRX241"/>
      <c r="LRY241"/>
      <c r="LRZ241"/>
      <c r="LSA241"/>
      <c r="LSB241"/>
      <c r="LSC241"/>
      <c r="LSD241"/>
      <c r="LSE241"/>
      <c r="LSF241"/>
      <c r="LSG241"/>
      <c r="LSH241"/>
      <c r="LSI241"/>
      <c r="LSJ241"/>
      <c r="LSK241"/>
      <c r="LSL241"/>
      <c r="LSM241"/>
      <c r="LSN241"/>
      <c r="LSO241"/>
      <c r="LSP241"/>
      <c r="LSQ241"/>
      <c r="LSR241"/>
      <c r="LSS241"/>
      <c r="LST241"/>
      <c r="LSU241"/>
      <c r="LSV241"/>
      <c r="LSW241"/>
      <c r="LSX241"/>
      <c r="LSY241"/>
      <c r="LSZ241"/>
      <c r="LTA241"/>
      <c r="LTB241"/>
      <c r="LTC241"/>
      <c r="LTD241"/>
      <c r="LTE241"/>
      <c r="LTF241"/>
      <c r="LTG241"/>
      <c r="LTH241"/>
      <c r="LTI241"/>
      <c r="LTJ241"/>
      <c r="LTK241"/>
      <c r="LTL241"/>
      <c r="LTM241"/>
      <c r="LTN241"/>
      <c r="LTO241"/>
      <c r="LTP241"/>
      <c r="LTQ241"/>
      <c r="LTR241"/>
      <c r="LTS241"/>
      <c r="LTT241"/>
      <c r="LTU241"/>
      <c r="LTV241"/>
      <c r="LTW241"/>
      <c r="LTX241"/>
      <c r="LTY241"/>
      <c r="LTZ241"/>
      <c r="LUA241"/>
      <c r="LUB241"/>
      <c r="LUC241"/>
      <c r="LUD241"/>
      <c r="LUE241"/>
      <c r="LUF241"/>
      <c r="LUG241"/>
      <c r="LUH241"/>
      <c r="LUI241"/>
      <c r="LUJ241"/>
      <c r="LUK241"/>
      <c r="LUL241"/>
      <c r="LUM241"/>
      <c r="LUN241"/>
      <c r="LUO241"/>
      <c r="LUP241"/>
      <c r="LUQ241"/>
      <c r="LUR241"/>
      <c r="LUS241"/>
      <c r="LUT241"/>
      <c r="LUU241"/>
      <c r="LUV241"/>
      <c r="LUW241"/>
      <c r="LUX241"/>
      <c r="LUY241"/>
      <c r="LUZ241"/>
      <c r="LVA241"/>
      <c r="LVB241"/>
      <c r="LVC241"/>
      <c r="LVD241"/>
      <c r="LVE241"/>
      <c r="LVF241"/>
      <c r="LVG241"/>
      <c r="LVH241"/>
      <c r="LVI241"/>
      <c r="LVJ241"/>
      <c r="LVK241"/>
      <c r="LVL241"/>
      <c r="LVM241"/>
      <c r="LVN241"/>
      <c r="LVO241"/>
      <c r="LVP241"/>
      <c r="LVQ241"/>
      <c r="LVR241"/>
      <c r="LVS241"/>
      <c r="LVT241"/>
      <c r="LVU241"/>
      <c r="LVV241"/>
      <c r="LVW241"/>
      <c r="LVX241"/>
      <c r="LVY241"/>
      <c r="LVZ241"/>
      <c r="LWA241"/>
      <c r="LWB241"/>
      <c r="LWC241"/>
      <c r="LWD241"/>
      <c r="LWE241"/>
      <c r="LWF241"/>
      <c r="LWG241"/>
      <c r="LWH241"/>
      <c r="LWI241"/>
      <c r="LWJ241"/>
      <c r="LWK241"/>
      <c r="LWL241"/>
      <c r="LWM241"/>
      <c r="LWN241"/>
      <c r="LWO241"/>
      <c r="LWP241"/>
      <c r="LWQ241"/>
      <c r="LWR241"/>
      <c r="LWS241"/>
      <c r="LWT241"/>
      <c r="LWU241"/>
      <c r="LWV241"/>
      <c r="LWW241"/>
      <c r="LWX241"/>
      <c r="LWY241"/>
      <c r="LWZ241"/>
      <c r="LXA241"/>
      <c r="LXB241"/>
      <c r="LXC241"/>
      <c r="LXD241"/>
      <c r="LXE241"/>
      <c r="LXF241"/>
      <c r="LXG241"/>
      <c r="LXH241"/>
      <c r="LXI241"/>
      <c r="LXJ241"/>
      <c r="LXK241"/>
      <c r="LXL241"/>
      <c r="LXM241"/>
      <c r="LXN241"/>
      <c r="LXO241"/>
      <c r="LXP241"/>
      <c r="LXQ241"/>
      <c r="LXR241"/>
      <c r="LXS241"/>
      <c r="LXT241"/>
      <c r="LXU241"/>
      <c r="LXV241"/>
      <c r="LXW241"/>
      <c r="LXX241"/>
      <c r="LXY241"/>
      <c r="LXZ241"/>
      <c r="LYA241"/>
      <c r="LYB241"/>
      <c r="LYC241"/>
      <c r="LYD241"/>
      <c r="LYE241"/>
      <c r="LYF241"/>
      <c r="LYG241"/>
      <c r="LYH241"/>
      <c r="LYI241"/>
      <c r="LYJ241"/>
      <c r="LYK241"/>
      <c r="LYL241"/>
      <c r="LYM241"/>
      <c r="LYN241"/>
      <c r="LYO241"/>
      <c r="LYP241"/>
      <c r="LYQ241"/>
      <c r="LYR241"/>
      <c r="LYS241"/>
      <c r="LYT241"/>
      <c r="LYU241"/>
      <c r="LYV241"/>
      <c r="LYW241"/>
      <c r="LYX241"/>
      <c r="LYY241"/>
      <c r="LYZ241"/>
      <c r="LZA241"/>
      <c r="LZB241"/>
      <c r="LZC241"/>
      <c r="LZD241"/>
      <c r="LZE241"/>
      <c r="LZF241"/>
      <c r="LZG241"/>
      <c r="LZH241"/>
      <c r="LZI241"/>
      <c r="LZJ241"/>
      <c r="LZK241"/>
      <c r="LZL241"/>
      <c r="LZM241"/>
      <c r="LZN241"/>
      <c r="LZO241"/>
      <c r="LZP241"/>
      <c r="LZQ241"/>
      <c r="LZR241"/>
      <c r="LZS241"/>
      <c r="LZT241"/>
      <c r="LZU241"/>
      <c r="LZV241"/>
      <c r="LZW241"/>
      <c r="LZX241"/>
      <c r="LZY241"/>
      <c r="LZZ241"/>
      <c r="MAA241"/>
      <c r="MAB241"/>
      <c r="MAC241"/>
      <c r="MAD241"/>
      <c r="MAE241"/>
      <c r="MAF241"/>
      <c r="MAG241"/>
      <c r="MAH241"/>
      <c r="MAI241"/>
      <c r="MAJ241"/>
      <c r="MAK241"/>
      <c r="MAL241"/>
      <c r="MAM241"/>
      <c r="MAN241"/>
      <c r="MAO241"/>
      <c r="MAP241"/>
      <c r="MAQ241"/>
      <c r="MAR241"/>
      <c r="MAS241"/>
      <c r="MAT241"/>
      <c r="MAU241"/>
      <c r="MAV241"/>
      <c r="MAW241"/>
      <c r="MAX241"/>
      <c r="MAY241"/>
      <c r="MAZ241"/>
      <c r="MBA241"/>
      <c r="MBB241"/>
      <c r="MBC241"/>
      <c r="MBD241"/>
      <c r="MBE241"/>
      <c r="MBF241"/>
      <c r="MBG241"/>
      <c r="MBH241"/>
      <c r="MBI241"/>
      <c r="MBJ241"/>
      <c r="MBK241"/>
      <c r="MBL241"/>
      <c r="MBM241"/>
      <c r="MBN241"/>
      <c r="MBO241"/>
      <c r="MBP241"/>
      <c r="MBQ241"/>
      <c r="MBR241"/>
      <c r="MBS241"/>
      <c r="MBT241"/>
      <c r="MBU241"/>
      <c r="MBV241"/>
      <c r="MBW241"/>
      <c r="MBX241"/>
      <c r="MBY241"/>
      <c r="MBZ241"/>
      <c r="MCA241"/>
      <c r="MCB241"/>
      <c r="MCC241"/>
      <c r="MCD241"/>
      <c r="MCE241"/>
      <c r="MCF241"/>
      <c r="MCG241"/>
      <c r="MCH241"/>
      <c r="MCI241"/>
      <c r="MCJ241"/>
      <c r="MCK241"/>
      <c r="MCL241"/>
      <c r="MCM241"/>
      <c r="MCN241"/>
      <c r="MCO241"/>
      <c r="MCP241"/>
      <c r="MCQ241"/>
      <c r="MCR241"/>
      <c r="MCS241"/>
      <c r="MCT241"/>
      <c r="MCU241"/>
      <c r="MCV241"/>
      <c r="MCW241"/>
      <c r="MCX241"/>
      <c r="MCY241"/>
      <c r="MCZ241"/>
      <c r="MDA241"/>
      <c r="MDB241"/>
      <c r="MDC241"/>
      <c r="MDD241"/>
      <c r="MDE241"/>
      <c r="MDF241"/>
      <c r="MDG241"/>
      <c r="MDH241"/>
      <c r="MDI241"/>
      <c r="MDJ241"/>
      <c r="MDK241"/>
      <c r="MDL241"/>
      <c r="MDM241"/>
      <c r="MDN241"/>
      <c r="MDO241"/>
      <c r="MDP241"/>
      <c r="MDQ241"/>
      <c r="MDR241"/>
      <c r="MDS241"/>
      <c r="MDT241"/>
      <c r="MDU241"/>
      <c r="MDV241"/>
      <c r="MDW241"/>
      <c r="MDX241"/>
      <c r="MDY241"/>
      <c r="MDZ241"/>
      <c r="MEA241"/>
      <c r="MEB241"/>
      <c r="MEC241"/>
      <c r="MED241"/>
      <c r="MEE241"/>
      <c r="MEF241"/>
      <c r="MEG241"/>
      <c r="MEH241"/>
      <c r="MEI241"/>
      <c r="MEJ241"/>
      <c r="MEK241"/>
      <c r="MEL241"/>
      <c r="MEM241"/>
      <c r="MEN241"/>
      <c r="MEO241"/>
      <c r="MEP241"/>
      <c r="MEQ241"/>
      <c r="MER241"/>
      <c r="MES241"/>
      <c r="MET241"/>
      <c r="MEU241"/>
      <c r="MEV241"/>
      <c r="MEW241"/>
      <c r="MEX241"/>
      <c r="MEY241"/>
      <c r="MEZ241"/>
      <c r="MFA241"/>
      <c r="MFB241"/>
      <c r="MFC241"/>
      <c r="MFD241"/>
      <c r="MFE241"/>
      <c r="MFF241"/>
      <c r="MFG241"/>
      <c r="MFH241"/>
      <c r="MFI241"/>
      <c r="MFJ241"/>
      <c r="MFK241"/>
      <c r="MFL241"/>
      <c r="MFM241"/>
      <c r="MFN241"/>
      <c r="MFO241"/>
      <c r="MFP241"/>
      <c r="MFQ241"/>
      <c r="MFR241"/>
      <c r="MFS241"/>
      <c r="MFT241"/>
      <c r="MFU241"/>
      <c r="MFV241"/>
      <c r="MFW241"/>
      <c r="MFX241"/>
      <c r="MFY241"/>
      <c r="MFZ241"/>
      <c r="MGA241"/>
      <c r="MGB241"/>
      <c r="MGC241"/>
      <c r="MGD241"/>
      <c r="MGE241"/>
      <c r="MGF241"/>
      <c r="MGG241"/>
      <c r="MGH241"/>
      <c r="MGI241"/>
      <c r="MGJ241"/>
      <c r="MGK241"/>
      <c r="MGL241"/>
      <c r="MGM241"/>
      <c r="MGN241"/>
      <c r="MGO241"/>
      <c r="MGP241"/>
      <c r="MGQ241"/>
      <c r="MGR241"/>
      <c r="MGS241"/>
      <c r="MGT241"/>
      <c r="MGU241"/>
      <c r="MGV241"/>
      <c r="MGW241"/>
      <c r="MGX241"/>
      <c r="MGY241"/>
      <c r="MGZ241"/>
      <c r="MHA241"/>
      <c r="MHB241"/>
      <c r="MHC241"/>
      <c r="MHD241"/>
      <c r="MHE241"/>
      <c r="MHF241"/>
      <c r="MHG241"/>
      <c r="MHH241"/>
      <c r="MHI241"/>
      <c r="MHJ241"/>
      <c r="MHK241"/>
      <c r="MHL241"/>
      <c r="MHM241"/>
      <c r="MHN241"/>
      <c r="MHO241"/>
      <c r="MHP241"/>
      <c r="MHQ241"/>
      <c r="MHR241"/>
      <c r="MHS241"/>
      <c r="MHT241"/>
      <c r="MHU241"/>
      <c r="MHV241"/>
      <c r="MHW241"/>
      <c r="MHX241"/>
      <c r="MHY241"/>
      <c r="MHZ241"/>
      <c r="MIA241"/>
      <c r="MIB241"/>
      <c r="MIC241"/>
      <c r="MID241"/>
      <c r="MIE241"/>
      <c r="MIF241"/>
      <c r="MIG241"/>
      <c r="MIH241"/>
      <c r="MII241"/>
      <c r="MIJ241"/>
      <c r="MIK241"/>
      <c r="MIL241"/>
      <c r="MIM241"/>
      <c r="MIN241"/>
      <c r="MIO241"/>
      <c r="MIP241"/>
      <c r="MIQ241"/>
      <c r="MIR241"/>
      <c r="MIS241"/>
      <c r="MIT241"/>
      <c r="MIU241"/>
      <c r="MIV241"/>
      <c r="MIW241"/>
      <c r="MIX241"/>
      <c r="MIY241"/>
      <c r="MIZ241"/>
      <c r="MJA241"/>
      <c r="MJB241"/>
      <c r="MJC241"/>
      <c r="MJD241"/>
      <c r="MJE241"/>
      <c r="MJF241"/>
      <c r="MJG241"/>
      <c r="MJH241"/>
      <c r="MJI241"/>
      <c r="MJJ241"/>
      <c r="MJK241"/>
      <c r="MJL241"/>
      <c r="MJM241"/>
      <c r="MJN241"/>
      <c r="MJO241"/>
      <c r="MJP241"/>
      <c r="MJQ241"/>
      <c r="MJR241"/>
      <c r="MJS241"/>
      <c r="MJT241"/>
      <c r="MJU241"/>
      <c r="MJV241"/>
      <c r="MJW241"/>
      <c r="MJX241"/>
      <c r="MJY241"/>
      <c r="MJZ241"/>
      <c r="MKA241"/>
      <c r="MKB241"/>
      <c r="MKC241"/>
      <c r="MKD241"/>
      <c r="MKE241"/>
      <c r="MKF241"/>
      <c r="MKG241"/>
      <c r="MKH241"/>
      <c r="MKI241"/>
      <c r="MKJ241"/>
      <c r="MKK241"/>
      <c r="MKL241"/>
      <c r="MKM241"/>
      <c r="MKN241"/>
      <c r="MKO241"/>
      <c r="MKP241"/>
      <c r="MKQ241"/>
      <c r="MKR241"/>
      <c r="MKS241"/>
      <c r="MKT241"/>
      <c r="MKU241"/>
      <c r="MKV241"/>
      <c r="MKW241"/>
      <c r="MKX241"/>
      <c r="MKY241"/>
      <c r="MKZ241"/>
      <c r="MLA241"/>
      <c r="MLB241"/>
      <c r="MLC241"/>
      <c r="MLD241"/>
      <c r="MLE241"/>
      <c r="MLF241"/>
      <c r="MLG241"/>
      <c r="MLH241"/>
      <c r="MLI241"/>
      <c r="MLJ241"/>
      <c r="MLK241"/>
      <c r="MLL241"/>
      <c r="MLM241"/>
      <c r="MLN241"/>
      <c r="MLO241"/>
      <c r="MLP241"/>
      <c r="MLQ241"/>
      <c r="MLR241"/>
      <c r="MLS241"/>
      <c r="MLT241"/>
      <c r="MLU241"/>
      <c r="MLV241"/>
      <c r="MLW241"/>
      <c r="MLX241"/>
      <c r="MLY241"/>
      <c r="MLZ241"/>
      <c r="MMA241"/>
      <c r="MMB241"/>
      <c r="MMC241"/>
      <c r="MMD241"/>
      <c r="MME241"/>
      <c r="MMF241"/>
      <c r="MMG241"/>
      <c r="MMH241"/>
      <c r="MMI241"/>
      <c r="MMJ241"/>
      <c r="MMK241"/>
      <c r="MML241"/>
      <c r="MMM241"/>
      <c r="MMN241"/>
      <c r="MMO241"/>
      <c r="MMP241"/>
      <c r="MMQ241"/>
      <c r="MMR241"/>
      <c r="MMS241"/>
      <c r="MMT241"/>
      <c r="MMU241"/>
      <c r="MMV241"/>
      <c r="MMW241"/>
      <c r="MMX241"/>
      <c r="MMY241"/>
      <c r="MMZ241"/>
      <c r="MNA241"/>
      <c r="MNB241"/>
      <c r="MNC241"/>
      <c r="MND241"/>
      <c r="MNE241"/>
      <c r="MNF241"/>
      <c r="MNG241"/>
      <c r="MNH241"/>
      <c r="MNI241"/>
      <c r="MNJ241"/>
      <c r="MNK241"/>
      <c r="MNL241"/>
      <c r="MNM241"/>
      <c r="MNN241"/>
      <c r="MNO241"/>
      <c r="MNP241"/>
      <c r="MNQ241"/>
      <c r="MNR241"/>
      <c r="MNS241"/>
      <c r="MNT241"/>
      <c r="MNU241"/>
      <c r="MNV241"/>
      <c r="MNW241"/>
      <c r="MNX241"/>
      <c r="MNY241"/>
      <c r="MNZ241"/>
      <c r="MOA241"/>
      <c r="MOB241"/>
      <c r="MOC241"/>
      <c r="MOD241"/>
      <c r="MOE241"/>
      <c r="MOF241"/>
      <c r="MOG241"/>
      <c r="MOH241"/>
      <c r="MOI241"/>
      <c r="MOJ241"/>
      <c r="MOK241"/>
      <c r="MOL241"/>
      <c r="MOM241"/>
      <c r="MON241"/>
      <c r="MOO241"/>
      <c r="MOP241"/>
      <c r="MOQ241"/>
      <c r="MOR241"/>
      <c r="MOS241"/>
      <c r="MOT241"/>
      <c r="MOU241"/>
      <c r="MOV241"/>
      <c r="MOW241"/>
      <c r="MOX241"/>
      <c r="MOY241"/>
      <c r="MOZ241"/>
      <c r="MPA241"/>
      <c r="MPB241"/>
      <c r="MPC241"/>
      <c r="MPD241"/>
      <c r="MPE241"/>
      <c r="MPF241"/>
      <c r="MPG241"/>
      <c r="MPH241"/>
      <c r="MPI241"/>
      <c r="MPJ241"/>
      <c r="MPK241"/>
      <c r="MPL241"/>
      <c r="MPM241"/>
      <c r="MPN241"/>
      <c r="MPO241"/>
      <c r="MPP241"/>
      <c r="MPQ241"/>
      <c r="MPR241"/>
      <c r="MPS241"/>
      <c r="MPT241"/>
      <c r="MPU241"/>
      <c r="MPV241"/>
      <c r="MPW241"/>
      <c r="MPX241"/>
      <c r="MPY241"/>
      <c r="MPZ241"/>
      <c r="MQA241"/>
      <c r="MQB241"/>
      <c r="MQC241"/>
      <c r="MQD241"/>
      <c r="MQE241"/>
      <c r="MQF241"/>
      <c r="MQG241"/>
      <c r="MQH241"/>
      <c r="MQI241"/>
      <c r="MQJ241"/>
      <c r="MQK241"/>
      <c r="MQL241"/>
      <c r="MQM241"/>
      <c r="MQN241"/>
      <c r="MQO241"/>
      <c r="MQP241"/>
      <c r="MQQ241"/>
      <c r="MQR241"/>
      <c r="MQS241"/>
      <c r="MQT241"/>
      <c r="MQU241"/>
      <c r="MQV241"/>
      <c r="MQW241"/>
      <c r="MQX241"/>
      <c r="MQY241"/>
      <c r="MQZ241"/>
      <c r="MRA241"/>
      <c r="MRB241"/>
      <c r="MRC241"/>
      <c r="MRD241"/>
      <c r="MRE241"/>
      <c r="MRF241"/>
      <c r="MRG241"/>
      <c r="MRH241"/>
      <c r="MRI241"/>
      <c r="MRJ241"/>
      <c r="MRK241"/>
      <c r="MRL241"/>
      <c r="MRM241"/>
      <c r="MRN241"/>
      <c r="MRO241"/>
      <c r="MRP241"/>
      <c r="MRQ241"/>
      <c r="MRR241"/>
      <c r="MRS241"/>
      <c r="MRT241"/>
      <c r="MRU241"/>
      <c r="MRV241"/>
      <c r="MRW241"/>
      <c r="MRX241"/>
      <c r="MRY241"/>
      <c r="MRZ241"/>
      <c r="MSA241"/>
      <c r="MSB241"/>
      <c r="MSC241"/>
      <c r="MSD241"/>
      <c r="MSE241"/>
      <c r="MSF241"/>
      <c r="MSG241"/>
      <c r="MSH241"/>
      <c r="MSI241"/>
      <c r="MSJ241"/>
      <c r="MSK241"/>
      <c r="MSL241"/>
      <c r="MSM241"/>
      <c r="MSN241"/>
      <c r="MSO241"/>
      <c r="MSP241"/>
      <c r="MSQ241"/>
      <c r="MSR241"/>
      <c r="MSS241"/>
      <c r="MST241"/>
      <c r="MSU241"/>
      <c r="MSV241"/>
      <c r="MSW241"/>
      <c r="MSX241"/>
      <c r="MSY241"/>
      <c r="MSZ241"/>
      <c r="MTA241"/>
      <c r="MTB241"/>
      <c r="MTC241"/>
      <c r="MTD241"/>
      <c r="MTE241"/>
      <c r="MTF241"/>
      <c r="MTG241"/>
      <c r="MTH241"/>
      <c r="MTI241"/>
      <c r="MTJ241"/>
      <c r="MTK241"/>
      <c r="MTL241"/>
      <c r="MTM241"/>
      <c r="MTN241"/>
      <c r="MTO241"/>
      <c r="MTP241"/>
      <c r="MTQ241"/>
      <c r="MTR241"/>
      <c r="MTS241"/>
      <c r="MTT241"/>
      <c r="MTU241"/>
      <c r="MTV241"/>
      <c r="MTW241"/>
      <c r="MTX241"/>
      <c r="MTY241"/>
      <c r="MTZ241"/>
      <c r="MUA241"/>
      <c r="MUB241"/>
      <c r="MUC241"/>
      <c r="MUD241"/>
      <c r="MUE241"/>
      <c r="MUF241"/>
      <c r="MUG241"/>
      <c r="MUH241"/>
      <c r="MUI241"/>
      <c r="MUJ241"/>
      <c r="MUK241"/>
      <c r="MUL241"/>
      <c r="MUM241"/>
      <c r="MUN241"/>
      <c r="MUO241"/>
      <c r="MUP241"/>
      <c r="MUQ241"/>
      <c r="MUR241"/>
      <c r="MUS241"/>
      <c r="MUT241"/>
      <c r="MUU241"/>
      <c r="MUV241"/>
      <c r="MUW241"/>
      <c r="MUX241"/>
      <c r="MUY241"/>
      <c r="MUZ241"/>
      <c r="MVA241"/>
      <c r="MVB241"/>
      <c r="MVC241"/>
      <c r="MVD241"/>
      <c r="MVE241"/>
      <c r="MVF241"/>
      <c r="MVG241"/>
      <c r="MVH241"/>
      <c r="MVI241"/>
      <c r="MVJ241"/>
      <c r="MVK241"/>
      <c r="MVL241"/>
      <c r="MVM241"/>
      <c r="MVN241"/>
      <c r="MVO241"/>
      <c r="MVP241"/>
      <c r="MVQ241"/>
      <c r="MVR241"/>
      <c r="MVS241"/>
      <c r="MVT241"/>
      <c r="MVU241"/>
      <c r="MVV241"/>
      <c r="MVW241"/>
      <c r="MVX241"/>
      <c r="MVY241"/>
      <c r="MVZ241"/>
      <c r="MWA241"/>
      <c r="MWB241"/>
      <c r="MWC241"/>
      <c r="MWD241"/>
      <c r="MWE241"/>
      <c r="MWF241"/>
      <c r="MWG241"/>
      <c r="MWH241"/>
      <c r="MWI241"/>
      <c r="MWJ241"/>
      <c r="MWK241"/>
      <c r="MWL241"/>
      <c r="MWM241"/>
      <c r="MWN241"/>
      <c r="MWO241"/>
      <c r="MWP241"/>
      <c r="MWQ241"/>
      <c r="MWR241"/>
      <c r="MWS241"/>
      <c r="MWT241"/>
      <c r="MWU241"/>
      <c r="MWV241"/>
      <c r="MWW241"/>
      <c r="MWX241"/>
      <c r="MWY241"/>
      <c r="MWZ241"/>
      <c r="MXA241"/>
      <c r="MXB241"/>
      <c r="MXC241"/>
      <c r="MXD241"/>
      <c r="MXE241"/>
      <c r="MXF241"/>
      <c r="MXG241"/>
      <c r="MXH241"/>
      <c r="MXI241"/>
      <c r="MXJ241"/>
      <c r="MXK241"/>
      <c r="MXL241"/>
      <c r="MXM241"/>
      <c r="MXN241"/>
      <c r="MXO241"/>
      <c r="MXP241"/>
      <c r="MXQ241"/>
      <c r="MXR241"/>
      <c r="MXS241"/>
      <c r="MXT241"/>
      <c r="MXU241"/>
      <c r="MXV241"/>
      <c r="MXW241"/>
      <c r="MXX241"/>
      <c r="MXY241"/>
      <c r="MXZ241"/>
      <c r="MYA241"/>
      <c r="MYB241"/>
      <c r="MYC241"/>
      <c r="MYD241"/>
      <c r="MYE241"/>
      <c r="MYF241"/>
      <c r="MYG241"/>
      <c r="MYH241"/>
      <c r="MYI241"/>
      <c r="MYJ241"/>
      <c r="MYK241"/>
      <c r="MYL241"/>
      <c r="MYM241"/>
      <c r="MYN241"/>
      <c r="MYO241"/>
      <c r="MYP241"/>
      <c r="MYQ241"/>
      <c r="MYR241"/>
      <c r="MYS241"/>
      <c r="MYT241"/>
      <c r="MYU241"/>
      <c r="MYV241"/>
      <c r="MYW241"/>
      <c r="MYX241"/>
      <c r="MYY241"/>
      <c r="MYZ241"/>
      <c r="MZA241"/>
      <c r="MZB241"/>
      <c r="MZC241"/>
      <c r="MZD241"/>
      <c r="MZE241"/>
      <c r="MZF241"/>
      <c r="MZG241"/>
      <c r="MZH241"/>
      <c r="MZI241"/>
      <c r="MZJ241"/>
      <c r="MZK241"/>
      <c r="MZL241"/>
      <c r="MZM241"/>
      <c r="MZN241"/>
      <c r="MZO241"/>
      <c r="MZP241"/>
      <c r="MZQ241"/>
      <c r="MZR241"/>
      <c r="MZS241"/>
      <c r="MZT241"/>
      <c r="MZU241"/>
      <c r="MZV241"/>
      <c r="MZW241"/>
      <c r="MZX241"/>
      <c r="MZY241"/>
      <c r="MZZ241"/>
      <c r="NAA241"/>
      <c r="NAB241"/>
      <c r="NAC241"/>
      <c r="NAD241"/>
      <c r="NAE241"/>
      <c r="NAF241"/>
      <c r="NAG241"/>
      <c r="NAH241"/>
      <c r="NAI241"/>
      <c r="NAJ241"/>
      <c r="NAK241"/>
      <c r="NAL241"/>
      <c r="NAM241"/>
      <c r="NAN241"/>
      <c r="NAO241"/>
      <c r="NAP241"/>
      <c r="NAQ241"/>
      <c r="NAR241"/>
      <c r="NAS241"/>
      <c r="NAT241"/>
      <c r="NAU241"/>
      <c r="NAV241"/>
      <c r="NAW241"/>
      <c r="NAX241"/>
      <c r="NAY241"/>
      <c r="NAZ241"/>
      <c r="NBA241"/>
      <c r="NBB241"/>
      <c r="NBC241"/>
      <c r="NBD241"/>
      <c r="NBE241"/>
      <c r="NBF241"/>
      <c r="NBG241"/>
      <c r="NBH241"/>
      <c r="NBI241"/>
      <c r="NBJ241"/>
      <c r="NBK241"/>
      <c r="NBL241"/>
      <c r="NBM241"/>
      <c r="NBN241"/>
      <c r="NBO241"/>
      <c r="NBP241"/>
      <c r="NBQ241"/>
      <c r="NBR241"/>
      <c r="NBS241"/>
      <c r="NBT241"/>
      <c r="NBU241"/>
      <c r="NBV241"/>
      <c r="NBW241"/>
      <c r="NBX241"/>
      <c r="NBY241"/>
      <c r="NBZ241"/>
      <c r="NCA241"/>
      <c r="NCB241"/>
      <c r="NCC241"/>
      <c r="NCD241"/>
      <c r="NCE241"/>
      <c r="NCF241"/>
      <c r="NCG241"/>
      <c r="NCH241"/>
      <c r="NCI241"/>
      <c r="NCJ241"/>
      <c r="NCK241"/>
      <c r="NCL241"/>
      <c r="NCM241"/>
      <c r="NCN241"/>
      <c r="NCO241"/>
      <c r="NCP241"/>
      <c r="NCQ241"/>
      <c r="NCR241"/>
      <c r="NCS241"/>
      <c r="NCT241"/>
      <c r="NCU241"/>
      <c r="NCV241"/>
      <c r="NCW241"/>
      <c r="NCX241"/>
      <c r="NCY241"/>
      <c r="NCZ241"/>
      <c r="NDA241"/>
      <c r="NDB241"/>
      <c r="NDC241"/>
      <c r="NDD241"/>
      <c r="NDE241"/>
      <c r="NDF241"/>
      <c r="NDG241"/>
      <c r="NDH241"/>
      <c r="NDI241"/>
      <c r="NDJ241"/>
      <c r="NDK241"/>
      <c r="NDL241"/>
      <c r="NDM241"/>
      <c r="NDN241"/>
      <c r="NDO241"/>
      <c r="NDP241"/>
      <c r="NDQ241"/>
      <c r="NDR241"/>
      <c r="NDS241"/>
      <c r="NDT241"/>
      <c r="NDU241"/>
      <c r="NDV241"/>
      <c r="NDW241"/>
      <c r="NDX241"/>
      <c r="NDY241"/>
      <c r="NDZ241"/>
      <c r="NEA241"/>
      <c r="NEB241"/>
      <c r="NEC241"/>
      <c r="NED241"/>
      <c r="NEE241"/>
      <c r="NEF241"/>
      <c r="NEG241"/>
      <c r="NEH241"/>
      <c r="NEI241"/>
      <c r="NEJ241"/>
      <c r="NEK241"/>
      <c r="NEL241"/>
      <c r="NEM241"/>
      <c r="NEN241"/>
      <c r="NEO241"/>
      <c r="NEP241"/>
      <c r="NEQ241"/>
      <c r="NER241"/>
      <c r="NES241"/>
      <c r="NET241"/>
      <c r="NEU241"/>
      <c r="NEV241"/>
      <c r="NEW241"/>
      <c r="NEX241"/>
      <c r="NEY241"/>
      <c r="NEZ241"/>
      <c r="NFA241"/>
      <c r="NFB241"/>
      <c r="NFC241"/>
      <c r="NFD241"/>
      <c r="NFE241"/>
      <c r="NFF241"/>
      <c r="NFG241"/>
      <c r="NFH241"/>
      <c r="NFI241"/>
      <c r="NFJ241"/>
      <c r="NFK241"/>
      <c r="NFL241"/>
      <c r="NFM241"/>
      <c r="NFN241"/>
      <c r="NFO241"/>
      <c r="NFP241"/>
      <c r="NFQ241"/>
      <c r="NFR241"/>
      <c r="NFS241"/>
      <c r="NFT241"/>
      <c r="NFU241"/>
      <c r="NFV241"/>
      <c r="NFW241"/>
      <c r="NFX241"/>
      <c r="NFY241"/>
      <c r="NFZ241"/>
      <c r="NGA241"/>
      <c r="NGB241"/>
      <c r="NGC241"/>
      <c r="NGD241"/>
      <c r="NGE241"/>
      <c r="NGF241"/>
      <c r="NGG241"/>
      <c r="NGH241"/>
      <c r="NGI241"/>
      <c r="NGJ241"/>
      <c r="NGK241"/>
      <c r="NGL241"/>
      <c r="NGM241"/>
      <c r="NGN241"/>
      <c r="NGO241"/>
      <c r="NGP241"/>
      <c r="NGQ241"/>
      <c r="NGR241"/>
      <c r="NGS241"/>
      <c r="NGT241"/>
      <c r="NGU241"/>
      <c r="NGV241"/>
      <c r="NGW241"/>
      <c r="NGX241"/>
      <c r="NGY241"/>
      <c r="NGZ241"/>
      <c r="NHA241"/>
      <c r="NHB241"/>
      <c r="NHC241"/>
      <c r="NHD241"/>
      <c r="NHE241"/>
      <c r="NHF241"/>
      <c r="NHG241"/>
      <c r="NHH241"/>
      <c r="NHI241"/>
      <c r="NHJ241"/>
      <c r="NHK241"/>
      <c r="NHL241"/>
      <c r="NHM241"/>
      <c r="NHN241"/>
      <c r="NHO241"/>
      <c r="NHP241"/>
      <c r="NHQ241"/>
      <c r="NHR241"/>
      <c r="NHS241"/>
      <c r="NHT241"/>
      <c r="NHU241"/>
      <c r="NHV241"/>
      <c r="NHW241"/>
      <c r="NHX241"/>
      <c r="NHY241"/>
      <c r="NHZ241"/>
      <c r="NIA241"/>
      <c r="NIB241"/>
      <c r="NIC241"/>
      <c r="NID241"/>
      <c r="NIE241"/>
      <c r="NIF241"/>
      <c r="NIG241"/>
      <c r="NIH241"/>
      <c r="NII241"/>
      <c r="NIJ241"/>
      <c r="NIK241"/>
      <c r="NIL241"/>
      <c r="NIM241"/>
      <c r="NIN241"/>
      <c r="NIO241"/>
      <c r="NIP241"/>
      <c r="NIQ241"/>
      <c r="NIR241"/>
      <c r="NIS241"/>
      <c r="NIT241"/>
      <c r="NIU241"/>
      <c r="NIV241"/>
      <c r="NIW241"/>
      <c r="NIX241"/>
      <c r="NIY241"/>
      <c r="NIZ241"/>
      <c r="NJA241"/>
      <c r="NJB241"/>
      <c r="NJC241"/>
      <c r="NJD241"/>
      <c r="NJE241"/>
      <c r="NJF241"/>
      <c r="NJG241"/>
      <c r="NJH241"/>
      <c r="NJI241"/>
      <c r="NJJ241"/>
      <c r="NJK241"/>
      <c r="NJL241"/>
      <c r="NJM241"/>
      <c r="NJN241"/>
      <c r="NJO241"/>
      <c r="NJP241"/>
      <c r="NJQ241"/>
      <c r="NJR241"/>
      <c r="NJS241"/>
      <c r="NJT241"/>
      <c r="NJU241"/>
      <c r="NJV241"/>
      <c r="NJW241"/>
      <c r="NJX241"/>
      <c r="NJY241"/>
      <c r="NJZ241"/>
      <c r="NKA241"/>
      <c r="NKB241"/>
      <c r="NKC241"/>
      <c r="NKD241"/>
      <c r="NKE241"/>
      <c r="NKF241"/>
      <c r="NKG241"/>
      <c r="NKH241"/>
      <c r="NKI241"/>
      <c r="NKJ241"/>
      <c r="NKK241"/>
      <c r="NKL241"/>
      <c r="NKM241"/>
      <c r="NKN241"/>
      <c r="NKO241"/>
      <c r="NKP241"/>
      <c r="NKQ241"/>
      <c r="NKR241"/>
      <c r="NKS241"/>
      <c r="NKT241"/>
      <c r="NKU241"/>
      <c r="NKV241"/>
      <c r="NKW241"/>
      <c r="NKX241"/>
      <c r="NKY241"/>
      <c r="NKZ241"/>
      <c r="NLA241"/>
      <c r="NLB241"/>
      <c r="NLC241"/>
      <c r="NLD241"/>
      <c r="NLE241"/>
      <c r="NLF241"/>
      <c r="NLG241"/>
      <c r="NLH241"/>
      <c r="NLI241"/>
      <c r="NLJ241"/>
      <c r="NLK241"/>
      <c r="NLL241"/>
      <c r="NLM241"/>
      <c r="NLN241"/>
      <c r="NLO241"/>
      <c r="NLP241"/>
      <c r="NLQ241"/>
      <c r="NLR241"/>
      <c r="NLS241"/>
      <c r="NLT241"/>
      <c r="NLU241"/>
      <c r="NLV241"/>
      <c r="NLW241"/>
      <c r="NLX241"/>
      <c r="NLY241"/>
      <c r="NLZ241"/>
      <c r="NMA241"/>
      <c r="NMB241"/>
      <c r="NMC241"/>
      <c r="NMD241"/>
      <c r="NME241"/>
      <c r="NMF241"/>
      <c r="NMG241"/>
      <c r="NMH241"/>
      <c r="NMI241"/>
      <c r="NMJ241"/>
      <c r="NMK241"/>
      <c r="NML241"/>
      <c r="NMM241"/>
      <c r="NMN241"/>
      <c r="NMO241"/>
      <c r="NMP241"/>
      <c r="NMQ241"/>
      <c r="NMR241"/>
      <c r="NMS241"/>
      <c r="NMT241"/>
      <c r="NMU241"/>
      <c r="NMV241"/>
      <c r="NMW241"/>
      <c r="NMX241"/>
      <c r="NMY241"/>
      <c r="NMZ241"/>
      <c r="NNA241"/>
      <c r="NNB241"/>
      <c r="NNC241"/>
      <c r="NND241"/>
      <c r="NNE241"/>
      <c r="NNF241"/>
      <c r="NNG241"/>
      <c r="NNH241"/>
      <c r="NNI241"/>
      <c r="NNJ241"/>
      <c r="NNK241"/>
      <c r="NNL241"/>
      <c r="NNM241"/>
      <c r="NNN241"/>
      <c r="NNO241"/>
      <c r="NNP241"/>
      <c r="NNQ241"/>
      <c r="NNR241"/>
      <c r="NNS241"/>
      <c r="NNT241"/>
      <c r="NNU241"/>
      <c r="NNV241"/>
      <c r="NNW241"/>
      <c r="NNX241"/>
      <c r="NNY241"/>
      <c r="NNZ241"/>
      <c r="NOA241"/>
      <c r="NOB241"/>
      <c r="NOC241"/>
      <c r="NOD241"/>
      <c r="NOE241"/>
      <c r="NOF241"/>
      <c r="NOG241"/>
      <c r="NOH241"/>
      <c r="NOI241"/>
      <c r="NOJ241"/>
      <c r="NOK241"/>
      <c r="NOL241"/>
      <c r="NOM241"/>
      <c r="NON241"/>
      <c r="NOO241"/>
      <c r="NOP241"/>
      <c r="NOQ241"/>
      <c r="NOR241"/>
      <c r="NOS241"/>
      <c r="NOT241"/>
      <c r="NOU241"/>
      <c r="NOV241"/>
      <c r="NOW241"/>
      <c r="NOX241"/>
      <c r="NOY241"/>
      <c r="NOZ241"/>
      <c r="NPA241"/>
      <c r="NPB241"/>
      <c r="NPC241"/>
      <c r="NPD241"/>
      <c r="NPE241"/>
      <c r="NPF241"/>
      <c r="NPG241"/>
      <c r="NPH241"/>
      <c r="NPI241"/>
      <c r="NPJ241"/>
      <c r="NPK241"/>
      <c r="NPL241"/>
      <c r="NPM241"/>
      <c r="NPN241"/>
      <c r="NPO241"/>
      <c r="NPP241"/>
      <c r="NPQ241"/>
      <c r="NPR241"/>
      <c r="NPS241"/>
      <c r="NPT241"/>
      <c r="NPU241"/>
      <c r="NPV241"/>
      <c r="NPW241"/>
      <c r="NPX241"/>
      <c r="NPY241"/>
      <c r="NPZ241"/>
      <c r="NQA241"/>
      <c r="NQB241"/>
      <c r="NQC241"/>
      <c r="NQD241"/>
      <c r="NQE241"/>
      <c r="NQF241"/>
      <c r="NQG241"/>
      <c r="NQH241"/>
      <c r="NQI241"/>
      <c r="NQJ241"/>
      <c r="NQK241"/>
      <c r="NQL241"/>
      <c r="NQM241"/>
      <c r="NQN241"/>
      <c r="NQO241"/>
      <c r="NQP241"/>
      <c r="NQQ241"/>
      <c r="NQR241"/>
      <c r="NQS241"/>
      <c r="NQT241"/>
      <c r="NQU241"/>
      <c r="NQV241"/>
      <c r="NQW241"/>
      <c r="NQX241"/>
      <c r="NQY241"/>
      <c r="NQZ241"/>
      <c r="NRA241"/>
      <c r="NRB241"/>
      <c r="NRC241"/>
      <c r="NRD241"/>
      <c r="NRE241"/>
      <c r="NRF241"/>
      <c r="NRG241"/>
      <c r="NRH241"/>
      <c r="NRI241"/>
      <c r="NRJ241"/>
      <c r="NRK241"/>
      <c r="NRL241"/>
      <c r="NRM241"/>
      <c r="NRN241"/>
      <c r="NRO241"/>
      <c r="NRP241"/>
      <c r="NRQ241"/>
      <c r="NRR241"/>
      <c r="NRS241"/>
      <c r="NRT241"/>
      <c r="NRU241"/>
      <c r="NRV241"/>
      <c r="NRW241"/>
      <c r="NRX241"/>
      <c r="NRY241"/>
      <c r="NRZ241"/>
      <c r="NSA241"/>
      <c r="NSB241"/>
      <c r="NSC241"/>
      <c r="NSD241"/>
      <c r="NSE241"/>
      <c r="NSF241"/>
      <c r="NSG241"/>
      <c r="NSH241"/>
      <c r="NSI241"/>
      <c r="NSJ241"/>
      <c r="NSK241"/>
      <c r="NSL241"/>
      <c r="NSM241"/>
      <c r="NSN241"/>
      <c r="NSO241"/>
      <c r="NSP241"/>
      <c r="NSQ241"/>
      <c r="NSR241"/>
      <c r="NSS241"/>
      <c r="NST241"/>
      <c r="NSU241"/>
      <c r="NSV241"/>
      <c r="NSW241"/>
      <c r="NSX241"/>
      <c r="NSY241"/>
      <c r="NSZ241"/>
      <c r="NTA241"/>
      <c r="NTB241"/>
      <c r="NTC241"/>
      <c r="NTD241"/>
      <c r="NTE241"/>
      <c r="NTF241"/>
      <c r="NTG241"/>
      <c r="NTH241"/>
      <c r="NTI241"/>
      <c r="NTJ241"/>
      <c r="NTK241"/>
      <c r="NTL241"/>
      <c r="NTM241"/>
      <c r="NTN241"/>
      <c r="NTO241"/>
      <c r="NTP241"/>
      <c r="NTQ241"/>
      <c r="NTR241"/>
      <c r="NTS241"/>
      <c r="NTT241"/>
      <c r="NTU241"/>
      <c r="NTV241"/>
      <c r="NTW241"/>
      <c r="NTX241"/>
      <c r="NTY241"/>
      <c r="NTZ241"/>
      <c r="NUA241"/>
      <c r="NUB241"/>
      <c r="NUC241"/>
      <c r="NUD241"/>
      <c r="NUE241"/>
      <c r="NUF241"/>
      <c r="NUG241"/>
      <c r="NUH241"/>
      <c r="NUI241"/>
      <c r="NUJ241"/>
      <c r="NUK241"/>
      <c r="NUL241"/>
      <c r="NUM241"/>
      <c r="NUN241"/>
      <c r="NUO241"/>
      <c r="NUP241"/>
      <c r="NUQ241"/>
      <c r="NUR241"/>
      <c r="NUS241"/>
      <c r="NUT241"/>
      <c r="NUU241"/>
      <c r="NUV241"/>
      <c r="NUW241"/>
      <c r="NUX241"/>
      <c r="NUY241"/>
      <c r="NUZ241"/>
      <c r="NVA241"/>
      <c r="NVB241"/>
      <c r="NVC241"/>
      <c r="NVD241"/>
      <c r="NVE241"/>
      <c r="NVF241"/>
      <c r="NVG241"/>
      <c r="NVH241"/>
      <c r="NVI241"/>
      <c r="NVJ241"/>
      <c r="NVK241"/>
      <c r="NVL241"/>
      <c r="NVM241"/>
      <c r="NVN241"/>
      <c r="NVO241"/>
      <c r="NVP241"/>
      <c r="NVQ241"/>
      <c r="NVR241"/>
      <c r="NVS241"/>
      <c r="NVT241"/>
      <c r="NVU241"/>
      <c r="NVV241"/>
      <c r="NVW241"/>
      <c r="NVX241"/>
      <c r="NVY241"/>
      <c r="NVZ241"/>
      <c r="NWA241"/>
      <c r="NWB241"/>
      <c r="NWC241"/>
      <c r="NWD241"/>
      <c r="NWE241"/>
      <c r="NWF241"/>
      <c r="NWG241"/>
      <c r="NWH241"/>
      <c r="NWI241"/>
      <c r="NWJ241"/>
      <c r="NWK241"/>
      <c r="NWL241"/>
      <c r="NWM241"/>
      <c r="NWN241"/>
      <c r="NWO241"/>
      <c r="NWP241"/>
      <c r="NWQ241"/>
      <c r="NWR241"/>
      <c r="NWS241"/>
      <c r="NWT241"/>
      <c r="NWU241"/>
      <c r="NWV241"/>
      <c r="NWW241"/>
      <c r="NWX241"/>
      <c r="NWY241"/>
      <c r="NWZ241"/>
      <c r="NXA241"/>
      <c r="NXB241"/>
      <c r="NXC241"/>
      <c r="NXD241"/>
      <c r="NXE241"/>
      <c r="NXF241"/>
      <c r="NXG241"/>
      <c r="NXH241"/>
      <c r="NXI241"/>
      <c r="NXJ241"/>
      <c r="NXK241"/>
      <c r="NXL241"/>
      <c r="NXM241"/>
      <c r="NXN241"/>
      <c r="NXO241"/>
      <c r="NXP241"/>
      <c r="NXQ241"/>
      <c r="NXR241"/>
      <c r="NXS241"/>
      <c r="NXT241"/>
      <c r="NXU241"/>
      <c r="NXV241"/>
      <c r="NXW241"/>
      <c r="NXX241"/>
      <c r="NXY241"/>
      <c r="NXZ241"/>
      <c r="NYA241"/>
      <c r="NYB241"/>
      <c r="NYC241"/>
      <c r="NYD241"/>
      <c r="NYE241"/>
      <c r="NYF241"/>
      <c r="NYG241"/>
      <c r="NYH241"/>
      <c r="NYI241"/>
      <c r="NYJ241"/>
      <c r="NYK241"/>
      <c r="NYL241"/>
      <c r="NYM241"/>
      <c r="NYN241"/>
      <c r="NYO241"/>
      <c r="NYP241"/>
      <c r="NYQ241"/>
      <c r="NYR241"/>
      <c r="NYS241"/>
      <c r="NYT241"/>
      <c r="NYU241"/>
      <c r="NYV241"/>
      <c r="NYW241"/>
      <c r="NYX241"/>
      <c r="NYY241"/>
      <c r="NYZ241"/>
      <c r="NZA241"/>
      <c r="NZB241"/>
      <c r="NZC241"/>
      <c r="NZD241"/>
      <c r="NZE241"/>
      <c r="NZF241"/>
      <c r="NZG241"/>
      <c r="NZH241"/>
      <c r="NZI241"/>
      <c r="NZJ241"/>
      <c r="NZK241"/>
      <c r="NZL241"/>
      <c r="NZM241"/>
      <c r="NZN241"/>
      <c r="NZO241"/>
      <c r="NZP241"/>
      <c r="NZQ241"/>
      <c r="NZR241"/>
      <c r="NZS241"/>
      <c r="NZT241"/>
      <c r="NZU241"/>
      <c r="NZV241"/>
      <c r="NZW241"/>
      <c r="NZX241"/>
      <c r="NZY241"/>
      <c r="NZZ241"/>
      <c r="OAA241"/>
      <c r="OAB241"/>
      <c r="OAC241"/>
      <c r="OAD241"/>
      <c r="OAE241"/>
      <c r="OAF241"/>
      <c r="OAG241"/>
      <c r="OAH241"/>
      <c r="OAI241"/>
      <c r="OAJ241"/>
      <c r="OAK241"/>
      <c r="OAL241"/>
      <c r="OAM241"/>
      <c r="OAN241"/>
      <c r="OAO241"/>
      <c r="OAP241"/>
      <c r="OAQ241"/>
      <c r="OAR241"/>
      <c r="OAS241"/>
      <c r="OAT241"/>
      <c r="OAU241"/>
      <c r="OAV241"/>
      <c r="OAW241"/>
      <c r="OAX241"/>
      <c r="OAY241"/>
      <c r="OAZ241"/>
      <c r="OBA241"/>
      <c r="OBB241"/>
      <c r="OBC241"/>
      <c r="OBD241"/>
      <c r="OBE241"/>
      <c r="OBF241"/>
      <c r="OBG241"/>
      <c r="OBH241"/>
      <c r="OBI241"/>
      <c r="OBJ241"/>
      <c r="OBK241"/>
      <c r="OBL241"/>
      <c r="OBM241"/>
      <c r="OBN241"/>
      <c r="OBO241"/>
      <c r="OBP241"/>
      <c r="OBQ241"/>
      <c r="OBR241"/>
      <c r="OBS241"/>
      <c r="OBT241"/>
      <c r="OBU241"/>
      <c r="OBV241"/>
      <c r="OBW241"/>
      <c r="OBX241"/>
      <c r="OBY241"/>
      <c r="OBZ241"/>
      <c r="OCA241"/>
      <c r="OCB241"/>
      <c r="OCC241"/>
      <c r="OCD241"/>
      <c r="OCE241"/>
      <c r="OCF241"/>
      <c r="OCG241"/>
      <c r="OCH241"/>
      <c r="OCI241"/>
      <c r="OCJ241"/>
      <c r="OCK241"/>
      <c r="OCL241"/>
      <c r="OCM241"/>
      <c r="OCN241"/>
      <c r="OCO241"/>
      <c r="OCP241"/>
      <c r="OCQ241"/>
      <c r="OCR241"/>
      <c r="OCS241"/>
      <c r="OCT241"/>
      <c r="OCU241"/>
      <c r="OCV241"/>
      <c r="OCW241"/>
      <c r="OCX241"/>
      <c r="OCY241"/>
      <c r="OCZ241"/>
      <c r="ODA241"/>
      <c r="ODB241"/>
      <c r="ODC241"/>
      <c r="ODD241"/>
      <c r="ODE241"/>
      <c r="ODF241"/>
      <c r="ODG241"/>
      <c r="ODH241"/>
      <c r="ODI241"/>
      <c r="ODJ241"/>
      <c r="ODK241"/>
      <c r="ODL241"/>
      <c r="ODM241"/>
      <c r="ODN241"/>
      <c r="ODO241"/>
      <c r="ODP241"/>
      <c r="ODQ241"/>
      <c r="ODR241"/>
      <c r="ODS241"/>
      <c r="ODT241"/>
      <c r="ODU241"/>
      <c r="ODV241"/>
      <c r="ODW241"/>
      <c r="ODX241"/>
      <c r="ODY241"/>
      <c r="ODZ241"/>
      <c r="OEA241"/>
      <c r="OEB241"/>
      <c r="OEC241"/>
      <c r="OED241"/>
      <c r="OEE241"/>
      <c r="OEF241"/>
      <c r="OEG241"/>
      <c r="OEH241"/>
      <c r="OEI241"/>
      <c r="OEJ241"/>
      <c r="OEK241"/>
      <c r="OEL241"/>
      <c r="OEM241"/>
      <c r="OEN241"/>
      <c r="OEO241"/>
      <c r="OEP241"/>
      <c r="OEQ241"/>
      <c r="OER241"/>
      <c r="OES241"/>
      <c r="OET241"/>
      <c r="OEU241"/>
      <c r="OEV241"/>
      <c r="OEW241"/>
      <c r="OEX241"/>
      <c r="OEY241"/>
      <c r="OEZ241"/>
      <c r="OFA241"/>
      <c r="OFB241"/>
      <c r="OFC241"/>
      <c r="OFD241"/>
      <c r="OFE241"/>
      <c r="OFF241"/>
      <c r="OFG241"/>
      <c r="OFH241"/>
      <c r="OFI241"/>
      <c r="OFJ241"/>
      <c r="OFK241"/>
      <c r="OFL241"/>
      <c r="OFM241"/>
      <c r="OFN241"/>
      <c r="OFO241"/>
      <c r="OFP241"/>
      <c r="OFQ241"/>
      <c r="OFR241"/>
      <c r="OFS241"/>
      <c r="OFT241"/>
      <c r="OFU241"/>
      <c r="OFV241"/>
      <c r="OFW241"/>
      <c r="OFX241"/>
      <c r="OFY241"/>
      <c r="OFZ241"/>
      <c r="OGA241"/>
      <c r="OGB241"/>
      <c r="OGC241"/>
      <c r="OGD241"/>
      <c r="OGE241"/>
      <c r="OGF241"/>
      <c r="OGG241"/>
      <c r="OGH241"/>
      <c r="OGI241"/>
      <c r="OGJ241"/>
      <c r="OGK241"/>
      <c r="OGL241"/>
      <c r="OGM241"/>
      <c r="OGN241"/>
      <c r="OGO241"/>
      <c r="OGP241"/>
      <c r="OGQ241"/>
      <c r="OGR241"/>
      <c r="OGS241"/>
      <c r="OGT241"/>
      <c r="OGU241"/>
      <c r="OGV241"/>
      <c r="OGW241"/>
      <c r="OGX241"/>
      <c r="OGY241"/>
      <c r="OGZ241"/>
      <c r="OHA241"/>
      <c r="OHB241"/>
      <c r="OHC241"/>
      <c r="OHD241"/>
      <c r="OHE241"/>
      <c r="OHF241"/>
      <c r="OHG241"/>
      <c r="OHH241"/>
      <c r="OHI241"/>
      <c r="OHJ241"/>
      <c r="OHK241"/>
      <c r="OHL241"/>
      <c r="OHM241"/>
      <c r="OHN241"/>
      <c r="OHO241"/>
      <c r="OHP241"/>
      <c r="OHQ241"/>
      <c r="OHR241"/>
      <c r="OHS241"/>
      <c r="OHT241"/>
      <c r="OHU241"/>
      <c r="OHV241"/>
      <c r="OHW241"/>
      <c r="OHX241"/>
      <c r="OHY241"/>
      <c r="OHZ241"/>
      <c r="OIA241"/>
      <c r="OIB241"/>
      <c r="OIC241"/>
      <c r="OID241"/>
      <c r="OIE241"/>
      <c r="OIF241"/>
      <c r="OIG241"/>
      <c r="OIH241"/>
      <c r="OII241"/>
      <c r="OIJ241"/>
      <c r="OIK241"/>
      <c r="OIL241"/>
      <c r="OIM241"/>
      <c r="OIN241"/>
      <c r="OIO241"/>
      <c r="OIP241"/>
      <c r="OIQ241"/>
      <c r="OIR241"/>
      <c r="OIS241"/>
      <c r="OIT241"/>
      <c r="OIU241"/>
      <c r="OIV241"/>
      <c r="OIW241"/>
      <c r="OIX241"/>
      <c r="OIY241"/>
      <c r="OIZ241"/>
      <c r="OJA241"/>
      <c r="OJB241"/>
      <c r="OJC241"/>
      <c r="OJD241"/>
      <c r="OJE241"/>
      <c r="OJF241"/>
      <c r="OJG241"/>
      <c r="OJH241"/>
      <c r="OJI241"/>
      <c r="OJJ241"/>
      <c r="OJK241"/>
      <c r="OJL241"/>
      <c r="OJM241"/>
      <c r="OJN241"/>
      <c r="OJO241"/>
      <c r="OJP241"/>
      <c r="OJQ241"/>
      <c r="OJR241"/>
      <c r="OJS241"/>
      <c r="OJT241"/>
      <c r="OJU241"/>
      <c r="OJV241"/>
      <c r="OJW241"/>
      <c r="OJX241"/>
      <c r="OJY241"/>
      <c r="OJZ241"/>
      <c r="OKA241"/>
      <c r="OKB241"/>
      <c r="OKC241"/>
      <c r="OKD241"/>
      <c r="OKE241"/>
      <c r="OKF241"/>
      <c r="OKG241"/>
      <c r="OKH241"/>
      <c r="OKI241"/>
      <c r="OKJ241"/>
      <c r="OKK241"/>
      <c r="OKL241"/>
      <c r="OKM241"/>
      <c r="OKN241"/>
      <c r="OKO241"/>
      <c r="OKP241"/>
      <c r="OKQ241"/>
      <c r="OKR241"/>
      <c r="OKS241"/>
      <c r="OKT241"/>
      <c r="OKU241"/>
      <c r="OKV241"/>
      <c r="OKW241"/>
      <c r="OKX241"/>
      <c r="OKY241"/>
      <c r="OKZ241"/>
      <c r="OLA241"/>
      <c r="OLB241"/>
      <c r="OLC241"/>
      <c r="OLD241"/>
      <c r="OLE241"/>
      <c r="OLF241"/>
      <c r="OLG241"/>
      <c r="OLH241"/>
      <c r="OLI241"/>
      <c r="OLJ241"/>
      <c r="OLK241"/>
      <c r="OLL241"/>
      <c r="OLM241"/>
      <c r="OLN241"/>
      <c r="OLO241"/>
      <c r="OLP241"/>
      <c r="OLQ241"/>
      <c r="OLR241"/>
      <c r="OLS241"/>
      <c r="OLT241"/>
      <c r="OLU241"/>
      <c r="OLV241"/>
      <c r="OLW241"/>
      <c r="OLX241"/>
      <c r="OLY241"/>
      <c r="OLZ241"/>
      <c r="OMA241"/>
      <c r="OMB241"/>
      <c r="OMC241"/>
      <c r="OMD241"/>
      <c r="OME241"/>
      <c r="OMF241"/>
      <c r="OMG241"/>
      <c r="OMH241"/>
      <c r="OMI241"/>
      <c r="OMJ241"/>
      <c r="OMK241"/>
      <c r="OML241"/>
      <c r="OMM241"/>
      <c r="OMN241"/>
      <c r="OMO241"/>
      <c r="OMP241"/>
      <c r="OMQ241"/>
      <c r="OMR241"/>
      <c r="OMS241"/>
      <c r="OMT241"/>
      <c r="OMU241"/>
      <c r="OMV241"/>
      <c r="OMW241"/>
      <c r="OMX241"/>
      <c r="OMY241"/>
      <c r="OMZ241"/>
      <c r="ONA241"/>
      <c r="ONB241"/>
      <c r="ONC241"/>
      <c r="OND241"/>
      <c r="ONE241"/>
      <c r="ONF241"/>
      <c r="ONG241"/>
      <c r="ONH241"/>
      <c r="ONI241"/>
      <c r="ONJ241"/>
      <c r="ONK241"/>
      <c r="ONL241"/>
      <c r="ONM241"/>
      <c r="ONN241"/>
      <c r="ONO241"/>
      <c r="ONP241"/>
      <c r="ONQ241"/>
      <c r="ONR241"/>
      <c r="ONS241"/>
      <c r="ONT241"/>
      <c r="ONU241"/>
      <c r="ONV241"/>
      <c r="ONW241"/>
      <c r="ONX241"/>
      <c r="ONY241"/>
      <c r="ONZ241"/>
      <c r="OOA241"/>
      <c r="OOB241"/>
      <c r="OOC241"/>
      <c r="OOD241"/>
      <c r="OOE241"/>
      <c r="OOF241"/>
      <c r="OOG241"/>
      <c r="OOH241"/>
      <c r="OOI241"/>
      <c r="OOJ241"/>
      <c r="OOK241"/>
      <c r="OOL241"/>
      <c r="OOM241"/>
      <c r="OON241"/>
      <c r="OOO241"/>
      <c r="OOP241"/>
      <c r="OOQ241"/>
      <c r="OOR241"/>
      <c r="OOS241"/>
      <c r="OOT241"/>
      <c r="OOU241"/>
      <c r="OOV241"/>
      <c r="OOW241"/>
      <c r="OOX241"/>
      <c r="OOY241"/>
      <c r="OOZ241"/>
      <c r="OPA241"/>
      <c r="OPB241"/>
      <c r="OPC241"/>
      <c r="OPD241"/>
      <c r="OPE241"/>
      <c r="OPF241"/>
      <c r="OPG241"/>
      <c r="OPH241"/>
      <c r="OPI241"/>
      <c r="OPJ241"/>
      <c r="OPK241"/>
      <c r="OPL241"/>
      <c r="OPM241"/>
      <c r="OPN241"/>
      <c r="OPO241"/>
      <c r="OPP241"/>
      <c r="OPQ241"/>
      <c r="OPR241"/>
      <c r="OPS241"/>
      <c r="OPT241"/>
      <c r="OPU241"/>
      <c r="OPV241"/>
      <c r="OPW241"/>
      <c r="OPX241"/>
      <c r="OPY241"/>
      <c r="OPZ241"/>
      <c r="OQA241"/>
      <c r="OQB241"/>
      <c r="OQC241"/>
      <c r="OQD241"/>
      <c r="OQE241"/>
      <c r="OQF241"/>
      <c r="OQG241"/>
      <c r="OQH241"/>
      <c r="OQI241"/>
      <c r="OQJ241"/>
      <c r="OQK241"/>
      <c r="OQL241"/>
      <c r="OQM241"/>
      <c r="OQN241"/>
      <c r="OQO241"/>
      <c r="OQP241"/>
      <c r="OQQ241"/>
      <c r="OQR241"/>
      <c r="OQS241"/>
      <c r="OQT241"/>
      <c r="OQU241"/>
      <c r="OQV241"/>
      <c r="OQW241"/>
      <c r="OQX241"/>
      <c r="OQY241"/>
      <c r="OQZ241"/>
      <c r="ORA241"/>
      <c r="ORB241"/>
      <c r="ORC241"/>
      <c r="ORD241"/>
      <c r="ORE241"/>
      <c r="ORF241"/>
      <c r="ORG241"/>
      <c r="ORH241"/>
      <c r="ORI241"/>
      <c r="ORJ241"/>
      <c r="ORK241"/>
      <c r="ORL241"/>
      <c r="ORM241"/>
      <c r="ORN241"/>
      <c r="ORO241"/>
      <c r="ORP241"/>
      <c r="ORQ241"/>
      <c r="ORR241"/>
      <c r="ORS241"/>
      <c r="ORT241"/>
      <c r="ORU241"/>
      <c r="ORV241"/>
      <c r="ORW241"/>
      <c r="ORX241"/>
      <c r="ORY241"/>
      <c r="ORZ241"/>
      <c r="OSA241"/>
      <c r="OSB241"/>
      <c r="OSC241"/>
      <c r="OSD241"/>
      <c r="OSE241"/>
      <c r="OSF241"/>
      <c r="OSG241"/>
      <c r="OSH241"/>
      <c r="OSI241"/>
      <c r="OSJ241"/>
      <c r="OSK241"/>
      <c r="OSL241"/>
      <c r="OSM241"/>
      <c r="OSN241"/>
      <c r="OSO241"/>
      <c r="OSP241"/>
      <c r="OSQ241"/>
      <c r="OSR241"/>
      <c r="OSS241"/>
      <c r="OST241"/>
      <c r="OSU241"/>
      <c r="OSV241"/>
      <c r="OSW241"/>
      <c r="OSX241"/>
      <c r="OSY241"/>
      <c r="OSZ241"/>
      <c r="OTA241"/>
      <c r="OTB241"/>
      <c r="OTC241"/>
      <c r="OTD241"/>
      <c r="OTE241"/>
      <c r="OTF241"/>
      <c r="OTG241"/>
      <c r="OTH241"/>
      <c r="OTI241"/>
      <c r="OTJ241"/>
      <c r="OTK241"/>
      <c r="OTL241"/>
      <c r="OTM241"/>
      <c r="OTN241"/>
      <c r="OTO241"/>
      <c r="OTP241"/>
      <c r="OTQ241"/>
      <c r="OTR241"/>
      <c r="OTS241"/>
      <c r="OTT241"/>
      <c r="OTU241"/>
      <c r="OTV241"/>
      <c r="OTW241"/>
      <c r="OTX241"/>
      <c r="OTY241"/>
      <c r="OTZ241"/>
      <c r="OUA241"/>
      <c r="OUB241"/>
      <c r="OUC241"/>
      <c r="OUD241"/>
      <c r="OUE241"/>
      <c r="OUF241"/>
      <c r="OUG241"/>
      <c r="OUH241"/>
      <c r="OUI241"/>
      <c r="OUJ241"/>
      <c r="OUK241"/>
      <c r="OUL241"/>
      <c r="OUM241"/>
      <c r="OUN241"/>
      <c r="OUO241"/>
      <c r="OUP241"/>
      <c r="OUQ241"/>
      <c r="OUR241"/>
      <c r="OUS241"/>
      <c r="OUT241"/>
      <c r="OUU241"/>
      <c r="OUV241"/>
      <c r="OUW241"/>
      <c r="OUX241"/>
      <c r="OUY241"/>
      <c r="OUZ241"/>
      <c r="OVA241"/>
      <c r="OVB241"/>
      <c r="OVC241"/>
      <c r="OVD241"/>
      <c r="OVE241"/>
      <c r="OVF241"/>
      <c r="OVG241"/>
      <c r="OVH241"/>
      <c r="OVI241"/>
      <c r="OVJ241"/>
      <c r="OVK241"/>
      <c r="OVL241"/>
      <c r="OVM241"/>
      <c r="OVN241"/>
      <c r="OVO241"/>
      <c r="OVP241"/>
      <c r="OVQ241"/>
      <c r="OVR241"/>
      <c r="OVS241"/>
      <c r="OVT241"/>
      <c r="OVU241"/>
      <c r="OVV241"/>
      <c r="OVW241"/>
      <c r="OVX241"/>
      <c r="OVY241"/>
      <c r="OVZ241"/>
      <c r="OWA241"/>
      <c r="OWB241"/>
      <c r="OWC241"/>
      <c r="OWD241"/>
      <c r="OWE241"/>
      <c r="OWF241"/>
      <c r="OWG241"/>
      <c r="OWH241"/>
      <c r="OWI241"/>
      <c r="OWJ241"/>
      <c r="OWK241"/>
      <c r="OWL241"/>
      <c r="OWM241"/>
      <c r="OWN241"/>
      <c r="OWO241"/>
      <c r="OWP241"/>
      <c r="OWQ241"/>
      <c r="OWR241"/>
      <c r="OWS241"/>
      <c r="OWT241"/>
      <c r="OWU241"/>
      <c r="OWV241"/>
      <c r="OWW241"/>
      <c r="OWX241"/>
      <c r="OWY241"/>
      <c r="OWZ241"/>
      <c r="OXA241"/>
      <c r="OXB241"/>
      <c r="OXC241"/>
      <c r="OXD241"/>
      <c r="OXE241"/>
      <c r="OXF241"/>
      <c r="OXG241"/>
      <c r="OXH241"/>
      <c r="OXI241"/>
      <c r="OXJ241"/>
      <c r="OXK241"/>
      <c r="OXL241"/>
      <c r="OXM241"/>
      <c r="OXN241"/>
      <c r="OXO241"/>
      <c r="OXP241"/>
      <c r="OXQ241"/>
      <c r="OXR241"/>
      <c r="OXS241"/>
      <c r="OXT241"/>
      <c r="OXU241"/>
      <c r="OXV241"/>
      <c r="OXW241"/>
      <c r="OXX241"/>
      <c r="OXY241"/>
      <c r="OXZ241"/>
      <c r="OYA241"/>
      <c r="OYB241"/>
      <c r="OYC241"/>
      <c r="OYD241"/>
      <c r="OYE241"/>
      <c r="OYF241"/>
      <c r="OYG241"/>
      <c r="OYH241"/>
      <c r="OYI241"/>
      <c r="OYJ241"/>
      <c r="OYK241"/>
      <c r="OYL241"/>
      <c r="OYM241"/>
      <c r="OYN241"/>
      <c r="OYO241"/>
      <c r="OYP241"/>
      <c r="OYQ241"/>
      <c r="OYR241"/>
      <c r="OYS241"/>
      <c r="OYT241"/>
      <c r="OYU241"/>
      <c r="OYV241"/>
      <c r="OYW241"/>
      <c r="OYX241"/>
      <c r="OYY241"/>
      <c r="OYZ241"/>
      <c r="OZA241"/>
      <c r="OZB241"/>
      <c r="OZC241"/>
      <c r="OZD241"/>
      <c r="OZE241"/>
      <c r="OZF241"/>
      <c r="OZG241"/>
      <c r="OZH241"/>
      <c r="OZI241"/>
      <c r="OZJ241"/>
      <c r="OZK241"/>
      <c r="OZL241"/>
      <c r="OZM241"/>
      <c r="OZN241"/>
      <c r="OZO241"/>
      <c r="OZP241"/>
      <c r="OZQ241"/>
      <c r="OZR241"/>
      <c r="OZS241"/>
      <c r="OZT241"/>
      <c r="OZU241"/>
      <c r="OZV241"/>
      <c r="OZW241"/>
      <c r="OZX241"/>
      <c r="OZY241"/>
      <c r="OZZ241"/>
      <c r="PAA241"/>
      <c r="PAB241"/>
      <c r="PAC241"/>
      <c r="PAD241"/>
      <c r="PAE241"/>
      <c r="PAF241"/>
      <c r="PAG241"/>
      <c r="PAH241"/>
      <c r="PAI241"/>
      <c r="PAJ241"/>
      <c r="PAK241"/>
      <c r="PAL241"/>
      <c r="PAM241"/>
      <c r="PAN241"/>
      <c r="PAO241"/>
      <c r="PAP241"/>
      <c r="PAQ241"/>
      <c r="PAR241"/>
      <c r="PAS241"/>
      <c r="PAT241"/>
      <c r="PAU241"/>
      <c r="PAV241"/>
      <c r="PAW241"/>
      <c r="PAX241"/>
      <c r="PAY241"/>
      <c r="PAZ241"/>
      <c r="PBA241"/>
      <c r="PBB241"/>
      <c r="PBC241"/>
      <c r="PBD241"/>
      <c r="PBE241"/>
      <c r="PBF241"/>
      <c r="PBG241"/>
      <c r="PBH241"/>
      <c r="PBI241"/>
      <c r="PBJ241"/>
      <c r="PBK241"/>
      <c r="PBL241"/>
      <c r="PBM241"/>
      <c r="PBN241"/>
      <c r="PBO241"/>
      <c r="PBP241"/>
      <c r="PBQ241"/>
      <c r="PBR241"/>
      <c r="PBS241"/>
      <c r="PBT241"/>
      <c r="PBU241"/>
      <c r="PBV241"/>
      <c r="PBW241"/>
      <c r="PBX241"/>
      <c r="PBY241"/>
      <c r="PBZ241"/>
      <c r="PCA241"/>
      <c r="PCB241"/>
      <c r="PCC241"/>
      <c r="PCD241"/>
      <c r="PCE241"/>
      <c r="PCF241"/>
      <c r="PCG241"/>
      <c r="PCH241"/>
      <c r="PCI241"/>
      <c r="PCJ241"/>
      <c r="PCK241"/>
      <c r="PCL241"/>
      <c r="PCM241"/>
      <c r="PCN241"/>
      <c r="PCO241"/>
      <c r="PCP241"/>
      <c r="PCQ241"/>
      <c r="PCR241"/>
      <c r="PCS241"/>
      <c r="PCT241"/>
      <c r="PCU241"/>
      <c r="PCV241"/>
      <c r="PCW241"/>
      <c r="PCX241"/>
      <c r="PCY241"/>
      <c r="PCZ241"/>
      <c r="PDA241"/>
      <c r="PDB241"/>
      <c r="PDC241"/>
      <c r="PDD241"/>
      <c r="PDE241"/>
      <c r="PDF241"/>
      <c r="PDG241"/>
      <c r="PDH241"/>
      <c r="PDI241"/>
      <c r="PDJ241"/>
      <c r="PDK241"/>
      <c r="PDL241"/>
      <c r="PDM241"/>
      <c r="PDN241"/>
      <c r="PDO241"/>
      <c r="PDP241"/>
      <c r="PDQ241"/>
      <c r="PDR241"/>
      <c r="PDS241"/>
      <c r="PDT241"/>
      <c r="PDU241"/>
      <c r="PDV241"/>
      <c r="PDW241"/>
      <c r="PDX241"/>
      <c r="PDY241"/>
      <c r="PDZ241"/>
      <c r="PEA241"/>
      <c r="PEB241"/>
      <c r="PEC241"/>
      <c r="PED241"/>
      <c r="PEE241"/>
      <c r="PEF241"/>
      <c r="PEG241"/>
      <c r="PEH241"/>
      <c r="PEI241"/>
      <c r="PEJ241"/>
      <c r="PEK241"/>
      <c r="PEL241"/>
      <c r="PEM241"/>
      <c r="PEN241"/>
      <c r="PEO241"/>
      <c r="PEP241"/>
      <c r="PEQ241"/>
      <c r="PER241"/>
      <c r="PES241"/>
      <c r="PET241"/>
      <c r="PEU241"/>
      <c r="PEV241"/>
      <c r="PEW241"/>
      <c r="PEX241"/>
      <c r="PEY241"/>
      <c r="PEZ241"/>
      <c r="PFA241"/>
      <c r="PFB241"/>
      <c r="PFC241"/>
      <c r="PFD241"/>
      <c r="PFE241"/>
      <c r="PFF241"/>
      <c r="PFG241"/>
      <c r="PFH241"/>
      <c r="PFI241"/>
      <c r="PFJ241"/>
      <c r="PFK241"/>
      <c r="PFL241"/>
      <c r="PFM241"/>
      <c r="PFN241"/>
      <c r="PFO241"/>
      <c r="PFP241"/>
      <c r="PFQ241"/>
      <c r="PFR241"/>
      <c r="PFS241"/>
      <c r="PFT241"/>
      <c r="PFU241"/>
      <c r="PFV241"/>
      <c r="PFW241"/>
      <c r="PFX241"/>
      <c r="PFY241"/>
      <c r="PFZ241"/>
      <c r="PGA241"/>
      <c r="PGB241"/>
      <c r="PGC241"/>
      <c r="PGD241"/>
      <c r="PGE241"/>
      <c r="PGF241"/>
      <c r="PGG241"/>
      <c r="PGH241"/>
      <c r="PGI241"/>
      <c r="PGJ241"/>
      <c r="PGK241"/>
      <c r="PGL241"/>
      <c r="PGM241"/>
      <c r="PGN241"/>
      <c r="PGO241"/>
      <c r="PGP241"/>
      <c r="PGQ241"/>
      <c r="PGR241"/>
      <c r="PGS241"/>
      <c r="PGT241"/>
      <c r="PGU241"/>
      <c r="PGV241"/>
      <c r="PGW241"/>
      <c r="PGX241"/>
      <c r="PGY241"/>
      <c r="PGZ241"/>
      <c r="PHA241"/>
      <c r="PHB241"/>
      <c r="PHC241"/>
      <c r="PHD241"/>
      <c r="PHE241"/>
      <c r="PHF241"/>
      <c r="PHG241"/>
      <c r="PHH241"/>
      <c r="PHI241"/>
      <c r="PHJ241"/>
      <c r="PHK241"/>
      <c r="PHL241"/>
      <c r="PHM241"/>
      <c r="PHN241"/>
      <c r="PHO241"/>
      <c r="PHP241"/>
      <c r="PHQ241"/>
      <c r="PHR241"/>
      <c r="PHS241"/>
      <c r="PHT241"/>
      <c r="PHU241"/>
      <c r="PHV241"/>
      <c r="PHW241"/>
      <c r="PHX241"/>
      <c r="PHY241"/>
      <c r="PHZ241"/>
      <c r="PIA241"/>
      <c r="PIB241"/>
      <c r="PIC241"/>
      <c r="PID241"/>
      <c r="PIE241"/>
      <c r="PIF241"/>
      <c r="PIG241"/>
      <c r="PIH241"/>
      <c r="PII241"/>
      <c r="PIJ241"/>
      <c r="PIK241"/>
      <c r="PIL241"/>
      <c r="PIM241"/>
      <c r="PIN241"/>
      <c r="PIO241"/>
      <c r="PIP241"/>
      <c r="PIQ241"/>
      <c r="PIR241"/>
      <c r="PIS241"/>
      <c r="PIT241"/>
      <c r="PIU241"/>
      <c r="PIV241"/>
      <c r="PIW241"/>
      <c r="PIX241"/>
      <c r="PIY241"/>
      <c r="PIZ241"/>
      <c r="PJA241"/>
      <c r="PJB241"/>
      <c r="PJC241"/>
      <c r="PJD241"/>
      <c r="PJE241"/>
      <c r="PJF241"/>
      <c r="PJG241"/>
      <c r="PJH241"/>
      <c r="PJI241"/>
      <c r="PJJ241"/>
      <c r="PJK241"/>
      <c r="PJL241"/>
      <c r="PJM241"/>
      <c r="PJN241"/>
      <c r="PJO241"/>
      <c r="PJP241"/>
      <c r="PJQ241"/>
      <c r="PJR241"/>
      <c r="PJS241"/>
      <c r="PJT241"/>
      <c r="PJU241"/>
      <c r="PJV241"/>
      <c r="PJW241"/>
      <c r="PJX241"/>
      <c r="PJY241"/>
      <c r="PJZ241"/>
      <c r="PKA241"/>
      <c r="PKB241"/>
      <c r="PKC241"/>
      <c r="PKD241"/>
      <c r="PKE241"/>
      <c r="PKF241"/>
      <c r="PKG241"/>
      <c r="PKH241"/>
      <c r="PKI241"/>
      <c r="PKJ241"/>
      <c r="PKK241"/>
      <c r="PKL241"/>
      <c r="PKM241"/>
      <c r="PKN241"/>
      <c r="PKO241"/>
      <c r="PKP241"/>
      <c r="PKQ241"/>
      <c r="PKR241"/>
      <c r="PKS241"/>
      <c r="PKT241"/>
      <c r="PKU241"/>
      <c r="PKV241"/>
      <c r="PKW241"/>
      <c r="PKX241"/>
      <c r="PKY241"/>
      <c r="PKZ241"/>
      <c r="PLA241"/>
      <c r="PLB241"/>
      <c r="PLC241"/>
      <c r="PLD241"/>
      <c r="PLE241"/>
      <c r="PLF241"/>
      <c r="PLG241"/>
      <c r="PLH241"/>
      <c r="PLI241"/>
      <c r="PLJ241"/>
      <c r="PLK241"/>
      <c r="PLL241"/>
      <c r="PLM241"/>
      <c r="PLN241"/>
      <c r="PLO241"/>
      <c r="PLP241"/>
      <c r="PLQ241"/>
      <c r="PLR241"/>
      <c r="PLS241"/>
      <c r="PLT241"/>
      <c r="PLU241"/>
      <c r="PLV241"/>
      <c r="PLW241"/>
      <c r="PLX241"/>
      <c r="PLY241"/>
      <c r="PLZ241"/>
      <c r="PMA241"/>
      <c r="PMB241"/>
      <c r="PMC241"/>
      <c r="PMD241"/>
      <c r="PME241"/>
      <c r="PMF241"/>
      <c r="PMG241"/>
      <c r="PMH241"/>
      <c r="PMI241"/>
      <c r="PMJ241"/>
      <c r="PMK241"/>
      <c r="PML241"/>
      <c r="PMM241"/>
      <c r="PMN241"/>
      <c r="PMO241"/>
      <c r="PMP241"/>
      <c r="PMQ241"/>
      <c r="PMR241"/>
      <c r="PMS241"/>
      <c r="PMT241"/>
      <c r="PMU241"/>
      <c r="PMV241"/>
      <c r="PMW241"/>
      <c r="PMX241"/>
      <c r="PMY241"/>
      <c r="PMZ241"/>
      <c r="PNA241"/>
      <c r="PNB241"/>
      <c r="PNC241"/>
      <c r="PND241"/>
      <c r="PNE241"/>
      <c r="PNF241"/>
      <c r="PNG241"/>
      <c r="PNH241"/>
      <c r="PNI241"/>
      <c r="PNJ241"/>
      <c r="PNK241"/>
      <c r="PNL241"/>
      <c r="PNM241"/>
      <c r="PNN241"/>
      <c r="PNO241"/>
      <c r="PNP241"/>
      <c r="PNQ241"/>
      <c r="PNR241"/>
      <c r="PNS241"/>
      <c r="PNT241"/>
      <c r="PNU241"/>
      <c r="PNV241"/>
      <c r="PNW241"/>
      <c r="PNX241"/>
      <c r="PNY241"/>
      <c r="PNZ241"/>
      <c r="POA241"/>
      <c r="POB241"/>
      <c r="POC241"/>
      <c r="POD241"/>
      <c r="POE241"/>
      <c r="POF241"/>
      <c r="POG241"/>
      <c r="POH241"/>
      <c r="POI241"/>
      <c r="POJ241"/>
      <c r="POK241"/>
      <c r="POL241"/>
      <c r="POM241"/>
      <c r="PON241"/>
      <c r="POO241"/>
      <c r="POP241"/>
      <c r="POQ241"/>
      <c r="POR241"/>
      <c r="POS241"/>
      <c r="POT241"/>
      <c r="POU241"/>
      <c r="POV241"/>
      <c r="POW241"/>
      <c r="POX241"/>
      <c r="POY241"/>
      <c r="POZ241"/>
      <c r="PPA241"/>
      <c r="PPB241"/>
      <c r="PPC241"/>
      <c r="PPD241"/>
      <c r="PPE241"/>
      <c r="PPF241"/>
      <c r="PPG241"/>
      <c r="PPH241"/>
      <c r="PPI241"/>
      <c r="PPJ241"/>
      <c r="PPK241"/>
      <c r="PPL241"/>
      <c r="PPM241"/>
      <c r="PPN241"/>
      <c r="PPO241"/>
      <c r="PPP241"/>
      <c r="PPQ241"/>
      <c r="PPR241"/>
      <c r="PPS241"/>
      <c r="PPT241"/>
      <c r="PPU241"/>
      <c r="PPV241"/>
      <c r="PPW241"/>
      <c r="PPX241"/>
      <c r="PPY241"/>
      <c r="PPZ241"/>
      <c r="PQA241"/>
      <c r="PQB241"/>
      <c r="PQC241"/>
      <c r="PQD241"/>
      <c r="PQE241"/>
      <c r="PQF241"/>
      <c r="PQG241"/>
      <c r="PQH241"/>
      <c r="PQI241"/>
      <c r="PQJ241"/>
      <c r="PQK241"/>
      <c r="PQL241"/>
      <c r="PQM241"/>
      <c r="PQN241"/>
      <c r="PQO241"/>
      <c r="PQP241"/>
      <c r="PQQ241"/>
      <c r="PQR241"/>
      <c r="PQS241"/>
      <c r="PQT241"/>
      <c r="PQU241"/>
      <c r="PQV241"/>
      <c r="PQW241"/>
      <c r="PQX241"/>
      <c r="PQY241"/>
      <c r="PQZ241"/>
      <c r="PRA241"/>
      <c r="PRB241"/>
      <c r="PRC241"/>
      <c r="PRD241"/>
      <c r="PRE241"/>
      <c r="PRF241"/>
      <c r="PRG241"/>
      <c r="PRH241"/>
      <c r="PRI241"/>
      <c r="PRJ241"/>
      <c r="PRK241"/>
      <c r="PRL241"/>
      <c r="PRM241"/>
      <c r="PRN241"/>
      <c r="PRO241"/>
      <c r="PRP241"/>
      <c r="PRQ241"/>
      <c r="PRR241"/>
      <c r="PRS241"/>
      <c r="PRT241"/>
      <c r="PRU241"/>
      <c r="PRV241"/>
      <c r="PRW241"/>
      <c r="PRX241"/>
      <c r="PRY241"/>
      <c r="PRZ241"/>
      <c r="PSA241"/>
      <c r="PSB241"/>
      <c r="PSC241"/>
      <c r="PSD241"/>
      <c r="PSE241"/>
      <c r="PSF241"/>
      <c r="PSG241"/>
      <c r="PSH241"/>
      <c r="PSI241"/>
      <c r="PSJ241"/>
      <c r="PSK241"/>
      <c r="PSL241"/>
      <c r="PSM241"/>
      <c r="PSN241"/>
      <c r="PSO241"/>
      <c r="PSP241"/>
      <c r="PSQ241"/>
      <c r="PSR241"/>
      <c r="PSS241"/>
      <c r="PST241"/>
      <c r="PSU241"/>
      <c r="PSV241"/>
      <c r="PSW241"/>
      <c r="PSX241"/>
      <c r="PSY241"/>
      <c r="PSZ241"/>
      <c r="PTA241"/>
      <c r="PTB241"/>
      <c r="PTC241"/>
      <c r="PTD241"/>
      <c r="PTE241"/>
      <c r="PTF241"/>
      <c r="PTG241"/>
      <c r="PTH241"/>
      <c r="PTI241"/>
      <c r="PTJ241"/>
      <c r="PTK241"/>
      <c r="PTL241"/>
      <c r="PTM241"/>
      <c r="PTN241"/>
      <c r="PTO241"/>
      <c r="PTP241"/>
      <c r="PTQ241"/>
      <c r="PTR241"/>
      <c r="PTS241"/>
      <c r="PTT241"/>
      <c r="PTU241"/>
      <c r="PTV241"/>
      <c r="PTW241"/>
      <c r="PTX241"/>
      <c r="PTY241"/>
      <c r="PTZ241"/>
      <c r="PUA241"/>
      <c r="PUB241"/>
      <c r="PUC241"/>
      <c r="PUD241"/>
      <c r="PUE241"/>
      <c r="PUF241"/>
      <c r="PUG241"/>
      <c r="PUH241"/>
      <c r="PUI241"/>
      <c r="PUJ241"/>
      <c r="PUK241"/>
      <c r="PUL241"/>
      <c r="PUM241"/>
      <c r="PUN241"/>
      <c r="PUO241"/>
      <c r="PUP241"/>
      <c r="PUQ241"/>
      <c r="PUR241"/>
      <c r="PUS241"/>
      <c r="PUT241"/>
      <c r="PUU241"/>
      <c r="PUV241"/>
      <c r="PUW241"/>
      <c r="PUX241"/>
      <c r="PUY241"/>
      <c r="PUZ241"/>
      <c r="PVA241"/>
      <c r="PVB241"/>
      <c r="PVC241"/>
      <c r="PVD241"/>
      <c r="PVE241"/>
      <c r="PVF241"/>
      <c r="PVG241"/>
      <c r="PVH241"/>
      <c r="PVI241"/>
      <c r="PVJ241"/>
      <c r="PVK241"/>
      <c r="PVL241"/>
      <c r="PVM241"/>
      <c r="PVN241"/>
      <c r="PVO241"/>
      <c r="PVP241"/>
      <c r="PVQ241"/>
      <c r="PVR241"/>
      <c r="PVS241"/>
      <c r="PVT241"/>
      <c r="PVU241"/>
      <c r="PVV241"/>
      <c r="PVW241"/>
      <c r="PVX241"/>
      <c r="PVY241"/>
      <c r="PVZ241"/>
      <c r="PWA241"/>
      <c r="PWB241"/>
      <c r="PWC241"/>
      <c r="PWD241"/>
      <c r="PWE241"/>
      <c r="PWF241"/>
      <c r="PWG241"/>
      <c r="PWH241"/>
      <c r="PWI241"/>
      <c r="PWJ241"/>
      <c r="PWK241"/>
      <c r="PWL241"/>
      <c r="PWM241"/>
      <c r="PWN241"/>
      <c r="PWO241"/>
      <c r="PWP241"/>
      <c r="PWQ241"/>
      <c r="PWR241"/>
      <c r="PWS241"/>
      <c r="PWT241"/>
      <c r="PWU241"/>
      <c r="PWV241"/>
      <c r="PWW241"/>
      <c r="PWX241"/>
      <c r="PWY241"/>
      <c r="PWZ241"/>
      <c r="PXA241"/>
      <c r="PXB241"/>
      <c r="PXC241"/>
      <c r="PXD241"/>
      <c r="PXE241"/>
      <c r="PXF241"/>
      <c r="PXG241"/>
      <c r="PXH241"/>
      <c r="PXI241"/>
      <c r="PXJ241"/>
      <c r="PXK241"/>
      <c r="PXL241"/>
      <c r="PXM241"/>
      <c r="PXN241"/>
      <c r="PXO241"/>
      <c r="PXP241"/>
      <c r="PXQ241"/>
      <c r="PXR241"/>
      <c r="PXS241"/>
      <c r="PXT241"/>
      <c r="PXU241"/>
      <c r="PXV241"/>
      <c r="PXW241"/>
      <c r="PXX241"/>
      <c r="PXY241"/>
      <c r="PXZ241"/>
      <c r="PYA241"/>
      <c r="PYB241"/>
      <c r="PYC241"/>
      <c r="PYD241"/>
      <c r="PYE241"/>
      <c r="PYF241"/>
      <c r="PYG241"/>
      <c r="PYH241"/>
      <c r="PYI241"/>
      <c r="PYJ241"/>
      <c r="PYK241"/>
      <c r="PYL241"/>
      <c r="PYM241"/>
      <c r="PYN241"/>
      <c r="PYO241"/>
      <c r="PYP241"/>
      <c r="PYQ241"/>
      <c r="PYR241"/>
      <c r="PYS241"/>
      <c r="PYT241"/>
      <c r="PYU241"/>
      <c r="PYV241"/>
      <c r="PYW241"/>
      <c r="PYX241"/>
      <c r="PYY241"/>
      <c r="PYZ241"/>
      <c r="PZA241"/>
      <c r="PZB241"/>
      <c r="PZC241"/>
      <c r="PZD241"/>
      <c r="PZE241"/>
      <c r="PZF241"/>
      <c r="PZG241"/>
      <c r="PZH241"/>
      <c r="PZI241"/>
      <c r="PZJ241"/>
      <c r="PZK241"/>
      <c r="PZL241"/>
      <c r="PZM241"/>
      <c r="PZN241"/>
      <c r="PZO241"/>
      <c r="PZP241"/>
      <c r="PZQ241"/>
      <c r="PZR241"/>
      <c r="PZS241"/>
      <c r="PZT241"/>
      <c r="PZU241"/>
      <c r="PZV241"/>
      <c r="PZW241"/>
      <c r="PZX241"/>
      <c r="PZY241"/>
      <c r="PZZ241"/>
      <c r="QAA241"/>
      <c r="QAB241"/>
      <c r="QAC241"/>
      <c r="QAD241"/>
      <c r="QAE241"/>
      <c r="QAF241"/>
      <c r="QAG241"/>
      <c r="QAH241"/>
      <c r="QAI241"/>
      <c r="QAJ241"/>
      <c r="QAK241"/>
      <c r="QAL241"/>
      <c r="QAM241"/>
      <c r="QAN241"/>
      <c r="QAO241"/>
      <c r="QAP241"/>
      <c r="QAQ241"/>
      <c r="QAR241"/>
      <c r="QAS241"/>
      <c r="QAT241"/>
      <c r="QAU241"/>
      <c r="QAV241"/>
      <c r="QAW241"/>
      <c r="QAX241"/>
      <c r="QAY241"/>
      <c r="QAZ241"/>
      <c r="QBA241"/>
      <c r="QBB241"/>
      <c r="QBC241"/>
      <c r="QBD241"/>
      <c r="QBE241"/>
      <c r="QBF241"/>
      <c r="QBG241"/>
      <c r="QBH241"/>
      <c r="QBI241"/>
      <c r="QBJ241"/>
      <c r="QBK241"/>
      <c r="QBL241"/>
      <c r="QBM241"/>
      <c r="QBN241"/>
      <c r="QBO241"/>
      <c r="QBP241"/>
      <c r="QBQ241"/>
      <c r="QBR241"/>
      <c r="QBS241"/>
      <c r="QBT241"/>
      <c r="QBU241"/>
      <c r="QBV241"/>
      <c r="QBW241"/>
      <c r="QBX241"/>
      <c r="QBY241"/>
      <c r="QBZ241"/>
      <c r="QCA241"/>
      <c r="QCB241"/>
      <c r="QCC241"/>
      <c r="QCD241"/>
      <c r="QCE241"/>
      <c r="QCF241"/>
      <c r="QCG241"/>
      <c r="QCH241"/>
      <c r="QCI241"/>
      <c r="QCJ241"/>
      <c r="QCK241"/>
      <c r="QCL241"/>
      <c r="QCM241"/>
      <c r="QCN241"/>
      <c r="QCO241"/>
      <c r="QCP241"/>
      <c r="QCQ241"/>
      <c r="QCR241"/>
      <c r="QCS241"/>
      <c r="QCT241"/>
      <c r="QCU241"/>
      <c r="QCV241"/>
      <c r="QCW241"/>
      <c r="QCX241"/>
      <c r="QCY241"/>
      <c r="QCZ241"/>
      <c r="QDA241"/>
      <c r="QDB241"/>
      <c r="QDC241"/>
      <c r="QDD241"/>
      <c r="QDE241"/>
      <c r="QDF241"/>
      <c r="QDG241"/>
      <c r="QDH241"/>
      <c r="QDI241"/>
      <c r="QDJ241"/>
      <c r="QDK241"/>
      <c r="QDL241"/>
      <c r="QDM241"/>
      <c r="QDN241"/>
      <c r="QDO241"/>
      <c r="QDP241"/>
      <c r="QDQ241"/>
      <c r="QDR241"/>
      <c r="QDS241"/>
      <c r="QDT241"/>
      <c r="QDU241"/>
      <c r="QDV241"/>
      <c r="QDW241"/>
      <c r="QDX241"/>
      <c r="QDY241"/>
      <c r="QDZ241"/>
      <c r="QEA241"/>
      <c r="QEB241"/>
      <c r="QEC241"/>
      <c r="QED241"/>
      <c r="QEE241"/>
      <c r="QEF241"/>
      <c r="QEG241"/>
      <c r="QEH241"/>
      <c r="QEI241"/>
      <c r="QEJ241"/>
      <c r="QEK241"/>
      <c r="QEL241"/>
      <c r="QEM241"/>
      <c r="QEN241"/>
      <c r="QEO241"/>
      <c r="QEP241"/>
      <c r="QEQ241"/>
      <c r="QER241"/>
      <c r="QES241"/>
      <c r="QET241"/>
      <c r="QEU241"/>
      <c r="QEV241"/>
      <c r="QEW241"/>
      <c r="QEX241"/>
      <c r="QEY241"/>
      <c r="QEZ241"/>
      <c r="QFA241"/>
      <c r="QFB241"/>
      <c r="QFC241"/>
      <c r="QFD241"/>
      <c r="QFE241"/>
      <c r="QFF241"/>
      <c r="QFG241"/>
      <c r="QFH241"/>
      <c r="QFI241"/>
      <c r="QFJ241"/>
      <c r="QFK241"/>
      <c r="QFL241"/>
      <c r="QFM241"/>
      <c r="QFN241"/>
      <c r="QFO241"/>
      <c r="QFP241"/>
      <c r="QFQ241"/>
      <c r="QFR241"/>
      <c r="QFS241"/>
      <c r="QFT241"/>
      <c r="QFU241"/>
      <c r="QFV241"/>
      <c r="QFW241"/>
      <c r="QFX241"/>
      <c r="QFY241"/>
      <c r="QFZ241"/>
      <c r="QGA241"/>
      <c r="QGB241"/>
      <c r="QGC241"/>
      <c r="QGD241"/>
      <c r="QGE241"/>
      <c r="QGF241"/>
      <c r="QGG241"/>
      <c r="QGH241"/>
      <c r="QGI241"/>
      <c r="QGJ241"/>
      <c r="QGK241"/>
      <c r="QGL241"/>
      <c r="QGM241"/>
      <c r="QGN241"/>
      <c r="QGO241"/>
      <c r="QGP241"/>
      <c r="QGQ241"/>
      <c r="QGR241"/>
      <c r="QGS241"/>
      <c r="QGT241"/>
      <c r="QGU241"/>
      <c r="QGV241"/>
      <c r="QGW241"/>
      <c r="QGX241"/>
      <c r="QGY241"/>
      <c r="QGZ241"/>
      <c r="QHA241"/>
      <c r="QHB241"/>
      <c r="QHC241"/>
      <c r="QHD241"/>
      <c r="QHE241"/>
      <c r="QHF241"/>
      <c r="QHG241"/>
      <c r="QHH241"/>
      <c r="QHI241"/>
      <c r="QHJ241"/>
      <c r="QHK241"/>
      <c r="QHL241"/>
      <c r="QHM241"/>
      <c r="QHN241"/>
      <c r="QHO241"/>
      <c r="QHP241"/>
      <c r="QHQ241"/>
      <c r="QHR241"/>
      <c r="QHS241"/>
      <c r="QHT241"/>
      <c r="QHU241"/>
      <c r="QHV241"/>
      <c r="QHW241"/>
      <c r="QHX241"/>
      <c r="QHY241"/>
      <c r="QHZ241"/>
      <c r="QIA241"/>
      <c r="QIB241"/>
      <c r="QIC241"/>
      <c r="QID241"/>
      <c r="QIE241"/>
      <c r="QIF241"/>
      <c r="QIG241"/>
      <c r="QIH241"/>
      <c r="QII241"/>
      <c r="QIJ241"/>
      <c r="QIK241"/>
      <c r="QIL241"/>
      <c r="QIM241"/>
      <c r="QIN241"/>
      <c r="QIO241"/>
      <c r="QIP241"/>
      <c r="QIQ241"/>
      <c r="QIR241"/>
      <c r="QIS241"/>
      <c r="QIT241"/>
      <c r="QIU241"/>
      <c r="QIV241"/>
      <c r="QIW241"/>
      <c r="QIX241"/>
      <c r="QIY241"/>
      <c r="QIZ241"/>
      <c r="QJA241"/>
      <c r="QJB241"/>
      <c r="QJC241"/>
      <c r="QJD241"/>
      <c r="QJE241"/>
      <c r="QJF241"/>
      <c r="QJG241"/>
      <c r="QJH241"/>
      <c r="QJI241"/>
      <c r="QJJ241"/>
      <c r="QJK241"/>
      <c r="QJL241"/>
      <c r="QJM241"/>
      <c r="QJN241"/>
      <c r="QJO241"/>
      <c r="QJP241"/>
      <c r="QJQ241"/>
      <c r="QJR241"/>
      <c r="QJS241"/>
      <c r="QJT241"/>
      <c r="QJU241"/>
      <c r="QJV241"/>
      <c r="QJW241"/>
      <c r="QJX241"/>
      <c r="QJY241"/>
      <c r="QJZ241"/>
      <c r="QKA241"/>
      <c r="QKB241"/>
      <c r="QKC241"/>
      <c r="QKD241"/>
      <c r="QKE241"/>
      <c r="QKF241"/>
      <c r="QKG241"/>
      <c r="QKH241"/>
      <c r="QKI241"/>
      <c r="QKJ241"/>
      <c r="QKK241"/>
      <c r="QKL241"/>
      <c r="QKM241"/>
      <c r="QKN241"/>
      <c r="QKO241"/>
      <c r="QKP241"/>
      <c r="QKQ241"/>
      <c r="QKR241"/>
      <c r="QKS241"/>
      <c r="QKT241"/>
      <c r="QKU241"/>
      <c r="QKV241"/>
      <c r="QKW241"/>
      <c r="QKX241"/>
      <c r="QKY241"/>
      <c r="QKZ241"/>
      <c r="QLA241"/>
      <c r="QLB241"/>
      <c r="QLC241"/>
      <c r="QLD241"/>
      <c r="QLE241"/>
      <c r="QLF241"/>
      <c r="QLG241"/>
      <c r="QLH241"/>
      <c r="QLI241"/>
      <c r="QLJ241"/>
      <c r="QLK241"/>
      <c r="QLL241"/>
      <c r="QLM241"/>
      <c r="QLN241"/>
      <c r="QLO241"/>
      <c r="QLP241"/>
      <c r="QLQ241"/>
      <c r="QLR241"/>
      <c r="QLS241"/>
      <c r="QLT241"/>
      <c r="QLU241"/>
      <c r="QLV241"/>
      <c r="QLW241"/>
      <c r="QLX241"/>
      <c r="QLY241"/>
      <c r="QLZ241"/>
      <c r="QMA241"/>
      <c r="QMB241"/>
      <c r="QMC241"/>
      <c r="QMD241"/>
      <c r="QME241"/>
      <c r="QMF241"/>
      <c r="QMG241"/>
      <c r="QMH241"/>
      <c r="QMI241"/>
      <c r="QMJ241"/>
      <c r="QMK241"/>
      <c r="QML241"/>
      <c r="QMM241"/>
      <c r="QMN241"/>
      <c r="QMO241"/>
      <c r="QMP241"/>
      <c r="QMQ241"/>
      <c r="QMR241"/>
      <c r="QMS241"/>
      <c r="QMT241"/>
      <c r="QMU241"/>
      <c r="QMV241"/>
      <c r="QMW241"/>
      <c r="QMX241"/>
      <c r="QMY241"/>
      <c r="QMZ241"/>
      <c r="QNA241"/>
      <c r="QNB241"/>
      <c r="QNC241"/>
      <c r="QND241"/>
      <c r="QNE241"/>
      <c r="QNF241"/>
      <c r="QNG241"/>
      <c r="QNH241"/>
      <c r="QNI241"/>
      <c r="QNJ241"/>
      <c r="QNK241"/>
      <c r="QNL241"/>
      <c r="QNM241"/>
      <c r="QNN241"/>
      <c r="QNO241"/>
      <c r="QNP241"/>
      <c r="QNQ241"/>
      <c r="QNR241"/>
      <c r="QNS241"/>
      <c r="QNT241"/>
      <c r="QNU241"/>
      <c r="QNV241"/>
      <c r="QNW241"/>
      <c r="QNX241"/>
      <c r="QNY241"/>
      <c r="QNZ241"/>
      <c r="QOA241"/>
      <c r="QOB241"/>
      <c r="QOC241"/>
      <c r="QOD241"/>
      <c r="QOE241"/>
      <c r="QOF241"/>
      <c r="QOG241"/>
      <c r="QOH241"/>
      <c r="QOI241"/>
      <c r="QOJ241"/>
      <c r="QOK241"/>
      <c r="QOL241"/>
      <c r="QOM241"/>
      <c r="QON241"/>
      <c r="QOO241"/>
      <c r="QOP241"/>
      <c r="QOQ241"/>
      <c r="QOR241"/>
      <c r="QOS241"/>
      <c r="QOT241"/>
      <c r="QOU241"/>
      <c r="QOV241"/>
      <c r="QOW241"/>
      <c r="QOX241"/>
      <c r="QOY241"/>
      <c r="QOZ241"/>
      <c r="QPA241"/>
      <c r="QPB241"/>
      <c r="QPC241"/>
      <c r="QPD241"/>
      <c r="QPE241"/>
      <c r="QPF241"/>
      <c r="QPG241"/>
      <c r="QPH241"/>
      <c r="QPI241"/>
      <c r="QPJ241"/>
      <c r="QPK241"/>
      <c r="QPL241"/>
      <c r="QPM241"/>
      <c r="QPN241"/>
      <c r="QPO241"/>
      <c r="QPP241"/>
      <c r="QPQ241"/>
      <c r="QPR241"/>
      <c r="QPS241"/>
      <c r="QPT241"/>
      <c r="QPU241"/>
      <c r="QPV241"/>
      <c r="QPW241"/>
      <c r="QPX241"/>
      <c r="QPY241"/>
      <c r="QPZ241"/>
      <c r="QQA241"/>
      <c r="QQB241"/>
      <c r="QQC241"/>
      <c r="QQD241"/>
      <c r="QQE241"/>
      <c r="QQF241"/>
      <c r="QQG241"/>
      <c r="QQH241"/>
      <c r="QQI241"/>
      <c r="QQJ241"/>
      <c r="QQK241"/>
      <c r="QQL241"/>
      <c r="QQM241"/>
      <c r="QQN241"/>
      <c r="QQO241"/>
      <c r="QQP241"/>
      <c r="QQQ241"/>
      <c r="QQR241"/>
      <c r="QQS241"/>
      <c r="QQT241"/>
      <c r="QQU241"/>
      <c r="QQV241"/>
      <c r="QQW241"/>
      <c r="QQX241"/>
      <c r="QQY241"/>
      <c r="QQZ241"/>
      <c r="QRA241"/>
      <c r="QRB241"/>
      <c r="QRC241"/>
      <c r="QRD241"/>
      <c r="QRE241"/>
      <c r="QRF241"/>
      <c r="QRG241"/>
      <c r="QRH241"/>
      <c r="QRI241"/>
      <c r="QRJ241"/>
      <c r="QRK241"/>
      <c r="QRL241"/>
      <c r="QRM241"/>
      <c r="QRN241"/>
      <c r="QRO241"/>
      <c r="QRP241"/>
      <c r="QRQ241"/>
      <c r="QRR241"/>
      <c r="QRS241"/>
      <c r="QRT241"/>
      <c r="QRU241"/>
      <c r="QRV241"/>
      <c r="QRW241"/>
      <c r="QRX241"/>
      <c r="QRY241"/>
      <c r="QRZ241"/>
      <c r="QSA241"/>
      <c r="QSB241"/>
      <c r="QSC241"/>
      <c r="QSD241"/>
      <c r="QSE241"/>
      <c r="QSF241"/>
      <c r="QSG241"/>
      <c r="QSH241"/>
      <c r="QSI241"/>
      <c r="QSJ241"/>
      <c r="QSK241"/>
      <c r="QSL241"/>
      <c r="QSM241"/>
      <c r="QSN241"/>
      <c r="QSO241"/>
      <c r="QSP241"/>
      <c r="QSQ241"/>
      <c r="QSR241"/>
      <c r="QSS241"/>
      <c r="QST241"/>
      <c r="QSU241"/>
      <c r="QSV241"/>
      <c r="QSW241"/>
      <c r="QSX241"/>
      <c r="QSY241"/>
      <c r="QSZ241"/>
      <c r="QTA241"/>
      <c r="QTB241"/>
      <c r="QTC241"/>
      <c r="QTD241"/>
      <c r="QTE241"/>
      <c r="QTF241"/>
      <c r="QTG241"/>
      <c r="QTH241"/>
      <c r="QTI241"/>
      <c r="QTJ241"/>
      <c r="QTK241"/>
      <c r="QTL241"/>
      <c r="QTM241"/>
      <c r="QTN241"/>
      <c r="QTO241"/>
      <c r="QTP241"/>
      <c r="QTQ241"/>
      <c r="QTR241"/>
      <c r="QTS241"/>
      <c r="QTT241"/>
      <c r="QTU241"/>
      <c r="QTV241"/>
      <c r="QTW241"/>
      <c r="QTX241"/>
      <c r="QTY241"/>
      <c r="QTZ241"/>
      <c r="QUA241"/>
      <c r="QUB241"/>
      <c r="QUC241"/>
      <c r="QUD241"/>
      <c r="QUE241"/>
      <c r="QUF241"/>
      <c r="QUG241"/>
      <c r="QUH241"/>
      <c r="QUI241"/>
      <c r="QUJ241"/>
      <c r="QUK241"/>
      <c r="QUL241"/>
      <c r="QUM241"/>
      <c r="QUN241"/>
      <c r="QUO241"/>
      <c r="QUP241"/>
      <c r="QUQ241"/>
      <c r="QUR241"/>
      <c r="QUS241"/>
      <c r="QUT241"/>
      <c r="QUU241"/>
      <c r="QUV241"/>
      <c r="QUW241"/>
      <c r="QUX241"/>
      <c r="QUY241"/>
      <c r="QUZ241"/>
      <c r="QVA241"/>
      <c r="QVB241"/>
      <c r="QVC241"/>
      <c r="QVD241"/>
      <c r="QVE241"/>
      <c r="QVF241"/>
      <c r="QVG241"/>
      <c r="QVH241"/>
      <c r="QVI241"/>
      <c r="QVJ241"/>
      <c r="QVK241"/>
      <c r="QVL241"/>
      <c r="QVM241"/>
      <c r="QVN241"/>
      <c r="QVO241"/>
      <c r="QVP241"/>
      <c r="QVQ241"/>
      <c r="QVR241"/>
      <c r="QVS241"/>
      <c r="QVT241"/>
      <c r="QVU241"/>
      <c r="QVV241"/>
      <c r="QVW241"/>
      <c r="QVX241"/>
      <c r="QVY241"/>
      <c r="QVZ241"/>
      <c r="QWA241"/>
      <c r="QWB241"/>
      <c r="QWC241"/>
      <c r="QWD241"/>
      <c r="QWE241"/>
      <c r="QWF241"/>
      <c r="QWG241"/>
      <c r="QWH241"/>
      <c r="QWI241"/>
      <c r="QWJ241"/>
      <c r="QWK241"/>
      <c r="QWL241"/>
      <c r="QWM241"/>
      <c r="QWN241"/>
      <c r="QWO241"/>
      <c r="QWP241"/>
      <c r="QWQ241"/>
      <c r="QWR241"/>
      <c r="QWS241"/>
      <c r="QWT241"/>
      <c r="QWU241"/>
      <c r="QWV241"/>
      <c r="QWW241"/>
      <c r="QWX241"/>
      <c r="QWY241"/>
      <c r="QWZ241"/>
      <c r="QXA241"/>
      <c r="QXB241"/>
      <c r="QXC241"/>
      <c r="QXD241"/>
      <c r="QXE241"/>
      <c r="QXF241"/>
      <c r="QXG241"/>
      <c r="QXH241"/>
      <c r="QXI241"/>
      <c r="QXJ241"/>
      <c r="QXK241"/>
      <c r="QXL241"/>
      <c r="QXM241"/>
      <c r="QXN241"/>
      <c r="QXO241"/>
      <c r="QXP241"/>
      <c r="QXQ241"/>
      <c r="QXR241"/>
      <c r="QXS241"/>
      <c r="QXT241"/>
      <c r="QXU241"/>
      <c r="QXV241"/>
      <c r="QXW241"/>
      <c r="QXX241"/>
      <c r="QXY241"/>
      <c r="QXZ241"/>
      <c r="QYA241"/>
      <c r="QYB241"/>
      <c r="QYC241"/>
      <c r="QYD241"/>
      <c r="QYE241"/>
      <c r="QYF241"/>
      <c r="QYG241"/>
      <c r="QYH241"/>
      <c r="QYI241"/>
      <c r="QYJ241"/>
      <c r="QYK241"/>
      <c r="QYL241"/>
      <c r="QYM241"/>
      <c r="QYN241"/>
      <c r="QYO241"/>
      <c r="QYP241"/>
      <c r="QYQ241"/>
      <c r="QYR241"/>
      <c r="QYS241"/>
      <c r="QYT241"/>
      <c r="QYU241"/>
      <c r="QYV241"/>
      <c r="QYW241"/>
      <c r="QYX241"/>
      <c r="QYY241"/>
      <c r="QYZ241"/>
      <c r="QZA241"/>
      <c r="QZB241"/>
      <c r="QZC241"/>
      <c r="QZD241"/>
      <c r="QZE241"/>
      <c r="QZF241"/>
      <c r="QZG241"/>
      <c r="QZH241"/>
      <c r="QZI241"/>
      <c r="QZJ241"/>
      <c r="QZK241"/>
      <c r="QZL241"/>
      <c r="QZM241"/>
      <c r="QZN241"/>
      <c r="QZO241"/>
      <c r="QZP241"/>
      <c r="QZQ241"/>
      <c r="QZR241"/>
      <c r="QZS241"/>
      <c r="QZT241"/>
      <c r="QZU241"/>
      <c r="QZV241"/>
      <c r="QZW241"/>
      <c r="QZX241"/>
      <c r="QZY241"/>
      <c r="QZZ241"/>
      <c r="RAA241"/>
      <c r="RAB241"/>
      <c r="RAC241"/>
      <c r="RAD241"/>
      <c r="RAE241"/>
      <c r="RAF241"/>
      <c r="RAG241"/>
      <c r="RAH241"/>
      <c r="RAI241"/>
      <c r="RAJ241"/>
      <c r="RAK241"/>
      <c r="RAL241"/>
      <c r="RAM241"/>
      <c r="RAN241"/>
      <c r="RAO241"/>
      <c r="RAP241"/>
      <c r="RAQ241"/>
      <c r="RAR241"/>
      <c r="RAS241"/>
      <c r="RAT241"/>
      <c r="RAU241"/>
      <c r="RAV241"/>
      <c r="RAW241"/>
      <c r="RAX241"/>
      <c r="RAY241"/>
      <c r="RAZ241"/>
      <c r="RBA241"/>
      <c r="RBB241"/>
      <c r="RBC241"/>
      <c r="RBD241"/>
      <c r="RBE241"/>
      <c r="RBF241"/>
      <c r="RBG241"/>
      <c r="RBH241"/>
      <c r="RBI241"/>
      <c r="RBJ241"/>
      <c r="RBK241"/>
      <c r="RBL241"/>
      <c r="RBM241"/>
      <c r="RBN241"/>
      <c r="RBO241"/>
      <c r="RBP241"/>
      <c r="RBQ241"/>
      <c r="RBR241"/>
      <c r="RBS241"/>
      <c r="RBT241"/>
      <c r="RBU241"/>
      <c r="RBV241"/>
      <c r="RBW241"/>
      <c r="RBX241"/>
      <c r="RBY241"/>
      <c r="RBZ241"/>
      <c r="RCA241"/>
      <c r="RCB241"/>
      <c r="RCC241"/>
      <c r="RCD241"/>
      <c r="RCE241"/>
      <c r="RCF241"/>
      <c r="RCG241"/>
      <c r="RCH241"/>
      <c r="RCI241"/>
      <c r="RCJ241"/>
      <c r="RCK241"/>
      <c r="RCL241"/>
      <c r="RCM241"/>
      <c r="RCN241"/>
      <c r="RCO241"/>
      <c r="RCP241"/>
      <c r="RCQ241"/>
      <c r="RCR241"/>
      <c r="RCS241"/>
      <c r="RCT241"/>
      <c r="RCU241"/>
      <c r="RCV241"/>
      <c r="RCW241"/>
      <c r="RCX241"/>
      <c r="RCY241"/>
      <c r="RCZ241"/>
      <c r="RDA241"/>
      <c r="RDB241"/>
      <c r="RDC241"/>
      <c r="RDD241"/>
      <c r="RDE241"/>
      <c r="RDF241"/>
      <c r="RDG241"/>
      <c r="RDH241"/>
      <c r="RDI241"/>
      <c r="RDJ241"/>
      <c r="RDK241"/>
      <c r="RDL241"/>
      <c r="RDM241"/>
      <c r="RDN241"/>
      <c r="RDO241"/>
      <c r="RDP241"/>
      <c r="RDQ241"/>
      <c r="RDR241"/>
      <c r="RDS241"/>
      <c r="RDT241"/>
      <c r="RDU241"/>
      <c r="RDV241"/>
      <c r="RDW241"/>
      <c r="RDX241"/>
      <c r="RDY241"/>
      <c r="RDZ241"/>
      <c r="REA241"/>
      <c r="REB241"/>
      <c r="REC241"/>
      <c r="RED241"/>
      <c r="REE241"/>
      <c r="REF241"/>
      <c r="REG241"/>
      <c r="REH241"/>
      <c r="REI241"/>
      <c r="REJ241"/>
      <c r="REK241"/>
      <c r="REL241"/>
      <c r="REM241"/>
      <c r="REN241"/>
      <c r="REO241"/>
      <c r="REP241"/>
      <c r="REQ241"/>
      <c r="RER241"/>
      <c r="RES241"/>
      <c r="RET241"/>
      <c r="REU241"/>
      <c r="REV241"/>
      <c r="REW241"/>
      <c r="REX241"/>
      <c r="REY241"/>
      <c r="REZ241"/>
      <c r="RFA241"/>
      <c r="RFB241"/>
      <c r="RFC241"/>
      <c r="RFD241"/>
      <c r="RFE241"/>
      <c r="RFF241"/>
      <c r="RFG241"/>
      <c r="RFH241"/>
      <c r="RFI241"/>
      <c r="RFJ241"/>
      <c r="RFK241"/>
      <c r="RFL241"/>
      <c r="RFM241"/>
      <c r="RFN241"/>
      <c r="RFO241"/>
      <c r="RFP241"/>
      <c r="RFQ241"/>
      <c r="RFR241"/>
      <c r="RFS241"/>
      <c r="RFT241"/>
      <c r="RFU241"/>
      <c r="RFV241"/>
      <c r="RFW241"/>
      <c r="RFX241"/>
      <c r="RFY241"/>
      <c r="RFZ241"/>
      <c r="RGA241"/>
      <c r="RGB241"/>
      <c r="RGC241"/>
      <c r="RGD241"/>
      <c r="RGE241"/>
      <c r="RGF241"/>
      <c r="RGG241"/>
      <c r="RGH241"/>
      <c r="RGI241"/>
      <c r="RGJ241"/>
      <c r="RGK241"/>
      <c r="RGL241"/>
      <c r="RGM241"/>
      <c r="RGN241"/>
      <c r="RGO241"/>
      <c r="RGP241"/>
      <c r="RGQ241"/>
      <c r="RGR241"/>
      <c r="RGS241"/>
      <c r="RGT241"/>
      <c r="RGU241"/>
      <c r="RGV241"/>
      <c r="RGW241"/>
      <c r="RGX241"/>
      <c r="RGY241"/>
      <c r="RGZ241"/>
      <c r="RHA241"/>
      <c r="RHB241"/>
      <c r="RHC241"/>
      <c r="RHD241"/>
      <c r="RHE241"/>
      <c r="RHF241"/>
      <c r="RHG241"/>
      <c r="RHH241"/>
      <c r="RHI241"/>
      <c r="RHJ241"/>
      <c r="RHK241"/>
      <c r="RHL241"/>
      <c r="RHM241"/>
      <c r="RHN241"/>
      <c r="RHO241"/>
      <c r="RHP241"/>
      <c r="RHQ241"/>
      <c r="RHR241"/>
      <c r="RHS241"/>
      <c r="RHT241"/>
      <c r="RHU241"/>
      <c r="RHV241"/>
      <c r="RHW241"/>
      <c r="RHX241"/>
      <c r="RHY241"/>
      <c r="RHZ241"/>
      <c r="RIA241"/>
      <c r="RIB241"/>
      <c r="RIC241"/>
      <c r="RID241"/>
      <c r="RIE241"/>
      <c r="RIF241"/>
      <c r="RIG241"/>
      <c r="RIH241"/>
      <c r="RII241"/>
      <c r="RIJ241"/>
      <c r="RIK241"/>
      <c r="RIL241"/>
      <c r="RIM241"/>
      <c r="RIN241"/>
      <c r="RIO241"/>
      <c r="RIP241"/>
      <c r="RIQ241"/>
      <c r="RIR241"/>
      <c r="RIS241"/>
      <c r="RIT241"/>
      <c r="RIU241"/>
      <c r="RIV241"/>
      <c r="RIW241"/>
      <c r="RIX241"/>
      <c r="RIY241"/>
      <c r="RIZ241"/>
      <c r="RJA241"/>
      <c r="RJB241"/>
      <c r="RJC241"/>
      <c r="RJD241"/>
      <c r="RJE241"/>
      <c r="RJF241"/>
      <c r="RJG241"/>
      <c r="RJH241"/>
      <c r="RJI241"/>
      <c r="RJJ241"/>
      <c r="RJK241"/>
      <c r="RJL241"/>
      <c r="RJM241"/>
      <c r="RJN241"/>
      <c r="RJO241"/>
      <c r="RJP241"/>
      <c r="RJQ241"/>
      <c r="RJR241"/>
      <c r="RJS241"/>
      <c r="RJT241"/>
      <c r="RJU241"/>
      <c r="RJV241"/>
      <c r="RJW241"/>
      <c r="RJX241"/>
      <c r="RJY241"/>
      <c r="RJZ241"/>
      <c r="RKA241"/>
      <c r="RKB241"/>
      <c r="RKC241"/>
      <c r="RKD241"/>
      <c r="RKE241"/>
      <c r="RKF241"/>
      <c r="RKG241"/>
      <c r="RKH241"/>
      <c r="RKI241"/>
      <c r="RKJ241"/>
      <c r="RKK241"/>
      <c r="RKL241"/>
      <c r="RKM241"/>
      <c r="RKN241"/>
      <c r="RKO241"/>
      <c r="RKP241"/>
      <c r="RKQ241"/>
      <c r="RKR241"/>
      <c r="RKS241"/>
      <c r="RKT241"/>
      <c r="RKU241"/>
      <c r="RKV241"/>
      <c r="RKW241"/>
      <c r="RKX241"/>
      <c r="RKY241"/>
      <c r="RKZ241"/>
      <c r="RLA241"/>
      <c r="RLB241"/>
      <c r="RLC241"/>
      <c r="RLD241"/>
      <c r="RLE241"/>
      <c r="RLF241"/>
      <c r="RLG241"/>
      <c r="RLH241"/>
      <c r="RLI241"/>
      <c r="RLJ241"/>
      <c r="RLK241"/>
      <c r="RLL241"/>
      <c r="RLM241"/>
      <c r="RLN241"/>
      <c r="RLO241"/>
      <c r="RLP241"/>
      <c r="RLQ241"/>
      <c r="RLR241"/>
      <c r="RLS241"/>
      <c r="RLT241"/>
      <c r="RLU241"/>
      <c r="RLV241"/>
      <c r="RLW241"/>
      <c r="RLX241"/>
      <c r="RLY241"/>
      <c r="RLZ241"/>
      <c r="RMA241"/>
      <c r="RMB241"/>
      <c r="RMC241"/>
      <c r="RMD241"/>
      <c r="RME241"/>
      <c r="RMF241"/>
      <c r="RMG241"/>
      <c r="RMH241"/>
      <c r="RMI241"/>
      <c r="RMJ241"/>
      <c r="RMK241"/>
      <c r="RML241"/>
      <c r="RMM241"/>
      <c r="RMN241"/>
      <c r="RMO241"/>
      <c r="RMP241"/>
      <c r="RMQ241"/>
      <c r="RMR241"/>
      <c r="RMS241"/>
      <c r="RMT241"/>
      <c r="RMU241"/>
      <c r="RMV241"/>
      <c r="RMW241"/>
      <c r="RMX241"/>
      <c r="RMY241"/>
      <c r="RMZ241"/>
      <c r="RNA241"/>
      <c r="RNB241"/>
      <c r="RNC241"/>
      <c r="RND241"/>
      <c r="RNE241"/>
      <c r="RNF241"/>
      <c r="RNG241"/>
      <c r="RNH241"/>
      <c r="RNI241"/>
      <c r="RNJ241"/>
      <c r="RNK241"/>
      <c r="RNL241"/>
      <c r="RNM241"/>
      <c r="RNN241"/>
      <c r="RNO241"/>
      <c r="RNP241"/>
      <c r="RNQ241"/>
      <c r="RNR241"/>
      <c r="RNS241"/>
      <c r="RNT241"/>
      <c r="RNU241"/>
      <c r="RNV241"/>
      <c r="RNW241"/>
      <c r="RNX241"/>
      <c r="RNY241"/>
      <c r="RNZ241"/>
      <c r="ROA241"/>
      <c r="ROB241"/>
      <c r="ROC241"/>
      <c r="ROD241"/>
      <c r="ROE241"/>
      <c r="ROF241"/>
      <c r="ROG241"/>
      <c r="ROH241"/>
      <c r="ROI241"/>
      <c r="ROJ241"/>
      <c r="ROK241"/>
      <c r="ROL241"/>
      <c r="ROM241"/>
      <c r="RON241"/>
      <c r="ROO241"/>
      <c r="ROP241"/>
      <c r="ROQ241"/>
      <c r="ROR241"/>
      <c r="ROS241"/>
      <c r="ROT241"/>
      <c r="ROU241"/>
      <c r="ROV241"/>
      <c r="ROW241"/>
      <c r="ROX241"/>
      <c r="ROY241"/>
      <c r="ROZ241"/>
      <c r="RPA241"/>
      <c r="RPB241"/>
      <c r="RPC241"/>
      <c r="RPD241"/>
      <c r="RPE241"/>
      <c r="RPF241"/>
      <c r="RPG241"/>
      <c r="RPH241"/>
      <c r="RPI241"/>
      <c r="RPJ241"/>
      <c r="RPK241"/>
      <c r="RPL241"/>
      <c r="RPM241"/>
      <c r="RPN241"/>
      <c r="RPO241"/>
      <c r="RPP241"/>
      <c r="RPQ241"/>
      <c r="RPR241"/>
      <c r="RPS241"/>
      <c r="RPT241"/>
      <c r="RPU241"/>
      <c r="RPV241"/>
      <c r="RPW241"/>
      <c r="RPX241"/>
      <c r="RPY241"/>
      <c r="RPZ241"/>
      <c r="RQA241"/>
      <c r="RQB241"/>
      <c r="RQC241"/>
      <c r="RQD241"/>
      <c r="RQE241"/>
      <c r="RQF241"/>
      <c r="RQG241"/>
      <c r="RQH241"/>
      <c r="RQI241"/>
      <c r="RQJ241"/>
      <c r="RQK241"/>
      <c r="RQL241"/>
      <c r="RQM241"/>
      <c r="RQN241"/>
      <c r="RQO241"/>
      <c r="RQP241"/>
      <c r="RQQ241"/>
      <c r="RQR241"/>
      <c r="RQS241"/>
      <c r="RQT241"/>
      <c r="RQU241"/>
      <c r="RQV241"/>
      <c r="RQW241"/>
      <c r="RQX241"/>
      <c r="RQY241"/>
      <c r="RQZ241"/>
      <c r="RRA241"/>
      <c r="RRB241"/>
      <c r="RRC241"/>
      <c r="RRD241"/>
      <c r="RRE241"/>
      <c r="RRF241"/>
      <c r="RRG241"/>
      <c r="RRH241"/>
      <c r="RRI241"/>
      <c r="RRJ241"/>
      <c r="RRK241"/>
      <c r="RRL241"/>
      <c r="RRM241"/>
      <c r="RRN241"/>
      <c r="RRO241"/>
      <c r="RRP241"/>
      <c r="RRQ241"/>
      <c r="RRR241"/>
      <c r="RRS241"/>
      <c r="RRT241"/>
      <c r="RRU241"/>
      <c r="RRV241"/>
      <c r="RRW241"/>
      <c r="RRX241"/>
      <c r="RRY241"/>
      <c r="RRZ241"/>
      <c r="RSA241"/>
      <c r="RSB241"/>
      <c r="RSC241"/>
      <c r="RSD241"/>
      <c r="RSE241"/>
      <c r="RSF241"/>
      <c r="RSG241"/>
      <c r="RSH241"/>
      <c r="RSI241"/>
      <c r="RSJ241"/>
      <c r="RSK241"/>
      <c r="RSL241"/>
      <c r="RSM241"/>
      <c r="RSN241"/>
      <c r="RSO241"/>
      <c r="RSP241"/>
      <c r="RSQ241"/>
      <c r="RSR241"/>
      <c r="RSS241"/>
      <c r="RST241"/>
      <c r="RSU241"/>
      <c r="RSV241"/>
      <c r="RSW241"/>
      <c r="RSX241"/>
      <c r="RSY241"/>
      <c r="RSZ241"/>
      <c r="RTA241"/>
      <c r="RTB241"/>
      <c r="RTC241"/>
      <c r="RTD241"/>
      <c r="RTE241"/>
      <c r="RTF241"/>
      <c r="RTG241"/>
      <c r="RTH241"/>
      <c r="RTI241"/>
      <c r="RTJ241"/>
      <c r="RTK241"/>
      <c r="RTL241"/>
      <c r="RTM241"/>
      <c r="RTN241"/>
      <c r="RTO241"/>
      <c r="RTP241"/>
      <c r="RTQ241"/>
      <c r="RTR241"/>
      <c r="RTS241"/>
      <c r="RTT241"/>
      <c r="RTU241"/>
      <c r="RTV241"/>
      <c r="RTW241"/>
      <c r="RTX241"/>
      <c r="RTY241"/>
      <c r="RTZ241"/>
      <c r="RUA241"/>
      <c r="RUB241"/>
      <c r="RUC241"/>
      <c r="RUD241"/>
      <c r="RUE241"/>
      <c r="RUF241"/>
      <c r="RUG241"/>
      <c r="RUH241"/>
      <c r="RUI241"/>
      <c r="RUJ241"/>
      <c r="RUK241"/>
      <c r="RUL241"/>
      <c r="RUM241"/>
      <c r="RUN241"/>
      <c r="RUO241"/>
      <c r="RUP241"/>
      <c r="RUQ241"/>
      <c r="RUR241"/>
      <c r="RUS241"/>
      <c r="RUT241"/>
      <c r="RUU241"/>
      <c r="RUV241"/>
      <c r="RUW241"/>
      <c r="RUX241"/>
      <c r="RUY241"/>
      <c r="RUZ241"/>
      <c r="RVA241"/>
      <c r="RVB241"/>
      <c r="RVC241"/>
      <c r="RVD241"/>
      <c r="RVE241"/>
      <c r="RVF241"/>
      <c r="RVG241"/>
      <c r="RVH241"/>
      <c r="RVI241"/>
      <c r="RVJ241"/>
      <c r="RVK241"/>
      <c r="RVL241"/>
      <c r="RVM241"/>
      <c r="RVN241"/>
      <c r="RVO241"/>
      <c r="RVP241"/>
      <c r="RVQ241"/>
      <c r="RVR241"/>
      <c r="RVS241"/>
      <c r="RVT241"/>
      <c r="RVU241"/>
      <c r="RVV241"/>
      <c r="RVW241"/>
      <c r="RVX241"/>
      <c r="RVY241"/>
      <c r="RVZ241"/>
      <c r="RWA241"/>
      <c r="RWB241"/>
      <c r="RWC241"/>
      <c r="RWD241"/>
      <c r="RWE241"/>
      <c r="RWF241"/>
      <c r="RWG241"/>
      <c r="RWH241"/>
      <c r="RWI241"/>
      <c r="RWJ241"/>
      <c r="RWK241"/>
      <c r="RWL241"/>
      <c r="RWM241"/>
      <c r="RWN241"/>
      <c r="RWO241"/>
      <c r="RWP241"/>
      <c r="RWQ241"/>
      <c r="RWR241"/>
      <c r="RWS241"/>
      <c r="RWT241"/>
      <c r="RWU241"/>
      <c r="RWV241"/>
      <c r="RWW241"/>
      <c r="RWX241"/>
      <c r="RWY241"/>
      <c r="RWZ241"/>
      <c r="RXA241"/>
      <c r="RXB241"/>
      <c r="RXC241"/>
      <c r="RXD241"/>
      <c r="RXE241"/>
      <c r="RXF241"/>
      <c r="RXG241"/>
      <c r="RXH241"/>
      <c r="RXI241"/>
      <c r="RXJ241"/>
      <c r="RXK241"/>
      <c r="RXL241"/>
      <c r="RXM241"/>
      <c r="RXN241"/>
      <c r="RXO241"/>
      <c r="RXP241"/>
      <c r="RXQ241"/>
      <c r="RXR241"/>
      <c r="RXS241"/>
      <c r="RXT241"/>
      <c r="RXU241"/>
      <c r="RXV241"/>
      <c r="RXW241"/>
      <c r="RXX241"/>
      <c r="RXY241"/>
      <c r="RXZ241"/>
      <c r="RYA241"/>
      <c r="RYB241"/>
      <c r="RYC241"/>
      <c r="RYD241"/>
      <c r="RYE241"/>
      <c r="RYF241"/>
      <c r="RYG241"/>
      <c r="RYH241"/>
      <c r="RYI241"/>
      <c r="RYJ241"/>
      <c r="RYK241"/>
      <c r="RYL241"/>
      <c r="RYM241"/>
      <c r="RYN241"/>
      <c r="RYO241"/>
      <c r="RYP241"/>
      <c r="RYQ241"/>
      <c r="RYR241"/>
      <c r="RYS241"/>
      <c r="RYT241"/>
      <c r="RYU241"/>
      <c r="RYV241"/>
      <c r="RYW241"/>
      <c r="RYX241"/>
      <c r="RYY241"/>
      <c r="RYZ241"/>
      <c r="RZA241"/>
      <c r="RZB241"/>
      <c r="RZC241"/>
      <c r="RZD241"/>
      <c r="RZE241"/>
      <c r="RZF241"/>
      <c r="RZG241"/>
      <c r="RZH241"/>
      <c r="RZI241"/>
      <c r="RZJ241"/>
      <c r="RZK241"/>
      <c r="RZL241"/>
      <c r="RZM241"/>
      <c r="RZN241"/>
      <c r="RZO241"/>
      <c r="RZP241"/>
      <c r="RZQ241"/>
      <c r="RZR241"/>
      <c r="RZS241"/>
      <c r="RZT241"/>
      <c r="RZU241"/>
      <c r="RZV241"/>
      <c r="RZW241"/>
      <c r="RZX241"/>
      <c r="RZY241"/>
      <c r="RZZ241"/>
      <c r="SAA241"/>
      <c r="SAB241"/>
      <c r="SAC241"/>
      <c r="SAD241"/>
      <c r="SAE241"/>
      <c r="SAF241"/>
      <c r="SAG241"/>
      <c r="SAH241"/>
      <c r="SAI241"/>
      <c r="SAJ241"/>
      <c r="SAK241"/>
      <c r="SAL241"/>
      <c r="SAM241"/>
      <c r="SAN241"/>
      <c r="SAO241"/>
      <c r="SAP241"/>
      <c r="SAQ241"/>
      <c r="SAR241"/>
      <c r="SAS241"/>
      <c r="SAT241"/>
      <c r="SAU241"/>
      <c r="SAV241"/>
      <c r="SAW241"/>
      <c r="SAX241"/>
      <c r="SAY241"/>
      <c r="SAZ241"/>
      <c r="SBA241"/>
      <c r="SBB241"/>
      <c r="SBC241"/>
      <c r="SBD241"/>
      <c r="SBE241"/>
      <c r="SBF241"/>
      <c r="SBG241"/>
      <c r="SBH241"/>
      <c r="SBI241"/>
      <c r="SBJ241"/>
      <c r="SBK241"/>
      <c r="SBL241"/>
      <c r="SBM241"/>
      <c r="SBN241"/>
      <c r="SBO241"/>
      <c r="SBP241"/>
      <c r="SBQ241"/>
      <c r="SBR241"/>
      <c r="SBS241"/>
      <c r="SBT241"/>
      <c r="SBU241"/>
      <c r="SBV241"/>
      <c r="SBW241"/>
      <c r="SBX241"/>
      <c r="SBY241"/>
      <c r="SBZ241"/>
      <c r="SCA241"/>
      <c r="SCB241"/>
      <c r="SCC241"/>
      <c r="SCD241"/>
      <c r="SCE241"/>
      <c r="SCF241"/>
      <c r="SCG241"/>
      <c r="SCH241"/>
      <c r="SCI241"/>
      <c r="SCJ241"/>
      <c r="SCK241"/>
      <c r="SCL241"/>
      <c r="SCM241"/>
      <c r="SCN241"/>
      <c r="SCO241"/>
      <c r="SCP241"/>
      <c r="SCQ241"/>
      <c r="SCR241"/>
      <c r="SCS241"/>
      <c r="SCT241"/>
      <c r="SCU241"/>
      <c r="SCV241"/>
      <c r="SCW241"/>
      <c r="SCX241"/>
      <c r="SCY241"/>
      <c r="SCZ241"/>
      <c r="SDA241"/>
      <c r="SDB241"/>
      <c r="SDC241"/>
      <c r="SDD241"/>
      <c r="SDE241"/>
      <c r="SDF241"/>
      <c r="SDG241"/>
      <c r="SDH241"/>
      <c r="SDI241"/>
      <c r="SDJ241"/>
      <c r="SDK241"/>
      <c r="SDL241"/>
      <c r="SDM241"/>
      <c r="SDN241"/>
      <c r="SDO241"/>
      <c r="SDP241"/>
      <c r="SDQ241"/>
      <c r="SDR241"/>
      <c r="SDS241"/>
      <c r="SDT241"/>
      <c r="SDU241"/>
      <c r="SDV241"/>
      <c r="SDW241"/>
      <c r="SDX241"/>
      <c r="SDY241"/>
      <c r="SDZ241"/>
      <c r="SEA241"/>
      <c r="SEB241"/>
      <c r="SEC241"/>
      <c r="SED241"/>
      <c r="SEE241"/>
      <c r="SEF241"/>
      <c r="SEG241"/>
      <c r="SEH241"/>
      <c r="SEI241"/>
      <c r="SEJ241"/>
      <c r="SEK241"/>
      <c r="SEL241"/>
      <c r="SEM241"/>
      <c r="SEN241"/>
      <c r="SEO241"/>
      <c r="SEP241"/>
      <c r="SEQ241"/>
      <c r="SER241"/>
      <c r="SES241"/>
      <c r="SET241"/>
      <c r="SEU241"/>
      <c r="SEV241"/>
      <c r="SEW241"/>
      <c r="SEX241"/>
      <c r="SEY241"/>
      <c r="SEZ241"/>
      <c r="SFA241"/>
      <c r="SFB241"/>
      <c r="SFC241"/>
      <c r="SFD241"/>
      <c r="SFE241"/>
      <c r="SFF241"/>
      <c r="SFG241"/>
      <c r="SFH241"/>
      <c r="SFI241"/>
      <c r="SFJ241"/>
      <c r="SFK241"/>
      <c r="SFL241"/>
      <c r="SFM241"/>
      <c r="SFN241"/>
      <c r="SFO241"/>
      <c r="SFP241"/>
      <c r="SFQ241"/>
      <c r="SFR241"/>
      <c r="SFS241"/>
      <c r="SFT241"/>
      <c r="SFU241"/>
      <c r="SFV241"/>
      <c r="SFW241"/>
      <c r="SFX241"/>
      <c r="SFY241"/>
      <c r="SFZ241"/>
      <c r="SGA241"/>
      <c r="SGB241"/>
      <c r="SGC241"/>
      <c r="SGD241"/>
      <c r="SGE241"/>
      <c r="SGF241"/>
      <c r="SGG241"/>
      <c r="SGH241"/>
      <c r="SGI241"/>
      <c r="SGJ241"/>
      <c r="SGK241"/>
      <c r="SGL241"/>
      <c r="SGM241"/>
      <c r="SGN241"/>
      <c r="SGO241"/>
      <c r="SGP241"/>
      <c r="SGQ241"/>
      <c r="SGR241"/>
      <c r="SGS241"/>
      <c r="SGT241"/>
      <c r="SGU241"/>
      <c r="SGV241"/>
      <c r="SGW241"/>
      <c r="SGX241"/>
      <c r="SGY241"/>
      <c r="SGZ241"/>
      <c r="SHA241"/>
      <c r="SHB241"/>
      <c r="SHC241"/>
      <c r="SHD241"/>
      <c r="SHE241"/>
      <c r="SHF241"/>
      <c r="SHG241"/>
      <c r="SHH241"/>
      <c r="SHI241"/>
      <c r="SHJ241"/>
      <c r="SHK241"/>
      <c r="SHL241"/>
      <c r="SHM241"/>
      <c r="SHN241"/>
      <c r="SHO241"/>
      <c r="SHP241"/>
      <c r="SHQ241"/>
      <c r="SHR241"/>
      <c r="SHS241"/>
      <c r="SHT241"/>
      <c r="SHU241"/>
      <c r="SHV241"/>
      <c r="SHW241"/>
      <c r="SHX241"/>
      <c r="SHY241"/>
      <c r="SHZ241"/>
      <c r="SIA241"/>
      <c r="SIB241"/>
      <c r="SIC241"/>
      <c r="SID241"/>
      <c r="SIE241"/>
      <c r="SIF241"/>
      <c r="SIG241"/>
      <c r="SIH241"/>
      <c r="SII241"/>
      <c r="SIJ241"/>
      <c r="SIK241"/>
      <c r="SIL241"/>
      <c r="SIM241"/>
      <c r="SIN241"/>
      <c r="SIO241"/>
      <c r="SIP241"/>
      <c r="SIQ241"/>
      <c r="SIR241"/>
      <c r="SIS241"/>
      <c r="SIT241"/>
      <c r="SIU241"/>
      <c r="SIV241"/>
      <c r="SIW241"/>
      <c r="SIX241"/>
      <c r="SIY241"/>
      <c r="SIZ241"/>
      <c r="SJA241"/>
      <c r="SJB241"/>
      <c r="SJC241"/>
      <c r="SJD241"/>
      <c r="SJE241"/>
      <c r="SJF241"/>
      <c r="SJG241"/>
      <c r="SJH241"/>
      <c r="SJI241"/>
      <c r="SJJ241"/>
      <c r="SJK241"/>
      <c r="SJL241"/>
      <c r="SJM241"/>
      <c r="SJN241"/>
      <c r="SJO241"/>
      <c r="SJP241"/>
      <c r="SJQ241"/>
      <c r="SJR241"/>
      <c r="SJS241"/>
      <c r="SJT241"/>
      <c r="SJU241"/>
      <c r="SJV241"/>
      <c r="SJW241"/>
      <c r="SJX241"/>
      <c r="SJY241"/>
      <c r="SJZ241"/>
      <c r="SKA241"/>
      <c r="SKB241"/>
      <c r="SKC241"/>
      <c r="SKD241"/>
      <c r="SKE241"/>
      <c r="SKF241"/>
      <c r="SKG241"/>
      <c r="SKH241"/>
      <c r="SKI241"/>
      <c r="SKJ241"/>
      <c r="SKK241"/>
      <c r="SKL241"/>
      <c r="SKM241"/>
      <c r="SKN241"/>
      <c r="SKO241"/>
      <c r="SKP241"/>
      <c r="SKQ241"/>
      <c r="SKR241"/>
      <c r="SKS241"/>
      <c r="SKT241"/>
      <c r="SKU241"/>
      <c r="SKV241"/>
      <c r="SKW241"/>
      <c r="SKX241"/>
      <c r="SKY241"/>
      <c r="SKZ241"/>
      <c r="SLA241"/>
      <c r="SLB241"/>
      <c r="SLC241"/>
      <c r="SLD241"/>
      <c r="SLE241"/>
      <c r="SLF241"/>
      <c r="SLG241"/>
      <c r="SLH241"/>
      <c r="SLI241"/>
      <c r="SLJ241"/>
      <c r="SLK241"/>
      <c r="SLL241"/>
      <c r="SLM241"/>
      <c r="SLN241"/>
      <c r="SLO241"/>
      <c r="SLP241"/>
      <c r="SLQ241"/>
      <c r="SLR241"/>
      <c r="SLS241"/>
      <c r="SLT241"/>
      <c r="SLU241"/>
      <c r="SLV241"/>
      <c r="SLW241"/>
      <c r="SLX241"/>
      <c r="SLY241"/>
      <c r="SLZ241"/>
      <c r="SMA241"/>
      <c r="SMB241"/>
      <c r="SMC241"/>
      <c r="SMD241"/>
      <c r="SME241"/>
      <c r="SMF241"/>
      <c r="SMG241"/>
      <c r="SMH241"/>
      <c r="SMI241"/>
      <c r="SMJ241"/>
      <c r="SMK241"/>
      <c r="SML241"/>
      <c r="SMM241"/>
      <c r="SMN241"/>
      <c r="SMO241"/>
      <c r="SMP241"/>
      <c r="SMQ241"/>
      <c r="SMR241"/>
      <c r="SMS241"/>
      <c r="SMT241"/>
      <c r="SMU241"/>
      <c r="SMV241"/>
      <c r="SMW241"/>
      <c r="SMX241"/>
      <c r="SMY241"/>
      <c r="SMZ241"/>
      <c r="SNA241"/>
      <c r="SNB241"/>
      <c r="SNC241"/>
      <c r="SND241"/>
      <c r="SNE241"/>
      <c r="SNF241"/>
      <c r="SNG241"/>
      <c r="SNH241"/>
      <c r="SNI241"/>
      <c r="SNJ241"/>
      <c r="SNK241"/>
      <c r="SNL241"/>
      <c r="SNM241"/>
      <c r="SNN241"/>
      <c r="SNO241"/>
      <c r="SNP241"/>
      <c r="SNQ241"/>
      <c r="SNR241"/>
      <c r="SNS241"/>
      <c r="SNT241"/>
      <c r="SNU241"/>
      <c r="SNV241"/>
      <c r="SNW241"/>
      <c r="SNX241"/>
      <c r="SNY241"/>
      <c r="SNZ241"/>
      <c r="SOA241"/>
      <c r="SOB241"/>
      <c r="SOC241"/>
      <c r="SOD241"/>
      <c r="SOE241"/>
      <c r="SOF241"/>
      <c r="SOG241"/>
      <c r="SOH241"/>
      <c r="SOI241"/>
      <c r="SOJ241"/>
      <c r="SOK241"/>
      <c r="SOL241"/>
      <c r="SOM241"/>
      <c r="SON241"/>
      <c r="SOO241"/>
      <c r="SOP241"/>
      <c r="SOQ241"/>
      <c r="SOR241"/>
      <c r="SOS241"/>
      <c r="SOT241"/>
      <c r="SOU241"/>
      <c r="SOV241"/>
      <c r="SOW241"/>
      <c r="SOX241"/>
      <c r="SOY241"/>
      <c r="SOZ241"/>
      <c r="SPA241"/>
      <c r="SPB241"/>
      <c r="SPC241"/>
      <c r="SPD241"/>
      <c r="SPE241"/>
      <c r="SPF241"/>
      <c r="SPG241"/>
      <c r="SPH241"/>
      <c r="SPI241"/>
      <c r="SPJ241"/>
      <c r="SPK241"/>
      <c r="SPL241"/>
      <c r="SPM241"/>
      <c r="SPN241"/>
      <c r="SPO241"/>
      <c r="SPP241"/>
      <c r="SPQ241"/>
      <c r="SPR241"/>
      <c r="SPS241"/>
      <c r="SPT241"/>
      <c r="SPU241"/>
      <c r="SPV241"/>
      <c r="SPW241"/>
      <c r="SPX241"/>
      <c r="SPY241"/>
      <c r="SPZ241"/>
      <c r="SQA241"/>
      <c r="SQB241"/>
      <c r="SQC241"/>
      <c r="SQD241"/>
      <c r="SQE241"/>
      <c r="SQF241"/>
      <c r="SQG241"/>
      <c r="SQH241"/>
      <c r="SQI241"/>
      <c r="SQJ241"/>
      <c r="SQK241"/>
      <c r="SQL241"/>
      <c r="SQM241"/>
      <c r="SQN241"/>
      <c r="SQO241"/>
      <c r="SQP241"/>
      <c r="SQQ241"/>
      <c r="SQR241"/>
      <c r="SQS241"/>
      <c r="SQT241"/>
      <c r="SQU241"/>
      <c r="SQV241"/>
      <c r="SQW241"/>
      <c r="SQX241"/>
      <c r="SQY241"/>
      <c r="SQZ241"/>
      <c r="SRA241"/>
      <c r="SRB241"/>
      <c r="SRC241"/>
      <c r="SRD241"/>
      <c r="SRE241"/>
      <c r="SRF241"/>
      <c r="SRG241"/>
      <c r="SRH241"/>
      <c r="SRI241"/>
      <c r="SRJ241"/>
      <c r="SRK241"/>
      <c r="SRL241"/>
      <c r="SRM241"/>
      <c r="SRN241"/>
      <c r="SRO241"/>
      <c r="SRP241"/>
      <c r="SRQ241"/>
      <c r="SRR241"/>
      <c r="SRS241"/>
      <c r="SRT241"/>
      <c r="SRU241"/>
      <c r="SRV241"/>
      <c r="SRW241"/>
      <c r="SRX241"/>
      <c r="SRY241"/>
      <c r="SRZ241"/>
      <c r="SSA241"/>
      <c r="SSB241"/>
      <c r="SSC241"/>
      <c r="SSD241"/>
      <c r="SSE241"/>
      <c r="SSF241"/>
      <c r="SSG241"/>
      <c r="SSH241"/>
      <c r="SSI241"/>
      <c r="SSJ241"/>
      <c r="SSK241"/>
      <c r="SSL241"/>
      <c r="SSM241"/>
      <c r="SSN241"/>
      <c r="SSO241"/>
      <c r="SSP241"/>
      <c r="SSQ241"/>
      <c r="SSR241"/>
      <c r="SSS241"/>
      <c r="SST241"/>
      <c r="SSU241"/>
      <c r="SSV241"/>
      <c r="SSW241"/>
      <c r="SSX241"/>
      <c r="SSY241"/>
      <c r="SSZ241"/>
      <c r="STA241"/>
      <c r="STB241"/>
      <c r="STC241"/>
      <c r="STD241"/>
      <c r="STE241"/>
      <c r="STF241"/>
      <c r="STG241"/>
      <c r="STH241"/>
      <c r="STI241"/>
      <c r="STJ241"/>
      <c r="STK241"/>
      <c r="STL241"/>
      <c r="STM241"/>
      <c r="STN241"/>
      <c r="STO241"/>
      <c r="STP241"/>
      <c r="STQ241"/>
      <c r="STR241"/>
      <c r="STS241"/>
      <c r="STT241"/>
      <c r="STU241"/>
      <c r="STV241"/>
      <c r="STW241"/>
      <c r="STX241"/>
      <c r="STY241"/>
      <c r="STZ241"/>
      <c r="SUA241"/>
      <c r="SUB241"/>
      <c r="SUC241"/>
      <c r="SUD241"/>
      <c r="SUE241"/>
      <c r="SUF241"/>
      <c r="SUG241"/>
      <c r="SUH241"/>
      <c r="SUI241"/>
      <c r="SUJ241"/>
      <c r="SUK241"/>
      <c r="SUL241"/>
      <c r="SUM241"/>
      <c r="SUN241"/>
      <c r="SUO241"/>
      <c r="SUP241"/>
      <c r="SUQ241"/>
      <c r="SUR241"/>
      <c r="SUS241"/>
      <c r="SUT241"/>
      <c r="SUU241"/>
      <c r="SUV241"/>
      <c r="SUW241"/>
      <c r="SUX241"/>
      <c r="SUY241"/>
      <c r="SUZ241"/>
      <c r="SVA241"/>
      <c r="SVB241"/>
      <c r="SVC241"/>
      <c r="SVD241"/>
      <c r="SVE241"/>
      <c r="SVF241"/>
      <c r="SVG241"/>
      <c r="SVH241"/>
      <c r="SVI241"/>
      <c r="SVJ241"/>
      <c r="SVK241"/>
      <c r="SVL241"/>
      <c r="SVM241"/>
      <c r="SVN241"/>
      <c r="SVO241"/>
      <c r="SVP241"/>
      <c r="SVQ241"/>
      <c r="SVR241"/>
      <c r="SVS241"/>
      <c r="SVT241"/>
      <c r="SVU241"/>
      <c r="SVV241"/>
      <c r="SVW241"/>
      <c r="SVX241"/>
      <c r="SVY241"/>
      <c r="SVZ241"/>
      <c r="SWA241"/>
      <c r="SWB241"/>
      <c r="SWC241"/>
      <c r="SWD241"/>
      <c r="SWE241"/>
      <c r="SWF241"/>
      <c r="SWG241"/>
      <c r="SWH241"/>
      <c r="SWI241"/>
      <c r="SWJ241"/>
      <c r="SWK241"/>
      <c r="SWL241"/>
      <c r="SWM241"/>
      <c r="SWN241"/>
      <c r="SWO241"/>
      <c r="SWP241"/>
      <c r="SWQ241"/>
      <c r="SWR241"/>
      <c r="SWS241"/>
      <c r="SWT241"/>
      <c r="SWU241"/>
      <c r="SWV241"/>
      <c r="SWW241"/>
      <c r="SWX241"/>
      <c r="SWY241"/>
      <c r="SWZ241"/>
      <c r="SXA241"/>
      <c r="SXB241"/>
      <c r="SXC241"/>
      <c r="SXD241"/>
      <c r="SXE241"/>
      <c r="SXF241"/>
      <c r="SXG241"/>
      <c r="SXH241"/>
      <c r="SXI241"/>
      <c r="SXJ241"/>
      <c r="SXK241"/>
      <c r="SXL241"/>
      <c r="SXM241"/>
      <c r="SXN241"/>
      <c r="SXO241"/>
      <c r="SXP241"/>
      <c r="SXQ241"/>
      <c r="SXR241"/>
      <c r="SXS241"/>
      <c r="SXT241"/>
      <c r="SXU241"/>
      <c r="SXV241"/>
      <c r="SXW241"/>
      <c r="SXX241"/>
      <c r="SXY241"/>
      <c r="SXZ241"/>
      <c r="SYA241"/>
      <c r="SYB241"/>
      <c r="SYC241"/>
      <c r="SYD241"/>
      <c r="SYE241"/>
      <c r="SYF241"/>
      <c r="SYG241"/>
      <c r="SYH241"/>
      <c r="SYI241"/>
      <c r="SYJ241"/>
      <c r="SYK241"/>
      <c r="SYL241"/>
      <c r="SYM241"/>
      <c r="SYN241"/>
      <c r="SYO241"/>
      <c r="SYP241"/>
      <c r="SYQ241"/>
      <c r="SYR241"/>
      <c r="SYS241"/>
      <c r="SYT241"/>
      <c r="SYU241"/>
      <c r="SYV241"/>
      <c r="SYW241"/>
      <c r="SYX241"/>
      <c r="SYY241"/>
      <c r="SYZ241"/>
      <c r="SZA241"/>
      <c r="SZB241"/>
      <c r="SZC241"/>
      <c r="SZD241"/>
      <c r="SZE241"/>
      <c r="SZF241"/>
      <c r="SZG241"/>
      <c r="SZH241"/>
      <c r="SZI241"/>
      <c r="SZJ241"/>
      <c r="SZK241"/>
      <c r="SZL241"/>
      <c r="SZM241"/>
      <c r="SZN241"/>
      <c r="SZO241"/>
      <c r="SZP241"/>
      <c r="SZQ241"/>
      <c r="SZR241"/>
      <c r="SZS241"/>
      <c r="SZT241"/>
      <c r="SZU241"/>
      <c r="SZV241"/>
      <c r="SZW241"/>
      <c r="SZX241"/>
      <c r="SZY241"/>
      <c r="SZZ241"/>
      <c r="TAA241"/>
      <c r="TAB241"/>
      <c r="TAC241"/>
      <c r="TAD241"/>
      <c r="TAE241"/>
      <c r="TAF241"/>
      <c r="TAG241"/>
      <c r="TAH241"/>
      <c r="TAI241"/>
      <c r="TAJ241"/>
      <c r="TAK241"/>
      <c r="TAL241"/>
      <c r="TAM241"/>
      <c r="TAN241"/>
      <c r="TAO241"/>
      <c r="TAP241"/>
      <c r="TAQ241"/>
      <c r="TAR241"/>
      <c r="TAS241"/>
      <c r="TAT241"/>
      <c r="TAU241"/>
      <c r="TAV241"/>
      <c r="TAW241"/>
      <c r="TAX241"/>
      <c r="TAY241"/>
      <c r="TAZ241"/>
      <c r="TBA241"/>
      <c r="TBB241"/>
      <c r="TBC241"/>
      <c r="TBD241"/>
      <c r="TBE241"/>
      <c r="TBF241"/>
      <c r="TBG241"/>
      <c r="TBH241"/>
      <c r="TBI241"/>
      <c r="TBJ241"/>
      <c r="TBK241"/>
      <c r="TBL241"/>
      <c r="TBM241"/>
      <c r="TBN241"/>
      <c r="TBO241"/>
      <c r="TBP241"/>
      <c r="TBQ241"/>
      <c r="TBR241"/>
      <c r="TBS241"/>
      <c r="TBT241"/>
      <c r="TBU241"/>
      <c r="TBV241"/>
      <c r="TBW241"/>
      <c r="TBX241"/>
      <c r="TBY241"/>
      <c r="TBZ241"/>
      <c r="TCA241"/>
      <c r="TCB241"/>
      <c r="TCC241"/>
      <c r="TCD241"/>
      <c r="TCE241"/>
      <c r="TCF241"/>
      <c r="TCG241"/>
      <c r="TCH241"/>
      <c r="TCI241"/>
      <c r="TCJ241"/>
      <c r="TCK241"/>
      <c r="TCL241"/>
      <c r="TCM241"/>
      <c r="TCN241"/>
      <c r="TCO241"/>
      <c r="TCP241"/>
      <c r="TCQ241"/>
      <c r="TCR241"/>
      <c r="TCS241"/>
      <c r="TCT241"/>
      <c r="TCU241"/>
      <c r="TCV241"/>
      <c r="TCW241"/>
      <c r="TCX241"/>
      <c r="TCY241"/>
      <c r="TCZ241"/>
      <c r="TDA241"/>
      <c r="TDB241"/>
      <c r="TDC241"/>
      <c r="TDD241"/>
      <c r="TDE241"/>
      <c r="TDF241"/>
      <c r="TDG241"/>
      <c r="TDH241"/>
      <c r="TDI241"/>
      <c r="TDJ241"/>
      <c r="TDK241"/>
      <c r="TDL241"/>
      <c r="TDM241"/>
      <c r="TDN241"/>
      <c r="TDO241"/>
      <c r="TDP241"/>
      <c r="TDQ241"/>
      <c r="TDR241"/>
      <c r="TDS241"/>
      <c r="TDT241"/>
      <c r="TDU241"/>
      <c r="TDV241"/>
      <c r="TDW241"/>
      <c r="TDX241"/>
      <c r="TDY241"/>
      <c r="TDZ241"/>
      <c r="TEA241"/>
      <c r="TEB241"/>
      <c r="TEC241"/>
      <c r="TED241"/>
      <c r="TEE241"/>
      <c r="TEF241"/>
      <c r="TEG241"/>
      <c r="TEH241"/>
      <c r="TEI241"/>
      <c r="TEJ241"/>
      <c r="TEK241"/>
      <c r="TEL241"/>
      <c r="TEM241"/>
      <c r="TEN241"/>
      <c r="TEO241"/>
      <c r="TEP241"/>
      <c r="TEQ241"/>
      <c r="TER241"/>
      <c r="TES241"/>
      <c r="TET241"/>
      <c r="TEU241"/>
      <c r="TEV241"/>
      <c r="TEW241"/>
      <c r="TEX241"/>
      <c r="TEY241"/>
      <c r="TEZ241"/>
      <c r="TFA241"/>
      <c r="TFB241"/>
      <c r="TFC241"/>
      <c r="TFD241"/>
      <c r="TFE241"/>
      <c r="TFF241"/>
      <c r="TFG241"/>
      <c r="TFH241"/>
      <c r="TFI241"/>
      <c r="TFJ241"/>
      <c r="TFK241"/>
      <c r="TFL241"/>
      <c r="TFM241"/>
      <c r="TFN241"/>
      <c r="TFO241"/>
      <c r="TFP241"/>
      <c r="TFQ241"/>
      <c r="TFR241"/>
      <c r="TFS241"/>
      <c r="TFT241"/>
      <c r="TFU241"/>
      <c r="TFV241"/>
      <c r="TFW241"/>
      <c r="TFX241"/>
      <c r="TFY241"/>
      <c r="TFZ241"/>
      <c r="TGA241"/>
      <c r="TGB241"/>
      <c r="TGC241"/>
      <c r="TGD241"/>
      <c r="TGE241"/>
      <c r="TGF241"/>
      <c r="TGG241"/>
      <c r="TGH241"/>
      <c r="TGI241"/>
      <c r="TGJ241"/>
      <c r="TGK241"/>
      <c r="TGL241"/>
      <c r="TGM241"/>
      <c r="TGN241"/>
      <c r="TGO241"/>
      <c r="TGP241"/>
      <c r="TGQ241"/>
      <c r="TGR241"/>
      <c r="TGS241"/>
      <c r="TGT241"/>
      <c r="TGU241"/>
      <c r="TGV241"/>
      <c r="TGW241"/>
      <c r="TGX241"/>
      <c r="TGY241"/>
      <c r="TGZ241"/>
      <c r="THA241"/>
      <c r="THB241"/>
      <c r="THC241"/>
      <c r="THD241"/>
      <c r="THE241"/>
      <c r="THF241"/>
      <c r="THG241"/>
      <c r="THH241"/>
      <c r="THI241"/>
      <c r="THJ241"/>
      <c r="THK241"/>
      <c r="THL241"/>
      <c r="THM241"/>
      <c r="THN241"/>
      <c r="THO241"/>
      <c r="THP241"/>
      <c r="THQ241"/>
      <c r="THR241"/>
      <c r="THS241"/>
      <c r="THT241"/>
      <c r="THU241"/>
      <c r="THV241"/>
      <c r="THW241"/>
      <c r="THX241"/>
      <c r="THY241"/>
      <c r="THZ241"/>
      <c r="TIA241"/>
      <c r="TIB241"/>
      <c r="TIC241"/>
      <c r="TID241"/>
      <c r="TIE241"/>
      <c r="TIF241"/>
      <c r="TIG241"/>
      <c r="TIH241"/>
      <c r="TII241"/>
      <c r="TIJ241"/>
      <c r="TIK241"/>
      <c r="TIL241"/>
      <c r="TIM241"/>
      <c r="TIN241"/>
      <c r="TIO241"/>
      <c r="TIP241"/>
      <c r="TIQ241"/>
      <c r="TIR241"/>
      <c r="TIS241"/>
      <c r="TIT241"/>
      <c r="TIU241"/>
      <c r="TIV241"/>
      <c r="TIW241"/>
      <c r="TIX241"/>
      <c r="TIY241"/>
      <c r="TIZ241"/>
      <c r="TJA241"/>
      <c r="TJB241"/>
      <c r="TJC241"/>
      <c r="TJD241"/>
      <c r="TJE241"/>
      <c r="TJF241"/>
      <c r="TJG241"/>
      <c r="TJH241"/>
      <c r="TJI241"/>
      <c r="TJJ241"/>
      <c r="TJK241"/>
      <c r="TJL241"/>
      <c r="TJM241"/>
      <c r="TJN241"/>
      <c r="TJO241"/>
      <c r="TJP241"/>
      <c r="TJQ241"/>
      <c r="TJR241"/>
      <c r="TJS241"/>
      <c r="TJT241"/>
      <c r="TJU241"/>
      <c r="TJV241"/>
      <c r="TJW241"/>
      <c r="TJX241"/>
      <c r="TJY241"/>
      <c r="TJZ241"/>
      <c r="TKA241"/>
      <c r="TKB241"/>
      <c r="TKC241"/>
      <c r="TKD241"/>
      <c r="TKE241"/>
      <c r="TKF241"/>
      <c r="TKG241"/>
      <c r="TKH241"/>
      <c r="TKI241"/>
      <c r="TKJ241"/>
      <c r="TKK241"/>
      <c r="TKL241"/>
      <c r="TKM241"/>
      <c r="TKN241"/>
      <c r="TKO241"/>
      <c r="TKP241"/>
      <c r="TKQ241"/>
      <c r="TKR241"/>
      <c r="TKS241"/>
      <c r="TKT241"/>
      <c r="TKU241"/>
      <c r="TKV241"/>
      <c r="TKW241"/>
      <c r="TKX241"/>
      <c r="TKY241"/>
      <c r="TKZ241"/>
      <c r="TLA241"/>
      <c r="TLB241"/>
      <c r="TLC241"/>
      <c r="TLD241"/>
      <c r="TLE241"/>
      <c r="TLF241"/>
      <c r="TLG241"/>
      <c r="TLH241"/>
      <c r="TLI241"/>
      <c r="TLJ241"/>
      <c r="TLK241"/>
      <c r="TLL241"/>
      <c r="TLM241"/>
      <c r="TLN241"/>
      <c r="TLO241"/>
      <c r="TLP241"/>
      <c r="TLQ241"/>
      <c r="TLR241"/>
      <c r="TLS241"/>
      <c r="TLT241"/>
      <c r="TLU241"/>
      <c r="TLV241"/>
      <c r="TLW241"/>
      <c r="TLX241"/>
      <c r="TLY241"/>
      <c r="TLZ241"/>
      <c r="TMA241"/>
      <c r="TMB241"/>
      <c r="TMC241"/>
      <c r="TMD241"/>
      <c r="TME241"/>
      <c r="TMF241"/>
      <c r="TMG241"/>
      <c r="TMH241"/>
      <c r="TMI241"/>
      <c r="TMJ241"/>
      <c r="TMK241"/>
      <c r="TML241"/>
      <c r="TMM241"/>
      <c r="TMN241"/>
      <c r="TMO241"/>
      <c r="TMP241"/>
      <c r="TMQ241"/>
      <c r="TMR241"/>
      <c r="TMS241"/>
      <c r="TMT241"/>
      <c r="TMU241"/>
      <c r="TMV241"/>
      <c r="TMW241"/>
      <c r="TMX241"/>
      <c r="TMY241"/>
      <c r="TMZ241"/>
      <c r="TNA241"/>
      <c r="TNB241"/>
      <c r="TNC241"/>
      <c r="TND241"/>
      <c r="TNE241"/>
      <c r="TNF241"/>
      <c r="TNG241"/>
      <c r="TNH241"/>
      <c r="TNI241"/>
      <c r="TNJ241"/>
      <c r="TNK241"/>
      <c r="TNL241"/>
      <c r="TNM241"/>
      <c r="TNN241"/>
      <c r="TNO241"/>
      <c r="TNP241"/>
      <c r="TNQ241"/>
      <c r="TNR241"/>
      <c r="TNS241"/>
      <c r="TNT241"/>
      <c r="TNU241"/>
      <c r="TNV241"/>
      <c r="TNW241"/>
      <c r="TNX241"/>
      <c r="TNY241"/>
      <c r="TNZ241"/>
      <c r="TOA241"/>
      <c r="TOB241"/>
      <c r="TOC241"/>
      <c r="TOD241"/>
      <c r="TOE241"/>
      <c r="TOF241"/>
      <c r="TOG241"/>
      <c r="TOH241"/>
      <c r="TOI241"/>
      <c r="TOJ241"/>
      <c r="TOK241"/>
      <c r="TOL241"/>
      <c r="TOM241"/>
      <c r="TON241"/>
      <c r="TOO241"/>
      <c r="TOP241"/>
      <c r="TOQ241"/>
      <c r="TOR241"/>
      <c r="TOS241"/>
      <c r="TOT241"/>
      <c r="TOU241"/>
      <c r="TOV241"/>
      <c r="TOW241"/>
      <c r="TOX241"/>
      <c r="TOY241"/>
      <c r="TOZ241"/>
      <c r="TPA241"/>
      <c r="TPB241"/>
      <c r="TPC241"/>
      <c r="TPD241"/>
      <c r="TPE241"/>
      <c r="TPF241"/>
      <c r="TPG241"/>
      <c r="TPH241"/>
      <c r="TPI241"/>
      <c r="TPJ241"/>
      <c r="TPK241"/>
      <c r="TPL241"/>
      <c r="TPM241"/>
      <c r="TPN241"/>
      <c r="TPO241"/>
      <c r="TPP241"/>
      <c r="TPQ241"/>
      <c r="TPR241"/>
      <c r="TPS241"/>
      <c r="TPT241"/>
      <c r="TPU241"/>
      <c r="TPV241"/>
      <c r="TPW241"/>
      <c r="TPX241"/>
      <c r="TPY241"/>
      <c r="TPZ241"/>
      <c r="TQA241"/>
      <c r="TQB241"/>
      <c r="TQC241"/>
      <c r="TQD241"/>
      <c r="TQE241"/>
      <c r="TQF241"/>
      <c r="TQG241"/>
      <c r="TQH241"/>
      <c r="TQI241"/>
      <c r="TQJ241"/>
      <c r="TQK241"/>
      <c r="TQL241"/>
      <c r="TQM241"/>
      <c r="TQN241"/>
      <c r="TQO241"/>
      <c r="TQP241"/>
      <c r="TQQ241"/>
      <c r="TQR241"/>
      <c r="TQS241"/>
      <c r="TQT241"/>
      <c r="TQU241"/>
      <c r="TQV241"/>
      <c r="TQW241"/>
      <c r="TQX241"/>
      <c r="TQY241"/>
      <c r="TQZ241"/>
      <c r="TRA241"/>
      <c r="TRB241"/>
      <c r="TRC241"/>
      <c r="TRD241"/>
      <c r="TRE241"/>
      <c r="TRF241"/>
      <c r="TRG241"/>
      <c r="TRH241"/>
      <c r="TRI241"/>
      <c r="TRJ241"/>
      <c r="TRK241"/>
      <c r="TRL241"/>
      <c r="TRM241"/>
      <c r="TRN241"/>
      <c r="TRO241"/>
      <c r="TRP241"/>
      <c r="TRQ241"/>
      <c r="TRR241"/>
      <c r="TRS241"/>
      <c r="TRT241"/>
      <c r="TRU241"/>
      <c r="TRV241"/>
      <c r="TRW241"/>
      <c r="TRX241"/>
      <c r="TRY241"/>
      <c r="TRZ241"/>
      <c r="TSA241"/>
      <c r="TSB241"/>
      <c r="TSC241"/>
      <c r="TSD241"/>
      <c r="TSE241"/>
      <c r="TSF241"/>
      <c r="TSG241"/>
      <c r="TSH241"/>
      <c r="TSI241"/>
      <c r="TSJ241"/>
      <c r="TSK241"/>
      <c r="TSL241"/>
      <c r="TSM241"/>
      <c r="TSN241"/>
      <c r="TSO241"/>
      <c r="TSP241"/>
      <c r="TSQ241"/>
      <c r="TSR241"/>
      <c r="TSS241"/>
      <c r="TST241"/>
      <c r="TSU241"/>
      <c r="TSV241"/>
      <c r="TSW241"/>
      <c r="TSX241"/>
      <c r="TSY241"/>
      <c r="TSZ241"/>
      <c r="TTA241"/>
      <c r="TTB241"/>
      <c r="TTC241"/>
      <c r="TTD241"/>
      <c r="TTE241"/>
      <c r="TTF241"/>
      <c r="TTG241"/>
      <c r="TTH241"/>
      <c r="TTI241"/>
      <c r="TTJ241"/>
      <c r="TTK241"/>
      <c r="TTL241"/>
      <c r="TTM241"/>
      <c r="TTN241"/>
      <c r="TTO241"/>
      <c r="TTP241"/>
      <c r="TTQ241"/>
      <c r="TTR241"/>
      <c r="TTS241"/>
      <c r="TTT241"/>
      <c r="TTU241"/>
      <c r="TTV241"/>
      <c r="TTW241"/>
      <c r="TTX241"/>
      <c r="TTY241"/>
      <c r="TTZ241"/>
      <c r="TUA241"/>
      <c r="TUB241"/>
      <c r="TUC241"/>
      <c r="TUD241"/>
      <c r="TUE241"/>
      <c r="TUF241"/>
      <c r="TUG241"/>
      <c r="TUH241"/>
      <c r="TUI241"/>
      <c r="TUJ241"/>
      <c r="TUK241"/>
      <c r="TUL241"/>
      <c r="TUM241"/>
      <c r="TUN241"/>
      <c r="TUO241"/>
      <c r="TUP241"/>
      <c r="TUQ241"/>
      <c r="TUR241"/>
      <c r="TUS241"/>
      <c r="TUT241"/>
      <c r="TUU241"/>
      <c r="TUV241"/>
      <c r="TUW241"/>
      <c r="TUX241"/>
      <c r="TUY241"/>
      <c r="TUZ241"/>
      <c r="TVA241"/>
      <c r="TVB241"/>
      <c r="TVC241"/>
      <c r="TVD241"/>
      <c r="TVE241"/>
      <c r="TVF241"/>
      <c r="TVG241"/>
      <c r="TVH241"/>
      <c r="TVI241"/>
      <c r="TVJ241"/>
      <c r="TVK241"/>
      <c r="TVL241"/>
      <c r="TVM241"/>
      <c r="TVN241"/>
      <c r="TVO241"/>
      <c r="TVP241"/>
      <c r="TVQ241"/>
      <c r="TVR241"/>
      <c r="TVS241"/>
      <c r="TVT241"/>
      <c r="TVU241"/>
      <c r="TVV241"/>
      <c r="TVW241"/>
      <c r="TVX241"/>
      <c r="TVY241"/>
      <c r="TVZ241"/>
      <c r="TWA241"/>
      <c r="TWB241"/>
      <c r="TWC241"/>
      <c r="TWD241"/>
      <c r="TWE241"/>
      <c r="TWF241"/>
      <c r="TWG241"/>
      <c r="TWH241"/>
      <c r="TWI241"/>
      <c r="TWJ241"/>
      <c r="TWK241"/>
      <c r="TWL241"/>
      <c r="TWM241"/>
      <c r="TWN241"/>
      <c r="TWO241"/>
      <c r="TWP241"/>
      <c r="TWQ241"/>
      <c r="TWR241"/>
      <c r="TWS241"/>
      <c r="TWT241"/>
      <c r="TWU241"/>
      <c r="TWV241"/>
      <c r="TWW241"/>
      <c r="TWX241"/>
      <c r="TWY241"/>
      <c r="TWZ241"/>
      <c r="TXA241"/>
      <c r="TXB241"/>
      <c r="TXC241"/>
      <c r="TXD241"/>
      <c r="TXE241"/>
      <c r="TXF241"/>
      <c r="TXG241"/>
      <c r="TXH241"/>
      <c r="TXI241"/>
      <c r="TXJ241"/>
      <c r="TXK241"/>
      <c r="TXL241"/>
      <c r="TXM241"/>
      <c r="TXN241"/>
      <c r="TXO241"/>
      <c r="TXP241"/>
      <c r="TXQ241"/>
      <c r="TXR241"/>
      <c r="TXS241"/>
      <c r="TXT241"/>
      <c r="TXU241"/>
      <c r="TXV241"/>
      <c r="TXW241"/>
      <c r="TXX241"/>
      <c r="TXY241"/>
      <c r="TXZ241"/>
      <c r="TYA241"/>
      <c r="TYB241"/>
      <c r="TYC241"/>
      <c r="TYD241"/>
      <c r="TYE241"/>
      <c r="TYF241"/>
      <c r="TYG241"/>
      <c r="TYH241"/>
      <c r="TYI241"/>
      <c r="TYJ241"/>
      <c r="TYK241"/>
      <c r="TYL241"/>
      <c r="TYM241"/>
      <c r="TYN241"/>
      <c r="TYO241"/>
      <c r="TYP241"/>
      <c r="TYQ241"/>
      <c r="TYR241"/>
      <c r="TYS241"/>
      <c r="TYT241"/>
      <c r="TYU241"/>
      <c r="TYV241"/>
      <c r="TYW241"/>
      <c r="TYX241"/>
      <c r="TYY241"/>
      <c r="TYZ241"/>
      <c r="TZA241"/>
      <c r="TZB241"/>
      <c r="TZC241"/>
      <c r="TZD241"/>
      <c r="TZE241"/>
      <c r="TZF241"/>
      <c r="TZG241"/>
      <c r="TZH241"/>
      <c r="TZI241"/>
      <c r="TZJ241"/>
      <c r="TZK241"/>
      <c r="TZL241"/>
      <c r="TZM241"/>
      <c r="TZN241"/>
      <c r="TZO241"/>
      <c r="TZP241"/>
      <c r="TZQ241"/>
      <c r="TZR241"/>
      <c r="TZS241"/>
      <c r="TZT241"/>
      <c r="TZU241"/>
      <c r="TZV241"/>
      <c r="TZW241"/>
      <c r="TZX241"/>
      <c r="TZY241"/>
      <c r="TZZ241"/>
      <c r="UAA241"/>
      <c r="UAB241"/>
      <c r="UAC241"/>
      <c r="UAD241"/>
      <c r="UAE241"/>
      <c r="UAF241"/>
      <c r="UAG241"/>
      <c r="UAH241"/>
      <c r="UAI241"/>
      <c r="UAJ241"/>
      <c r="UAK241"/>
      <c r="UAL241"/>
      <c r="UAM241"/>
      <c r="UAN241"/>
      <c r="UAO241"/>
      <c r="UAP241"/>
      <c r="UAQ241"/>
      <c r="UAR241"/>
      <c r="UAS241"/>
      <c r="UAT241"/>
      <c r="UAU241"/>
      <c r="UAV241"/>
      <c r="UAW241"/>
      <c r="UAX241"/>
      <c r="UAY241"/>
      <c r="UAZ241"/>
      <c r="UBA241"/>
      <c r="UBB241"/>
      <c r="UBC241"/>
      <c r="UBD241"/>
      <c r="UBE241"/>
      <c r="UBF241"/>
      <c r="UBG241"/>
      <c r="UBH241"/>
      <c r="UBI241"/>
      <c r="UBJ241"/>
      <c r="UBK241"/>
      <c r="UBL241"/>
      <c r="UBM241"/>
      <c r="UBN241"/>
      <c r="UBO241"/>
      <c r="UBP241"/>
      <c r="UBQ241"/>
      <c r="UBR241"/>
      <c r="UBS241"/>
      <c r="UBT241"/>
      <c r="UBU241"/>
      <c r="UBV241"/>
      <c r="UBW241"/>
      <c r="UBX241"/>
      <c r="UBY241"/>
      <c r="UBZ241"/>
      <c r="UCA241"/>
      <c r="UCB241"/>
      <c r="UCC241"/>
      <c r="UCD241"/>
      <c r="UCE241"/>
      <c r="UCF241"/>
      <c r="UCG241"/>
      <c r="UCH241"/>
      <c r="UCI241"/>
      <c r="UCJ241"/>
      <c r="UCK241"/>
      <c r="UCL241"/>
      <c r="UCM241"/>
      <c r="UCN241"/>
      <c r="UCO241"/>
      <c r="UCP241"/>
      <c r="UCQ241"/>
      <c r="UCR241"/>
      <c r="UCS241"/>
      <c r="UCT241"/>
      <c r="UCU241"/>
      <c r="UCV241"/>
      <c r="UCW241"/>
      <c r="UCX241"/>
      <c r="UCY241"/>
      <c r="UCZ241"/>
      <c r="UDA241"/>
      <c r="UDB241"/>
      <c r="UDC241"/>
      <c r="UDD241"/>
      <c r="UDE241"/>
      <c r="UDF241"/>
      <c r="UDG241"/>
      <c r="UDH241"/>
      <c r="UDI241"/>
      <c r="UDJ241"/>
      <c r="UDK241"/>
      <c r="UDL241"/>
      <c r="UDM241"/>
      <c r="UDN241"/>
      <c r="UDO241"/>
      <c r="UDP241"/>
      <c r="UDQ241"/>
      <c r="UDR241"/>
      <c r="UDS241"/>
      <c r="UDT241"/>
      <c r="UDU241"/>
      <c r="UDV241"/>
      <c r="UDW241"/>
      <c r="UDX241"/>
      <c r="UDY241"/>
      <c r="UDZ241"/>
      <c r="UEA241"/>
      <c r="UEB241"/>
      <c r="UEC241"/>
      <c r="UED241"/>
      <c r="UEE241"/>
      <c r="UEF241"/>
      <c r="UEG241"/>
      <c r="UEH241"/>
      <c r="UEI241"/>
      <c r="UEJ241"/>
      <c r="UEK241"/>
      <c r="UEL241"/>
      <c r="UEM241"/>
      <c r="UEN241"/>
      <c r="UEO241"/>
      <c r="UEP241"/>
      <c r="UEQ241"/>
      <c r="UER241"/>
      <c r="UES241"/>
      <c r="UET241"/>
      <c r="UEU241"/>
      <c r="UEV241"/>
      <c r="UEW241"/>
      <c r="UEX241"/>
      <c r="UEY241"/>
      <c r="UEZ241"/>
      <c r="UFA241"/>
      <c r="UFB241"/>
      <c r="UFC241"/>
      <c r="UFD241"/>
      <c r="UFE241"/>
      <c r="UFF241"/>
      <c r="UFG241"/>
      <c r="UFH241"/>
      <c r="UFI241"/>
      <c r="UFJ241"/>
      <c r="UFK241"/>
      <c r="UFL241"/>
      <c r="UFM241"/>
      <c r="UFN241"/>
      <c r="UFO241"/>
      <c r="UFP241"/>
      <c r="UFQ241"/>
      <c r="UFR241"/>
      <c r="UFS241"/>
      <c r="UFT241"/>
      <c r="UFU241"/>
      <c r="UFV241"/>
      <c r="UFW241"/>
      <c r="UFX241"/>
      <c r="UFY241"/>
      <c r="UFZ241"/>
      <c r="UGA241"/>
      <c r="UGB241"/>
      <c r="UGC241"/>
      <c r="UGD241"/>
      <c r="UGE241"/>
      <c r="UGF241"/>
      <c r="UGG241"/>
      <c r="UGH241"/>
      <c r="UGI241"/>
      <c r="UGJ241"/>
      <c r="UGK241"/>
      <c r="UGL241"/>
      <c r="UGM241"/>
      <c r="UGN241"/>
      <c r="UGO241"/>
      <c r="UGP241"/>
      <c r="UGQ241"/>
      <c r="UGR241"/>
      <c r="UGS241"/>
      <c r="UGT241"/>
      <c r="UGU241"/>
      <c r="UGV241"/>
      <c r="UGW241"/>
      <c r="UGX241"/>
      <c r="UGY241"/>
      <c r="UGZ241"/>
      <c r="UHA241"/>
      <c r="UHB241"/>
      <c r="UHC241"/>
      <c r="UHD241"/>
      <c r="UHE241"/>
      <c r="UHF241"/>
      <c r="UHG241"/>
      <c r="UHH241"/>
      <c r="UHI241"/>
      <c r="UHJ241"/>
      <c r="UHK241"/>
      <c r="UHL241"/>
      <c r="UHM241"/>
      <c r="UHN241"/>
      <c r="UHO241"/>
      <c r="UHP241"/>
      <c r="UHQ241"/>
      <c r="UHR241"/>
      <c r="UHS241"/>
      <c r="UHT241"/>
      <c r="UHU241"/>
      <c r="UHV241"/>
      <c r="UHW241"/>
      <c r="UHX241"/>
      <c r="UHY241"/>
      <c r="UHZ241"/>
      <c r="UIA241"/>
      <c r="UIB241"/>
      <c r="UIC241"/>
      <c r="UID241"/>
      <c r="UIE241"/>
      <c r="UIF241"/>
      <c r="UIG241"/>
      <c r="UIH241"/>
      <c r="UII241"/>
      <c r="UIJ241"/>
      <c r="UIK241"/>
      <c r="UIL241"/>
      <c r="UIM241"/>
      <c r="UIN241"/>
      <c r="UIO241"/>
      <c r="UIP241"/>
      <c r="UIQ241"/>
      <c r="UIR241"/>
      <c r="UIS241"/>
      <c r="UIT241"/>
      <c r="UIU241"/>
      <c r="UIV241"/>
      <c r="UIW241"/>
      <c r="UIX241"/>
      <c r="UIY241"/>
      <c r="UIZ241"/>
      <c r="UJA241"/>
      <c r="UJB241"/>
      <c r="UJC241"/>
      <c r="UJD241"/>
      <c r="UJE241"/>
      <c r="UJF241"/>
      <c r="UJG241"/>
      <c r="UJH241"/>
      <c r="UJI241"/>
      <c r="UJJ241"/>
      <c r="UJK241"/>
      <c r="UJL241"/>
      <c r="UJM241"/>
      <c r="UJN241"/>
      <c r="UJO241"/>
      <c r="UJP241"/>
      <c r="UJQ241"/>
      <c r="UJR241"/>
      <c r="UJS241"/>
      <c r="UJT241"/>
      <c r="UJU241"/>
      <c r="UJV241"/>
      <c r="UJW241"/>
      <c r="UJX241"/>
      <c r="UJY241"/>
      <c r="UJZ241"/>
      <c r="UKA241"/>
      <c r="UKB241"/>
      <c r="UKC241"/>
      <c r="UKD241"/>
      <c r="UKE241"/>
      <c r="UKF241"/>
      <c r="UKG241"/>
      <c r="UKH241"/>
      <c r="UKI241"/>
      <c r="UKJ241"/>
      <c r="UKK241"/>
      <c r="UKL241"/>
      <c r="UKM241"/>
      <c r="UKN241"/>
      <c r="UKO241"/>
      <c r="UKP241"/>
      <c r="UKQ241"/>
      <c r="UKR241"/>
      <c r="UKS241"/>
      <c r="UKT241"/>
      <c r="UKU241"/>
      <c r="UKV241"/>
      <c r="UKW241"/>
      <c r="UKX241"/>
      <c r="UKY241"/>
      <c r="UKZ241"/>
      <c r="ULA241"/>
      <c r="ULB241"/>
      <c r="ULC241"/>
      <c r="ULD241"/>
      <c r="ULE241"/>
      <c r="ULF241"/>
      <c r="ULG241"/>
      <c r="ULH241"/>
      <c r="ULI241"/>
      <c r="ULJ241"/>
      <c r="ULK241"/>
      <c r="ULL241"/>
      <c r="ULM241"/>
      <c r="ULN241"/>
      <c r="ULO241"/>
      <c r="ULP241"/>
      <c r="ULQ241"/>
      <c r="ULR241"/>
      <c r="ULS241"/>
      <c r="ULT241"/>
      <c r="ULU241"/>
      <c r="ULV241"/>
      <c r="ULW241"/>
      <c r="ULX241"/>
      <c r="ULY241"/>
      <c r="ULZ241"/>
      <c r="UMA241"/>
      <c r="UMB241"/>
      <c r="UMC241"/>
      <c r="UMD241"/>
      <c r="UME241"/>
      <c r="UMF241"/>
      <c r="UMG241"/>
      <c r="UMH241"/>
      <c r="UMI241"/>
      <c r="UMJ241"/>
      <c r="UMK241"/>
      <c r="UML241"/>
      <c r="UMM241"/>
      <c r="UMN241"/>
      <c r="UMO241"/>
      <c r="UMP241"/>
      <c r="UMQ241"/>
      <c r="UMR241"/>
      <c r="UMS241"/>
      <c r="UMT241"/>
      <c r="UMU241"/>
      <c r="UMV241"/>
      <c r="UMW241"/>
      <c r="UMX241"/>
      <c r="UMY241"/>
      <c r="UMZ241"/>
      <c r="UNA241"/>
      <c r="UNB241"/>
      <c r="UNC241"/>
      <c r="UND241"/>
      <c r="UNE241"/>
      <c r="UNF241"/>
      <c r="UNG241"/>
      <c r="UNH241"/>
      <c r="UNI241"/>
      <c r="UNJ241"/>
      <c r="UNK241"/>
      <c r="UNL241"/>
      <c r="UNM241"/>
      <c r="UNN241"/>
      <c r="UNO241"/>
      <c r="UNP241"/>
      <c r="UNQ241"/>
      <c r="UNR241"/>
      <c r="UNS241"/>
      <c r="UNT241"/>
      <c r="UNU241"/>
      <c r="UNV241"/>
      <c r="UNW241"/>
      <c r="UNX241"/>
      <c r="UNY241"/>
      <c r="UNZ241"/>
      <c r="UOA241"/>
      <c r="UOB241"/>
      <c r="UOC241"/>
      <c r="UOD241"/>
      <c r="UOE241"/>
      <c r="UOF241"/>
      <c r="UOG241"/>
      <c r="UOH241"/>
      <c r="UOI241"/>
      <c r="UOJ241"/>
      <c r="UOK241"/>
      <c r="UOL241"/>
      <c r="UOM241"/>
      <c r="UON241"/>
      <c r="UOO241"/>
      <c r="UOP241"/>
      <c r="UOQ241"/>
      <c r="UOR241"/>
      <c r="UOS241"/>
      <c r="UOT241"/>
      <c r="UOU241"/>
      <c r="UOV241"/>
      <c r="UOW241"/>
      <c r="UOX241"/>
      <c r="UOY241"/>
      <c r="UOZ241"/>
      <c r="UPA241"/>
      <c r="UPB241"/>
      <c r="UPC241"/>
      <c r="UPD241"/>
      <c r="UPE241"/>
      <c r="UPF241"/>
      <c r="UPG241"/>
      <c r="UPH241"/>
      <c r="UPI241"/>
      <c r="UPJ241"/>
      <c r="UPK241"/>
      <c r="UPL241"/>
      <c r="UPM241"/>
      <c r="UPN241"/>
      <c r="UPO241"/>
      <c r="UPP241"/>
      <c r="UPQ241"/>
      <c r="UPR241"/>
      <c r="UPS241"/>
      <c r="UPT241"/>
      <c r="UPU241"/>
      <c r="UPV241"/>
      <c r="UPW241"/>
      <c r="UPX241"/>
      <c r="UPY241"/>
      <c r="UPZ241"/>
      <c r="UQA241"/>
      <c r="UQB241"/>
      <c r="UQC241"/>
      <c r="UQD241"/>
      <c r="UQE241"/>
      <c r="UQF241"/>
      <c r="UQG241"/>
      <c r="UQH241"/>
      <c r="UQI241"/>
      <c r="UQJ241"/>
      <c r="UQK241"/>
      <c r="UQL241"/>
      <c r="UQM241"/>
      <c r="UQN241"/>
      <c r="UQO241"/>
      <c r="UQP241"/>
      <c r="UQQ241"/>
      <c r="UQR241"/>
      <c r="UQS241"/>
      <c r="UQT241"/>
      <c r="UQU241"/>
      <c r="UQV241"/>
      <c r="UQW241"/>
      <c r="UQX241"/>
      <c r="UQY241"/>
      <c r="UQZ241"/>
      <c r="URA241"/>
      <c r="URB241"/>
      <c r="URC241"/>
      <c r="URD241"/>
      <c r="URE241"/>
      <c r="URF241"/>
      <c r="URG241"/>
      <c r="URH241"/>
      <c r="URI241"/>
      <c r="URJ241"/>
      <c r="URK241"/>
      <c r="URL241"/>
      <c r="URM241"/>
      <c r="URN241"/>
      <c r="URO241"/>
      <c r="URP241"/>
      <c r="URQ241"/>
      <c r="URR241"/>
      <c r="URS241"/>
      <c r="URT241"/>
      <c r="URU241"/>
      <c r="URV241"/>
      <c r="URW241"/>
      <c r="URX241"/>
      <c r="URY241"/>
      <c r="URZ241"/>
      <c r="USA241"/>
      <c r="USB241"/>
      <c r="USC241"/>
      <c r="USD241"/>
      <c r="USE241"/>
      <c r="USF241"/>
      <c r="USG241"/>
      <c r="USH241"/>
      <c r="USI241"/>
      <c r="USJ241"/>
      <c r="USK241"/>
      <c r="USL241"/>
      <c r="USM241"/>
      <c r="USN241"/>
      <c r="USO241"/>
      <c r="USP241"/>
      <c r="USQ241"/>
      <c r="USR241"/>
      <c r="USS241"/>
      <c r="UST241"/>
      <c r="USU241"/>
      <c r="USV241"/>
      <c r="USW241"/>
      <c r="USX241"/>
      <c r="USY241"/>
      <c r="USZ241"/>
      <c r="UTA241"/>
      <c r="UTB241"/>
      <c r="UTC241"/>
      <c r="UTD241"/>
      <c r="UTE241"/>
      <c r="UTF241"/>
      <c r="UTG241"/>
      <c r="UTH241"/>
      <c r="UTI241"/>
      <c r="UTJ241"/>
      <c r="UTK241"/>
      <c r="UTL241"/>
      <c r="UTM241"/>
      <c r="UTN241"/>
      <c r="UTO241"/>
      <c r="UTP241"/>
      <c r="UTQ241"/>
      <c r="UTR241"/>
      <c r="UTS241"/>
      <c r="UTT241"/>
      <c r="UTU241"/>
      <c r="UTV241"/>
      <c r="UTW241"/>
      <c r="UTX241"/>
      <c r="UTY241"/>
      <c r="UTZ241"/>
      <c r="UUA241"/>
      <c r="UUB241"/>
      <c r="UUC241"/>
      <c r="UUD241"/>
      <c r="UUE241"/>
      <c r="UUF241"/>
      <c r="UUG241"/>
      <c r="UUH241"/>
      <c r="UUI241"/>
      <c r="UUJ241"/>
      <c r="UUK241"/>
      <c r="UUL241"/>
      <c r="UUM241"/>
      <c r="UUN241"/>
      <c r="UUO241"/>
      <c r="UUP241"/>
      <c r="UUQ241"/>
      <c r="UUR241"/>
      <c r="UUS241"/>
      <c r="UUT241"/>
      <c r="UUU241"/>
      <c r="UUV241"/>
      <c r="UUW241"/>
      <c r="UUX241"/>
      <c r="UUY241"/>
      <c r="UUZ241"/>
      <c r="UVA241"/>
      <c r="UVB241"/>
      <c r="UVC241"/>
      <c r="UVD241"/>
      <c r="UVE241"/>
      <c r="UVF241"/>
      <c r="UVG241"/>
      <c r="UVH241"/>
      <c r="UVI241"/>
      <c r="UVJ241"/>
      <c r="UVK241"/>
      <c r="UVL241"/>
      <c r="UVM241"/>
      <c r="UVN241"/>
      <c r="UVO241"/>
      <c r="UVP241"/>
      <c r="UVQ241"/>
      <c r="UVR241"/>
      <c r="UVS241"/>
      <c r="UVT241"/>
      <c r="UVU241"/>
      <c r="UVV241"/>
      <c r="UVW241"/>
      <c r="UVX241"/>
      <c r="UVY241"/>
      <c r="UVZ241"/>
      <c r="UWA241"/>
      <c r="UWB241"/>
      <c r="UWC241"/>
      <c r="UWD241"/>
      <c r="UWE241"/>
      <c r="UWF241"/>
      <c r="UWG241"/>
      <c r="UWH241"/>
      <c r="UWI241"/>
      <c r="UWJ241"/>
      <c r="UWK241"/>
      <c r="UWL241"/>
      <c r="UWM241"/>
      <c r="UWN241"/>
      <c r="UWO241"/>
      <c r="UWP241"/>
      <c r="UWQ241"/>
      <c r="UWR241"/>
      <c r="UWS241"/>
      <c r="UWT241"/>
      <c r="UWU241"/>
      <c r="UWV241"/>
      <c r="UWW241"/>
      <c r="UWX241"/>
      <c r="UWY241"/>
      <c r="UWZ241"/>
      <c r="UXA241"/>
      <c r="UXB241"/>
      <c r="UXC241"/>
      <c r="UXD241"/>
      <c r="UXE241"/>
      <c r="UXF241"/>
      <c r="UXG241"/>
      <c r="UXH241"/>
      <c r="UXI241"/>
      <c r="UXJ241"/>
      <c r="UXK241"/>
      <c r="UXL241"/>
      <c r="UXM241"/>
      <c r="UXN241"/>
      <c r="UXO241"/>
      <c r="UXP241"/>
      <c r="UXQ241"/>
      <c r="UXR241"/>
      <c r="UXS241"/>
      <c r="UXT241"/>
      <c r="UXU241"/>
      <c r="UXV241"/>
      <c r="UXW241"/>
      <c r="UXX241"/>
      <c r="UXY241"/>
      <c r="UXZ241"/>
      <c r="UYA241"/>
      <c r="UYB241"/>
      <c r="UYC241"/>
      <c r="UYD241"/>
      <c r="UYE241"/>
      <c r="UYF241"/>
      <c r="UYG241"/>
      <c r="UYH241"/>
      <c r="UYI241"/>
      <c r="UYJ241"/>
      <c r="UYK241"/>
      <c r="UYL241"/>
      <c r="UYM241"/>
      <c r="UYN241"/>
      <c r="UYO241"/>
      <c r="UYP241"/>
      <c r="UYQ241"/>
      <c r="UYR241"/>
      <c r="UYS241"/>
      <c r="UYT241"/>
      <c r="UYU241"/>
      <c r="UYV241"/>
      <c r="UYW241"/>
      <c r="UYX241"/>
      <c r="UYY241"/>
      <c r="UYZ241"/>
      <c r="UZA241"/>
      <c r="UZB241"/>
      <c r="UZC241"/>
      <c r="UZD241"/>
      <c r="UZE241"/>
      <c r="UZF241"/>
      <c r="UZG241"/>
      <c r="UZH241"/>
      <c r="UZI241"/>
      <c r="UZJ241"/>
      <c r="UZK241"/>
      <c r="UZL241"/>
      <c r="UZM241"/>
      <c r="UZN241"/>
      <c r="UZO241"/>
      <c r="UZP241"/>
      <c r="UZQ241"/>
      <c r="UZR241"/>
      <c r="UZS241"/>
      <c r="UZT241"/>
      <c r="UZU241"/>
      <c r="UZV241"/>
      <c r="UZW241"/>
      <c r="UZX241"/>
      <c r="UZY241"/>
      <c r="UZZ241"/>
      <c r="VAA241"/>
      <c r="VAB241"/>
      <c r="VAC241"/>
      <c r="VAD241"/>
      <c r="VAE241"/>
      <c r="VAF241"/>
      <c r="VAG241"/>
      <c r="VAH241"/>
      <c r="VAI241"/>
      <c r="VAJ241"/>
      <c r="VAK241"/>
      <c r="VAL241"/>
      <c r="VAM241"/>
      <c r="VAN241"/>
      <c r="VAO241"/>
      <c r="VAP241"/>
      <c r="VAQ241"/>
      <c r="VAR241"/>
      <c r="VAS241"/>
      <c r="VAT241"/>
      <c r="VAU241"/>
      <c r="VAV241"/>
      <c r="VAW241"/>
      <c r="VAX241"/>
      <c r="VAY241"/>
      <c r="VAZ241"/>
      <c r="VBA241"/>
      <c r="VBB241"/>
      <c r="VBC241"/>
      <c r="VBD241"/>
      <c r="VBE241"/>
      <c r="VBF241"/>
      <c r="VBG241"/>
      <c r="VBH241"/>
      <c r="VBI241"/>
      <c r="VBJ241"/>
      <c r="VBK241"/>
      <c r="VBL241"/>
      <c r="VBM241"/>
      <c r="VBN241"/>
      <c r="VBO241"/>
      <c r="VBP241"/>
      <c r="VBQ241"/>
      <c r="VBR241"/>
      <c r="VBS241"/>
      <c r="VBT241"/>
      <c r="VBU241"/>
      <c r="VBV241"/>
      <c r="VBW241"/>
      <c r="VBX241"/>
      <c r="VBY241"/>
      <c r="VBZ241"/>
      <c r="VCA241"/>
      <c r="VCB241"/>
      <c r="VCC241"/>
      <c r="VCD241"/>
      <c r="VCE241"/>
      <c r="VCF241"/>
      <c r="VCG241"/>
      <c r="VCH241"/>
      <c r="VCI241"/>
      <c r="VCJ241"/>
      <c r="VCK241"/>
      <c r="VCL241"/>
      <c r="VCM241"/>
      <c r="VCN241"/>
      <c r="VCO241"/>
      <c r="VCP241"/>
      <c r="VCQ241"/>
      <c r="VCR241"/>
      <c r="VCS241"/>
      <c r="VCT241"/>
      <c r="VCU241"/>
      <c r="VCV241"/>
      <c r="VCW241"/>
      <c r="VCX241"/>
      <c r="VCY241"/>
      <c r="VCZ241"/>
      <c r="VDA241"/>
      <c r="VDB241"/>
      <c r="VDC241"/>
      <c r="VDD241"/>
      <c r="VDE241"/>
      <c r="VDF241"/>
      <c r="VDG241"/>
      <c r="VDH241"/>
      <c r="VDI241"/>
      <c r="VDJ241"/>
      <c r="VDK241"/>
      <c r="VDL241"/>
      <c r="VDM241"/>
      <c r="VDN241"/>
      <c r="VDO241"/>
      <c r="VDP241"/>
      <c r="VDQ241"/>
      <c r="VDR241"/>
      <c r="VDS241"/>
      <c r="VDT241"/>
      <c r="VDU241"/>
      <c r="VDV241"/>
      <c r="VDW241"/>
      <c r="VDX241"/>
      <c r="VDY241"/>
      <c r="VDZ241"/>
      <c r="VEA241"/>
      <c r="VEB241"/>
      <c r="VEC241"/>
      <c r="VED241"/>
      <c r="VEE241"/>
      <c r="VEF241"/>
      <c r="VEG241"/>
      <c r="VEH241"/>
      <c r="VEI241"/>
      <c r="VEJ241"/>
      <c r="VEK241"/>
      <c r="VEL241"/>
      <c r="VEM241"/>
      <c r="VEN241"/>
      <c r="VEO241"/>
      <c r="VEP241"/>
      <c r="VEQ241"/>
      <c r="VER241"/>
      <c r="VES241"/>
      <c r="VET241"/>
      <c r="VEU241"/>
      <c r="VEV241"/>
      <c r="VEW241"/>
      <c r="VEX241"/>
      <c r="VEY241"/>
      <c r="VEZ241"/>
      <c r="VFA241"/>
      <c r="VFB241"/>
      <c r="VFC241"/>
      <c r="VFD241"/>
      <c r="VFE241"/>
      <c r="VFF241"/>
      <c r="VFG241"/>
      <c r="VFH241"/>
      <c r="VFI241"/>
      <c r="VFJ241"/>
      <c r="VFK241"/>
      <c r="VFL241"/>
      <c r="VFM241"/>
      <c r="VFN241"/>
      <c r="VFO241"/>
      <c r="VFP241"/>
      <c r="VFQ241"/>
      <c r="VFR241"/>
      <c r="VFS241"/>
      <c r="VFT241"/>
      <c r="VFU241"/>
      <c r="VFV241"/>
      <c r="VFW241"/>
      <c r="VFX241"/>
      <c r="VFY241"/>
      <c r="VFZ241"/>
      <c r="VGA241"/>
      <c r="VGB241"/>
      <c r="VGC241"/>
      <c r="VGD241"/>
      <c r="VGE241"/>
      <c r="VGF241"/>
      <c r="VGG241"/>
      <c r="VGH241"/>
      <c r="VGI241"/>
      <c r="VGJ241"/>
      <c r="VGK241"/>
      <c r="VGL241"/>
      <c r="VGM241"/>
      <c r="VGN241"/>
      <c r="VGO241"/>
      <c r="VGP241"/>
      <c r="VGQ241"/>
      <c r="VGR241"/>
      <c r="VGS241"/>
      <c r="VGT241"/>
      <c r="VGU241"/>
      <c r="VGV241"/>
      <c r="VGW241"/>
      <c r="VGX241"/>
      <c r="VGY241"/>
      <c r="VGZ241"/>
      <c r="VHA241"/>
      <c r="VHB241"/>
      <c r="VHC241"/>
      <c r="VHD241"/>
      <c r="VHE241"/>
      <c r="VHF241"/>
      <c r="VHG241"/>
      <c r="VHH241"/>
      <c r="VHI241"/>
      <c r="VHJ241"/>
      <c r="VHK241"/>
      <c r="VHL241"/>
      <c r="VHM241"/>
      <c r="VHN241"/>
      <c r="VHO241"/>
      <c r="VHP241"/>
      <c r="VHQ241"/>
      <c r="VHR241"/>
      <c r="VHS241"/>
      <c r="VHT241"/>
      <c r="VHU241"/>
      <c r="VHV241"/>
      <c r="VHW241"/>
      <c r="VHX241"/>
      <c r="VHY241"/>
      <c r="VHZ241"/>
      <c r="VIA241"/>
      <c r="VIB241"/>
      <c r="VIC241"/>
      <c r="VID241"/>
      <c r="VIE241"/>
      <c r="VIF241"/>
      <c r="VIG241"/>
      <c r="VIH241"/>
      <c r="VII241"/>
      <c r="VIJ241"/>
      <c r="VIK241"/>
      <c r="VIL241"/>
      <c r="VIM241"/>
      <c r="VIN241"/>
      <c r="VIO241"/>
      <c r="VIP241"/>
      <c r="VIQ241"/>
      <c r="VIR241"/>
      <c r="VIS241"/>
      <c r="VIT241"/>
      <c r="VIU241"/>
      <c r="VIV241"/>
      <c r="VIW241"/>
      <c r="VIX241"/>
      <c r="VIY241"/>
      <c r="VIZ241"/>
      <c r="VJA241"/>
      <c r="VJB241"/>
      <c r="VJC241"/>
      <c r="VJD241"/>
      <c r="VJE241"/>
      <c r="VJF241"/>
      <c r="VJG241"/>
      <c r="VJH241"/>
      <c r="VJI241"/>
      <c r="VJJ241"/>
      <c r="VJK241"/>
      <c r="VJL241"/>
      <c r="VJM241"/>
      <c r="VJN241"/>
      <c r="VJO241"/>
      <c r="VJP241"/>
      <c r="VJQ241"/>
      <c r="VJR241"/>
      <c r="VJS241"/>
      <c r="VJT241"/>
      <c r="VJU241"/>
      <c r="VJV241"/>
      <c r="VJW241"/>
      <c r="VJX241"/>
      <c r="VJY241"/>
      <c r="VJZ241"/>
      <c r="VKA241"/>
      <c r="VKB241"/>
      <c r="VKC241"/>
      <c r="VKD241"/>
      <c r="VKE241"/>
      <c r="VKF241"/>
      <c r="VKG241"/>
      <c r="VKH241"/>
      <c r="VKI241"/>
      <c r="VKJ241"/>
      <c r="VKK241"/>
      <c r="VKL241"/>
      <c r="VKM241"/>
      <c r="VKN241"/>
      <c r="VKO241"/>
      <c r="VKP241"/>
      <c r="VKQ241"/>
      <c r="VKR241"/>
      <c r="VKS241"/>
      <c r="VKT241"/>
      <c r="VKU241"/>
      <c r="VKV241"/>
      <c r="VKW241"/>
      <c r="VKX241"/>
      <c r="VKY241"/>
      <c r="VKZ241"/>
      <c r="VLA241"/>
      <c r="VLB241"/>
      <c r="VLC241"/>
      <c r="VLD241"/>
      <c r="VLE241"/>
      <c r="VLF241"/>
      <c r="VLG241"/>
      <c r="VLH241"/>
      <c r="VLI241"/>
      <c r="VLJ241"/>
      <c r="VLK241"/>
      <c r="VLL241"/>
      <c r="VLM241"/>
      <c r="VLN241"/>
      <c r="VLO241"/>
      <c r="VLP241"/>
      <c r="VLQ241"/>
      <c r="VLR241"/>
      <c r="VLS241"/>
      <c r="VLT241"/>
      <c r="VLU241"/>
      <c r="VLV241"/>
      <c r="VLW241"/>
      <c r="VLX241"/>
      <c r="VLY241"/>
      <c r="VLZ241"/>
      <c r="VMA241"/>
      <c r="VMB241"/>
      <c r="VMC241"/>
      <c r="VMD241"/>
      <c r="VME241"/>
      <c r="VMF241"/>
      <c r="VMG241"/>
      <c r="VMH241"/>
      <c r="VMI241"/>
      <c r="VMJ241"/>
      <c r="VMK241"/>
      <c r="VML241"/>
      <c r="VMM241"/>
      <c r="VMN241"/>
      <c r="VMO241"/>
      <c r="VMP241"/>
      <c r="VMQ241"/>
      <c r="VMR241"/>
      <c r="VMS241"/>
      <c r="VMT241"/>
      <c r="VMU241"/>
      <c r="VMV241"/>
      <c r="VMW241"/>
      <c r="VMX241"/>
      <c r="VMY241"/>
      <c r="VMZ241"/>
      <c r="VNA241"/>
      <c r="VNB241"/>
      <c r="VNC241"/>
      <c r="VND241"/>
      <c r="VNE241"/>
      <c r="VNF241"/>
      <c r="VNG241"/>
      <c r="VNH241"/>
      <c r="VNI241"/>
      <c r="VNJ241"/>
      <c r="VNK241"/>
      <c r="VNL241"/>
      <c r="VNM241"/>
      <c r="VNN241"/>
      <c r="VNO241"/>
      <c r="VNP241"/>
      <c r="VNQ241"/>
      <c r="VNR241"/>
      <c r="VNS241"/>
      <c r="VNT241"/>
      <c r="VNU241"/>
      <c r="VNV241"/>
      <c r="VNW241"/>
      <c r="VNX241"/>
      <c r="VNY241"/>
      <c r="VNZ241"/>
      <c r="VOA241"/>
      <c r="VOB241"/>
      <c r="VOC241"/>
      <c r="VOD241"/>
      <c r="VOE241"/>
      <c r="VOF241"/>
      <c r="VOG241"/>
      <c r="VOH241"/>
      <c r="VOI241"/>
      <c r="VOJ241"/>
      <c r="VOK241"/>
      <c r="VOL241"/>
      <c r="VOM241"/>
      <c r="VON241"/>
      <c r="VOO241"/>
      <c r="VOP241"/>
      <c r="VOQ241"/>
      <c r="VOR241"/>
      <c r="VOS241"/>
      <c r="VOT241"/>
      <c r="VOU241"/>
      <c r="VOV241"/>
      <c r="VOW241"/>
      <c r="VOX241"/>
      <c r="VOY241"/>
      <c r="VOZ241"/>
      <c r="VPA241"/>
      <c r="VPB241"/>
      <c r="VPC241"/>
      <c r="VPD241"/>
      <c r="VPE241"/>
      <c r="VPF241"/>
      <c r="VPG241"/>
      <c r="VPH241"/>
      <c r="VPI241"/>
      <c r="VPJ241"/>
      <c r="VPK241"/>
      <c r="VPL241"/>
      <c r="VPM241"/>
      <c r="VPN241"/>
      <c r="VPO241"/>
      <c r="VPP241"/>
      <c r="VPQ241"/>
      <c r="VPR241"/>
      <c r="VPS241"/>
      <c r="VPT241"/>
      <c r="VPU241"/>
      <c r="VPV241"/>
      <c r="VPW241"/>
      <c r="VPX241"/>
      <c r="VPY241"/>
      <c r="VPZ241"/>
      <c r="VQA241"/>
      <c r="VQB241"/>
      <c r="VQC241"/>
      <c r="VQD241"/>
      <c r="VQE241"/>
      <c r="VQF241"/>
      <c r="VQG241"/>
      <c r="VQH241"/>
      <c r="VQI241"/>
      <c r="VQJ241"/>
      <c r="VQK241"/>
      <c r="VQL241"/>
      <c r="VQM241"/>
      <c r="VQN241"/>
      <c r="VQO241"/>
      <c r="VQP241"/>
      <c r="VQQ241"/>
      <c r="VQR241"/>
      <c r="VQS241"/>
      <c r="VQT241"/>
      <c r="VQU241"/>
      <c r="VQV241"/>
      <c r="VQW241"/>
      <c r="VQX241"/>
      <c r="VQY241"/>
      <c r="VQZ241"/>
      <c r="VRA241"/>
      <c r="VRB241"/>
      <c r="VRC241"/>
      <c r="VRD241"/>
      <c r="VRE241"/>
      <c r="VRF241"/>
      <c r="VRG241"/>
      <c r="VRH241"/>
      <c r="VRI241"/>
      <c r="VRJ241"/>
      <c r="VRK241"/>
      <c r="VRL241"/>
      <c r="VRM241"/>
      <c r="VRN241"/>
      <c r="VRO241"/>
      <c r="VRP241"/>
      <c r="VRQ241"/>
      <c r="VRR241"/>
      <c r="VRS241"/>
      <c r="VRT241"/>
      <c r="VRU241"/>
      <c r="VRV241"/>
      <c r="VRW241"/>
      <c r="VRX241"/>
      <c r="VRY241"/>
      <c r="VRZ241"/>
      <c r="VSA241"/>
      <c r="VSB241"/>
      <c r="VSC241"/>
      <c r="VSD241"/>
      <c r="VSE241"/>
      <c r="VSF241"/>
      <c r="VSG241"/>
      <c r="VSH241"/>
      <c r="VSI241"/>
      <c r="VSJ241"/>
      <c r="VSK241"/>
      <c r="VSL241"/>
      <c r="VSM241"/>
      <c r="VSN241"/>
      <c r="VSO241"/>
      <c r="VSP241"/>
      <c r="VSQ241"/>
      <c r="VSR241"/>
      <c r="VSS241"/>
      <c r="VST241"/>
      <c r="VSU241"/>
      <c r="VSV241"/>
      <c r="VSW241"/>
      <c r="VSX241"/>
      <c r="VSY241"/>
      <c r="VSZ241"/>
      <c r="VTA241"/>
      <c r="VTB241"/>
      <c r="VTC241"/>
      <c r="VTD241"/>
      <c r="VTE241"/>
      <c r="VTF241"/>
      <c r="VTG241"/>
      <c r="VTH241"/>
      <c r="VTI241"/>
      <c r="VTJ241"/>
      <c r="VTK241"/>
      <c r="VTL241"/>
      <c r="VTM241"/>
      <c r="VTN241"/>
      <c r="VTO241"/>
      <c r="VTP241"/>
      <c r="VTQ241"/>
      <c r="VTR241"/>
      <c r="VTS241"/>
      <c r="VTT241"/>
      <c r="VTU241"/>
      <c r="VTV241"/>
      <c r="VTW241"/>
      <c r="VTX241"/>
      <c r="VTY241"/>
      <c r="VTZ241"/>
      <c r="VUA241"/>
      <c r="VUB241"/>
      <c r="VUC241"/>
      <c r="VUD241"/>
      <c r="VUE241"/>
      <c r="VUF241"/>
      <c r="VUG241"/>
      <c r="VUH241"/>
      <c r="VUI241"/>
      <c r="VUJ241"/>
      <c r="VUK241"/>
      <c r="VUL241"/>
      <c r="VUM241"/>
      <c r="VUN241"/>
      <c r="VUO241"/>
      <c r="VUP241"/>
      <c r="VUQ241"/>
      <c r="VUR241"/>
      <c r="VUS241"/>
      <c r="VUT241"/>
      <c r="VUU241"/>
      <c r="VUV241"/>
      <c r="VUW241"/>
      <c r="VUX241"/>
      <c r="VUY241"/>
      <c r="VUZ241"/>
      <c r="VVA241"/>
      <c r="VVB241"/>
      <c r="VVC241"/>
      <c r="VVD241"/>
      <c r="VVE241"/>
      <c r="VVF241"/>
      <c r="VVG241"/>
      <c r="VVH241"/>
      <c r="VVI241"/>
      <c r="VVJ241"/>
      <c r="VVK241"/>
      <c r="VVL241"/>
      <c r="VVM241"/>
      <c r="VVN241"/>
      <c r="VVO241"/>
      <c r="VVP241"/>
      <c r="VVQ241"/>
      <c r="VVR241"/>
      <c r="VVS241"/>
      <c r="VVT241"/>
      <c r="VVU241"/>
      <c r="VVV241"/>
      <c r="VVW241"/>
      <c r="VVX241"/>
      <c r="VVY241"/>
      <c r="VVZ241"/>
      <c r="VWA241"/>
      <c r="VWB241"/>
      <c r="VWC241"/>
      <c r="VWD241"/>
      <c r="VWE241"/>
      <c r="VWF241"/>
      <c r="VWG241"/>
      <c r="VWH241"/>
      <c r="VWI241"/>
      <c r="VWJ241"/>
      <c r="VWK241"/>
      <c r="VWL241"/>
      <c r="VWM241"/>
      <c r="VWN241"/>
      <c r="VWO241"/>
      <c r="VWP241"/>
      <c r="VWQ241"/>
      <c r="VWR241"/>
      <c r="VWS241"/>
      <c r="VWT241"/>
      <c r="VWU241"/>
      <c r="VWV241"/>
      <c r="VWW241"/>
      <c r="VWX241"/>
      <c r="VWY241"/>
      <c r="VWZ241"/>
      <c r="VXA241"/>
      <c r="VXB241"/>
      <c r="VXC241"/>
      <c r="VXD241"/>
      <c r="VXE241"/>
      <c r="VXF241"/>
      <c r="VXG241"/>
      <c r="VXH241"/>
      <c r="VXI241"/>
      <c r="VXJ241"/>
      <c r="VXK241"/>
      <c r="VXL241"/>
      <c r="VXM241"/>
      <c r="VXN241"/>
      <c r="VXO241"/>
      <c r="VXP241"/>
      <c r="VXQ241"/>
      <c r="VXR241"/>
      <c r="VXS241"/>
      <c r="VXT241"/>
      <c r="VXU241"/>
      <c r="VXV241"/>
      <c r="VXW241"/>
      <c r="VXX241"/>
      <c r="VXY241"/>
      <c r="VXZ241"/>
      <c r="VYA241"/>
      <c r="VYB241"/>
      <c r="VYC241"/>
      <c r="VYD241"/>
      <c r="VYE241"/>
      <c r="VYF241"/>
      <c r="VYG241"/>
      <c r="VYH241"/>
      <c r="VYI241"/>
      <c r="VYJ241"/>
      <c r="VYK241"/>
      <c r="VYL241"/>
      <c r="VYM241"/>
      <c r="VYN241"/>
      <c r="VYO241"/>
      <c r="VYP241"/>
      <c r="VYQ241"/>
      <c r="VYR241"/>
      <c r="VYS241"/>
      <c r="VYT241"/>
      <c r="VYU241"/>
      <c r="VYV241"/>
      <c r="VYW241"/>
      <c r="VYX241"/>
      <c r="VYY241"/>
      <c r="VYZ241"/>
      <c r="VZA241"/>
      <c r="VZB241"/>
      <c r="VZC241"/>
      <c r="VZD241"/>
      <c r="VZE241"/>
      <c r="VZF241"/>
      <c r="VZG241"/>
      <c r="VZH241"/>
      <c r="VZI241"/>
      <c r="VZJ241"/>
      <c r="VZK241"/>
      <c r="VZL241"/>
      <c r="VZM241"/>
      <c r="VZN241"/>
      <c r="VZO241"/>
      <c r="VZP241"/>
      <c r="VZQ241"/>
      <c r="VZR241"/>
      <c r="VZS241"/>
      <c r="VZT241"/>
      <c r="VZU241"/>
      <c r="VZV241"/>
      <c r="VZW241"/>
      <c r="VZX241"/>
      <c r="VZY241"/>
      <c r="VZZ241"/>
      <c r="WAA241"/>
      <c r="WAB241"/>
      <c r="WAC241"/>
      <c r="WAD241"/>
      <c r="WAE241"/>
      <c r="WAF241"/>
      <c r="WAG241"/>
      <c r="WAH241"/>
      <c r="WAI241"/>
      <c r="WAJ241"/>
      <c r="WAK241"/>
      <c r="WAL241"/>
      <c r="WAM241"/>
      <c r="WAN241"/>
      <c r="WAO241"/>
      <c r="WAP241"/>
      <c r="WAQ241"/>
      <c r="WAR241"/>
      <c r="WAS241"/>
      <c r="WAT241"/>
      <c r="WAU241"/>
      <c r="WAV241"/>
      <c r="WAW241"/>
      <c r="WAX241"/>
      <c r="WAY241"/>
      <c r="WAZ241"/>
      <c r="WBA241"/>
      <c r="WBB241"/>
      <c r="WBC241"/>
      <c r="WBD241"/>
      <c r="WBE241"/>
      <c r="WBF241"/>
      <c r="WBG241"/>
      <c r="WBH241"/>
      <c r="WBI241"/>
      <c r="WBJ241"/>
      <c r="WBK241"/>
      <c r="WBL241"/>
      <c r="WBM241"/>
      <c r="WBN241"/>
      <c r="WBO241"/>
      <c r="WBP241"/>
      <c r="WBQ241"/>
      <c r="WBR241"/>
      <c r="WBS241"/>
      <c r="WBT241"/>
      <c r="WBU241"/>
      <c r="WBV241"/>
      <c r="WBW241"/>
      <c r="WBX241"/>
      <c r="WBY241"/>
      <c r="WBZ241"/>
      <c r="WCA241"/>
      <c r="WCB241"/>
      <c r="WCC241"/>
      <c r="WCD241"/>
      <c r="WCE241"/>
      <c r="WCF241"/>
      <c r="WCG241"/>
      <c r="WCH241"/>
      <c r="WCI241"/>
      <c r="WCJ241"/>
      <c r="WCK241"/>
      <c r="WCL241"/>
      <c r="WCM241"/>
      <c r="WCN241"/>
      <c r="WCO241"/>
      <c r="WCP241"/>
      <c r="WCQ241"/>
      <c r="WCR241"/>
      <c r="WCS241"/>
      <c r="WCT241"/>
      <c r="WCU241"/>
      <c r="WCV241"/>
      <c r="WCW241"/>
      <c r="WCX241"/>
      <c r="WCY241"/>
      <c r="WCZ241"/>
      <c r="WDA241"/>
      <c r="WDB241"/>
      <c r="WDC241"/>
      <c r="WDD241"/>
      <c r="WDE241"/>
      <c r="WDF241"/>
      <c r="WDG241"/>
      <c r="WDH241"/>
      <c r="WDI241"/>
      <c r="WDJ241"/>
      <c r="WDK241"/>
      <c r="WDL241"/>
      <c r="WDM241"/>
      <c r="WDN241"/>
      <c r="WDO241"/>
      <c r="WDP241"/>
      <c r="WDQ241"/>
      <c r="WDR241"/>
      <c r="WDS241"/>
      <c r="WDT241"/>
      <c r="WDU241"/>
      <c r="WDV241"/>
      <c r="WDW241"/>
      <c r="WDX241"/>
      <c r="WDY241"/>
      <c r="WDZ241"/>
      <c r="WEA241"/>
      <c r="WEB241"/>
      <c r="WEC241"/>
      <c r="WED241"/>
      <c r="WEE241"/>
      <c r="WEF241"/>
      <c r="WEG241"/>
      <c r="WEH241"/>
      <c r="WEI241"/>
      <c r="WEJ241"/>
      <c r="WEK241"/>
      <c r="WEL241"/>
      <c r="WEM241"/>
      <c r="WEN241"/>
      <c r="WEO241"/>
      <c r="WEP241"/>
      <c r="WEQ241"/>
      <c r="WER241"/>
      <c r="WES241"/>
      <c r="WET241"/>
      <c r="WEU241"/>
      <c r="WEV241"/>
      <c r="WEW241"/>
      <c r="WEX241"/>
      <c r="WEY241"/>
      <c r="WEZ241"/>
      <c r="WFA241"/>
      <c r="WFB241"/>
      <c r="WFC241"/>
      <c r="WFD241"/>
      <c r="WFE241"/>
      <c r="WFF241"/>
      <c r="WFG241"/>
      <c r="WFH241"/>
      <c r="WFI241"/>
      <c r="WFJ241"/>
      <c r="WFK241"/>
      <c r="WFL241"/>
      <c r="WFM241"/>
      <c r="WFN241"/>
      <c r="WFO241"/>
      <c r="WFP241"/>
      <c r="WFQ241"/>
      <c r="WFR241"/>
      <c r="WFS241"/>
      <c r="WFT241"/>
      <c r="WFU241"/>
      <c r="WFV241"/>
      <c r="WFW241"/>
      <c r="WFX241"/>
      <c r="WFY241"/>
      <c r="WFZ241"/>
      <c r="WGA241"/>
      <c r="WGB241"/>
      <c r="WGC241"/>
      <c r="WGD241"/>
      <c r="WGE241"/>
      <c r="WGF241"/>
      <c r="WGG241"/>
      <c r="WGH241"/>
      <c r="WGI241"/>
      <c r="WGJ241"/>
      <c r="WGK241"/>
      <c r="WGL241"/>
      <c r="WGM241"/>
      <c r="WGN241"/>
      <c r="WGO241"/>
      <c r="WGP241"/>
      <c r="WGQ241"/>
      <c r="WGR241"/>
      <c r="WGS241"/>
      <c r="WGT241"/>
      <c r="WGU241"/>
      <c r="WGV241"/>
      <c r="WGW241"/>
      <c r="WGX241"/>
      <c r="WGY241"/>
      <c r="WGZ241"/>
      <c r="WHA241"/>
      <c r="WHB241"/>
      <c r="WHC241"/>
      <c r="WHD241"/>
      <c r="WHE241"/>
      <c r="WHF241"/>
      <c r="WHG241"/>
      <c r="WHH241"/>
      <c r="WHI241"/>
      <c r="WHJ241"/>
      <c r="WHK241"/>
      <c r="WHL241"/>
      <c r="WHM241"/>
      <c r="WHN241"/>
      <c r="WHO241"/>
      <c r="WHP241"/>
      <c r="WHQ241"/>
      <c r="WHR241"/>
      <c r="WHS241"/>
      <c r="WHT241"/>
      <c r="WHU241"/>
      <c r="WHV241"/>
      <c r="WHW241"/>
      <c r="WHX241"/>
      <c r="WHY241"/>
      <c r="WHZ241"/>
      <c r="WIA241"/>
      <c r="WIB241"/>
      <c r="WIC241"/>
      <c r="WID241"/>
      <c r="WIE241"/>
      <c r="WIF241"/>
      <c r="WIG241"/>
      <c r="WIH241"/>
      <c r="WII241"/>
      <c r="WIJ241"/>
      <c r="WIK241"/>
      <c r="WIL241"/>
      <c r="WIM241"/>
      <c r="WIN241"/>
      <c r="WIO241"/>
      <c r="WIP241"/>
      <c r="WIQ241"/>
      <c r="WIR241"/>
      <c r="WIS241"/>
      <c r="WIT241"/>
      <c r="WIU241"/>
      <c r="WIV241"/>
      <c r="WIW241"/>
      <c r="WIX241"/>
      <c r="WIY241"/>
      <c r="WIZ241"/>
      <c r="WJA241"/>
      <c r="WJB241"/>
      <c r="WJC241"/>
      <c r="WJD241"/>
      <c r="WJE241"/>
      <c r="WJF241"/>
      <c r="WJG241"/>
      <c r="WJH241"/>
      <c r="WJI241"/>
      <c r="WJJ241"/>
      <c r="WJK241"/>
      <c r="WJL241"/>
      <c r="WJM241"/>
      <c r="WJN241"/>
      <c r="WJO241"/>
      <c r="WJP241"/>
      <c r="WJQ241"/>
      <c r="WJR241"/>
      <c r="WJS241"/>
      <c r="WJT241"/>
      <c r="WJU241"/>
      <c r="WJV241"/>
      <c r="WJW241"/>
      <c r="WJX241"/>
      <c r="WJY241"/>
      <c r="WJZ241"/>
      <c r="WKA241"/>
      <c r="WKB241"/>
      <c r="WKC241"/>
      <c r="WKD241"/>
      <c r="WKE241"/>
      <c r="WKF241"/>
      <c r="WKG241"/>
      <c r="WKH241"/>
      <c r="WKI241"/>
      <c r="WKJ241"/>
      <c r="WKK241"/>
      <c r="WKL241"/>
      <c r="WKM241"/>
      <c r="WKN241"/>
      <c r="WKO241"/>
      <c r="WKP241"/>
      <c r="WKQ241"/>
      <c r="WKR241"/>
      <c r="WKS241"/>
      <c r="WKT241"/>
      <c r="WKU241"/>
      <c r="WKV241"/>
      <c r="WKW241"/>
      <c r="WKX241"/>
      <c r="WKY241"/>
      <c r="WKZ241"/>
      <c r="WLA241"/>
      <c r="WLB241"/>
      <c r="WLC241"/>
      <c r="WLD241"/>
      <c r="WLE241"/>
      <c r="WLF241"/>
      <c r="WLG241"/>
      <c r="WLH241"/>
      <c r="WLI241"/>
      <c r="WLJ241"/>
      <c r="WLK241"/>
      <c r="WLL241"/>
      <c r="WLM241"/>
      <c r="WLN241"/>
      <c r="WLO241"/>
      <c r="WLP241"/>
      <c r="WLQ241"/>
      <c r="WLR241"/>
      <c r="WLS241"/>
      <c r="WLT241"/>
      <c r="WLU241"/>
      <c r="WLV241"/>
      <c r="WLW241"/>
      <c r="WLX241"/>
      <c r="WLY241"/>
      <c r="WLZ241"/>
      <c r="WMA241"/>
      <c r="WMB241"/>
      <c r="WMC241"/>
      <c r="WMD241"/>
      <c r="WME241"/>
      <c r="WMF241"/>
      <c r="WMG241"/>
      <c r="WMH241"/>
      <c r="WMI241"/>
      <c r="WMJ241"/>
      <c r="WMK241"/>
      <c r="WML241"/>
      <c r="WMM241"/>
      <c r="WMN241"/>
      <c r="WMO241"/>
      <c r="WMP241"/>
      <c r="WMQ241"/>
      <c r="WMR241"/>
      <c r="WMS241"/>
      <c r="WMT241"/>
      <c r="WMU241"/>
      <c r="WMV241"/>
      <c r="WMW241"/>
      <c r="WMX241"/>
      <c r="WMY241"/>
      <c r="WMZ241"/>
      <c r="WNA241"/>
      <c r="WNB241"/>
      <c r="WNC241"/>
      <c r="WND241"/>
      <c r="WNE241"/>
      <c r="WNF241"/>
      <c r="WNG241"/>
      <c r="WNH241"/>
      <c r="WNI241"/>
      <c r="WNJ241"/>
      <c r="WNK241"/>
      <c r="WNL241"/>
      <c r="WNM241"/>
      <c r="WNN241"/>
      <c r="WNO241"/>
      <c r="WNP241"/>
      <c r="WNQ241"/>
      <c r="WNR241"/>
      <c r="WNS241"/>
      <c r="WNT241"/>
      <c r="WNU241"/>
      <c r="WNV241"/>
      <c r="WNW241"/>
      <c r="WNX241"/>
      <c r="WNY241"/>
      <c r="WNZ241"/>
      <c r="WOA241"/>
      <c r="WOB241"/>
      <c r="WOC241"/>
      <c r="WOD241"/>
      <c r="WOE241"/>
      <c r="WOF241"/>
      <c r="WOG241"/>
      <c r="WOH241"/>
      <c r="WOI241"/>
      <c r="WOJ241"/>
      <c r="WOK241"/>
      <c r="WOL241"/>
      <c r="WOM241"/>
      <c r="WON241"/>
      <c r="WOO241"/>
      <c r="WOP241"/>
      <c r="WOQ241"/>
      <c r="WOR241"/>
      <c r="WOS241"/>
      <c r="WOT241"/>
      <c r="WOU241"/>
      <c r="WOV241"/>
      <c r="WOW241"/>
      <c r="WOX241"/>
      <c r="WOY241"/>
      <c r="WOZ241"/>
      <c r="WPA241"/>
      <c r="WPB241"/>
      <c r="WPC241"/>
      <c r="WPD241"/>
      <c r="WPE241"/>
      <c r="WPF241"/>
      <c r="WPG241"/>
      <c r="WPH241"/>
      <c r="WPI241"/>
      <c r="WPJ241"/>
      <c r="WPK241"/>
      <c r="WPL241"/>
      <c r="WPM241"/>
      <c r="WPN241"/>
      <c r="WPO241"/>
      <c r="WPP241"/>
      <c r="WPQ241"/>
      <c r="WPR241"/>
      <c r="WPS241"/>
      <c r="WPT241"/>
      <c r="WPU241"/>
      <c r="WPV241"/>
      <c r="WPW241"/>
      <c r="WPX241"/>
      <c r="WPY241"/>
      <c r="WPZ241"/>
      <c r="WQA241"/>
      <c r="WQB241"/>
      <c r="WQC241"/>
      <c r="WQD241"/>
      <c r="WQE241"/>
      <c r="WQF241"/>
      <c r="WQG241"/>
      <c r="WQH241"/>
      <c r="WQI241"/>
      <c r="WQJ241"/>
      <c r="WQK241"/>
      <c r="WQL241"/>
      <c r="WQM241"/>
      <c r="WQN241"/>
      <c r="WQO241"/>
      <c r="WQP241"/>
      <c r="WQQ241"/>
      <c r="WQR241"/>
      <c r="WQS241"/>
      <c r="WQT241"/>
      <c r="WQU241"/>
      <c r="WQV241"/>
      <c r="WQW241"/>
      <c r="WQX241"/>
      <c r="WQY241"/>
      <c r="WQZ241"/>
      <c r="WRA241"/>
      <c r="WRB241"/>
      <c r="WRC241"/>
      <c r="WRD241"/>
      <c r="WRE241"/>
      <c r="WRF241"/>
      <c r="WRG241"/>
      <c r="WRH241"/>
      <c r="WRI241"/>
      <c r="WRJ241"/>
      <c r="WRK241"/>
      <c r="WRL241"/>
      <c r="WRM241"/>
      <c r="WRN241"/>
      <c r="WRO241"/>
      <c r="WRP241"/>
      <c r="WRQ241"/>
      <c r="WRR241"/>
      <c r="WRS241"/>
      <c r="WRT241"/>
      <c r="WRU241"/>
      <c r="WRV241"/>
      <c r="WRW241"/>
      <c r="WRX241"/>
      <c r="WRY241"/>
      <c r="WRZ241"/>
      <c r="WSA241"/>
      <c r="WSB241"/>
      <c r="WSC241"/>
      <c r="WSD241"/>
      <c r="WSE241"/>
      <c r="WSF241"/>
      <c r="WSG241"/>
      <c r="WSH241"/>
      <c r="WSI241"/>
      <c r="WSJ241"/>
      <c r="WSK241"/>
      <c r="WSL241"/>
      <c r="WSM241"/>
      <c r="WSN241"/>
      <c r="WSO241"/>
      <c r="WSP241"/>
      <c r="WSQ241"/>
      <c r="WSR241"/>
      <c r="WSS241"/>
      <c r="WST241"/>
      <c r="WSU241"/>
      <c r="WSV241"/>
      <c r="WSW241"/>
      <c r="WSX241"/>
      <c r="WSY241"/>
      <c r="WSZ241"/>
      <c r="WTA241"/>
      <c r="WTB241"/>
      <c r="WTC241"/>
      <c r="WTD241"/>
      <c r="WTE241"/>
      <c r="WTF241"/>
      <c r="WTG241"/>
      <c r="WTH241"/>
      <c r="WTI241"/>
      <c r="WTJ241"/>
      <c r="WTK241"/>
      <c r="WTL241"/>
      <c r="WTM241"/>
      <c r="WTN241"/>
      <c r="WTO241"/>
      <c r="WTP241"/>
      <c r="WTQ241"/>
      <c r="WTR241"/>
      <c r="WTS241"/>
      <c r="WTT241"/>
      <c r="WTU241"/>
      <c r="WTV241"/>
      <c r="WTW241"/>
      <c r="WTX241"/>
      <c r="WTY241"/>
      <c r="WTZ241"/>
      <c r="WUA241"/>
      <c r="WUB241"/>
      <c r="WUC241"/>
      <c r="WUD241"/>
      <c r="WUE241"/>
      <c r="WUF241"/>
      <c r="WUG241"/>
      <c r="WUH241"/>
      <c r="WUI241"/>
      <c r="WUJ241"/>
      <c r="WUK241"/>
      <c r="WUL241"/>
      <c r="WUM241"/>
      <c r="WUN241"/>
      <c r="WUO241"/>
      <c r="WUP241"/>
      <c r="WUQ241"/>
      <c r="WUR241"/>
      <c r="WUS241"/>
      <c r="WUT241"/>
      <c r="WUU241"/>
      <c r="WUV241"/>
      <c r="WUW241"/>
      <c r="WUX241"/>
      <c r="WUY241"/>
      <c r="WUZ241"/>
      <c r="WVA241"/>
      <c r="WVB241"/>
      <c r="WVC241"/>
      <c r="WVD241"/>
      <c r="WVE241"/>
      <c r="WVF241"/>
      <c r="WVG241"/>
      <c r="WVH241"/>
      <c r="WVI241"/>
      <c r="WVJ241"/>
      <c r="WVK241"/>
      <c r="WVL241"/>
      <c r="WVM241"/>
      <c r="WVN241"/>
      <c r="WVO241"/>
      <c r="WVP241"/>
      <c r="WVQ241"/>
      <c r="WVR241"/>
      <c r="WVS241"/>
      <c r="WVT241"/>
      <c r="WVU241"/>
      <c r="WVV241"/>
      <c r="WVW241"/>
      <c r="WVX241"/>
      <c r="WVY241"/>
      <c r="WVZ241"/>
      <c r="WWA241"/>
      <c r="WWB241"/>
      <c r="WWC241"/>
      <c r="WWD241"/>
      <c r="WWE241"/>
      <c r="WWF241"/>
      <c r="WWG241"/>
      <c r="WWH241"/>
      <c r="WWI241"/>
      <c r="WWJ241"/>
      <c r="WWK241"/>
      <c r="WWL241"/>
      <c r="WWM241"/>
      <c r="WWN241"/>
      <c r="WWO241"/>
      <c r="WWP241"/>
      <c r="WWQ241"/>
      <c r="WWR241"/>
      <c r="WWS241"/>
      <c r="WWT241"/>
      <c r="WWU241"/>
      <c r="WWV241"/>
      <c r="WWW241"/>
      <c r="WWX241"/>
      <c r="WWY241"/>
      <c r="WWZ241"/>
      <c r="WXA241"/>
      <c r="WXB241"/>
      <c r="WXC241"/>
      <c r="WXD241"/>
      <c r="WXE241"/>
      <c r="WXF241"/>
      <c r="WXG241"/>
      <c r="WXH241"/>
      <c r="WXI241"/>
      <c r="WXJ241"/>
      <c r="WXK241"/>
      <c r="WXL241"/>
      <c r="WXM241"/>
      <c r="WXN241"/>
      <c r="WXO241"/>
      <c r="WXP241"/>
      <c r="WXQ241"/>
      <c r="WXR241"/>
      <c r="WXS241"/>
      <c r="WXT241"/>
      <c r="WXU241"/>
      <c r="WXV241"/>
      <c r="WXW241"/>
      <c r="WXX241"/>
      <c r="WXY241"/>
      <c r="WXZ241"/>
      <c r="WYA241"/>
      <c r="WYB241"/>
      <c r="WYC241"/>
      <c r="WYD241"/>
      <c r="WYE241"/>
      <c r="WYF241"/>
      <c r="WYG241"/>
      <c r="WYH241"/>
      <c r="WYI241"/>
      <c r="WYJ241"/>
      <c r="WYK241"/>
      <c r="WYL241"/>
      <c r="WYM241"/>
      <c r="WYN241"/>
      <c r="WYO241"/>
      <c r="WYP241"/>
      <c r="WYQ241"/>
      <c r="WYR241"/>
      <c r="WYS241"/>
      <c r="WYT241"/>
      <c r="WYU241"/>
      <c r="WYV241"/>
      <c r="WYW241"/>
      <c r="WYX241"/>
      <c r="WYY241"/>
      <c r="WYZ241"/>
      <c r="WZA241"/>
      <c r="WZB241"/>
      <c r="WZC241"/>
      <c r="WZD241"/>
      <c r="WZE241"/>
      <c r="WZF241"/>
      <c r="WZG241"/>
      <c r="WZH241"/>
      <c r="WZI241"/>
      <c r="WZJ241"/>
      <c r="WZK241"/>
      <c r="WZL241"/>
      <c r="WZM241"/>
      <c r="WZN241"/>
      <c r="WZO241"/>
      <c r="WZP241"/>
      <c r="WZQ241"/>
      <c r="WZR241"/>
      <c r="WZS241"/>
      <c r="WZT241"/>
      <c r="WZU241"/>
      <c r="WZV241"/>
      <c r="WZW241"/>
      <c r="WZX241"/>
      <c r="WZY241"/>
      <c r="WZZ241"/>
      <c r="XAA241"/>
      <c r="XAB241"/>
      <c r="XAC241"/>
      <c r="XAD241"/>
      <c r="XAE241"/>
      <c r="XAF241"/>
      <c r="XAG241"/>
      <c r="XAH241"/>
      <c r="XAI241"/>
      <c r="XAJ241"/>
      <c r="XAK241"/>
      <c r="XAL241"/>
      <c r="XAM241"/>
      <c r="XAN241"/>
      <c r="XAO241"/>
      <c r="XAP241"/>
      <c r="XAQ241"/>
      <c r="XAR241"/>
      <c r="XAS241"/>
      <c r="XAT241"/>
      <c r="XAU241"/>
      <c r="XAV241"/>
      <c r="XAW241"/>
      <c r="XAX241"/>
      <c r="XAY241"/>
      <c r="XAZ241"/>
      <c r="XBA241"/>
      <c r="XBB241"/>
      <c r="XBC241"/>
      <c r="XBD241"/>
      <c r="XBE241"/>
      <c r="XBF241"/>
      <c r="XBG241"/>
      <c r="XBH241"/>
      <c r="XBI241"/>
      <c r="XBJ241"/>
      <c r="XBK241"/>
      <c r="XBL241"/>
      <c r="XBM241"/>
      <c r="XBN241"/>
      <c r="XBO241"/>
      <c r="XBP241"/>
      <c r="XBQ241"/>
      <c r="XBR241"/>
      <c r="XBS241"/>
      <c r="XBT241"/>
      <c r="XBU241"/>
      <c r="XBV241"/>
      <c r="XBW241"/>
      <c r="XBX241"/>
      <c r="XBY241"/>
      <c r="XBZ241"/>
      <c r="XCA241"/>
      <c r="XCB241"/>
      <c r="XCC241"/>
      <c r="XCD241"/>
      <c r="XCE241"/>
      <c r="XCF241"/>
      <c r="XCG241"/>
      <c r="XCH241"/>
      <c r="XCI241"/>
      <c r="XCJ241"/>
      <c r="XCK241"/>
      <c r="XCL241"/>
      <c r="XCM241"/>
      <c r="XCN241"/>
      <c r="XCO241"/>
      <c r="XCP241"/>
      <c r="XCQ241"/>
      <c r="XCR241"/>
      <c r="XCS241"/>
      <c r="XCT241"/>
      <c r="XCU241"/>
      <c r="XCV241"/>
      <c r="XCW241"/>
      <c r="XCX241"/>
      <c r="XCY241"/>
      <c r="XCZ241"/>
      <c r="XDA241"/>
      <c r="XDB241"/>
      <c r="XDC241"/>
      <c r="XDD241"/>
      <c r="XDE241"/>
      <c r="XDF241"/>
      <c r="XDG241"/>
      <c r="XDH241"/>
      <c r="XDI241"/>
      <c r="XDJ241"/>
      <c r="XDK241"/>
      <c r="XDL241"/>
      <c r="XDM241"/>
      <c r="XDN241"/>
      <c r="XDO241"/>
      <c r="XDP241"/>
      <c r="XDQ241"/>
      <c r="XDR241"/>
      <c r="XDS241"/>
      <c r="XDT241"/>
      <c r="XDU241"/>
      <c r="XDV241"/>
      <c r="XDW241"/>
      <c r="XDX241"/>
      <c r="XDY241"/>
      <c r="XDZ241"/>
      <c r="XEA241"/>
      <c r="XEB241"/>
      <c r="XEC241"/>
      <c r="XED241"/>
      <c r="XEE241"/>
      <c r="XEF241"/>
      <c r="XEG241"/>
      <c r="XEH241"/>
      <c r="XEI241"/>
      <c r="XEJ241"/>
      <c r="XEK241"/>
      <c r="XEL241"/>
      <c r="XEM241"/>
      <c r="XEN241"/>
      <c r="XEO241"/>
      <c r="XEP241"/>
      <c r="XEQ241"/>
      <c r="XER241"/>
      <c r="XES241"/>
      <c r="XET241"/>
      <c r="XEU241"/>
      <c r="XEV241"/>
      <c r="XEW241"/>
      <c r="XEX241"/>
      <c r="XEY241"/>
      <c r="XEZ241"/>
      <c r="XFA241"/>
      <c r="XFB241"/>
      <c r="XFC241"/>
      <c r="XFD241"/>
    </row>
    <row r="242" spans="2:16384" s="131" customFormat="1" x14ac:dyDescent="0.25">
      <c r="E242" s="175"/>
      <c r="F242" s="66" t="s">
        <v>47</v>
      </c>
      <c r="G242" s="139" t="s">
        <v>388</v>
      </c>
      <c r="H242" s="572"/>
      <c r="I242" s="572"/>
      <c r="J242" s="585">
        <f t="shared" ref="J242:AP242" si="49">J$78 * J212</f>
        <v>0</v>
      </c>
      <c r="K242" s="585">
        <f t="shared" si="49"/>
        <v>0</v>
      </c>
      <c r="L242" s="585">
        <f t="shared" si="49"/>
        <v>0</v>
      </c>
      <c r="M242" s="585">
        <f t="shared" si="49"/>
        <v>0</v>
      </c>
      <c r="N242" s="585">
        <f t="shared" si="49"/>
        <v>0</v>
      </c>
      <c r="O242" s="585">
        <f t="shared" si="49"/>
        <v>0</v>
      </c>
      <c r="P242" s="585">
        <f t="shared" si="49"/>
        <v>0</v>
      </c>
      <c r="Q242" s="585">
        <f t="shared" si="49"/>
        <v>0</v>
      </c>
      <c r="R242" s="585">
        <f t="shared" si="49"/>
        <v>0</v>
      </c>
      <c r="S242" s="585">
        <f t="shared" si="49"/>
        <v>0</v>
      </c>
      <c r="T242" s="585">
        <f t="shared" si="49"/>
        <v>0</v>
      </c>
      <c r="U242" s="585">
        <f t="shared" si="49"/>
        <v>8.1889752659684463E-3</v>
      </c>
      <c r="V242" s="585">
        <f t="shared" si="49"/>
        <v>7.1595582672503259E-3</v>
      </c>
      <c r="W242" s="585">
        <f t="shared" si="49"/>
        <v>0</v>
      </c>
      <c r="X242" s="585">
        <f t="shared" si="49"/>
        <v>0</v>
      </c>
      <c r="Y242" s="585">
        <f t="shared" si="49"/>
        <v>0</v>
      </c>
      <c r="Z242" s="585">
        <f t="shared" si="49"/>
        <v>0</v>
      </c>
      <c r="AA242" s="585">
        <f t="shared" si="49"/>
        <v>0</v>
      </c>
      <c r="AB242" s="585">
        <f t="shared" si="49"/>
        <v>0</v>
      </c>
      <c r="AC242" s="585">
        <f t="shared" si="49"/>
        <v>0</v>
      </c>
      <c r="AD242" s="585">
        <f t="shared" si="49"/>
        <v>0</v>
      </c>
      <c r="AE242" s="585">
        <f t="shared" si="49"/>
        <v>5.9191192537907745E-3</v>
      </c>
      <c r="AF242" s="585">
        <f t="shared" si="49"/>
        <v>0</v>
      </c>
      <c r="AG242" s="585">
        <f t="shared" si="49"/>
        <v>5.9191192537907745E-3</v>
      </c>
      <c r="AH242" s="585">
        <f t="shared" si="49"/>
        <v>0</v>
      </c>
      <c r="AI242" s="585">
        <f t="shared" si="49"/>
        <v>5.6853982915198806E-3</v>
      </c>
      <c r="AJ242" s="585">
        <f t="shared" si="49"/>
        <v>0</v>
      </c>
      <c r="AK242" s="585">
        <f t="shared" si="49"/>
        <v>5.6853982915198806E-3</v>
      </c>
      <c r="AL242" s="585">
        <f t="shared" si="49"/>
        <v>0</v>
      </c>
      <c r="AM242" s="585">
        <f t="shared" si="49"/>
        <v>5.6038677232858472E-3</v>
      </c>
      <c r="AN242" s="585">
        <f t="shared" si="49"/>
        <v>0</v>
      </c>
      <c r="AO242" s="585">
        <f t="shared" si="49"/>
        <v>5.6038677232858472E-3</v>
      </c>
      <c r="AP242" s="585">
        <f t="shared" si="49"/>
        <v>0</v>
      </c>
      <c r="AQ242" s="571"/>
      <c r="AR242" s="571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  <c r="FX242"/>
      <c r="FY242"/>
      <c r="FZ242"/>
      <c r="GA242"/>
      <c r="GB242"/>
      <c r="GC242"/>
      <c r="GD242"/>
      <c r="GE242"/>
      <c r="GF242"/>
      <c r="GG242"/>
      <c r="GH242"/>
      <c r="GI242"/>
      <c r="GJ242"/>
      <c r="GK242"/>
      <c r="GL242"/>
      <c r="GM242"/>
      <c r="GN242"/>
      <c r="GO242"/>
      <c r="GP242"/>
      <c r="GQ242"/>
      <c r="GR242"/>
      <c r="GS242"/>
      <c r="GT242"/>
      <c r="GU242"/>
      <c r="GV242"/>
      <c r="GW242"/>
      <c r="GX242"/>
      <c r="GY242"/>
      <c r="GZ242"/>
      <c r="HA242"/>
      <c r="HB242"/>
      <c r="HC242"/>
      <c r="HD242"/>
      <c r="HE242"/>
      <c r="HF242"/>
      <c r="HG242"/>
      <c r="HH242"/>
      <c r="HI242"/>
      <c r="HJ242"/>
      <c r="HK242"/>
      <c r="HL242"/>
      <c r="HM242"/>
      <c r="HN242"/>
      <c r="HO242"/>
      <c r="HP242"/>
      <c r="HQ242"/>
      <c r="HR242"/>
      <c r="HS242"/>
      <c r="HT242"/>
      <c r="HU242"/>
      <c r="HV242"/>
      <c r="HW242"/>
      <c r="HX242"/>
      <c r="HY242"/>
      <c r="HZ242"/>
      <c r="IA242"/>
      <c r="IB242"/>
      <c r="IC242"/>
      <c r="ID242"/>
      <c r="IE242"/>
      <c r="IF242"/>
      <c r="IG242"/>
      <c r="IH242"/>
      <c r="II242"/>
      <c r="IJ242"/>
      <c r="IK242"/>
      <c r="IL242"/>
      <c r="IM242"/>
      <c r="IN242"/>
      <c r="IO242"/>
      <c r="IP242"/>
      <c r="IQ242"/>
      <c r="IR242"/>
      <c r="IS242"/>
      <c r="IT242"/>
      <c r="IU242"/>
      <c r="IV242"/>
      <c r="IW242"/>
      <c r="IX242"/>
      <c r="IY242"/>
      <c r="IZ242"/>
      <c r="JA242"/>
      <c r="JB242"/>
      <c r="JC242"/>
      <c r="JD242"/>
      <c r="JE242"/>
      <c r="JF242"/>
      <c r="JG242"/>
      <c r="JH242"/>
      <c r="JI242"/>
      <c r="JJ242"/>
      <c r="JK242"/>
      <c r="JL242"/>
      <c r="JM242"/>
      <c r="JN242"/>
      <c r="JO242"/>
      <c r="JP242"/>
      <c r="JQ242"/>
      <c r="JR242"/>
      <c r="JS242"/>
      <c r="JT242"/>
      <c r="JU242"/>
      <c r="JV242"/>
      <c r="JW242"/>
      <c r="JX242"/>
      <c r="JY242"/>
      <c r="JZ242"/>
      <c r="KA242"/>
      <c r="KB242"/>
      <c r="KC242"/>
      <c r="KD242"/>
      <c r="KE242"/>
      <c r="KF242"/>
      <c r="KG242"/>
      <c r="KH242"/>
      <c r="KI242"/>
      <c r="KJ242"/>
      <c r="KK242"/>
      <c r="KL242"/>
      <c r="KM242"/>
      <c r="KN242"/>
      <c r="KO242"/>
      <c r="KP242"/>
      <c r="KQ242"/>
      <c r="KR242"/>
      <c r="KS242"/>
      <c r="KT242"/>
      <c r="KU242"/>
      <c r="KV242"/>
      <c r="KW242"/>
      <c r="KX242"/>
      <c r="KY242"/>
      <c r="KZ242"/>
      <c r="LA242"/>
      <c r="LB242"/>
      <c r="LC242"/>
      <c r="LD242"/>
      <c r="LE242"/>
      <c r="LF242"/>
      <c r="LG242"/>
      <c r="LH242"/>
      <c r="LI242"/>
      <c r="LJ242"/>
      <c r="LK242"/>
      <c r="LL242"/>
      <c r="LM242"/>
      <c r="LN242"/>
      <c r="LO242"/>
      <c r="LP242"/>
      <c r="LQ242"/>
      <c r="LR242"/>
      <c r="LS242"/>
      <c r="LT242"/>
      <c r="LU242"/>
      <c r="LV242"/>
      <c r="LW242"/>
      <c r="LX242"/>
      <c r="LY242"/>
      <c r="LZ242"/>
      <c r="MA242"/>
      <c r="MB242"/>
      <c r="MC242"/>
      <c r="MD242"/>
      <c r="ME242"/>
      <c r="MF242"/>
      <c r="MG242"/>
      <c r="MH242"/>
      <c r="MI242"/>
      <c r="MJ242"/>
      <c r="MK242"/>
      <c r="ML242"/>
      <c r="MM242"/>
      <c r="MN242"/>
      <c r="MO242"/>
      <c r="MP242"/>
      <c r="MQ242"/>
      <c r="MR242"/>
      <c r="MS242"/>
      <c r="MT242"/>
      <c r="MU242"/>
      <c r="MV242"/>
      <c r="MW242"/>
      <c r="MX242"/>
      <c r="MY242"/>
      <c r="MZ242"/>
      <c r="NA242"/>
      <c r="NB242"/>
      <c r="NC242"/>
      <c r="ND242"/>
      <c r="NE242"/>
      <c r="NF242"/>
      <c r="NG242"/>
      <c r="NH242"/>
      <c r="NI242"/>
      <c r="NJ242"/>
      <c r="NK242"/>
      <c r="NL242"/>
      <c r="NM242"/>
      <c r="NN242"/>
      <c r="NO242"/>
      <c r="NP242"/>
      <c r="NQ242"/>
      <c r="NR242"/>
      <c r="NS242"/>
      <c r="NT242"/>
      <c r="NU242"/>
      <c r="NV242"/>
      <c r="NW242"/>
      <c r="NX242"/>
      <c r="NY242"/>
      <c r="NZ242"/>
      <c r="OA242"/>
      <c r="OB242"/>
      <c r="OC242"/>
      <c r="OD242"/>
      <c r="OE242"/>
      <c r="OF242"/>
      <c r="OG242"/>
      <c r="OH242"/>
      <c r="OI242"/>
      <c r="OJ242"/>
      <c r="OK242"/>
      <c r="OL242"/>
      <c r="OM242"/>
      <c r="ON242"/>
      <c r="OO242"/>
      <c r="OP242"/>
      <c r="OQ242"/>
      <c r="OR242"/>
      <c r="OS242"/>
      <c r="OT242"/>
      <c r="OU242"/>
      <c r="OV242"/>
      <c r="OW242"/>
      <c r="OX242"/>
      <c r="OY242"/>
      <c r="OZ242"/>
      <c r="PA242"/>
      <c r="PB242"/>
      <c r="PC242"/>
      <c r="PD242"/>
      <c r="PE242"/>
      <c r="PF242"/>
      <c r="PG242"/>
      <c r="PH242"/>
      <c r="PI242"/>
      <c r="PJ242"/>
      <c r="PK242"/>
      <c r="PL242"/>
      <c r="PM242"/>
      <c r="PN242"/>
      <c r="PO242"/>
      <c r="PP242"/>
      <c r="PQ242"/>
      <c r="PR242"/>
      <c r="PS242"/>
      <c r="PT242"/>
      <c r="PU242"/>
      <c r="PV242"/>
      <c r="PW242"/>
      <c r="PX242"/>
      <c r="PY242"/>
      <c r="PZ242"/>
      <c r="QA242"/>
      <c r="QB242"/>
      <c r="QC242"/>
      <c r="QD242"/>
      <c r="QE242"/>
      <c r="QF242"/>
      <c r="QG242"/>
      <c r="QH242"/>
      <c r="QI242"/>
      <c r="QJ242"/>
      <c r="QK242"/>
      <c r="QL242"/>
      <c r="QM242"/>
      <c r="QN242"/>
      <c r="QO242"/>
      <c r="QP242"/>
      <c r="QQ242"/>
      <c r="QR242"/>
      <c r="QS242"/>
      <c r="QT242"/>
      <c r="QU242"/>
      <c r="QV242"/>
      <c r="QW242"/>
      <c r="QX242"/>
      <c r="QY242"/>
      <c r="QZ242"/>
      <c r="RA242"/>
      <c r="RB242"/>
      <c r="RC242"/>
      <c r="RD242"/>
      <c r="RE242"/>
      <c r="RF242"/>
      <c r="RG242"/>
      <c r="RH242"/>
      <c r="RI242"/>
      <c r="RJ242"/>
      <c r="RK242"/>
      <c r="RL242"/>
      <c r="RM242"/>
      <c r="RN242"/>
      <c r="RO242"/>
      <c r="RP242"/>
      <c r="RQ242"/>
      <c r="RR242"/>
      <c r="RS242"/>
      <c r="RT242"/>
      <c r="RU242"/>
      <c r="RV242"/>
      <c r="RW242"/>
      <c r="RX242"/>
      <c r="RY242"/>
      <c r="RZ242"/>
      <c r="SA242"/>
      <c r="SB242"/>
      <c r="SC242"/>
      <c r="SD242"/>
      <c r="SE242"/>
      <c r="SF242"/>
      <c r="SG242"/>
      <c r="SH242"/>
      <c r="SI242"/>
      <c r="SJ242"/>
      <c r="SK242"/>
      <c r="SL242"/>
      <c r="SM242"/>
      <c r="SN242"/>
      <c r="SO242"/>
      <c r="SP242"/>
      <c r="SQ242"/>
      <c r="SR242"/>
      <c r="SS242"/>
      <c r="ST242"/>
      <c r="SU242"/>
      <c r="SV242"/>
      <c r="SW242"/>
      <c r="SX242"/>
      <c r="SY242"/>
      <c r="SZ242"/>
      <c r="TA242"/>
      <c r="TB242"/>
      <c r="TC242"/>
      <c r="TD242"/>
      <c r="TE242"/>
      <c r="TF242"/>
      <c r="TG242"/>
      <c r="TH242"/>
      <c r="TI242"/>
      <c r="TJ242"/>
      <c r="TK242"/>
      <c r="TL242"/>
      <c r="TM242"/>
      <c r="TN242"/>
      <c r="TO242"/>
      <c r="TP242"/>
      <c r="TQ242"/>
      <c r="TR242"/>
      <c r="TS242"/>
      <c r="TT242"/>
      <c r="TU242"/>
      <c r="TV242"/>
      <c r="TW242"/>
      <c r="TX242"/>
      <c r="TY242"/>
      <c r="TZ242"/>
      <c r="UA242"/>
      <c r="UB242"/>
      <c r="UC242"/>
      <c r="UD242"/>
      <c r="UE242"/>
      <c r="UF242"/>
      <c r="UG242"/>
      <c r="UH242"/>
      <c r="UI242"/>
      <c r="UJ242"/>
      <c r="UK242"/>
      <c r="UL242"/>
      <c r="UM242"/>
      <c r="UN242"/>
      <c r="UO242"/>
      <c r="UP242"/>
      <c r="UQ242"/>
      <c r="UR242"/>
      <c r="US242"/>
      <c r="UT242"/>
      <c r="UU242"/>
      <c r="UV242"/>
      <c r="UW242"/>
      <c r="UX242"/>
      <c r="UY242"/>
      <c r="UZ242"/>
      <c r="VA242"/>
      <c r="VB242"/>
      <c r="VC242"/>
      <c r="VD242"/>
      <c r="VE242"/>
      <c r="VF242"/>
      <c r="VG242"/>
      <c r="VH242"/>
      <c r="VI242"/>
      <c r="VJ242"/>
      <c r="VK242"/>
      <c r="VL242"/>
      <c r="VM242"/>
      <c r="VN242"/>
      <c r="VO242"/>
      <c r="VP242"/>
      <c r="VQ242"/>
      <c r="VR242"/>
      <c r="VS242"/>
      <c r="VT242"/>
      <c r="VU242"/>
      <c r="VV242"/>
      <c r="VW242"/>
      <c r="VX242"/>
      <c r="VY242"/>
      <c r="VZ242"/>
      <c r="WA242"/>
      <c r="WB242"/>
      <c r="WC242"/>
      <c r="WD242"/>
      <c r="WE242"/>
      <c r="WF242"/>
      <c r="WG242"/>
      <c r="WH242"/>
      <c r="WI242"/>
      <c r="WJ242"/>
      <c r="WK242"/>
      <c r="WL242"/>
      <c r="WM242"/>
      <c r="WN242"/>
      <c r="WO242"/>
      <c r="WP242"/>
      <c r="WQ242"/>
      <c r="WR242"/>
      <c r="WS242"/>
      <c r="WT242"/>
      <c r="WU242"/>
      <c r="WV242"/>
      <c r="WW242"/>
      <c r="WX242"/>
      <c r="WY242"/>
      <c r="WZ242"/>
      <c r="XA242"/>
      <c r="XB242"/>
      <c r="XC242"/>
      <c r="XD242"/>
      <c r="XE242"/>
      <c r="XF242"/>
      <c r="XG242"/>
      <c r="XH242"/>
      <c r="XI242"/>
      <c r="XJ242"/>
      <c r="XK242"/>
      <c r="XL242"/>
      <c r="XM242"/>
      <c r="XN242"/>
      <c r="XO242"/>
      <c r="XP242"/>
      <c r="XQ242"/>
      <c r="XR242"/>
      <c r="XS242"/>
      <c r="XT242"/>
      <c r="XU242"/>
      <c r="XV242"/>
      <c r="XW242"/>
      <c r="XX242"/>
      <c r="XY242"/>
      <c r="XZ242"/>
      <c r="YA242"/>
      <c r="YB242"/>
      <c r="YC242"/>
      <c r="YD242"/>
      <c r="YE242"/>
      <c r="YF242"/>
      <c r="YG242"/>
      <c r="YH242"/>
      <c r="YI242"/>
      <c r="YJ242"/>
      <c r="YK242"/>
      <c r="YL242"/>
      <c r="YM242"/>
      <c r="YN242"/>
      <c r="YO242"/>
      <c r="YP242"/>
      <c r="YQ242"/>
      <c r="YR242"/>
      <c r="YS242"/>
      <c r="YT242"/>
      <c r="YU242"/>
      <c r="YV242"/>
      <c r="YW242"/>
      <c r="YX242"/>
      <c r="YY242"/>
      <c r="YZ242"/>
      <c r="ZA242"/>
      <c r="ZB242"/>
      <c r="ZC242"/>
      <c r="ZD242"/>
      <c r="ZE242"/>
      <c r="ZF242"/>
      <c r="ZG242"/>
      <c r="ZH242"/>
      <c r="ZI242"/>
      <c r="ZJ242"/>
      <c r="ZK242"/>
      <c r="ZL242"/>
      <c r="ZM242"/>
      <c r="ZN242"/>
      <c r="ZO242"/>
      <c r="ZP242"/>
      <c r="ZQ242"/>
      <c r="ZR242"/>
      <c r="ZS242"/>
      <c r="ZT242"/>
      <c r="ZU242"/>
      <c r="ZV242"/>
      <c r="ZW242"/>
      <c r="ZX242"/>
      <c r="ZY242"/>
      <c r="ZZ242"/>
      <c r="AAA242"/>
      <c r="AAB242"/>
      <c r="AAC242"/>
      <c r="AAD242"/>
      <c r="AAE242"/>
      <c r="AAF242"/>
      <c r="AAG242"/>
      <c r="AAH242"/>
      <c r="AAI242"/>
      <c r="AAJ242"/>
      <c r="AAK242"/>
      <c r="AAL242"/>
      <c r="AAM242"/>
      <c r="AAN242"/>
      <c r="AAO242"/>
      <c r="AAP242"/>
      <c r="AAQ242"/>
      <c r="AAR242"/>
      <c r="AAS242"/>
      <c r="AAT242"/>
      <c r="AAU242"/>
      <c r="AAV242"/>
      <c r="AAW242"/>
      <c r="AAX242"/>
      <c r="AAY242"/>
      <c r="AAZ242"/>
      <c r="ABA242"/>
      <c r="ABB242"/>
      <c r="ABC242"/>
      <c r="ABD242"/>
      <c r="ABE242"/>
      <c r="ABF242"/>
      <c r="ABG242"/>
      <c r="ABH242"/>
      <c r="ABI242"/>
      <c r="ABJ242"/>
      <c r="ABK242"/>
      <c r="ABL242"/>
      <c r="ABM242"/>
      <c r="ABN242"/>
      <c r="ABO242"/>
      <c r="ABP242"/>
      <c r="ABQ242"/>
      <c r="ABR242"/>
      <c r="ABS242"/>
      <c r="ABT242"/>
      <c r="ABU242"/>
      <c r="ABV242"/>
      <c r="ABW242"/>
      <c r="ABX242"/>
      <c r="ABY242"/>
      <c r="ABZ242"/>
      <c r="ACA242"/>
      <c r="ACB242"/>
      <c r="ACC242"/>
      <c r="ACD242"/>
      <c r="ACE242"/>
      <c r="ACF242"/>
      <c r="ACG242"/>
      <c r="ACH242"/>
      <c r="ACI242"/>
      <c r="ACJ242"/>
      <c r="ACK242"/>
      <c r="ACL242"/>
      <c r="ACM242"/>
      <c r="ACN242"/>
      <c r="ACO242"/>
      <c r="ACP242"/>
      <c r="ACQ242"/>
      <c r="ACR242"/>
      <c r="ACS242"/>
      <c r="ACT242"/>
      <c r="ACU242"/>
      <c r="ACV242"/>
      <c r="ACW242"/>
      <c r="ACX242"/>
      <c r="ACY242"/>
      <c r="ACZ242"/>
      <c r="ADA242"/>
      <c r="ADB242"/>
      <c r="ADC242"/>
      <c r="ADD242"/>
      <c r="ADE242"/>
      <c r="ADF242"/>
      <c r="ADG242"/>
      <c r="ADH242"/>
      <c r="ADI242"/>
      <c r="ADJ242"/>
      <c r="ADK242"/>
      <c r="ADL242"/>
      <c r="ADM242"/>
      <c r="ADN242"/>
      <c r="ADO242"/>
      <c r="ADP242"/>
      <c r="ADQ242"/>
      <c r="ADR242"/>
      <c r="ADS242"/>
      <c r="ADT242"/>
      <c r="ADU242"/>
      <c r="ADV242"/>
      <c r="ADW242"/>
      <c r="ADX242"/>
      <c r="ADY242"/>
      <c r="ADZ242"/>
      <c r="AEA242"/>
      <c r="AEB242"/>
      <c r="AEC242"/>
      <c r="AED242"/>
      <c r="AEE242"/>
      <c r="AEF242"/>
      <c r="AEG242"/>
      <c r="AEH242"/>
      <c r="AEI242"/>
      <c r="AEJ242"/>
      <c r="AEK242"/>
      <c r="AEL242"/>
      <c r="AEM242"/>
      <c r="AEN242"/>
      <c r="AEO242"/>
      <c r="AEP242"/>
      <c r="AEQ242"/>
      <c r="AER242"/>
      <c r="AES242"/>
      <c r="AET242"/>
      <c r="AEU242"/>
      <c r="AEV242"/>
      <c r="AEW242"/>
      <c r="AEX242"/>
      <c r="AEY242"/>
      <c r="AEZ242"/>
      <c r="AFA242"/>
      <c r="AFB242"/>
      <c r="AFC242"/>
      <c r="AFD242"/>
      <c r="AFE242"/>
      <c r="AFF242"/>
      <c r="AFG242"/>
      <c r="AFH242"/>
      <c r="AFI242"/>
      <c r="AFJ242"/>
      <c r="AFK242"/>
      <c r="AFL242"/>
      <c r="AFM242"/>
      <c r="AFN242"/>
      <c r="AFO242"/>
      <c r="AFP242"/>
      <c r="AFQ242"/>
      <c r="AFR242"/>
      <c r="AFS242"/>
      <c r="AFT242"/>
      <c r="AFU242"/>
      <c r="AFV242"/>
      <c r="AFW242"/>
      <c r="AFX242"/>
      <c r="AFY242"/>
      <c r="AFZ242"/>
      <c r="AGA242"/>
      <c r="AGB242"/>
      <c r="AGC242"/>
      <c r="AGD242"/>
      <c r="AGE242"/>
      <c r="AGF242"/>
      <c r="AGG242"/>
      <c r="AGH242"/>
      <c r="AGI242"/>
      <c r="AGJ242"/>
      <c r="AGK242"/>
      <c r="AGL242"/>
      <c r="AGM242"/>
      <c r="AGN242"/>
      <c r="AGO242"/>
      <c r="AGP242"/>
      <c r="AGQ242"/>
      <c r="AGR242"/>
      <c r="AGS242"/>
      <c r="AGT242"/>
      <c r="AGU242"/>
      <c r="AGV242"/>
      <c r="AGW242"/>
      <c r="AGX242"/>
      <c r="AGY242"/>
      <c r="AGZ242"/>
      <c r="AHA242"/>
      <c r="AHB242"/>
      <c r="AHC242"/>
      <c r="AHD242"/>
      <c r="AHE242"/>
      <c r="AHF242"/>
      <c r="AHG242"/>
      <c r="AHH242"/>
      <c r="AHI242"/>
      <c r="AHJ242"/>
      <c r="AHK242"/>
      <c r="AHL242"/>
      <c r="AHM242"/>
      <c r="AHN242"/>
      <c r="AHO242"/>
      <c r="AHP242"/>
      <c r="AHQ242"/>
      <c r="AHR242"/>
      <c r="AHS242"/>
      <c r="AHT242"/>
      <c r="AHU242"/>
      <c r="AHV242"/>
      <c r="AHW242"/>
      <c r="AHX242"/>
      <c r="AHY242"/>
      <c r="AHZ242"/>
      <c r="AIA242"/>
      <c r="AIB242"/>
      <c r="AIC242"/>
      <c r="AID242"/>
      <c r="AIE242"/>
      <c r="AIF242"/>
      <c r="AIG242"/>
      <c r="AIH242"/>
      <c r="AII242"/>
      <c r="AIJ242"/>
      <c r="AIK242"/>
      <c r="AIL242"/>
      <c r="AIM242"/>
      <c r="AIN242"/>
      <c r="AIO242"/>
      <c r="AIP242"/>
      <c r="AIQ242"/>
      <c r="AIR242"/>
      <c r="AIS242"/>
      <c r="AIT242"/>
      <c r="AIU242"/>
      <c r="AIV242"/>
      <c r="AIW242"/>
      <c r="AIX242"/>
      <c r="AIY242"/>
      <c r="AIZ242"/>
      <c r="AJA242"/>
      <c r="AJB242"/>
      <c r="AJC242"/>
      <c r="AJD242"/>
      <c r="AJE242"/>
      <c r="AJF242"/>
      <c r="AJG242"/>
      <c r="AJH242"/>
      <c r="AJI242"/>
      <c r="AJJ242"/>
      <c r="AJK242"/>
      <c r="AJL242"/>
      <c r="AJM242"/>
      <c r="AJN242"/>
      <c r="AJO242"/>
      <c r="AJP242"/>
      <c r="AJQ242"/>
      <c r="AJR242"/>
      <c r="AJS242"/>
      <c r="AJT242"/>
      <c r="AJU242"/>
      <c r="AJV242"/>
      <c r="AJW242"/>
      <c r="AJX242"/>
      <c r="AJY242"/>
      <c r="AJZ242"/>
      <c r="AKA242"/>
      <c r="AKB242"/>
      <c r="AKC242"/>
      <c r="AKD242"/>
      <c r="AKE242"/>
      <c r="AKF242"/>
      <c r="AKG242"/>
      <c r="AKH242"/>
      <c r="AKI242"/>
      <c r="AKJ242"/>
      <c r="AKK242"/>
      <c r="AKL242"/>
      <c r="AKM242"/>
      <c r="AKN242"/>
      <c r="AKO242"/>
      <c r="AKP242"/>
      <c r="AKQ242"/>
      <c r="AKR242"/>
      <c r="AKS242"/>
      <c r="AKT242"/>
      <c r="AKU242"/>
      <c r="AKV242"/>
      <c r="AKW242"/>
      <c r="AKX242"/>
      <c r="AKY242"/>
      <c r="AKZ242"/>
      <c r="ALA242"/>
      <c r="ALB242"/>
      <c r="ALC242"/>
      <c r="ALD242"/>
      <c r="ALE242"/>
      <c r="ALF242"/>
      <c r="ALG242"/>
      <c r="ALH242"/>
      <c r="ALI242"/>
      <c r="ALJ242"/>
      <c r="ALK242"/>
      <c r="ALL242"/>
      <c r="ALM242"/>
      <c r="ALN242"/>
      <c r="ALO242"/>
      <c r="ALP242"/>
      <c r="ALQ242"/>
      <c r="ALR242"/>
      <c r="ALS242"/>
      <c r="ALT242"/>
      <c r="ALU242"/>
      <c r="ALV242"/>
      <c r="ALW242"/>
      <c r="ALX242"/>
      <c r="ALY242"/>
      <c r="ALZ242"/>
      <c r="AMA242"/>
      <c r="AMB242"/>
      <c r="AMC242"/>
      <c r="AMD242"/>
      <c r="AME242"/>
      <c r="AMF242"/>
      <c r="AMG242"/>
      <c r="AMH242"/>
      <c r="AMI242"/>
      <c r="AMJ242"/>
      <c r="AMK242"/>
      <c r="AML242"/>
      <c r="AMM242"/>
      <c r="AMN242"/>
      <c r="AMO242"/>
      <c r="AMP242"/>
      <c r="AMQ242"/>
      <c r="AMR242"/>
      <c r="AMS242"/>
      <c r="AMT242"/>
      <c r="AMU242"/>
      <c r="AMV242"/>
      <c r="AMW242"/>
      <c r="AMX242"/>
      <c r="AMY242"/>
      <c r="AMZ242"/>
      <c r="ANA242"/>
      <c r="ANB242"/>
      <c r="ANC242"/>
      <c r="AND242"/>
      <c r="ANE242"/>
      <c r="ANF242"/>
      <c r="ANG242"/>
      <c r="ANH242"/>
      <c r="ANI242"/>
      <c r="ANJ242"/>
      <c r="ANK242"/>
      <c r="ANL242"/>
      <c r="ANM242"/>
      <c r="ANN242"/>
      <c r="ANO242"/>
      <c r="ANP242"/>
      <c r="ANQ242"/>
      <c r="ANR242"/>
      <c r="ANS242"/>
      <c r="ANT242"/>
      <c r="ANU242"/>
      <c r="ANV242"/>
      <c r="ANW242"/>
      <c r="ANX242"/>
      <c r="ANY242"/>
      <c r="ANZ242"/>
      <c r="AOA242"/>
      <c r="AOB242"/>
      <c r="AOC242"/>
      <c r="AOD242"/>
      <c r="AOE242"/>
      <c r="AOF242"/>
      <c r="AOG242"/>
      <c r="AOH242"/>
      <c r="AOI242"/>
      <c r="AOJ242"/>
      <c r="AOK242"/>
      <c r="AOL242"/>
      <c r="AOM242"/>
      <c r="AON242"/>
      <c r="AOO242"/>
      <c r="AOP242"/>
      <c r="AOQ242"/>
      <c r="AOR242"/>
      <c r="AOS242"/>
      <c r="AOT242"/>
      <c r="AOU242"/>
      <c r="AOV242"/>
      <c r="AOW242"/>
      <c r="AOX242"/>
      <c r="AOY242"/>
      <c r="AOZ242"/>
      <c r="APA242"/>
      <c r="APB242"/>
      <c r="APC242"/>
      <c r="APD242"/>
      <c r="APE242"/>
      <c r="APF242"/>
      <c r="APG242"/>
      <c r="APH242"/>
      <c r="API242"/>
      <c r="APJ242"/>
      <c r="APK242"/>
      <c r="APL242"/>
      <c r="APM242"/>
      <c r="APN242"/>
      <c r="APO242"/>
      <c r="APP242"/>
      <c r="APQ242"/>
      <c r="APR242"/>
      <c r="APS242"/>
      <c r="APT242"/>
      <c r="APU242"/>
      <c r="APV242"/>
      <c r="APW242"/>
      <c r="APX242"/>
      <c r="APY242"/>
      <c r="APZ242"/>
      <c r="AQA242"/>
      <c r="AQB242"/>
      <c r="AQC242"/>
      <c r="AQD242"/>
      <c r="AQE242"/>
      <c r="AQF242"/>
      <c r="AQG242"/>
      <c r="AQH242"/>
      <c r="AQI242"/>
      <c r="AQJ242"/>
      <c r="AQK242"/>
      <c r="AQL242"/>
      <c r="AQM242"/>
      <c r="AQN242"/>
      <c r="AQO242"/>
      <c r="AQP242"/>
      <c r="AQQ242"/>
      <c r="AQR242"/>
      <c r="AQS242"/>
      <c r="AQT242"/>
      <c r="AQU242"/>
      <c r="AQV242"/>
      <c r="AQW242"/>
      <c r="AQX242"/>
      <c r="AQY242"/>
      <c r="AQZ242"/>
      <c r="ARA242"/>
      <c r="ARB242"/>
      <c r="ARC242"/>
      <c r="ARD242"/>
      <c r="ARE242"/>
      <c r="ARF242"/>
      <c r="ARG242"/>
      <c r="ARH242"/>
      <c r="ARI242"/>
      <c r="ARJ242"/>
      <c r="ARK242"/>
      <c r="ARL242"/>
      <c r="ARM242"/>
      <c r="ARN242"/>
      <c r="ARO242"/>
      <c r="ARP242"/>
      <c r="ARQ242"/>
      <c r="ARR242"/>
      <c r="ARS242"/>
      <c r="ART242"/>
      <c r="ARU242"/>
      <c r="ARV242"/>
      <c r="ARW242"/>
      <c r="ARX242"/>
      <c r="ARY242"/>
      <c r="ARZ242"/>
      <c r="ASA242"/>
      <c r="ASB242"/>
      <c r="ASC242"/>
      <c r="ASD242"/>
      <c r="ASE242"/>
      <c r="ASF242"/>
      <c r="ASG242"/>
      <c r="ASH242"/>
      <c r="ASI242"/>
      <c r="ASJ242"/>
      <c r="ASK242"/>
      <c r="ASL242"/>
      <c r="ASM242"/>
      <c r="ASN242"/>
      <c r="ASO242"/>
      <c r="ASP242"/>
      <c r="ASQ242"/>
      <c r="ASR242"/>
      <c r="ASS242"/>
      <c r="AST242"/>
      <c r="ASU242"/>
      <c r="ASV242"/>
      <c r="ASW242"/>
      <c r="ASX242"/>
      <c r="ASY242"/>
      <c r="ASZ242"/>
      <c r="ATA242"/>
      <c r="ATB242"/>
      <c r="ATC242"/>
      <c r="ATD242"/>
      <c r="ATE242"/>
      <c r="ATF242"/>
      <c r="ATG242"/>
      <c r="ATH242"/>
      <c r="ATI242"/>
      <c r="ATJ242"/>
      <c r="ATK242"/>
      <c r="ATL242"/>
      <c r="ATM242"/>
      <c r="ATN242"/>
      <c r="ATO242"/>
      <c r="ATP242"/>
      <c r="ATQ242"/>
      <c r="ATR242"/>
      <c r="ATS242"/>
      <c r="ATT242"/>
      <c r="ATU242"/>
      <c r="ATV242"/>
      <c r="ATW242"/>
      <c r="ATX242"/>
      <c r="ATY242"/>
      <c r="ATZ242"/>
      <c r="AUA242"/>
      <c r="AUB242"/>
      <c r="AUC242"/>
      <c r="AUD242"/>
      <c r="AUE242"/>
      <c r="AUF242"/>
      <c r="AUG242"/>
      <c r="AUH242"/>
      <c r="AUI242"/>
      <c r="AUJ242"/>
      <c r="AUK242"/>
      <c r="AUL242"/>
      <c r="AUM242"/>
      <c r="AUN242"/>
      <c r="AUO242"/>
      <c r="AUP242"/>
      <c r="AUQ242"/>
      <c r="AUR242"/>
      <c r="AUS242"/>
      <c r="AUT242"/>
      <c r="AUU242"/>
      <c r="AUV242"/>
      <c r="AUW242"/>
      <c r="AUX242"/>
      <c r="AUY242"/>
      <c r="AUZ242"/>
      <c r="AVA242"/>
      <c r="AVB242"/>
      <c r="AVC242"/>
      <c r="AVD242"/>
      <c r="AVE242"/>
      <c r="AVF242"/>
      <c r="AVG242"/>
      <c r="AVH242"/>
      <c r="AVI242"/>
      <c r="AVJ242"/>
      <c r="AVK242"/>
      <c r="AVL242"/>
      <c r="AVM242"/>
      <c r="AVN242"/>
      <c r="AVO242"/>
      <c r="AVP242"/>
      <c r="AVQ242"/>
      <c r="AVR242"/>
      <c r="AVS242"/>
      <c r="AVT242"/>
      <c r="AVU242"/>
      <c r="AVV242"/>
      <c r="AVW242"/>
      <c r="AVX242"/>
      <c r="AVY242"/>
      <c r="AVZ242"/>
      <c r="AWA242"/>
      <c r="AWB242"/>
      <c r="AWC242"/>
      <c r="AWD242"/>
      <c r="AWE242"/>
      <c r="AWF242"/>
      <c r="AWG242"/>
      <c r="AWH242"/>
      <c r="AWI242"/>
      <c r="AWJ242"/>
      <c r="AWK242"/>
      <c r="AWL242"/>
      <c r="AWM242"/>
      <c r="AWN242"/>
      <c r="AWO242"/>
      <c r="AWP242"/>
      <c r="AWQ242"/>
      <c r="AWR242"/>
      <c r="AWS242"/>
      <c r="AWT242"/>
      <c r="AWU242"/>
      <c r="AWV242"/>
      <c r="AWW242"/>
      <c r="AWX242"/>
      <c r="AWY242"/>
      <c r="AWZ242"/>
      <c r="AXA242"/>
      <c r="AXB242"/>
      <c r="AXC242"/>
      <c r="AXD242"/>
      <c r="AXE242"/>
      <c r="AXF242"/>
      <c r="AXG242"/>
      <c r="AXH242"/>
      <c r="AXI242"/>
      <c r="AXJ242"/>
      <c r="AXK242"/>
      <c r="AXL242"/>
      <c r="AXM242"/>
      <c r="AXN242"/>
      <c r="AXO242"/>
      <c r="AXP242"/>
      <c r="AXQ242"/>
      <c r="AXR242"/>
      <c r="AXS242"/>
      <c r="AXT242"/>
      <c r="AXU242"/>
      <c r="AXV242"/>
      <c r="AXW242"/>
      <c r="AXX242"/>
      <c r="AXY242"/>
      <c r="AXZ242"/>
      <c r="AYA242"/>
      <c r="AYB242"/>
      <c r="AYC242"/>
      <c r="AYD242"/>
      <c r="AYE242"/>
      <c r="AYF242"/>
      <c r="AYG242"/>
      <c r="AYH242"/>
      <c r="AYI242"/>
      <c r="AYJ242"/>
      <c r="AYK242"/>
      <c r="AYL242"/>
      <c r="AYM242"/>
      <c r="AYN242"/>
      <c r="AYO242"/>
      <c r="AYP242"/>
      <c r="AYQ242"/>
      <c r="AYR242"/>
      <c r="AYS242"/>
      <c r="AYT242"/>
      <c r="AYU242"/>
      <c r="AYV242"/>
      <c r="AYW242"/>
      <c r="AYX242"/>
      <c r="AYY242"/>
      <c r="AYZ242"/>
      <c r="AZA242"/>
      <c r="AZB242"/>
      <c r="AZC242"/>
      <c r="AZD242"/>
      <c r="AZE242"/>
      <c r="AZF242"/>
      <c r="AZG242"/>
      <c r="AZH242"/>
      <c r="AZI242"/>
      <c r="AZJ242"/>
      <c r="AZK242"/>
      <c r="AZL242"/>
      <c r="AZM242"/>
      <c r="AZN242"/>
      <c r="AZO242"/>
      <c r="AZP242"/>
      <c r="AZQ242"/>
      <c r="AZR242"/>
      <c r="AZS242"/>
      <c r="AZT242"/>
      <c r="AZU242"/>
      <c r="AZV242"/>
      <c r="AZW242"/>
      <c r="AZX242"/>
      <c r="AZY242"/>
      <c r="AZZ242"/>
      <c r="BAA242"/>
      <c r="BAB242"/>
      <c r="BAC242"/>
      <c r="BAD242"/>
      <c r="BAE242"/>
      <c r="BAF242"/>
      <c r="BAG242"/>
      <c r="BAH242"/>
      <c r="BAI242"/>
      <c r="BAJ242"/>
      <c r="BAK242"/>
      <c r="BAL242"/>
      <c r="BAM242"/>
      <c r="BAN242"/>
      <c r="BAO242"/>
      <c r="BAP242"/>
      <c r="BAQ242"/>
      <c r="BAR242"/>
      <c r="BAS242"/>
      <c r="BAT242"/>
      <c r="BAU242"/>
      <c r="BAV242"/>
      <c r="BAW242"/>
      <c r="BAX242"/>
      <c r="BAY242"/>
      <c r="BAZ242"/>
      <c r="BBA242"/>
      <c r="BBB242"/>
      <c r="BBC242"/>
      <c r="BBD242"/>
      <c r="BBE242"/>
      <c r="BBF242"/>
      <c r="BBG242"/>
      <c r="BBH242"/>
      <c r="BBI242"/>
      <c r="BBJ242"/>
      <c r="BBK242"/>
      <c r="BBL242"/>
      <c r="BBM242"/>
      <c r="BBN242"/>
      <c r="BBO242"/>
      <c r="BBP242"/>
      <c r="BBQ242"/>
      <c r="BBR242"/>
      <c r="BBS242"/>
      <c r="BBT242"/>
      <c r="BBU242"/>
      <c r="BBV242"/>
      <c r="BBW242"/>
      <c r="BBX242"/>
      <c r="BBY242"/>
      <c r="BBZ242"/>
      <c r="BCA242"/>
      <c r="BCB242"/>
      <c r="BCC242"/>
      <c r="BCD242"/>
      <c r="BCE242"/>
      <c r="BCF242"/>
      <c r="BCG242"/>
      <c r="BCH242"/>
      <c r="BCI242"/>
      <c r="BCJ242"/>
      <c r="BCK242"/>
      <c r="BCL242"/>
      <c r="BCM242"/>
      <c r="BCN242"/>
      <c r="BCO242"/>
      <c r="BCP242"/>
      <c r="BCQ242"/>
      <c r="BCR242"/>
      <c r="BCS242"/>
      <c r="BCT242"/>
      <c r="BCU242"/>
      <c r="BCV242"/>
      <c r="BCW242"/>
      <c r="BCX242"/>
      <c r="BCY242"/>
      <c r="BCZ242"/>
      <c r="BDA242"/>
      <c r="BDB242"/>
      <c r="BDC242"/>
      <c r="BDD242"/>
      <c r="BDE242"/>
      <c r="BDF242"/>
      <c r="BDG242"/>
      <c r="BDH242"/>
      <c r="BDI242"/>
      <c r="BDJ242"/>
      <c r="BDK242"/>
      <c r="BDL242"/>
      <c r="BDM242"/>
      <c r="BDN242"/>
      <c r="BDO242"/>
      <c r="BDP242"/>
      <c r="BDQ242"/>
      <c r="BDR242"/>
      <c r="BDS242"/>
      <c r="BDT242"/>
      <c r="BDU242"/>
      <c r="BDV242"/>
      <c r="BDW242"/>
      <c r="BDX242"/>
      <c r="BDY242"/>
      <c r="BDZ242"/>
      <c r="BEA242"/>
      <c r="BEB242"/>
      <c r="BEC242"/>
      <c r="BED242"/>
      <c r="BEE242"/>
      <c r="BEF242"/>
      <c r="BEG242"/>
      <c r="BEH242"/>
      <c r="BEI242"/>
      <c r="BEJ242"/>
      <c r="BEK242"/>
      <c r="BEL242"/>
      <c r="BEM242"/>
      <c r="BEN242"/>
      <c r="BEO242"/>
      <c r="BEP242"/>
      <c r="BEQ242"/>
      <c r="BER242"/>
      <c r="BES242"/>
      <c r="BET242"/>
      <c r="BEU242"/>
      <c r="BEV242"/>
      <c r="BEW242"/>
      <c r="BEX242"/>
      <c r="BEY242"/>
      <c r="BEZ242"/>
      <c r="BFA242"/>
      <c r="BFB242"/>
      <c r="BFC242"/>
      <c r="BFD242"/>
      <c r="BFE242"/>
      <c r="BFF242"/>
      <c r="BFG242"/>
      <c r="BFH242"/>
      <c r="BFI242"/>
      <c r="BFJ242"/>
      <c r="BFK242"/>
      <c r="BFL242"/>
      <c r="BFM242"/>
      <c r="BFN242"/>
      <c r="BFO242"/>
      <c r="BFP242"/>
      <c r="BFQ242"/>
      <c r="BFR242"/>
      <c r="BFS242"/>
      <c r="BFT242"/>
      <c r="BFU242"/>
      <c r="BFV242"/>
      <c r="BFW242"/>
      <c r="BFX242"/>
      <c r="BFY242"/>
      <c r="BFZ242"/>
      <c r="BGA242"/>
      <c r="BGB242"/>
      <c r="BGC242"/>
      <c r="BGD242"/>
      <c r="BGE242"/>
      <c r="BGF242"/>
      <c r="BGG242"/>
      <c r="BGH242"/>
      <c r="BGI242"/>
      <c r="BGJ242"/>
      <c r="BGK242"/>
      <c r="BGL242"/>
      <c r="BGM242"/>
      <c r="BGN242"/>
      <c r="BGO242"/>
      <c r="BGP242"/>
      <c r="BGQ242"/>
      <c r="BGR242"/>
      <c r="BGS242"/>
      <c r="BGT242"/>
      <c r="BGU242"/>
      <c r="BGV242"/>
      <c r="BGW242"/>
      <c r="BGX242"/>
      <c r="BGY242"/>
      <c r="BGZ242"/>
      <c r="BHA242"/>
      <c r="BHB242"/>
      <c r="BHC242"/>
      <c r="BHD242"/>
      <c r="BHE242"/>
      <c r="BHF242"/>
      <c r="BHG242"/>
      <c r="BHH242"/>
      <c r="BHI242"/>
      <c r="BHJ242"/>
      <c r="BHK242"/>
      <c r="BHL242"/>
      <c r="BHM242"/>
      <c r="BHN242"/>
      <c r="BHO242"/>
      <c r="BHP242"/>
      <c r="BHQ242"/>
      <c r="BHR242"/>
      <c r="BHS242"/>
      <c r="BHT242"/>
      <c r="BHU242"/>
      <c r="BHV242"/>
      <c r="BHW242"/>
      <c r="BHX242"/>
      <c r="BHY242"/>
      <c r="BHZ242"/>
      <c r="BIA242"/>
      <c r="BIB242"/>
      <c r="BIC242"/>
      <c r="BID242"/>
      <c r="BIE242"/>
      <c r="BIF242"/>
      <c r="BIG242"/>
      <c r="BIH242"/>
      <c r="BII242"/>
      <c r="BIJ242"/>
      <c r="BIK242"/>
      <c r="BIL242"/>
      <c r="BIM242"/>
      <c r="BIN242"/>
      <c r="BIO242"/>
      <c r="BIP242"/>
      <c r="BIQ242"/>
      <c r="BIR242"/>
      <c r="BIS242"/>
      <c r="BIT242"/>
      <c r="BIU242"/>
      <c r="BIV242"/>
      <c r="BIW242"/>
      <c r="BIX242"/>
      <c r="BIY242"/>
      <c r="BIZ242"/>
      <c r="BJA242"/>
      <c r="BJB242"/>
      <c r="BJC242"/>
      <c r="BJD242"/>
      <c r="BJE242"/>
      <c r="BJF242"/>
      <c r="BJG242"/>
      <c r="BJH242"/>
      <c r="BJI242"/>
      <c r="BJJ242"/>
      <c r="BJK242"/>
      <c r="BJL242"/>
      <c r="BJM242"/>
      <c r="BJN242"/>
      <c r="BJO242"/>
      <c r="BJP242"/>
      <c r="BJQ242"/>
      <c r="BJR242"/>
      <c r="BJS242"/>
      <c r="BJT242"/>
      <c r="BJU242"/>
      <c r="BJV242"/>
      <c r="BJW242"/>
      <c r="BJX242"/>
      <c r="BJY242"/>
      <c r="BJZ242"/>
      <c r="BKA242"/>
      <c r="BKB242"/>
      <c r="BKC242"/>
      <c r="BKD242"/>
      <c r="BKE242"/>
      <c r="BKF242"/>
      <c r="BKG242"/>
      <c r="BKH242"/>
      <c r="BKI242"/>
      <c r="BKJ242"/>
      <c r="BKK242"/>
      <c r="BKL242"/>
      <c r="BKM242"/>
      <c r="BKN242"/>
      <c r="BKO242"/>
      <c r="BKP242"/>
      <c r="BKQ242"/>
      <c r="BKR242"/>
      <c r="BKS242"/>
      <c r="BKT242"/>
      <c r="BKU242"/>
      <c r="BKV242"/>
      <c r="BKW242"/>
      <c r="BKX242"/>
      <c r="BKY242"/>
      <c r="BKZ242"/>
      <c r="BLA242"/>
      <c r="BLB242"/>
      <c r="BLC242"/>
      <c r="BLD242"/>
      <c r="BLE242"/>
      <c r="BLF242"/>
      <c r="BLG242"/>
      <c r="BLH242"/>
      <c r="BLI242"/>
      <c r="BLJ242"/>
      <c r="BLK242"/>
      <c r="BLL242"/>
      <c r="BLM242"/>
      <c r="BLN242"/>
      <c r="BLO242"/>
      <c r="BLP242"/>
      <c r="BLQ242"/>
      <c r="BLR242"/>
      <c r="BLS242"/>
      <c r="BLT242"/>
      <c r="BLU242"/>
      <c r="BLV242"/>
      <c r="BLW242"/>
      <c r="BLX242"/>
      <c r="BLY242"/>
      <c r="BLZ242"/>
      <c r="BMA242"/>
      <c r="BMB242"/>
      <c r="BMC242"/>
      <c r="BMD242"/>
      <c r="BME242"/>
      <c r="BMF242"/>
      <c r="BMG242"/>
      <c r="BMH242"/>
      <c r="BMI242"/>
      <c r="BMJ242"/>
      <c r="BMK242"/>
      <c r="BML242"/>
      <c r="BMM242"/>
      <c r="BMN242"/>
      <c r="BMO242"/>
      <c r="BMP242"/>
      <c r="BMQ242"/>
      <c r="BMR242"/>
      <c r="BMS242"/>
      <c r="BMT242"/>
      <c r="BMU242"/>
      <c r="BMV242"/>
      <c r="BMW242"/>
      <c r="BMX242"/>
      <c r="BMY242"/>
      <c r="BMZ242"/>
      <c r="BNA242"/>
      <c r="BNB242"/>
      <c r="BNC242"/>
      <c r="BND242"/>
      <c r="BNE242"/>
      <c r="BNF242"/>
      <c r="BNG242"/>
      <c r="BNH242"/>
      <c r="BNI242"/>
      <c r="BNJ242"/>
      <c r="BNK242"/>
      <c r="BNL242"/>
      <c r="BNM242"/>
      <c r="BNN242"/>
      <c r="BNO242"/>
      <c r="BNP242"/>
      <c r="BNQ242"/>
      <c r="BNR242"/>
      <c r="BNS242"/>
      <c r="BNT242"/>
      <c r="BNU242"/>
      <c r="BNV242"/>
      <c r="BNW242"/>
      <c r="BNX242"/>
      <c r="BNY242"/>
      <c r="BNZ242"/>
      <c r="BOA242"/>
      <c r="BOB242"/>
      <c r="BOC242"/>
      <c r="BOD242"/>
      <c r="BOE242"/>
      <c r="BOF242"/>
      <c r="BOG242"/>
      <c r="BOH242"/>
      <c r="BOI242"/>
      <c r="BOJ242"/>
      <c r="BOK242"/>
      <c r="BOL242"/>
      <c r="BOM242"/>
      <c r="BON242"/>
      <c r="BOO242"/>
      <c r="BOP242"/>
      <c r="BOQ242"/>
      <c r="BOR242"/>
      <c r="BOS242"/>
      <c r="BOT242"/>
      <c r="BOU242"/>
      <c r="BOV242"/>
      <c r="BOW242"/>
      <c r="BOX242"/>
      <c r="BOY242"/>
      <c r="BOZ242"/>
      <c r="BPA242"/>
      <c r="BPB242"/>
      <c r="BPC242"/>
      <c r="BPD242"/>
      <c r="BPE242"/>
      <c r="BPF242"/>
      <c r="BPG242"/>
      <c r="BPH242"/>
      <c r="BPI242"/>
      <c r="BPJ242"/>
      <c r="BPK242"/>
      <c r="BPL242"/>
      <c r="BPM242"/>
      <c r="BPN242"/>
      <c r="BPO242"/>
      <c r="BPP242"/>
      <c r="BPQ242"/>
      <c r="BPR242"/>
      <c r="BPS242"/>
      <c r="BPT242"/>
      <c r="BPU242"/>
      <c r="BPV242"/>
      <c r="BPW242"/>
      <c r="BPX242"/>
      <c r="BPY242"/>
      <c r="BPZ242"/>
      <c r="BQA242"/>
      <c r="BQB242"/>
      <c r="BQC242"/>
      <c r="BQD242"/>
      <c r="BQE242"/>
      <c r="BQF242"/>
      <c r="BQG242"/>
      <c r="BQH242"/>
      <c r="BQI242"/>
      <c r="BQJ242"/>
      <c r="BQK242"/>
      <c r="BQL242"/>
      <c r="BQM242"/>
      <c r="BQN242"/>
      <c r="BQO242"/>
      <c r="BQP242"/>
      <c r="BQQ242"/>
      <c r="BQR242"/>
      <c r="BQS242"/>
      <c r="BQT242"/>
      <c r="BQU242"/>
      <c r="BQV242"/>
      <c r="BQW242"/>
      <c r="BQX242"/>
      <c r="BQY242"/>
      <c r="BQZ242"/>
      <c r="BRA242"/>
      <c r="BRB242"/>
      <c r="BRC242"/>
      <c r="BRD242"/>
      <c r="BRE242"/>
      <c r="BRF242"/>
      <c r="BRG242"/>
      <c r="BRH242"/>
      <c r="BRI242"/>
      <c r="BRJ242"/>
      <c r="BRK242"/>
      <c r="BRL242"/>
      <c r="BRM242"/>
      <c r="BRN242"/>
      <c r="BRO242"/>
      <c r="BRP242"/>
      <c r="BRQ242"/>
      <c r="BRR242"/>
      <c r="BRS242"/>
      <c r="BRT242"/>
      <c r="BRU242"/>
      <c r="BRV242"/>
      <c r="BRW242"/>
      <c r="BRX242"/>
      <c r="BRY242"/>
      <c r="BRZ242"/>
      <c r="BSA242"/>
      <c r="BSB242"/>
      <c r="BSC242"/>
      <c r="BSD242"/>
      <c r="BSE242"/>
      <c r="BSF242"/>
      <c r="BSG242"/>
      <c r="BSH242"/>
      <c r="BSI242"/>
      <c r="BSJ242"/>
      <c r="BSK242"/>
      <c r="BSL242"/>
      <c r="BSM242"/>
      <c r="BSN242"/>
      <c r="BSO242"/>
      <c r="BSP242"/>
      <c r="BSQ242"/>
      <c r="BSR242"/>
      <c r="BSS242"/>
      <c r="BST242"/>
      <c r="BSU242"/>
      <c r="BSV242"/>
      <c r="BSW242"/>
      <c r="BSX242"/>
      <c r="BSY242"/>
      <c r="BSZ242"/>
      <c r="BTA242"/>
      <c r="BTB242"/>
      <c r="BTC242"/>
      <c r="BTD242"/>
      <c r="BTE242"/>
      <c r="BTF242"/>
      <c r="BTG242"/>
      <c r="BTH242"/>
      <c r="BTI242"/>
      <c r="BTJ242"/>
      <c r="BTK242"/>
      <c r="BTL242"/>
      <c r="BTM242"/>
      <c r="BTN242"/>
      <c r="BTO242"/>
      <c r="BTP242"/>
      <c r="BTQ242"/>
      <c r="BTR242"/>
      <c r="BTS242"/>
      <c r="BTT242"/>
      <c r="BTU242"/>
      <c r="BTV242"/>
      <c r="BTW242"/>
      <c r="BTX242"/>
      <c r="BTY242"/>
      <c r="BTZ242"/>
      <c r="BUA242"/>
      <c r="BUB242"/>
      <c r="BUC242"/>
      <c r="BUD242"/>
      <c r="BUE242"/>
      <c r="BUF242"/>
      <c r="BUG242"/>
      <c r="BUH242"/>
      <c r="BUI242"/>
      <c r="BUJ242"/>
      <c r="BUK242"/>
      <c r="BUL242"/>
      <c r="BUM242"/>
      <c r="BUN242"/>
      <c r="BUO242"/>
      <c r="BUP242"/>
      <c r="BUQ242"/>
      <c r="BUR242"/>
      <c r="BUS242"/>
      <c r="BUT242"/>
      <c r="BUU242"/>
      <c r="BUV242"/>
      <c r="BUW242"/>
      <c r="BUX242"/>
      <c r="BUY242"/>
      <c r="BUZ242"/>
      <c r="BVA242"/>
      <c r="BVB242"/>
      <c r="BVC242"/>
      <c r="BVD242"/>
      <c r="BVE242"/>
      <c r="BVF242"/>
      <c r="BVG242"/>
      <c r="BVH242"/>
      <c r="BVI242"/>
      <c r="BVJ242"/>
      <c r="BVK242"/>
      <c r="BVL242"/>
      <c r="BVM242"/>
      <c r="BVN242"/>
      <c r="BVO242"/>
      <c r="BVP242"/>
      <c r="BVQ242"/>
      <c r="BVR242"/>
      <c r="BVS242"/>
      <c r="BVT242"/>
      <c r="BVU242"/>
      <c r="BVV242"/>
      <c r="BVW242"/>
      <c r="BVX242"/>
      <c r="BVY242"/>
      <c r="BVZ242"/>
      <c r="BWA242"/>
      <c r="BWB242"/>
      <c r="BWC242"/>
      <c r="BWD242"/>
      <c r="BWE242"/>
      <c r="BWF242"/>
      <c r="BWG242"/>
      <c r="BWH242"/>
      <c r="BWI242"/>
      <c r="BWJ242"/>
      <c r="BWK242"/>
      <c r="BWL242"/>
      <c r="BWM242"/>
      <c r="BWN242"/>
      <c r="BWO242"/>
      <c r="BWP242"/>
      <c r="BWQ242"/>
      <c r="BWR242"/>
      <c r="BWS242"/>
      <c r="BWT242"/>
      <c r="BWU242"/>
      <c r="BWV242"/>
      <c r="BWW242"/>
      <c r="BWX242"/>
      <c r="BWY242"/>
      <c r="BWZ242"/>
      <c r="BXA242"/>
      <c r="BXB242"/>
      <c r="BXC242"/>
      <c r="BXD242"/>
      <c r="BXE242"/>
      <c r="BXF242"/>
      <c r="BXG242"/>
      <c r="BXH242"/>
      <c r="BXI242"/>
      <c r="BXJ242"/>
      <c r="BXK242"/>
      <c r="BXL242"/>
      <c r="BXM242"/>
      <c r="BXN242"/>
      <c r="BXO242"/>
      <c r="BXP242"/>
      <c r="BXQ242"/>
      <c r="BXR242"/>
      <c r="BXS242"/>
      <c r="BXT242"/>
      <c r="BXU242"/>
      <c r="BXV242"/>
      <c r="BXW242"/>
      <c r="BXX242"/>
      <c r="BXY242"/>
      <c r="BXZ242"/>
      <c r="BYA242"/>
      <c r="BYB242"/>
      <c r="BYC242"/>
      <c r="BYD242"/>
      <c r="BYE242"/>
      <c r="BYF242"/>
      <c r="BYG242"/>
      <c r="BYH242"/>
      <c r="BYI242"/>
      <c r="BYJ242"/>
      <c r="BYK242"/>
      <c r="BYL242"/>
      <c r="BYM242"/>
      <c r="BYN242"/>
      <c r="BYO242"/>
      <c r="BYP242"/>
      <c r="BYQ242"/>
      <c r="BYR242"/>
      <c r="BYS242"/>
      <c r="BYT242"/>
      <c r="BYU242"/>
      <c r="BYV242"/>
      <c r="BYW242"/>
      <c r="BYX242"/>
      <c r="BYY242"/>
      <c r="BYZ242"/>
      <c r="BZA242"/>
      <c r="BZB242"/>
      <c r="BZC242"/>
      <c r="BZD242"/>
      <c r="BZE242"/>
      <c r="BZF242"/>
      <c r="BZG242"/>
      <c r="BZH242"/>
      <c r="BZI242"/>
      <c r="BZJ242"/>
      <c r="BZK242"/>
      <c r="BZL242"/>
      <c r="BZM242"/>
      <c r="BZN242"/>
      <c r="BZO242"/>
      <c r="BZP242"/>
      <c r="BZQ242"/>
      <c r="BZR242"/>
      <c r="BZS242"/>
      <c r="BZT242"/>
      <c r="BZU242"/>
      <c r="BZV242"/>
      <c r="BZW242"/>
      <c r="BZX242"/>
      <c r="BZY242"/>
      <c r="BZZ242"/>
      <c r="CAA242"/>
      <c r="CAB242"/>
      <c r="CAC242"/>
      <c r="CAD242"/>
      <c r="CAE242"/>
      <c r="CAF242"/>
      <c r="CAG242"/>
      <c r="CAH242"/>
      <c r="CAI242"/>
      <c r="CAJ242"/>
      <c r="CAK242"/>
      <c r="CAL242"/>
      <c r="CAM242"/>
      <c r="CAN242"/>
      <c r="CAO242"/>
      <c r="CAP242"/>
      <c r="CAQ242"/>
      <c r="CAR242"/>
      <c r="CAS242"/>
      <c r="CAT242"/>
      <c r="CAU242"/>
      <c r="CAV242"/>
      <c r="CAW242"/>
      <c r="CAX242"/>
      <c r="CAY242"/>
      <c r="CAZ242"/>
      <c r="CBA242"/>
      <c r="CBB242"/>
      <c r="CBC242"/>
      <c r="CBD242"/>
      <c r="CBE242"/>
      <c r="CBF242"/>
      <c r="CBG242"/>
      <c r="CBH242"/>
      <c r="CBI242"/>
      <c r="CBJ242"/>
      <c r="CBK242"/>
      <c r="CBL242"/>
      <c r="CBM242"/>
      <c r="CBN242"/>
      <c r="CBO242"/>
      <c r="CBP242"/>
      <c r="CBQ242"/>
      <c r="CBR242"/>
      <c r="CBS242"/>
      <c r="CBT242"/>
      <c r="CBU242"/>
      <c r="CBV242"/>
      <c r="CBW242"/>
      <c r="CBX242"/>
      <c r="CBY242"/>
      <c r="CBZ242"/>
      <c r="CCA242"/>
      <c r="CCB242"/>
      <c r="CCC242"/>
      <c r="CCD242"/>
      <c r="CCE242"/>
      <c r="CCF242"/>
      <c r="CCG242"/>
      <c r="CCH242"/>
      <c r="CCI242"/>
      <c r="CCJ242"/>
      <c r="CCK242"/>
      <c r="CCL242"/>
      <c r="CCM242"/>
      <c r="CCN242"/>
      <c r="CCO242"/>
      <c r="CCP242"/>
      <c r="CCQ242"/>
      <c r="CCR242"/>
      <c r="CCS242"/>
      <c r="CCT242"/>
      <c r="CCU242"/>
      <c r="CCV242"/>
      <c r="CCW242"/>
      <c r="CCX242"/>
      <c r="CCY242"/>
      <c r="CCZ242"/>
      <c r="CDA242"/>
      <c r="CDB242"/>
      <c r="CDC242"/>
      <c r="CDD242"/>
      <c r="CDE242"/>
      <c r="CDF242"/>
      <c r="CDG242"/>
      <c r="CDH242"/>
      <c r="CDI242"/>
      <c r="CDJ242"/>
      <c r="CDK242"/>
      <c r="CDL242"/>
      <c r="CDM242"/>
      <c r="CDN242"/>
      <c r="CDO242"/>
      <c r="CDP242"/>
      <c r="CDQ242"/>
      <c r="CDR242"/>
      <c r="CDS242"/>
      <c r="CDT242"/>
      <c r="CDU242"/>
      <c r="CDV242"/>
      <c r="CDW242"/>
      <c r="CDX242"/>
      <c r="CDY242"/>
      <c r="CDZ242"/>
      <c r="CEA242"/>
      <c r="CEB242"/>
      <c r="CEC242"/>
      <c r="CED242"/>
      <c r="CEE242"/>
      <c r="CEF242"/>
      <c r="CEG242"/>
      <c r="CEH242"/>
      <c r="CEI242"/>
      <c r="CEJ242"/>
      <c r="CEK242"/>
      <c r="CEL242"/>
      <c r="CEM242"/>
      <c r="CEN242"/>
      <c r="CEO242"/>
      <c r="CEP242"/>
      <c r="CEQ242"/>
      <c r="CER242"/>
      <c r="CES242"/>
      <c r="CET242"/>
      <c r="CEU242"/>
      <c r="CEV242"/>
      <c r="CEW242"/>
      <c r="CEX242"/>
      <c r="CEY242"/>
      <c r="CEZ242"/>
      <c r="CFA242"/>
      <c r="CFB242"/>
      <c r="CFC242"/>
      <c r="CFD242"/>
      <c r="CFE242"/>
      <c r="CFF242"/>
      <c r="CFG242"/>
      <c r="CFH242"/>
      <c r="CFI242"/>
      <c r="CFJ242"/>
      <c r="CFK242"/>
      <c r="CFL242"/>
      <c r="CFM242"/>
      <c r="CFN242"/>
      <c r="CFO242"/>
      <c r="CFP242"/>
      <c r="CFQ242"/>
      <c r="CFR242"/>
      <c r="CFS242"/>
      <c r="CFT242"/>
      <c r="CFU242"/>
      <c r="CFV242"/>
      <c r="CFW242"/>
      <c r="CFX242"/>
      <c r="CFY242"/>
      <c r="CFZ242"/>
      <c r="CGA242"/>
      <c r="CGB242"/>
      <c r="CGC242"/>
      <c r="CGD242"/>
      <c r="CGE242"/>
      <c r="CGF242"/>
      <c r="CGG242"/>
      <c r="CGH242"/>
      <c r="CGI242"/>
      <c r="CGJ242"/>
      <c r="CGK242"/>
      <c r="CGL242"/>
      <c r="CGM242"/>
      <c r="CGN242"/>
      <c r="CGO242"/>
      <c r="CGP242"/>
      <c r="CGQ242"/>
      <c r="CGR242"/>
      <c r="CGS242"/>
      <c r="CGT242"/>
      <c r="CGU242"/>
      <c r="CGV242"/>
      <c r="CGW242"/>
      <c r="CGX242"/>
      <c r="CGY242"/>
      <c r="CGZ242"/>
      <c r="CHA242"/>
      <c r="CHB242"/>
      <c r="CHC242"/>
      <c r="CHD242"/>
      <c r="CHE242"/>
      <c r="CHF242"/>
      <c r="CHG242"/>
      <c r="CHH242"/>
      <c r="CHI242"/>
      <c r="CHJ242"/>
      <c r="CHK242"/>
      <c r="CHL242"/>
      <c r="CHM242"/>
      <c r="CHN242"/>
      <c r="CHO242"/>
      <c r="CHP242"/>
      <c r="CHQ242"/>
      <c r="CHR242"/>
      <c r="CHS242"/>
      <c r="CHT242"/>
      <c r="CHU242"/>
      <c r="CHV242"/>
      <c r="CHW242"/>
      <c r="CHX242"/>
      <c r="CHY242"/>
      <c r="CHZ242"/>
      <c r="CIA242"/>
      <c r="CIB242"/>
      <c r="CIC242"/>
      <c r="CID242"/>
      <c r="CIE242"/>
      <c r="CIF242"/>
      <c r="CIG242"/>
      <c r="CIH242"/>
      <c r="CII242"/>
      <c r="CIJ242"/>
      <c r="CIK242"/>
      <c r="CIL242"/>
      <c r="CIM242"/>
      <c r="CIN242"/>
      <c r="CIO242"/>
      <c r="CIP242"/>
      <c r="CIQ242"/>
      <c r="CIR242"/>
      <c r="CIS242"/>
      <c r="CIT242"/>
      <c r="CIU242"/>
      <c r="CIV242"/>
      <c r="CIW242"/>
      <c r="CIX242"/>
      <c r="CIY242"/>
      <c r="CIZ242"/>
      <c r="CJA242"/>
      <c r="CJB242"/>
      <c r="CJC242"/>
      <c r="CJD242"/>
      <c r="CJE242"/>
      <c r="CJF242"/>
      <c r="CJG242"/>
      <c r="CJH242"/>
      <c r="CJI242"/>
      <c r="CJJ242"/>
      <c r="CJK242"/>
      <c r="CJL242"/>
      <c r="CJM242"/>
      <c r="CJN242"/>
      <c r="CJO242"/>
      <c r="CJP242"/>
      <c r="CJQ242"/>
      <c r="CJR242"/>
      <c r="CJS242"/>
      <c r="CJT242"/>
      <c r="CJU242"/>
      <c r="CJV242"/>
      <c r="CJW242"/>
      <c r="CJX242"/>
      <c r="CJY242"/>
      <c r="CJZ242"/>
      <c r="CKA242"/>
      <c r="CKB242"/>
      <c r="CKC242"/>
      <c r="CKD242"/>
      <c r="CKE242"/>
      <c r="CKF242"/>
      <c r="CKG242"/>
      <c r="CKH242"/>
      <c r="CKI242"/>
      <c r="CKJ242"/>
      <c r="CKK242"/>
      <c r="CKL242"/>
      <c r="CKM242"/>
      <c r="CKN242"/>
      <c r="CKO242"/>
      <c r="CKP242"/>
      <c r="CKQ242"/>
      <c r="CKR242"/>
      <c r="CKS242"/>
      <c r="CKT242"/>
      <c r="CKU242"/>
      <c r="CKV242"/>
      <c r="CKW242"/>
      <c r="CKX242"/>
      <c r="CKY242"/>
      <c r="CKZ242"/>
      <c r="CLA242"/>
      <c r="CLB242"/>
      <c r="CLC242"/>
      <c r="CLD242"/>
      <c r="CLE242"/>
      <c r="CLF242"/>
      <c r="CLG242"/>
      <c r="CLH242"/>
      <c r="CLI242"/>
      <c r="CLJ242"/>
      <c r="CLK242"/>
      <c r="CLL242"/>
      <c r="CLM242"/>
      <c r="CLN242"/>
      <c r="CLO242"/>
      <c r="CLP242"/>
      <c r="CLQ242"/>
      <c r="CLR242"/>
      <c r="CLS242"/>
      <c r="CLT242"/>
      <c r="CLU242"/>
      <c r="CLV242"/>
      <c r="CLW242"/>
      <c r="CLX242"/>
      <c r="CLY242"/>
      <c r="CLZ242"/>
      <c r="CMA242"/>
      <c r="CMB242"/>
      <c r="CMC242"/>
      <c r="CMD242"/>
      <c r="CME242"/>
      <c r="CMF242"/>
      <c r="CMG242"/>
      <c r="CMH242"/>
      <c r="CMI242"/>
      <c r="CMJ242"/>
      <c r="CMK242"/>
      <c r="CML242"/>
      <c r="CMM242"/>
      <c r="CMN242"/>
      <c r="CMO242"/>
      <c r="CMP242"/>
      <c r="CMQ242"/>
      <c r="CMR242"/>
      <c r="CMS242"/>
      <c r="CMT242"/>
      <c r="CMU242"/>
      <c r="CMV242"/>
      <c r="CMW242"/>
      <c r="CMX242"/>
      <c r="CMY242"/>
      <c r="CMZ242"/>
      <c r="CNA242"/>
      <c r="CNB242"/>
      <c r="CNC242"/>
      <c r="CND242"/>
      <c r="CNE242"/>
      <c r="CNF242"/>
      <c r="CNG242"/>
      <c r="CNH242"/>
      <c r="CNI242"/>
      <c r="CNJ242"/>
      <c r="CNK242"/>
      <c r="CNL242"/>
      <c r="CNM242"/>
      <c r="CNN242"/>
      <c r="CNO242"/>
      <c r="CNP242"/>
      <c r="CNQ242"/>
      <c r="CNR242"/>
      <c r="CNS242"/>
      <c r="CNT242"/>
      <c r="CNU242"/>
      <c r="CNV242"/>
      <c r="CNW242"/>
      <c r="CNX242"/>
      <c r="CNY242"/>
      <c r="CNZ242"/>
      <c r="COA242"/>
      <c r="COB242"/>
      <c r="COC242"/>
      <c r="COD242"/>
      <c r="COE242"/>
      <c r="COF242"/>
      <c r="COG242"/>
      <c r="COH242"/>
      <c r="COI242"/>
      <c r="COJ242"/>
      <c r="COK242"/>
      <c r="COL242"/>
      <c r="COM242"/>
      <c r="CON242"/>
      <c r="COO242"/>
      <c r="COP242"/>
      <c r="COQ242"/>
      <c r="COR242"/>
      <c r="COS242"/>
      <c r="COT242"/>
      <c r="COU242"/>
      <c r="COV242"/>
      <c r="COW242"/>
      <c r="COX242"/>
      <c r="COY242"/>
      <c r="COZ242"/>
      <c r="CPA242"/>
      <c r="CPB242"/>
      <c r="CPC242"/>
      <c r="CPD242"/>
      <c r="CPE242"/>
      <c r="CPF242"/>
      <c r="CPG242"/>
      <c r="CPH242"/>
      <c r="CPI242"/>
      <c r="CPJ242"/>
      <c r="CPK242"/>
      <c r="CPL242"/>
      <c r="CPM242"/>
      <c r="CPN242"/>
      <c r="CPO242"/>
      <c r="CPP242"/>
      <c r="CPQ242"/>
      <c r="CPR242"/>
      <c r="CPS242"/>
      <c r="CPT242"/>
      <c r="CPU242"/>
      <c r="CPV242"/>
      <c r="CPW242"/>
      <c r="CPX242"/>
      <c r="CPY242"/>
      <c r="CPZ242"/>
      <c r="CQA242"/>
      <c r="CQB242"/>
      <c r="CQC242"/>
      <c r="CQD242"/>
      <c r="CQE242"/>
      <c r="CQF242"/>
      <c r="CQG242"/>
      <c r="CQH242"/>
      <c r="CQI242"/>
      <c r="CQJ242"/>
      <c r="CQK242"/>
      <c r="CQL242"/>
      <c r="CQM242"/>
      <c r="CQN242"/>
      <c r="CQO242"/>
      <c r="CQP242"/>
      <c r="CQQ242"/>
      <c r="CQR242"/>
      <c r="CQS242"/>
      <c r="CQT242"/>
      <c r="CQU242"/>
      <c r="CQV242"/>
      <c r="CQW242"/>
      <c r="CQX242"/>
      <c r="CQY242"/>
      <c r="CQZ242"/>
      <c r="CRA242"/>
      <c r="CRB242"/>
      <c r="CRC242"/>
      <c r="CRD242"/>
      <c r="CRE242"/>
      <c r="CRF242"/>
      <c r="CRG242"/>
      <c r="CRH242"/>
      <c r="CRI242"/>
      <c r="CRJ242"/>
      <c r="CRK242"/>
      <c r="CRL242"/>
      <c r="CRM242"/>
      <c r="CRN242"/>
      <c r="CRO242"/>
      <c r="CRP242"/>
      <c r="CRQ242"/>
      <c r="CRR242"/>
      <c r="CRS242"/>
      <c r="CRT242"/>
      <c r="CRU242"/>
      <c r="CRV242"/>
      <c r="CRW242"/>
      <c r="CRX242"/>
      <c r="CRY242"/>
      <c r="CRZ242"/>
      <c r="CSA242"/>
      <c r="CSB242"/>
      <c r="CSC242"/>
      <c r="CSD242"/>
      <c r="CSE242"/>
      <c r="CSF242"/>
      <c r="CSG242"/>
      <c r="CSH242"/>
      <c r="CSI242"/>
      <c r="CSJ242"/>
      <c r="CSK242"/>
      <c r="CSL242"/>
      <c r="CSM242"/>
      <c r="CSN242"/>
      <c r="CSO242"/>
      <c r="CSP242"/>
      <c r="CSQ242"/>
      <c r="CSR242"/>
      <c r="CSS242"/>
      <c r="CST242"/>
      <c r="CSU242"/>
      <c r="CSV242"/>
      <c r="CSW242"/>
      <c r="CSX242"/>
      <c r="CSY242"/>
      <c r="CSZ242"/>
      <c r="CTA242"/>
      <c r="CTB242"/>
      <c r="CTC242"/>
      <c r="CTD242"/>
      <c r="CTE242"/>
      <c r="CTF242"/>
      <c r="CTG242"/>
      <c r="CTH242"/>
      <c r="CTI242"/>
      <c r="CTJ242"/>
      <c r="CTK242"/>
      <c r="CTL242"/>
      <c r="CTM242"/>
      <c r="CTN242"/>
      <c r="CTO242"/>
      <c r="CTP242"/>
      <c r="CTQ242"/>
      <c r="CTR242"/>
      <c r="CTS242"/>
      <c r="CTT242"/>
      <c r="CTU242"/>
      <c r="CTV242"/>
      <c r="CTW242"/>
      <c r="CTX242"/>
      <c r="CTY242"/>
      <c r="CTZ242"/>
      <c r="CUA242"/>
      <c r="CUB242"/>
      <c r="CUC242"/>
      <c r="CUD242"/>
      <c r="CUE242"/>
      <c r="CUF242"/>
      <c r="CUG242"/>
      <c r="CUH242"/>
      <c r="CUI242"/>
      <c r="CUJ242"/>
      <c r="CUK242"/>
      <c r="CUL242"/>
      <c r="CUM242"/>
      <c r="CUN242"/>
      <c r="CUO242"/>
      <c r="CUP242"/>
      <c r="CUQ242"/>
      <c r="CUR242"/>
      <c r="CUS242"/>
      <c r="CUT242"/>
      <c r="CUU242"/>
      <c r="CUV242"/>
      <c r="CUW242"/>
      <c r="CUX242"/>
      <c r="CUY242"/>
      <c r="CUZ242"/>
      <c r="CVA242"/>
      <c r="CVB242"/>
      <c r="CVC242"/>
      <c r="CVD242"/>
      <c r="CVE242"/>
      <c r="CVF242"/>
      <c r="CVG242"/>
      <c r="CVH242"/>
      <c r="CVI242"/>
      <c r="CVJ242"/>
      <c r="CVK242"/>
      <c r="CVL242"/>
      <c r="CVM242"/>
      <c r="CVN242"/>
      <c r="CVO242"/>
      <c r="CVP242"/>
      <c r="CVQ242"/>
      <c r="CVR242"/>
      <c r="CVS242"/>
      <c r="CVT242"/>
      <c r="CVU242"/>
      <c r="CVV242"/>
      <c r="CVW242"/>
      <c r="CVX242"/>
      <c r="CVY242"/>
      <c r="CVZ242"/>
      <c r="CWA242"/>
      <c r="CWB242"/>
      <c r="CWC242"/>
      <c r="CWD242"/>
      <c r="CWE242"/>
      <c r="CWF242"/>
      <c r="CWG242"/>
      <c r="CWH242"/>
      <c r="CWI242"/>
      <c r="CWJ242"/>
      <c r="CWK242"/>
      <c r="CWL242"/>
      <c r="CWM242"/>
      <c r="CWN242"/>
      <c r="CWO242"/>
      <c r="CWP242"/>
      <c r="CWQ242"/>
      <c r="CWR242"/>
      <c r="CWS242"/>
      <c r="CWT242"/>
      <c r="CWU242"/>
      <c r="CWV242"/>
      <c r="CWW242"/>
      <c r="CWX242"/>
      <c r="CWY242"/>
      <c r="CWZ242"/>
      <c r="CXA242"/>
      <c r="CXB242"/>
      <c r="CXC242"/>
      <c r="CXD242"/>
      <c r="CXE242"/>
      <c r="CXF242"/>
      <c r="CXG242"/>
      <c r="CXH242"/>
      <c r="CXI242"/>
      <c r="CXJ242"/>
      <c r="CXK242"/>
      <c r="CXL242"/>
      <c r="CXM242"/>
      <c r="CXN242"/>
      <c r="CXO242"/>
      <c r="CXP242"/>
      <c r="CXQ242"/>
      <c r="CXR242"/>
      <c r="CXS242"/>
      <c r="CXT242"/>
      <c r="CXU242"/>
      <c r="CXV242"/>
      <c r="CXW242"/>
      <c r="CXX242"/>
      <c r="CXY242"/>
      <c r="CXZ242"/>
      <c r="CYA242"/>
      <c r="CYB242"/>
      <c r="CYC242"/>
      <c r="CYD242"/>
      <c r="CYE242"/>
      <c r="CYF242"/>
      <c r="CYG242"/>
      <c r="CYH242"/>
      <c r="CYI242"/>
      <c r="CYJ242"/>
      <c r="CYK242"/>
      <c r="CYL242"/>
      <c r="CYM242"/>
      <c r="CYN242"/>
      <c r="CYO242"/>
      <c r="CYP242"/>
      <c r="CYQ242"/>
      <c r="CYR242"/>
      <c r="CYS242"/>
      <c r="CYT242"/>
      <c r="CYU242"/>
      <c r="CYV242"/>
      <c r="CYW242"/>
      <c r="CYX242"/>
      <c r="CYY242"/>
      <c r="CYZ242"/>
      <c r="CZA242"/>
      <c r="CZB242"/>
      <c r="CZC242"/>
      <c r="CZD242"/>
      <c r="CZE242"/>
      <c r="CZF242"/>
      <c r="CZG242"/>
      <c r="CZH242"/>
      <c r="CZI242"/>
      <c r="CZJ242"/>
      <c r="CZK242"/>
      <c r="CZL242"/>
      <c r="CZM242"/>
      <c r="CZN242"/>
      <c r="CZO242"/>
      <c r="CZP242"/>
      <c r="CZQ242"/>
      <c r="CZR242"/>
      <c r="CZS242"/>
      <c r="CZT242"/>
      <c r="CZU242"/>
      <c r="CZV242"/>
      <c r="CZW242"/>
      <c r="CZX242"/>
      <c r="CZY242"/>
      <c r="CZZ242"/>
      <c r="DAA242"/>
      <c r="DAB242"/>
      <c r="DAC242"/>
      <c r="DAD242"/>
      <c r="DAE242"/>
      <c r="DAF242"/>
      <c r="DAG242"/>
      <c r="DAH242"/>
      <c r="DAI242"/>
      <c r="DAJ242"/>
      <c r="DAK242"/>
      <c r="DAL242"/>
      <c r="DAM242"/>
      <c r="DAN242"/>
      <c r="DAO242"/>
      <c r="DAP242"/>
      <c r="DAQ242"/>
      <c r="DAR242"/>
      <c r="DAS242"/>
      <c r="DAT242"/>
      <c r="DAU242"/>
      <c r="DAV242"/>
      <c r="DAW242"/>
      <c r="DAX242"/>
      <c r="DAY242"/>
      <c r="DAZ242"/>
      <c r="DBA242"/>
      <c r="DBB242"/>
      <c r="DBC242"/>
      <c r="DBD242"/>
      <c r="DBE242"/>
      <c r="DBF242"/>
      <c r="DBG242"/>
      <c r="DBH242"/>
      <c r="DBI242"/>
      <c r="DBJ242"/>
      <c r="DBK242"/>
      <c r="DBL242"/>
      <c r="DBM242"/>
      <c r="DBN242"/>
      <c r="DBO242"/>
      <c r="DBP242"/>
      <c r="DBQ242"/>
      <c r="DBR242"/>
      <c r="DBS242"/>
      <c r="DBT242"/>
      <c r="DBU242"/>
      <c r="DBV242"/>
      <c r="DBW242"/>
      <c r="DBX242"/>
      <c r="DBY242"/>
      <c r="DBZ242"/>
      <c r="DCA242"/>
      <c r="DCB242"/>
      <c r="DCC242"/>
      <c r="DCD242"/>
      <c r="DCE242"/>
      <c r="DCF242"/>
      <c r="DCG242"/>
      <c r="DCH242"/>
      <c r="DCI242"/>
      <c r="DCJ242"/>
      <c r="DCK242"/>
      <c r="DCL242"/>
      <c r="DCM242"/>
      <c r="DCN242"/>
      <c r="DCO242"/>
      <c r="DCP242"/>
      <c r="DCQ242"/>
      <c r="DCR242"/>
      <c r="DCS242"/>
      <c r="DCT242"/>
      <c r="DCU242"/>
      <c r="DCV242"/>
      <c r="DCW242"/>
      <c r="DCX242"/>
      <c r="DCY242"/>
      <c r="DCZ242"/>
      <c r="DDA242"/>
      <c r="DDB242"/>
      <c r="DDC242"/>
      <c r="DDD242"/>
      <c r="DDE242"/>
      <c r="DDF242"/>
      <c r="DDG242"/>
      <c r="DDH242"/>
      <c r="DDI242"/>
      <c r="DDJ242"/>
      <c r="DDK242"/>
      <c r="DDL242"/>
      <c r="DDM242"/>
      <c r="DDN242"/>
      <c r="DDO242"/>
      <c r="DDP242"/>
      <c r="DDQ242"/>
      <c r="DDR242"/>
      <c r="DDS242"/>
      <c r="DDT242"/>
      <c r="DDU242"/>
      <c r="DDV242"/>
      <c r="DDW242"/>
      <c r="DDX242"/>
      <c r="DDY242"/>
      <c r="DDZ242"/>
      <c r="DEA242"/>
      <c r="DEB242"/>
      <c r="DEC242"/>
      <c r="DED242"/>
      <c r="DEE242"/>
      <c r="DEF242"/>
      <c r="DEG242"/>
      <c r="DEH242"/>
      <c r="DEI242"/>
      <c r="DEJ242"/>
      <c r="DEK242"/>
      <c r="DEL242"/>
      <c r="DEM242"/>
      <c r="DEN242"/>
      <c r="DEO242"/>
      <c r="DEP242"/>
      <c r="DEQ242"/>
      <c r="DER242"/>
      <c r="DES242"/>
      <c r="DET242"/>
      <c r="DEU242"/>
      <c r="DEV242"/>
      <c r="DEW242"/>
      <c r="DEX242"/>
      <c r="DEY242"/>
      <c r="DEZ242"/>
      <c r="DFA242"/>
      <c r="DFB242"/>
      <c r="DFC242"/>
      <c r="DFD242"/>
      <c r="DFE242"/>
      <c r="DFF242"/>
      <c r="DFG242"/>
      <c r="DFH242"/>
      <c r="DFI242"/>
      <c r="DFJ242"/>
      <c r="DFK242"/>
      <c r="DFL242"/>
      <c r="DFM242"/>
      <c r="DFN242"/>
      <c r="DFO242"/>
      <c r="DFP242"/>
      <c r="DFQ242"/>
      <c r="DFR242"/>
      <c r="DFS242"/>
      <c r="DFT242"/>
      <c r="DFU242"/>
      <c r="DFV242"/>
      <c r="DFW242"/>
      <c r="DFX242"/>
      <c r="DFY242"/>
      <c r="DFZ242"/>
      <c r="DGA242"/>
      <c r="DGB242"/>
      <c r="DGC242"/>
      <c r="DGD242"/>
      <c r="DGE242"/>
      <c r="DGF242"/>
      <c r="DGG242"/>
      <c r="DGH242"/>
      <c r="DGI242"/>
      <c r="DGJ242"/>
      <c r="DGK242"/>
      <c r="DGL242"/>
      <c r="DGM242"/>
      <c r="DGN242"/>
      <c r="DGO242"/>
      <c r="DGP242"/>
      <c r="DGQ242"/>
      <c r="DGR242"/>
      <c r="DGS242"/>
      <c r="DGT242"/>
      <c r="DGU242"/>
      <c r="DGV242"/>
      <c r="DGW242"/>
      <c r="DGX242"/>
      <c r="DGY242"/>
      <c r="DGZ242"/>
      <c r="DHA242"/>
      <c r="DHB242"/>
      <c r="DHC242"/>
      <c r="DHD242"/>
      <c r="DHE242"/>
      <c r="DHF242"/>
      <c r="DHG242"/>
      <c r="DHH242"/>
      <c r="DHI242"/>
      <c r="DHJ242"/>
      <c r="DHK242"/>
      <c r="DHL242"/>
      <c r="DHM242"/>
      <c r="DHN242"/>
      <c r="DHO242"/>
      <c r="DHP242"/>
      <c r="DHQ242"/>
      <c r="DHR242"/>
      <c r="DHS242"/>
      <c r="DHT242"/>
      <c r="DHU242"/>
      <c r="DHV242"/>
      <c r="DHW242"/>
      <c r="DHX242"/>
      <c r="DHY242"/>
      <c r="DHZ242"/>
      <c r="DIA242"/>
      <c r="DIB242"/>
      <c r="DIC242"/>
      <c r="DID242"/>
      <c r="DIE242"/>
      <c r="DIF242"/>
      <c r="DIG242"/>
      <c r="DIH242"/>
      <c r="DII242"/>
      <c r="DIJ242"/>
      <c r="DIK242"/>
      <c r="DIL242"/>
      <c r="DIM242"/>
      <c r="DIN242"/>
      <c r="DIO242"/>
      <c r="DIP242"/>
      <c r="DIQ242"/>
      <c r="DIR242"/>
      <c r="DIS242"/>
      <c r="DIT242"/>
      <c r="DIU242"/>
      <c r="DIV242"/>
      <c r="DIW242"/>
      <c r="DIX242"/>
      <c r="DIY242"/>
      <c r="DIZ242"/>
      <c r="DJA242"/>
      <c r="DJB242"/>
      <c r="DJC242"/>
      <c r="DJD242"/>
      <c r="DJE242"/>
      <c r="DJF242"/>
      <c r="DJG242"/>
      <c r="DJH242"/>
      <c r="DJI242"/>
      <c r="DJJ242"/>
      <c r="DJK242"/>
      <c r="DJL242"/>
      <c r="DJM242"/>
      <c r="DJN242"/>
      <c r="DJO242"/>
      <c r="DJP242"/>
      <c r="DJQ242"/>
      <c r="DJR242"/>
      <c r="DJS242"/>
      <c r="DJT242"/>
      <c r="DJU242"/>
      <c r="DJV242"/>
      <c r="DJW242"/>
      <c r="DJX242"/>
      <c r="DJY242"/>
      <c r="DJZ242"/>
      <c r="DKA242"/>
      <c r="DKB242"/>
      <c r="DKC242"/>
      <c r="DKD242"/>
      <c r="DKE242"/>
      <c r="DKF242"/>
      <c r="DKG242"/>
      <c r="DKH242"/>
      <c r="DKI242"/>
      <c r="DKJ242"/>
      <c r="DKK242"/>
      <c r="DKL242"/>
      <c r="DKM242"/>
      <c r="DKN242"/>
      <c r="DKO242"/>
      <c r="DKP242"/>
      <c r="DKQ242"/>
      <c r="DKR242"/>
      <c r="DKS242"/>
      <c r="DKT242"/>
      <c r="DKU242"/>
      <c r="DKV242"/>
      <c r="DKW242"/>
      <c r="DKX242"/>
      <c r="DKY242"/>
      <c r="DKZ242"/>
      <c r="DLA242"/>
      <c r="DLB242"/>
      <c r="DLC242"/>
      <c r="DLD242"/>
      <c r="DLE242"/>
      <c r="DLF242"/>
      <c r="DLG242"/>
      <c r="DLH242"/>
      <c r="DLI242"/>
      <c r="DLJ242"/>
      <c r="DLK242"/>
      <c r="DLL242"/>
      <c r="DLM242"/>
      <c r="DLN242"/>
      <c r="DLO242"/>
      <c r="DLP242"/>
      <c r="DLQ242"/>
      <c r="DLR242"/>
      <c r="DLS242"/>
      <c r="DLT242"/>
      <c r="DLU242"/>
      <c r="DLV242"/>
      <c r="DLW242"/>
      <c r="DLX242"/>
      <c r="DLY242"/>
      <c r="DLZ242"/>
      <c r="DMA242"/>
      <c r="DMB242"/>
      <c r="DMC242"/>
      <c r="DMD242"/>
      <c r="DME242"/>
      <c r="DMF242"/>
      <c r="DMG242"/>
      <c r="DMH242"/>
      <c r="DMI242"/>
      <c r="DMJ242"/>
      <c r="DMK242"/>
      <c r="DML242"/>
      <c r="DMM242"/>
      <c r="DMN242"/>
      <c r="DMO242"/>
      <c r="DMP242"/>
      <c r="DMQ242"/>
      <c r="DMR242"/>
      <c r="DMS242"/>
      <c r="DMT242"/>
      <c r="DMU242"/>
      <c r="DMV242"/>
      <c r="DMW242"/>
      <c r="DMX242"/>
      <c r="DMY242"/>
      <c r="DMZ242"/>
      <c r="DNA242"/>
      <c r="DNB242"/>
      <c r="DNC242"/>
      <c r="DND242"/>
      <c r="DNE242"/>
      <c r="DNF242"/>
      <c r="DNG242"/>
      <c r="DNH242"/>
      <c r="DNI242"/>
      <c r="DNJ242"/>
      <c r="DNK242"/>
      <c r="DNL242"/>
      <c r="DNM242"/>
      <c r="DNN242"/>
      <c r="DNO242"/>
      <c r="DNP242"/>
      <c r="DNQ242"/>
      <c r="DNR242"/>
      <c r="DNS242"/>
      <c r="DNT242"/>
      <c r="DNU242"/>
      <c r="DNV242"/>
      <c r="DNW242"/>
      <c r="DNX242"/>
      <c r="DNY242"/>
      <c r="DNZ242"/>
      <c r="DOA242"/>
      <c r="DOB242"/>
      <c r="DOC242"/>
      <c r="DOD242"/>
      <c r="DOE242"/>
      <c r="DOF242"/>
      <c r="DOG242"/>
      <c r="DOH242"/>
      <c r="DOI242"/>
      <c r="DOJ242"/>
      <c r="DOK242"/>
      <c r="DOL242"/>
      <c r="DOM242"/>
      <c r="DON242"/>
      <c r="DOO242"/>
      <c r="DOP242"/>
      <c r="DOQ242"/>
      <c r="DOR242"/>
      <c r="DOS242"/>
      <c r="DOT242"/>
      <c r="DOU242"/>
      <c r="DOV242"/>
      <c r="DOW242"/>
      <c r="DOX242"/>
      <c r="DOY242"/>
      <c r="DOZ242"/>
      <c r="DPA242"/>
      <c r="DPB242"/>
      <c r="DPC242"/>
      <c r="DPD242"/>
      <c r="DPE242"/>
      <c r="DPF242"/>
      <c r="DPG242"/>
      <c r="DPH242"/>
      <c r="DPI242"/>
      <c r="DPJ242"/>
      <c r="DPK242"/>
      <c r="DPL242"/>
      <c r="DPM242"/>
      <c r="DPN242"/>
      <c r="DPO242"/>
      <c r="DPP242"/>
      <c r="DPQ242"/>
      <c r="DPR242"/>
      <c r="DPS242"/>
      <c r="DPT242"/>
      <c r="DPU242"/>
      <c r="DPV242"/>
      <c r="DPW242"/>
      <c r="DPX242"/>
      <c r="DPY242"/>
      <c r="DPZ242"/>
      <c r="DQA242"/>
      <c r="DQB242"/>
      <c r="DQC242"/>
      <c r="DQD242"/>
      <c r="DQE242"/>
      <c r="DQF242"/>
      <c r="DQG242"/>
      <c r="DQH242"/>
      <c r="DQI242"/>
      <c r="DQJ242"/>
      <c r="DQK242"/>
      <c r="DQL242"/>
      <c r="DQM242"/>
      <c r="DQN242"/>
      <c r="DQO242"/>
      <c r="DQP242"/>
      <c r="DQQ242"/>
      <c r="DQR242"/>
      <c r="DQS242"/>
      <c r="DQT242"/>
      <c r="DQU242"/>
      <c r="DQV242"/>
      <c r="DQW242"/>
      <c r="DQX242"/>
      <c r="DQY242"/>
      <c r="DQZ242"/>
      <c r="DRA242"/>
      <c r="DRB242"/>
      <c r="DRC242"/>
      <c r="DRD242"/>
      <c r="DRE242"/>
      <c r="DRF242"/>
      <c r="DRG242"/>
      <c r="DRH242"/>
      <c r="DRI242"/>
      <c r="DRJ242"/>
      <c r="DRK242"/>
      <c r="DRL242"/>
      <c r="DRM242"/>
      <c r="DRN242"/>
      <c r="DRO242"/>
      <c r="DRP242"/>
      <c r="DRQ242"/>
      <c r="DRR242"/>
      <c r="DRS242"/>
      <c r="DRT242"/>
      <c r="DRU242"/>
      <c r="DRV242"/>
      <c r="DRW242"/>
      <c r="DRX242"/>
      <c r="DRY242"/>
      <c r="DRZ242"/>
      <c r="DSA242"/>
      <c r="DSB242"/>
      <c r="DSC242"/>
      <c r="DSD242"/>
      <c r="DSE242"/>
      <c r="DSF242"/>
      <c r="DSG242"/>
      <c r="DSH242"/>
      <c r="DSI242"/>
      <c r="DSJ242"/>
      <c r="DSK242"/>
      <c r="DSL242"/>
      <c r="DSM242"/>
      <c r="DSN242"/>
      <c r="DSO242"/>
      <c r="DSP242"/>
      <c r="DSQ242"/>
      <c r="DSR242"/>
      <c r="DSS242"/>
      <c r="DST242"/>
      <c r="DSU242"/>
      <c r="DSV242"/>
      <c r="DSW242"/>
      <c r="DSX242"/>
      <c r="DSY242"/>
      <c r="DSZ242"/>
      <c r="DTA242"/>
      <c r="DTB242"/>
      <c r="DTC242"/>
      <c r="DTD242"/>
      <c r="DTE242"/>
      <c r="DTF242"/>
      <c r="DTG242"/>
      <c r="DTH242"/>
      <c r="DTI242"/>
      <c r="DTJ242"/>
      <c r="DTK242"/>
      <c r="DTL242"/>
      <c r="DTM242"/>
      <c r="DTN242"/>
      <c r="DTO242"/>
      <c r="DTP242"/>
      <c r="DTQ242"/>
      <c r="DTR242"/>
      <c r="DTS242"/>
      <c r="DTT242"/>
      <c r="DTU242"/>
      <c r="DTV242"/>
      <c r="DTW242"/>
      <c r="DTX242"/>
      <c r="DTY242"/>
      <c r="DTZ242"/>
      <c r="DUA242"/>
      <c r="DUB242"/>
      <c r="DUC242"/>
      <c r="DUD242"/>
      <c r="DUE242"/>
      <c r="DUF242"/>
      <c r="DUG242"/>
      <c r="DUH242"/>
      <c r="DUI242"/>
      <c r="DUJ242"/>
      <c r="DUK242"/>
      <c r="DUL242"/>
      <c r="DUM242"/>
      <c r="DUN242"/>
      <c r="DUO242"/>
      <c r="DUP242"/>
      <c r="DUQ242"/>
      <c r="DUR242"/>
      <c r="DUS242"/>
      <c r="DUT242"/>
      <c r="DUU242"/>
      <c r="DUV242"/>
      <c r="DUW242"/>
      <c r="DUX242"/>
      <c r="DUY242"/>
      <c r="DUZ242"/>
      <c r="DVA242"/>
      <c r="DVB242"/>
      <c r="DVC242"/>
      <c r="DVD242"/>
      <c r="DVE242"/>
      <c r="DVF242"/>
      <c r="DVG242"/>
      <c r="DVH242"/>
      <c r="DVI242"/>
      <c r="DVJ242"/>
      <c r="DVK242"/>
      <c r="DVL242"/>
      <c r="DVM242"/>
      <c r="DVN242"/>
      <c r="DVO242"/>
      <c r="DVP242"/>
      <c r="DVQ242"/>
      <c r="DVR242"/>
      <c r="DVS242"/>
      <c r="DVT242"/>
      <c r="DVU242"/>
      <c r="DVV242"/>
      <c r="DVW242"/>
      <c r="DVX242"/>
      <c r="DVY242"/>
      <c r="DVZ242"/>
      <c r="DWA242"/>
      <c r="DWB242"/>
      <c r="DWC242"/>
      <c r="DWD242"/>
      <c r="DWE242"/>
      <c r="DWF242"/>
      <c r="DWG242"/>
      <c r="DWH242"/>
      <c r="DWI242"/>
      <c r="DWJ242"/>
      <c r="DWK242"/>
      <c r="DWL242"/>
      <c r="DWM242"/>
      <c r="DWN242"/>
      <c r="DWO242"/>
      <c r="DWP242"/>
      <c r="DWQ242"/>
      <c r="DWR242"/>
      <c r="DWS242"/>
      <c r="DWT242"/>
      <c r="DWU242"/>
      <c r="DWV242"/>
      <c r="DWW242"/>
      <c r="DWX242"/>
      <c r="DWY242"/>
      <c r="DWZ242"/>
      <c r="DXA242"/>
      <c r="DXB242"/>
      <c r="DXC242"/>
      <c r="DXD242"/>
      <c r="DXE242"/>
      <c r="DXF242"/>
      <c r="DXG242"/>
      <c r="DXH242"/>
      <c r="DXI242"/>
      <c r="DXJ242"/>
      <c r="DXK242"/>
      <c r="DXL242"/>
      <c r="DXM242"/>
      <c r="DXN242"/>
      <c r="DXO242"/>
      <c r="DXP242"/>
      <c r="DXQ242"/>
      <c r="DXR242"/>
      <c r="DXS242"/>
      <c r="DXT242"/>
      <c r="DXU242"/>
      <c r="DXV242"/>
      <c r="DXW242"/>
      <c r="DXX242"/>
      <c r="DXY242"/>
      <c r="DXZ242"/>
      <c r="DYA242"/>
      <c r="DYB242"/>
      <c r="DYC242"/>
      <c r="DYD242"/>
      <c r="DYE242"/>
      <c r="DYF242"/>
      <c r="DYG242"/>
      <c r="DYH242"/>
      <c r="DYI242"/>
      <c r="DYJ242"/>
      <c r="DYK242"/>
      <c r="DYL242"/>
      <c r="DYM242"/>
      <c r="DYN242"/>
      <c r="DYO242"/>
      <c r="DYP242"/>
      <c r="DYQ242"/>
      <c r="DYR242"/>
      <c r="DYS242"/>
      <c r="DYT242"/>
      <c r="DYU242"/>
      <c r="DYV242"/>
      <c r="DYW242"/>
      <c r="DYX242"/>
      <c r="DYY242"/>
      <c r="DYZ242"/>
      <c r="DZA242"/>
      <c r="DZB242"/>
      <c r="DZC242"/>
      <c r="DZD242"/>
      <c r="DZE242"/>
      <c r="DZF242"/>
      <c r="DZG242"/>
      <c r="DZH242"/>
      <c r="DZI242"/>
      <c r="DZJ242"/>
      <c r="DZK242"/>
      <c r="DZL242"/>
      <c r="DZM242"/>
      <c r="DZN242"/>
      <c r="DZO242"/>
      <c r="DZP242"/>
      <c r="DZQ242"/>
      <c r="DZR242"/>
      <c r="DZS242"/>
      <c r="DZT242"/>
      <c r="DZU242"/>
      <c r="DZV242"/>
      <c r="DZW242"/>
      <c r="DZX242"/>
      <c r="DZY242"/>
      <c r="DZZ242"/>
      <c r="EAA242"/>
      <c r="EAB242"/>
      <c r="EAC242"/>
      <c r="EAD242"/>
      <c r="EAE242"/>
      <c r="EAF242"/>
      <c r="EAG242"/>
      <c r="EAH242"/>
      <c r="EAI242"/>
      <c r="EAJ242"/>
      <c r="EAK242"/>
      <c r="EAL242"/>
      <c r="EAM242"/>
      <c r="EAN242"/>
      <c r="EAO242"/>
      <c r="EAP242"/>
      <c r="EAQ242"/>
      <c r="EAR242"/>
      <c r="EAS242"/>
      <c r="EAT242"/>
      <c r="EAU242"/>
      <c r="EAV242"/>
      <c r="EAW242"/>
      <c r="EAX242"/>
      <c r="EAY242"/>
      <c r="EAZ242"/>
      <c r="EBA242"/>
      <c r="EBB242"/>
      <c r="EBC242"/>
      <c r="EBD242"/>
      <c r="EBE242"/>
      <c r="EBF242"/>
      <c r="EBG242"/>
      <c r="EBH242"/>
      <c r="EBI242"/>
      <c r="EBJ242"/>
      <c r="EBK242"/>
      <c r="EBL242"/>
      <c r="EBM242"/>
      <c r="EBN242"/>
      <c r="EBO242"/>
      <c r="EBP242"/>
      <c r="EBQ242"/>
      <c r="EBR242"/>
      <c r="EBS242"/>
      <c r="EBT242"/>
      <c r="EBU242"/>
      <c r="EBV242"/>
      <c r="EBW242"/>
      <c r="EBX242"/>
      <c r="EBY242"/>
      <c r="EBZ242"/>
      <c r="ECA242"/>
      <c r="ECB242"/>
      <c r="ECC242"/>
      <c r="ECD242"/>
      <c r="ECE242"/>
      <c r="ECF242"/>
      <c r="ECG242"/>
      <c r="ECH242"/>
      <c r="ECI242"/>
      <c r="ECJ242"/>
      <c r="ECK242"/>
      <c r="ECL242"/>
      <c r="ECM242"/>
      <c r="ECN242"/>
      <c r="ECO242"/>
      <c r="ECP242"/>
      <c r="ECQ242"/>
      <c r="ECR242"/>
      <c r="ECS242"/>
      <c r="ECT242"/>
      <c r="ECU242"/>
      <c r="ECV242"/>
      <c r="ECW242"/>
      <c r="ECX242"/>
      <c r="ECY242"/>
      <c r="ECZ242"/>
      <c r="EDA242"/>
      <c r="EDB242"/>
      <c r="EDC242"/>
      <c r="EDD242"/>
      <c r="EDE242"/>
      <c r="EDF242"/>
      <c r="EDG242"/>
      <c r="EDH242"/>
      <c r="EDI242"/>
      <c r="EDJ242"/>
      <c r="EDK242"/>
      <c r="EDL242"/>
      <c r="EDM242"/>
      <c r="EDN242"/>
      <c r="EDO242"/>
      <c r="EDP242"/>
      <c r="EDQ242"/>
      <c r="EDR242"/>
      <c r="EDS242"/>
      <c r="EDT242"/>
      <c r="EDU242"/>
      <c r="EDV242"/>
      <c r="EDW242"/>
      <c r="EDX242"/>
      <c r="EDY242"/>
      <c r="EDZ242"/>
      <c r="EEA242"/>
      <c r="EEB242"/>
      <c r="EEC242"/>
      <c r="EED242"/>
      <c r="EEE242"/>
      <c r="EEF242"/>
      <c r="EEG242"/>
      <c r="EEH242"/>
      <c r="EEI242"/>
      <c r="EEJ242"/>
      <c r="EEK242"/>
      <c r="EEL242"/>
      <c r="EEM242"/>
      <c r="EEN242"/>
      <c r="EEO242"/>
      <c r="EEP242"/>
      <c r="EEQ242"/>
      <c r="EER242"/>
      <c r="EES242"/>
      <c r="EET242"/>
      <c r="EEU242"/>
      <c r="EEV242"/>
      <c r="EEW242"/>
      <c r="EEX242"/>
      <c r="EEY242"/>
      <c r="EEZ242"/>
      <c r="EFA242"/>
      <c r="EFB242"/>
      <c r="EFC242"/>
      <c r="EFD242"/>
      <c r="EFE242"/>
      <c r="EFF242"/>
      <c r="EFG242"/>
      <c r="EFH242"/>
      <c r="EFI242"/>
      <c r="EFJ242"/>
      <c r="EFK242"/>
      <c r="EFL242"/>
      <c r="EFM242"/>
      <c r="EFN242"/>
      <c r="EFO242"/>
      <c r="EFP242"/>
      <c r="EFQ242"/>
      <c r="EFR242"/>
      <c r="EFS242"/>
      <c r="EFT242"/>
      <c r="EFU242"/>
      <c r="EFV242"/>
      <c r="EFW242"/>
      <c r="EFX242"/>
      <c r="EFY242"/>
      <c r="EFZ242"/>
      <c r="EGA242"/>
      <c r="EGB242"/>
      <c r="EGC242"/>
      <c r="EGD242"/>
      <c r="EGE242"/>
      <c r="EGF242"/>
      <c r="EGG242"/>
      <c r="EGH242"/>
      <c r="EGI242"/>
      <c r="EGJ242"/>
      <c r="EGK242"/>
      <c r="EGL242"/>
      <c r="EGM242"/>
      <c r="EGN242"/>
      <c r="EGO242"/>
      <c r="EGP242"/>
      <c r="EGQ242"/>
      <c r="EGR242"/>
      <c r="EGS242"/>
      <c r="EGT242"/>
      <c r="EGU242"/>
      <c r="EGV242"/>
      <c r="EGW242"/>
      <c r="EGX242"/>
      <c r="EGY242"/>
      <c r="EGZ242"/>
      <c r="EHA242"/>
      <c r="EHB242"/>
      <c r="EHC242"/>
      <c r="EHD242"/>
      <c r="EHE242"/>
      <c r="EHF242"/>
      <c r="EHG242"/>
      <c r="EHH242"/>
      <c r="EHI242"/>
      <c r="EHJ242"/>
      <c r="EHK242"/>
      <c r="EHL242"/>
      <c r="EHM242"/>
      <c r="EHN242"/>
      <c r="EHO242"/>
      <c r="EHP242"/>
      <c r="EHQ242"/>
      <c r="EHR242"/>
      <c r="EHS242"/>
      <c r="EHT242"/>
      <c r="EHU242"/>
      <c r="EHV242"/>
      <c r="EHW242"/>
      <c r="EHX242"/>
      <c r="EHY242"/>
      <c r="EHZ242"/>
      <c r="EIA242"/>
      <c r="EIB242"/>
      <c r="EIC242"/>
      <c r="EID242"/>
      <c r="EIE242"/>
      <c r="EIF242"/>
      <c r="EIG242"/>
      <c r="EIH242"/>
      <c r="EII242"/>
      <c r="EIJ242"/>
      <c r="EIK242"/>
      <c r="EIL242"/>
      <c r="EIM242"/>
      <c r="EIN242"/>
      <c r="EIO242"/>
      <c r="EIP242"/>
      <c r="EIQ242"/>
      <c r="EIR242"/>
      <c r="EIS242"/>
      <c r="EIT242"/>
      <c r="EIU242"/>
      <c r="EIV242"/>
      <c r="EIW242"/>
      <c r="EIX242"/>
      <c r="EIY242"/>
      <c r="EIZ242"/>
      <c r="EJA242"/>
      <c r="EJB242"/>
      <c r="EJC242"/>
      <c r="EJD242"/>
      <c r="EJE242"/>
      <c r="EJF242"/>
      <c r="EJG242"/>
      <c r="EJH242"/>
      <c r="EJI242"/>
      <c r="EJJ242"/>
      <c r="EJK242"/>
      <c r="EJL242"/>
      <c r="EJM242"/>
      <c r="EJN242"/>
      <c r="EJO242"/>
      <c r="EJP242"/>
      <c r="EJQ242"/>
      <c r="EJR242"/>
      <c r="EJS242"/>
      <c r="EJT242"/>
      <c r="EJU242"/>
      <c r="EJV242"/>
      <c r="EJW242"/>
      <c r="EJX242"/>
      <c r="EJY242"/>
      <c r="EJZ242"/>
      <c r="EKA242"/>
      <c r="EKB242"/>
      <c r="EKC242"/>
      <c r="EKD242"/>
      <c r="EKE242"/>
      <c r="EKF242"/>
      <c r="EKG242"/>
      <c r="EKH242"/>
      <c r="EKI242"/>
      <c r="EKJ242"/>
      <c r="EKK242"/>
      <c r="EKL242"/>
      <c r="EKM242"/>
      <c r="EKN242"/>
      <c r="EKO242"/>
      <c r="EKP242"/>
      <c r="EKQ242"/>
      <c r="EKR242"/>
      <c r="EKS242"/>
      <c r="EKT242"/>
      <c r="EKU242"/>
      <c r="EKV242"/>
      <c r="EKW242"/>
      <c r="EKX242"/>
      <c r="EKY242"/>
      <c r="EKZ242"/>
      <c r="ELA242"/>
      <c r="ELB242"/>
      <c r="ELC242"/>
      <c r="ELD242"/>
      <c r="ELE242"/>
      <c r="ELF242"/>
      <c r="ELG242"/>
      <c r="ELH242"/>
      <c r="ELI242"/>
      <c r="ELJ242"/>
      <c r="ELK242"/>
      <c r="ELL242"/>
      <c r="ELM242"/>
      <c r="ELN242"/>
      <c r="ELO242"/>
      <c r="ELP242"/>
      <c r="ELQ242"/>
      <c r="ELR242"/>
      <c r="ELS242"/>
      <c r="ELT242"/>
      <c r="ELU242"/>
      <c r="ELV242"/>
      <c r="ELW242"/>
      <c r="ELX242"/>
      <c r="ELY242"/>
      <c r="ELZ242"/>
      <c r="EMA242"/>
      <c r="EMB242"/>
      <c r="EMC242"/>
      <c r="EMD242"/>
      <c r="EME242"/>
      <c r="EMF242"/>
      <c r="EMG242"/>
      <c r="EMH242"/>
      <c r="EMI242"/>
      <c r="EMJ242"/>
      <c r="EMK242"/>
      <c r="EML242"/>
      <c r="EMM242"/>
      <c r="EMN242"/>
      <c r="EMO242"/>
      <c r="EMP242"/>
      <c r="EMQ242"/>
      <c r="EMR242"/>
      <c r="EMS242"/>
      <c r="EMT242"/>
      <c r="EMU242"/>
      <c r="EMV242"/>
      <c r="EMW242"/>
      <c r="EMX242"/>
      <c r="EMY242"/>
      <c r="EMZ242"/>
      <c r="ENA242"/>
      <c r="ENB242"/>
      <c r="ENC242"/>
      <c r="END242"/>
      <c r="ENE242"/>
      <c r="ENF242"/>
      <c r="ENG242"/>
      <c r="ENH242"/>
      <c r="ENI242"/>
      <c r="ENJ242"/>
      <c r="ENK242"/>
      <c r="ENL242"/>
      <c r="ENM242"/>
      <c r="ENN242"/>
      <c r="ENO242"/>
      <c r="ENP242"/>
      <c r="ENQ242"/>
      <c r="ENR242"/>
      <c r="ENS242"/>
      <c r="ENT242"/>
      <c r="ENU242"/>
      <c r="ENV242"/>
      <c r="ENW242"/>
      <c r="ENX242"/>
      <c r="ENY242"/>
      <c r="ENZ242"/>
      <c r="EOA242"/>
      <c r="EOB242"/>
      <c r="EOC242"/>
      <c r="EOD242"/>
      <c r="EOE242"/>
      <c r="EOF242"/>
      <c r="EOG242"/>
      <c r="EOH242"/>
      <c r="EOI242"/>
      <c r="EOJ242"/>
      <c r="EOK242"/>
      <c r="EOL242"/>
      <c r="EOM242"/>
      <c r="EON242"/>
      <c r="EOO242"/>
      <c r="EOP242"/>
      <c r="EOQ242"/>
      <c r="EOR242"/>
      <c r="EOS242"/>
      <c r="EOT242"/>
      <c r="EOU242"/>
      <c r="EOV242"/>
      <c r="EOW242"/>
      <c r="EOX242"/>
      <c r="EOY242"/>
      <c r="EOZ242"/>
      <c r="EPA242"/>
      <c r="EPB242"/>
      <c r="EPC242"/>
      <c r="EPD242"/>
      <c r="EPE242"/>
      <c r="EPF242"/>
      <c r="EPG242"/>
      <c r="EPH242"/>
      <c r="EPI242"/>
      <c r="EPJ242"/>
      <c r="EPK242"/>
      <c r="EPL242"/>
      <c r="EPM242"/>
      <c r="EPN242"/>
      <c r="EPO242"/>
      <c r="EPP242"/>
      <c r="EPQ242"/>
      <c r="EPR242"/>
      <c r="EPS242"/>
      <c r="EPT242"/>
      <c r="EPU242"/>
      <c r="EPV242"/>
      <c r="EPW242"/>
      <c r="EPX242"/>
      <c r="EPY242"/>
      <c r="EPZ242"/>
      <c r="EQA242"/>
      <c r="EQB242"/>
      <c r="EQC242"/>
      <c r="EQD242"/>
      <c r="EQE242"/>
      <c r="EQF242"/>
      <c r="EQG242"/>
      <c r="EQH242"/>
      <c r="EQI242"/>
      <c r="EQJ242"/>
      <c r="EQK242"/>
      <c r="EQL242"/>
      <c r="EQM242"/>
      <c r="EQN242"/>
      <c r="EQO242"/>
      <c r="EQP242"/>
      <c r="EQQ242"/>
      <c r="EQR242"/>
      <c r="EQS242"/>
      <c r="EQT242"/>
      <c r="EQU242"/>
      <c r="EQV242"/>
      <c r="EQW242"/>
      <c r="EQX242"/>
      <c r="EQY242"/>
      <c r="EQZ242"/>
      <c r="ERA242"/>
      <c r="ERB242"/>
      <c r="ERC242"/>
      <c r="ERD242"/>
      <c r="ERE242"/>
      <c r="ERF242"/>
      <c r="ERG242"/>
      <c r="ERH242"/>
      <c r="ERI242"/>
      <c r="ERJ242"/>
      <c r="ERK242"/>
      <c r="ERL242"/>
      <c r="ERM242"/>
      <c r="ERN242"/>
      <c r="ERO242"/>
      <c r="ERP242"/>
      <c r="ERQ242"/>
      <c r="ERR242"/>
      <c r="ERS242"/>
      <c r="ERT242"/>
      <c r="ERU242"/>
      <c r="ERV242"/>
      <c r="ERW242"/>
      <c r="ERX242"/>
      <c r="ERY242"/>
      <c r="ERZ242"/>
      <c r="ESA242"/>
      <c r="ESB242"/>
      <c r="ESC242"/>
      <c r="ESD242"/>
      <c r="ESE242"/>
      <c r="ESF242"/>
      <c r="ESG242"/>
      <c r="ESH242"/>
      <c r="ESI242"/>
      <c r="ESJ242"/>
      <c r="ESK242"/>
      <c r="ESL242"/>
      <c r="ESM242"/>
      <c r="ESN242"/>
      <c r="ESO242"/>
      <c r="ESP242"/>
      <c r="ESQ242"/>
      <c r="ESR242"/>
      <c r="ESS242"/>
      <c r="EST242"/>
      <c r="ESU242"/>
      <c r="ESV242"/>
      <c r="ESW242"/>
      <c r="ESX242"/>
      <c r="ESY242"/>
      <c r="ESZ242"/>
      <c r="ETA242"/>
      <c r="ETB242"/>
      <c r="ETC242"/>
      <c r="ETD242"/>
      <c r="ETE242"/>
      <c r="ETF242"/>
      <c r="ETG242"/>
      <c r="ETH242"/>
      <c r="ETI242"/>
      <c r="ETJ242"/>
      <c r="ETK242"/>
      <c r="ETL242"/>
      <c r="ETM242"/>
      <c r="ETN242"/>
      <c r="ETO242"/>
      <c r="ETP242"/>
      <c r="ETQ242"/>
      <c r="ETR242"/>
      <c r="ETS242"/>
      <c r="ETT242"/>
      <c r="ETU242"/>
      <c r="ETV242"/>
      <c r="ETW242"/>
      <c r="ETX242"/>
      <c r="ETY242"/>
      <c r="ETZ242"/>
      <c r="EUA242"/>
      <c r="EUB242"/>
      <c r="EUC242"/>
      <c r="EUD242"/>
      <c r="EUE242"/>
      <c r="EUF242"/>
      <c r="EUG242"/>
      <c r="EUH242"/>
      <c r="EUI242"/>
      <c r="EUJ242"/>
      <c r="EUK242"/>
      <c r="EUL242"/>
      <c r="EUM242"/>
      <c r="EUN242"/>
      <c r="EUO242"/>
      <c r="EUP242"/>
      <c r="EUQ242"/>
      <c r="EUR242"/>
      <c r="EUS242"/>
      <c r="EUT242"/>
      <c r="EUU242"/>
      <c r="EUV242"/>
      <c r="EUW242"/>
      <c r="EUX242"/>
      <c r="EUY242"/>
      <c r="EUZ242"/>
      <c r="EVA242"/>
      <c r="EVB242"/>
      <c r="EVC242"/>
      <c r="EVD242"/>
      <c r="EVE242"/>
      <c r="EVF242"/>
      <c r="EVG242"/>
      <c r="EVH242"/>
      <c r="EVI242"/>
      <c r="EVJ242"/>
      <c r="EVK242"/>
      <c r="EVL242"/>
      <c r="EVM242"/>
      <c r="EVN242"/>
      <c r="EVO242"/>
      <c r="EVP242"/>
      <c r="EVQ242"/>
      <c r="EVR242"/>
      <c r="EVS242"/>
      <c r="EVT242"/>
      <c r="EVU242"/>
      <c r="EVV242"/>
      <c r="EVW242"/>
      <c r="EVX242"/>
      <c r="EVY242"/>
      <c r="EVZ242"/>
      <c r="EWA242"/>
      <c r="EWB242"/>
      <c r="EWC242"/>
      <c r="EWD242"/>
      <c r="EWE242"/>
      <c r="EWF242"/>
      <c r="EWG242"/>
      <c r="EWH242"/>
      <c r="EWI242"/>
      <c r="EWJ242"/>
      <c r="EWK242"/>
      <c r="EWL242"/>
      <c r="EWM242"/>
      <c r="EWN242"/>
      <c r="EWO242"/>
      <c r="EWP242"/>
      <c r="EWQ242"/>
      <c r="EWR242"/>
      <c r="EWS242"/>
      <c r="EWT242"/>
      <c r="EWU242"/>
      <c r="EWV242"/>
      <c r="EWW242"/>
      <c r="EWX242"/>
      <c r="EWY242"/>
      <c r="EWZ242"/>
      <c r="EXA242"/>
      <c r="EXB242"/>
      <c r="EXC242"/>
      <c r="EXD242"/>
      <c r="EXE242"/>
      <c r="EXF242"/>
      <c r="EXG242"/>
      <c r="EXH242"/>
      <c r="EXI242"/>
      <c r="EXJ242"/>
      <c r="EXK242"/>
      <c r="EXL242"/>
      <c r="EXM242"/>
      <c r="EXN242"/>
      <c r="EXO242"/>
      <c r="EXP242"/>
      <c r="EXQ242"/>
      <c r="EXR242"/>
      <c r="EXS242"/>
      <c r="EXT242"/>
      <c r="EXU242"/>
      <c r="EXV242"/>
      <c r="EXW242"/>
      <c r="EXX242"/>
      <c r="EXY242"/>
      <c r="EXZ242"/>
      <c r="EYA242"/>
      <c r="EYB242"/>
      <c r="EYC242"/>
      <c r="EYD242"/>
      <c r="EYE242"/>
      <c r="EYF242"/>
      <c r="EYG242"/>
      <c r="EYH242"/>
      <c r="EYI242"/>
      <c r="EYJ242"/>
      <c r="EYK242"/>
      <c r="EYL242"/>
      <c r="EYM242"/>
      <c r="EYN242"/>
      <c r="EYO242"/>
      <c r="EYP242"/>
      <c r="EYQ242"/>
      <c r="EYR242"/>
      <c r="EYS242"/>
      <c r="EYT242"/>
      <c r="EYU242"/>
      <c r="EYV242"/>
      <c r="EYW242"/>
      <c r="EYX242"/>
      <c r="EYY242"/>
      <c r="EYZ242"/>
      <c r="EZA242"/>
      <c r="EZB242"/>
      <c r="EZC242"/>
      <c r="EZD242"/>
      <c r="EZE242"/>
      <c r="EZF242"/>
      <c r="EZG242"/>
      <c r="EZH242"/>
      <c r="EZI242"/>
      <c r="EZJ242"/>
      <c r="EZK242"/>
      <c r="EZL242"/>
      <c r="EZM242"/>
      <c r="EZN242"/>
      <c r="EZO242"/>
      <c r="EZP242"/>
      <c r="EZQ242"/>
      <c r="EZR242"/>
      <c r="EZS242"/>
      <c r="EZT242"/>
      <c r="EZU242"/>
      <c r="EZV242"/>
      <c r="EZW242"/>
      <c r="EZX242"/>
      <c r="EZY242"/>
      <c r="EZZ242"/>
      <c r="FAA242"/>
      <c r="FAB242"/>
      <c r="FAC242"/>
      <c r="FAD242"/>
      <c r="FAE242"/>
      <c r="FAF242"/>
      <c r="FAG242"/>
      <c r="FAH242"/>
      <c r="FAI242"/>
      <c r="FAJ242"/>
      <c r="FAK242"/>
      <c r="FAL242"/>
      <c r="FAM242"/>
      <c r="FAN242"/>
      <c r="FAO242"/>
      <c r="FAP242"/>
      <c r="FAQ242"/>
      <c r="FAR242"/>
      <c r="FAS242"/>
      <c r="FAT242"/>
      <c r="FAU242"/>
      <c r="FAV242"/>
      <c r="FAW242"/>
      <c r="FAX242"/>
      <c r="FAY242"/>
      <c r="FAZ242"/>
      <c r="FBA242"/>
      <c r="FBB242"/>
      <c r="FBC242"/>
      <c r="FBD242"/>
      <c r="FBE242"/>
      <c r="FBF242"/>
      <c r="FBG242"/>
      <c r="FBH242"/>
      <c r="FBI242"/>
      <c r="FBJ242"/>
      <c r="FBK242"/>
      <c r="FBL242"/>
      <c r="FBM242"/>
      <c r="FBN242"/>
      <c r="FBO242"/>
      <c r="FBP242"/>
      <c r="FBQ242"/>
      <c r="FBR242"/>
      <c r="FBS242"/>
      <c r="FBT242"/>
      <c r="FBU242"/>
      <c r="FBV242"/>
      <c r="FBW242"/>
      <c r="FBX242"/>
      <c r="FBY242"/>
      <c r="FBZ242"/>
      <c r="FCA242"/>
      <c r="FCB242"/>
      <c r="FCC242"/>
      <c r="FCD242"/>
      <c r="FCE242"/>
      <c r="FCF242"/>
      <c r="FCG242"/>
      <c r="FCH242"/>
      <c r="FCI242"/>
      <c r="FCJ242"/>
      <c r="FCK242"/>
      <c r="FCL242"/>
      <c r="FCM242"/>
      <c r="FCN242"/>
      <c r="FCO242"/>
      <c r="FCP242"/>
      <c r="FCQ242"/>
      <c r="FCR242"/>
      <c r="FCS242"/>
      <c r="FCT242"/>
      <c r="FCU242"/>
      <c r="FCV242"/>
      <c r="FCW242"/>
      <c r="FCX242"/>
      <c r="FCY242"/>
      <c r="FCZ242"/>
      <c r="FDA242"/>
      <c r="FDB242"/>
      <c r="FDC242"/>
      <c r="FDD242"/>
      <c r="FDE242"/>
      <c r="FDF242"/>
      <c r="FDG242"/>
      <c r="FDH242"/>
      <c r="FDI242"/>
      <c r="FDJ242"/>
      <c r="FDK242"/>
      <c r="FDL242"/>
      <c r="FDM242"/>
      <c r="FDN242"/>
      <c r="FDO242"/>
      <c r="FDP242"/>
      <c r="FDQ242"/>
      <c r="FDR242"/>
      <c r="FDS242"/>
      <c r="FDT242"/>
      <c r="FDU242"/>
      <c r="FDV242"/>
      <c r="FDW242"/>
      <c r="FDX242"/>
      <c r="FDY242"/>
      <c r="FDZ242"/>
      <c r="FEA242"/>
      <c r="FEB242"/>
      <c r="FEC242"/>
      <c r="FED242"/>
      <c r="FEE242"/>
      <c r="FEF242"/>
      <c r="FEG242"/>
      <c r="FEH242"/>
      <c r="FEI242"/>
      <c r="FEJ242"/>
      <c r="FEK242"/>
      <c r="FEL242"/>
      <c r="FEM242"/>
      <c r="FEN242"/>
      <c r="FEO242"/>
      <c r="FEP242"/>
      <c r="FEQ242"/>
      <c r="FER242"/>
      <c r="FES242"/>
      <c r="FET242"/>
      <c r="FEU242"/>
      <c r="FEV242"/>
      <c r="FEW242"/>
      <c r="FEX242"/>
      <c r="FEY242"/>
      <c r="FEZ242"/>
      <c r="FFA242"/>
      <c r="FFB242"/>
      <c r="FFC242"/>
      <c r="FFD242"/>
      <c r="FFE242"/>
      <c r="FFF242"/>
      <c r="FFG242"/>
      <c r="FFH242"/>
      <c r="FFI242"/>
      <c r="FFJ242"/>
      <c r="FFK242"/>
      <c r="FFL242"/>
      <c r="FFM242"/>
      <c r="FFN242"/>
      <c r="FFO242"/>
      <c r="FFP242"/>
      <c r="FFQ242"/>
      <c r="FFR242"/>
      <c r="FFS242"/>
      <c r="FFT242"/>
      <c r="FFU242"/>
      <c r="FFV242"/>
      <c r="FFW242"/>
      <c r="FFX242"/>
      <c r="FFY242"/>
      <c r="FFZ242"/>
      <c r="FGA242"/>
      <c r="FGB242"/>
      <c r="FGC242"/>
      <c r="FGD242"/>
      <c r="FGE242"/>
      <c r="FGF242"/>
      <c r="FGG242"/>
      <c r="FGH242"/>
      <c r="FGI242"/>
      <c r="FGJ242"/>
      <c r="FGK242"/>
      <c r="FGL242"/>
      <c r="FGM242"/>
      <c r="FGN242"/>
      <c r="FGO242"/>
      <c r="FGP242"/>
      <c r="FGQ242"/>
      <c r="FGR242"/>
      <c r="FGS242"/>
      <c r="FGT242"/>
      <c r="FGU242"/>
      <c r="FGV242"/>
      <c r="FGW242"/>
      <c r="FGX242"/>
      <c r="FGY242"/>
      <c r="FGZ242"/>
      <c r="FHA242"/>
      <c r="FHB242"/>
      <c r="FHC242"/>
      <c r="FHD242"/>
      <c r="FHE242"/>
      <c r="FHF242"/>
      <c r="FHG242"/>
      <c r="FHH242"/>
      <c r="FHI242"/>
      <c r="FHJ242"/>
      <c r="FHK242"/>
      <c r="FHL242"/>
      <c r="FHM242"/>
      <c r="FHN242"/>
      <c r="FHO242"/>
      <c r="FHP242"/>
      <c r="FHQ242"/>
      <c r="FHR242"/>
      <c r="FHS242"/>
      <c r="FHT242"/>
      <c r="FHU242"/>
      <c r="FHV242"/>
      <c r="FHW242"/>
      <c r="FHX242"/>
      <c r="FHY242"/>
      <c r="FHZ242"/>
      <c r="FIA242"/>
      <c r="FIB242"/>
      <c r="FIC242"/>
      <c r="FID242"/>
      <c r="FIE242"/>
      <c r="FIF242"/>
      <c r="FIG242"/>
      <c r="FIH242"/>
      <c r="FII242"/>
      <c r="FIJ242"/>
      <c r="FIK242"/>
      <c r="FIL242"/>
      <c r="FIM242"/>
      <c r="FIN242"/>
      <c r="FIO242"/>
      <c r="FIP242"/>
      <c r="FIQ242"/>
      <c r="FIR242"/>
      <c r="FIS242"/>
      <c r="FIT242"/>
      <c r="FIU242"/>
      <c r="FIV242"/>
      <c r="FIW242"/>
      <c r="FIX242"/>
      <c r="FIY242"/>
      <c r="FIZ242"/>
      <c r="FJA242"/>
      <c r="FJB242"/>
      <c r="FJC242"/>
      <c r="FJD242"/>
      <c r="FJE242"/>
      <c r="FJF242"/>
      <c r="FJG242"/>
      <c r="FJH242"/>
      <c r="FJI242"/>
      <c r="FJJ242"/>
      <c r="FJK242"/>
      <c r="FJL242"/>
      <c r="FJM242"/>
      <c r="FJN242"/>
      <c r="FJO242"/>
      <c r="FJP242"/>
      <c r="FJQ242"/>
      <c r="FJR242"/>
      <c r="FJS242"/>
      <c r="FJT242"/>
      <c r="FJU242"/>
      <c r="FJV242"/>
      <c r="FJW242"/>
      <c r="FJX242"/>
      <c r="FJY242"/>
      <c r="FJZ242"/>
      <c r="FKA242"/>
      <c r="FKB242"/>
      <c r="FKC242"/>
      <c r="FKD242"/>
      <c r="FKE242"/>
      <c r="FKF242"/>
      <c r="FKG242"/>
      <c r="FKH242"/>
      <c r="FKI242"/>
      <c r="FKJ242"/>
      <c r="FKK242"/>
      <c r="FKL242"/>
      <c r="FKM242"/>
      <c r="FKN242"/>
      <c r="FKO242"/>
      <c r="FKP242"/>
      <c r="FKQ242"/>
      <c r="FKR242"/>
      <c r="FKS242"/>
      <c r="FKT242"/>
      <c r="FKU242"/>
      <c r="FKV242"/>
      <c r="FKW242"/>
      <c r="FKX242"/>
      <c r="FKY242"/>
      <c r="FKZ242"/>
      <c r="FLA242"/>
      <c r="FLB242"/>
      <c r="FLC242"/>
      <c r="FLD242"/>
      <c r="FLE242"/>
      <c r="FLF242"/>
      <c r="FLG242"/>
      <c r="FLH242"/>
      <c r="FLI242"/>
      <c r="FLJ242"/>
      <c r="FLK242"/>
      <c r="FLL242"/>
      <c r="FLM242"/>
      <c r="FLN242"/>
      <c r="FLO242"/>
      <c r="FLP242"/>
      <c r="FLQ242"/>
      <c r="FLR242"/>
      <c r="FLS242"/>
      <c r="FLT242"/>
      <c r="FLU242"/>
      <c r="FLV242"/>
      <c r="FLW242"/>
      <c r="FLX242"/>
      <c r="FLY242"/>
      <c r="FLZ242"/>
      <c r="FMA242"/>
      <c r="FMB242"/>
      <c r="FMC242"/>
      <c r="FMD242"/>
      <c r="FME242"/>
      <c r="FMF242"/>
      <c r="FMG242"/>
      <c r="FMH242"/>
      <c r="FMI242"/>
      <c r="FMJ242"/>
      <c r="FMK242"/>
      <c r="FML242"/>
      <c r="FMM242"/>
      <c r="FMN242"/>
      <c r="FMO242"/>
      <c r="FMP242"/>
      <c r="FMQ242"/>
      <c r="FMR242"/>
      <c r="FMS242"/>
      <c r="FMT242"/>
      <c r="FMU242"/>
      <c r="FMV242"/>
      <c r="FMW242"/>
      <c r="FMX242"/>
      <c r="FMY242"/>
      <c r="FMZ242"/>
      <c r="FNA242"/>
      <c r="FNB242"/>
      <c r="FNC242"/>
      <c r="FND242"/>
      <c r="FNE242"/>
      <c r="FNF242"/>
      <c r="FNG242"/>
      <c r="FNH242"/>
      <c r="FNI242"/>
      <c r="FNJ242"/>
      <c r="FNK242"/>
      <c r="FNL242"/>
      <c r="FNM242"/>
      <c r="FNN242"/>
      <c r="FNO242"/>
      <c r="FNP242"/>
      <c r="FNQ242"/>
      <c r="FNR242"/>
      <c r="FNS242"/>
      <c r="FNT242"/>
      <c r="FNU242"/>
      <c r="FNV242"/>
      <c r="FNW242"/>
      <c r="FNX242"/>
      <c r="FNY242"/>
      <c r="FNZ242"/>
      <c r="FOA242"/>
      <c r="FOB242"/>
      <c r="FOC242"/>
      <c r="FOD242"/>
      <c r="FOE242"/>
      <c r="FOF242"/>
      <c r="FOG242"/>
      <c r="FOH242"/>
      <c r="FOI242"/>
      <c r="FOJ242"/>
      <c r="FOK242"/>
      <c r="FOL242"/>
      <c r="FOM242"/>
      <c r="FON242"/>
      <c r="FOO242"/>
      <c r="FOP242"/>
      <c r="FOQ242"/>
      <c r="FOR242"/>
      <c r="FOS242"/>
      <c r="FOT242"/>
      <c r="FOU242"/>
      <c r="FOV242"/>
      <c r="FOW242"/>
      <c r="FOX242"/>
      <c r="FOY242"/>
      <c r="FOZ242"/>
      <c r="FPA242"/>
      <c r="FPB242"/>
      <c r="FPC242"/>
      <c r="FPD242"/>
      <c r="FPE242"/>
      <c r="FPF242"/>
      <c r="FPG242"/>
      <c r="FPH242"/>
      <c r="FPI242"/>
      <c r="FPJ242"/>
      <c r="FPK242"/>
      <c r="FPL242"/>
      <c r="FPM242"/>
      <c r="FPN242"/>
      <c r="FPO242"/>
      <c r="FPP242"/>
      <c r="FPQ242"/>
      <c r="FPR242"/>
      <c r="FPS242"/>
      <c r="FPT242"/>
      <c r="FPU242"/>
      <c r="FPV242"/>
      <c r="FPW242"/>
      <c r="FPX242"/>
      <c r="FPY242"/>
      <c r="FPZ242"/>
      <c r="FQA242"/>
      <c r="FQB242"/>
      <c r="FQC242"/>
      <c r="FQD242"/>
      <c r="FQE242"/>
      <c r="FQF242"/>
      <c r="FQG242"/>
      <c r="FQH242"/>
      <c r="FQI242"/>
      <c r="FQJ242"/>
      <c r="FQK242"/>
      <c r="FQL242"/>
      <c r="FQM242"/>
      <c r="FQN242"/>
      <c r="FQO242"/>
      <c r="FQP242"/>
      <c r="FQQ242"/>
      <c r="FQR242"/>
      <c r="FQS242"/>
      <c r="FQT242"/>
      <c r="FQU242"/>
      <c r="FQV242"/>
      <c r="FQW242"/>
      <c r="FQX242"/>
      <c r="FQY242"/>
      <c r="FQZ242"/>
      <c r="FRA242"/>
      <c r="FRB242"/>
      <c r="FRC242"/>
      <c r="FRD242"/>
      <c r="FRE242"/>
      <c r="FRF242"/>
      <c r="FRG242"/>
      <c r="FRH242"/>
      <c r="FRI242"/>
      <c r="FRJ242"/>
      <c r="FRK242"/>
      <c r="FRL242"/>
      <c r="FRM242"/>
      <c r="FRN242"/>
      <c r="FRO242"/>
      <c r="FRP242"/>
      <c r="FRQ242"/>
      <c r="FRR242"/>
      <c r="FRS242"/>
      <c r="FRT242"/>
      <c r="FRU242"/>
      <c r="FRV242"/>
      <c r="FRW242"/>
      <c r="FRX242"/>
      <c r="FRY242"/>
      <c r="FRZ242"/>
      <c r="FSA242"/>
      <c r="FSB242"/>
      <c r="FSC242"/>
      <c r="FSD242"/>
      <c r="FSE242"/>
      <c r="FSF242"/>
      <c r="FSG242"/>
      <c r="FSH242"/>
      <c r="FSI242"/>
      <c r="FSJ242"/>
      <c r="FSK242"/>
      <c r="FSL242"/>
      <c r="FSM242"/>
      <c r="FSN242"/>
      <c r="FSO242"/>
      <c r="FSP242"/>
      <c r="FSQ242"/>
      <c r="FSR242"/>
      <c r="FSS242"/>
      <c r="FST242"/>
      <c r="FSU242"/>
      <c r="FSV242"/>
      <c r="FSW242"/>
      <c r="FSX242"/>
      <c r="FSY242"/>
      <c r="FSZ242"/>
      <c r="FTA242"/>
      <c r="FTB242"/>
      <c r="FTC242"/>
      <c r="FTD242"/>
      <c r="FTE242"/>
      <c r="FTF242"/>
      <c r="FTG242"/>
      <c r="FTH242"/>
      <c r="FTI242"/>
      <c r="FTJ242"/>
      <c r="FTK242"/>
      <c r="FTL242"/>
      <c r="FTM242"/>
      <c r="FTN242"/>
      <c r="FTO242"/>
      <c r="FTP242"/>
      <c r="FTQ242"/>
      <c r="FTR242"/>
      <c r="FTS242"/>
      <c r="FTT242"/>
      <c r="FTU242"/>
      <c r="FTV242"/>
      <c r="FTW242"/>
      <c r="FTX242"/>
      <c r="FTY242"/>
      <c r="FTZ242"/>
      <c r="FUA242"/>
      <c r="FUB242"/>
      <c r="FUC242"/>
      <c r="FUD242"/>
      <c r="FUE242"/>
      <c r="FUF242"/>
      <c r="FUG242"/>
      <c r="FUH242"/>
      <c r="FUI242"/>
      <c r="FUJ242"/>
      <c r="FUK242"/>
      <c r="FUL242"/>
      <c r="FUM242"/>
      <c r="FUN242"/>
      <c r="FUO242"/>
      <c r="FUP242"/>
      <c r="FUQ242"/>
      <c r="FUR242"/>
      <c r="FUS242"/>
      <c r="FUT242"/>
      <c r="FUU242"/>
      <c r="FUV242"/>
      <c r="FUW242"/>
      <c r="FUX242"/>
      <c r="FUY242"/>
      <c r="FUZ242"/>
      <c r="FVA242"/>
      <c r="FVB242"/>
      <c r="FVC242"/>
      <c r="FVD242"/>
      <c r="FVE242"/>
      <c r="FVF242"/>
      <c r="FVG242"/>
      <c r="FVH242"/>
      <c r="FVI242"/>
      <c r="FVJ242"/>
      <c r="FVK242"/>
      <c r="FVL242"/>
      <c r="FVM242"/>
      <c r="FVN242"/>
      <c r="FVO242"/>
      <c r="FVP242"/>
      <c r="FVQ242"/>
      <c r="FVR242"/>
      <c r="FVS242"/>
      <c r="FVT242"/>
      <c r="FVU242"/>
      <c r="FVV242"/>
      <c r="FVW242"/>
      <c r="FVX242"/>
      <c r="FVY242"/>
      <c r="FVZ242"/>
      <c r="FWA242"/>
      <c r="FWB242"/>
      <c r="FWC242"/>
      <c r="FWD242"/>
      <c r="FWE242"/>
      <c r="FWF242"/>
      <c r="FWG242"/>
      <c r="FWH242"/>
      <c r="FWI242"/>
      <c r="FWJ242"/>
      <c r="FWK242"/>
      <c r="FWL242"/>
      <c r="FWM242"/>
      <c r="FWN242"/>
      <c r="FWO242"/>
      <c r="FWP242"/>
      <c r="FWQ242"/>
      <c r="FWR242"/>
      <c r="FWS242"/>
      <c r="FWT242"/>
      <c r="FWU242"/>
      <c r="FWV242"/>
      <c r="FWW242"/>
      <c r="FWX242"/>
      <c r="FWY242"/>
      <c r="FWZ242"/>
      <c r="FXA242"/>
      <c r="FXB242"/>
      <c r="FXC242"/>
      <c r="FXD242"/>
      <c r="FXE242"/>
      <c r="FXF242"/>
      <c r="FXG242"/>
      <c r="FXH242"/>
      <c r="FXI242"/>
      <c r="FXJ242"/>
      <c r="FXK242"/>
      <c r="FXL242"/>
      <c r="FXM242"/>
      <c r="FXN242"/>
      <c r="FXO242"/>
      <c r="FXP242"/>
      <c r="FXQ242"/>
      <c r="FXR242"/>
      <c r="FXS242"/>
      <c r="FXT242"/>
      <c r="FXU242"/>
      <c r="FXV242"/>
      <c r="FXW242"/>
      <c r="FXX242"/>
      <c r="FXY242"/>
      <c r="FXZ242"/>
      <c r="FYA242"/>
      <c r="FYB242"/>
      <c r="FYC242"/>
      <c r="FYD242"/>
      <c r="FYE242"/>
      <c r="FYF242"/>
      <c r="FYG242"/>
      <c r="FYH242"/>
      <c r="FYI242"/>
      <c r="FYJ242"/>
      <c r="FYK242"/>
      <c r="FYL242"/>
      <c r="FYM242"/>
      <c r="FYN242"/>
      <c r="FYO242"/>
      <c r="FYP242"/>
      <c r="FYQ242"/>
      <c r="FYR242"/>
      <c r="FYS242"/>
      <c r="FYT242"/>
      <c r="FYU242"/>
      <c r="FYV242"/>
      <c r="FYW242"/>
      <c r="FYX242"/>
      <c r="FYY242"/>
      <c r="FYZ242"/>
      <c r="FZA242"/>
      <c r="FZB242"/>
      <c r="FZC242"/>
      <c r="FZD242"/>
      <c r="FZE242"/>
      <c r="FZF242"/>
      <c r="FZG242"/>
      <c r="FZH242"/>
      <c r="FZI242"/>
      <c r="FZJ242"/>
      <c r="FZK242"/>
      <c r="FZL242"/>
      <c r="FZM242"/>
      <c r="FZN242"/>
      <c r="FZO242"/>
      <c r="FZP242"/>
      <c r="FZQ242"/>
      <c r="FZR242"/>
      <c r="FZS242"/>
      <c r="FZT242"/>
      <c r="FZU242"/>
      <c r="FZV242"/>
      <c r="FZW242"/>
      <c r="FZX242"/>
      <c r="FZY242"/>
      <c r="FZZ242"/>
      <c r="GAA242"/>
      <c r="GAB242"/>
      <c r="GAC242"/>
      <c r="GAD242"/>
      <c r="GAE242"/>
      <c r="GAF242"/>
      <c r="GAG242"/>
      <c r="GAH242"/>
      <c r="GAI242"/>
      <c r="GAJ242"/>
      <c r="GAK242"/>
      <c r="GAL242"/>
      <c r="GAM242"/>
      <c r="GAN242"/>
      <c r="GAO242"/>
      <c r="GAP242"/>
      <c r="GAQ242"/>
      <c r="GAR242"/>
      <c r="GAS242"/>
      <c r="GAT242"/>
      <c r="GAU242"/>
      <c r="GAV242"/>
      <c r="GAW242"/>
      <c r="GAX242"/>
      <c r="GAY242"/>
      <c r="GAZ242"/>
      <c r="GBA242"/>
      <c r="GBB242"/>
      <c r="GBC242"/>
      <c r="GBD242"/>
      <c r="GBE242"/>
      <c r="GBF242"/>
      <c r="GBG242"/>
      <c r="GBH242"/>
      <c r="GBI242"/>
      <c r="GBJ242"/>
      <c r="GBK242"/>
      <c r="GBL242"/>
      <c r="GBM242"/>
      <c r="GBN242"/>
      <c r="GBO242"/>
      <c r="GBP242"/>
      <c r="GBQ242"/>
      <c r="GBR242"/>
      <c r="GBS242"/>
      <c r="GBT242"/>
      <c r="GBU242"/>
      <c r="GBV242"/>
      <c r="GBW242"/>
      <c r="GBX242"/>
      <c r="GBY242"/>
      <c r="GBZ242"/>
      <c r="GCA242"/>
      <c r="GCB242"/>
      <c r="GCC242"/>
      <c r="GCD242"/>
      <c r="GCE242"/>
      <c r="GCF242"/>
      <c r="GCG242"/>
      <c r="GCH242"/>
      <c r="GCI242"/>
      <c r="GCJ242"/>
      <c r="GCK242"/>
      <c r="GCL242"/>
      <c r="GCM242"/>
      <c r="GCN242"/>
      <c r="GCO242"/>
      <c r="GCP242"/>
      <c r="GCQ242"/>
      <c r="GCR242"/>
      <c r="GCS242"/>
      <c r="GCT242"/>
      <c r="GCU242"/>
      <c r="GCV242"/>
      <c r="GCW242"/>
      <c r="GCX242"/>
      <c r="GCY242"/>
      <c r="GCZ242"/>
      <c r="GDA242"/>
      <c r="GDB242"/>
      <c r="GDC242"/>
      <c r="GDD242"/>
      <c r="GDE242"/>
      <c r="GDF242"/>
      <c r="GDG242"/>
      <c r="GDH242"/>
      <c r="GDI242"/>
      <c r="GDJ242"/>
      <c r="GDK242"/>
      <c r="GDL242"/>
      <c r="GDM242"/>
      <c r="GDN242"/>
      <c r="GDO242"/>
      <c r="GDP242"/>
      <c r="GDQ242"/>
      <c r="GDR242"/>
      <c r="GDS242"/>
      <c r="GDT242"/>
      <c r="GDU242"/>
      <c r="GDV242"/>
      <c r="GDW242"/>
      <c r="GDX242"/>
      <c r="GDY242"/>
      <c r="GDZ242"/>
      <c r="GEA242"/>
      <c r="GEB242"/>
      <c r="GEC242"/>
      <c r="GED242"/>
      <c r="GEE242"/>
      <c r="GEF242"/>
      <c r="GEG242"/>
      <c r="GEH242"/>
      <c r="GEI242"/>
      <c r="GEJ242"/>
      <c r="GEK242"/>
      <c r="GEL242"/>
      <c r="GEM242"/>
      <c r="GEN242"/>
      <c r="GEO242"/>
      <c r="GEP242"/>
      <c r="GEQ242"/>
      <c r="GER242"/>
      <c r="GES242"/>
      <c r="GET242"/>
      <c r="GEU242"/>
      <c r="GEV242"/>
      <c r="GEW242"/>
      <c r="GEX242"/>
      <c r="GEY242"/>
      <c r="GEZ242"/>
      <c r="GFA242"/>
      <c r="GFB242"/>
      <c r="GFC242"/>
      <c r="GFD242"/>
      <c r="GFE242"/>
      <c r="GFF242"/>
      <c r="GFG242"/>
      <c r="GFH242"/>
      <c r="GFI242"/>
      <c r="GFJ242"/>
      <c r="GFK242"/>
      <c r="GFL242"/>
      <c r="GFM242"/>
      <c r="GFN242"/>
      <c r="GFO242"/>
      <c r="GFP242"/>
      <c r="GFQ242"/>
      <c r="GFR242"/>
      <c r="GFS242"/>
      <c r="GFT242"/>
      <c r="GFU242"/>
      <c r="GFV242"/>
      <c r="GFW242"/>
      <c r="GFX242"/>
      <c r="GFY242"/>
      <c r="GFZ242"/>
      <c r="GGA242"/>
      <c r="GGB242"/>
      <c r="GGC242"/>
      <c r="GGD242"/>
      <c r="GGE242"/>
      <c r="GGF242"/>
      <c r="GGG242"/>
      <c r="GGH242"/>
      <c r="GGI242"/>
      <c r="GGJ242"/>
      <c r="GGK242"/>
      <c r="GGL242"/>
      <c r="GGM242"/>
      <c r="GGN242"/>
      <c r="GGO242"/>
      <c r="GGP242"/>
      <c r="GGQ242"/>
      <c r="GGR242"/>
      <c r="GGS242"/>
      <c r="GGT242"/>
      <c r="GGU242"/>
      <c r="GGV242"/>
      <c r="GGW242"/>
      <c r="GGX242"/>
      <c r="GGY242"/>
      <c r="GGZ242"/>
      <c r="GHA242"/>
      <c r="GHB242"/>
      <c r="GHC242"/>
      <c r="GHD242"/>
      <c r="GHE242"/>
      <c r="GHF242"/>
      <c r="GHG242"/>
      <c r="GHH242"/>
      <c r="GHI242"/>
      <c r="GHJ242"/>
      <c r="GHK242"/>
      <c r="GHL242"/>
      <c r="GHM242"/>
      <c r="GHN242"/>
      <c r="GHO242"/>
      <c r="GHP242"/>
      <c r="GHQ242"/>
      <c r="GHR242"/>
      <c r="GHS242"/>
      <c r="GHT242"/>
      <c r="GHU242"/>
      <c r="GHV242"/>
      <c r="GHW242"/>
      <c r="GHX242"/>
      <c r="GHY242"/>
      <c r="GHZ242"/>
      <c r="GIA242"/>
      <c r="GIB242"/>
      <c r="GIC242"/>
      <c r="GID242"/>
      <c r="GIE242"/>
      <c r="GIF242"/>
      <c r="GIG242"/>
      <c r="GIH242"/>
      <c r="GII242"/>
      <c r="GIJ242"/>
      <c r="GIK242"/>
      <c r="GIL242"/>
      <c r="GIM242"/>
      <c r="GIN242"/>
      <c r="GIO242"/>
      <c r="GIP242"/>
      <c r="GIQ242"/>
      <c r="GIR242"/>
      <c r="GIS242"/>
      <c r="GIT242"/>
      <c r="GIU242"/>
      <c r="GIV242"/>
      <c r="GIW242"/>
      <c r="GIX242"/>
      <c r="GIY242"/>
      <c r="GIZ242"/>
      <c r="GJA242"/>
      <c r="GJB242"/>
      <c r="GJC242"/>
      <c r="GJD242"/>
      <c r="GJE242"/>
      <c r="GJF242"/>
      <c r="GJG242"/>
      <c r="GJH242"/>
      <c r="GJI242"/>
      <c r="GJJ242"/>
      <c r="GJK242"/>
      <c r="GJL242"/>
      <c r="GJM242"/>
      <c r="GJN242"/>
      <c r="GJO242"/>
      <c r="GJP242"/>
      <c r="GJQ242"/>
      <c r="GJR242"/>
      <c r="GJS242"/>
      <c r="GJT242"/>
      <c r="GJU242"/>
      <c r="GJV242"/>
      <c r="GJW242"/>
      <c r="GJX242"/>
      <c r="GJY242"/>
      <c r="GJZ242"/>
      <c r="GKA242"/>
      <c r="GKB242"/>
      <c r="GKC242"/>
      <c r="GKD242"/>
      <c r="GKE242"/>
      <c r="GKF242"/>
      <c r="GKG242"/>
      <c r="GKH242"/>
      <c r="GKI242"/>
      <c r="GKJ242"/>
      <c r="GKK242"/>
      <c r="GKL242"/>
      <c r="GKM242"/>
      <c r="GKN242"/>
      <c r="GKO242"/>
      <c r="GKP242"/>
      <c r="GKQ242"/>
      <c r="GKR242"/>
      <c r="GKS242"/>
      <c r="GKT242"/>
      <c r="GKU242"/>
      <c r="GKV242"/>
      <c r="GKW242"/>
      <c r="GKX242"/>
      <c r="GKY242"/>
      <c r="GKZ242"/>
      <c r="GLA242"/>
      <c r="GLB242"/>
      <c r="GLC242"/>
      <c r="GLD242"/>
      <c r="GLE242"/>
      <c r="GLF242"/>
      <c r="GLG242"/>
      <c r="GLH242"/>
      <c r="GLI242"/>
      <c r="GLJ242"/>
      <c r="GLK242"/>
      <c r="GLL242"/>
      <c r="GLM242"/>
      <c r="GLN242"/>
      <c r="GLO242"/>
      <c r="GLP242"/>
      <c r="GLQ242"/>
      <c r="GLR242"/>
      <c r="GLS242"/>
      <c r="GLT242"/>
      <c r="GLU242"/>
      <c r="GLV242"/>
      <c r="GLW242"/>
      <c r="GLX242"/>
      <c r="GLY242"/>
      <c r="GLZ242"/>
      <c r="GMA242"/>
      <c r="GMB242"/>
      <c r="GMC242"/>
      <c r="GMD242"/>
      <c r="GME242"/>
      <c r="GMF242"/>
      <c r="GMG242"/>
      <c r="GMH242"/>
      <c r="GMI242"/>
      <c r="GMJ242"/>
      <c r="GMK242"/>
      <c r="GML242"/>
      <c r="GMM242"/>
      <c r="GMN242"/>
      <c r="GMO242"/>
      <c r="GMP242"/>
      <c r="GMQ242"/>
      <c r="GMR242"/>
      <c r="GMS242"/>
      <c r="GMT242"/>
      <c r="GMU242"/>
      <c r="GMV242"/>
      <c r="GMW242"/>
      <c r="GMX242"/>
      <c r="GMY242"/>
      <c r="GMZ242"/>
      <c r="GNA242"/>
      <c r="GNB242"/>
      <c r="GNC242"/>
      <c r="GND242"/>
      <c r="GNE242"/>
      <c r="GNF242"/>
      <c r="GNG242"/>
      <c r="GNH242"/>
      <c r="GNI242"/>
      <c r="GNJ242"/>
      <c r="GNK242"/>
      <c r="GNL242"/>
      <c r="GNM242"/>
      <c r="GNN242"/>
      <c r="GNO242"/>
      <c r="GNP242"/>
      <c r="GNQ242"/>
      <c r="GNR242"/>
      <c r="GNS242"/>
      <c r="GNT242"/>
      <c r="GNU242"/>
      <c r="GNV242"/>
      <c r="GNW242"/>
      <c r="GNX242"/>
      <c r="GNY242"/>
      <c r="GNZ242"/>
      <c r="GOA242"/>
      <c r="GOB242"/>
      <c r="GOC242"/>
      <c r="GOD242"/>
      <c r="GOE242"/>
      <c r="GOF242"/>
      <c r="GOG242"/>
      <c r="GOH242"/>
      <c r="GOI242"/>
      <c r="GOJ242"/>
      <c r="GOK242"/>
      <c r="GOL242"/>
      <c r="GOM242"/>
      <c r="GON242"/>
      <c r="GOO242"/>
      <c r="GOP242"/>
      <c r="GOQ242"/>
      <c r="GOR242"/>
      <c r="GOS242"/>
      <c r="GOT242"/>
      <c r="GOU242"/>
      <c r="GOV242"/>
      <c r="GOW242"/>
      <c r="GOX242"/>
      <c r="GOY242"/>
      <c r="GOZ242"/>
      <c r="GPA242"/>
      <c r="GPB242"/>
      <c r="GPC242"/>
      <c r="GPD242"/>
      <c r="GPE242"/>
      <c r="GPF242"/>
      <c r="GPG242"/>
      <c r="GPH242"/>
      <c r="GPI242"/>
      <c r="GPJ242"/>
      <c r="GPK242"/>
      <c r="GPL242"/>
      <c r="GPM242"/>
      <c r="GPN242"/>
      <c r="GPO242"/>
      <c r="GPP242"/>
      <c r="GPQ242"/>
      <c r="GPR242"/>
      <c r="GPS242"/>
      <c r="GPT242"/>
      <c r="GPU242"/>
      <c r="GPV242"/>
      <c r="GPW242"/>
      <c r="GPX242"/>
      <c r="GPY242"/>
      <c r="GPZ242"/>
      <c r="GQA242"/>
      <c r="GQB242"/>
      <c r="GQC242"/>
      <c r="GQD242"/>
      <c r="GQE242"/>
      <c r="GQF242"/>
      <c r="GQG242"/>
      <c r="GQH242"/>
      <c r="GQI242"/>
      <c r="GQJ242"/>
      <c r="GQK242"/>
      <c r="GQL242"/>
      <c r="GQM242"/>
      <c r="GQN242"/>
      <c r="GQO242"/>
      <c r="GQP242"/>
      <c r="GQQ242"/>
      <c r="GQR242"/>
      <c r="GQS242"/>
      <c r="GQT242"/>
      <c r="GQU242"/>
      <c r="GQV242"/>
      <c r="GQW242"/>
      <c r="GQX242"/>
      <c r="GQY242"/>
      <c r="GQZ242"/>
      <c r="GRA242"/>
      <c r="GRB242"/>
      <c r="GRC242"/>
      <c r="GRD242"/>
      <c r="GRE242"/>
      <c r="GRF242"/>
      <c r="GRG242"/>
      <c r="GRH242"/>
      <c r="GRI242"/>
      <c r="GRJ242"/>
      <c r="GRK242"/>
      <c r="GRL242"/>
      <c r="GRM242"/>
      <c r="GRN242"/>
      <c r="GRO242"/>
      <c r="GRP242"/>
      <c r="GRQ242"/>
      <c r="GRR242"/>
      <c r="GRS242"/>
      <c r="GRT242"/>
      <c r="GRU242"/>
      <c r="GRV242"/>
      <c r="GRW242"/>
      <c r="GRX242"/>
      <c r="GRY242"/>
      <c r="GRZ242"/>
      <c r="GSA242"/>
      <c r="GSB242"/>
      <c r="GSC242"/>
      <c r="GSD242"/>
      <c r="GSE242"/>
      <c r="GSF242"/>
      <c r="GSG242"/>
      <c r="GSH242"/>
      <c r="GSI242"/>
      <c r="GSJ242"/>
      <c r="GSK242"/>
      <c r="GSL242"/>
      <c r="GSM242"/>
      <c r="GSN242"/>
      <c r="GSO242"/>
      <c r="GSP242"/>
      <c r="GSQ242"/>
      <c r="GSR242"/>
      <c r="GSS242"/>
      <c r="GST242"/>
      <c r="GSU242"/>
      <c r="GSV242"/>
      <c r="GSW242"/>
      <c r="GSX242"/>
      <c r="GSY242"/>
      <c r="GSZ242"/>
      <c r="GTA242"/>
      <c r="GTB242"/>
      <c r="GTC242"/>
      <c r="GTD242"/>
      <c r="GTE242"/>
      <c r="GTF242"/>
      <c r="GTG242"/>
      <c r="GTH242"/>
      <c r="GTI242"/>
      <c r="GTJ242"/>
      <c r="GTK242"/>
      <c r="GTL242"/>
      <c r="GTM242"/>
      <c r="GTN242"/>
      <c r="GTO242"/>
      <c r="GTP242"/>
      <c r="GTQ242"/>
      <c r="GTR242"/>
      <c r="GTS242"/>
      <c r="GTT242"/>
      <c r="GTU242"/>
      <c r="GTV242"/>
      <c r="GTW242"/>
      <c r="GTX242"/>
      <c r="GTY242"/>
      <c r="GTZ242"/>
      <c r="GUA242"/>
      <c r="GUB242"/>
      <c r="GUC242"/>
      <c r="GUD242"/>
      <c r="GUE242"/>
      <c r="GUF242"/>
      <c r="GUG242"/>
      <c r="GUH242"/>
      <c r="GUI242"/>
      <c r="GUJ242"/>
      <c r="GUK242"/>
      <c r="GUL242"/>
      <c r="GUM242"/>
      <c r="GUN242"/>
      <c r="GUO242"/>
      <c r="GUP242"/>
      <c r="GUQ242"/>
      <c r="GUR242"/>
      <c r="GUS242"/>
      <c r="GUT242"/>
      <c r="GUU242"/>
      <c r="GUV242"/>
      <c r="GUW242"/>
      <c r="GUX242"/>
      <c r="GUY242"/>
      <c r="GUZ242"/>
      <c r="GVA242"/>
      <c r="GVB242"/>
      <c r="GVC242"/>
      <c r="GVD242"/>
      <c r="GVE242"/>
      <c r="GVF242"/>
      <c r="GVG242"/>
      <c r="GVH242"/>
      <c r="GVI242"/>
      <c r="GVJ242"/>
      <c r="GVK242"/>
      <c r="GVL242"/>
      <c r="GVM242"/>
      <c r="GVN242"/>
      <c r="GVO242"/>
      <c r="GVP242"/>
      <c r="GVQ242"/>
      <c r="GVR242"/>
      <c r="GVS242"/>
      <c r="GVT242"/>
      <c r="GVU242"/>
      <c r="GVV242"/>
      <c r="GVW242"/>
      <c r="GVX242"/>
      <c r="GVY242"/>
      <c r="GVZ242"/>
      <c r="GWA242"/>
      <c r="GWB242"/>
      <c r="GWC242"/>
      <c r="GWD242"/>
      <c r="GWE242"/>
      <c r="GWF242"/>
      <c r="GWG242"/>
      <c r="GWH242"/>
      <c r="GWI242"/>
      <c r="GWJ242"/>
      <c r="GWK242"/>
      <c r="GWL242"/>
      <c r="GWM242"/>
      <c r="GWN242"/>
      <c r="GWO242"/>
      <c r="GWP242"/>
      <c r="GWQ242"/>
      <c r="GWR242"/>
      <c r="GWS242"/>
      <c r="GWT242"/>
      <c r="GWU242"/>
      <c r="GWV242"/>
      <c r="GWW242"/>
      <c r="GWX242"/>
      <c r="GWY242"/>
      <c r="GWZ242"/>
      <c r="GXA242"/>
      <c r="GXB242"/>
      <c r="GXC242"/>
      <c r="GXD242"/>
      <c r="GXE242"/>
      <c r="GXF242"/>
      <c r="GXG242"/>
      <c r="GXH242"/>
      <c r="GXI242"/>
      <c r="GXJ242"/>
      <c r="GXK242"/>
      <c r="GXL242"/>
      <c r="GXM242"/>
      <c r="GXN242"/>
      <c r="GXO242"/>
      <c r="GXP242"/>
      <c r="GXQ242"/>
      <c r="GXR242"/>
      <c r="GXS242"/>
      <c r="GXT242"/>
      <c r="GXU242"/>
      <c r="GXV242"/>
      <c r="GXW242"/>
      <c r="GXX242"/>
      <c r="GXY242"/>
      <c r="GXZ242"/>
      <c r="GYA242"/>
      <c r="GYB242"/>
      <c r="GYC242"/>
      <c r="GYD242"/>
      <c r="GYE242"/>
      <c r="GYF242"/>
      <c r="GYG242"/>
      <c r="GYH242"/>
      <c r="GYI242"/>
      <c r="GYJ242"/>
      <c r="GYK242"/>
      <c r="GYL242"/>
      <c r="GYM242"/>
      <c r="GYN242"/>
      <c r="GYO242"/>
      <c r="GYP242"/>
      <c r="GYQ242"/>
      <c r="GYR242"/>
      <c r="GYS242"/>
      <c r="GYT242"/>
      <c r="GYU242"/>
      <c r="GYV242"/>
      <c r="GYW242"/>
      <c r="GYX242"/>
      <c r="GYY242"/>
      <c r="GYZ242"/>
      <c r="GZA242"/>
      <c r="GZB242"/>
      <c r="GZC242"/>
      <c r="GZD242"/>
      <c r="GZE242"/>
      <c r="GZF242"/>
      <c r="GZG242"/>
      <c r="GZH242"/>
      <c r="GZI242"/>
      <c r="GZJ242"/>
      <c r="GZK242"/>
      <c r="GZL242"/>
      <c r="GZM242"/>
      <c r="GZN242"/>
      <c r="GZO242"/>
      <c r="GZP242"/>
      <c r="GZQ242"/>
      <c r="GZR242"/>
      <c r="GZS242"/>
      <c r="GZT242"/>
      <c r="GZU242"/>
      <c r="GZV242"/>
      <c r="GZW242"/>
      <c r="GZX242"/>
      <c r="GZY242"/>
      <c r="GZZ242"/>
      <c r="HAA242"/>
      <c r="HAB242"/>
      <c r="HAC242"/>
      <c r="HAD242"/>
      <c r="HAE242"/>
      <c r="HAF242"/>
      <c r="HAG242"/>
      <c r="HAH242"/>
      <c r="HAI242"/>
      <c r="HAJ242"/>
      <c r="HAK242"/>
      <c r="HAL242"/>
      <c r="HAM242"/>
      <c r="HAN242"/>
      <c r="HAO242"/>
      <c r="HAP242"/>
      <c r="HAQ242"/>
      <c r="HAR242"/>
      <c r="HAS242"/>
      <c r="HAT242"/>
      <c r="HAU242"/>
      <c r="HAV242"/>
      <c r="HAW242"/>
      <c r="HAX242"/>
      <c r="HAY242"/>
      <c r="HAZ242"/>
      <c r="HBA242"/>
      <c r="HBB242"/>
      <c r="HBC242"/>
      <c r="HBD242"/>
      <c r="HBE242"/>
      <c r="HBF242"/>
      <c r="HBG242"/>
      <c r="HBH242"/>
      <c r="HBI242"/>
      <c r="HBJ242"/>
      <c r="HBK242"/>
      <c r="HBL242"/>
      <c r="HBM242"/>
      <c r="HBN242"/>
      <c r="HBO242"/>
      <c r="HBP242"/>
      <c r="HBQ242"/>
      <c r="HBR242"/>
      <c r="HBS242"/>
      <c r="HBT242"/>
      <c r="HBU242"/>
      <c r="HBV242"/>
      <c r="HBW242"/>
      <c r="HBX242"/>
      <c r="HBY242"/>
      <c r="HBZ242"/>
      <c r="HCA242"/>
      <c r="HCB242"/>
      <c r="HCC242"/>
      <c r="HCD242"/>
      <c r="HCE242"/>
      <c r="HCF242"/>
      <c r="HCG242"/>
      <c r="HCH242"/>
      <c r="HCI242"/>
      <c r="HCJ242"/>
      <c r="HCK242"/>
      <c r="HCL242"/>
      <c r="HCM242"/>
      <c r="HCN242"/>
      <c r="HCO242"/>
      <c r="HCP242"/>
      <c r="HCQ242"/>
      <c r="HCR242"/>
      <c r="HCS242"/>
      <c r="HCT242"/>
      <c r="HCU242"/>
      <c r="HCV242"/>
      <c r="HCW242"/>
      <c r="HCX242"/>
      <c r="HCY242"/>
      <c r="HCZ242"/>
      <c r="HDA242"/>
      <c r="HDB242"/>
      <c r="HDC242"/>
      <c r="HDD242"/>
      <c r="HDE242"/>
      <c r="HDF242"/>
      <c r="HDG242"/>
      <c r="HDH242"/>
      <c r="HDI242"/>
      <c r="HDJ242"/>
      <c r="HDK242"/>
      <c r="HDL242"/>
      <c r="HDM242"/>
      <c r="HDN242"/>
      <c r="HDO242"/>
      <c r="HDP242"/>
      <c r="HDQ242"/>
      <c r="HDR242"/>
      <c r="HDS242"/>
      <c r="HDT242"/>
      <c r="HDU242"/>
      <c r="HDV242"/>
      <c r="HDW242"/>
      <c r="HDX242"/>
      <c r="HDY242"/>
      <c r="HDZ242"/>
      <c r="HEA242"/>
      <c r="HEB242"/>
      <c r="HEC242"/>
      <c r="HED242"/>
      <c r="HEE242"/>
      <c r="HEF242"/>
      <c r="HEG242"/>
      <c r="HEH242"/>
      <c r="HEI242"/>
      <c r="HEJ242"/>
      <c r="HEK242"/>
      <c r="HEL242"/>
      <c r="HEM242"/>
      <c r="HEN242"/>
      <c r="HEO242"/>
      <c r="HEP242"/>
      <c r="HEQ242"/>
      <c r="HER242"/>
      <c r="HES242"/>
      <c r="HET242"/>
      <c r="HEU242"/>
      <c r="HEV242"/>
      <c r="HEW242"/>
      <c r="HEX242"/>
      <c r="HEY242"/>
      <c r="HEZ242"/>
      <c r="HFA242"/>
      <c r="HFB242"/>
      <c r="HFC242"/>
      <c r="HFD242"/>
      <c r="HFE242"/>
      <c r="HFF242"/>
      <c r="HFG242"/>
      <c r="HFH242"/>
      <c r="HFI242"/>
      <c r="HFJ242"/>
      <c r="HFK242"/>
      <c r="HFL242"/>
      <c r="HFM242"/>
      <c r="HFN242"/>
      <c r="HFO242"/>
      <c r="HFP242"/>
      <c r="HFQ242"/>
      <c r="HFR242"/>
      <c r="HFS242"/>
      <c r="HFT242"/>
      <c r="HFU242"/>
      <c r="HFV242"/>
      <c r="HFW242"/>
      <c r="HFX242"/>
      <c r="HFY242"/>
      <c r="HFZ242"/>
      <c r="HGA242"/>
      <c r="HGB242"/>
      <c r="HGC242"/>
      <c r="HGD242"/>
      <c r="HGE242"/>
      <c r="HGF242"/>
      <c r="HGG242"/>
      <c r="HGH242"/>
      <c r="HGI242"/>
      <c r="HGJ242"/>
      <c r="HGK242"/>
      <c r="HGL242"/>
      <c r="HGM242"/>
      <c r="HGN242"/>
      <c r="HGO242"/>
      <c r="HGP242"/>
      <c r="HGQ242"/>
      <c r="HGR242"/>
      <c r="HGS242"/>
      <c r="HGT242"/>
      <c r="HGU242"/>
      <c r="HGV242"/>
      <c r="HGW242"/>
      <c r="HGX242"/>
      <c r="HGY242"/>
      <c r="HGZ242"/>
      <c r="HHA242"/>
      <c r="HHB242"/>
      <c r="HHC242"/>
      <c r="HHD242"/>
      <c r="HHE242"/>
      <c r="HHF242"/>
      <c r="HHG242"/>
      <c r="HHH242"/>
      <c r="HHI242"/>
      <c r="HHJ242"/>
      <c r="HHK242"/>
      <c r="HHL242"/>
      <c r="HHM242"/>
      <c r="HHN242"/>
      <c r="HHO242"/>
      <c r="HHP242"/>
      <c r="HHQ242"/>
      <c r="HHR242"/>
      <c r="HHS242"/>
      <c r="HHT242"/>
      <c r="HHU242"/>
      <c r="HHV242"/>
      <c r="HHW242"/>
      <c r="HHX242"/>
      <c r="HHY242"/>
      <c r="HHZ242"/>
      <c r="HIA242"/>
      <c r="HIB242"/>
      <c r="HIC242"/>
      <c r="HID242"/>
      <c r="HIE242"/>
      <c r="HIF242"/>
      <c r="HIG242"/>
      <c r="HIH242"/>
      <c r="HII242"/>
      <c r="HIJ242"/>
      <c r="HIK242"/>
      <c r="HIL242"/>
      <c r="HIM242"/>
      <c r="HIN242"/>
      <c r="HIO242"/>
      <c r="HIP242"/>
      <c r="HIQ242"/>
      <c r="HIR242"/>
      <c r="HIS242"/>
      <c r="HIT242"/>
      <c r="HIU242"/>
      <c r="HIV242"/>
      <c r="HIW242"/>
      <c r="HIX242"/>
      <c r="HIY242"/>
      <c r="HIZ242"/>
      <c r="HJA242"/>
      <c r="HJB242"/>
      <c r="HJC242"/>
      <c r="HJD242"/>
      <c r="HJE242"/>
      <c r="HJF242"/>
      <c r="HJG242"/>
      <c r="HJH242"/>
      <c r="HJI242"/>
      <c r="HJJ242"/>
      <c r="HJK242"/>
      <c r="HJL242"/>
      <c r="HJM242"/>
      <c r="HJN242"/>
      <c r="HJO242"/>
      <c r="HJP242"/>
      <c r="HJQ242"/>
      <c r="HJR242"/>
      <c r="HJS242"/>
      <c r="HJT242"/>
      <c r="HJU242"/>
      <c r="HJV242"/>
      <c r="HJW242"/>
      <c r="HJX242"/>
      <c r="HJY242"/>
      <c r="HJZ242"/>
      <c r="HKA242"/>
      <c r="HKB242"/>
      <c r="HKC242"/>
      <c r="HKD242"/>
      <c r="HKE242"/>
      <c r="HKF242"/>
      <c r="HKG242"/>
      <c r="HKH242"/>
      <c r="HKI242"/>
      <c r="HKJ242"/>
      <c r="HKK242"/>
      <c r="HKL242"/>
      <c r="HKM242"/>
      <c r="HKN242"/>
      <c r="HKO242"/>
      <c r="HKP242"/>
      <c r="HKQ242"/>
      <c r="HKR242"/>
      <c r="HKS242"/>
      <c r="HKT242"/>
      <c r="HKU242"/>
      <c r="HKV242"/>
      <c r="HKW242"/>
      <c r="HKX242"/>
      <c r="HKY242"/>
      <c r="HKZ242"/>
      <c r="HLA242"/>
      <c r="HLB242"/>
      <c r="HLC242"/>
      <c r="HLD242"/>
      <c r="HLE242"/>
      <c r="HLF242"/>
      <c r="HLG242"/>
      <c r="HLH242"/>
      <c r="HLI242"/>
      <c r="HLJ242"/>
      <c r="HLK242"/>
      <c r="HLL242"/>
      <c r="HLM242"/>
      <c r="HLN242"/>
      <c r="HLO242"/>
      <c r="HLP242"/>
      <c r="HLQ242"/>
      <c r="HLR242"/>
      <c r="HLS242"/>
      <c r="HLT242"/>
      <c r="HLU242"/>
      <c r="HLV242"/>
      <c r="HLW242"/>
      <c r="HLX242"/>
      <c r="HLY242"/>
      <c r="HLZ242"/>
      <c r="HMA242"/>
      <c r="HMB242"/>
      <c r="HMC242"/>
      <c r="HMD242"/>
      <c r="HME242"/>
      <c r="HMF242"/>
      <c r="HMG242"/>
      <c r="HMH242"/>
      <c r="HMI242"/>
      <c r="HMJ242"/>
      <c r="HMK242"/>
      <c r="HML242"/>
      <c r="HMM242"/>
      <c r="HMN242"/>
      <c r="HMO242"/>
      <c r="HMP242"/>
      <c r="HMQ242"/>
      <c r="HMR242"/>
      <c r="HMS242"/>
      <c r="HMT242"/>
      <c r="HMU242"/>
      <c r="HMV242"/>
      <c r="HMW242"/>
      <c r="HMX242"/>
      <c r="HMY242"/>
      <c r="HMZ242"/>
      <c r="HNA242"/>
      <c r="HNB242"/>
      <c r="HNC242"/>
      <c r="HND242"/>
      <c r="HNE242"/>
      <c r="HNF242"/>
      <c r="HNG242"/>
      <c r="HNH242"/>
      <c r="HNI242"/>
      <c r="HNJ242"/>
      <c r="HNK242"/>
      <c r="HNL242"/>
      <c r="HNM242"/>
      <c r="HNN242"/>
      <c r="HNO242"/>
      <c r="HNP242"/>
      <c r="HNQ242"/>
      <c r="HNR242"/>
      <c r="HNS242"/>
      <c r="HNT242"/>
      <c r="HNU242"/>
      <c r="HNV242"/>
      <c r="HNW242"/>
      <c r="HNX242"/>
      <c r="HNY242"/>
      <c r="HNZ242"/>
      <c r="HOA242"/>
      <c r="HOB242"/>
      <c r="HOC242"/>
      <c r="HOD242"/>
      <c r="HOE242"/>
      <c r="HOF242"/>
      <c r="HOG242"/>
      <c r="HOH242"/>
      <c r="HOI242"/>
      <c r="HOJ242"/>
      <c r="HOK242"/>
      <c r="HOL242"/>
      <c r="HOM242"/>
      <c r="HON242"/>
      <c r="HOO242"/>
      <c r="HOP242"/>
      <c r="HOQ242"/>
      <c r="HOR242"/>
      <c r="HOS242"/>
      <c r="HOT242"/>
      <c r="HOU242"/>
      <c r="HOV242"/>
      <c r="HOW242"/>
      <c r="HOX242"/>
      <c r="HOY242"/>
      <c r="HOZ242"/>
      <c r="HPA242"/>
      <c r="HPB242"/>
      <c r="HPC242"/>
      <c r="HPD242"/>
      <c r="HPE242"/>
      <c r="HPF242"/>
      <c r="HPG242"/>
      <c r="HPH242"/>
      <c r="HPI242"/>
      <c r="HPJ242"/>
      <c r="HPK242"/>
      <c r="HPL242"/>
      <c r="HPM242"/>
      <c r="HPN242"/>
      <c r="HPO242"/>
      <c r="HPP242"/>
      <c r="HPQ242"/>
      <c r="HPR242"/>
      <c r="HPS242"/>
      <c r="HPT242"/>
      <c r="HPU242"/>
      <c r="HPV242"/>
      <c r="HPW242"/>
      <c r="HPX242"/>
      <c r="HPY242"/>
      <c r="HPZ242"/>
      <c r="HQA242"/>
      <c r="HQB242"/>
      <c r="HQC242"/>
      <c r="HQD242"/>
      <c r="HQE242"/>
      <c r="HQF242"/>
      <c r="HQG242"/>
      <c r="HQH242"/>
      <c r="HQI242"/>
      <c r="HQJ242"/>
      <c r="HQK242"/>
      <c r="HQL242"/>
      <c r="HQM242"/>
      <c r="HQN242"/>
      <c r="HQO242"/>
      <c r="HQP242"/>
      <c r="HQQ242"/>
      <c r="HQR242"/>
      <c r="HQS242"/>
      <c r="HQT242"/>
      <c r="HQU242"/>
      <c r="HQV242"/>
      <c r="HQW242"/>
      <c r="HQX242"/>
      <c r="HQY242"/>
      <c r="HQZ242"/>
      <c r="HRA242"/>
      <c r="HRB242"/>
      <c r="HRC242"/>
      <c r="HRD242"/>
      <c r="HRE242"/>
      <c r="HRF242"/>
      <c r="HRG242"/>
      <c r="HRH242"/>
      <c r="HRI242"/>
      <c r="HRJ242"/>
      <c r="HRK242"/>
      <c r="HRL242"/>
      <c r="HRM242"/>
      <c r="HRN242"/>
      <c r="HRO242"/>
      <c r="HRP242"/>
      <c r="HRQ242"/>
      <c r="HRR242"/>
      <c r="HRS242"/>
      <c r="HRT242"/>
      <c r="HRU242"/>
      <c r="HRV242"/>
      <c r="HRW242"/>
      <c r="HRX242"/>
      <c r="HRY242"/>
      <c r="HRZ242"/>
      <c r="HSA242"/>
      <c r="HSB242"/>
      <c r="HSC242"/>
      <c r="HSD242"/>
      <c r="HSE242"/>
      <c r="HSF242"/>
      <c r="HSG242"/>
      <c r="HSH242"/>
      <c r="HSI242"/>
      <c r="HSJ242"/>
      <c r="HSK242"/>
      <c r="HSL242"/>
      <c r="HSM242"/>
      <c r="HSN242"/>
      <c r="HSO242"/>
      <c r="HSP242"/>
      <c r="HSQ242"/>
      <c r="HSR242"/>
      <c r="HSS242"/>
      <c r="HST242"/>
      <c r="HSU242"/>
      <c r="HSV242"/>
      <c r="HSW242"/>
      <c r="HSX242"/>
      <c r="HSY242"/>
      <c r="HSZ242"/>
      <c r="HTA242"/>
      <c r="HTB242"/>
      <c r="HTC242"/>
      <c r="HTD242"/>
      <c r="HTE242"/>
      <c r="HTF242"/>
      <c r="HTG242"/>
      <c r="HTH242"/>
      <c r="HTI242"/>
      <c r="HTJ242"/>
      <c r="HTK242"/>
      <c r="HTL242"/>
      <c r="HTM242"/>
      <c r="HTN242"/>
      <c r="HTO242"/>
      <c r="HTP242"/>
      <c r="HTQ242"/>
      <c r="HTR242"/>
      <c r="HTS242"/>
      <c r="HTT242"/>
      <c r="HTU242"/>
      <c r="HTV242"/>
      <c r="HTW242"/>
      <c r="HTX242"/>
      <c r="HTY242"/>
      <c r="HTZ242"/>
      <c r="HUA242"/>
      <c r="HUB242"/>
      <c r="HUC242"/>
      <c r="HUD242"/>
      <c r="HUE242"/>
      <c r="HUF242"/>
      <c r="HUG242"/>
      <c r="HUH242"/>
      <c r="HUI242"/>
      <c r="HUJ242"/>
      <c r="HUK242"/>
      <c r="HUL242"/>
      <c r="HUM242"/>
      <c r="HUN242"/>
      <c r="HUO242"/>
      <c r="HUP242"/>
      <c r="HUQ242"/>
      <c r="HUR242"/>
      <c r="HUS242"/>
      <c r="HUT242"/>
      <c r="HUU242"/>
      <c r="HUV242"/>
      <c r="HUW242"/>
      <c r="HUX242"/>
      <c r="HUY242"/>
      <c r="HUZ242"/>
      <c r="HVA242"/>
      <c r="HVB242"/>
      <c r="HVC242"/>
      <c r="HVD242"/>
      <c r="HVE242"/>
      <c r="HVF242"/>
      <c r="HVG242"/>
      <c r="HVH242"/>
      <c r="HVI242"/>
      <c r="HVJ242"/>
      <c r="HVK242"/>
      <c r="HVL242"/>
      <c r="HVM242"/>
      <c r="HVN242"/>
      <c r="HVO242"/>
      <c r="HVP242"/>
      <c r="HVQ242"/>
      <c r="HVR242"/>
      <c r="HVS242"/>
      <c r="HVT242"/>
      <c r="HVU242"/>
      <c r="HVV242"/>
      <c r="HVW242"/>
      <c r="HVX242"/>
      <c r="HVY242"/>
      <c r="HVZ242"/>
      <c r="HWA242"/>
      <c r="HWB242"/>
      <c r="HWC242"/>
      <c r="HWD242"/>
      <c r="HWE242"/>
      <c r="HWF242"/>
      <c r="HWG242"/>
      <c r="HWH242"/>
      <c r="HWI242"/>
      <c r="HWJ242"/>
      <c r="HWK242"/>
      <c r="HWL242"/>
      <c r="HWM242"/>
      <c r="HWN242"/>
      <c r="HWO242"/>
      <c r="HWP242"/>
      <c r="HWQ242"/>
      <c r="HWR242"/>
      <c r="HWS242"/>
      <c r="HWT242"/>
      <c r="HWU242"/>
      <c r="HWV242"/>
      <c r="HWW242"/>
      <c r="HWX242"/>
      <c r="HWY242"/>
      <c r="HWZ242"/>
      <c r="HXA242"/>
      <c r="HXB242"/>
      <c r="HXC242"/>
      <c r="HXD242"/>
      <c r="HXE242"/>
      <c r="HXF242"/>
      <c r="HXG242"/>
      <c r="HXH242"/>
      <c r="HXI242"/>
      <c r="HXJ242"/>
      <c r="HXK242"/>
      <c r="HXL242"/>
      <c r="HXM242"/>
      <c r="HXN242"/>
      <c r="HXO242"/>
      <c r="HXP242"/>
      <c r="HXQ242"/>
      <c r="HXR242"/>
      <c r="HXS242"/>
      <c r="HXT242"/>
      <c r="HXU242"/>
      <c r="HXV242"/>
      <c r="HXW242"/>
      <c r="HXX242"/>
      <c r="HXY242"/>
      <c r="HXZ242"/>
      <c r="HYA242"/>
      <c r="HYB242"/>
      <c r="HYC242"/>
      <c r="HYD242"/>
      <c r="HYE242"/>
      <c r="HYF242"/>
      <c r="HYG242"/>
      <c r="HYH242"/>
      <c r="HYI242"/>
      <c r="HYJ242"/>
      <c r="HYK242"/>
      <c r="HYL242"/>
      <c r="HYM242"/>
      <c r="HYN242"/>
      <c r="HYO242"/>
      <c r="HYP242"/>
      <c r="HYQ242"/>
      <c r="HYR242"/>
      <c r="HYS242"/>
      <c r="HYT242"/>
      <c r="HYU242"/>
      <c r="HYV242"/>
      <c r="HYW242"/>
      <c r="HYX242"/>
      <c r="HYY242"/>
      <c r="HYZ242"/>
      <c r="HZA242"/>
      <c r="HZB242"/>
      <c r="HZC242"/>
      <c r="HZD242"/>
      <c r="HZE242"/>
      <c r="HZF242"/>
      <c r="HZG242"/>
      <c r="HZH242"/>
      <c r="HZI242"/>
      <c r="HZJ242"/>
      <c r="HZK242"/>
      <c r="HZL242"/>
      <c r="HZM242"/>
      <c r="HZN242"/>
      <c r="HZO242"/>
      <c r="HZP242"/>
      <c r="HZQ242"/>
      <c r="HZR242"/>
      <c r="HZS242"/>
      <c r="HZT242"/>
      <c r="HZU242"/>
      <c r="HZV242"/>
      <c r="HZW242"/>
      <c r="HZX242"/>
      <c r="HZY242"/>
      <c r="HZZ242"/>
      <c r="IAA242"/>
      <c r="IAB242"/>
      <c r="IAC242"/>
      <c r="IAD242"/>
      <c r="IAE242"/>
      <c r="IAF242"/>
      <c r="IAG242"/>
      <c r="IAH242"/>
      <c r="IAI242"/>
      <c r="IAJ242"/>
      <c r="IAK242"/>
      <c r="IAL242"/>
      <c r="IAM242"/>
      <c r="IAN242"/>
      <c r="IAO242"/>
      <c r="IAP242"/>
      <c r="IAQ242"/>
      <c r="IAR242"/>
      <c r="IAS242"/>
      <c r="IAT242"/>
      <c r="IAU242"/>
      <c r="IAV242"/>
      <c r="IAW242"/>
      <c r="IAX242"/>
      <c r="IAY242"/>
      <c r="IAZ242"/>
      <c r="IBA242"/>
      <c r="IBB242"/>
      <c r="IBC242"/>
      <c r="IBD242"/>
      <c r="IBE242"/>
      <c r="IBF242"/>
      <c r="IBG242"/>
      <c r="IBH242"/>
      <c r="IBI242"/>
      <c r="IBJ242"/>
      <c r="IBK242"/>
      <c r="IBL242"/>
      <c r="IBM242"/>
      <c r="IBN242"/>
      <c r="IBO242"/>
      <c r="IBP242"/>
      <c r="IBQ242"/>
      <c r="IBR242"/>
      <c r="IBS242"/>
      <c r="IBT242"/>
      <c r="IBU242"/>
      <c r="IBV242"/>
      <c r="IBW242"/>
      <c r="IBX242"/>
      <c r="IBY242"/>
      <c r="IBZ242"/>
      <c r="ICA242"/>
      <c r="ICB242"/>
      <c r="ICC242"/>
      <c r="ICD242"/>
      <c r="ICE242"/>
      <c r="ICF242"/>
      <c r="ICG242"/>
      <c r="ICH242"/>
      <c r="ICI242"/>
      <c r="ICJ242"/>
      <c r="ICK242"/>
      <c r="ICL242"/>
      <c r="ICM242"/>
      <c r="ICN242"/>
      <c r="ICO242"/>
      <c r="ICP242"/>
      <c r="ICQ242"/>
      <c r="ICR242"/>
      <c r="ICS242"/>
      <c r="ICT242"/>
      <c r="ICU242"/>
      <c r="ICV242"/>
      <c r="ICW242"/>
      <c r="ICX242"/>
      <c r="ICY242"/>
      <c r="ICZ242"/>
      <c r="IDA242"/>
      <c r="IDB242"/>
      <c r="IDC242"/>
      <c r="IDD242"/>
      <c r="IDE242"/>
      <c r="IDF242"/>
      <c r="IDG242"/>
      <c r="IDH242"/>
      <c r="IDI242"/>
      <c r="IDJ242"/>
      <c r="IDK242"/>
      <c r="IDL242"/>
      <c r="IDM242"/>
      <c r="IDN242"/>
      <c r="IDO242"/>
      <c r="IDP242"/>
      <c r="IDQ242"/>
      <c r="IDR242"/>
      <c r="IDS242"/>
      <c r="IDT242"/>
      <c r="IDU242"/>
      <c r="IDV242"/>
      <c r="IDW242"/>
      <c r="IDX242"/>
      <c r="IDY242"/>
      <c r="IDZ242"/>
      <c r="IEA242"/>
      <c r="IEB242"/>
      <c r="IEC242"/>
      <c r="IED242"/>
      <c r="IEE242"/>
      <c r="IEF242"/>
      <c r="IEG242"/>
      <c r="IEH242"/>
      <c r="IEI242"/>
      <c r="IEJ242"/>
      <c r="IEK242"/>
      <c r="IEL242"/>
      <c r="IEM242"/>
      <c r="IEN242"/>
      <c r="IEO242"/>
      <c r="IEP242"/>
      <c r="IEQ242"/>
      <c r="IER242"/>
      <c r="IES242"/>
      <c r="IET242"/>
      <c r="IEU242"/>
      <c r="IEV242"/>
      <c r="IEW242"/>
      <c r="IEX242"/>
      <c r="IEY242"/>
      <c r="IEZ242"/>
      <c r="IFA242"/>
      <c r="IFB242"/>
      <c r="IFC242"/>
      <c r="IFD242"/>
      <c r="IFE242"/>
      <c r="IFF242"/>
      <c r="IFG242"/>
      <c r="IFH242"/>
      <c r="IFI242"/>
      <c r="IFJ242"/>
      <c r="IFK242"/>
      <c r="IFL242"/>
      <c r="IFM242"/>
      <c r="IFN242"/>
      <c r="IFO242"/>
      <c r="IFP242"/>
      <c r="IFQ242"/>
      <c r="IFR242"/>
      <c r="IFS242"/>
      <c r="IFT242"/>
      <c r="IFU242"/>
      <c r="IFV242"/>
      <c r="IFW242"/>
      <c r="IFX242"/>
      <c r="IFY242"/>
      <c r="IFZ242"/>
      <c r="IGA242"/>
      <c r="IGB242"/>
      <c r="IGC242"/>
      <c r="IGD242"/>
      <c r="IGE242"/>
      <c r="IGF242"/>
      <c r="IGG242"/>
      <c r="IGH242"/>
      <c r="IGI242"/>
      <c r="IGJ242"/>
      <c r="IGK242"/>
      <c r="IGL242"/>
      <c r="IGM242"/>
      <c r="IGN242"/>
      <c r="IGO242"/>
      <c r="IGP242"/>
      <c r="IGQ242"/>
      <c r="IGR242"/>
      <c r="IGS242"/>
      <c r="IGT242"/>
      <c r="IGU242"/>
      <c r="IGV242"/>
      <c r="IGW242"/>
      <c r="IGX242"/>
      <c r="IGY242"/>
      <c r="IGZ242"/>
      <c r="IHA242"/>
      <c r="IHB242"/>
      <c r="IHC242"/>
      <c r="IHD242"/>
      <c r="IHE242"/>
      <c r="IHF242"/>
      <c r="IHG242"/>
      <c r="IHH242"/>
      <c r="IHI242"/>
      <c r="IHJ242"/>
      <c r="IHK242"/>
      <c r="IHL242"/>
      <c r="IHM242"/>
      <c r="IHN242"/>
      <c r="IHO242"/>
      <c r="IHP242"/>
      <c r="IHQ242"/>
      <c r="IHR242"/>
      <c r="IHS242"/>
      <c r="IHT242"/>
      <c r="IHU242"/>
      <c r="IHV242"/>
      <c r="IHW242"/>
      <c r="IHX242"/>
      <c r="IHY242"/>
      <c r="IHZ242"/>
      <c r="IIA242"/>
      <c r="IIB242"/>
      <c r="IIC242"/>
      <c r="IID242"/>
      <c r="IIE242"/>
      <c r="IIF242"/>
      <c r="IIG242"/>
      <c r="IIH242"/>
      <c r="III242"/>
      <c r="IIJ242"/>
      <c r="IIK242"/>
      <c r="IIL242"/>
      <c r="IIM242"/>
      <c r="IIN242"/>
      <c r="IIO242"/>
      <c r="IIP242"/>
      <c r="IIQ242"/>
      <c r="IIR242"/>
      <c r="IIS242"/>
      <c r="IIT242"/>
      <c r="IIU242"/>
      <c r="IIV242"/>
      <c r="IIW242"/>
      <c r="IIX242"/>
      <c r="IIY242"/>
      <c r="IIZ242"/>
      <c r="IJA242"/>
      <c r="IJB242"/>
      <c r="IJC242"/>
      <c r="IJD242"/>
      <c r="IJE242"/>
      <c r="IJF242"/>
      <c r="IJG242"/>
      <c r="IJH242"/>
      <c r="IJI242"/>
      <c r="IJJ242"/>
      <c r="IJK242"/>
      <c r="IJL242"/>
      <c r="IJM242"/>
      <c r="IJN242"/>
      <c r="IJO242"/>
      <c r="IJP242"/>
      <c r="IJQ242"/>
      <c r="IJR242"/>
      <c r="IJS242"/>
      <c r="IJT242"/>
      <c r="IJU242"/>
      <c r="IJV242"/>
      <c r="IJW242"/>
      <c r="IJX242"/>
      <c r="IJY242"/>
      <c r="IJZ242"/>
      <c r="IKA242"/>
      <c r="IKB242"/>
      <c r="IKC242"/>
      <c r="IKD242"/>
      <c r="IKE242"/>
      <c r="IKF242"/>
      <c r="IKG242"/>
      <c r="IKH242"/>
      <c r="IKI242"/>
      <c r="IKJ242"/>
      <c r="IKK242"/>
      <c r="IKL242"/>
      <c r="IKM242"/>
      <c r="IKN242"/>
      <c r="IKO242"/>
      <c r="IKP242"/>
      <c r="IKQ242"/>
      <c r="IKR242"/>
      <c r="IKS242"/>
      <c r="IKT242"/>
      <c r="IKU242"/>
      <c r="IKV242"/>
      <c r="IKW242"/>
      <c r="IKX242"/>
      <c r="IKY242"/>
      <c r="IKZ242"/>
      <c r="ILA242"/>
      <c r="ILB242"/>
      <c r="ILC242"/>
      <c r="ILD242"/>
      <c r="ILE242"/>
      <c r="ILF242"/>
      <c r="ILG242"/>
      <c r="ILH242"/>
      <c r="ILI242"/>
      <c r="ILJ242"/>
      <c r="ILK242"/>
      <c r="ILL242"/>
      <c r="ILM242"/>
      <c r="ILN242"/>
      <c r="ILO242"/>
      <c r="ILP242"/>
      <c r="ILQ242"/>
      <c r="ILR242"/>
      <c r="ILS242"/>
      <c r="ILT242"/>
      <c r="ILU242"/>
      <c r="ILV242"/>
      <c r="ILW242"/>
      <c r="ILX242"/>
      <c r="ILY242"/>
      <c r="ILZ242"/>
      <c r="IMA242"/>
      <c r="IMB242"/>
      <c r="IMC242"/>
      <c r="IMD242"/>
      <c r="IME242"/>
      <c r="IMF242"/>
      <c r="IMG242"/>
      <c r="IMH242"/>
      <c r="IMI242"/>
      <c r="IMJ242"/>
      <c r="IMK242"/>
      <c r="IML242"/>
      <c r="IMM242"/>
      <c r="IMN242"/>
      <c r="IMO242"/>
      <c r="IMP242"/>
      <c r="IMQ242"/>
      <c r="IMR242"/>
      <c r="IMS242"/>
      <c r="IMT242"/>
      <c r="IMU242"/>
      <c r="IMV242"/>
      <c r="IMW242"/>
      <c r="IMX242"/>
      <c r="IMY242"/>
      <c r="IMZ242"/>
      <c r="INA242"/>
      <c r="INB242"/>
      <c r="INC242"/>
      <c r="IND242"/>
      <c r="INE242"/>
      <c r="INF242"/>
      <c r="ING242"/>
      <c r="INH242"/>
      <c r="INI242"/>
      <c r="INJ242"/>
      <c r="INK242"/>
      <c r="INL242"/>
      <c r="INM242"/>
      <c r="INN242"/>
      <c r="INO242"/>
      <c r="INP242"/>
      <c r="INQ242"/>
      <c r="INR242"/>
      <c r="INS242"/>
      <c r="INT242"/>
      <c r="INU242"/>
      <c r="INV242"/>
      <c r="INW242"/>
      <c r="INX242"/>
      <c r="INY242"/>
      <c r="INZ242"/>
      <c r="IOA242"/>
      <c r="IOB242"/>
      <c r="IOC242"/>
      <c r="IOD242"/>
      <c r="IOE242"/>
      <c r="IOF242"/>
      <c r="IOG242"/>
      <c r="IOH242"/>
      <c r="IOI242"/>
      <c r="IOJ242"/>
      <c r="IOK242"/>
      <c r="IOL242"/>
      <c r="IOM242"/>
      <c r="ION242"/>
      <c r="IOO242"/>
      <c r="IOP242"/>
      <c r="IOQ242"/>
      <c r="IOR242"/>
      <c r="IOS242"/>
      <c r="IOT242"/>
      <c r="IOU242"/>
      <c r="IOV242"/>
      <c r="IOW242"/>
      <c r="IOX242"/>
      <c r="IOY242"/>
      <c r="IOZ242"/>
      <c r="IPA242"/>
      <c r="IPB242"/>
      <c r="IPC242"/>
      <c r="IPD242"/>
      <c r="IPE242"/>
      <c r="IPF242"/>
      <c r="IPG242"/>
      <c r="IPH242"/>
      <c r="IPI242"/>
      <c r="IPJ242"/>
      <c r="IPK242"/>
      <c r="IPL242"/>
      <c r="IPM242"/>
      <c r="IPN242"/>
      <c r="IPO242"/>
      <c r="IPP242"/>
      <c r="IPQ242"/>
      <c r="IPR242"/>
      <c r="IPS242"/>
      <c r="IPT242"/>
      <c r="IPU242"/>
      <c r="IPV242"/>
      <c r="IPW242"/>
      <c r="IPX242"/>
      <c r="IPY242"/>
      <c r="IPZ242"/>
      <c r="IQA242"/>
      <c r="IQB242"/>
      <c r="IQC242"/>
      <c r="IQD242"/>
      <c r="IQE242"/>
      <c r="IQF242"/>
      <c r="IQG242"/>
      <c r="IQH242"/>
      <c r="IQI242"/>
      <c r="IQJ242"/>
      <c r="IQK242"/>
      <c r="IQL242"/>
      <c r="IQM242"/>
      <c r="IQN242"/>
      <c r="IQO242"/>
      <c r="IQP242"/>
      <c r="IQQ242"/>
      <c r="IQR242"/>
      <c r="IQS242"/>
      <c r="IQT242"/>
      <c r="IQU242"/>
      <c r="IQV242"/>
      <c r="IQW242"/>
      <c r="IQX242"/>
      <c r="IQY242"/>
      <c r="IQZ242"/>
      <c r="IRA242"/>
      <c r="IRB242"/>
      <c r="IRC242"/>
      <c r="IRD242"/>
      <c r="IRE242"/>
      <c r="IRF242"/>
      <c r="IRG242"/>
      <c r="IRH242"/>
      <c r="IRI242"/>
      <c r="IRJ242"/>
      <c r="IRK242"/>
      <c r="IRL242"/>
      <c r="IRM242"/>
      <c r="IRN242"/>
      <c r="IRO242"/>
      <c r="IRP242"/>
      <c r="IRQ242"/>
      <c r="IRR242"/>
      <c r="IRS242"/>
      <c r="IRT242"/>
      <c r="IRU242"/>
      <c r="IRV242"/>
      <c r="IRW242"/>
      <c r="IRX242"/>
      <c r="IRY242"/>
      <c r="IRZ242"/>
      <c r="ISA242"/>
      <c r="ISB242"/>
      <c r="ISC242"/>
      <c r="ISD242"/>
      <c r="ISE242"/>
      <c r="ISF242"/>
      <c r="ISG242"/>
      <c r="ISH242"/>
      <c r="ISI242"/>
      <c r="ISJ242"/>
      <c r="ISK242"/>
      <c r="ISL242"/>
      <c r="ISM242"/>
      <c r="ISN242"/>
      <c r="ISO242"/>
      <c r="ISP242"/>
      <c r="ISQ242"/>
      <c r="ISR242"/>
      <c r="ISS242"/>
      <c r="IST242"/>
      <c r="ISU242"/>
      <c r="ISV242"/>
      <c r="ISW242"/>
      <c r="ISX242"/>
      <c r="ISY242"/>
      <c r="ISZ242"/>
      <c r="ITA242"/>
      <c r="ITB242"/>
      <c r="ITC242"/>
      <c r="ITD242"/>
      <c r="ITE242"/>
      <c r="ITF242"/>
      <c r="ITG242"/>
      <c r="ITH242"/>
      <c r="ITI242"/>
      <c r="ITJ242"/>
      <c r="ITK242"/>
      <c r="ITL242"/>
      <c r="ITM242"/>
      <c r="ITN242"/>
      <c r="ITO242"/>
      <c r="ITP242"/>
      <c r="ITQ242"/>
      <c r="ITR242"/>
      <c r="ITS242"/>
      <c r="ITT242"/>
      <c r="ITU242"/>
      <c r="ITV242"/>
      <c r="ITW242"/>
      <c r="ITX242"/>
      <c r="ITY242"/>
      <c r="ITZ242"/>
      <c r="IUA242"/>
      <c r="IUB242"/>
      <c r="IUC242"/>
      <c r="IUD242"/>
      <c r="IUE242"/>
      <c r="IUF242"/>
      <c r="IUG242"/>
      <c r="IUH242"/>
      <c r="IUI242"/>
      <c r="IUJ242"/>
      <c r="IUK242"/>
      <c r="IUL242"/>
      <c r="IUM242"/>
      <c r="IUN242"/>
      <c r="IUO242"/>
      <c r="IUP242"/>
      <c r="IUQ242"/>
      <c r="IUR242"/>
      <c r="IUS242"/>
      <c r="IUT242"/>
      <c r="IUU242"/>
      <c r="IUV242"/>
      <c r="IUW242"/>
      <c r="IUX242"/>
      <c r="IUY242"/>
      <c r="IUZ242"/>
      <c r="IVA242"/>
      <c r="IVB242"/>
      <c r="IVC242"/>
      <c r="IVD242"/>
      <c r="IVE242"/>
      <c r="IVF242"/>
      <c r="IVG242"/>
      <c r="IVH242"/>
      <c r="IVI242"/>
      <c r="IVJ242"/>
      <c r="IVK242"/>
      <c r="IVL242"/>
      <c r="IVM242"/>
      <c r="IVN242"/>
      <c r="IVO242"/>
      <c r="IVP242"/>
      <c r="IVQ242"/>
      <c r="IVR242"/>
      <c r="IVS242"/>
      <c r="IVT242"/>
      <c r="IVU242"/>
      <c r="IVV242"/>
      <c r="IVW242"/>
      <c r="IVX242"/>
      <c r="IVY242"/>
      <c r="IVZ242"/>
      <c r="IWA242"/>
      <c r="IWB242"/>
      <c r="IWC242"/>
      <c r="IWD242"/>
      <c r="IWE242"/>
      <c r="IWF242"/>
      <c r="IWG242"/>
      <c r="IWH242"/>
      <c r="IWI242"/>
      <c r="IWJ242"/>
      <c r="IWK242"/>
      <c r="IWL242"/>
      <c r="IWM242"/>
      <c r="IWN242"/>
      <c r="IWO242"/>
      <c r="IWP242"/>
      <c r="IWQ242"/>
      <c r="IWR242"/>
      <c r="IWS242"/>
      <c r="IWT242"/>
      <c r="IWU242"/>
      <c r="IWV242"/>
      <c r="IWW242"/>
      <c r="IWX242"/>
      <c r="IWY242"/>
      <c r="IWZ242"/>
      <c r="IXA242"/>
      <c r="IXB242"/>
      <c r="IXC242"/>
      <c r="IXD242"/>
      <c r="IXE242"/>
      <c r="IXF242"/>
      <c r="IXG242"/>
      <c r="IXH242"/>
      <c r="IXI242"/>
      <c r="IXJ242"/>
      <c r="IXK242"/>
      <c r="IXL242"/>
      <c r="IXM242"/>
      <c r="IXN242"/>
      <c r="IXO242"/>
      <c r="IXP242"/>
      <c r="IXQ242"/>
      <c r="IXR242"/>
      <c r="IXS242"/>
      <c r="IXT242"/>
      <c r="IXU242"/>
      <c r="IXV242"/>
      <c r="IXW242"/>
      <c r="IXX242"/>
      <c r="IXY242"/>
      <c r="IXZ242"/>
      <c r="IYA242"/>
      <c r="IYB242"/>
      <c r="IYC242"/>
      <c r="IYD242"/>
      <c r="IYE242"/>
      <c r="IYF242"/>
      <c r="IYG242"/>
      <c r="IYH242"/>
      <c r="IYI242"/>
      <c r="IYJ242"/>
      <c r="IYK242"/>
      <c r="IYL242"/>
      <c r="IYM242"/>
      <c r="IYN242"/>
      <c r="IYO242"/>
      <c r="IYP242"/>
      <c r="IYQ242"/>
      <c r="IYR242"/>
      <c r="IYS242"/>
      <c r="IYT242"/>
      <c r="IYU242"/>
      <c r="IYV242"/>
      <c r="IYW242"/>
      <c r="IYX242"/>
      <c r="IYY242"/>
      <c r="IYZ242"/>
      <c r="IZA242"/>
      <c r="IZB242"/>
      <c r="IZC242"/>
      <c r="IZD242"/>
      <c r="IZE242"/>
      <c r="IZF242"/>
      <c r="IZG242"/>
      <c r="IZH242"/>
      <c r="IZI242"/>
      <c r="IZJ242"/>
      <c r="IZK242"/>
      <c r="IZL242"/>
      <c r="IZM242"/>
      <c r="IZN242"/>
      <c r="IZO242"/>
      <c r="IZP242"/>
      <c r="IZQ242"/>
      <c r="IZR242"/>
      <c r="IZS242"/>
      <c r="IZT242"/>
      <c r="IZU242"/>
      <c r="IZV242"/>
      <c r="IZW242"/>
      <c r="IZX242"/>
      <c r="IZY242"/>
      <c r="IZZ242"/>
      <c r="JAA242"/>
      <c r="JAB242"/>
      <c r="JAC242"/>
      <c r="JAD242"/>
      <c r="JAE242"/>
      <c r="JAF242"/>
      <c r="JAG242"/>
      <c r="JAH242"/>
      <c r="JAI242"/>
      <c r="JAJ242"/>
      <c r="JAK242"/>
      <c r="JAL242"/>
      <c r="JAM242"/>
      <c r="JAN242"/>
      <c r="JAO242"/>
      <c r="JAP242"/>
      <c r="JAQ242"/>
      <c r="JAR242"/>
      <c r="JAS242"/>
      <c r="JAT242"/>
      <c r="JAU242"/>
      <c r="JAV242"/>
      <c r="JAW242"/>
      <c r="JAX242"/>
      <c r="JAY242"/>
      <c r="JAZ242"/>
      <c r="JBA242"/>
      <c r="JBB242"/>
      <c r="JBC242"/>
      <c r="JBD242"/>
      <c r="JBE242"/>
      <c r="JBF242"/>
      <c r="JBG242"/>
      <c r="JBH242"/>
      <c r="JBI242"/>
      <c r="JBJ242"/>
      <c r="JBK242"/>
      <c r="JBL242"/>
      <c r="JBM242"/>
      <c r="JBN242"/>
      <c r="JBO242"/>
      <c r="JBP242"/>
      <c r="JBQ242"/>
      <c r="JBR242"/>
      <c r="JBS242"/>
      <c r="JBT242"/>
      <c r="JBU242"/>
      <c r="JBV242"/>
      <c r="JBW242"/>
      <c r="JBX242"/>
      <c r="JBY242"/>
      <c r="JBZ242"/>
      <c r="JCA242"/>
      <c r="JCB242"/>
      <c r="JCC242"/>
      <c r="JCD242"/>
      <c r="JCE242"/>
      <c r="JCF242"/>
      <c r="JCG242"/>
      <c r="JCH242"/>
      <c r="JCI242"/>
      <c r="JCJ242"/>
      <c r="JCK242"/>
      <c r="JCL242"/>
      <c r="JCM242"/>
      <c r="JCN242"/>
      <c r="JCO242"/>
      <c r="JCP242"/>
      <c r="JCQ242"/>
      <c r="JCR242"/>
      <c r="JCS242"/>
      <c r="JCT242"/>
      <c r="JCU242"/>
      <c r="JCV242"/>
      <c r="JCW242"/>
      <c r="JCX242"/>
      <c r="JCY242"/>
      <c r="JCZ242"/>
      <c r="JDA242"/>
      <c r="JDB242"/>
      <c r="JDC242"/>
      <c r="JDD242"/>
      <c r="JDE242"/>
      <c r="JDF242"/>
      <c r="JDG242"/>
      <c r="JDH242"/>
      <c r="JDI242"/>
      <c r="JDJ242"/>
      <c r="JDK242"/>
      <c r="JDL242"/>
      <c r="JDM242"/>
      <c r="JDN242"/>
      <c r="JDO242"/>
      <c r="JDP242"/>
      <c r="JDQ242"/>
      <c r="JDR242"/>
      <c r="JDS242"/>
      <c r="JDT242"/>
      <c r="JDU242"/>
      <c r="JDV242"/>
      <c r="JDW242"/>
      <c r="JDX242"/>
      <c r="JDY242"/>
      <c r="JDZ242"/>
      <c r="JEA242"/>
      <c r="JEB242"/>
      <c r="JEC242"/>
      <c r="JED242"/>
      <c r="JEE242"/>
      <c r="JEF242"/>
      <c r="JEG242"/>
      <c r="JEH242"/>
      <c r="JEI242"/>
      <c r="JEJ242"/>
      <c r="JEK242"/>
      <c r="JEL242"/>
      <c r="JEM242"/>
      <c r="JEN242"/>
      <c r="JEO242"/>
      <c r="JEP242"/>
      <c r="JEQ242"/>
      <c r="JER242"/>
      <c r="JES242"/>
      <c r="JET242"/>
      <c r="JEU242"/>
      <c r="JEV242"/>
      <c r="JEW242"/>
      <c r="JEX242"/>
      <c r="JEY242"/>
      <c r="JEZ242"/>
      <c r="JFA242"/>
      <c r="JFB242"/>
      <c r="JFC242"/>
      <c r="JFD242"/>
      <c r="JFE242"/>
      <c r="JFF242"/>
      <c r="JFG242"/>
      <c r="JFH242"/>
      <c r="JFI242"/>
      <c r="JFJ242"/>
      <c r="JFK242"/>
      <c r="JFL242"/>
      <c r="JFM242"/>
      <c r="JFN242"/>
      <c r="JFO242"/>
      <c r="JFP242"/>
      <c r="JFQ242"/>
      <c r="JFR242"/>
      <c r="JFS242"/>
      <c r="JFT242"/>
      <c r="JFU242"/>
      <c r="JFV242"/>
      <c r="JFW242"/>
      <c r="JFX242"/>
      <c r="JFY242"/>
      <c r="JFZ242"/>
      <c r="JGA242"/>
      <c r="JGB242"/>
      <c r="JGC242"/>
      <c r="JGD242"/>
      <c r="JGE242"/>
      <c r="JGF242"/>
      <c r="JGG242"/>
      <c r="JGH242"/>
      <c r="JGI242"/>
      <c r="JGJ242"/>
      <c r="JGK242"/>
      <c r="JGL242"/>
      <c r="JGM242"/>
      <c r="JGN242"/>
      <c r="JGO242"/>
      <c r="JGP242"/>
      <c r="JGQ242"/>
      <c r="JGR242"/>
      <c r="JGS242"/>
      <c r="JGT242"/>
      <c r="JGU242"/>
      <c r="JGV242"/>
      <c r="JGW242"/>
      <c r="JGX242"/>
      <c r="JGY242"/>
      <c r="JGZ242"/>
      <c r="JHA242"/>
      <c r="JHB242"/>
      <c r="JHC242"/>
      <c r="JHD242"/>
      <c r="JHE242"/>
      <c r="JHF242"/>
      <c r="JHG242"/>
      <c r="JHH242"/>
      <c r="JHI242"/>
      <c r="JHJ242"/>
      <c r="JHK242"/>
      <c r="JHL242"/>
      <c r="JHM242"/>
      <c r="JHN242"/>
      <c r="JHO242"/>
      <c r="JHP242"/>
      <c r="JHQ242"/>
      <c r="JHR242"/>
      <c r="JHS242"/>
      <c r="JHT242"/>
      <c r="JHU242"/>
      <c r="JHV242"/>
      <c r="JHW242"/>
      <c r="JHX242"/>
      <c r="JHY242"/>
      <c r="JHZ242"/>
      <c r="JIA242"/>
      <c r="JIB242"/>
      <c r="JIC242"/>
      <c r="JID242"/>
      <c r="JIE242"/>
      <c r="JIF242"/>
      <c r="JIG242"/>
      <c r="JIH242"/>
      <c r="JII242"/>
      <c r="JIJ242"/>
      <c r="JIK242"/>
      <c r="JIL242"/>
      <c r="JIM242"/>
      <c r="JIN242"/>
      <c r="JIO242"/>
      <c r="JIP242"/>
      <c r="JIQ242"/>
      <c r="JIR242"/>
      <c r="JIS242"/>
      <c r="JIT242"/>
      <c r="JIU242"/>
      <c r="JIV242"/>
      <c r="JIW242"/>
      <c r="JIX242"/>
      <c r="JIY242"/>
      <c r="JIZ242"/>
      <c r="JJA242"/>
      <c r="JJB242"/>
      <c r="JJC242"/>
      <c r="JJD242"/>
      <c r="JJE242"/>
      <c r="JJF242"/>
      <c r="JJG242"/>
      <c r="JJH242"/>
      <c r="JJI242"/>
      <c r="JJJ242"/>
      <c r="JJK242"/>
      <c r="JJL242"/>
      <c r="JJM242"/>
      <c r="JJN242"/>
      <c r="JJO242"/>
      <c r="JJP242"/>
      <c r="JJQ242"/>
      <c r="JJR242"/>
      <c r="JJS242"/>
      <c r="JJT242"/>
      <c r="JJU242"/>
      <c r="JJV242"/>
      <c r="JJW242"/>
      <c r="JJX242"/>
      <c r="JJY242"/>
      <c r="JJZ242"/>
      <c r="JKA242"/>
      <c r="JKB242"/>
      <c r="JKC242"/>
      <c r="JKD242"/>
      <c r="JKE242"/>
      <c r="JKF242"/>
      <c r="JKG242"/>
      <c r="JKH242"/>
      <c r="JKI242"/>
      <c r="JKJ242"/>
      <c r="JKK242"/>
      <c r="JKL242"/>
      <c r="JKM242"/>
      <c r="JKN242"/>
      <c r="JKO242"/>
      <c r="JKP242"/>
      <c r="JKQ242"/>
      <c r="JKR242"/>
      <c r="JKS242"/>
      <c r="JKT242"/>
      <c r="JKU242"/>
      <c r="JKV242"/>
      <c r="JKW242"/>
      <c r="JKX242"/>
      <c r="JKY242"/>
      <c r="JKZ242"/>
      <c r="JLA242"/>
      <c r="JLB242"/>
      <c r="JLC242"/>
      <c r="JLD242"/>
      <c r="JLE242"/>
      <c r="JLF242"/>
      <c r="JLG242"/>
      <c r="JLH242"/>
      <c r="JLI242"/>
      <c r="JLJ242"/>
      <c r="JLK242"/>
      <c r="JLL242"/>
      <c r="JLM242"/>
      <c r="JLN242"/>
      <c r="JLO242"/>
      <c r="JLP242"/>
      <c r="JLQ242"/>
      <c r="JLR242"/>
      <c r="JLS242"/>
      <c r="JLT242"/>
      <c r="JLU242"/>
      <c r="JLV242"/>
      <c r="JLW242"/>
      <c r="JLX242"/>
      <c r="JLY242"/>
      <c r="JLZ242"/>
      <c r="JMA242"/>
      <c r="JMB242"/>
      <c r="JMC242"/>
      <c r="JMD242"/>
      <c r="JME242"/>
      <c r="JMF242"/>
      <c r="JMG242"/>
      <c r="JMH242"/>
      <c r="JMI242"/>
      <c r="JMJ242"/>
      <c r="JMK242"/>
      <c r="JML242"/>
      <c r="JMM242"/>
      <c r="JMN242"/>
      <c r="JMO242"/>
      <c r="JMP242"/>
      <c r="JMQ242"/>
      <c r="JMR242"/>
      <c r="JMS242"/>
      <c r="JMT242"/>
      <c r="JMU242"/>
      <c r="JMV242"/>
      <c r="JMW242"/>
      <c r="JMX242"/>
      <c r="JMY242"/>
      <c r="JMZ242"/>
      <c r="JNA242"/>
      <c r="JNB242"/>
      <c r="JNC242"/>
      <c r="JND242"/>
      <c r="JNE242"/>
      <c r="JNF242"/>
      <c r="JNG242"/>
      <c r="JNH242"/>
      <c r="JNI242"/>
      <c r="JNJ242"/>
      <c r="JNK242"/>
      <c r="JNL242"/>
      <c r="JNM242"/>
      <c r="JNN242"/>
      <c r="JNO242"/>
      <c r="JNP242"/>
      <c r="JNQ242"/>
      <c r="JNR242"/>
      <c r="JNS242"/>
      <c r="JNT242"/>
      <c r="JNU242"/>
      <c r="JNV242"/>
      <c r="JNW242"/>
      <c r="JNX242"/>
      <c r="JNY242"/>
      <c r="JNZ242"/>
      <c r="JOA242"/>
      <c r="JOB242"/>
      <c r="JOC242"/>
      <c r="JOD242"/>
      <c r="JOE242"/>
      <c r="JOF242"/>
      <c r="JOG242"/>
      <c r="JOH242"/>
      <c r="JOI242"/>
      <c r="JOJ242"/>
      <c r="JOK242"/>
      <c r="JOL242"/>
      <c r="JOM242"/>
      <c r="JON242"/>
      <c r="JOO242"/>
      <c r="JOP242"/>
      <c r="JOQ242"/>
      <c r="JOR242"/>
      <c r="JOS242"/>
      <c r="JOT242"/>
      <c r="JOU242"/>
      <c r="JOV242"/>
      <c r="JOW242"/>
      <c r="JOX242"/>
      <c r="JOY242"/>
      <c r="JOZ242"/>
      <c r="JPA242"/>
      <c r="JPB242"/>
      <c r="JPC242"/>
      <c r="JPD242"/>
      <c r="JPE242"/>
      <c r="JPF242"/>
      <c r="JPG242"/>
      <c r="JPH242"/>
      <c r="JPI242"/>
      <c r="JPJ242"/>
      <c r="JPK242"/>
      <c r="JPL242"/>
      <c r="JPM242"/>
      <c r="JPN242"/>
      <c r="JPO242"/>
      <c r="JPP242"/>
      <c r="JPQ242"/>
      <c r="JPR242"/>
      <c r="JPS242"/>
      <c r="JPT242"/>
      <c r="JPU242"/>
      <c r="JPV242"/>
      <c r="JPW242"/>
      <c r="JPX242"/>
      <c r="JPY242"/>
      <c r="JPZ242"/>
      <c r="JQA242"/>
      <c r="JQB242"/>
      <c r="JQC242"/>
      <c r="JQD242"/>
      <c r="JQE242"/>
      <c r="JQF242"/>
      <c r="JQG242"/>
      <c r="JQH242"/>
      <c r="JQI242"/>
      <c r="JQJ242"/>
      <c r="JQK242"/>
      <c r="JQL242"/>
      <c r="JQM242"/>
      <c r="JQN242"/>
      <c r="JQO242"/>
      <c r="JQP242"/>
      <c r="JQQ242"/>
      <c r="JQR242"/>
      <c r="JQS242"/>
      <c r="JQT242"/>
      <c r="JQU242"/>
      <c r="JQV242"/>
      <c r="JQW242"/>
      <c r="JQX242"/>
      <c r="JQY242"/>
      <c r="JQZ242"/>
      <c r="JRA242"/>
      <c r="JRB242"/>
      <c r="JRC242"/>
      <c r="JRD242"/>
      <c r="JRE242"/>
      <c r="JRF242"/>
      <c r="JRG242"/>
      <c r="JRH242"/>
      <c r="JRI242"/>
      <c r="JRJ242"/>
      <c r="JRK242"/>
      <c r="JRL242"/>
      <c r="JRM242"/>
      <c r="JRN242"/>
      <c r="JRO242"/>
      <c r="JRP242"/>
      <c r="JRQ242"/>
      <c r="JRR242"/>
      <c r="JRS242"/>
      <c r="JRT242"/>
      <c r="JRU242"/>
      <c r="JRV242"/>
      <c r="JRW242"/>
      <c r="JRX242"/>
      <c r="JRY242"/>
      <c r="JRZ242"/>
      <c r="JSA242"/>
      <c r="JSB242"/>
      <c r="JSC242"/>
      <c r="JSD242"/>
      <c r="JSE242"/>
      <c r="JSF242"/>
      <c r="JSG242"/>
      <c r="JSH242"/>
      <c r="JSI242"/>
      <c r="JSJ242"/>
      <c r="JSK242"/>
      <c r="JSL242"/>
      <c r="JSM242"/>
      <c r="JSN242"/>
      <c r="JSO242"/>
      <c r="JSP242"/>
      <c r="JSQ242"/>
      <c r="JSR242"/>
      <c r="JSS242"/>
      <c r="JST242"/>
      <c r="JSU242"/>
      <c r="JSV242"/>
      <c r="JSW242"/>
      <c r="JSX242"/>
      <c r="JSY242"/>
      <c r="JSZ242"/>
      <c r="JTA242"/>
      <c r="JTB242"/>
      <c r="JTC242"/>
      <c r="JTD242"/>
      <c r="JTE242"/>
      <c r="JTF242"/>
      <c r="JTG242"/>
      <c r="JTH242"/>
      <c r="JTI242"/>
      <c r="JTJ242"/>
      <c r="JTK242"/>
      <c r="JTL242"/>
      <c r="JTM242"/>
      <c r="JTN242"/>
      <c r="JTO242"/>
      <c r="JTP242"/>
      <c r="JTQ242"/>
      <c r="JTR242"/>
      <c r="JTS242"/>
      <c r="JTT242"/>
      <c r="JTU242"/>
      <c r="JTV242"/>
      <c r="JTW242"/>
      <c r="JTX242"/>
      <c r="JTY242"/>
      <c r="JTZ242"/>
      <c r="JUA242"/>
      <c r="JUB242"/>
      <c r="JUC242"/>
      <c r="JUD242"/>
      <c r="JUE242"/>
      <c r="JUF242"/>
      <c r="JUG242"/>
      <c r="JUH242"/>
      <c r="JUI242"/>
      <c r="JUJ242"/>
      <c r="JUK242"/>
      <c r="JUL242"/>
      <c r="JUM242"/>
      <c r="JUN242"/>
      <c r="JUO242"/>
      <c r="JUP242"/>
      <c r="JUQ242"/>
      <c r="JUR242"/>
      <c r="JUS242"/>
      <c r="JUT242"/>
      <c r="JUU242"/>
      <c r="JUV242"/>
      <c r="JUW242"/>
      <c r="JUX242"/>
      <c r="JUY242"/>
      <c r="JUZ242"/>
      <c r="JVA242"/>
      <c r="JVB242"/>
      <c r="JVC242"/>
      <c r="JVD242"/>
      <c r="JVE242"/>
      <c r="JVF242"/>
      <c r="JVG242"/>
      <c r="JVH242"/>
      <c r="JVI242"/>
      <c r="JVJ242"/>
      <c r="JVK242"/>
      <c r="JVL242"/>
      <c r="JVM242"/>
      <c r="JVN242"/>
      <c r="JVO242"/>
      <c r="JVP242"/>
      <c r="JVQ242"/>
      <c r="JVR242"/>
      <c r="JVS242"/>
      <c r="JVT242"/>
      <c r="JVU242"/>
      <c r="JVV242"/>
      <c r="JVW242"/>
      <c r="JVX242"/>
      <c r="JVY242"/>
      <c r="JVZ242"/>
      <c r="JWA242"/>
      <c r="JWB242"/>
      <c r="JWC242"/>
      <c r="JWD242"/>
      <c r="JWE242"/>
      <c r="JWF242"/>
      <c r="JWG242"/>
      <c r="JWH242"/>
      <c r="JWI242"/>
      <c r="JWJ242"/>
      <c r="JWK242"/>
      <c r="JWL242"/>
      <c r="JWM242"/>
      <c r="JWN242"/>
      <c r="JWO242"/>
      <c r="JWP242"/>
      <c r="JWQ242"/>
      <c r="JWR242"/>
      <c r="JWS242"/>
      <c r="JWT242"/>
      <c r="JWU242"/>
      <c r="JWV242"/>
      <c r="JWW242"/>
      <c r="JWX242"/>
      <c r="JWY242"/>
      <c r="JWZ242"/>
      <c r="JXA242"/>
      <c r="JXB242"/>
      <c r="JXC242"/>
      <c r="JXD242"/>
      <c r="JXE242"/>
      <c r="JXF242"/>
      <c r="JXG242"/>
      <c r="JXH242"/>
      <c r="JXI242"/>
      <c r="JXJ242"/>
      <c r="JXK242"/>
      <c r="JXL242"/>
      <c r="JXM242"/>
      <c r="JXN242"/>
      <c r="JXO242"/>
      <c r="JXP242"/>
      <c r="JXQ242"/>
      <c r="JXR242"/>
      <c r="JXS242"/>
      <c r="JXT242"/>
      <c r="JXU242"/>
      <c r="JXV242"/>
      <c r="JXW242"/>
      <c r="JXX242"/>
      <c r="JXY242"/>
      <c r="JXZ242"/>
      <c r="JYA242"/>
      <c r="JYB242"/>
      <c r="JYC242"/>
      <c r="JYD242"/>
      <c r="JYE242"/>
      <c r="JYF242"/>
      <c r="JYG242"/>
      <c r="JYH242"/>
      <c r="JYI242"/>
      <c r="JYJ242"/>
      <c r="JYK242"/>
      <c r="JYL242"/>
      <c r="JYM242"/>
      <c r="JYN242"/>
      <c r="JYO242"/>
      <c r="JYP242"/>
      <c r="JYQ242"/>
      <c r="JYR242"/>
      <c r="JYS242"/>
      <c r="JYT242"/>
      <c r="JYU242"/>
      <c r="JYV242"/>
      <c r="JYW242"/>
      <c r="JYX242"/>
      <c r="JYY242"/>
      <c r="JYZ242"/>
      <c r="JZA242"/>
      <c r="JZB242"/>
      <c r="JZC242"/>
      <c r="JZD242"/>
      <c r="JZE242"/>
      <c r="JZF242"/>
      <c r="JZG242"/>
      <c r="JZH242"/>
      <c r="JZI242"/>
      <c r="JZJ242"/>
      <c r="JZK242"/>
      <c r="JZL242"/>
      <c r="JZM242"/>
      <c r="JZN242"/>
      <c r="JZO242"/>
      <c r="JZP242"/>
      <c r="JZQ242"/>
      <c r="JZR242"/>
      <c r="JZS242"/>
      <c r="JZT242"/>
      <c r="JZU242"/>
      <c r="JZV242"/>
      <c r="JZW242"/>
      <c r="JZX242"/>
      <c r="JZY242"/>
      <c r="JZZ242"/>
      <c r="KAA242"/>
      <c r="KAB242"/>
      <c r="KAC242"/>
      <c r="KAD242"/>
      <c r="KAE242"/>
      <c r="KAF242"/>
      <c r="KAG242"/>
      <c r="KAH242"/>
      <c r="KAI242"/>
      <c r="KAJ242"/>
      <c r="KAK242"/>
      <c r="KAL242"/>
      <c r="KAM242"/>
      <c r="KAN242"/>
      <c r="KAO242"/>
      <c r="KAP242"/>
      <c r="KAQ242"/>
      <c r="KAR242"/>
      <c r="KAS242"/>
      <c r="KAT242"/>
      <c r="KAU242"/>
      <c r="KAV242"/>
      <c r="KAW242"/>
      <c r="KAX242"/>
      <c r="KAY242"/>
      <c r="KAZ242"/>
      <c r="KBA242"/>
      <c r="KBB242"/>
      <c r="KBC242"/>
      <c r="KBD242"/>
      <c r="KBE242"/>
      <c r="KBF242"/>
      <c r="KBG242"/>
      <c r="KBH242"/>
      <c r="KBI242"/>
      <c r="KBJ242"/>
      <c r="KBK242"/>
      <c r="KBL242"/>
      <c r="KBM242"/>
      <c r="KBN242"/>
      <c r="KBO242"/>
      <c r="KBP242"/>
      <c r="KBQ242"/>
      <c r="KBR242"/>
      <c r="KBS242"/>
      <c r="KBT242"/>
      <c r="KBU242"/>
      <c r="KBV242"/>
      <c r="KBW242"/>
      <c r="KBX242"/>
      <c r="KBY242"/>
      <c r="KBZ242"/>
      <c r="KCA242"/>
      <c r="KCB242"/>
      <c r="KCC242"/>
      <c r="KCD242"/>
      <c r="KCE242"/>
      <c r="KCF242"/>
      <c r="KCG242"/>
      <c r="KCH242"/>
      <c r="KCI242"/>
      <c r="KCJ242"/>
      <c r="KCK242"/>
      <c r="KCL242"/>
      <c r="KCM242"/>
      <c r="KCN242"/>
      <c r="KCO242"/>
      <c r="KCP242"/>
      <c r="KCQ242"/>
      <c r="KCR242"/>
      <c r="KCS242"/>
      <c r="KCT242"/>
      <c r="KCU242"/>
      <c r="KCV242"/>
      <c r="KCW242"/>
      <c r="KCX242"/>
      <c r="KCY242"/>
      <c r="KCZ242"/>
      <c r="KDA242"/>
      <c r="KDB242"/>
      <c r="KDC242"/>
      <c r="KDD242"/>
      <c r="KDE242"/>
      <c r="KDF242"/>
      <c r="KDG242"/>
      <c r="KDH242"/>
      <c r="KDI242"/>
      <c r="KDJ242"/>
      <c r="KDK242"/>
      <c r="KDL242"/>
      <c r="KDM242"/>
      <c r="KDN242"/>
      <c r="KDO242"/>
      <c r="KDP242"/>
      <c r="KDQ242"/>
      <c r="KDR242"/>
      <c r="KDS242"/>
      <c r="KDT242"/>
      <c r="KDU242"/>
      <c r="KDV242"/>
      <c r="KDW242"/>
      <c r="KDX242"/>
      <c r="KDY242"/>
      <c r="KDZ242"/>
      <c r="KEA242"/>
      <c r="KEB242"/>
      <c r="KEC242"/>
      <c r="KED242"/>
      <c r="KEE242"/>
      <c r="KEF242"/>
      <c r="KEG242"/>
      <c r="KEH242"/>
      <c r="KEI242"/>
      <c r="KEJ242"/>
      <c r="KEK242"/>
      <c r="KEL242"/>
      <c r="KEM242"/>
      <c r="KEN242"/>
      <c r="KEO242"/>
      <c r="KEP242"/>
      <c r="KEQ242"/>
      <c r="KER242"/>
      <c r="KES242"/>
      <c r="KET242"/>
      <c r="KEU242"/>
      <c r="KEV242"/>
      <c r="KEW242"/>
      <c r="KEX242"/>
      <c r="KEY242"/>
      <c r="KEZ242"/>
      <c r="KFA242"/>
      <c r="KFB242"/>
      <c r="KFC242"/>
      <c r="KFD242"/>
      <c r="KFE242"/>
      <c r="KFF242"/>
      <c r="KFG242"/>
      <c r="KFH242"/>
      <c r="KFI242"/>
      <c r="KFJ242"/>
      <c r="KFK242"/>
      <c r="KFL242"/>
      <c r="KFM242"/>
      <c r="KFN242"/>
      <c r="KFO242"/>
      <c r="KFP242"/>
      <c r="KFQ242"/>
      <c r="KFR242"/>
      <c r="KFS242"/>
      <c r="KFT242"/>
      <c r="KFU242"/>
      <c r="KFV242"/>
      <c r="KFW242"/>
      <c r="KFX242"/>
      <c r="KFY242"/>
      <c r="KFZ242"/>
      <c r="KGA242"/>
      <c r="KGB242"/>
      <c r="KGC242"/>
      <c r="KGD242"/>
      <c r="KGE242"/>
      <c r="KGF242"/>
      <c r="KGG242"/>
      <c r="KGH242"/>
      <c r="KGI242"/>
      <c r="KGJ242"/>
      <c r="KGK242"/>
      <c r="KGL242"/>
      <c r="KGM242"/>
      <c r="KGN242"/>
      <c r="KGO242"/>
      <c r="KGP242"/>
      <c r="KGQ242"/>
      <c r="KGR242"/>
      <c r="KGS242"/>
      <c r="KGT242"/>
      <c r="KGU242"/>
      <c r="KGV242"/>
      <c r="KGW242"/>
      <c r="KGX242"/>
      <c r="KGY242"/>
      <c r="KGZ242"/>
      <c r="KHA242"/>
      <c r="KHB242"/>
      <c r="KHC242"/>
      <c r="KHD242"/>
      <c r="KHE242"/>
      <c r="KHF242"/>
      <c r="KHG242"/>
      <c r="KHH242"/>
      <c r="KHI242"/>
      <c r="KHJ242"/>
      <c r="KHK242"/>
      <c r="KHL242"/>
      <c r="KHM242"/>
      <c r="KHN242"/>
      <c r="KHO242"/>
      <c r="KHP242"/>
      <c r="KHQ242"/>
      <c r="KHR242"/>
      <c r="KHS242"/>
      <c r="KHT242"/>
      <c r="KHU242"/>
      <c r="KHV242"/>
      <c r="KHW242"/>
      <c r="KHX242"/>
      <c r="KHY242"/>
      <c r="KHZ242"/>
      <c r="KIA242"/>
      <c r="KIB242"/>
      <c r="KIC242"/>
      <c r="KID242"/>
      <c r="KIE242"/>
      <c r="KIF242"/>
      <c r="KIG242"/>
      <c r="KIH242"/>
      <c r="KII242"/>
      <c r="KIJ242"/>
      <c r="KIK242"/>
      <c r="KIL242"/>
      <c r="KIM242"/>
      <c r="KIN242"/>
      <c r="KIO242"/>
      <c r="KIP242"/>
      <c r="KIQ242"/>
      <c r="KIR242"/>
      <c r="KIS242"/>
      <c r="KIT242"/>
      <c r="KIU242"/>
      <c r="KIV242"/>
      <c r="KIW242"/>
      <c r="KIX242"/>
      <c r="KIY242"/>
      <c r="KIZ242"/>
      <c r="KJA242"/>
      <c r="KJB242"/>
      <c r="KJC242"/>
      <c r="KJD242"/>
      <c r="KJE242"/>
      <c r="KJF242"/>
      <c r="KJG242"/>
      <c r="KJH242"/>
      <c r="KJI242"/>
      <c r="KJJ242"/>
      <c r="KJK242"/>
      <c r="KJL242"/>
      <c r="KJM242"/>
      <c r="KJN242"/>
      <c r="KJO242"/>
      <c r="KJP242"/>
      <c r="KJQ242"/>
      <c r="KJR242"/>
      <c r="KJS242"/>
      <c r="KJT242"/>
      <c r="KJU242"/>
      <c r="KJV242"/>
      <c r="KJW242"/>
      <c r="KJX242"/>
      <c r="KJY242"/>
      <c r="KJZ242"/>
      <c r="KKA242"/>
      <c r="KKB242"/>
      <c r="KKC242"/>
      <c r="KKD242"/>
      <c r="KKE242"/>
      <c r="KKF242"/>
      <c r="KKG242"/>
      <c r="KKH242"/>
      <c r="KKI242"/>
      <c r="KKJ242"/>
      <c r="KKK242"/>
      <c r="KKL242"/>
      <c r="KKM242"/>
      <c r="KKN242"/>
      <c r="KKO242"/>
      <c r="KKP242"/>
      <c r="KKQ242"/>
      <c r="KKR242"/>
      <c r="KKS242"/>
      <c r="KKT242"/>
      <c r="KKU242"/>
      <c r="KKV242"/>
      <c r="KKW242"/>
      <c r="KKX242"/>
      <c r="KKY242"/>
      <c r="KKZ242"/>
      <c r="KLA242"/>
      <c r="KLB242"/>
      <c r="KLC242"/>
      <c r="KLD242"/>
      <c r="KLE242"/>
      <c r="KLF242"/>
      <c r="KLG242"/>
      <c r="KLH242"/>
      <c r="KLI242"/>
      <c r="KLJ242"/>
      <c r="KLK242"/>
      <c r="KLL242"/>
      <c r="KLM242"/>
      <c r="KLN242"/>
      <c r="KLO242"/>
      <c r="KLP242"/>
      <c r="KLQ242"/>
      <c r="KLR242"/>
      <c r="KLS242"/>
      <c r="KLT242"/>
      <c r="KLU242"/>
      <c r="KLV242"/>
      <c r="KLW242"/>
      <c r="KLX242"/>
      <c r="KLY242"/>
      <c r="KLZ242"/>
      <c r="KMA242"/>
      <c r="KMB242"/>
      <c r="KMC242"/>
      <c r="KMD242"/>
      <c r="KME242"/>
      <c r="KMF242"/>
      <c r="KMG242"/>
      <c r="KMH242"/>
      <c r="KMI242"/>
      <c r="KMJ242"/>
      <c r="KMK242"/>
      <c r="KML242"/>
      <c r="KMM242"/>
      <c r="KMN242"/>
      <c r="KMO242"/>
      <c r="KMP242"/>
      <c r="KMQ242"/>
      <c r="KMR242"/>
      <c r="KMS242"/>
      <c r="KMT242"/>
      <c r="KMU242"/>
      <c r="KMV242"/>
      <c r="KMW242"/>
      <c r="KMX242"/>
      <c r="KMY242"/>
      <c r="KMZ242"/>
      <c r="KNA242"/>
      <c r="KNB242"/>
      <c r="KNC242"/>
      <c r="KND242"/>
      <c r="KNE242"/>
      <c r="KNF242"/>
      <c r="KNG242"/>
      <c r="KNH242"/>
      <c r="KNI242"/>
      <c r="KNJ242"/>
      <c r="KNK242"/>
      <c r="KNL242"/>
      <c r="KNM242"/>
      <c r="KNN242"/>
      <c r="KNO242"/>
      <c r="KNP242"/>
      <c r="KNQ242"/>
      <c r="KNR242"/>
      <c r="KNS242"/>
      <c r="KNT242"/>
      <c r="KNU242"/>
      <c r="KNV242"/>
      <c r="KNW242"/>
      <c r="KNX242"/>
      <c r="KNY242"/>
      <c r="KNZ242"/>
      <c r="KOA242"/>
      <c r="KOB242"/>
      <c r="KOC242"/>
      <c r="KOD242"/>
      <c r="KOE242"/>
      <c r="KOF242"/>
      <c r="KOG242"/>
      <c r="KOH242"/>
      <c r="KOI242"/>
      <c r="KOJ242"/>
      <c r="KOK242"/>
      <c r="KOL242"/>
      <c r="KOM242"/>
      <c r="KON242"/>
      <c r="KOO242"/>
      <c r="KOP242"/>
      <c r="KOQ242"/>
      <c r="KOR242"/>
      <c r="KOS242"/>
      <c r="KOT242"/>
      <c r="KOU242"/>
      <c r="KOV242"/>
      <c r="KOW242"/>
      <c r="KOX242"/>
      <c r="KOY242"/>
      <c r="KOZ242"/>
      <c r="KPA242"/>
      <c r="KPB242"/>
      <c r="KPC242"/>
      <c r="KPD242"/>
      <c r="KPE242"/>
      <c r="KPF242"/>
      <c r="KPG242"/>
      <c r="KPH242"/>
      <c r="KPI242"/>
      <c r="KPJ242"/>
      <c r="KPK242"/>
      <c r="KPL242"/>
      <c r="KPM242"/>
      <c r="KPN242"/>
      <c r="KPO242"/>
      <c r="KPP242"/>
      <c r="KPQ242"/>
      <c r="KPR242"/>
      <c r="KPS242"/>
      <c r="KPT242"/>
      <c r="KPU242"/>
      <c r="KPV242"/>
      <c r="KPW242"/>
      <c r="KPX242"/>
      <c r="KPY242"/>
      <c r="KPZ242"/>
      <c r="KQA242"/>
      <c r="KQB242"/>
      <c r="KQC242"/>
      <c r="KQD242"/>
      <c r="KQE242"/>
      <c r="KQF242"/>
      <c r="KQG242"/>
      <c r="KQH242"/>
      <c r="KQI242"/>
      <c r="KQJ242"/>
      <c r="KQK242"/>
      <c r="KQL242"/>
      <c r="KQM242"/>
      <c r="KQN242"/>
      <c r="KQO242"/>
      <c r="KQP242"/>
      <c r="KQQ242"/>
      <c r="KQR242"/>
      <c r="KQS242"/>
      <c r="KQT242"/>
      <c r="KQU242"/>
      <c r="KQV242"/>
      <c r="KQW242"/>
      <c r="KQX242"/>
      <c r="KQY242"/>
      <c r="KQZ242"/>
      <c r="KRA242"/>
      <c r="KRB242"/>
      <c r="KRC242"/>
      <c r="KRD242"/>
      <c r="KRE242"/>
      <c r="KRF242"/>
      <c r="KRG242"/>
      <c r="KRH242"/>
      <c r="KRI242"/>
      <c r="KRJ242"/>
      <c r="KRK242"/>
      <c r="KRL242"/>
      <c r="KRM242"/>
      <c r="KRN242"/>
      <c r="KRO242"/>
      <c r="KRP242"/>
      <c r="KRQ242"/>
      <c r="KRR242"/>
      <c r="KRS242"/>
      <c r="KRT242"/>
      <c r="KRU242"/>
      <c r="KRV242"/>
      <c r="KRW242"/>
      <c r="KRX242"/>
      <c r="KRY242"/>
      <c r="KRZ242"/>
      <c r="KSA242"/>
      <c r="KSB242"/>
      <c r="KSC242"/>
      <c r="KSD242"/>
      <c r="KSE242"/>
      <c r="KSF242"/>
      <c r="KSG242"/>
      <c r="KSH242"/>
      <c r="KSI242"/>
      <c r="KSJ242"/>
      <c r="KSK242"/>
      <c r="KSL242"/>
      <c r="KSM242"/>
      <c r="KSN242"/>
      <c r="KSO242"/>
      <c r="KSP242"/>
      <c r="KSQ242"/>
      <c r="KSR242"/>
      <c r="KSS242"/>
      <c r="KST242"/>
      <c r="KSU242"/>
      <c r="KSV242"/>
      <c r="KSW242"/>
      <c r="KSX242"/>
      <c r="KSY242"/>
      <c r="KSZ242"/>
      <c r="KTA242"/>
      <c r="KTB242"/>
      <c r="KTC242"/>
      <c r="KTD242"/>
      <c r="KTE242"/>
      <c r="KTF242"/>
      <c r="KTG242"/>
      <c r="KTH242"/>
      <c r="KTI242"/>
      <c r="KTJ242"/>
      <c r="KTK242"/>
      <c r="KTL242"/>
      <c r="KTM242"/>
      <c r="KTN242"/>
      <c r="KTO242"/>
      <c r="KTP242"/>
      <c r="KTQ242"/>
      <c r="KTR242"/>
      <c r="KTS242"/>
      <c r="KTT242"/>
      <c r="KTU242"/>
      <c r="KTV242"/>
      <c r="KTW242"/>
      <c r="KTX242"/>
      <c r="KTY242"/>
      <c r="KTZ242"/>
      <c r="KUA242"/>
      <c r="KUB242"/>
      <c r="KUC242"/>
      <c r="KUD242"/>
      <c r="KUE242"/>
      <c r="KUF242"/>
      <c r="KUG242"/>
      <c r="KUH242"/>
      <c r="KUI242"/>
      <c r="KUJ242"/>
      <c r="KUK242"/>
      <c r="KUL242"/>
      <c r="KUM242"/>
      <c r="KUN242"/>
      <c r="KUO242"/>
      <c r="KUP242"/>
      <c r="KUQ242"/>
      <c r="KUR242"/>
      <c r="KUS242"/>
      <c r="KUT242"/>
      <c r="KUU242"/>
      <c r="KUV242"/>
      <c r="KUW242"/>
      <c r="KUX242"/>
      <c r="KUY242"/>
      <c r="KUZ242"/>
      <c r="KVA242"/>
      <c r="KVB242"/>
      <c r="KVC242"/>
      <c r="KVD242"/>
      <c r="KVE242"/>
      <c r="KVF242"/>
      <c r="KVG242"/>
      <c r="KVH242"/>
      <c r="KVI242"/>
      <c r="KVJ242"/>
      <c r="KVK242"/>
      <c r="KVL242"/>
      <c r="KVM242"/>
      <c r="KVN242"/>
      <c r="KVO242"/>
      <c r="KVP242"/>
      <c r="KVQ242"/>
      <c r="KVR242"/>
      <c r="KVS242"/>
      <c r="KVT242"/>
      <c r="KVU242"/>
      <c r="KVV242"/>
      <c r="KVW242"/>
      <c r="KVX242"/>
      <c r="KVY242"/>
      <c r="KVZ242"/>
      <c r="KWA242"/>
      <c r="KWB242"/>
      <c r="KWC242"/>
      <c r="KWD242"/>
      <c r="KWE242"/>
      <c r="KWF242"/>
      <c r="KWG242"/>
      <c r="KWH242"/>
      <c r="KWI242"/>
      <c r="KWJ242"/>
      <c r="KWK242"/>
      <c r="KWL242"/>
      <c r="KWM242"/>
      <c r="KWN242"/>
      <c r="KWO242"/>
      <c r="KWP242"/>
      <c r="KWQ242"/>
      <c r="KWR242"/>
      <c r="KWS242"/>
      <c r="KWT242"/>
      <c r="KWU242"/>
      <c r="KWV242"/>
      <c r="KWW242"/>
      <c r="KWX242"/>
      <c r="KWY242"/>
      <c r="KWZ242"/>
      <c r="KXA242"/>
      <c r="KXB242"/>
      <c r="KXC242"/>
      <c r="KXD242"/>
      <c r="KXE242"/>
      <c r="KXF242"/>
      <c r="KXG242"/>
      <c r="KXH242"/>
      <c r="KXI242"/>
      <c r="KXJ242"/>
      <c r="KXK242"/>
      <c r="KXL242"/>
      <c r="KXM242"/>
      <c r="KXN242"/>
      <c r="KXO242"/>
      <c r="KXP242"/>
      <c r="KXQ242"/>
      <c r="KXR242"/>
      <c r="KXS242"/>
      <c r="KXT242"/>
      <c r="KXU242"/>
      <c r="KXV242"/>
      <c r="KXW242"/>
      <c r="KXX242"/>
      <c r="KXY242"/>
      <c r="KXZ242"/>
      <c r="KYA242"/>
      <c r="KYB242"/>
      <c r="KYC242"/>
      <c r="KYD242"/>
      <c r="KYE242"/>
      <c r="KYF242"/>
      <c r="KYG242"/>
      <c r="KYH242"/>
      <c r="KYI242"/>
      <c r="KYJ242"/>
      <c r="KYK242"/>
      <c r="KYL242"/>
      <c r="KYM242"/>
      <c r="KYN242"/>
      <c r="KYO242"/>
      <c r="KYP242"/>
      <c r="KYQ242"/>
      <c r="KYR242"/>
      <c r="KYS242"/>
      <c r="KYT242"/>
      <c r="KYU242"/>
      <c r="KYV242"/>
      <c r="KYW242"/>
      <c r="KYX242"/>
      <c r="KYY242"/>
      <c r="KYZ242"/>
      <c r="KZA242"/>
      <c r="KZB242"/>
      <c r="KZC242"/>
      <c r="KZD242"/>
      <c r="KZE242"/>
      <c r="KZF242"/>
      <c r="KZG242"/>
      <c r="KZH242"/>
      <c r="KZI242"/>
      <c r="KZJ242"/>
      <c r="KZK242"/>
      <c r="KZL242"/>
      <c r="KZM242"/>
      <c r="KZN242"/>
      <c r="KZO242"/>
      <c r="KZP242"/>
      <c r="KZQ242"/>
      <c r="KZR242"/>
      <c r="KZS242"/>
      <c r="KZT242"/>
      <c r="KZU242"/>
      <c r="KZV242"/>
      <c r="KZW242"/>
      <c r="KZX242"/>
      <c r="KZY242"/>
      <c r="KZZ242"/>
      <c r="LAA242"/>
      <c r="LAB242"/>
      <c r="LAC242"/>
      <c r="LAD242"/>
      <c r="LAE242"/>
      <c r="LAF242"/>
      <c r="LAG242"/>
      <c r="LAH242"/>
      <c r="LAI242"/>
      <c r="LAJ242"/>
      <c r="LAK242"/>
      <c r="LAL242"/>
      <c r="LAM242"/>
      <c r="LAN242"/>
      <c r="LAO242"/>
      <c r="LAP242"/>
      <c r="LAQ242"/>
      <c r="LAR242"/>
      <c r="LAS242"/>
      <c r="LAT242"/>
      <c r="LAU242"/>
      <c r="LAV242"/>
      <c r="LAW242"/>
      <c r="LAX242"/>
      <c r="LAY242"/>
      <c r="LAZ242"/>
      <c r="LBA242"/>
      <c r="LBB242"/>
      <c r="LBC242"/>
      <c r="LBD242"/>
      <c r="LBE242"/>
      <c r="LBF242"/>
      <c r="LBG242"/>
      <c r="LBH242"/>
      <c r="LBI242"/>
      <c r="LBJ242"/>
      <c r="LBK242"/>
      <c r="LBL242"/>
      <c r="LBM242"/>
      <c r="LBN242"/>
      <c r="LBO242"/>
      <c r="LBP242"/>
      <c r="LBQ242"/>
      <c r="LBR242"/>
      <c r="LBS242"/>
      <c r="LBT242"/>
      <c r="LBU242"/>
      <c r="LBV242"/>
      <c r="LBW242"/>
      <c r="LBX242"/>
      <c r="LBY242"/>
      <c r="LBZ242"/>
      <c r="LCA242"/>
      <c r="LCB242"/>
      <c r="LCC242"/>
      <c r="LCD242"/>
      <c r="LCE242"/>
      <c r="LCF242"/>
      <c r="LCG242"/>
      <c r="LCH242"/>
      <c r="LCI242"/>
      <c r="LCJ242"/>
      <c r="LCK242"/>
      <c r="LCL242"/>
      <c r="LCM242"/>
      <c r="LCN242"/>
      <c r="LCO242"/>
      <c r="LCP242"/>
      <c r="LCQ242"/>
      <c r="LCR242"/>
      <c r="LCS242"/>
      <c r="LCT242"/>
      <c r="LCU242"/>
      <c r="LCV242"/>
      <c r="LCW242"/>
      <c r="LCX242"/>
      <c r="LCY242"/>
      <c r="LCZ242"/>
      <c r="LDA242"/>
      <c r="LDB242"/>
      <c r="LDC242"/>
      <c r="LDD242"/>
      <c r="LDE242"/>
      <c r="LDF242"/>
      <c r="LDG242"/>
      <c r="LDH242"/>
      <c r="LDI242"/>
      <c r="LDJ242"/>
      <c r="LDK242"/>
      <c r="LDL242"/>
      <c r="LDM242"/>
      <c r="LDN242"/>
      <c r="LDO242"/>
      <c r="LDP242"/>
      <c r="LDQ242"/>
      <c r="LDR242"/>
      <c r="LDS242"/>
      <c r="LDT242"/>
      <c r="LDU242"/>
      <c r="LDV242"/>
      <c r="LDW242"/>
      <c r="LDX242"/>
      <c r="LDY242"/>
      <c r="LDZ242"/>
      <c r="LEA242"/>
      <c r="LEB242"/>
      <c r="LEC242"/>
      <c r="LED242"/>
      <c r="LEE242"/>
      <c r="LEF242"/>
      <c r="LEG242"/>
      <c r="LEH242"/>
      <c r="LEI242"/>
      <c r="LEJ242"/>
      <c r="LEK242"/>
      <c r="LEL242"/>
      <c r="LEM242"/>
      <c r="LEN242"/>
      <c r="LEO242"/>
      <c r="LEP242"/>
      <c r="LEQ242"/>
      <c r="LER242"/>
      <c r="LES242"/>
      <c r="LET242"/>
      <c r="LEU242"/>
      <c r="LEV242"/>
      <c r="LEW242"/>
      <c r="LEX242"/>
      <c r="LEY242"/>
      <c r="LEZ242"/>
      <c r="LFA242"/>
      <c r="LFB242"/>
      <c r="LFC242"/>
      <c r="LFD242"/>
      <c r="LFE242"/>
      <c r="LFF242"/>
      <c r="LFG242"/>
      <c r="LFH242"/>
      <c r="LFI242"/>
      <c r="LFJ242"/>
      <c r="LFK242"/>
      <c r="LFL242"/>
      <c r="LFM242"/>
      <c r="LFN242"/>
      <c r="LFO242"/>
      <c r="LFP242"/>
      <c r="LFQ242"/>
      <c r="LFR242"/>
      <c r="LFS242"/>
      <c r="LFT242"/>
      <c r="LFU242"/>
      <c r="LFV242"/>
      <c r="LFW242"/>
      <c r="LFX242"/>
      <c r="LFY242"/>
      <c r="LFZ242"/>
      <c r="LGA242"/>
      <c r="LGB242"/>
      <c r="LGC242"/>
      <c r="LGD242"/>
      <c r="LGE242"/>
      <c r="LGF242"/>
      <c r="LGG242"/>
      <c r="LGH242"/>
      <c r="LGI242"/>
      <c r="LGJ242"/>
      <c r="LGK242"/>
      <c r="LGL242"/>
      <c r="LGM242"/>
      <c r="LGN242"/>
      <c r="LGO242"/>
      <c r="LGP242"/>
      <c r="LGQ242"/>
      <c r="LGR242"/>
      <c r="LGS242"/>
      <c r="LGT242"/>
      <c r="LGU242"/>
      <c r="LGV242"/>
      <c r="LGW242"/>
      <c r="LGX242"/>
      <c r="LGY242"/>
      <c r="LGZ242"/>
      <c r="LHA242"/>
      <c r="LHB242"/>
      <c r="LHC242"/>
      <c r="LHD242"/>
      <c r="LHE242"/>
      <c r="LHF242"/>
      <c r="LHG242"/>
      <c r="LHH242"/>
      <c r="LHI242"/>
      <c r="LHJ242"/>
      <c r="LHK242"/>
      <c r="LHL242"/>
      <c r="LHM242"/>
      <c r="LHN242"/>
      <c r="LHO242"/>
      <c r="LHP242"/>
      <c r="LHQ242"/>
      <c r="LHR242"/>
      <c r="LHS242"/>
      <c r="LHT242"/>
      <c r="LHU242"/>
      <c r="LHV242"/>
      <c r="LHW242"/>
      <c r="LHX242"/>
      <c r="LHY242"/>
      <c r="LHZ242"/>
      <c r="LIA242"/>
      <c r="LIB242"/>
      <c r="LIC242"/>
      <c r="LID242"/>
      <c r="LIE242"/>
      <c r="LIF242"/>
      <c r="LIG242"/>
      <c r="LIH242"/>
      <c r="LII242"/>
      <c r="LIJ242"/>
      <c r="LIK242"/>
      <c r="LIL242"/>
      <c r="LIM242"/>
      <c r="LIN242"/>
      <c r="LIO242"/>
      <c r="LIP242"/>
      <c r="LIQ242"/>
      <c r="LIR242"/>
      <c r="LIS242"/>
      <c r="LIT242"/>
      <c r="LIU242"/>
      <c r="LIV242"/>
      <c r="LIW242"/>
      <c r="LIX242"/>
      <c r="LIY242"/>
      <c r="LIZ242"/>
      <c r="LJA242"/>
      <c r="LJB242"/>
      <c r="LJC242"/>
      <c r="LJD242"/>
      <c r="LJE242"/>
      <c r="LJF242"/>
      <c r="LJG242"/>
      <c r="LJH242"/>
      <c r="LJI242"/>
      <c r="LJJ242"/>
      <c r="LJK242"/>
      <c r="LJL242"/>
      <c r="LJM242"/>
      <c r="LJN242"/>
      <c r="LJO242"/>
      <c r="LJP242"/>
      <c r="LJQ242"/>
      <c r="LJR242"/>
      <c r="LJS242"/>
      <c r="LJT242"/>
      <c r="LJU242"/>
      <c r="LJV242"/>
      <c r="LJW242"/>
      <c r="LJX242"/>
      <c r="LJY242"/>
      <c r="LJZ242"/>
      <c r="LKA242"/>
      <c r="LKB242"/>
      <c r="LKC242"/>
      <c r="LKD242"/>
      <c r="LKE242"/>
      <c r="LKF242"/>
      <c r="LKG242"/>
      <c r="LKH242"/>
      <c r="LKI242"/>
      <c r="LKJ242"/>
      <c r="LKK242"/>
      <c r="LKL242"/>
      <c r="LKM242"/>
      <c r="LKN242"/>
      <c r="LKO242"/>
      <c r="LKP242"/>
      <c r="LKQ242"/>
      <c r="LKR242"/>
      <c r="LKS242"/>
      <c r="LKT242"/>
      <c r="LKU242"/>
      <c r="LKV242"/>
      <c r="LKW242"/>
      <c r="LKX242"/>
      <c r="LKY242"/>
      <c r="LKZ242"/>
      <c r="LLA242"/>
      <c r="LLB242"/>
      <c r="LLC242"/>
      <c r="LLD242"/>
      <c r="LLE242"/>
      <c r="LLF242"/>
      <c r="LLG242"/>
      <c r="LLH242"/>
      <c r="LLI242"/>
      <c r="LLJ242"/>
      <c r="LLK242"/>
      <c r="LLL242"/>
      <c r="LLM242"/>
      <c r="LLN242"/>
      <c r="LLO242"/>
      <c r="LLP242"/>
      <c r="LLQ242"/>
      <c r="LLR242"/>
      <c r="LLS242"/>
      <c r="LLT242"/>
      <c r="LLU242"/>
      <c r="LLV242"/>
      <c r="LLW242"/>
      <c r="LLX242"/>
      <c r="LLY242"/>
      <c r="LLZ242"/>
      <c r="LMA242"/>
      <c r="LMB242"/>
      <c r="LMC242"/>
      <c r="LMD242"/>
      <c r="LME242"/>
      <c r="LMF242"/>
      <c r="LMG242"/>
      <c r="LMH242"/>
      <c r="LMI242"/>
      <c r="LMJ242"/>
      <c r="LMK242"/>
      <c r="LML242"/>
      <c r="LMM242"/>
      <c r="LMN242"/>
      <c r="LMO242"/>
      <c r="LMP242"/>
      <c r="LMQ242"/>
      <c r="LMR242"/>
      <c r="LMS242"/>
      <c r="LMT242"/>
      <c r="LMU242"/>
      <c r="LMV242"/>
      <c r="LMW242"/>
      <c r="LMX242"/>
      <c r="LMY242"/>
      <c r="LMZ242"/>
      <c r="LNA242"/>
      <c r="LNB242"/>
      <c r="LNC242"/>
      <c r="LND242"/>
      <c r="LNE242"/>
      <c r="LNF242"/>
      <c r="LNG242"/>
      <c r="LNH242"/>
      <c r="LNI242"/>
      <c r="LNJ242"/>
      <c r="LNK242"/>
      <c r="LNL242"/>
      <c r="LNM242"/>
      <c r="LNN242"/>
      <c r="LNO242"/>
      <c r="LNP242"/>
      <c r="LNQ242"/>
      <c r="LNR242"/>
      <c r="LNS242"/>
      <c r="LNT242"/>
      <c r="LNU242"/>
      <c r="LNV242"/>
      <c r="LNW242"/>
      <c r="LNX242"/>
      <c r="LNY242"/>
      <c r="LNZ242"/>
      <c r="LOA242"/>
      <c r="LOB242"/>
      <c r="LOC242"/>
      <c r="LOD242"/>
      <c r="LOE242"/>
      <c r="LOF242"/>
      <c r="LOG242"/>
      <c r="LOH242"/>
      <c r="LOI242"/>
      <c r="LOJ242"/>
      <c r="LOK242"/>
      <c r="LOL242"/>
      <c r="LOM242"/>
      <c r="LON242"/>
      <c r="LOO242"/>
      <c r="LOP242"/>
      <c r="LOQ242"/>
      <c r="LOR242"/>
      <c r="LOS242"/>
      <c r="LOT242"/>
      <c r="LOU242"/>
      <c r="LOV242"/>
      <c r="LOW242"/>
      <c r="LOX242"/>
      <c r="LOY242"/>
      <c r="LOZ242"/>
      <c r="LPA242"/>
      <c r="LPB242"/>
      <c r="LPC242"/>
      <c r="LPD242"/>
      <c r="LPE242"/>
      <c r="LPF242"/>
      <c r="LPG242"/>
      <c r="LPH242"/>
      <c r="LPI242"/>
      <c r="LPJ242"/>
      <c r="LPK242"/>
      <c r="LPL242"/>
      <c r="LPM242"/>
      <c r="LPN242"/>
      <c r="LPO242"/>
      <c r="LPP242"/>
      <c r="LPQ242"/>
      <c r="LPR242"/>
      <c r="LPS242"/>
      <c r="LPT242"/>
      <c r="LPU242"/>
      <c r="LPV242"/>
      <c r="LPW242"/>
      <c r="LPX242"/>
      <c r="LPY242"/>
      <c r="LPZ242"/>
      <c r="LQA242"/>
      <c r="LQB242"/>
      <c r="LQC242"/>
      <c r="LQD242"/>
      <c r="LQE242"/>
      <c r="LQF242"/>
      <c r="LQG242"/>
      <c r="LQH242"/>
      <c r="LQI242"/>
      <c r="LQJ242"/>
      <c r="LQK242"/>
      <c r="LQL242"/>
      <c r="LQM242"/>
      <c r="LQN242"/>
      <c r="LQO242"/>
      <c r="LQP242"/>
      <c r="LQQ242"/>
      <c r="LQR242"/>
      <c r="LQS242"/>
      <c r="LQT242"/>
      <c r="LQU242"/>
      <c r="LQV242"/>
      <c r="LQW242"/>
      <c r="LQX242"/>
      <c r="LQY242"/>
      <c r="LQZ242"/>
      <c r="LRA242"/>
      <c r="LRB242"/>
      <c r="LRC242"/>
      <c r="LRD242"/>
      <c r="LRE242"/>
      <c r="LRF242"/>
      <c r="LRG242"/>
      <c r="LRH242"/>
      <c r="LRI242"/>
      <c r="LRJ242"/>
      <c r="LRK242"/>
      <c r="LRL242"/>
      <c r="LRM242"/>
      <c r="LRN242"/>
      <c r="LRO242"/>
      <c r="LRP242"/>
      <c r="LRQ242"/>
      <c r="LRR242"/>
      <c r="LRS242"/>
      <c r="LRT242"/>
      <c r="LRU242"/>
      <c r="LRV242"/>
      <c r="LRW242"/>
      <c r="LRX242"/>
      <c r="LRY242"/>
      <c r="LRZ242"/>
      <c r="LSA242"/>
      <c r="LSB242"/>
      <c r="LSC242"/>
      <c r="LSD242"/>
      <c r="LSE242"/>
      <c r="LSF242"/>
      <c r="LSG242"/>
      <c r="LSH242"/>
      <c r="LSI242"/>
      <c r="LSJ242"/>
      <c r="LSK242"/>
      <c r="LSL242"/>
      <c r="LSM242"/>
      <c r="LSN242"/>
      <c r="LSO242"/>
      <c r="LSP242"/>
      <c r="LSQ242"/>
      <c r="LSR242"/>
      <c r="LSS242"/>
      <c r="LST242"/>
      <c r="LSU242"/>
      <c r="LSV242"/>
      <c r="LSW242"/>
      <c r="LSX242"/>
      <c r="LSY242"/>
      <c r="LSZ242"/>
      <c r="LTA242"/>
      <c r="LTB242"/>
      <c r="LTC242"/>
      <c r="LTD242"/>
      <c r="LTE242"/>
      <c r="LTF242"/>
      <c r="LTG242"/>
      <c r="LTH242"/>
      <c r="LTI242"/>
      <c r="LTJ242"/>
      <c r="LTK242"/>
      <c r="LTL242"/>
      <c r="LTM242"/>
      <c r="LTN242"/>
      <c r="LTO242"/>
      <c r="LTP242"/>
      <c r="LTQ242"/>
      <c r="LTR242"/>
      <c r="LTS242"/>
      <c r="LTT242"/>
      <c r="LTU242"/>
      <c r="LTV242"/>
      <c r="LTW242"/>
      <c r="LTX242"/>
      <c r="LTY242"/>
      <c r="LTZ242"/>
      <c r="LUA242"/>
      <c r="LUB242"/>
      <c r="LUC242"/>
      <c r="LUD242"/>
      <c r="LUE242"/>
      <c r="LUF242"/>
      <c r="LUG242"/>
      <c r="LUH242"/>
      <c r="LUI242"/>
      <c r="LUJ242"/>
      <c r="LUK242"/>
      <c r="LUL242"/>
      <c r="LUM242"/>
      <c r="LUN242"/>
      <c r="LUO242"/>
      <c r="LUP242"/>
      <c r="LUQ242"/>
      <c r="LUR242"/>
      <c r="LUS242"/>
      <c r="LUT242"/>
      <c r="LUU242"/>
      <c r="LUV242"/>
      <c r="LUW242"/>
      <c r="LUX242"/>
      <c r="LUY242"/>
      <c r="LUZ242"/>
      <c r="LVA242"/>
      <c r="LVB242"/>
      <c r="LVC242"/>
      <c r="LVD242"/>
      <c r="LVE242"/>
      <c r="LVF242"/>
      <c r="LVG242"/>
      <c r="LVH242"/>
      <c r="LVI242"/>
      <c r="LVJ242"/>
      <c r="LVK242"/>
      <c r="LVL242"/>
      <c r="LVM242"/>
      <c r="LVN242"/>
      <c r="LVO242"/>
      <c r="LVP242"/>
      <c r="LVQ242"/>
      <c r="LVR242"/>
      <c r="LVS242"/>
      <c r="LVT242"/>
      <c r="LVU242"/>
      <c r="LVV242"/>
      <c r="LVW242"/>
      <c r="LVX242"/>
      <c r="LVY242"/>
      <c r="LVZ242"/>
      <c r="LWA242"/>
      <c r="LWB242"/>
      <c r="LWC242"/>
      <c r="LWD242"/>
      <c r="LWE242"/>
      <c r="LWF242"/>
      <c r="LWG242"/>
      <c r="LWH242"/>
      <c r="LWI242"/>
      <c r="LWJ242"/>
      <c r="LWK242"/>
      <c r="LWL242"/>
      <c r="LWM242"/>
      <c r="LWN242"/>
      <c r="LWO242"/>
      <c r="LWP242"/>
      <c r="LWQ242"/>
      <c r="LWR242"/>
      <c r="LWS242"/>
      <c r="LWT242"/>
      <c r="LWU242"/>
      <c r="LWV242"/>
      <c r="LWW242"/>
      <c r="LWX242"/>
      <c r="LWY242"/>
      <c r="LWZ242"/>
      <c r="LXA242"/>
      <c r="LXB242"/>
      <c r="LXC242"/>
      <c r="LXD242"/>
      <c r="LXE242"/>
      <c r="LXF242"/>
      <c r="LXG242"/>
      <c r="LXH242"/>
      <c r="LXI242"/>
      <c r="LXJ242"/>
      <c r="LXK242"/>
      <c r="LXL242"/>
      <c r="LXM242"/>
      <c r="LXN242"/>
      <c r="LXO242"/>
      <c r="LXP242"/>
      <c r="LXQ242"/>
      <c r="LXR242"/>
      <c r="LXS242"/>
      <c r="LXT242"/>
      <c r="LXU242"/>
      <c r="LXV242"/>
      <c r="LXW242"/>
      <c r="LXX242"/>
      <c r="LXY242"/>
      <c r="LXZ242"/>
      <c r="LYA242"/>
      <c r="LYB242"/>
      <c r="LYC242"/>
      <c r="LYD242"/>
      <c r="LYE242"/>
      <c r="LYF242"/>
      <c r="LYG242"/>
      <c r="LYH242"/>
      <c r="LYI242"/>
      <c r="LYJ242"/>
      <c r="LYK242"/>
      <c r="LYL242"/>
      <c r="LYM242"/>
      <c r="LYN242"/>
      <c r="LYO242"/>
      <c r="LYP242"/>
      <c r="LYQ242"/>
      <c r="LYR242"/>
      <c r="LYS242"/>
      <c r="LYT242"/>
      <c r="LYU242"/>
      <c r="LYV242"/>
      <c r="LYW242"/>
      <c r="LYX242"/>
      <c r="LYY242"/>
      <c r="LYZ242"/>
      <c r="LZA242"/>
      <c r="LZB242"/>
      <c r="LZC242"/>
      <c r="LZD242"/>
      <c r="LZE242"/>
      <c r="LZF242"/>
      <c r="LZG242"/>
      <c r="LZH242"/>
      <c r="LZI242"/>
      <c r="LZJ242"/>
      <c r="LZK242"/>
      <c r="LZL242"/>
      <c r="LZM242"/>
      <c r="LZN242"/>
      <c r="LZO242"/>
      <c r="LZP242"/>
      <c r="LZQ242"/>
      <c r="LZR242"/>
      <c r="LZS242"/>
      <c r="LZT242"/>
      <c r="LZU242"/>
      <c r="LZV242"/>
      <c r="LZW242"/>
      <c r="LZX242"/>
      <c r="LZY242"/>
      <c r="LZZ242"/>
      <c r="MAA242"/>
      <c r="MAB242"/>
      <c r="MAC242"/>
      <c r="MAD242"/>
      <c r="MAE242"/>
      <c r="MAF242"/>
      <c r="MAG242"/>
      <c r="MAH242"/>
      <c r="MAI242"/>
      <c r="MAJ242"/>
      <c r="MAK242"/>
      <c r="MAL242"/>
      <c r="MAM242"/>
      <c r="MAN242"/>
      <c r="MAO242"/>
      <c r="MAP242"/>
      <c r="MAQ242"/>
      <c r="MAR242"/>
      <c r="MAS242"/>
      <c r="MAT242"/>
      <c r="MAU242"/>
      <c r="MAV242"/>
      <c r="MAW242"/>
      <c r="MAX242"/>
      <c r="MAY242"/>
      <c r="MAZ242"/>
      <c r="MBA242"/>
      <c r="MBB242"/>
      <c r="MBC242"/>
      <c r="MBD242"/>
      <c r="MBE242"/>
      <c r="MBF242"/>
      <c r="MBG242"/>
      <c r="MBH242"/>
      <c r="MBI242"/>
      <c r="MBJ242"/>
      <c r="MBK242"/>
      <c r="MBL242"/>
      <c r="MBM242"/>
      <c r="MBN242"/>
      <c r="MBO242"/>
      <c r="MBP242"/>
      <c r="MBQ242"/>
      <c r="MBR242"/>
      <c r="MBS242"/>
      <c r="MBT242"/>
      <c r="MBU242"/>
      <c r="MBV242"/>
      <c r="MBW242"/>
      <c r="MBX242"/>
      <c r="MBY242"/>
      <c r="MBZ242"/>
      <c r="MCA242"/>
      <c r="MCB242"/>
      <c r="MCC242"/>
      <c r="MCD242"/>
      <c r="MCE242"/>
      <c r="MCF242"/>
      <c r="MCG242"/>
      <c r="MCH242"/>
      <c r="MCI242"/>
      <c r="MCJ242"/>
      <c r="MCK242"/>
      <c r="MCL242"/>
      <c r="MCM242"/>
      <c r="MCN242"/>
      <c r="MCO242"/>
      <c r="MCP242"/>
      <c r="MCQ242"/>
      <c r="MCR242"/>
      <c r="MCS242"/>
      <c r="MCT242"/>
      <c r="MCU242"/>
      <c r="MCV242"/>
      <c r="MCW242"/>
      <c r="MCX242"/>
      <c r="MCY242"/>
      <c r="MCZ242"/>
      <c r="MDA242"/>
      <c r="MDB242"/>
      <c r="MDC242"/>
      <c r="MDD242"/>
      <c r="MDE242"/>
      <c r="MDF242"/>
      <c r="MDG242"/>
      <c r="MDH242"/>
      <c r="MDI242"/>
      <c r="MDJ242"/>
      <c r="MDK242"/>
      <c r="MDL242"/>
      <c r="MDM242"/>
      <c r="MDN242"/>
      <c r="MDO242"/>
      <c r="MDP242"/>
      <c r="MDQ242"/>
      <c r="MDR242"/>
      <c r="MDS242"/>
      <c r="MDT242"/>
      <c r="MDU242"/>
      <c r="MDV242"/>
      <c r="MDW242"/>
      <c r="MDX242"/>
      <c r="MDY242"/>
      <c r="MDZ242"/>
      <c r="MEA242"/>
      <c r="MEB242"/>
      <c r="MEC242"/>
      <c r="MED242"/>
      <c r="MEE242"/>
      <c r="MEF242"/>
      <c r="MEG242"/>
      <c r="MEH242"/>
      <c r="MEI242"/>
      <c r="MEJ242"/>
      <c r="MEK242"/>
      <c r="MEL242"/>
      <c r="MEM242"/>
      <c r="MEN242"/>
      <c r="MEO242"/>
      <c r="MEP242"/>
      <c r="MEQ242"/>
      <c r="MER242"/>
      <c r="MES242"/>
      <c r="MET242"/>
      <c r="MEU242"/>
      <c r="MEV242"/>
      <c r="MEW242"/>
      <c r="MEX242"/>
      <c r="MEY242"/>
      <c r="MEZ242"/>
      <c r="MFA242"/>
      <c r="MFB242"/>
      <c r="MFC242"/>
      <c r="MFD242"/>
      <c r="MFE242"/>
      <c r="MFF242"/>
      <c r="MFG242"/>
      <c r="MFH242"/>
      <c r="MFI242"/>
      <c r="MFJ242"/>
      <c r="MFK242"/>
      <c r="MFL242"/>
      <c r="MFM242"/>
      <c r="MFN242"/>
      <c r="MFO242"/>
      <c r="MFP242"/>
      <c r="MFQ242"/>
      <c r="MFR242"/>
      <c r="MFS242"/>
      <c r="MFT242"/>
      <c r="MFU242"/>
      <c r="MFV242"/>
      <c r="MFW242"/>
      <c r="MFX242"/>
      <c r="MFY242"/>
      <c r="MFZ242"/>
      <c r="MGA242"/>
      <c r="MGB242"/>
      <c r="MGC242"/>
      <c r="MGD242"/>
      <c r="MGE242"/>
      <c r="MGF242"/>
      <c r="MGG242"/>
      <c r="MGH242"/>
      <c r="MGI242"/>
      <c r="MGJ242"/>
      <c r="MGK242"/>
      <c r="MGL242"/>
      <c r="MGM242"/>
      <c r="MGN242"/>
      <c r="MGO242"/>
      <c r="MGP242"/>
      <c r="MGQ242"/>
      <c r="MGR242"/>
      <c r="MGS242"/>
      <c r="MGT242"/>
      <c r="MGU242"/>
      <c r="MGV242"/>
      <c r="MGW242"/>
      <c r="MGX242"/>
      <c r="MGY242"/>
      <c r="MGZ242"/>
      <c r="MHA242"/>
      <c r="MHB242"/>
      <c r="MHC242"/>
      <c r="MHD242"/>
      <c r="MHE242"/>
      <c r="MHF242"/>
      <c r="MHG242"/>
      <c r="MHH242"/>
      <c r="MHI242"/>
      <c r="MHJ242"/>
      <c r="MHK242"/>
      <c r="MHL242"/>
      <c r="MHM242"/>
      <c r="MHN242"/>
      <c r="MHO242"/>
      <c r="MHP242"/>
      <c r="MHQ242"/>
      <c r="MHR242"/>
      <c r="MHS242"/>
      <c r="MHT242"/>
      <c r="MHU242"/>
      <c r="MHV242"/>
      <c r="MHW242"/>
      <c r="MHX242"/>
      <c r="MHY242"/>
      <c r="MHZ242"/>
      <c r="MIA242"/>
      <c r="MIB242"/>
      <c r="MIC242"/>
      <c r="MID242"/>
      <c r="MIE242"/>
      <c r="MIF242"/>
      <c r="MIG242"/>
      <c r="MIH242"/>
      <c r="MII242"/>
      <c r="MIJ242"/>
      <c r="MIK242"/>
      <c r="MIL242"/>
      <c r="MIM242"/>
      <c r="MIN242"/>
      <c r="MIO242"/>
      <c r="MIP242"/>
      <c r="MIQ242"/>
      <c r="MIR242"/>
      <c r="MIS242"/>
      <c r="MIT242"/>
      <c r="MIU242"/>
      <c r="MIV242"/>
      <c r="MIW242"/>
      <c r="MIX242"/>
      <c r="MIY242"/>
      <c r="MIZ242"/>
      <c r="MJA242"/>
      <c r="MJB242"/>
      <c r="MJC242"/>
      <c r="MJD242"/>
      <c r="MJE242"/>
      <c r="MJF242"/>
      <c r="MJG242"/>
      <c r="MJH242"/>
      <c r="MJI242"/>
      <c r="MJJ242"/>
      <c r="MJK242"/>
      <c r="MJL242"/>
      <c r="MJM242"/>
      <c r="MJN242"/>
      <c r="MJO242"/>
      <c r="MJP242"/>
      <c r="MJQ242"/>
      <c r="MJR242"/>
      <c r="MJS242"/>
      <c r="MJT242"/>
      <c r="MJU242"/>
      <c r="MJV242"/>
      <c r="MJW242"/>
      <c r="MJX242"/>
      <c r="MJY242"/>
      <c r="MJZ242"/>
      <c r="MKA242"/>
      <c r="MKB242"/>
      <c r="MKC242"/>
      <c r="MKD242"/>
      <c r="MKE242"/>
      <c r="MKF242"/>
      <c r="MKG242"/>
      <c r="MKH242"/>
      <c r="MKI242"/>
      <c r="MKJ242"/>
      <c r="MKK242"/>
      <c r="MKL242"/>
      <c r="MKM242"/>
      <c r="MKN242"/>
      <c r="MKO242"/>
      <c r="MKP242"/>
      <c r="MKQ242"/>
      <c r="MKR242"/>
      <c r="MKS242"/>
      <c r="MKT242"/>
      <c r="MKU242"/>
      <c r="MKV242"/>
      <c r="MKW242"/>
      <c r="MKX242"/>
      <c r="MKY242"/>
      <c r="MKZ242"/>
      <c r="MLA242"/>
      <c r="MLB242"/>
      <c r="MLC242"/>
      <c r="MLD242"/>
      <c r="MLE242"/>
      <c r="MLF242"/>
      <c r="MLG242"/>
      <c r="MLH242"/>
      <c r="MLI242"/>
      <c r="MLJ242"/>
      <c r="MLK242"/>
      <c r="MLL242"/>
      <c r="MLM242"/>
      <c r="MLN242"/>
      <c r="MLO242"/>
      <c r="MLP242"/>
      <c r="MLQ242"/>
      <c r="MLR242"/>
      <c r="MLS242"/>
      <c r="MLT242"/>
      <c r="MLU242"/>
      <c r="MLV242"/>
      <c r="MLW242"/>
      <c r="MLX242"/>
      <c r="MLY242"/>
      <c r="MLZ242"/>
      <c r="MMA242"/>
      <c r="MMB242"/>
      <c r="MMC242"/>
      <c r="MMD242"/>
      <c r="MME242"/>
      <c r="MMF242"/>
      <c r="MMG242"/>
      <c r="MMH242"/>
      <c r="MMI242"/>
      <c r="MMJ242"/>
      <c r="MMK242"/>
      <c r="MML242"/>
      <c r="MMM242"/>
      <c r="MMN242"/>
      <c r="MMO242"/>
      <c r="MMP242"/>
      <c r="MMQ242"/>
      <c r="MMR242"/>
      <c r="MMS242"/>
      <c r="MMT242"/>
      <c r="MMU242"/>
      <c r="MMV242"/>
      <c r="MMW242"/>
      <c r="MMX242"/>
      <c r="MMY242"/>
      <c r="MMZ242"/>
      <c r="MNA242"/>
      <c r="MNB242"/>
      <c r="MNC242"/>
      <c r="MND242"/>
      <c r="MNE242"/>
      <c r="MNF242"/>
      <c r="MNG242"/>
      <c r="MNH242"/>
      <c r="MNI242"/>
      <c r="MNJ242"/>
      <c r="MNK242"/>
      <c r="MNL242"/>
      <c r="MNM242"/>
      <c r="MNN242"/>
      <c r="MNO242"/>
      <c r="MNP242"/>
      <c r="MNQ242"/>
      <c r="MNR242"/>
      <c r="MNS242"/>
      <c r="MNT242"/>
      <c r="MNU242"/>
      <c r="MNV242"/>
      <c r="MNW242"/>
      <c r="MNX242"/>
      <c r="MNY242"/>
      <c r="MNZ242"/>
      <c r="MOA242"/>
      <c r="MOB242"/>
      <c r="MOC242"/>
      <c r="MOD242"/>
      <c r="MOE242"/>
      <c r="MOF242"/>
      <c r="MOG242"/>
      <c r="MOH242"/>
      <c r="MOI242"/>
      <c r="MOJ242"/>
      <c r="MOK242"/>
      <c r="MOL242"/>
      <c r="MOM242"/>
      <c r="MON242"/>
      <c r="MOO242"/>
      <c r="MOP242"/>
      <c r="MOQ242"/>
      <c r="MOR242"/>
      <c r="MOS242"/>
      <c r="MOT242"/>
      <c r="MOU242"/>
      <c r="MOV242"/>
      <c r="MOW242"/>
      <c r="MOX242"/>
      <c r="MOY242"/>
      <c r="MOZ242"/>
      <c r="MPA242"/>
      <c r="MPB242"/>
      <c r="MPC242"/>
      <c r="MPD242"/>
      <c r="MPE242"/>
      <c r="MPF242"/>
      <c r="MPG242"/>
      <c r="MPH242"/>
      <c r="MPI242"/>
      <c r="MPJ242"/>
      <c r="MPK242"/>
      <c r="MPL242"/>
      <c r="MPM242"/>
      <c r="MPN242"/>
      <c r="MPO242"/>
      <c r="MPP242"/>
      <c r="MPQ242"/>
      <c r="MPR242"/>
      <c r="MPS242"/>
      <c r="MPT242"/>
      <c r="MPU242"/>
      <c r="MPV242"/>
      <c r="MPW242"/>
      <c r="MPX242"/>
      <c r="MPY242"/>
      <c r="MPZ242"/>
      <c r="MQA242"/>
      <c r="MQB242"/>
      <c r="MQC242"/>
      <c r="MQD242"/>
      <c r="MQE242"/>
      <c r="MQF242"/>
      <c r="MQG242"/>
      <c r="MQH242"/>
      <c r="MQI242"/>
      <c r="MQJ242"/>
      <c r="MQK242"/>
      <c r="MQL242"/>
      <c r="MQM242"/>
      <c r="MQN242"/>
      <c r="MQO242"/>
      <c r="MQP242"/>
      <c r="MQQ242"/>
      <c r="MQR242"/>
      <c r="MQS242"/>
      <c r="MQT242"/>
      <c r="MQU242"/>
      <c r="MQV242"/>
      <c r="MQW242"/>
      <c r="MQX242"/>
      <c r="MQY242"/>
      <c r="MQZ242"/>
      <c r="MRA242"/>
      <c r="MRB242"/>
      <c r="MRC242"/>
      <c r="MRD242"/>
      <c r="MRE242"/>
      <c r="MRF242"/>
      <c r="MRG242"/>
      <c r="MRH242"/>
      <c r="MRI242"/>
      <c r="MRJ242"/>
      <c r="MRK242"/>
      <c r="MRL242"/>
      <c r="MRM242"/>
      <c r="MRN242"/>
      <c r="MRO242"/>
      <c r="MRP242"/>
      <c r="MRQ242"/>
      <c r="MRR242"/>
      <c r="MRS242"/>
      <c r="MRT242"/>
      <c r="MRU242"/>
      <c r="MRV242"/>
      <c r="MRW242"/>
      <c r="MRX242"/>
      <c r="MRY242"/>
      <c r="MRZ242"/>
      <c r="MSA242"/>
      <c r="MSB242"/>
      <c r="MSC242"/>
      <c r="MSD242"/>
      <c r="MSE242"/>
      <c r="MSF242"/>
      <c r="MSG242"/>
      <c r="MSH242"/>
      <c r="MSI242"/>
      <c r="MSJ242"/>
      <c r="MSK242"/>
      <c r="MSL242"/>
      <c r="MSM242"/>
      <c r="MSN242"/>
      <c r="MSO242"/>
      <c r="MSP242"/>
      <c r="MSQ242"/>
      <c r="MSR242"/>
      <c r="MSS242"/>
      <c r="MST242"/>
      <c r="MSU242"/>
      <c r="MSV242"/>
      <c r="MSW242"/>
      <c r="MSX242"/>
      <c r="MSY242"/>
      <c r="MSZ242"/>
      <c r="MTA242"/>
      <c r="MTB242"/>
      <c r="MTC242"/>
      <c r="MTD242"/>
      <c r="MTE242"/>
      <c r="MTF242"/>
      <c r="MTG242"/>
      <c r="MTH242"/>
      <c r="MTI242"/>
      <c r="MTJ242"/>
      <c r="MTK242"/>
      <c r="MTL242"/>
      <c r="MTM242"/>
      <c r="MTN242"/>
      <c r="MTO242"/>
      <c r="MTP242"/>
      <c r="MTQ242"/>
      <c r="MTR242"/>
      <c r="MTS242"/>
      <c r="MTT242"/>
      <c r="MTU242"/>
      <c r="MTV242"/>
      <c r="MTW242"/>
      <c r="MTX242"/>
      <c r="MTY242"/>
      <c r="MTZ242"/>
      <c r="MUA242"/>
      <c r="MUB242"/>
      <c r="MUC242"/>
      <c r="MUD242"/>
      <c r="MUE242"/>
      <c r="MUF242"/>
      <c r="MUG242"/>
      <c r="MUH242"/>
      <c r="MUI242"/>
      <c r="MUJ242"/>
      <c r="MUK242"/>
      <c r="MUL242"/>
      <c r="MUM242"/>
      <c r="MUN242"/>
      <c r="MUO242"/>
      <c r="MUP242"/>
      <c r="MUQ242"/>
      <c r="MUR242"/>
      <c r="MUS242"/>
      <c r="MUT242"/>
      <c r="MUU242"/>
      <c r="MUV242"/>
      <c r="MUW242"/>
      <c r="MUX242"/>
      <c r="MUY242"/>
      <c r="MUZ242"/>
      <c r="MVA242"/>
      <c r="MVB242"/>
      <c r="MVC242"/>
      <c r="MVD242"/>
      <c r="MVE242"/>
      <c r="MVF242"/>
      <c r="MVG242"/>
      <c r="MVH242"/>
      <c r="MVI242"/>
      <c r="MVJ242"/>
      <c r="MVK242"/>
      <c r="MVL242"/>
      <c r="MVM242"/>
      <c r="MVN242"/>
      <c r="MVO242"/>
      <c r="MVP242"/>
      <c r="MVQ242"/>
      <c r="MVR242"/>
      <c r="MVS242"/>
      <c r="MVT242"/>
      <c r="MVU242"/>
      <c r="MVV242"/>
      <c r="MVW242"/>
      <c r="MVX242"/>
      <c r="MVY242"/>
      <c r="MVZ242"/>
      <c r="MWA242"/>
      <c r="MWB242"/>
      <c r="MWC242"/>
      <c r="MWD242"/>
      <c r="MWE242"/>
      <c r="MWF242"/>
      <c r="MWG242"/>
      <c r="MWH242"/>
      <c r="MWI242"/>
      <c r="MWJ242"/>
      <c r="MWK242"/>
      <c r="MWL242"/>
      <c r="MWM242"/>
      <c r="MWN242"/>
      <c r="MWO242"/>
      <c r="MWP242"/>
      <c r="MWQ242"/>
      <c r="MWR242"/>
      <c r="MWS242"/>
      <c r="MWT242"/>
      <c r="MWU242"/>
      <c r="MWV242"/>
      <c r="MWW242"/>
      <c r="MWX242"/>
      <c r="MWY242"/>
      <c r="MWZ242"/>
      <c r="MXA242"/>
      <c r="MXB242"/>
      <c r="MXC242"/>
      <c r="MXD242"/>
      <c r="MXE242"/>
      <c r="MXF242"/>
      <c r="MXG242"/>
      <c r="MXH242"/>
      <c r="MXI242"/>
      <c r="MXJ242"/>
      <c r="MXK242"/>
      <c r="MXL242"/>
      <c r="MXM242"/>
      <c r="MXN242"/>
      <c r="MXO242"/>
      <c r="MXP242"/>
      <c r="MXQ242"/>
      <c r="MXR242"/>
      <c r="MXS242"/>
      <c r="MXT242"/>
      <c r="MXU242"/>
      <c r="MXV242"/>
      <c r="MXW242"/>
      <c r="MXX242"/>
      <c r="MXY242"/>
      <c r="MXZ242"/>
      <c r="MYA242"/>
      <c r="MYB242"/>
      <c r="MYC242"/>
      <c r="MYD242"/>
      <c r="MYE242"/>
      <c r="MYF242"/>
      <c r="MYG242"/>
      <c r="MYH242"/>
      <c r="MYI242"/>
      <c r="MYJ242"/>
      <c r="MYK242"/>
      <c r="MYL242"/>
      <c r="MYM242"/>
      <c r="MYN242"/>
      <c r="MYO242"/>
      <c r="MYP242"/>
      <c r="MYQ242"/>
      <c r="MYR242"/>
      <c r="MYS242"/>
      <c r="MYT242"/>
      <c r="MYU242"/>
      <c r="MYV242"/>
      <c r="MYW242"/>
      <c r="MYX242"/>
      <c r="MYY242"/>
      <c r="MYZ242"/>
      <c r="MZA242"/>
      <c r="MZB242"/>
      <c r="MZC242"/>
      <c r="MZD242"/>
      <c r="MZE242"/>
      <c r="MZF242"/>
      <c r="MZG242"/>
      <c r="MZH242"/>
      <c r="MZI242"/>
      <c r="MZJ242"/>
      <c r="MZK242"/>
      <c r="MZL242"/>
      <c r="MZM242"/>
      <c r="MZN242"/>
      <c r="MZO242"/>
      <c r="MZP242"/>
      <c r="MZQ242"/>
      <c r="MZR242"/>
      <c r="MZS242"/>
      <c r="MZT242"/>
      <c r="MZU242"/>
      <c r="MZV242"/>
      <c r="MZW242"/>
      <c r="MZX242"/>
      <c r="MZY242"/>
      <c r="MZZ242"/>
      <c r="NAA242"/>
      <c r="NAB242"/>
      <c r="NAC242"/>
      <c r="NAD242"/>
      <c r="NAE242"/>
      <c r="NAF242"/>
      <c r="NAG242"/>
      <c r="NAH242"/>
      <c r="NAI242"/>
      <c r="NAJ242"/>
      <c r="NAK242"/>
      <c r="NAL242"/>
      <c r="NAM242"/>
      <c r="NAN242"/>
      <c r="NAO242"/>
      <c r="NAP242"/>
      <c r="NAQ242"/>
      <c r="NAR242"/>
      <c r="NAS242"/>
      <c r="NAT242"/>
      <c r="NAU242"/>
      <c r="NAV242"/>
      <c r="NAW242"/>
      <c r="NAX242"/>
      <c r="NAY242"/>
      <c r="NAZ242"/>
      <c r="NBA242"/>
      <c r="NBB242"/>
      <c r="NBC242"/>
      <c r="NBD242"/>
      <c r="NBE242"/>
      <c r="NBF242"/>
      <c r="NBG242"/>
      <c r="NBH242"/>
      <c r="NBI242"/>
      <c r="NBJ242"/>
      <c r="NBK242"/>
      <c r="NBL242"/>
      <c r="NBM242"/>
      <c r="NBN242"/>
      <c r="NBO242"/>
      <c r="NBP242"/>
      <c r="NBQ242"/>
      <c r="NBR242"/>
      <c r="NBS242"/>
      <c r="NBT242"/>
      <c r="NBU242"/>
      <c r="NBV242"/>
      <c r="NBW242"/>
      <c r="NBX242"/>
      <c r="NBY242"/>
      <c r="NBZ242"/>
      <c r="NCA242"/>
      <c r="NCB242"/>
      <c r="NCC242"/>
      <c r="NCD242"/>
      <c r="NCE242"/>
      <c r="NCF242"/>
      <c r="NCG242"/>
      <c r="NCH242"/>
      <c r="NCI242"/>
      <c r="NCJ242"/>
      <c r="NCK242"/>
      <c r="NCL242"/>
      <c r="NCM242"/>
      <c r="NCN242"/>
      <c r="NCO242"/>
      <c r="NCP242"/>
      <c r="NCQ242"/>
      <c r="NCR242"/>
      <c r="NCS242"/>
      <c r="NCT242"/>
      <c r="NCU242"/>
      <c r="NCV242"/>
      <c r="NCW242"/>
      <c r="NCX242"/>
      <c r="NCY242"/>
      <c r="NCZ242"/>
      <c r="NDA242"/>
      <c r="NDB242"/>
      <c r="NDC242"/>
      <c r="NDD242"/>
      <c r="NDE242"/>
      <c r="NDF242"/>
      <c r="NDG242"/>
      <c r="NDH242"/>
      <c r="NDI242"/>
      <c r="NDJ242"/>
      <c r="NDK242"/>
      <c r="NDL242"/>
      <c r="NDM242"/>
      <c r="NDN242"/>
      <c r="NDO242"/>
      <c r="NDP242"/>
      <c r="NDQ242"/>
      <c r="NDR242"/>
      <c r="NDS242"/>
      <c r="NDT242"/>
      <c r="NDU242"/>
      <c r="NDV242"/>
      <c r="NDW242"/>
      <c r="NDX242"/>
      <c r="NDY242"/>
      <c r="NDZ242"/>
      <c r="NEA242"/>
      <c r="NEB242"/>
      <c r="NEC242"/>
      <c r="NED242"/>
      <c r="NEE242"/>
      <c r="NEF242"/>
      <c r="NEG242"/>
      <c r="NEH242"/>
      <c r="NEI242"/>
      <c r="NEJ242"/>
      <c r="NEK242"/>
      <c r="NEL242"/>
      <c r="NEM242"/>
      <c r="NEN242"/>
      <c r="NEO242"/>
      <c r="NEP242"/>
      <c r="NEQ242"/>
      <c r="NER242"/>
      <c r="NES242"/>
      <c r="NET242"/>
      <c r="NEU242"/>
      <c r="NEV242"/>
      <c r="NEW242"/>
      <c r="NEX242"/>
      <c r="NEY242"/>
      <c r="NEZ242"/>
      <c r="NFA242"/>
      <c r="NFB242"/>
      <c r="NFC242"/>
      <c r="NFD242"/>
      <c r="NFE242"/>
      <c r="NFF242"/>
      <c r="NFG242"/>
      <c r="NFH242"/>
      <c r="NFI242"/>
      <c r="NFJ242"/>
      <c r="NFK242"/>
      <c r="NFL242"/>
      <c r="NFM242"/>
      <c r="NFN242"/>
      <c r="NFO242"/>
      <c r="NFP242"/>
      <c r="NFQ242"/>
      <c r="NFR242"/>
      <c r="NFS242"/>
      <c r="NFT242"/>
      <c r="NFU242"/>
      <c r="NFV242"/>
      <c r="NFW242"/>
      <c r="NFX242"/>
      <c r="NFY242"/>
      <c r="NFZ242"/>
      <c r="NGA242"/>
      <c r="NGB242"/>
      <c r="NGC242"/>
      <c r="NGD242"/>
      <c r="NGE242"/>
      <c r="NGF242"/>
      <c r="NGG242"/>
      <c r="NGH242"/>
      <c r="NGI242"/>
      <c r="NGJ242"/>
      <c r="NGK242"/>
      <c r="NGL242"/>
      <c r="NGM242"/>
      <c r="NGN242"/>
      <c r="NGO242"/>
      <c r="NGP242"/>
      <c r="NGQ242"/>
      <c r="NGR242"/>
      <c r="NGS242"/>
      <c r="NGT242"/>
      <c r="NGU242"/>
      <c r="NGV242"/>
      <c r="NGW242"/>
      <c r="NGX242"/>
      <c r="NGY242"/>
      <c r="NGZ242"/>
      <c r="NHA242"/>
      <c r="NHB242"/>
      <c r="NHC242"/>
      <c r="NHD242"/>
      <c r="NHE242"/>
      <c r="NHF242"/>
      <c r="NHG242"/>
      <c r="NHH242"/>
      <c r="NHI242"/>
      <c r="NHJ242"/>
      <c r="NHK242"/>
      <c r="NHL242"/>
      <c r="NHM242"/>
      <c r="NHN242"/>
      <c r="NHO242"/>
      <c r="NHP242"/>
      <c r="NHQ242"/>
      <c r="NHR242"/>
      <c r="NHS242"/>
      <c r="NHT242"/>
      <c r="NHU242"/>
      <c r="NHV242"/>
      <c r="NHW242"/>
      <c r="NHX242"/>
      <c r="NHY242"/>
      <c r="NHZ242"/>
      <c r="NIA242"/>
      <c r="NIB242"/>
      <c r="NIC242"/>
      <c r="NID242"/>
      <c r="NIE242"/>
      <c r="NIF242"/>
      <c r="NIG242"/>
      <c r="NIH242"/>
      <c r="NII242"/>
      <c r="NIJ242"/>
      <c r="NIK242"/>
      <c r="NIL242"/>
      <c r="NIM242"/>
      <c r="NIN242"/>
      <c r="NIO242"/>
      <c r="NIP242"/>
      <c r="NIQ242"/>
      <c r="NIR242"/>
      <c r="NIS242"/>
      <c r="NIT242"/>
      <c r="NIU242"/>
      <c r="NIV242"/>
      <c r="NIW242"/>
      <c r="NIX242"/>
      <c r="NIY242"/>
      <c r="NIZ242"/>
      <c r="NJA242"/>
      <c r="NJB242"/>
      <c r="NJC242"/>
      <c r="NJD242"/>
      <c r="NJE242"/>
      <c r="NJF242"/>
      <c r="NJG242"/>
      <c r="NJH242"/>
      <c r="NJI242"/>
      <c r="NJJ242"/>
      <c r="NJK242"/>
      <c r="NJL242"/>
      <c r="NJM242"/>
      <c r="NJN242"/>
      <c r="NJO242"/>
      <c r="NJP242"/>
      <c r="NJQ242"/>
      <c r="NJR242"/>
      <c r="NJS242"/>
      <c r="NJT242"/>
      <c r="NJU242"/>
      <c r="NJV242"/>
      <c r="NJW242"/>
      <c r="NJX242"/>
      <c r="NJY242"/>
      <c r="NJZ242"/>
      <c r="NKA242"/>
      <c r="NKB242"/>
      <c r="NKC242"/>
      <c r="NKD242"/>
      <c r="NKE242"/>
      <c r="NKF242"/>
      <c r="NKG242"/>
      <c r="NKH242"/>
      <c r="NKI242"/>
      <c r="NKJ242"/>
      <c r="NKK242"/>
      <c r="NKL242"/>
      <c r="NKM242"/>
      <c r="NKN242"/>
      <c r="NKO242"/>
      <c r="NKP242"/>
      <c r="NKQ242"/>
      <c r="NKR242"/>
      <c r="NKS242"/>
      <c r="NKT242"/>
      <c r="NKU242"/>
      <c r="NKV242"/>
      <c r="NKW242"/>
      <c r="NKX242"/>
      <c r="NKY242"/>
      <c r="NKZ242"/>
      <c r="NLA242"/>
      <c r="NLB242"/>
      <c r="NLC242"/>
      <c r="NLD242"/>
      <c r="NLE242"/>
      <c r="NLF242"/>
      <c r="NLG242"/>
      <c r="NLH242"/>
      <c r="NLI242"/>
      <c r="NLJ242"/>
      <c r="NLK242"/>
      <c r="NLL242"/>
      <c r="NLM242"/>
      <c r="NLN242"/>
      <c r="NLO242"/>
      <c r="NLP242"/>
      <c r="NLQ242"/>
      <c r="NLR242"/>
      <c r="NLS242"/>
      <c r="NLT242"/>
      <c r="NLU242"/>
      <c r="NLV242"/>
      <c r="NLW242"/>
      <c r="NLX242"/>
      <c r="NLY242"/>
      <c r="NLZ242"/>
      <c r="NMA242"/>
      <c r="NMB242"/>
      <c r="NMC242"/>
      <c r="NMD242"/>
      <c r="NME242"/>
      <c r="NMF242"/>
      <c r="NMG242"/>
      <c r="NMH242"/>
      <c r="NMI242"/>
      <c r="NMJ242"/>
      <c r="NMK242"/>
      <c r="NML242"/>
      <c r="NMM242"/>
      <c r="NMN242"/>
      <c r="NMO242"/>
      <c r="NMP242"/>
      <c r="NMQ242"/>
      <c r="NMR242"/>
      <c r="NMS242"/>
      <c r="NMT242"/>
      <c r="NMU242"/>
      <c r="NMV242"/>
      <c r="NMW242"/>
      <c r="NMX242"/>
      <c r="NMY242"/>
      <c r="NMZ242"/>
      <c r="NNA242"/>
      <c r="NNB242"/>
      <c r="NNC242"/>
      <c r="NND242"/>
      <c r="NNE242"/>
      <c r="NNF242"/>
      <c r="NNG242"/>
      <c r="NNH242"/>
      <c r="NNI242"/>
      <c r="NNJ242"/>
      <c r="NNK242"/>
      <c r="NNL242"/>
      <c r="NNM242"/>
      <c r="NNN242"/>
      <c r="NNO242"/>
      <c r="NNP242"/>
      <c r="NNQ242"/>
      <c r="NNR242"/>
      <c r="NNS242"/>
      <c r="NNT242"/>
      <c r="NNU242"/>
      <c r="NNV242"/>
      <c r="NNW242"/>
      <c r="NNX242"/>
      <c r="NNY242"/>
      <c r="NNZ242"/>
      <c r="NOA242"/>
      <c r="NOB242"/>
      <c r="NOC242"/>
      <c r="NOD242"/>
      <c r="NOE242"/>
      <c r="NOF242"/>
      <c r="NOG242"/>
      <c r="NOH242"/>
      <c r="NOI242"/>
      <c r="NOJ242"/>
      <c r="NOK242"/>
      <c r="NOL242"/>
      <c r="NOM242"/>
      <c r="NON242"/>
      <c r="NOO242"/>
      <c r="NOP242"/>
      <c r="NOQ242"/>
      <c r="NOR242"/>
      <c r="NOS242"/>
      <c r="NOT242"/>
      <c r="NOU242"/>
      <c r="NOV242"/>
      <c r="NOW242"/>
      <c r="NOX242"/>
      <c r="NOY242"/>
      <c r="NOZ242"/>
      <c r="NPA242"/>
      <c r="NPB242"/>
      <c r="NPC242"/>
      <c r="NPD242"/>
      <c r="NPE242"/>
      <c r="NPF242"/>
      <c r="NPG242"/>
      <c r="NPH242"/>
      <c r="NPI242"/>
      <c r="NPJ242"/>
      <c r="NPK242"/>
      <c r="NPL242"/>
      <c r="NPM242"/>
      <c r="NPN242"/>
      <c r="NPO242"/>
      <c r="NPP242"/>
      <c r="NPQ242"/>
      <c r="NPR242"/>
      <c r="NPS242"/>
      <c r="NPT242"/>
      <c r="NPU242"/>
      <c r="NPV242"/>
      <c r="NPW242"/>
      <c r="NPX242"/>
      <c r="NPY242"/>
      <c r="NPZ242"/>
      <c r="NQA242"/>
      <c r="NQB242"/>
      <c r="NQC242"/>
      <c r="NQD242"/>
      <c r="NQE242"/>
      <c r="NQF242"/>
      <c r="NQG242"/>
      <c r="NQH242"/>
      <c r="NQI242"/>
      <c r="NQJ242"/>
      <c r="NQK242"/>
      <c r="NQL242"/>
      <c r="NQM242"/>
      <c r="NQN242"/>
      <c r="NQO242"/>
      <c r="NQP242"/>
      <c r="NQQ242"/>
      <c r="NQR242"/>
      <c r="NQS242"/>
      <c r="NQT242"/>
      <c r="NQU242"/>
      <c r="NQV242"/>
      <c r="NQW242"/>
      <c r="NQX242"/>
      <c r="NQY242"/>
      <c r="NQZ242"/>
      <c r="NRA242"/>
      <c r="NRB242"/>
      <c r="NRC242"/>
      <c r="NRD242"/>
      <c r="NRE242"/>
      <c r="NRF242"/>
      <c r="NRG242"/>
      <c r="NRH242"/>
      <c r="NRI242"/>
      <c r="NRJ242"/>
      <c r="NRK242"/>
      <c r="NRL242"/>
      <c r="NRM242"/>
      <c r="NRN242"/>
      <c r="NRO242"/>
      <c r="NRP242"/>
      <c r="NRQ242"/>
      <c r="NRR242"/>
      <c r="NRS242"/>
      <c r="NRT242"/>
      <c r="NRU242"/>
      <c r="NRV242"/>
      <c r="NRW242"/>
      <c r="NRX242"/>
      <c r="NRY242"/>
      <c r="NRZ242"/>
      <c r="NSA242"/>
      <c r="NSB242"/>
      <c r="NSC242"/>
      <c r="NSD242"/>
      <c r="NSE242"/>
      <c r="NSF242"/>
      <c r="NSG242"/>
      <c r="NSH242"/>
      <c r="NSI242"/>
      <c r="NSJ242"/>
      <c r="NSK242"/>
      <c r="NSL242"/>
      <c r="NSM242"/>
      <c r="NSN242"/>
      <c r="NSO242"/>
      <c r="NSP242"/>
      <c r="NSQ242"/>
      <c r="NSR242"/>
      <c r="NSS242"/>
      <c r="NST242"/>
      <c r="NSU242"/>
      <c r="NSV242"/>
      <c r="NSW242"/>
      <c r="NSX242"/>
      <c r="NSY242"/>
      <c r="NSZ242"/>
      <c r="NTA242"/>
      <c r="NTB242"/>
      <c r="NTC242"/>
      <c r="NTD242"/>
      <c r="NTE242"/>
      <c r="NTF242"/>
      <c r="NTG242"/>
      <c r="NTH242"/>
      <c r="NTI242"/>
      <c r="NTJ242"/>
      <c r="NTK242"/>
      <c r="NTL242"/>
      <c r="NTM242"/>
      <c r="NTN242"/>
      <c r="NTO242"/>
      <c r="NTP242"/>
      <c r="NTQ242"/>
      <c r="NTR242"/>
      <c r="NTS242"/>
      <c r="NTT242"/>
      <c r="NTU242"/>
      <c r="NTV242"/>
      <c r="NTW242"/>
      <c r="NTX242"/>
      <c r="NTY242"/>
      <c r="NTZ242"/>
      <c r="NUA242"/>
      <c r="NUB242"/>
      <c r="NUC242"/>
      <c r="NUD242"/>
      <c r="NUE242"/>
      <c r="NUF242"/>
      <c r="NUG242"/>
      <c r="NUH242"/>
      <c r="NUI242"/>
      <c r="NUJ242"/>
      <c r="NUK242"/>
      <c r="NUL242"/>
      <c r="NUM242"/>
      <c r="NUN242"/>
      <c r="NUO242"/>
      <c r="NUP242"/>
      <c r="NUQ242"/>
      <c r="NUR242"/>
      <c r="NUS242"/>
      <c r="NUT242"/>
      <c r="NUU242"/>
      <c r="NUV242"/>
      <c r="NUW242"/>
      <c r="NUX242"/>
      <c r="NUY242"/>
      <c r="NUZ242"/>
      <c r="NVA242"/>
      <c r="NVB242"/>
      <c r="NVC242"/>
      <c r="NVD242"/>
      <c r="NVE242"/>
      <c r="NVF242"/>
      <c r="NVG242"/>
      <c r="NVH242"/>
      <c r="NVI242"/>
      <c r="NVJ242"/>
      <c r="NVK242"/>
      <c r="NVL242"/>
      <c r="NVM242"/>
      <c r="NVN242"/>
      <c r="NVO242"/>
      <c r="NVP242"/>
      <c r="NVQ242"/>
      <c r="NVR242"/>
      <c r="NVS242"/>
      <c r="NVT242"/>
      <c r="NVU242"/>
      <c r="NVV242"/>
      <c r="NVW242"/>
      <c r="NVX242"/>
      <c r="NVY242"/>
      <c r="NVZ242"/>
      <c r="NWA242"/>
      <c r="NWB242"/>
      <c r="NWC242"/>
      <c r="NWD242"/>
      <c r="NWE242"/>
      <c r="NWF242"/>
      <c r="NWG242"/>
      <c r="NWH242"/>
      <c r="NWI242"/>
      <c r="NWJ242"/>
      <c r="NWK242"/>
      <c r="NWL242"/>
      <c r="NWM242"/>
      <c r="NWN242"/>
      <c r="NWO242"/>
      <c r="NWP242"/>
      <c r="NWQ242"/>
      <c r="NWR242"/>
      <c r="NWS242"/>
      <c r="NWT242"/>
      <c r="NWU242"/>
      <c r="NWV242"/>
      <c r="NWW242"/>
      <c r="NWX242"/>
      <c r="NWY242"/>
      <c r="NWZ242"/>
      <c r="NXA242"/>
      <c r="NXB242"/>
      <c r="NXC242"/>
      <c r="NXD242"/>
      <c r="NXE242"/>
      <c r="NXF242"/>
      <c r="NXG242"/>
      <c r="NXH242"/>
      <c r="NXI242"/>
      <c r="NXJ242"/>
      <c r="NXK242"/>
      <c r="NXL242"/>
      <c r="NXM242"/>
      <c r="NXN242"/>
      <c r="NXO242"/>
      <c r="NXP242"/>
      <c r="NXQ242"/>
      <c r="NXR242"/>
      <c r="NXS242"/>
      <c r="NXT242"/>
      <c r="NXU242"/>
      <c r="NXV242"/>
      <c r="NXW242"/>
      <c r="NXX242"/>
      <c r="NXY242"/>
      <c r="NXZ242"/>
      <c r="NYA242"/>
      <c r="NYB242"/>
      <c r="NYC242"/>
      <c r="NYD242"/>
      <c r="NYE242"/>
      <c r="NYF242"/>
      <c r="NYG242"/>
      <c r="NYH242"/>
      <c r="NYI242"/>
      <c r="NYJ242"/>
      <c r="NYK242"/>
      <c r="NYL242"/>
      <c r="NYM242"/>
      <c r="NYN242"/>
      <c r="NYO242"/>
      <c r="NYP242"/>
      <c r="NYQ242"/>
      <c r="NYR242"/>
      <c r="NYS242"/>
      <c r="NYT242"/>
      <c r="NYU242"/>
      <c r="NYV242"/>
      <c r="NYW242"/>
      <c r="NYX242"/>
      <c r="NYY242"/>
      <c r="NYZ242"/>
      <c r="NZA242"/>
      <c r="NZB242"/>
      <c r="NZC242"/>
      <c r="NZD242"/>
      <c r="NZE242"/>
      <c r="NZF242"/>
      <c r="NZG242"/>
      <c r="NZH242"/>
      <c r="NZI242"/>
      <c r="NZJ242"/>
      <c r="NZK242"/>
      <c r="NZL242"/>
      <c r="NZM242"/>
      <c r="NZN242"/>
      <c r="NZO242"/>
      <c r="NZP242"/>
      <c r="NZQ242"/>
      <c r="NZR242"/>
      <c r="NZS242"/>
      <c r="NZT242"/>
      <c r="NZU242"/>
      <c r="NZV242"/>
      <c r="NZW242"/>
      <c r="NZX242"/>
      <c r="NZY242"/>
      <c r="NZZ242"/>
      <c r="OAA242"/>
      <c r="OAB242"/>
      <c r="OAC242"/>
      <c r="OAD242"/>
      <c r="OAE242"/>
      <c r="OAF242"/>
      <c r="OAG242"/>
      <c r="OAH242"/>
      <c r="OAI242"/>
      <c r="OAJ242"/>
      <c r="OAK242"/>
      <c r="OAL242"/>
      <c r="OAM242"/>
      <c r="OAN242"/>
      <c r="OAO242"/>
      <c r="OAP242"/>
      <c r="OAQ242"/>
      <c r="OAR242"/>
      <c r="OAS242"/>
      <c r="OAT242"/>
      <c r="OAU242"/>
      <c r="OAV242"/>
      <c r="OAW242"/>
      <c r="OAX242"/>
      <c r="OAY242"/>
      <c r="OAZ242"/>
      <c r="OBA242"/>
      <c r="OBB242"/>
      <c r="OBC242"/>
      <c r="OBD242"/>
      <c r="OBE242"/>
      <c r="OBF242"/>
      <c r="OBG242"/>
      <c r="OBH242"/>
      <c r="OBI242"/>
      <c r="OBJ242"/>
      <c r="OBK242"/>
      <c r="OBL242"/>
      <c r="OBM242"/>
      <c r="OBN242"/>
      <c r="OBO242"/>
      <c r="OBP242"/>
      <c r="OBQ242"/>
      <c r="OBR242"/>
      <c r="OBS242"/>
      <c r="OBT242"/>
      <c r="OBU242"/>
      <c r="OBV242"/>
      <c r="OBW242"/>
      <c r="OBX242"/>
      <c r="OBY242"/>
      <c r="OBZ242"/>
      <c r="OCA242"/>
      <c r="OCB242"/>
      <c r="OCC242"/>
      <c r="OCD242"/>
      <c r="OCE242"/>
      <c r="OCF242"/>
      <c r="OCG242"/>
      <c r="OCH242"/>
      <c r="OCI242"/>
      <c r="OCJ242"/>
      <c r="OCK242"/>
      <c r="OCL242"/>
      <c r="OCM242"/>
      <c r="OCN242"/>
      <c r="OCO242"/>
      <c r="OCP242"/>
      <c r="OCQ242"/>
      <c r="OCR242"/>
      <c r="OCS242"/>
      <c r="OCT242"/>
      <c r="OCU242"/>
      <c r="OCV242"/>
      <c r="OCW242"/>
      <c r="OCX242"/>
      <c r="OCY242"/>
      <c r="OCZ242"/>
      <c r="ODA242"/>
      <c r="ODB242"/>
      <c r="ODC242"/>
      <c r="ODD242"/>
      <c r="ODE242"/>
      <c r="ODF242"/>
      <c r="ODG242"/>
      <c r="ODH242"/>
      <c r="ODI242"/>
      <c r="ODJ242"/>
      <c r="ODK242"/>
      <c r="ODL242"/>
      <c r="ODM242"/>
      <c r="ODN242"/>
      <c r="ODO242"/>
      <c r="ODP242"/>
      <c r="ODQ242"/>
      <c r="ODR242"/>
      <c r="ODS242"/>
      <c r="ODT242"/>
      <c r="ODU242"/>
      <c r="ODV242"/>
      <c r="ODW242"/>
      <c r="ODX242"/>
      <c r="ODY242"/>
      <c r="ODZ242"/>
      <c r="OEA242"/>
      <c r="OEB242"/>
      <c r="OEC242"/>
      <c r="OED242"/>
      <c r="OEE242"/>
      <c r="OEF242"/>
      <c r="OEG242"/>
      <c r="OEH242"/>
      <c r="OEI242"/>
      <c r="OEJ242"/>
      <c r="OEK242"/>
      <c r="OEL242"/>
      <c r="OEM242"/>
      <c r="OEN242"/>
      <c r="OEO242"/>
      <c r="OEP242"/>
      <c r="OEQ242"/>
      <c r="OER242"/>
      <c r="OES242"/>
      <c r="OET242"/>
      <c r="OEU242"/>
      <c r="OEV242"/>
      <c r="OEW242"/>
      <c r="OEX242"/>
      <c r="OEY242"/>
      <c r="OEZ242"/>
      <c r="OFA242"/>
      <c r="OFB242"/>
      <c r="OFC242"/>
      <c r="OFD242"/>
      <c r="OFE242"/>
      <c r="OFF242"/>
      <c r="OFG242"/>
      <c r="OFH242"/>
      <c r="OFI242"/>
      <c r="OFJ242"/>
      <c r="OFK242"/>
      <c r="OFL242"/>
      <c r="OFM242"/>
      <c r="OFN242"/>
      <c r="OFO242"/>
      <c r="OFP242"/>
      <c r="OFQ242"/>
      <c r="OFR242"/>
      <c r="OFS242"/>
      <c r="OFT242"/>
      <c r="OFU242"/>
      <c r="OFV242"/>
      <c r="OFW242"/>
      <c r="OFX242"/>
      <c r="OFY242"/>
      <c r="OFZ242"/>
      <c r="OGA242"/>
      <c r="OGB242"/>
      <c r="OGC242"/>
      <c r="OGD242"/>
      <c r="OGE242"/>
      <c r="OGF242"/>
      <c r="OGG242"/>
      <c r="OGH242"/>
      <c r="OGI242"/>
      <c r="OGJ242"/>
      <c r="OGK242"/>
      <c r="OGL242"/>
      <c r="OGM242"/>
      <c r="OGN242"/>
      <c r="OGO242"/>
      <c r="OGP242"/>
      <c r="OGQ242"/>
      <c r="OGR242"/>
      <c r="OGS242"/>
      <c r="OGT242"/>
      <c r="OGU242"/>
      <c r="OGV242"/>
      <c r="OGW242"/>
      <c r="OGX242"/>
      <c r="OGY242"/>
      <c r="OGZ242"/>
      <c r="OHA242"/>
      <c r="OHB242"/>
      <c r="OHC242"/>
      <c r="OHD242"/>
      <c r="OHE242"/>
      <c r="OHF242"/>
      <c r="OHG242"/>
      <c r="OHH242"/>
      <c r="OHI242"/>
      <c r="OHJ242"/>
      <c r="OHK242"/>
      <c r="OHL242"/>
      <c r="OHM242"/>
      <c r="OHN242"/>
      <c r="OHO242"/>
      <c r="OHP242"/>
      <c r="OHQ242"/>
      <c r="OHR242"/>
      <c r="OHS242"/>
      <c r="OHT242"/>
      <c r="OHU242"/>
      <c r="OHV242"/>
      <c r="OHW242"/>
      <c r="OHX242"/>
      <c r="OHY242"/>
      <c r="OHZ242"/>
      <c r="OIA242"/>
      <c r="OIB242"/>
      <c r="OIC242"/>
      <c r="OID242"/>
      <c r="OIE242"/>
      <c r="OIF242"/>
      <c r="OIG242"/>
      <c r="OIH242"/>
      <c r="OII242"/>
      <c r="OIJ242"/>
      <c r="OIK242"/>
      <c r="OIL242"/>
      <c r="OIM242"/>
      <c r="OIN242"/>
      <c r="OIO242"/>
      <c r="OIP242"/>
      <c r="OIQ242"/>
      <c r="OIR242"/>
      <c r="OIS242"/>
      <c r="OIT242"/>
      <c r="OIU242"/>
      <c r="OIV242"/>
      <c r="OIW242"/>
      <c r="OIX242"/>
      <c r="OIY242"/>
      <c r="OIZ242"/>
      <c r="OJA242"/>
      <c r="OJB242"/>
      <c r="OJC242"/>
      <c r="OJD242"/>
      <c r="OJE242"/>
      <c r="OJF242"/>
      <c r="OJG242"/>
      <c r="OJH242"/>
      <c r="OJI242"/>
      <c r="OJJ242"/>
      <c r="OJK242"/>
      <c r="OJL242"/>
      <c r="OJM242"/>
      <c r="OJN242"/>
      <c r="OJO242"/>
      <c r="OJP242"/>
      <c r="OJQ242"/>
      <c r="OJR242"/>
      <c r="OJS242"/>
      <c r="OJT242"/>
      <c r="OJU242"/>
      <c r="OJV242"/>
      <c r="OJW242"/>
      <c r="OJX242"/>
      <c r="OJY242"/>
      <c r="OJZ242"/>
      <c r="OKA242"/>
      <c r="OKB242"/>
      <c r="OKC242"/>
      <c r="OKD242"/>
      <c r="OKE242"/>
      <c r="OKF242"/>
      <c r="OKG242"/>
      <c r="OKH242"/>
      <c r="OKI242"/>
      <c r="OKJ242"/>
      <c r="OKK242"/>
      <c r="OKL242"/>
      <c r="OKM242"/>
      <c r="OKN242"/>
      <c r="OKO242"/>
      <c r="OKP242"/>
      <c r="OKQ242"/>
      <c r="OKR242"/>
      <c r="OKS242"/>
      <c r="OKT242"/>
      <c r="OKU242"/>
      <c r="OKV242"/>
      <c r="OKW242"/>
      <c r="OKX242"/>
      <c r="OKY242"/>
      <c r="OKZ242"/>
      <c r="OLA242"/>
      <c r="OLB242"/>
      <c r="OLC242"/>
      <c r="OLD242"/>
      <c r="OLE242"/>
      <c r="OLF242"/>
      <c r="OLG242"/>
      <c r="OLH242"/>
      <c r="OLI242"/>
      <c r="OLJ242"/>
      <c r="OLK242"/>
      <c r="OLL242"/>
      <c r="OLM242"/>
      <c r="OLN242"/>
      <c r="OLO242"/>
      <c r="OLP242"/>
      <c r="OLQ242"/>
      <c r="OLR242"/>
      <c r="OLS242"/>
      <c r="OLT242"/>
      <c r="OLU242"/>
      <c r="OLV242"/>
      <c r="OLW242"/>
      <c r="OLX242"/>
      <c r="OLY242"/>
      <c r="OLZ242"/>
      <c r="OMA242"/>
      <c r="OMB242"/>
      <c r="OMC242"/>
      <c r="OMD242"/>
      <c r="OME242"/>
      <c r="OMF242"/>
      <c r="OMG242"/>
      <c r="OMH242"/>
      <c r="OMI242"/>
      <c r="OMJ242"/>
      <c r="OMK242"/>
      <c r="OML242"/>
      <c r="OMM242"/>
      <c r="OMN242"/>
      <c r="OMO242"/>
      <c r="OMP242"/>
      <c r="OMQ242"/>
      <c r="OMR242"/>
      <c r="OMS242"/>
      <c r="OMT242"/>
      <c r="OMU242"/>
      <c r="OMV242"/>
      <c r="OMW242"/>
      <c r="OMX242"/>
      <c r="OMY242"/>
      <c r="OMZ242"/>
      <c r="ONA242"/>
      <c r="ONB242"/>
      <c r="ONC242"/>
      <c r="OND242"/>
      <c r="ONE242"/>
      <c r="ONF242"/>
      <c r="ONG242"/>
      <c r="ONH242"/>
      <c r="ONI242"/>
      <c r="ONJ242"/>
      <c r="ONK242"/>
      <c r="ONL242"/>
      <c r="ONM242"/>
      <c r="ONN242"/>
      <c r="ONO242"/>
      <c r="ONP242"/>
      <c r="ONQ242"/>
      <c r="ONR242"/>
      <c r="ONS242"/>
      <c r="ONT242"/>
      <c r="ONU242"/>
      <c r="ONV242"/>
      <c r="ONW242"/>
      <c r="ONX242"/>
      <c r="ONY242"/>
      <c r="ONZ242"/>
      <c r="OOA242"/>
      <c r="OOB242"/>
      <c r="OOC242"/>
      <c r="OOD242"/>
      <c r="OOE242"/>
      <c r="OOF242"/>
      <c r="OOG242"/>
      <c r="OOH242"/>
      <c r="OOI242"/>
      <c r="OOJ242"/>
      <c r="OOK242"/>
      <c r="OOL242"/>
      <c r="OOM242"/>
      <c r="OON242"/>
      <c r="OOO242"/>
      <c r="OOP242"/>
      <c r="OOQ242"/>
      <c r="OOR242"/>
      <c r="OOS242"/>
      <c r="OOT242"/>
      <c r="OOU242"/>
      <c r="OOV242"/>
      <c r="OOW242"/>
      <c r="OOX242"/>
      <c r="OOY242"/>
      <c r="OOZ242"/>
      <c r="OPA242"/>
      <c r="OPB242"/>
      <c r="OPC242"/>
      <c r="OPD242"/>
      <c r="OPE242"/>
      <c r="OPF242"/>
      <c r="OPG242"/>
      <c r="OPH242"/>
      <c r="OPI242"/>
      <c r="OPJ242"/>
      <c r="OPK242"/>
      <c r="OPL242"/>
      <c r="OPM242"/>
      <c r="OPN242"/>
      <c r="OPO242"/>
      <c r="OPP242"/>
      <c r="OPQ242"/>
      <c r="OPR242"/>
      <c r="OPS242"/>
      <c r="OPT242"/>
      <c r="OPU242"/>
      <c r="OPV242"/>
      <c r="OPW242"/>
      <c r="OPX242"/>
      <c r="OPY242"/>
      <c r="OPZ242"/>
      <c r="OQA242"/>
      <c r="OQB242"/>
      <c r="OQC242"/>
      <c r="OQD242"/>
      <c r="OQE242"/>
      <c r="OQF242"/>
      <c r="OQG242"/>
      <c r="OQH242"/>
      <c r="OQI242"/>
      <c r="OQJ242"/>
      <c r="OQK242"/>
      <c r="OQL242"/>
      <c r="OQM242"/>
      <c r="OQN242"/>
      <c r="OQO242"/>
      <c r="OQP242"/>
      <c r="OQQ242"/>
      <c r="OQR242"/>
      <c r="OQS242"/>
      <c r="OQT242"/>
      <c r="OQU242"/>
      <c r="OQV242"/>
      <c r="OQW242"/>
      <c r="OQX242"/>
      <c r="OQY242"/>
      <c r="OQZ242"/>
      <c r="ORA242"/>
      <c r="ORB242"/>
      <c r="ORC242"/>
      <c r="ORD242"/>
      <c r="ORE242"/>
      <c r="ORF242"/>
      <c r="ORG242"/>
      <c r="ORH242"/>
      <c r="ORI242"/>
      <c r="ORJ242"/>
      <c r="ORK242"/>
      <c r="ORL242"/>
      <c r="ORM242"/>
      <c r="ORN242"/>
      <c r="ORO242"/>
      <c r="ORP242"/>
      <c r="ORQ242"/>
      <c r="ORR242"/>
      <c r="ORS242"/>
      <c r="ORT242"/>
      <c r="ORU242"/>
      <c r="ORV242"/>
      <c r="ORW242"/>
      <c r="ORX242"/>
      <c r="ORY242"/>
      <c r="ORZ242"/>
      <c r="OSA242"/>
      <c r="OSB242"/>
      <c r="OSC242"/>
      <c r="OSD242"/>
      <c r="OSE242"/>
      <c r="OSF242"/>
      <c r="OSG242"/>
      <c r="OSH242"/>
      <c r="OSI242"/>
      <c r="OSJ242"/>
      <c r="OSK242"/>
      <c r="OSL242"/>
      <c r="OSM242"/>
      <c r="OSN242"/>
      <c r="OSO242"/>
      <c r="OSP242"/>
      <c r="OSQ242"/>
      <c r="OSR242"/>
      <c r="OSS242"/>
      <c r="OST242"/>
      <c r="OSU242"/>
      <c r="OSV242"/>
      <c r="OSW242"/>
      <c r="OSX242"/>
      <c r="OSY242"/>
      <c r="OSZ242"/>
      <c r="OTA242"/>
      <c r="OTB242"/>
      <c r="OTC242"/>
      <c r="OTD242"/>
      <c r="OTE242"/>
      <c r="OTF242"/>
      <c r="OTG242"/>
      <c r="OTH242"/>
      <c r="OTI242"/>
      <c r="OTJ242"/>
      <c r="OTK242"/>
      <c r="OTL242"/>
      <c r="OTM242"/>
      <c r="OTN242"/>
      <c r="OTO242"/>
      <c r="OTP242"/>
      <c r="OTQ242"/>
      <c r="OTR242"/>
      <c r="OTS242"/>
      <c r="OTT242"/>
      <c r="OTU242"/>
      <c r="OTV242"/>
      <c r="OTW242"/>
      <c r="OTX242"/>
      <c r="OTY242"/>
      <c r="OTZ242"/>
      <c r="OUA242"/>
      <c r="OUB242"/>
      <c r="OUC242"/>
      <c r="OUD242"/>
      <c r="OUE242"/>
      <c r="OUF242"/>
      <c r="OUG242"/>
      <c r="OUH242"/>
      <c r="OUI242"/>
      <c r="OUJ242"/>
      <c r="OUK242"/>
      <c r="OUL242"/>
      <c r="OUM242"/>
      <c r="OUN242"/>
      <c r="OUO242"/>
      <c r="OUP242"/>
      <c r="OUQ242"/>
      <c r="OUR242"/>
      <c r="OUS242"/>
      <c r="OUT242"/>
      <c r="OUU242"/>
      <c r="OUV242"/>
      <c r="OUW242"/>
      <c r="OUX242"/>
      <c r="OUY242"/>
      <c r="OUZ242"/>
      <c r="OVA242"/>
      <c r="OVB242"/>
      <c r="OVC242"/>
      <c r="OVD242"/>
      <c r="OVE242"/>
      <c r="OVF242"/>
      <c r="OVG242"/>
      <c r="OVH242"/>
      <c r="OVI242"/>
      <c r="OVJ242"/>
      <c r="OVK242"/>
      <c r="OVL242"/>
      <c r="OVM242"/>
      <c r="OVN242"/>
      <c r="OVO242"/>
      <c r="OVP242"/>
      <c r="OVQ242"/>
      <c r="OVR242"/>
      <c r="OVS242"/>
      <c r="OVT242"/>
      <c r="OVU242"/>
      <c r="OVV242"/>
      <c r="OVW242"/>
      <c r="OVX242"/>
      <c r="OVY242"/>
      <c r="OVZ242"/>
      <c r="OWA242"/>
      <c r="OWB242"/>
      <c r="OWC242"/>
      <c r="OWD242"/>
      <c r="OWE242"/>
      <c r="OWF242"/>
      <c r="OWG242"/>
      <c r="OWH242"/>
      <c r="OWI242"/>
      <c r="OWJ242"/>
      <c r="OWK242"/>
      <c r="OWL242"/>
      <c r="OWM242"/>
      <c r="OWN242"/>
      <c r="OWO242"/>
      <c r="OWP242"/>
      <c r="OWQ242"/>
      <c r="OWR242"/>
      <c r="OWS242"/>
      <c r="OWT242"/>
      <c r="OWU242"/>
      <c r="OWV242"/>
      <c r="OWW242"/>
      <c r="OWX242"/>
      <c r="OWY242"/>
      <c r="OWZ242"/>
      <c r="OXA242"/>
      <c r="OXB242"/>
      <c r="OXC242"/>
      <c r="OXD242"/>
      <c r="OXE242"/>
      <c r="OXF242"/>
      <c r="OXG242"/>
      <c r="OXH242"/>
      <c r="OXI242"/>
      <c r="OXJ242"/>
      <c r="OXK242"/>
      <c r="OXL242"/>
      <c r="OXM242"/>
      <c r="OXN242"/>
      <c r="OXO242"/>
      <c r="OXP242"/>
      <c r="OXQ242"/>
      <c r="OXR242"/>
      <c r="OXS242"/>
      <c r="OXT242"/>
      <c r="OXU242"/>
      <c r="OXV242"/>
      <c r="OXW242"/>
      <c r="OXX242"/>
      <c r="OXY242"/>
      <c r="OXZ242"/>
      <c r="OYA242"/>
      <c r="OYB242"/>
      <c r="OYC242"/>
      <c r="OYD242"/>
      <c r="OYE242"/>
      <c r="OYF242"/>
      <c r="OYG242"/>
      <c r="OYH242"/>
      <c r="OYI242"/>
      <c r="OYJ242"/>
      <c r="OYK242"/>
      <c r="OYL242"/>
      <c r="OYM242"/>
      <c r="OYN242"/>
      <c r="OYO242"/>
      <c r="OYP242"/>
      <c r="OYQ242"/>
      <c r="OYR242"/>
      <c r="OYS242"/>
      <c r="OYT242"/>
      <c r="OYU242"/>
      <c r="OYV242"/>
      <c r="OYW242"/>
      <c r="OYX242"/>
      <c r="OYY242"/>
      <c r="OYZ242"/>
      <c r="OZA242"/>
      <c r="OZB242"/>
      <c r="OZC242"/>
      <c r="OZD242"/>
      <c r="OZE242"/>
      <c r="OZF242"/>
      <c r="OZG242"/>
      <c r="OZH242"/>
      <c r="OZI242"/>
      <c r="OZJ242"/>
      <c r="OZK242"/>
      <c r="OZL242"/>
      <c r="OZM242"/>
      <c r="OZN242"/>
      <c r="OZO242"/>
      <c r="OZP242"/>
      <c r="OZQ242"/>
      <c r="OZR242"/>
      <c r="OZS242"/>
      <c r="OZT242"/>
      <c r="OZU242"/>
      <c r="OZV242"/>
      <c r="OZW242"/>
      <c r="OZX242"/>
      <c r="OZY242"/>
      <c r="OZZ242"/>
      <c r="PAA242"/>
      <c r="PAB242"/>
      <c r="PAC242"/>
      <c r="PAD242"/>
      <c r="PAE242"/>
      <c r="PAF242"/>
      <c r="PAG242"/>
      <c r="PAH242"/>
      <c r="PAI242"/>
      <c r="PAJ242"/>
      <c r="PAK242"/>
      <c r="PAL242"/>
      <c r="PAM242"/>
      <c r="PAN242"/>
      <c r="PAO242"/>
      <c r="PAP242"/>
      <c r="PAQ242"/>
      <c r="PAR242"/>
      <c r="PAS242"/>
      <c r="PAT242"/>
      <c r="PAU242"/>
      <c r="PAV242"/>
      <c r="PAW242"/>
      <c r="PAX242"/>
      <c r="PAY242"/>
      <c r="PAZ242"/>
      <c r="PBA242"/>
      <c r="PBB242"/>
      <c r="PBC242"/>
      <c r="PBD242"/>
      <c r="PBE242"/>
      <c r="PBF242"/>
      <c r="PBG242"/>
      <c r="PBH242"/>
      <c r="PBI242"/>
      <c r="PBJ242"/>
      <c r="PBK242"/>
      <c r="PBL242"/>
      <c r="PBM242"/>
      <c r="PBN242"/>
      <c r="PBO242"/>
      <c r="PBP242"/>
      <c r="PBQ242"/>
      <c r="PBR242"/>
      <c r="PBS242"/>
      <c r="PBT242"/>
      <c r="PBU242"/>
      <c r="PBV242"/>
      <c r="PBW242"/>
      <c r="PBX242"/>
      <c r="PBY242"/>
      <c r="PBZ242"/>
      <c r="PCA242"/>
      <c r="PCB242"/>
      <c r="PCC242"/>
      <c r="PCD242"/>
      <c r="PCE242"/>
      <c r="PCF242"/>
      <c r="PCG242"/>
      <c r="PCH242"/>
      <c r="PCI242"/>
      <c r="PCJ242"/>
      <c r="PCK242"/>
      <c r="PCL242"/>
      <c r="PCM242"/>
      <c r="PCN242"/>
      <c r="PCO242"/>
      <c r="PCP242"/>
      <c r="PCQ242"/>
      <c r="PCR242"/>
      <c r="PCS242"/>
      <c r="PCT242"/>
      <c r="PCU242"/>
      <c r="PCV242"/>
      <c r="PCW242"/>
      <c r="PCX242"/>
      <c r="PCY242"/>
      <c r="PCZ242"/>
      <c r="PDA242"/>
      <c r="PDB242"/>
      <c r="PDC242"/>
      <c r="PDD242"/>
      <c r="PDE242"/>
      <c r="PDF242"/>
      <c r="PDG242"/>
      <c r="PDH242"/>
      <c r="PDI242"/>
      <c r="PDJ242"/>
      <c r="PDK242"/>
      <c r="PDL242"/>
      <c r="PDM242"/>
      <c r="PDN242"/>
      <c r="PDO242"/>
      <c r="PDP242"/>
      <c r="PDQ242"/>
      <c r="PDR242"/>
      <c r="PDS242"/>
      <c r="PDT242"/>
      <c r="PDU242"/>
      <c r="PDV242"/>
      <c r="PDW242"/>
      <c r="PDX242"/>
      <c r="PDY242"/>
      <c r="PDZ242"/>
      <c r="PEA242"/>
      <c r="PEB242"/>
      <c r="PEC242"/>
      <c r="PED242"/>
      <c r="PEE242"/>
      <c r="PEF242"/>
      <c r="PEG242"/>
      <c r="PEH242"/>
      <c r="PEI242"/>
      <c r="PEJ242"/>
      <c r="PEK242"/>
      <c r="PEL242"/>
      <c r="PEM242"/>
      <c r="PEN242"/>
      <c r="PEO242"/>
      <c r="PEP242"/>
      <c r="PEQ242"/>
      <c r="PER242"/>
      <c r="PES242"/>
      <c r="PET242"/>
      <c r="PEU242"/>
      <c r="PEV242"/>
      <c r="PEW242"/>
      <c r="PEX242"/>
      <c r="PEY242"/>
      <c r="PEZ242"/>
      <c r="PFA242"/>
      <c r="PFB242"/>
      <c r="PFC242"/>
      <c r="PFD242"/>
      <c r="PFE242"/>
      <c r="PFF242"/>
      <c r="PFG242"/>
      <c r="PFH242"/>
      <c r="PFI242"/>
      <c r="PFJ242"/>
      <c r="PFK242"/>
      <c r="PFL242"/>
      <c r="PFM242"/>
      <c r="PFN242"/>
      <c r="PFO242"/>
      <c r="PFP242"/>
      <c r="PFQ242"/>
      <c r="PFR242"/>
      <c r="PFS242"/>
      <c r="PFT242"/>
      <c r="PFU242"/>
      <c r="PFV242"/>
      <c r="PFW242"/>
      <c r="PFX242"/>
      <c r="PFY242"/>
      <c r="PFZ242"/>
      <c r="PGA242"/>
      <c r="PGB242"/>
      <c r="PGC242"/>
      <c r="PGD242"/>
      <c r="PGE242"/>
      <c r="PGF242"/>
      <c r="PGG242"/>
      <c r="PGH242"/>
      <c r="PGI242"/>
      <c r="PGJ242"/>
      <c r="PGK242"/>
      <c r="PGL242"/>
      <c r="PGM242"/>
      <c r="PGN242"/>
      <c r="PGO242"/>
      <c r="PGP242"/>
      <c r="PGQ242"/>
      <c r="PGR242"/>
      <c r="PGS242"/>
      <c r="PGT242"/>
      <c r="PGU242"/>
      <c r="PGV242"/>
      <c r="PGW242"/>
      <c r="PGX242"/>
      <c r="PGY242"/>
      <c r="PGZ242"/>
      <c r="PHA242"/>
      <c r="PHB242"/>
      <c r="PHC242"/>
      <c r="PHD242"/>
      <c r="PHE242"/>
      <c r="PHF242"/>
      <c r="PHG242"/>
      <c r="PHH242"/>
      <c r="PHI242"/>
      <c r="PHJ242"/>
      <c r="PHK242"/>
      <c r="PHL242"/>
      <c r="PHM242"/>
      <c r="PHN242"/>
      <c r="PHO242"/>
      <c r="PHP242"/>
      <c r="PHQ242"/>
      <c r="PHR242"/>
      <c r="PHS242"/>
      <c r="PHT242"/>
      <c r="PHU242"/>
      <c r="PHV242"/>
      <c r="PHW242"/>
      <c r="PHX242"/>
      <c r="PHY242"/>
      <c r="PHZ242"/>
      <c r="PIA242"/>
      <c r="PIB242"/>
      <c r="PIC242"/>
      <c r="PID242"/>
      <c r="PIE242"/>
      <c r="PIF242"/>
      <c r="PIG242"/>
      <c r="PIH242"/>
      <c r="PII242"/>
      <c r="PIJ242"/>
      <c r="PIK242"/>
      <c r="PIL242"/>
      <c r="PIM242"/>
      <c r="PIN242"/>
      <c r="PIO242"/>
      <c r="PIP242"/>
      <c r="PIQ242"/>
      <c r="PIR242"/>
      <c r="PIS242"/>
      <c r="PIT242"/>
      <c r="PIU242"/>
      <c r="PIV242"/>
      <c r="PIW242"/>
      <c r="PIX242"/>
      <c r="PIY242"/>
      <c r="PIZ242"/>
      <c r="PJA242"/>
      <c r="PJB242"/>
      <c r="PJC242"/>
      <c r="PJD242"/>
      <c r="PJE242"/>
      <c r="PJF242"/>
      <c r="PJG242"/>
      <c r="PJH242"/>
      <c r="PJI242"/>
      <c r="PJJ242"/>
      <c r="PJK242"/>
      <c r="PJL242"/>
      <c r="PJM242"/>
      <c r="PJN242"/>
      <c r="PJO242"/>
      <c r="PJP242"/>
      <c r="PJQ242"/>
      <c r="PJR242"/>
      <c r="PJS242"/>
      <c r="PJT242"/>
      <c r="PJU242"/>
      <c r="PJV242"/>
      <c r="PJW242"/>
      <c r="PJX242"/>
      <c r="PJY242"/>
      <c r="PJZ242"/>
      <c r="PKA242"/>
      <c r="PKB242"/>
      <c r="PKC242"/>
      <c r="PKD242"/>
      <c r="PKE242"/>
      <c r="PKF242"/>
      <c r="PKG242"/>
      <c r="PKH242"/>
      <c r="PKI242"/>
      <c r="PKJ242"/>
      <c r="PKK242"/>
      <c r="PKL242"/>
      <c r="PKM242"/>
      <c r="PKN242"/>
      <c r="PKO242"/>
      <c r="PKP242"/>
      <c r="PKQ242"/>
      <c r="PKR242"/>
      <c r="PKS242"/>
      <c r="PKT242"/>
      <c r="PKU242"/>
      <c r="PKV242"/>
      <c r="PKW242"/>
      <c r="PKX242"/>
      <c r="PKY242"/>
      <c r="PKZ242"/>
      <c r="PLA242"/>
      <c r="PLB242"/>
      <c r="PLC242"/>
      <c r="PLD242"/>
      <c r="PLE242"/>
      <c r="PLF242"/>
      <c r="PLG242"/>
      <c r="PLH242"/>
      <c r="PLI242"/>
      <c r="PLJ242"/>
      <c r="PLK242"/>
      <c r="PLL242"/>
      <c r="PLM242"/>
      <c r="PLN242"/>
      <c r="PLO242"/>
      <c r="PLP242"/>
      <c r="PLQ242"/>
      <c r="PLR242"/>
      <c r="PLS242"/>
      <c r="PLT242"/>
      <c r="PLU242"/>
      <c r="PLV242"/>
      <c r="PLW242"/>
      <c r="PLX242"/>
      <c r="PLY242"/>
      <c r="PLZ242"/>
      <c r="PMA242"/>
      <c r="PMB242"/>
      <c r="PMC242"/>
      <c r="PMD242"/>
      <c r="PME242"/>
      <c r="PMF242"/>
      <c r="PMG242"/>
      <c r="PMH242"/>
      <c r="PMI242"/>
      <c r="PMJ242"/>
      <c r="PMK242"/>
      <c r="PML242"/>
      <c r="PMM242"/>
      <c r="PMN242"/>
      <c r="PMO242"/>
      <c r="PMP242"/>
      <c r="PMQ242"/>
      <c r="PMR242"/>
      <c r="PMS242"/>
      <c r="PMT242"/>
      <c r="PMU242"/>
      <c r="PMV242"/>
      <c r="PMW242"/>
      <c r="PMX242"/>
      <c r="PMY242"/>
      <c r="PMZ242"/>
      <c r="PNA242"/>
      <c r="PNB242"/>
      <c r="PNC242"/>
      <c r="PND242"/>
      <c r="PNE242"/>
      <c r="PNF242"/>
      <c r="PNG242"/>
      <c r="PNH242"/>
      <c r="PNI242"/>
      <c r="PNJ242"/>
      <c r="PNK242"/>
      <c r="PNL242"/>
      <c r="PNM242"/>
      <c r="PNN242"/>
      <c r="PNO242"/>
      <c r="PNP242"/>
      <c r="PNQ242"/>
      <c r="PNR242"/>
      <c r="PNS242"/>
      <c r="PNT242"/>
      <c r="PNU242"/>
      <c r="PNV242"/>
      <c r="PNW242"/>
      <c r="PNX242"/>
      <c r="PNY242"/>
      <c r="PNZ242"/>
      <c r="POA242"/>
      <c r="POB242"/>
      <c r="POC242"/>
      <c r="POD242"/>
      <c r="POE242"/>
      <c r="POF242"/>
      <c r="POG242"/>
      <c r="POH242"/>
      <c r="POI242"/>
      <c r="POJ242"/>
      <c r="POK242"/>
      <c r="POL242"/>
      <c r="POM242"/>
      <c r="PON242"/>
      <c r="POO242"/>
      <c r="POP242"/>
      <c r="POQ242"/>
      <c r="POR242"/>
      <c r="POS242"/>
      <c r="POT242"/>
      <c r="POU242"/>
      <c r="POV242"/>
      <c r="POW242"/>
      <c r="POX242"/>
      <c r="POY242"/>
      <c r="POZ242"/>
      <c r="PPA242"/>
      <c r="PPB242"/>
      <c r="PPC242"/>
      <c r="PPD242"/>
      <c r="PPE242"/>
      <c r="PPF242"/>
      <c r="PPG242"/>
      <c r="PPH242"/>
      <c r="PPI242"/>
      <c r="PPJ242"/>
      <c r="PPK242"/>
      <c r="PPL242"/>
      <c r="PPM242"/>
      <c r="PPN242"/>
      <c r="PPO242"/>
      <c r="PPP242"/>
      <c r="PPQ242"/>
      <c r="PPR242"/>
      <c r="PPS242"/>
      <c r="PPT242"/>
      <c r="PPU242"/>
      <c r="PPV242"/>
      <c r="PPW242"/>
      <c r="PPX242"/>
      <c r="PPY242"/>
      <c r="PPZ242"/>
      <c r="PQA242"/>
      <c r="PQB242"/>
      <c r="PQC242"/>
      <c r="PQD242"/>
      <c r="PQE242"/>
      <c r="PQF242"/>
      <c r="PQG242"/>
      <c r="PQH242"/>
      <c r="PQI242"/>
      <c r="PQJ242"/>
      <c r="PQK242"/>
      <c r="PQL242"/>
      <c r="PQM242"/>
      <c r="PQN242"/>
      <c r="PQO242"/>
      <c r="PQP242"/>
      <c r="PQQ242"/>
      <c r="PQR242"/>
      <c r="PQS242"/>
      <c r="PQT242"/>
      <c r="PQU242"/>
      <c r="PQV242"/>
      <c r="PQW242"/>
      <c r="PQX242"/>
      <c r="PQY242"/>
      <c r="PQZ242"/>
      <c r="PRA242"/>
      <c r="PRB242"/>
      <c r="PRC242"/>
      <c r="PRD242"/>
      <c r="PRE242"/>
      <c r="PRF242"/>
      <c r="PRG242"/>
      <c r="PRH242"/>
      <c r="PRI242"/>
      <c r="PRJ242"/>
      <c r="PRK242"/>
      <c r="PRL242"/>
      <c r="PRM242"/>
      <c r="PRN242"/>
      <c r="PRO242"/>
      <c r="PRP242"/>
      <c r="PRQ242"/>
      <c r="PRR242"/>
      <c r="PRS242"/>
      <c r="PRT242"/>
      <c r="PRU242"/>
      <c r="PRV242"/>
      <c r="PRW242"/>
      <c r="PRX242"/>
      <c r="PRY242"/>
      <c r="PRZ242"/>
      <c r="PSA242"/>
      <c r="PSB242"/>
      <c r="PSC242"/>
      <c r="PSD242"/>
      <c r="PSE242"/>
      <c r="PSF242"/>
      <c r="PSG242"/>
      <c r="PSH242"/>
      <c r="PSI242"/>
      <c r="PSJ242"/>
      <c r="PSK242"/>
      <c r="PSL242"/>
      <c r="PSM242"/>
      <c r="PSN242"/>
      <c r="PSO242"/>
      <c r="PSP242"/>
      <c r="PSQ242"/>
      <c r="PSR242"/>
      <c r="PSS242"/>
      <c r="PST242"/>
      <c r="PSU242"/>
      <c r="PSV242"/>
      <c r="PSW242"/>
      <c r="PSX242"/>
      <c r="PSY242"/>
      <c r="PSZ242"/>
      <c r="PTA242"/>
      <c r="PTB242"/>
      <c r="PTC242"/>
      <c r="PTD242"/>
      <c r="PTE242"/>
      <c r="PTF242"/>
      <c r="PTG242"/>
      <c r="PTH242"/>
      <c r="PTI242"/>
      <c r="PTJ242"/>
      <c r="PTK242"/>
      <c r="PTL242"/>
      <c r="PTM242"/>
      <c r="PTN242"/>
      <c r="PTO242"/>
      <c r="PTP242"/>
      <c r="PTQ242"/>
      <c r="PTR242"/>
      <c r="PTS242"/>
      <c r="PTT242"/>
      <c r="PTU242"/>
      <c r="PTV242"/>
      <c r="PTW242"/>
      <c r="PTX242"/>
      <c r="PTY242"/>
      <c r="PTZ242"/>
      <c r="PUA242"/>
      <c r="PUB242"/>
      <c r="PUC242"/>
      <c r="PUD242"/>
      <c r="PUE242"/>
      <c r="PUF242"/>
      <c r="PUG242"/>
      <c r="PUH242"/>
      <c r="PUI242"/>
      <c r="PUJ242"/>
      <c r="PUK242"/>
      <c r="PUL242"/>
      <c r="PUM242"/>
      <c r="PUN242"/>
      <c r="PUO242"/>
      <c r="PUP242"/>
      <c r="PUQ242"/>
      <c r="PUR242"/>
      <c r="PUS242"/>
      <c r="PUT242"/>
      <c r="PUU242"/>
      <c r="PUV242"/>
      <c r="PUW242"/>
      <c r="PUX242"/>
      <c r="PUY242"/>
      <c r="PUZ242"/>
      <c r="PVA242"/>
      <c r="PVB242"/>
      <c r="PVC242"/>
      <c r="PVD242"/>
      <c r="PVE242"/>
      <c r="PVF242"/>
      <c r="PVG242"/>
      <c r="PVH242"/>
      <c r="PVI242"/>
      <c r="PVJ242"/>
      <c r="PVK242"/>
      <c r="PVL242"/>
      <c r="PVM242"/>
      <c r="PVN242"/>
      <c r="PVO242"/>
      <c r="PVP242"/>
      <c r="PVQ242"/>
      <c r="PVR242"/>
      <c r="PVS242"/>
      <c r="PVT242"/>
      <c r="PVU242"/>
      <c r="PVV242"/>
      <c r="PVW242"/>
      <c r="PVX242"/>
      <c r="PVY242"/>
      <c r="PVZ242"/>
      <c r="PWA242"/>
      <c r="PWB242"/>
      <c r="PWC242"/>
      <c r="PWD242"/>
      <c r="PWE242"/>
      <c r="PWF242"/>
      <c r="PWG242"/>
      <c r="PWH242"/>
      <c r="PWI242"/>
      <c r="PWJ242"/>
      <c r="PWK242"/>
      <c r="PWL242"/>
      <c r="PWM242"/>
      <c r="PWN242"/>
      <c r="PWO242"/>
      <c r="PWP242"/>
      <c r="PWQ242"/>
      <c r="PWR242"/>
      <c r="PWS242"/>
      <c r="PWT242"/>
      <c r="PWU242"/>
      <c r="PWV242"/>
      <c r="PWW242"/>
      <c r="PWX242"/>
      <c r="PWY242"/>
      <c r="PWZ242"/>
      <c r="PXA242"/>
      <c r="PXB242"/>
      <c r="PXC242"/>
      <c r="PXD242"/>
      <c r="PXE242"/>
      <c r="PXF242"/>
      <c r="PXG242"/>
      <c r="PXH242"/>
      <c r="PXI242"/>
      <c r="PXJ242"/>
      <c r="PXK242"/>
      <c r="PXL242"/>
      <c r="PXM242"/>
      <c r="PXN242"/>
      <c r="PXO242"/>
      <c r="PXP242"/>
      <c r="PXQ242"/>
      <c r="PXR242"/>
      <c r="PXS242"/>
      <c r="PXT242"/>
      <c r="PXU242"/>
      <c r="PXV242"/>
      <c r="PXW242"/>
      <c r="PXX242"/>
      <c r="PXY242"/>
      <c r="PXZ242"/>
      <c r="PYA242"/>
      <c r="PYB242"/>
      <c r="PYC242"/>
      <c r="PYD242"/>
      <c r="PYE242"/>
      <c r="PYF242"/>
      <c r="PYG242"/>
      <c r="PYH242"/>
      <c r="PYI242"/>
      <c r="PYJ242"/>
      <c r="PYK242"/>
      <c r="PYL242"/>
      <c r="PYM242"/>
      <c r="PYN242"/>
      <c r="PYO242"/>
      <c r="PYP242"/>
      <c r="PYQ242"/>
      <c r="PYR242"/>
      <c r="PYS242"/>
      <c r="PYT242"/>
      <c r="PYU242"/>
      <c r="PYV242"/>
      <c r="PYW242"/>
      <c r="PYX242"/>
      <c r="PYY242"/>
      <c r="PYZ242"/>
      <c r="PZA242"/>
      <c r="PZB242"/>
      <c r="PZC242"/>
      <c r="PZD242"/>
      <c r="PZE242"/>
      <c r="PZF242"/>
      <c r="PZG242"/>
      <c r="PZH242"/>
      <c r="PZI242"/>
      <c r="PZJ242"/>
      <c r="PZK242"/>
      <c r="PZL242"/>
      <c r="PZM242"/>
      <c r="PZN242"/>
      <c r="PZO242"/>
      <c r="PZP242"/>
      <c r="PZQ242"/>
      <c r="PZR242"/>
      <c r="PZS242"/>
      <c r="PZT242"/>
      <c r="PZU242"/>
      <c r="PZV242"/>
      <c r="PZW242"/>
      <c r="PZX242"/>
      <c r="PZY242"/>
      <c r="PZZ242"/>
      <c r="QAA242"/>
      <c r="QAB242"/>
      <c r="QAC242"/>
      <c r="QAD242"/>
      <c r="QAE242"/>
      <c r="QAF242"/>
      <c r="QAG242"/>
      <c r="QAH242"/>
      <c r="QAI242"/>
      <c r="QAJ242"/>
      <c r="QAK242"/>
      <c r="QAL242"/>
      <c r="QAM242"/>
      <c r="QAN242"/>
      <c r="QAO242"/>
      <c r="QAP242"/>
      <c r="QAQ242"/>
      <c r="QAR242"/>
      <c r="QAS242"/>
      <c r="QAT242"/>
      <c r="QAU242"/>
      <c r="QAV242"/>
      <c r="QAW242"/>
      <c r="QAX242"/>
      <c r="QAY242"/>
      <c r="QAZ242"/>
      <c r="QBA242"/>
      <c r="QBB242"/>
      <c r="QBC242"/>
      <c r="QBD242"/>
      <c r="QBE242"/>
      <c r="QBF242"/>
      <c r="QBG242"/>
      <c r="QBH242"/>
      <c r="QBI242"/>
      <c r="QBJ242"/>
      <c r="QBK242"/>
      <c r="QBL242"/>
      <c r="QBM242"/>
      <c r="QBN242"/>
      <c r="QBO242"/>
      <c r="QBP242"/>
      <c r="QBQ242"/>
      <c r="QBR242"/>
      <c r="QBS242"/>
      <c r="QBT242"/>
      <c r="QBU242"/>
      <c r="QBV242"/>
      <c r="QBW242"/>
      <c r="QBX242"/>
      <c r="QBY242"/>
      <c r="QBZ242"/>
      <c r="QCA242"/>
      <c r="QCB242"/>
      <c r="QCC242"/>
      <c r="QCD242"/>
      <c r="QCE242"/>
      <c r="QCF242"/>
      <c r="QCG242"/>
      <c r="QCH242"/>
      <c r="QCI242"/>
      <c r="QCJ242"/>
      <c r="QCK242"/>
      <c r="QCL242"/>
      <c r="QCM242"/>
      <c r="QCN242"/>
      <c r="QCO242"/>
      <c r="QCP242"/>
      <c r="QCQ242"/>
      <c r="QCR242"/>
      <c r="QCS242"/>
      <c r="QCT242"/>
      <c r="QCU242"/>
      <c r="QCV242"/>
      <c r="QCW242"/>
      <c r="QCX242"/>
      <c r="QCY242"/>
      <c r="QCZ242"/>
      <c r="QDA242"/>
      <c r="QDB242"/>
      <c r="QDC242"/>
      <c r="QDD242"/>
      <c r="QDE242"/>
      <c r="QDF242"/>
      <c r="QDG242"/>
      <c r="QDH242"/>
      <c r="QDI242"/>
      <c r="QDJ242"/>
      <c r="QDK242"/>
      <c r="QDL242"/>
      <c r="QDM242"/>
      <c r="QDN242"/>
      <c r="QDO242"/>
      <c r="QDP242"/>
      <c r="QDQ242"/>
      <c r="QDR242"/>
      <c r="QDS242"/>
      <c r="QDT242"/>
      <c r="QDU242"/>
      <c r="QDV242"/>
      <c r="QDW242"/>
      <c r="QDX242"/>
      <c r="QDY242"/>
      <c r="QDZ242"/>
      <c r="QEA242"/>
      <c r="QEB242"/>
      <c r="QEC242"/>
      <c r="QED242"/>
      <c r="QEE242"/>
      <c r="QEF242"/>
      <c r="QEG242"/>
      <c r="QEH242"/>
      <c r="QEI242"/>
      <c r="QEJ242"/>
      <c r="QEK242"/>
      <c r="QEL242"/>
      <c r="QEM242"/>
      <c r="QEN242"/>
      <c r="QEO242"/>
      <c r="QEP242"/>
      <c r="QEQ242"/>
      <c r="QER242"/>
      <c r="QES242"/>
      <c r="QET242"/>
      <c r="QEU242"/>
      <c r="QEV242"/>
      <c r="QEW242"/>
      <c r="QEX242"/>
      <c r="QEY242"/>
      <c r="QEZ242"/>
      <c r="QFA242"/>
      <c r="QFB242"/>
      <c r="QFC242"/>
      <c r="QFD242"/>
      <c r="QFE242"/>
      <c r="QFF242"/>
      <c r="QFG242"/>
      <c r="QFH242"/>
      <c r="QFI242"/>
      <c r="QFJ242"/>
      <c r="QFK242"/>
      <c r="QFL242"/>
      <c r="QFM242"/>
      <c r="QFN242"/>
      <c r="QFO242"/>
      <c r="QFP242"/>
      <c r="QFQ242"/>
      <c r="QFR242"/>
      <c r="QFS242"/>
      <c r="QFT242"/>
      <c r="QFU242"/>
      <c r="QFV242"/>
      <c r="QFW242"/>
      <c r="QFX242"/>
      <c r="QFY242"/>
      <c r="QFZ242"/>
      <c r="QGA242"/>
      <c r="QGB242"/>
      <c r="QGC242"/>
      <c r="QGD242"/>
      <c r="QGE242"/>
      <c r="QGF242"/>
      <c r="QGG242"/>
      <c r="QGH242"/>
      <c r="QGI242"/>
      <c r="QGJ242"/>
      <c r="QGK242"/>
      <c r="QGL242"/>
      <c r="QGM242"/>
      <c r="QGN242"/>
      <c r="QGO242"/>
      <c r="QGP242"/>
      <c r="QGQ242"/>
      <c r="QGR242"/>
      <c r="QGS242"/>
      <c r="QGT242"/>
      <c r="QGU242"/>
      <c r="QGV242"/>
      <c r="QGW242"/>
      <c r="QGX242"/>
      <c r="QGY242"/>
      <c r="QGZ242"/>
      <c r="QHA242"/>
      <c r="QHB242"/>
      <c r="QHC242"/>
      <c r="QHD242"/>
      <c r="QHE242"/>
      <c r="QHF242"/>
      <c r="QHG242"/>
      <c r="QHH242"/>
      <c r="QHI242"/>
      <c r="QHJ242"/>
      <c r="QHK242"/>
      <c r="QHL242"/>
      <c r="QHM242"/>
      <c r="QHN242"/>
      <c r="QHO242"/>
      <c r="QHP242"/>
      <c r="QHQ242"/>
      <c r="QHR242"/>
      <c r="QHS242"/>
      <c r="QHT242"/>
      <c r="QHU242"/>
      <c r="QHV242"/>
      <c r="QHW242"/>
      <c r="QHX242"/>
      <c r="QHY242"/>
      <c r="QHZ242"/>
      <c r="QIA242"/>
      <c r="QIB242"/>
      <c r="QIC242"/>
      <c r="QID242"/>
      <c r="QIE242"/>
      <c r="QIF242"/>
      <c r="QIG242"/>
      <c r="QIH242"/>
      <c r="QII242"/>
      <c r="QIJ242"/>
      <c r="QIK242"/>
      <c r="QIL242"/>
      <c r="QIM242"/>
      <c r="QIN242"/>
      <c r="QIO242"/>
      <c r="QIP242"/>
      <c r="QIQ242"/>
      <c r="QIR242"/>
      <c r="QIS242"/>
      <c r="QIT242"/>
      <c r="QIU242"/>
      <c r="QIV242"/>
      <c r="QIW242"/>
      <c r="QIX242"/>
      <c r="QIY242"/>
      <c r="QIZ242"/>
      <c r="QJA242"/>
      <c r="QJB242"/>
      <c r="QJC242"/>
      <c r="QJD242"/>
      <c r="QJE242"/>
      <c r="QJF242"/>
      <c r="QJG242"/>
      <c r="QJH242"/>
      <c r="QJI242"/>
      <c r="QJJ242"/>
      <c r="QJK242"/>
      <c r="QJL242"/>
      <c r="QJM242"/>
      <c r="QJN242"/>
      <c r="QJO242"/>
      <c r="QJP242"/>
      <c r="QJQ242"/>
      <c r="QJR242"/>
      <c r="QJS242"/>
      <c r="QJT242"/>
      <c r="QJU242"/>
      <c r="QJV242"/>
      <c r="QJW242"/>
      <c r="QJX242"/>
      <c r="QJY242"/>
      <c r="QJZ242"/>
      <c r="QKA242"/>
      <c r="QKB242"/>
      <c r="QKC242"/>
      <c r="QKD242"/>
      <c r="QKE242"/>
      <c r="QKF242"/>
      <c r="QKG242"/>
      <c r="QKH242"/>
      <c r="QKI242"/>
      <c r="QKJ242"/>
      <c r="QKK242"/>
      <c r="QKL242"/>
      <c r="QKM242"/>
      <c r="QKN242"/>
      <c r="QKO242"/>
      <c r="QKP242"/>
      <c r="QKQ242"/>
      <c r="QKR242"/>
      <c r="QKS242"/>
      <c r="QKT242"/>
      <c r="QKU242"/>
      <c r="QKV242"/>
      <c r="QKW242"/>
      <c r="QKX242"/>
      <c r="QKY242"/>
      <c r="QKZ242"/>
      <c r="QLA242"/>
      <c r="QLB242"/>
      <c r="QLC242"/>
      <c r="QLD242"/>
      <c r="QLE242"/>
      <c r="QLF242"/>
      <c r="QLG242"/>
      <c r="QLH242"/>
      <c r="QLI242"/>
      <c r="QLJ242"/>
      <c r="QLK242"/>
      <c r="QLL242"/>
      <c r="QLM242"/>
      <c r="QLN242"/>
      <c r="QLO242"/>
      <c r="QLP242"/>
      <c r="QLQ242"/>
      <c r="QLR242"/>
      <c r="QLS242"/>
      <c r="QLT242"/>
      <c r="QLU242"/>
      <c r="QLV242"/>
      <c r="QLW242"/>
      <c r="QLX242"/>
      <c r="QLY242"/>
      <c r="QLZ242"/>
      <c r="QMA242"/>
      <c r="QMB242"/>
      <c r="QMC242"/>
      <c r="QMD242"/>
      <c r="QME242"/>
      <c r="QMF242"/>
      <c r="QMG242"/>
      <c r="QMH242"/>
      <c r="QMI242"/>
      <c r="QMJ242"/>
      <c r="QMK242"/>
      <c r="QML242"/>
      <c r="QMM242"/>
      <c r="QMN242"/>
      <c r="QMO242"/>
      <c r="QMP242"/>
      <c r="QMQ242"/>
      <c r="QMR242"/>
      <c r="QMS242"/>
      <c r="QMT242"/>
      <c r="QMU242"/>
      <c r="QMV242"/>
      <c r="QMW242"/>
      <c r="QMX242"/>
      <c r="QMY242"/>
      <c r="QMZ242"/>
      <c r="QNA242"/>
      <c r="QNB242"/>
      <c r="QNC242"/>
      <c r="QND242"/>
      <c r="QNE242"/>
      <c r="QNF242"/>
      <c r="QNG242"/>
      <c r="QNH242"/>
      <c r="QNI242"/>
      <c r="QNJ242"/>
      <c r="QNK242"/>
      <c r="QNL242"/>
      <c r="QNM242"/>
      <c r="QNN242"/>
      <c r="QNO242"/>
      <c r="QNP242"/>
      <c r="QNQ242"/>
      <c r="QNR242"/>
      <c r="QNS242"/>
      <c r="QNT242"/>
      <c r="QNU242"/>
      <c r="QNV242"/>
      <c r="QNW242"/>
      <c r="QNX242"/>
      <c r="QNY242"/>
      <c r="QNZ242"/>
      <c r="QOA242"/>
      <c r="QOB242"/>
      <c r="QOC242"/>
      <c r="QOD242"/>
      <c r="QOE242"/>
      <c r="QOF242"/>
      <c r="QOG242"/>
      <c r="QOH242"/>
      <c r="QOI242"/>
      <c r="QOJ242"/>
      <c r="QOK242"/>
      <c r="QOL242"/>
      <c r="QOM242"/>
      <c r="QON242"/>
      <c r="QOO242"/>
      <c r="QOP242"/>
      <c r="QOQ242"/>
      <c r="QOR242"/>
      <c r="QOS242"/>
      <c r="QOT242"/>
      <c r="QOU242"/>
      <c r="QOV242"/>
      <c r="QOW242"/>
      <c r="QOX242"/>
      <c r="QOY242"/>
      <c r="QOZ242"/>
      <c r="QPA242"/>
      <c r="QPB242"/>
      <c r="QPC242"/>
      <c r="QPD242"/>
      <c r="QPE242"/>
      <c r="QPF242"/>
      <c r="QPG242"/>
      <c r="QPH242"/>
      <c r="QPI242"/>
      <c r="QPJ242"/>
      <c r="QPK242"/>
      <c r="QPL242"/>
      <c r="QPM242"/>
      <c r="QPN242"/>
      <c r="QPO242"/>
      <c r="QPP242"/>
      <c r="QPQ242"/>
      <c r="QPR242"/>
      <c r="QPS242"/>
      <c r="QPT242"/>
      <c r="QPU242"/>
      <c r="QPV242"/>
      <c r="QPW242"/>
      <c r="QPX242"/>
      <c r="QPY242"/>
      <c r="QPZ242"/>
      <c r="QQA242"/>
      <c r="QQB242"/>
      <c r="QQC242"/>
      <c r="QQD242"/>
      <c r="QQE242"/>
      <c r="QQF242"/>
      <c r="QQG242"/>
      <c r="QQH242"/>
      <c r="QQI242"/>
      <c r="QQJ242"/>
      <c r="QQK242"/>
      <c r="QQL242"/>
      <c r="QQM242"/>
      <c r="QQN242"/>
      <c r="QQO242"/>
      <c r="QQP242"/>
      <c r="QQQ242"/>
      <c r="QQR242"/>
      <c r="QQS242"/>
      <c r="QQT242"/>
      <c r="QQU242"/>
      <c r="QQV242"/>
      <c r="QQW242"/>
      <c r="QQX242"/>
      <c r="QQY242"/>
      <c r="QQZ242"/>
      <c r="QRA242"/>
      <c r="QRB242"/>
      <c r="QRC242"/>
      <c r="QRD242"/>
      <c r="QRE242"/>
      <c r="QRF242"/>
      <c r="QRG242"/>
      <c r="QRH242"/>
      <c r="QRI242"/>
      <c r="QRJ242"/>
      <c r="QRK242"/>
      <c r="QRL242"/>
      <c r="QRM242"/>
      <c r="QRN242"/>
      <c r="QRO242"/>
      <c r="QRP242"/>
      <c r="QRQ242"/>
      <c r="QRR242"/>
      <c r="QRS242"/>
      <c r="QRT242"/>
      <c r="QRU242"/>
      <c r="QRV242"/>
      <c r="QRW242"/>
      <c r="QRX242"/>
      <c r="QRY242"/>
      <c r="QRZ242"/>
      <c r="QSA242"/>
      <c r="QSB242"/>
      <c r="QSC242"/>
      <c r="QSD242"/>
      <c r="QSE242"/>
      <c r="QSF242"/>
      <c r="QSG242"/>
      <c r="QSH242"/>
      <c r="QSI242"/>
      <c r="QSJ242"/>
      <c r="QSK242"/>
      <c r="QSL242"/>
      <c r="QSM242"/>
      <c r="QSN242"/>
      <c r="QSO242"/>
      <c r="QSP242"/>
      <c r="QSQ242"/>
      <c r="QSR242"/>
      <c r="QSS242"/>
      <c r="QST242"/>
      <c r="QSU242"/>
      <c r="QSV242"/>
      <c r="QSW242"/>
      <c r="QSX242"/>
      <c r="QSY242"/>
      <c r="QSZ242"/>
      <c r="QTA242"/>
      <c r="QTB242"/>
      <c r="QTC242"/>
      <c r="QTD242"/>
      <c r="QTE242"/>
      <c r="QTF242"/>
      <c r="QTG242"/>
      <c r="QTH242"/>
      <c r="QTI242"/>
      <c r="QTJ242"/>
      <c r="QTK242"/>
      <c r="QTL242"/>
      <c r="QTM242"/>
      <c r="QTN242"/>
      <c r="QTO242"/>
      <c r="QTP242"/>
      <c r="QTQ242"/>
      <c r="QTR242"/>
      <c r="QTS242"/>
      <c r="QTT242"/>
      <c r="QTU242"/>
      <c r="QTV242"/>
      <c r="QTW242"/>
      <c r="QTX242"/>
      <c r="QTY242"/>
      <c r="QTZ242"/>
      <c r="QUA242"/>
      <c r="QUB242"/>
      <c r="QUC242"/>
      <c r="QUD242"/>
      <c r="QUE242"/>
      <c r="QUF242"/>
      <c r="QUG242"/>
      <c r="QUH242"/>
      <c r="QUI242"/>
      <c r="QUJ242"/>
      <c r="QUK242"/>
      <c r="QUL242"/>
      <c r="QUM242"/>
      <c r="QUN242"/>
      <c r="QUO242"/>
      <c r="QUP242"/>
      <c r="QUQ242"/>
      <c r="QUR242"/>
      <c r="QUS242"/>
      <c r="QUT242"/>
      <c r="QUU242"/>
      <c r="QUV242"/>
      <c r="QUW242"/>
      <c r="QUX242"/>
      <c r="QUY242"/>
      <c r="QUZ242"/>
      <c r="QVA242"/>
      <c r="QVB242"/>
      <c r="QVC242"/>
      <c r="QVD242"/>
      <c r="QVE242"/>
      <c r="QVF242"/>
      <c r="QVG242"/>
      <c r="QVH242"/>
      <c r="QVI242"/>
      <c r="QVJ242"/>
      <c r="QVK242"/>
      <c r="QVL242"/>
      <c r="QVM242"/>
      <c r="QVN242"/>
      <c r="QVO242"/>
      <c r="QVP242"/>
      <c r="QVQ242"/>
      <c r="QVR242"/>
      <c r="QVS242"/>
      <c r="QVT242"/>
      <c r="QVU242"/>
      <c r="QVV242"/>
      <c r="QVW242"/>
      <c r="QVX242"/>
      <c r="QVY242"/>
      <c r="QVZ242"/>
      <c r="QWA242"/>
      <c r="QWB242"/>
      <c r="QWC242"/>
      <c r="QWD242"/>
      <c r="QWE242"/>
      <c r="QWF242"/>
      <c r="QWG242"/>
      <c r="QWH242"/>
      <c r="QWI242"/>
      <c r="QWJ242"/>
      <c r="QWK242"/>
      <c r="QWL242"/>
      <c r="QWM242"/>
      <c r="QWN242"/>
      <c r="QWO242"/>
      <c r="QWP242"/>
      <c r="QWQ242"/>
      <c r="QWR242"/>
      <c r="QWS242"/>
      <c r="QWT242"/>
      <c r="QWU242"/>
      <c r="QWV242"/>
      <c r="QWW242"/>
      <c r="QWX242"/>
      <c r="QWY242"/>
      <c r="QWZ242"/>
      <c r="QXA242"/>
      <c r="QXB242"/>
      <c r="QXC242"/>
      <c r="QXD242"/>
      <c r="QXE242"/>
      <c r="QXF242"/>
      <c r="QXG242"/>
      <c r="QXH242"/>
      <c r="QXI242"/>
      <c r="QXJ242"/>
      <c r="QXK242"/>
      <c r="QXL242"/>
      <c r="QXM242"/>
      <c r="QXN242"/>
      <c r="QXO242"/>
      <c r="QXP242"/>
      <c r="QXQ242"/>
      <c r="QXR242"/>
      <c r="QXS242"/>
      <c r="QXT242"/>
      <c r="QXU242"/>
      <c r="QXV242"/>
      <c r="QXW242"/>
      <c r="QXX242"/>
      <c r="QXY242"/>
      <c r="QXZ242"/>
      <c r="QYA242"/>
      <c r="QYB242"/>
      <c r="QYC242"/>
      <c r="QYD242"/>
      <c r="QYE242"/>
      <c r="QYF242"/>
      <c r="QYG242"/>
      <c r="QYH242"/>
      <c r="QYI242"/>
      <c r="QYJ242"/>
      <c r="QYK242"/>
      <c r="QYL242"/>
      <c r="QYM242"/>
      <c r="QYN242"/>
      <c r="QYO242"/>
      <c r="QYP242"/>
      <c r="QYQ242"/>
      <c r="QYR242"/>
      <c r="QYS242"/>
      <c r="QYT242"/>
      <c r="QYU242"/>
      <c r="QYV242"/>
      <c r="QYW242"/>
      <c r="QYX242"/>
      <c r="QYY242"/>
      <c r="QYZ242"/>
      <c r="QZA242"/>
      <c r="QZB242"/>
      <c r="QZC242"/>
      <c r="QZD242"/>
      <c r="QZE242"/>
      <c r="QZF242"/>
      <c r="QZG242"/>
      <c r="QZH242"/>
      <c r="QZI242"/>
      <c r="QZJ242"/>
      <c r="QZK242"/>
      <c r="QZL242"/>
      <c r="QZM242"/>
      <c r="QZN242"/>
      <c r="QZO242"/>
      <c r="QZP242"/>
      <c r="QZQ242"/>
      <c r="QZR242"/>
      <c r="QZS242"/>
      <c r="QZT242"/>
      <c r="QZU242"/>
      <c r="QZV242"/>
      <c r="QZW242"/>
      <c r="QZX242"/>
      <c r="QZY242"/>
      <c r="QZZ242"/>
      <c r="RAA242"/>
      <c r="RAB242"/>
      <c r="RAC242"/>
      <c r="RAD242"/>
      <c r="RAE242"/>
      <c r="RAF242"/>
      <c r="RAG242"/>
      <c r="RAH242"/>
      <c r="RAI242"/>
      <c r="RAJ242"/>
      <c r="RAK242"/>
      <c r="RAL242"/>
      <c r="RAM242"/>
      <c r="RAN242"/>
      <c r="RAO242"/>
      <c r="RAP242"/>
      <c r="RAQ242"/>
      <c r="RAR242"/>
      <c r="RAS242"/>
      <c r="RAT242"/>
      <c r="RAU242"/>
      <c r="RAV242"/>
      <c r="RAW242"/>
      <c r="RAX242"/>
      <c r="RAY242"/>
      <c r="RAZ242"/>
      <c r="RBA242"/>
      <c r="RBB242"/>
      <c r="RBC242"/>
      <c r="RBD242"/>
      <c r="RBE242"/>
      <c r="RBF242"/>
      <c r="RBG242"/>
      <c r="RBH242"/>
      <c r="RBI242"/>
      <c r="RBJ242"/>
      <c r="RBK242"/>
      <c r="RBL242"/>
      <c r="RBM242"/>
      <c r="RBN242"/>
      <c r="RBO242"/>
      <c r="RBP242"/>
      <c r="RBQ242"/>
      <c r="RBR242"/>
      <c r="RBS242"/>
      <c r="RBT242"/>
      <c r="RBU242"/>
      <c r="RBV242"/>
      <c r="RBW242"/>
      <c r="RBX242"/>
      <c r="RBY242"/>
      <c r="RBZ242"/>
      <c r="RCA242"/>
      <c r="RCB242"/>
      <c r="RCC242"/>
      <c r="RCD242"/>
      <c r="RCE242"/>
      <c r="RCF242"/>
      <c r="RCG242"/>
      <c r="RCH242"/>
      <c r="RCI242"/>
      <c r="RCJ242"/>
      <c r="RCK242"/>
      <c r="RCL242"/>
      <c r="RCM242"/>
      <c r="RCN242"/>
      <c r="RCO242"/>
      <c r="RCP242"/>
      <c r="RCQ242"/>
      <c r="RCR242"/>
      <c r="RCS242"/>
      <c r="RCT242"/>
      <c r="RCU242"/>
      <c r="RCV242"/>
      <c r="RCW242"/>
      <c r="RCX242"/>
      <c r="RCY242"/>
      <c r="RCZ242"/>
      <c r="RDA242"/>
      <c r="RDB242"/>
      <c r="RDC242"/>
      <c r="RDD242"/>
      <c r="RDE242"/>
      <c r="RDF242"/>
      <c r="RDG242"/>
      <c r="RDH242"/>
      <c r="RDI242"/>
      <c r="RDJ242"/>
      <c r="RDK242"/>
      <c r="RDL242"/>
      <c r="RDM242"/>
      <c r="RDN242"/>
      <c r="RDO242"/>
      <c r="RDP242"/>
      <c r="RDQ242"/>
      <c r="RDR242"/>
      <c r="RDS242"/>
      <c r="RDT242"/>
      <c r="RDU242"/>
      <c r="RDV242"/>
      <c r="RDW242"/>
      <c r="RDX242"/>
      <c r="RDY242"/>
      <c r="RDZ242"/>
      <c r="REA242"/>
      <c r="REB242"/>
      <c r="REC242"/>
      <c r="RED242"/>
      <c r="REE242"/>
      <c r="REF242"/>
      <c r="REG242"/>
      <c r="REH242"/>
      <c r="REI242"/>
      <c r="REJ242"/>
      <c r="REK242"/>
      <c r="REL242"/>
      <c r="REM242"/>
      <c r="REN242"/>
      <c r="REO242"/>
      <c r="REP242"/>
      <c r="REQ242"/>
      <c r="RER242"/>
      <c r="RES242"/>
      <c r="RET242"/>
      <c r="REU242"/>
      <c r="REV242"/>
      <c r="REW242"/>
      <c r="REX242"/>
      <c r="REY242"/>
      <c r="REZ242"/>
      <c r="RFA242"/>
      <c r="RFB242"/>
      <c r="RFC242"/>
      <c r="RFD242"/>
      <c r="RFE242"/>
      <c r="RFF242"/>
      <c r="RFG242"/>
      <c r="RFH242"/>
      <c r="RFI242"/>
      <c r="RFJ242"/>
      <c r="RFK242"/>
      <c r="RFL242"/>
      <c r="RFM242"/>
      <c r="RFN242"/>
      <c r="RFO242"/>
      <c r="RFP242"/>
      <c r="RFQ242"/>
      <c r="RFR242"/>
      <c r="RFS242"/>
      <c r="RFT242"/>
      <c r="RFU242"/>
      <c r="RFV242"/>
      <c r="RFW242"/>
      <c r="RFX242"/>
      <c r="RFY242"/>
      <c r="RFZ242"/>
      <c r="RGA242"/>
      <c r="RGB242"/>
      <c r="RGC242"/>
      <c r="RGD242"/>
      <c r="RGE242"/>
      <c r="RGF242"/>
      <c r="RGG242"/>
      <c r="RGH242"/>
      <c r="RGI242"/>
      <c r="RGJ242"/>
      <c r="RGK242"/>
      <c r="RGL242"/>
      <c r="RGM242"/>
      <c r="RGN242"/>
      <c r="RGO242"/>
      <c r="RGP242"/>
      <c r="RGQ242"/>
      <c r="RGR242"/>
      <c r="RGS242"/>
      <c r="RGT242"/>
      <c r="RGU242"/>
      <c r="RGV242"/>
      <c r="RGW242"/>
      <c r="RGX242"/>
      <c r="RGY242"/>
      <c r="RGZ242"/>
      <c r="RHA242"/>
      <c r="RHB242"/>
      <c r="RHC242"/>
      <c r="RHD242"/>
      <c r="RHE242"/>
      <c r="RHF242"/>
      <c r="RHG242"/>
      <c r="RHH242"/>
      <c r="RHI242"/>
      <c r="RHJ242"/>
      <c r="RHK242"/>
      <c r="RHL242"/>
      <c r="RHM242"/>
      <c r="RHN242"/>
      <c r="RHO242"/>
      <c r="RHP242"/>
      <c r="RHQ242"/>
      <c r="RHR242"/>
      <c r="RHS242"/>
      <c r="RHT242"/>
      <c r="RHU242"/>
      <c r="RHV242"/>
      <c r="RHW242"/>
      <c r="RHX242"/>
      <c r="RHY242"/>
      <c r="RHZ242"/>
      <c r="RIA242"/>
      <c r="RIB242"/>
      <c r="RIC242"/>
      <c r="RID242"/>
      <c r="RIE242"/>
      <c r="RIF242"/>
      <c r="RIG242"/>
      <c r="RIH242"/>
      <c r="RII242"/>
      <c r="RIJ242"/>
      <c r="RIK242"/>
      <c r="RIL242"/>
      <c r="RIM242"/>
      <c r="RIN242"/>
      <c r="RIO242"/>
      <c r="RIP242"/>
      <c r="RIQ242"/>
      <c r="RIR242"/>
      <c r="RIS242"/>
      <c r="RIT242"/>
      <c r="RIU242"/>
      <c r="RIV242"/>
      <c r="RIW242"/>
      <c r="RIX242"/>
      <c r="RIY242"/>
      <c r="RIZ242"/>
      <c r="RJA242"/>
      <c r="RJB242"/>
      <c r="RJC242"/>
      <c r="RJD242"/>
      <c r="RJE242"/>
      <c r="RJF242"/>
      <c r="RJG242"/>
      <c r="RJH242"/>
      <c r="RJI242"/>
      <c r="RJJ242"/>
      <c r="RJK242"/>
      <c r="RJL242"/>
      <c r="RJM242"/>
      <c r="RJN242"/>
      <c r="RJO242"/>
      <c r="RJP242"/>
      <c r="RJQ242"/>
      <c r="RJR242"/>
      <c r="RJS242"/>
      <c r="RJT242"/>
      <c r="RJU242"/>
      <c r="RJV242"/>
      <c r="RJW242"/>
      <c r="RJX242"/>
      <c r="RJY242"/>
      <c r="RJZ242"/>
      <c r="RKA242"/>
      <c r="RKB242"/>
      <c r="RKC242"/>
      <c r="RKD242"/>
      <c r="RKE242"/>
      <c r="RKF242"/>
      <c r="RKG242"/>
      <c r="RKH242"/>
      <c r="RKI242"/>
      <c r="RKJ242"/>
      <c r="RKK242"/>
      <c r="RKL242"/>
      <c r="RKM242"/>
      <c r="RKN242"/>
      <c r="RKO242"/>
      <c r="RKP242"/>
      <c r="RKQ242"/>
      <c r="RKR242"/>
      <c r="RKS242"/>
      <c r="RKT242"/>
      <c r="RKU242"/>
      <c r="RKV242"/>
      <c r="RKW242"/>
      <c r="RKX242"/>
      <c r="RKY242"/>
      <c r="RKZ242"/>
      <c r="RLA242"/>
      <c r="RLB242"/>
      <c r="RLC242"/>
      <c r="RLD242"/>
      <c r="RLE242"/>
      <c r="RLF242"/>
      <c r="RLG242"/>
      <c r="RLH242"/>
      <c r="RLI242"/>
      <c r="RLJ242"/>
      <c r="RLK242"/>
      <c r="RLL242"/>
      <c r="RLM242"/>
      <c r="RLN242"/>
      <c r="RLO242"/>
      <c r="RLP242"/>
      <c r="RLQ242"/>
      <c r="RLR242"/>
      <c r="RLS242"/>
      <c r="RLT242"/>
      <c r="RLU242"/>
      <c r="RLV242"/>
      <c r="RLW242"/>
      <c r="RLX242"/>
      <c r="RLY242"/>
      <c r="RLZ242"/>
      <c r="RMA242"/>
      <c r="RMB242"/>
      <c r="RMC242"/>
      <c r="RMD242"/>
      <c r="RME242"/>
      <c r="RMF242"/>
      <c r="RMG242"/>
      <c r="RMH242"/>
      <c r="RMI242"/>
      <c r="RMJ242"/>
      <c r="RMK242"/>
      <c r="RML242"/>
      <c r="RMM242"/>
      <c r="RMN242"/>
      <c r="RMO242"/>
      <c r="RMP242"/>
      <c r="RMQ242"/>
      <c r="RMR242"/>
      <c r="RMS242"/>
      <c r="RMT242"/>
      <c r="RMU242"/>
      <c r="RMV242"/>
      <c r="RMW242"/>
      <c r="RMX242"/>
      <c r="RMY242"/>
      <c r="RMZ242"/>
      <c r="RNA242"/>
      <c r="RNB242"/>
      <c r="RNC242"/>
      <c r="RND242"/>
      <c r="RNE242"/>
      <c r="RNF242"/>
      <c r="RNG242"/>
      <c r="RNH242"/>
      <c r="RNI242"/>
      <c r="RNJ242"/>
      <c r="RNK242"/>
      <c r="RNL242"/>
      <c r="RNM242"/>
      <c r="RNN242"/>
      <c r="RNO242"/>
      <c r="RNP242"/>
      <c r="RNQ242"/>
      <c r="RNR242"/>
      <c r="RNS242"/>
      <c r="RNT242"/>
      <c r="RNU242"/>
      <c r="RNV242"/>
      <c r="RNW242"/>
      <c r="RNX242"/>
      <c r="RNY242"/>
      <c r="RNZ242"/>
      <c r="ROA242"/>
      <c r="ROB242"/>
      <c r="ROC242"/>
      <c r="ROD242"/>
      <c r="ROE242"/>
      <c r="ROF242"/>
      <c r="ROG242"/>
      <c r="ROH242"/>
      <c r="ROI242"/>
      <c r="ROJ242"/>
      <c r="ROK242"/>
      <c r="ROL242"/>
      <c r="ROM242"/>
      <c r="RON242"/>
      <c r="ROO242"/>
      <c r="ROP242"/>
      <c r="ROQ242"/>
      <c r="ROR242"/>
      <c r="ROS242"/>
      <c r="ROT242"/>
      <c r="ROU242"/>
      <c r="ROV242"/>
      <c r="ROW242"/>
      <c r="ROX242"/>
      <c r="ROY242"/>
      <c r="ROZ242"/>
      <c r="RPA242"/>
      <c r="RPB242"/>
      <c r="RPC242"/>
      <c r="RPD242"/>
      <c r="RPE242"/>
      <c r="RPF242"/>
      <c r="RPG242"/>
      <c r="RPH242"/>
      <c r="RPI242"/>
      <c r="RPJ242"/>
      <c r="RPK242"/>
      <c r="RPL242"/>
      <c r="RPM242"/>
      <c r="RPN242"/>
      <c r="RPO242"/>
      <c r="RPP242"/>
      <c r="RPQ242"/>
      <c r="RPR242"/>
      <c r="RPS242"/>
      <c r="RPT242"/>
      <c r="RPU242"/>
      <c r="RPV242"/>
      <c r="RPW242"/>
      <c r="RPX242"/>
      <c r="RPY242"/>
      <c r="RPZ242"/>
      <c r="RQA242"/>
      <c r="RQB242"/>
      <c r="RQC242"/>
      <c r="RQD242"/>
      <c r="RQE242"/>
      <c r="RQF242"/>
      <c r="RQG242"/>
      <c r="RQH242"/>
      <c r="RQI242"/>
      <c r="RQJ242"/>
      <c r="RQK242"/>
      <c r="RQL242"/>
      <c r="RQM242"/>
      <c r="RQN242"/>
      <c r="RQO242"/>
      <c r="RQP242"/>
      <c r="RQQ242"/>
      <c r="RQR242"/>
      <c r="RQS242"/>
      <c r="RQT242"/>
      <c r="RQU242"/>
      <c r="RQV242"/>
      <c r="RQW242"/>
      <c r="RQX242"/>
      <c r="RQY242"/>
      <c r="RQZ242"/>
      <c r="RRA242"/>
      <c r="RRB242"/>
      <c r="RRC242"/>
      <c r="RRD242"/>
      <c r="RRE242"/>
      <c r="RRF242"/>
      <c r="RRG242"/>
      <c r="RRH242"/>
      <c r="RRI242"/>
      <c r="RRJ242"/>
      <c r="RRK242"/>
      <c r="RRL242"/>
      <c r="RRM242"/>
      <c r="RRN242"/>
      <c r="RRO242"/>
      <c r="RRP242"/>
      <c r="RRQ242"/>
      <c r="RRR242"/>
      <c r="RRS242"/>
      <c r="RRT242"/>
      <c r="RRU242"/>
      <c r="RRV242"/>
      <c r="RRW242"/>
      <c r="RRX242"/>
      <c r="RRY242"/>
      <c r="RRZ242"/>
      <c r="RSA242"/>
      <c r="RSB242"/>
      <c r="RSC242"/>
      <c r="RSD242"/>
      <c r="RSE242"/>
      <c r="RSF242"/>
      <c r="RSG242"/>
      <c r="RSH242"/>
      <c r="RSI242"/>
      <c r="RSJ242"/>
      <c r="RSK242"/>
      <c r="RSL242"/>
      <c r="RSM242"/>
      <c r="RSN242"/>
      <c r="RSO242"/>
      <c r="RSP242"/>
      <c r="RSQ242"/>
      <c r="RSR242"/>
      <c r="RSS242"/>
      <c r="RST242"/>
      <c r="RSU242"/>
      <c r="RSV242"/>
      <c r="RSW242"/>
      <c r="RSX242"/>
      <c r="RSY242"/>
      <c r="RSZ242"/>
      <c r="RTA242"/>
      <c r="RTB242"/>
      <c r="RTC242"/>
      <c r="RTD242"/>
      <c r="RTE242"/>
      <c r="RTF242"/>
      <c r="RTG242"/>
      <c r="RTH242"/>
      <c r="RTI242"/>
      <c r="RTJ242"/>
      <c r="RTK242"/>
      <c r="RTL242"/>
      <c r="RTM242"/>
      <c r="RTN242"/>
      <c r="RTO242"/>
      <c r="RTP242"/>
      <c r="RTQ242"/>
      <c r="RTR242"/>
      <c r="RTS242"/>
      <c r="RTT242"/>
      <c r="RTU242"/>
      <c r="RTV242"/>
      <c r="RTW242"/>
      <c r="RTX242"/>
      <c r="RTY242"/>
      <c r="RTZ242"/>
      <c r="RUA242"/>
      <c r="RUB242"/>
      <c r="RUC242"/>
      <c r="RUD242"/>
      <c r="RUE242"/>
      <c r="RUF242"/>
      <c r="RUG242"/>
      <c r="RUH242"/>
      <c r="RUI242"/>
      <c r="RUJ242"/>
      <c r="RUK242"/>
      <c r="RUL242"/>
      <c r="RUM242"/>
      <c r="RUN242"/>
      <c r="RUO242"/>
      <c r="RUP242"/>
      <c r="RUQ242"/>
      <c r="RUR242"/>
      <c r="RUS242"/>
      <c r="RUT242"/>
      <c r="RUU242"/>
      <c r="RUV242"/>
      <c r="RUW242"/>
      <c r="RUX242"/>
      <c r="RUY242"/>
      <c r="RUZ242"/>
      <c r="RVA242"/>
      <c r="RVB242"/>
      <c r="RVC242"/>
      <c r="RVD242"/>
      <c r="RVE242"/>
      <c r="RVF242"/>
      <c r="RVG242"/>
      <c r="RVH242"/>
      <c r="RVI242"/>
      <c r="RVJ242"/>
      <c r="RVK242"/>
      <c r="RVL242"/>
      <c r="RVM242"/>
      <c r="RVN242"/>
      <c r="RVO242"/>
      <c r="RVP242"/>
      <c r="RVQ242"/>
      <c r="RVR242"/>
      <c r="RVS242"/>
      <c r="RVT242"/>
      <c r="RVU242"/>
      <c r="RVV242"/>
      <c r="RVW242"/>
      <c r="RVX242"/>
      <c r="RVY242"/>
      <c r="RVZ242"/>
      <c r="RWA242"/>
      <c r="RWB242"/>
      <c r="RWC242"/>
      <c r="RWD242"/>
      <c r="RWE242"/>
      <c r="RWF242"/>
      <c r="RWG242"/>
      <c r="RWH242"/>
      <c r="RWI242"/>
      <c r="RWJ242"/>
      <c r="RWK242"/>
      <c r="RWL242"/>
      <c r="RWM242"/>
      <c r="RWN242"/>
      <c r="RWO242"/>
      <c r="RWP242"/>
      <c r="RWQ242"/>
      <c r="RWR242"/>
      <c r="RWS242"/>
      <c r="RWT242"/>
      <c r="RWU242"/>
      <c r="RWV242"/>
      <c r="RWW242"/>
      <c r="RWX242"/>
      <c r="RWY242"/>
      <c r="RWZ242"/>
      <c r="RXA242"/>
      <c r="RXB242"/>
      <c r="RXC242"/>
      <c r="RXD242"/>
      <c r="RXE242"/>
      <c r="RXF242"/>
      <c r="RXG242"/>
      <c r="RXH242"/>
      <c r="RXI242"/>
      <c r="RXJ242"/>
      <c r="RXK242"/>
      <c r="RXL242"/>
      <c r="RXM242"/>
      <c r="RXN242"/>
      <c r="RXO242"/>
      <c r="RXP242"/>
      <c r="RXQ242"/>
      <c r="RXR242"/>
      <c r="RXS242"/>
      <c r="RXT242"/>
      <c r="RXU242"/>
      <c r="RXV242"/>
      <c r="RXW242"/>
      <c r="RXX242"/>
      <c r="RXY242"/>
      <c r="RXZ242"/>
      <c r="RYA242"/>
      <c r="RYB242"/>
      <c r="RYC242"/>
      <c r="RYD242"/>
      <c r="RYE242"/>
      <c r="RYF242"/>
      <c r="RYG242"/>
      <c r="RYH242"/>
      <c r="RYI242"/>
      <c r="RYJ242"/>
      <c r="RYK242"/>
      <c r="RYL242"/>
      <c r="RYM242"/>
      <c r="RYN242"/>
      <c r="RYO242"/>
      <c r="RYP242"/>
      <c r="RYQ242"/>
      <c r="RYR242"/>
      <c r="RYS242"/>
      <c r="RYT242"/>
      <c r="RYU242"/>
      <c r="RYV242"/>
      <c r="RYW242"/>
      <c r="RYX242"/>
      <c r="RYY242"/>
      <c r="RYZ242"/>
      <c r="RZA242"/>
      <c r="RZB242"/>
      <c r="RZC242"/>
      <c r="RZD242"/>
      <c r="RZE242"/>
      <c r="RZF242"/>
      <c r="RZG242"/>
      <c r="RZH242"/>
      <c r="RZI242"/>
      <c r="RZJ242"/>
      <c r="RZK242"/>
      <c r="RZL242"/>
      <c r="RZM242"/>
      <c r="RZN242"/>
      <c r="RZO242"/>
      <c r="RZP242"/>
      <c r="RZQ242"/>
      <c r="RZR242"/>
      <c r="RZS242"/>
      <c r="RZT242"/>
      <c r="RZU242"/>
      <c r="RZV242"/>
      <c r="RZW242"/>
      <c r="RZX242"/>
      <c r="RZY242"/>
      <c r="RZZ242"/>
      <c r="SAA242"/>
      <c r="SAB242"/>
      <c r="SAC242"/>
      <c r="SAD242"/>
      <c r="SAE242"/>
      <c r="SAF242"/>
      <c r="SAG242"/>
      <c r="SAH242"/>
      <c r="SAI242"/>
      <c r="SAJ242"/>
      <c r="SAK242"/>
      <c r="SAL242"/>
      <c r="SAM242"/>
      <c r="SAN242"/>
      <c r="SAO242"/>
      <c r="SAP242"/>
      <c r="SAQ242"/>
      <c r="SAR242"/>
      <c r="SAS242"/>
      <c r="SAT242"/>
      <c r="SAU242"/>
      <c r="SAV242"/>
      <c r="SAW242"/>
      <c r="SAX242"/>
      <c r="SAY242"/>
      <c r="SAZ242"/>
      <c r="SBA242"/>
      <c r="SBB242"/>
      <c r="SBC242"/>
      <c r="SBD242"/>
      <c r="SBE242"/>
      <c r="SBF242"/>
      <c r="SBG242"/>
      <c r="SBH242"/>
      <c r="SBI242"/>
      <c r="SBJ242"/>
      <c r="SBK242"/>
      <c r="SBL242"/>
      <c r="SBM242"/>
      <c r="SBN242"/>
      <c r="SBO242"/>
      <c r="SBP242"/>
      <c r="SBQ242"/>
      <c r="SBR242"/>
      <c r="SBS242"/>
      <c r="SBT242"/>
      <c r="SBU242"/>
      <c r="SBV242"/>
      <c r="SBW242"/>
      <c r="SBX242"/>
      <c r="SBY242"/>
      <c r="SBZ242"/>
      <c r="SCA242"/>
      <c r="SCB242"/>
      <c r="SCC242"/>
      <c r="SCD242"/>
      <c r="SCE242"/>
      <c r="SCF242"/>
      <c r="SCG242"/>
      <c r="SCH242"/>
      <c r="SCI242"/>
      <c r="SCJ242"/>
      <c r="SCK242"/>
      <c r="SCL242"/>
      <c r="SCM242"/>
      <c r="SCN242"/>
      <c r="SCO242"/>
      <c r="SCP242"/>
      <c r="SCQ242"/>
      <c r="SCR242"/>
      <c r="SCS242"/>
      <c r="SCT242"/>
      <c r="SCU242"/>
      <c r="SCV242"/>
      <c r="SCW242"/>
      <c r="SCX242"/>
      <c r="SCY242"/>
      <c r="SCZ242"/>
      <c r="SDA242"/>
      <c r="SDB242"/>
      <c r="SDC242"/>
      <c r="SDD242"/>
      <c r="SDE242"/>
      <c r="SDF242"/>
      <c r="SDG242"/>
      <c r="SDH242"/>
      <c r="SDI242"/>
      <c r="SDJ242"/>
      <c r="SDK242"/>
      <c r="SDL242"/>
      <c r="SDM242"/>
      <c r="SDN242"/>
      <c r="SDO242"/>
      <c r="SDP242"/>
      <c r="SDQ242"/>
      <c r="SDR242"/>
      <c r="SDS242"/>
      <c r="SDT242"/>
      <c r="SDU242"/>
      <c r="SDV242"/>
      <c r="SDW242"/>
      <c r="SDX242"/>
      <c r="SDY242"/>
      <c r="SDZ242"/>
      <c r="SEA242"/>
      <c r="SEB242"/>
      <c r="SEC242"/>
      <c r="SED242"/>
      <c r="SEE242"/>
      <c r="SEF242"/>
      <c r="SEG242"/>
      <c r="SEH242"/>
      <c r="SEI242"/>
      <c r="SEJ242"/>
      <c r="SEK242"/>
      <c r="SEL242"/>
      <c r="SEM242"/>
      <c r="SEN242"/>
      <c r="SEO242"/>
      <c r="SEP242"/>
      <c r="SEQ242"/>
      <c r="SER242"/>
      <c r="SES242"/>
      <c r="SET242"/>
      <c r="SEU242"/>
      <c r="SEV242"/>
      <c r="SEW242"/>
      <c r="SEX242"/>
      <c r="SEY242"/>
      <c r="SEZ242"/>
      <c r="SFA242"/>
      <c r="SFB242"/>
      <c r="SFC242"/>
      <c r="SFD242"/>
      <c r="SFE242"/>
      <c r="SFF242"/>
      <c r="SFG242"/>
      <c r="SFH242"/>
      <c r="SFI242"/>
      <c r="SFJ242"/>
      <c r="SFK242"/>
      <c r="SFL242"/>
      <c r="SFM242"/>
      <c r="SFN242"/>
      <c r="SFO242"/>
      <c r="SFP242"/>
      <c r="SFQ242"/>
      <c r="SFR242"/>
      <c r="SFS242"/>
      <c r="SFT242"/>
      <c r="SFU242"/>
      <c r="SFV242"/>
      <c r="SFW242"/>
      <c r="SFX242"/>
      <c r="SFY242"/>
      <c r="SFZ242"/>
      <c r="SGA242"/>
      <c r="SGB242"/>
      <c r="SGC242"/>
      <c r="SGD242"/>
      <c r="SGE242"/>
      <c r="SGF242"/>
      <c r="SGG242"/>
      <c r="SGH242"/>
      <c r="SGI242"/>
      <c r="SGJ242"/>
      <c r="SGK242"/>
      <c r="SGL242"/>
      <c r="SGM242"/>
      <c r="SGN242"/>
      <c r="SGO242"/>
      <c r="SGP242"/>
      <c r="SGQ242"/>
      <c r="SGR242"/>
      <c r="SGS242"/>
      <c r="SGT242"/>
      <c r="SGU242"/>
      <c r="SGV242"/>
      <c r="SGW242"/>
      <c r="SGX242"/>
      <c r="SGY242"/>
      <c r="SGZ242"/>
      <c r="SHA242"/>
      <c r="SHB242"/>
      <c r="SHC242"/>
      <c r="SHD242"/>
      <c r="SHE242"/>
      <c r="SHF242"/>
      <c r="SHG242"/>
      <c r="SHH242"/>
      <c r="SHI242"/>
      <c r="SHJ242"/>
      <c r="SHK242"/>
      <c r="SHL242"/>
      <c r="SHM242"/>
      <c r="SHN242"/>
      <c r="SHO242"/>
      <c r="SHP242"/>
      <c r="SHQ242"/>
      <c r="SHR242"/>
      <c r="SHS242"/>
      <c r="SHT242"/>
      <c r="SHU242"/>
      <c r="SHV242"/>
      <c r="SHW242"/>
      <c r="SHX242"/>
      <c r="SHY242"/>
      <c r="SHZ242"/>
      <c r="SIA242"/>
      <c r="SIB242"/>
      <c r="SIC242"/>
      <c r="SID242"/>
      <c r="SIE242"/>
      <c r="SIF242"/>
      <c r="SIG242"/>
      <c r="SIH242"/>
      <c r="SII242"/>
      <c r="SIJ242"/>
      <c r="SIK242"/>
      <c r="SIL242"/>
      <c r="SIM242"/>
      <c r="SIN242"/>
      <c r="SIO242"/>
      <c r="SIP242"/>
      <c r="SIQ242"/>
      <c r="SIR242"/>
      <c r="SIS242"/>
      <c r="SIT242"/>
      <c r="SIU242"/>
      <c r="SIV242"/>
      <c r="SIW242"/>
      <c r="SIX242"/>
      <c r="SIY242"/>
      <c r="SIZ242"/>
      <c r="SJA242"/>
      <c r="SJB242"/>
      <c r="SJC242"/>
      <c r="SJD242"/>
      <c r="SJE242"/>
      <c r="SJF242"/>
      <c r="SJG242"/>
      <c r="SJH242"/>
      <c r="SJI242"/>
      <c r="SJJ242"/>
      <c r="SJK242"/>
      <c r="SJL242"/>
      <c r="SJM242"/>
      <c r="SJN242"/>
      <c r="SJO242"/>
      <c r="SJP242"/>
      <c r="SJQ242"/>
      <c r="SJR242"/>
      <c r="SJS242"/>
      <c r="SJT242"/>
      <c r="SJU242"/>
      <c r="SJV242"/>
      <c r="SJW242"/>
      <c r="SJX242"/>
      <c r="SJY242"/>
      <c r="SJZ242"/>
      <c r="SKA242"/>
      <c r="SKB242"/>
      <c r="SKC242"/>
      <c r="SKD242"/>
      <c r="SKE242"/>
      <c r="SKF242"/>
      <c r="SKG242"/>
      <c r="SKH242"/>
      <c r="SKI242"/>
      <c r="SKJ242"/>
      <c r="SKK242"/>
      <c r="SKL242"/>
      <c r="SKM242"/>
      <c r="SKN242"/>
      <c r="SKO242"/>
      <c r="SKP242"/>
      <c r="SKQ242"/>
      <c r="SKR242"/>
      <c r="SKS242"/>
      <c r="SKT242"/>
      <c r="SKU242"/>
      <c r="SKV242"/>
      <c r="SKW242"/>
      <c r="SKX242"/>
      <c r="SKY242"/>
      <c r="SKZ242"/>
      <c r="SLA242"/>
      <c r="SLB242"/>
      <c r="SLC242"/>
      <c r="SLD242"/>
      <c r="SLE242"/>
      <c r="SLF242"/>
      <c r="SLG242"/>
      <c r="SLH242"/>
      <c r="SLI242"/>
      <c r="SLJ242"/>
      <c r="SLK242"/>
      <c r="SLL242"/>
      <c r="SLM242"/>
      <c r="SLN242"/>
      <c r="SLO242"/>
      <c r="SLP242"/>
      <c r="SLQ242"/>
      <c r="SLR242"/>
      <c r="SLS242"/>
      <c r="SLT242"/>
      <c r="SLU242"/>
      <c r="SLV242"/>
      <c r="SLW242"/>
      <c r="SLX242"/>
      <c r="SLY242"/>
      <c r="SLZ242"/>
      <c r="SMA242"/>
      <c r="SMB242"/>
      <c r="SMC242"/>
      <c r="SMD242"/>
      <c r="SME242"/>
      <c r="SMF242"/>
      <c r="SMG242"/>
      <c r="SMH242"/>
      <c r="SMI242"/>
      <c r="SMJ242"/>
      <c r="SMK242"/>
      <c r="SML242"/>
      <c r="SMM242"/>
      <c r="SMN242"/>
      <c r="SMO242"/>
      <c r="SMP242"/>
      <c r="SMQ242"/>
      <c r="SMR242"/>
      <c r="SMS242"/>
      <c r="SMT242"/>
      <c r="SMU242"/>
      <c r="SMV242"/>
      <c r="SMW242"/>
      <c r="SMX242"/>
      <c r="SMY242"/>
      <c r="SMZ242"/>
      <c r="SNA242"/>
      <c r="SNB242"/>
      <c r="SNC242"/>
      <c r="SND242"/>
      <c r="SNE242"/>
      <c r="SNF242"/>
      <c r="SNG242"/>
      <c r="SNH242"/>
      <c r="SNI242"/>
      <c r="SNJ242"/>
      <c r="SNK242"/>
      <c r="SNL242"/>
      <c r="SNM242"/>
      <c r="SNN242"/>
      <c r="SNO242"/>
      <c r="SNP242"/>
      <c r="SNQ242"/>
      <c r="SNR242"/>
      <c r="SNS242"/>
      <c r="SNT242"/>
      <c r="SNU242"/>
      <c r="SNV242"/>
      <c r="SNW242"/>
      <c r="SNX242"/>
      <c r="SNY242"/>
      <c r="SNZ242"/>
      <c r="SOA242"/>
      <c r="SOB242"/>
      <c r="SOC242"/>
      <c r="SOD242"/>
      <c r="SOE242"/>
      <c r="SOF242"/>
      <c r="SOG242"/>
      <c r="SOH242"/>
      <c r="SOI242"/>
      <c r="SOJ242"/>
      <c r="SOK242"/>
      <c r="SOL242"/>
      <c r="SOM242"/>
      <c r="SON242"/>
      <c r="SOO242"/>
      <c r="SOP242"/>
      <c r="SOQ242"/>
      <c r="SOR242"/>
      <c r="SOS242"/>
      <c r="SOT242"/>
      <c r="SOU242"/>
      <c r="SOV242"/>
      <c r="SOW242"/>
      <c r="SOX242"/>
      <c r="SOY242"/>
      <c r="SOZ242"/>
      <c r="SPA242"/>
      <c r="SPB242"/>
      <c r="SPC242"/>
      <c r="SPD242"/>
      <c r="SPE242"/>
      <c r="SPF242"/>
      <c r="SPG242"/>
      <c r="SPH242"/>
      <c r="SPI242"/>
      <c r="SPJ242"/>
      <c r="SPK242"/>
      <c r="SPL242"/>
      <c r="SPM242"/>
      <c r="SPN242"/>
      <c r="SPO242"/>
      <c r="SPP242"/>
      <c r="SPQ242"/>
      <c r="SPR242"/>
      <c r="SPS242"/>
      <c r="SPT242"/>
      <c r="SPU242"/>
      <c r="SPV242"/>
      <c r="SPW242"/>
      <c r="SPX242"/>
      <c r="SPY242"/>
      <c r="SPZ242"/>
      <c r="SQA242"/>
      <c r="SQB242"/>
      <c r="SQC242"/>
      <c r="SQD242"/>
      <c r="SQE242"/>
      <c r="SQF242"/>
      <c r="SQG242"/>
      <c r="SQH242"/>
      <c r="SQI242"/>
      <c r="SQJ242"/>
      <c r="SQK242"/>
      <c r="SQL242"/>
      <c r="SQM242"/>
      <c r="SQN242"/>
      <c r="SQO242"/>
      <c r="SQP242"/>
      <c r="SQQ242"/>
      <c r="SQR242"/>
      <c r="SQS242"/>
      <c r="SQT242"/>
      <c r="SQU242"/>
      <c r="SQV242"/>
      <c r="SQW242"/>
      <c r="SQX242"/>
      <c r="SQY242"/>
      <c r="SQZ242"/>
      <c r="SRA242"/>
      <c r="SRB242"/>
      <c r="SRC242"/>
      <c r="SRD242"/>
      <c r="SRE242"/>
      <c r="SRF242"/>
      <c r="SRG242"/>
      <c r="SRH242"/>
      <c r="SRI242"/>
      <c r="SRJ242"/>
      <c r="SRK242"/>
      <c r="SRL242"/>
      <c r="SRM242"/>
      <c r="SRN242"/>
      <c r="SRO242"/>
      <c r="SRP242"/>
      <c r="SRQ242"/>
      <c r="SRR242"/>
      <c r="SRS242"/>
      <c r="SRT242"/>
      <c r="SRU242"/>
      <c r="SRV242"/>
      <c r="SRW242"/>
      <c r="SRX242"/>
      <c r="SRY242"/>
      <c r="SRZ242"/>
      <c r="SSA242"/>
      <c r="SSB242"/>
      <c r="SSC242"/>
      <c r="SSD242"/>
      <c r="SSE242"/>
      <c r="SSF242"/>
      <c r="SSG242"/>
      <c r="SSH242"/>
      <c r="SSI242"/>
      <c r="SSJ242"/>
      <c r="SSK242"/>
      <c r="SSL242"/>
      <c r="SSM242"/>
      <c r="SSN242"/>
      <c r="SSO242"/>
      <c r="SSP242"/>
      <c r="SSQ242"/>
      <c r="SSR242"/>
      <c r="SSS242"/>
      <c r="SST242"/>
      <c r="SSU242"/>
      <c r="SSV242"/>
      <c r="SSW242"/>
      <c r="SSX242"/>
      <c r="SSY242"/>
      <c r="SSZ242"/>
      <c r="STA242"/>
      <c r="STB242"/>
      <c r="STC242"/>
      <c r="STD242"/>
      <c r="STE242"/>
      <c r="STF242"/>
      <c r="STG242"/>
      <c r="STH242"/>
      <c r="STI242"/>
      <c r="STJ242"/>
      <c r="STK242"/>
      <c r="STL242"/>
      <c r="STM242"/>
      <c r="STN242"/>
      <c r="STO242"/>
      <c r="STP242"/>
      <c r="STQ242"/>
      <c r="STR242"/>
      <c r="STS242"/>
      <c r="STT242"/>
      <c r="STU242"/>
      <c r="STV242"/>
      <c r="STW242"/>
      <c r="STX242"/>
      <c r="STY242"/>
      <c r="STZ242"/>
      <c r="SUA242"/>
      <c r="SUB242"/>
      <c r="SUC242"/>
      <c r="SUD242"/>
      <c r="SUE242"/>
      <c r="SUF242"/>
      <c r="SUG242"/>
      <c r="SUH242"/>
      <c r="SUI242"/>
      <c r="SUJ242"/>
      <c r="SUK242"/>
      <c r="SUL242"/>
      <c r="SUM242"/>
      <c r="SUN242"/>
      <c r="SUO242"/>
      <c r="SUP242"/>
      <c r="SUQ242"/>
      <c r="SUR242"/>
      <c r="SUS242"/>
      <c r="SUT242"/>
      <c r="SUU242"/>
      <c r="SUV242"/>
      <c r="SUW242"/>
      <c r="SUX242"/>
      <c r="SUY242"/>
      <c r="SUZ242"/>
      <c r="SVA242"/>
      <c r="SVB242"/>
      <c r="SVC242"/>
      <c r="SVD242"/>
      <c r="SVE242"/>
      <c r="SVF242"/>
      <c r="SVG242"/>
      <c r="SVH242"/>
      <c r="SVI242"/>
      <c r="SVJ242"/>
      <c r="SVK242"/>
      <c r="SVL242"/>
      <c r="SVM242"/>
      <c r="SVN242"/>
      <c r="SVO242"/>
      <c r="SVP242"/>
      <c r="SVQ242"/>
      <c r="SVR242"/>
      <c r="SVS242"/>
      <c r="SVT242"/>
      <c r="SVU242"/>
      <c r="SVV242"/>
      <c r="SVW242"/>
      <c r="SVX242"/>
      <c r="SVY242"/>
      <c r="SVZ242"/>
      <c r="SWA242"/>
      <c r="SWB242"/>
      <c r="SWC242"/>
      <c r="SWD242"/>
      <c r="SWE242"/>
      <c r="SWF242"/>
      <c r="SWG242"/>
      <c r="SWH242"/>
      <c r="SWI242"/>
      <c r="SWJ242"/>
      <c r="SWK242"/>
      <c r="SWL242"/>
      <c r="SWM242"/>
      <c r="SWN242"/>
      <c r="SWO242"/>
      <c r="SWP242"/>
      <c r="SWQ242"/>
      <c r="SWR242"/>
      <c r="SWS242"/>
      <c r="SWT242"/>
      <c r="SWU242"/>
      <c r="SWV242"/>
      <c r="SWW242"/>
      <c r="SWX242"/>
      <c r="SWY242"/>
      <c r="SWZ242"/>
      <c r="SXA242"/>
      <c r="SXB242"/>
      <c r="SXC242"/>
      <c r="SXD242"/>
      <c r="SXE242"/>
      <c r="SXF242"/>
      <c r="SXG242"/>
      <c r="SXH242"/>
      <c r="SXI242"/>
      <c r="SXJ242"/>
      <c r="SXK242"/>
      <c r="SXL242"/>
      <c r="SXM242"/>
      <c r="SXN242"/>
      <c r="SXO242"/>
      <c r="SXP242"/>
      <c r="SXQ242"/>
      <c r="SXR242"/>
      <c r="SXS242"/>
      <c r="SXT242"/>
      <c r="SXU242"/>
      <c r="SXV242"/>
      <c r="SXW242"/>
      <c r="SXX242"/>
      <c r="SXY242"/>
      <c r="SXZ242"/>
      <c r="SYA242"/>
      <c r="SYB242"/>
      <c r="SYC242"/>
      <c r="SYD242"/>
      <c r="SYE242"/>
      <c r="SYF242"/>
      <c r="SYG242"/>
      <c r="SYH242"/>
      <c r="SYI242"/>
      <c r="SYJ242"/>
      <c r="SYK242"/>
      <c r="SYL242"/>
      <c r="SYM242"/>
      <c r="SYN242"/>
      <c r="SYO242"/>
      <c r="SYP242"/>
      <c r="SYQ242"/>
      <c r="SYR242"/>
      <c r="SYS242"/>
      <c r="SYT242"/>
      <c r="SYU242"/>
      <c r="SYV242"/>
      <c r="SYW242"/>
      <c r="SYX242"/>
      <c r="SYY242"/>
      <c r="SYZ242"/>
      <c r="SZA242"/>
      <c r="SZB242"/>
      <c r="SZC242"/>
      <c r="SZD242"/>
      <c r="SZE242"/>
      <c r="SZF242"/>
      <c r="SZG242"/>
      <c r="SZH242"/>
      <c r="SZI242"/>
      <c r="SZJ242"/>
      <c r="SZK242"/>
      <c r="SZL242"/>
      <c r="SZM242"/>
      <c r="SZN242"/>
      <c r="SZO242"/>
      <c r="SZP242"/>
      <c r="SZQ242"/>
      <c r="SZR242"/>
      <c r="SZS242"/>
      <c r="SZT242"/>
      <c r="SZU242"/>
      <c r="SZV242"/>
      <c r="SZW242"/>
      <c r="SZX242"/>
      <c r="SZY242"/>
      <c r="SZZ242"/>
      <c r="TAA242"/>
      <c r="TAB242"/>
      <c r="TAC242"/>
      <c r="TAD242"/>
      <c r="TAE242"/>
      <c r="TAF242"/>
      <c r="TAG242"/>
      <c r="TAH242"/>
      <c r="TAI242"/>
      <c r="TAJ242"/>
      <c r="TAK242"/>
      <c r="TAL242"/>
      <c r="TAM242"/>
      <c r="TAN242"/>
      <c r="TAO242"/>
      <c r="TAP242"/>
      <c r="TAQ242"/>
      <c r="TAR242"/>
      <c r="TAS242"/>
      <c r="TAT242"/>
      <c r="TAU242"/>
      <c r="TAV242"/>
      <c r="TAW242"/>
      <c r="TAX242"/>
      <c r="TAY242"/>
      <c r="TAZ242"/>
      <c r="TBA242"/>
      <c r="TBB242"/>
      <c r="TBC242"/>
      <c r="TBD242"/>
      <c r="TBE242"/>
      <c r="TBF242"/>
      <c r="TBG242"/>
      <c r="TBH242"/>
      <c r="TBI242"/>
      <c r="TBJ242"/>
      <c r="TBK242"/>
      <c r="TBL242"/>
      <c r="TBM242"/>
      <c r="TBN242"/>
      <c r="TBO242"/>
      <c r="TBP242"/>
      <c r="TBQ242"/>
      <c r="TBR242"/>
      <c r="TBS242"/>
      <c r="TBT242"/>
      <c r="TBU242"/>
      <c r="TBV242"/>
      <c r="TBW242"/>
      <c r="TBX242"/>
      <c r="TBY242"/>
      <c r="TBZ242"/>
      <c r="TCA242"/>
      <c r="TCB242"/>
      <c r="TCC242"/>
      <c r="TCD242"/>
      <c r="TCE242"/>
      <c r="TCF242"/>
      <c r="TCG242"/>
      <c r="TCH242"/>
      <c r="TCI242"/>
      <c r="TCJ242"/>
      <c r="TCK242"/>
      <c r="TCL242"/>
      <c r="TCM242"/>
      <c r="TCN242"/>
      <c r="TCO242"/>
      <c r="TCP242"/>
      <c r="TCQ242"/>
      <c r="TCR242"/>
      <c r="TCS242"/>
      <c r="TCT242"/>
      <c r="TCU242"/>
      <c r="TCV242"/>
      <c r="TCW242"/>
      <c r="TCX242"/>
      <c r="TCY242"/>
      <c r="TCZ242"/>
      <c r="TDA242"/>
      <c r="TDB242"/>
      <c r="TDC242"/>
      <c r="TDD242"/>
      <c r="TDE242"/>
      <c r="TDF242"/>
      <c r="TDG242"/>
      <c r="TDH242"/>
      <c r="TDI242"/>
      <c r="TDJ242"/>
      <c r="TDK242"/>
      <c r="TDL242"/>
      <c r="TDM242"/>
      <c r="TDN242"/>
      <c r="TDO242"/>
      <c r="TDP242"/>
      <c r="TDQ242"/>
      <c r="TDR242"/>
      <c r="TDS242"/>
      <c r="TDT242"/>
      <c r="TDU242"/>
      <c r="TDV242"/>
      <c r="TDW242"/>
      <c r="TDX242"/>
      <c r="TDY242"/>
      <c r="TDZ242"/>
      <c r="TEA242"/>
      <c r="TEB242"/>
      <c r="TEC242"/>
      <c r="TED242"/>
      <c r="TEE242"/>
      <c r="TEF242"/>
      <c r="TEG242"/>
      <c r="TEH242"/>
      <c r="TEI242"/>
      <c r="TEJ242"/>
      <c r="TEK242"/>
      <c r="TEL242"/>
      <c r="TEM242"/>
      <c r="TEN242"/>
      <c r="TEO242"/>
      <c r="TEP242"/>
      <c r="TEQ242"/>
      <c r="TER242"/>
      <c r="TES242"/>
      <c r="TET242"/>
      <c r="TEU242"/>
      <c r="TEV242"/>
      <c r="TEW242"/>
      <c r="TEX242"/>
      <c r="TEY242"/>
      <c r="TEZ242"/>
      <c r="TFA242"/>
      <c r="TFB242"/>
      <c r="TFC242"/>
      <c r="TFD242"/>
      <c r="TFE242"/>
      <c r="TFF242"/>
      <c r="TFG242"/>
      <c r="TFH242"/>
      <c r="TFI242"/>
      <c r="TFJ242"/>
      <c r="TFK242"/>
      <c r="TFL242"/>
      <c r="TFM242"/>
      <c r="TFN242"/>
      <c r="TFO242"/>
      <c r="TFP242"/>
      <c r="TFQ242"/>
      <c r="TFR242"/>
      <c r="TFS242"/>
      <c r="TFT242"/>
      <c r="TFU242"/>
      <c r="TFV242"/>
      <c r="TFW242"/>
      <c r="TFX242"/>
      <c r="TFY242"/>
      <c r="TFZ242"/>
      <c r="TGA242"/>
      <c r="TGB242"/>
      <c r="TGC242"/>
      <c r="TGD242"/>
      <c r="TGE242"/>
      <c r="TGF242"/>
      <c r="TGG242"/>
      <c r="TGH242"/>
      <c r="TGI242"/>
      <c r="TGJ242"/>
      <c r="TGK242"/>
      <c r="TGL242"/>
      <c r="TGM242"/>
      <c r="TGN242"/>
      <c r="TGO242"/>
      <c r="TGP242"/>
      <c r="TGQ242"/>
      <c r="TGR242"/>
      <c r="TGS242"/>
      <c r="TGT242"/>
      <c r="TGU242"/>
      <c r="TGV242"/>
      <c r="TGW242"/>
      <c r="TGX242"/>
      <c r="TGY242"/>
      <c r="TGZ242"/>
      <c r="THA242"/>
      <c r="THB242"/>
      <c r="THC242"/>
      <c r="THD242"/>
      <c r="THE242"/>
      <c r="THF242"/>
      <c r="THG242"/>
      <c r="THH242"/>
      <c r="THI242"/>
      <c r="THJ242"/>
      <c r="THK242"/>
      <c r="THL242"/>
      <c r="THM242"/>
      <c r="THN242"/>
      <c r="THO242"/>
      <c r="THP242"/>
      <c r="THQ242"/>
      <c r="THR242"/>
      <c r="THS242"/>
      <c r="THT242"/>
      <c r="THU242"/>
      <c r="THV242"/>
      <c r="THW242"/>
      <c r="THX242"/>
      <c r="THY242"/>
      <c r="THZ242"/>
      <c r="TIA242"/>
      <c r="TIB242"/>
      <c r="TIC242"/>
      <c r="TID242"/>
      <c r="TIE242"/>
      <c r="TIF242"/>
      <c r="TIG242"/>
      <c r="TIH242"/>
      <c r="TII242"/>
      <c r="TIJ242"/>
      <c r="TIK242"/>
      <c r="TIL242"/>
      <c r="TIM242"/>
      <c r="TIN242"/>
      <c r="TIO242"/>
      <c r="TIP242"/>
      <c r="TIQ242"/>
      <c r="TIR242"/>
      <c r="TIS242"/>
      <c r="TIT242"/>
      <c r="TIU242"/>
      <c r="TIV242"/>
      <c r="TIW242"/>
      <c r="TIX242"/>
      <c r="TIY242"/>
      <c r="TIZ242"/>
      <c r="TJA242"/>
      <c r="TJB242"/>
      <c r="TJC242"/>
      <c r="TJD242"/>
      <c r="TJE242"/>
      <c r="TJF242"/>
      <c r="TJG242"/>
      <c r="TJH242"/>
      <c r="TJI242"/>
      <c r="TJJ242"/>
      <c r="TJK242"/>
      <c r="TJL242"/>
      <c r="TJM242"/>
      <c r="TJN242"/>
      <c r="TJO242"/>
      <c r="TJP242"/>
      <c r="TJQ242"/>
      <c r="TJR242"/>
      <c r="TJS242"/>
      <c r="TJT242"/>
      <c r="TJU242"/>
      <c r="TJV242"/>
      <c r="TJW242"/>
      <c r="TJX242"/>
      <c r="TJY242"/>
      <c r="TJZ242"/>
      <c r="TKA242"/>
      <c r="TKB242"/>
      <c r="TKC242"/>
      <c r="TKD242"/>
      <c r="TKE242"/>
      <c r="TKF242"/>
      <c r="TKG242"/>
      <c r="TKH242"/>
      <c r="TKI242"/>
      <c r="TKJ242"/>
      <c r="TKK242"/>
      <c r="TKL242"/>
      <c r="TKM242"/>
      <c r="TKN242"/>
      <c r="TKO242"/>
      <c r="TKP242"/>
      <c r="TKQ242"/>
      <c r="TKR242"/>
      <c r="TKS242"/>
      <c r="TKT242"/>
      <c r="TKU242"/>
      <c r="TKV242"/>
      <c r="TKW242"/>
      <c r="TKX242"/>
      <c r="TKY242"/>
      <c r="TKZ242"/>
      <c r="TLA242"/>
      <c r="TLB242"/>
      <c r="TLC242"/>
      <c r="TLD242"/>
      <c r="TLE242"/>
      <c r="TLF242"/>
      <c r="TLG242"/>
      <c r="TLH242"/>
      <c r="TLI242"/>
      <c r="TLJ242"/>
      <c r="TLK242"/>
      <c r="TLL242"/>
      <c r="TLM242"/>
      <c r="TLN242"/>
      <c r="TLO242"/>
      <c r="TLP242"/>
      <c r="TLQ242"/>
      <c r="TLR242"/>
      <c r="TLS242"/>
      <c r="TLT242"/>
      <c r="TLU242"/>
      <c r="TLV242"/>
      <c r="TLW242"/>
      <c r="TLX242"/>
      <c r="TLY242"/>
      <c r="TLZ242"/>
      <c r="TMA242"/>
      <c r="TMB242"/>
      <c r="TMC242"/>
      <c r="TMD242"/>
      <c r="TME242"/>
      <c r="TMF242"/>
      <c r="TMG242"/>
      <c r="TMH242"/>
      <c r="TMI242"/>
      <c r="TMJ242"/>
      <c r="TMK242"/>
      <c r="TML242"/>
      <c r="TMM242"/>
      <c r="TMN242"/>
      <c r="TMO242"/>
      <c r="TMP242"/>
      <c r="TMQ242"/>
      <c r="TMR242"/>
      <c r="TMS242"/>
      <c r="TMT242"/>
      <c r="TMU242"/>
      <c r="TMV242"/>
      <c r="TMW242"/>
      <c r="TMX242"/>
      <c r="TMY242"/>
      <c r="TMZ242"/>
      <c r="TNA242"/>
      <c r="TNB242"/>
      <c r="TNC242"/>
      <c r="TND242"/>
      <c r="TNE242"/>
      <c r="TNF242"/>
      <c r="TNG242"/>
      <c r="TNH242"/>
      <c r="TNI242"/>
      <c r="TNJ242"/>
      <c r="TNK242"/>
      <c r="TNL242"/>
      <c r="TNM242"/>
      <c r="TNN242"/>
      <c r="TNO242"/>
      <c r="TNP242"/>
      <c r="TNQ242"/>
      <c r="TNR242"/>
      <c r="TNS242"/>
      <c r="TNT242"/>
      <c r="TNU242"/>
      <c r="TNV242"/>
      <c r="TNW242"/>
      <c r="TNX242"/>
      <c r="TNY242"/>
      <c r="TNZ242"/>
      <c r="TOA242"/>
      <c r="TOB242"/>
      <c r="TOC242"/>
      <c r="TOD242"/>
      <c r="TOE242"/>
      <c r="TOF242"/>
      <c r="TOG242"/>
      <c r="TOH242"/>
      <c r="TOI242"/>
      <c r="TOJ242"/>
      <c r="TOK242"/>
      <c r="TOL242"/>
      <c r="TOM242"/>
      <c r="TON242"/>
      <c r="TOO242"/>
      <c r="TOP242"/>
      <c r="TOQ242"/>
      <c r="TOR242"/>
      <c r="TOS242"/>
      <c r="TOT242"/>
      <c r="TOU242"/>
      <c r="TOV242"/>
      <c r="TOW242"/>
      <c r="TOX242"/>
      <c r="TOY242"/>
      <c r="TOZ242"/>
      <c r="TPA242"/>
      <c r="TPB242"/>
      <c r="TPC242"/>
      <c r="TPD242"/>
      <c r="TPE242"/>
      <c r="TPF242"/>
      <c r="TPG242"/>
      <c r="TPH242"/>
      <c r="TPI242"/>
      <c r="TPJ242"/>
      <c r="TPK242"/>
      <c r="TPL242"/>
      <c r="TPM242"/>
      <c r="TPN242"/>
      <c r="TPO242"/>
      <c r="TPP242"/>
      <c r="TPQ242"/>
      <c r="TPR242"/>
      <c r="TPS242"/>
      <c r="TPT242"/>
      <c r="TPU242"/>
      <c r="TPV242"/>
      <c r="TPW242"/>
      <c r="TPX242"/>
      <c r="TPY242"/>
      <c r="TPZ242"/>
      <c r="TQA242"/>
      <c r="TQB242"/>
      <c r="TQC242"/>
      <c r="TQD242"/>
      <c r="TQE242"/>
      <c r="TQF242"/>
      <c r="TQG242"/>
      <c r="TQH242"/>
      <c r="TQI242"/>
      <c r="TQJ242"/>
      <c r="TQK242"/>
      <c r="TQL242"/>
      <c r="TQM242"/>
      <c r="TQN242"/>
      <c r="TQO242"/>
      <c r="TQP242"/>
      <c r="TQQ242"/>
      <c r="TQR242"/>
      <c r="TQS242"/>
      <c r="TQT242"/>
      <c r="TQU242"/>
      <c r="TQV242"/>
      <c r="TQW242"/>
      <c r="TQX242"/>
      <c r="TQY242"/>
      <c r="TQZ242"/>
      <c r="TRA242"/>
      <c r="TRB242"/>
      <c r="TRC242"/>
      <c r="TRD242"/>
      <c r="TRE242"/>
      <c r="TRF242"/>
      <c r="TRG242"/>
      <c r="TRH242"/>
      <c r="TRI242"/>
      <c r="TRJ242"/>
      <c r="TRK242"/>
      <c r="TRL242"/>
      <c r="TRM242"/>
      <c r="TRN242"/>
      <c r="TRO242"/>
      <c r="TRP242"/>
      <c r="TRQ242"/>
      <c r="TRR242"/>
      <c r="TRS242"/>
      <c r="TRT242"/>
      <c r="TRU242"/>
      <c r="TRV242"/>
      <c r="TRW242"/>
      <c r="TRX242"/>
      <c r="TRY242"/>
      <c r="TRZ242"/>
      <c r="TSA242"/>
      <c r="TSB242"/>
      <c r="TSC242"/>
      <c r="TSD242"/>
      <c r="TSE242"/>
      <c r="TSF242"/>
      <c r="TSG242"/>
      <c r="TSH242"/>
      <c r="TSI242"/>
      <c r="TSJ242"/>
      <c r="TSK242"/>
      <c r="TSL242"/>
      <c r="TSM242"/>
      <c r="TSN242"/>
      <c r="TSO242"/>
      <c r="TSP242"/>
      <c r="TSQ242"/>
      <c r="TSR242"/>
      <c r="TSS242"/>
      <c r="TST242"/>
      <c r="TSU242"/>
      <c r="TSV242"/>
      <c r="TSW242"/>
      <c r="TSX242"/>
      <c r="TSY242"/>
      <c r="TSZ242"/>
      <c r="TTA242"/>
      <c r="TTB242"/>
      <c r="TTC242"/>
      <c r="TTD242"/>
      <c r="TTE242"/>
      <c r="TTF242"/>
      <c r="TTG242"/>
      <c r="TTH242"/>
      <c r="TTI242"/>
      <c r="TTJ242"/>
      <c r="TTK242"/>
      <c r="TTL242"/>
      <c r="TTM242"/>
      <c r="TTN242"/>
      <c r="TTO242"/>
      <c r="TTP242"/>
      <c r="TTQ242"/>
      <c r="TTR242"/>
      <c r="TTS242"/>
      <c r="TTT242"/>
      <c r="TTU242"/>
      <c r="TTV242"/>
      <c r="TTW242"/>
      <c r="TTX242"/>
      <c r="TTY242"/>
      <c r="TTZ242"/>
      <c r="TUA242"/>
      <c r="TUB242"/>
      <c r="TUC242"/>
      <c r="TUD242"/>
      <c r="TUE242"/>
      <c r="TUF242"/>
      <c r="TUG242"/>
      <c r="TUH242"/>
      <c r="TUI242"/>
      <c r="TUJ242"/>
      <c r="TUK242"/>
      <c r="TUL242"/>
      <c r="TUM242"/>
      <c r="TUN242"/>
      <c r="TUO242"/>
      <c r="TUP242"/>
      <c r="TUQ242"/>
      <c r="TUR242"/>
      <c r="TUS242"/>
      <c r="TUT242"/>
      <c r="TUU242"/>
      <c r="TUV242"/>
      <c r="TUW242"/>
      <c r="TUX242"/>
      <c r="TUY242"/>
      <c r="TUZ242"/>
      <c r="TVA242"/>
      <c r="TVB242"/>
      <c r="TVC242"/>
      <c r="TVD242"/>
      <c r="TVE242"/>
      <c r="TVF242"/>
      <c r="TVG242"/>
      <c r="TVH242"/>
      <c r="TVI242"/>
      <c r="TVJ242"/>
      <c r="TVK242"/>
      <c r="TVL242"/>
      <c r="TVM242"/>
      <c r="TVN242"/>
      <c r="TVO242"/>
      <c r="TVP242"/>
      <c r="TVQ242"/>
      <c r="TVR242"/>
      <c r="TVS242"/>
      <c r="TVT242"/>
      <c r="TVU242"/>
      <c r="TVV242"/>
      <c r="TVW242"/>
      <c r="TVX242"/>
      <c r="TVY242"/>
      <c r="TVZ242"/>
      <c r="TWA242"/>
      <c r="TWB242"/>
      <c r="TWC242"/>
      <c r="TWD242"/>
      <c r="TWE242"/>
      <c r="TWF242"/>
      <c r="TWG242"/>
      <c r="TWH242"/>
      <c r="TWI242"/>
      <c r="TWJ242"/>
      <c r="TWK242"/>
      <c r="TWL242"/>
      <c r="TWM242"/>
      <c r="TWN242"/>
      <c r="TWO242"/>
      <c r="TWP242"/>
      <c r="TWQ242"/>
      <c r="TWR242"/>
      <c r="TWS242"/>
      <c r="TWT242"/>
      <c r="TWU242"/>
      <c r="TWV242"/>
      <c r="TWW242"/>
      <c r="TWX242"/>
      <c r="TWY242"/>
      <c r="TWZ242"/>
      <c r="TXA242"/>
      <c r="TXB242"/>
      <c r="TXC242"/>
      <c r="TXD242"/>
      <c r="TXE242"/>
      <c r="TXF242"/>
      <c r="TXG242"/>
      <c r="TXH242"/>
      <c r="TXI242"/>
      <c r="TXJ242"/>
      <c r="TXK242"/>
      <c r="TXL242"/>
      <c r="TXM242"/>
      <c r="TXN242"/>
      <c r="TXO242"/>
      <c r="TXP242"/>
      <c r="TXQ242"/>
      <c r="TXR242"/>
      <c r="TXS242"/>
      <c r="TXT242"/>
      <c r="TXU242"/>
      <c r="TXV242"/>
      <c r="TXW242"/>
      <c r="TXX242"/>
      <c r="TXY242"/>
      <c r="TXZ242"/>
      <c r="TYA242"/>
      <c r="TYB242"/>
      <c r="TYC242"/>
      <c r="TYD242"/>
      <c r="TYE242"/>
      <c r="TYF242"/>
      <c r="TYG242"/>
      <c r="TYH242"/>
      <c r="TYI242"/>
      <c r="TYJ242"/>
      <c r="TYK242"/>
      <c r="TYL242"/>
      <c r="TYM242"/>
      <c r="TYN242"/>
      <c r="TYO242"/>
      <c r="TYP242"/>
      <c r="TYQ242"/>
      <c r="TYR242"/>
      <c r="TYS242"/>
      <c r="TYT242"/>
      <c r="TYU242"/>
      <c r="TYV242"/>
      <c r="TYW242"/>
      <c r="TYX242"/>
      <c r="TYY242"/>
      <c r="TYZ242"/>
      <c r="TZA242"/>
      <c r="TZB242"/>
      <c r="TZC242"/>
      <c r="TZD242"/>
      <c r="TZE242"/>
      <c r="TZF242"/>
      <c r="TZG242"/>
      <c r="TZH242"/>
      <c r="TZI242"/>
      <c r="TZJ242"/>
      <c r="TZK242"/>
      <c r="TZL242"/>
      <c r="TZM242"/>
      <c r="TZN242"/>
      <c r="TZO242"/>
      <c r="TZP242"/>
      <c r="TZQ242"/>
      <c r="TZR242"/>
      <c r="TZS242"/>
      <c r="TZT242"/>
      <c r="TZU242"/>
      <c r="TZV242"/>
      <c r="TZW242"/>
      <c r="TZX242"/>
      <c r="TZY242"/>
      <c r="TZZ242"/>
      <c r="UAA242"/>
      <c r="UAB242"/>
      <c r="UAC242"/>
      <c r="UAD242"/>
      <c r="UAE242"/>
      <c r="UAF242"/>
      <c r="UAG242"/>
      <c r="UAH242"/>
      <c r="UAI242"/>
      <c r="UAJ242"/>
      <c r="UAK242"/>
      <c r="UAL242"/>
      <c r="UAM242"/>
      <c r="UAN242"/>
      <c r="UAO242"/>
      <c r="UAP242"/>
      <c r="UAQ242"/>
      <c r="UAR242"/>
      <c r="UAS242"/>
      <c r="UAT242"/>
      <c r="UAU242"/>
      <c r="UAV242"/>
      <c r="UAW242"/>
      <c r="UAX242"/>
      <c r="UAY242"/>
      <c r="UAZ242"/>
      <c r="UBA242"/>
      <c r="UBB242"/>
      <c r="UBC242"/>
      <c r="UBD242"/>
      <c r="UBE242"/>
      <c r="UBF242"/>
      <c r="UBG242"/>
      <c r="UBH242"/>
      <c r="UBI242"/>
      <c r="UBJ242"/>
      <c r="UBK242"/>
      <c r="UBL242"/>
      <c r="UBM242"/>
      <c r="UBN242"/>
      <c r="UBO242"/>
      <c r="UBP242"/>
      <c r="UBQ242"/>
      <c r="UBR242"/>
      <c r="UBS242"/>
      <c r="UBT242"/>
      <c r="UBU242"/>
      <c r="UBV242"/>
      <c r="UBW242"/>
      <c r="UBX242"/>
      <c r="UBY242"/>
      <c r="UBZ242"/>
      <c r="UCA242"/>
      <c r="UCB242"/>
      <c r="UCC242"/>
      <c r="UCD242"/>
      <c r="UCE242"/>
      <c r="UCF242"/>
      <c r="UCG242"/>
      <c r="UCH242"/>
      <c r="UCI242"/>
      <c r="UCJ242"/>
      <c r="UCK242"/>
      <c r="UCL242"/>
      <c r="UCM242"/>
      <c r="UCN242"/>
      <c r="UCO242"/>
      <c r="UCP242"/>
      <c r="UCQ242"/>
      <c r="UCR242"/>
      <c r="UCS242"/>
      <c r="UCT242"/>
      <c r="UCU242"/>
      <c r="UCV242"/>
      <c r="UCW242"/>
      <c r="UCX242"/>
      <c r="UCY242"/>
      <c r="UCZ242"/>
      <c r="UDA242"/>
      <c r="UDB242"/>
      <c r="UDC242"/>
      <c r="UDD242"/>
      <c r="UDE242"/>
      <c r="UDF242"/>
      <c r="UDG242"/>
      <c r="UDH242"/>
      <c r="UDI242"/>
      <c r="UDJ242"/>
      <c r="UDK242"/>
      <c r="UDL242"/>
      <c r="UDM242"/>
      <c r="UDN242"/>
      <c r="UDO242"/>
      <c r="UDP242"/>
      <c r="UDQ242"/>
      <c r="UDR242"/>
      <c r="UDS242"/>
      <c r="UDT242"/>
      <c r="UDU242"/>
      <c r="UDV242"/>
      <c r="UDW242"/>
      <c r="UDX242"/>
      <c r="UDY242"/>
      <c r="UDZ242"/>
      <c r="UEA242"/>
      <c r="UEB242"/>
      <c r="UEC242"/>
      <c r="UED242"/>
      <c r="UEE242"/>
      <c r="UEF242"/>
      <c r="UEG242"/>
      <c r="UEH242"/>
      <c r="UEI242"/>
      <c r="UEJ242"/>
      <c r="UEK242"/>
      <c r="UEL242"/>
      <c r="UEM242"/>
      <c r="UEN242"/>
      <c r="UEO242"/>
      <c r="UEP242"/>
      <c r="UEQ242"/>
      <c r="UER242"/>
      <c r="UES242"/>
      <c r="UET242"/>
      <c r="UEU242"/>
      <c r="UEV242"/>
      <c r="UEW242"/>
      <c r="UEX242"/>
      <c r="UEY242"/>
      <c r="UEZ242"/>
      <c r="UFA242"/>
      <c r="UFB242"/>
      <c r="UFC242"/>
      <c r="UFD242"/>
      <c r="UFE242"/>
      <c r="UFF242"/>
      <c r="UFG242"/>
      <c r="UFH242"/>
      <c r="UFI242"/>
      <c r="UFJ242"/>
      <c r="UFK242"/>
      <c r="UFL242"/>
      <c r="UFM242"/>
      <c r="UFN242"/>
      <c r="UFO242"/>
      <c r="UFP242"/>
      <c r="UFQ242"/>
      <c r="UFR242"/>
      <c r="UFS242"/>
      <c r="UFT242"/>
      <c r="UFU242"/>
      <c r="UFV242"/>
      <c r="UFW242"/>
      <c r="UFX242"/>
      <c r="UFY242"/>
      <c r="UFZ242"/>
      <c r="UGA242"/>
      <c r="UGB242"/>
      <c r="UGC242"/>
      <c r="UGD242"/>
      <c r="UGE242"/>
      <c r="UGF242"/>
      <c r="UGG242"/>
      <c r="UGH242"/>
      <c r="UGI242"/>
      <c r="UGJ242"/>
      <c r="UGK242"/>
      <c r="UGL242"/>
      <c r="UGM242"/>
      <c r="UGN242"/>
      <c r="UGO242"/>
      <c r="UGP242"/>
      <c r="UGQ242"/>
      <c r="UGR242"/>
      <c r="UGS242"/>
      <c r="UGT242"/>
      <c r="UGU242"/>
      <c r="UGV242"/>
      <c r="UGW242"/>
      <c r="UGX242"/>
      <c r="UGY242"/>
      <c r="UGZ242"/>
      <c r="UHA242"/>
      <c r="UHB242"/>
      <c r="UHC242"/>
      <c r="UHD242"/>
      <c r="UHE242"/>
      <c r="UHF242"/>
      <c r="UHG242"/>
      <c r="UHH242"/>
      <c r="UHI242"/>
      <c r="UHJ242"/>
      <c r="UHK242"/>
      <c r="UHL242"/>
      <c r="UHM242"/>
      <c r="UHN242"/>
      <c r="UHO242"/>
      <c r="UHP242"/>
      <c r="UHQ242"/>
      <c r="UHR242"/>
      <c r="UHS242"/>
      <c r="UHT242"/>
      <c r="UHU242"/>
      <c r="UHV242"/>
      <c r="UHW242"/>
      <c r="UHX242"/>
      <c r="UHY242"/>
      <c r="UHZ242"/>
      <c r="UIA242"/>
      <c r="UIB242"/>
      <c r="UIC242"/>
      <c r="UID242"/>
      <c r="UIE242"/>
      <c r="UIF242"/>
      <c r="UIG242"/>
      <c r="UIH242"/>
      <c r="UII242"/>
      <c r="UIJ242"/>
      <c r="UIK242"/>
      <c r="UIL242"/>
      <c r="UIM242"/>
      <c r="UIN242"/>
      <c r="UIO242"/>
      <c r="UIP242"/>
      <c r="UIQ242"/>
      <c r="UIR242"/>
      <c r="UIS242"/>
      <c r="UIT242"/>
      <c r="UIU242"/>
      <c r="UIV242"/>
      <c r="UIW242"/>
      <c r="UIX242"/>
      <c r="UIY242"/>
      <c r="UIZ242"/>
      <c r="UJA242"/>
      <c r="UJB242"/>
      <c r="UJC242"/>
      <c r="UJD242"/>
      <c r="UJE242"/>
      <c r="UJF242"/>
      <c r="UJG242"/>
      <c r="UJH242"/>
      <c r="UJI242"/>
      <c r="UJJ242"/>
      <c r="UJK242"/>
      <c r="UJL242"/>
      <c r="UJM242"/>
      <c r="UJN242"/>
      <c r="UJO242"/>
      <c r="UJP242"/>
      <c r="UJQ242"/>
      <c r="UJR242"/>
      <c r="UJS242"/>
      <c r="UJT242"/>
      <c r="UJU242"/>
      <c r="UJV242"/>
      <c r="UJW242"/>
      <c r="UJX242"/>
      <c r="UJY242"/>
      <c r="UJZ242"/>
      <c r="UKA242"/>
      <c r="UKB242"/>
      <c r="UKC242"/>
      <c r="UKD242"/>
      <c r="UKE242"/>
      <c r="UKF242"/>
      <c r="UKG242"/>
      <c r="UKH242"/>
      <c r="UKI242"/>
      <c r="UKJ242"/>
      <c r="UKK242"/>
      <c r="UKL242"/>
      <c r="UKM242"/>
      <c r="UKN242"/>
      <c r="UKO242"/>
      <c r="UKP242"/>
      <c r="UKQ242"/>
      <c r="UKR242"/>
      <c r="UKS242"/>
      <c r="UKT242"/>
      <c r="UKU242"/>
      <c r="UKV242"/>
      <c r="UKW242"/>
      <c r="UKX242"/>
      <c r="UKY242"/>
      <c r="UKZ242"/>
      <c r="ULA242"/>
      <c r="ULB242"/>
      <c r="ULC242"/>
      <c r="ULD242"/>
      <c r="ULE242"/>
      <c r="ULF242"/>
      <c r="ULG242"/>
      <c r="ULH242"/>
      <c r="ULI242"/>
      <c r="ULJ242"/>
      <c r="ULK242"/>
      <c r="ULL242"/>
      <c r="ULM242"/>
      <c r="ULN242"/>
      <c r="ULO242"/>
      <c r="ULP242"/>
      <c r="ULQ242"/>
      <c r="ULR242"/>
      <c r="ULS242"/>
      <c r="ULT242"/>
      <c r="ULU242"/>
      <c r="ULV242"/>
      <c r="ULW242"/>
      <c r="ULX242"/>
      <c r="ULY242"/>
      <c r="ULZ242"/>
      <c r="UMA242"/>
      <c r="UMB242"/>
      <c r="UMC242"/>
      <c r="UMD242"/>
      <c r="UME242"/>
      <c r="UMF242"/>
      <c r="UMG242"/>
      <c r="UMH242"/>
      <c r="UMI242"/>
      <c r="UMJ242"/>
      <c r="UMK242"/>
      <c r="UML242"/>
      <c r="UMM242"/>
      <c r="UMN242"/>
      <c r="UMO242"/>
      <c r="UMP242"/>
      <c r="UMQ242"/>
      <c r="UMR242"/>
      <c r="UMS242"/>
      <c r="UMT242"/>
      <c r="UMU242"/>
      <c r="UMV242"/>
      <c r="UMW242"/>
      <c r="UMX242"/>
      <c r="UMY242"/>
      <c r="UMZ242"/>
      <c r="UNA242"/>
      <c r="UNB242"/>
      <c r="UNC242"/>
      <c r="UND242"/>
      <c r="UNE242"/>
      <c r="UNF242"/>
      <c r="UNG242"/>
      <c r="UNH242"/>
      <c r="UNI242"/>
      <c r="UNJ242"/>
      <c r="UNK242"/>
      <c r="UNL242"/>
      <c r="UNM242"/>
      <c r="UNN242"/>
      <c r="UNO242"/>
      <c r="UNP242"/>
      <c r="UNQ242"/>
      <c r="UNR242"/>
      <c r="UNS242"/>
      <c r="UNT242"/>
      <c r="UNU242"/>
      <c r="UNV242"/>
      <c r="UNW242"/>
      <c r="UNX242"/>
      <c r="UNY242"/>
      <c r="UNZ242"/>
      <c r="UOA242"/>
      <c r="UOB242"/>
      <c r="UOC242"/>
      <c r="UOD242"/>
      <c r="UOE242"/>
      <c r="UOF242"/>
      <c r="UOG242"/>
      <c r="UOH242"/>
      <c r="UOI242"/>
      <c r="UOJ242"/>
      <c r="UOK242"/>
      <c r="UOL242"/>
      <c r="UOM242"/>
      <c r="UON242"/>
      <c r="UOO242"/>
      <c r="UOP242"/>
      <c r="UOQ242"/>
      <c r="UOR242"/>
      <c r="UOS242"/>
      <c r="UOT242"/>
      <c r="UOU242"/>
      <c r="UOV242"/>
      <c r="UOW242"/>
      <c r="UOX242"/>
      <c r="UOY242"/>
      <c r="UOZ242"/>
      <c r="UPA242"/>
      <c r="UPB242"/>
      <c r="UPC242"/>
      <c r="UPD242"/>
      <c r="UPE242"/>
      <c r="UPF242"/>
      <c r="UPG242"/>
      <c r="UPH242"/>
      <c r="UPI242"/>
      <c r="UPJ242"/>
      <c r="UPK242"/>
      <c r="UPL242"/>
      <c r="UPM242"/>
      <c r="UPN242"/>
      <c r="UPO242"/>
      <c r="UPP242"/>
      <c r="UPQ242"/>
      <c r="UPR242"/>
      <c r="UPS242"/>
      <c r="UPT242"/>
      <c r="UPU242"/>
      <c r="UPV242"/>
      <c r="UPW242"/>
      <c r="UPX242"/>
      <c r="UPY242"/>
      <c r="UPZ242"/>
      <c r="UQA242"/>
      <c r="UQB242"/>
      <c r="UQC242"/>
      <c r="UQD242"/>
      <c r="UQE242"/>
      <c r="UQF242"/>
      <c r="UQG242"/>
      <c r="UQH242"/>
      <c r="UQI242"/>
      <c r="UQJ242"/>
      <c r="UQK242"/>
      <c r="UQL242"/>
      <c r="UQM242"/>
      <c r="UQN242"/>
      <c r="UQO242"/>
      <c r="UQP242"/>
      <c r="UQQ242"/>
      <c r="UQR242"/>
      <c r="UQS242"/>
      <c r="UQT242"/>
      <c r="UQU242"/>
      <c r="UQV242"/>
      <c r="UQW242"/>
      <c r="UQX242"/>
      <c r="UQY242"/>
      <c r="UQZ242"/>
      <c r="URA242"/>
      <c r="URB242"/>
      <c r="URC242"/>
      <c r="URD242"/>
      <c r="URE242"/>
      <c r="URF242"/>
      <c r="URG242"/>
      <c r="URH242"/>
      <c r="URI242"/>
      <c r="URJ242"/>
      <c r="URK242"/>
      <c r="URL242"/>
      <c r="URM242"/>
      <c r="URN242"/>
      <c r="URO242"/>
      <c r="URP242"/>
      <c r="URQ242"/>
      <c r="URR242"/>
      <c r="URS242"/>
      <c r="URT242"/>
      <c r="URU242"/>
      <c r="URV242"/>
      <c r="URW242"/>
      <c r="URX242"/>
      <c r="URY242"/>
      <c r="URZ242"/>
      <c r="USA242"/>
      <c r="USB242"/>
      <c r="USC242"/>
      <c r="USD242"/>
      <c r="USE242"/>
      <c r="USF242"/>
      <c r="USG242"/>
      <c r="USH242"/>
      <c r="USI242"/>
      <c r="USJ242"/>
      <c r="USK242"/>
      <c r="USL242"/>
      <c r="USM242"/>
      <c r="USN242"/>
      <c r="USO242"/>
      <c r="USP242"/>
      <c r="USQ242"/>
      <c r="USR242"/>
      <c r="USS242"/>
      <c r="UST242"/>
      <c r="USU242"/>
      <c r="USV242"/>
      <c r="USW242"/>
      <c r="USX242"/>
      <c r="USY242"/>
      <c r="USZ242"/>
      <c r="UTA242"/>
      <c r="UTB242"/>
      <c r="UTC242"/>
      <c r="UTD242"/>
      <c r="UTE242"/>
      <c r="UTF242"/>
      <c r="UTG242"/>
      <c r="UTH242"/>
      <c r="UTI242"/>
      <c r="UTJ242"/>
      <c r="UTK242"/>
      <c r="UTL242"/>
      <c r="UTM242"/>
      <c r="UTN242"/>
      <c r="UTO242"/>
      <c r="UTP242"/>
      <c r="UTQ242"/>
      <c r="UTR242"/>
      <c r="UTS242"/>
      <c r="UTT242"/>
      <c r="UTU242"/>
      <c r="UTV242"/>
      <c r="UTW242"/>
      <c r="UTX242"/>
      <c r="UTY242"/>
      <c r="UTZ242"/>
      <c r="UUA242"/>
      <c r="UUB242"/>
      <c r="UUC242"/>
      <c r="UUD242"/>
      <c r="UUE242"/>
      <c r="UUF242"/>
      <c r="UUG242"/>
      <c r="UUH242"/>
      <c r="UUI242"/>
      <c r="UUJ242"/>
      <c r="UUK242"/>
      <c r="UUL242"/>
      <c r="UUM242"/>
      <c r="UUN242"/>
      <c r="UUO242"/>
      <c r="UUP242"/>
      <c r="UUQ242"/>
      <c r="UUR242"/>
      <c r="UUS242"/>
      <c r="UUT242"/>
      <c r="UUU242"/>
      <c r="UUV242"/>
      <c r="UUW242"/>
      <c r="UUX242"/>
      <c r="UUY242"/>
      <c r="UUZ242"/>
      <c r="UVA242"/>
      <c r="UVB242"/>
      <c r="UVC242"/>
      <c r="UVD242"/>
      <c r="UVE242"/>
      <c r="UVF242"/>
      <c r="UVG242"/>
      <c r="UVH242"/>
      <c r="UVI242"/>
      <c r="UVJ242"/>
      <c r="UVK242"/>
      <c r="UVL242"/>
      <c r="UVM242"/>
      <c r="UVN242"/>
      <c r="UVO242"/>
      <c r="UVP242"/>
      <c r="UVQ242"/>
      <c r="UVR242"/>
      <c r="UVS242"/>
      <c r="UVT242"/>
      <c r="UVU242"/>
      <c r="UVV242"/>
      <c r="UVW242"/>
      <c r="UVX242"/>
      <c r="UVY242"/>
      <c r="UVZ242"/>
      <c r="UWA242"/>
      <c r="UWB242"/>
      <c r="UWC242"/>
      <c r="UWD242"/>
      <c r="UWE242"/>
      <c r="UWF242"/>
      <c r="UWG242"/>
      <c r="UWH242"/>
      <c r="UWI242"/>
      <c r="UWJ242"/>
      <c r="UWK242"/>
      <c r="UWL242"/>
      <c r="UWM242"/>
      <c r="UWN242"/>
      <c r="UWO242"/>
      <c r="UWP242"/>
      <c r="UWQ242"/>
      <c r="UWR242"/>
      <c r="UWS242"/>
      <c r="UWT242"/>
      <c r="UWU242"/>
      <c r="UWV242"/>
      <c r="UWW242"/>
      <c r="UWX242"/>
      <c r="UWY242"/>
      <c r="UWZ242"/>
      <c r="UXA242"/>
      <c r="UXB242"/>
      <c r="UXC242"/>
      <c r="UXD242"/>
      <c r="UXE242"/>
      <c r="UXF242"/>
      <c r="UXG242"/>
      <c r="UXH242"/>
      <c r="UXI242"/>
      <c r="UXJ242"/>
      <c r="UXK242"/>
      <c r="UXL242"/>
      <c r="UXM242"/>
      <c r="UXN242"/>
      <c r="UXO242"/>
      <c r="UXP242"/>
      <c r="UXQ242"/>
      <c r="UXR242"/>
      <c r="UXS242"/>
      <c r="UXT242"/>
      <c r="UXU242"/>
      <c r="UXV242"/>
      <c r="UXW242"/>
      <c r="UXX242"/>
      <c r="UXY242"/>
      <c r="UXZ242"/>
      <c r="UYA242"/>
      <c r="UYB242"/>
      <c r="UYC242"/>
      <c r="UYD242"/>
      <c r="UYE242"/>
      <c r="UYF242"/>
      <c r="UYG242"/>
      <c r="UYH242"/>
      <c r="UYI242"/>
      <c r="UYJ242"/>
      <c r="UYK242"/>
      <c r="UYL242"/>
      <c r="UYM242"/>
      <c r="UYN242"/>
      <c r="UYO242"/>
      <c r="UYP242"/>
      <c r="UYQ242"/>
      <c r="UYR242"/>
      <c r="UYS242"/>
      <c r="UYT242"/>
      <c r="UYU242"/>
      <c r="UYV242"/>
      <c r="UYW242"/>
      <c r="UYX242"/>
      <c r="UYY242"/>
      <c r="UYZ242"/>
      <c r="UZA242"/>
      <c r="UZB242"/>
      <c r="UZC242"/>
      <c r="UZD242"/>
      <c r="UZE242"/>
      <c r="UZF242"/>
      <c r="UZG242"/>
      <c r="UZH242"/>
      <c r="UZI242"/>
      <c r="UZJ242"/>
      <c r="UZK242"/>
      <c r="UZL242"/>
      <c r="UZM242"/>
      <c r="UZN242"/>
      <c r="UZO242"/>
      <c r="UZP242"/>
      <c r="UZQ242"/>
      <c r="UZR242"/>
      <c r="UZS242"/>
      <c r="UZT242"/>
      <c r="UZU242"/>
      <c r="UZV242"/>
      <c r="UZW242"/>
      <c r="UZX242"/>
      <c r="UZY242"/>
      <c r="UZZ242"/>
      <c r="VAA242"/>
      <c r="VAB242"/>
      <c r="VAC242"/>
      <c r="VAD242"/>
      <c r="VAE242"/>
      <c r="VAF242"/>
      <c r="VAG242"/>
      <c r="VAH242"/>
      <c r="VAI242"/>
      <c r="VAJ242"/>
      <c r="VAK242"/>
      <c r="VAL242"/>
      <c r="VAM242"/>
      <c r="VAN242"/>
      <c r="VAO242"/>
      <c r="VAP242"/>
      <c r="VAQ242"/>
      <c r="VAR242"/>
      <c r="VAS242"/>
      <c r="VAT242"/>
      <c r="VAU242"/>
      <c r="VAV242"/>
      <c r="VAW242"/>
      <c r="VAX242"/>
      <c r="VAY242"/>
      <c r="VAZ242"/>
      <c r="VBA242"/>
      <c r="VBB242"/>
      <c r="VBC242"/>
      <c r="VBD242"/>
      <c r="VBE242"/>
      <c r="VBF242"/>
      <c r="VBG242"/>
      <c r="VBH242"/>
      <c r="VBI242"/>
      <c r="VBJ242"/>
      <c r="VBK242"/>
      <c r="VBL242"/>
      <c r="VBM242"/>
      <c r="VBN242"/>
      <c r="VBO242"/>
      <c r="VBP242"/>
      <c r="VBQ242"/>
      <c r="VBR242"/>
      <c r="VBS242"/>
      <c r="VBT242"/>
      <c r="VBU242"/>
      <c r="VBV242"/>
      <c r="VBW242"/>
      <c r="VBX242"/>
      <c r="VBY242"/>
      <c r="VBZ242"/>
      <c r="VCA242"/>
      <c r="VCB242"/>
      <c r="VCC242"/>
      <c r="VCD242"/>
      <c r="VCE242"/>
      <c r="VCF242"/>
      <c r="VCG242"/>
      <c r="VCH242"/>
      <c r="VCI242"/>
      <c r="VCJ242"/>
      <c r="VCK242"/>
      <c r="VCL242"/>
      <c r="VCM242"/>
      <c r="VCN242"/>
      <c r="VCO242"/>
      <c r="VCP242"/>
      <c r="VCQ242"/>
      <c r="VCR242"/>
      <c r="VCS242"/>
      <c r="VCT242"/>
      <c r="VCU242"/>
      <c r="VCV242"/>
      <c r="VCW242"/>
      <c r="VCX242"/>
      <c r="VCY242"/>
      <c r="VCZ242"/>
      <c r="VDA242"/>
      <c r="VDB242"/>
      <c r="VDC242"/>
      <c r="VDD242"/>
      <c r="VDE242"/>
      <c r="VDF242"/>
      <c r="VDG242"/>
      <c r="VDH242"/>
      <c r="VDI242"/>
      <c r="VDJ242"/>
      <c r="VDK242"/>
      <c r="VDL242"/>
      <c r="VDM242"/>
      <c r="VDN242"/>
      <c r="VDO242"/>
      <c r="VDP242"/>
      <c r="VDQ242"/>
      <c r="VDR242"/>
      <c r="VDS242"/>
      <c r="VDT242"/>
      <c r="VDU242"/>
      <c r="VDV242"/>
      <c r="VDW242"/>
      <c r="VDX242"/>
      <c r="VDY242"/>
      <c r="VDZ242"/>
      <c r="VEA242"/>
      <c r="VEB242"/>
      <c r="VEC242"/>
      <c r="VED242"/>
      <c r="VEE242"/>
      <c r="VEF242"/>
      <c r="VEG242"/>
      <c r="VEH242"/>
      <c r="VEI242"/>
      <c r="VEJ242"/>
      <c r="VEK242"/>
      <c r="VEL242"/>
      <c r="VEM242"/>
      <c r="VEN242"/>
      <c r="VEO242"/>
      <c r="VEP242"/>
      <c r="VEQ242"/>
      <c r="VER242"/>
      <c r="VES242"/>
      <c r="VET242"/>
      <c r="VEU242"/>
      <c r="VEV242"/>
      <c r="VEW242"/>
      <c r="VEX242"/>
      <c r="VEY242"/>
      <c r="VEZ242"/>
      <c r="VFA242"/>
      <c r="VFB242"/>
      <c r="VFC242"/>
      <c r="VFD242"/>
      <c r="VFE242"/>
      <c r="VFF242"/>
      <c r="VFG242"/>
      <c r="VFH242"/>
      <c r="VFI242"/>
      <c r="VFJ242"/>
      <c r="VFK242"/>
      <c r="VFL242"/>
      <c r="VFM242"/>
      <c r="VFN242"/>
      <c r="VFO242"/>
      <c r="VFP242"/>
      <c r="VFQ242"/>
      <c r="VFR242"/>
      <c r="VFS242"/>
      <c r="VFT242"/>
      <c r="VFU242"/>
      <c r="VFV242"/>
      <c r="VFW242"/>
      <c r="VFX242"/>
      <c r="VFY242"/>
      <c r="VFZ242"/>
      <c r="VGA242"/>
      <c r="VGB242"/>
      <c r="VGC242"/>
      <c r="VGD242"/>
      <c r="VGE242"/>
      <c r="VGF242"/>
      <c r="VGG242"/>
      <c r="VGH242"/>
      <c r="VGI242"/>
      <c r="VGJ242"/>
      <c r="VGK242"/>
      <c r="VGL242"/>
      <c r="VGM242"/>
      <c r="VGN242"/>
      <c r="VGO242"/>
      <c r="VGP242"/>
      <c r="VGQ242"/>
      <c r="VGR242"/>
      <c r="VGS242"/>
      <c r="VGT242"/>
      <c r="VGU242"/>
      <c r="VGV242"/>
      <c r="VGW242"/>
      <c r="VGX242"/>
      <c r="VGY242"/>
      <c r="VGZ242"/>
      <c r="VHA242"/>
      <c r="VHB242"/>
      <c r="VHC242"/>
      <c r="VHD242"/>
      <c r="VHE242"/>
      <c r="VHF242"/>
      <c r="VHG242"/>
      <c r="VHH242"/>
      <c r="VHI242"/>
      <c r="VHJ242"/>
      <c r="VHK242"/>
      <c r="VHL242"/>
      <c r="VHM242"/>
      <c r="VHN242"/>
      <c r="VHO242"/>
      <c r="VHP242"/>
      <c r="VHQ242"/>
      <c r="VHR242"/>
      <c r="VHS242"/>
      <c r="VHT242"/>
      <c r="VHU242"/>
      <c r="VHV242"/>
      <c r="VHW242"/>
      <c r="VHX242"/>
      <c r="VHY242"/>
      <c r="VHZ242"/>
      <c r="VIA242"/>
      <c r="VIB242"/>
      <c r="VIC242"/>
      <c r="VID242"/>
      <c r="VIE242"/>
      <c r="VIF242"/>
      <c r="VIG242"/>
      <c r="VIH242"/>
      <c r="VII242"/>
      <c r="VIJ242"/>
      <c r="VIK242"/>
      <c r="VIL242"/>
      <c r="VIM242"/>
      <c r="VIN242"/>
      <c r="VIO242"/>
      <c r="VIP242"/>
      <c r="VIQ242"/>
      <c r="VIR242"/>
      <c r="VIS242"/>
      <c r="VIT242"/>
      <c r="VIU242"/>
      <c r="VIV242"/>
      <c r="VIW242"/>
      <c r="VIX242"/>
      <c r="VIY242"/>
      <c r="VIZ242"/>
      <c r="VJA242"/>
      <c r="VJB242"/>
      <c r="VJC242"/>
      <c r="VJD242"/>
      <c r="VJE242"/>
      <c r="VJF242"/>
      <c r="VJG242"/>
      <c r="VJH242"/>
      <c r="VJI242"/>
      <c r="VJJ242"/>
      <c r="VJK242"/>
      <c r="VJL242"/>
      <c r="VJM242"/>
      <c r="VJN242"/>
      <c r="VJO242"/>
      <c r="VJP242"/>
      <c r="VJQ242"/>
      <c r="VJR242"/>
      <c r="VJS242"/>
      <c r="VJT242"/>
      <c r="VJU242"/>
      <c r="VJV242"/>
      <c r="VJW242"/>
      <c r="VJX242"/>
      <c r="VJY242"/>
      <c r="VJZ242"/>
      <c r="VKA242"/>
      <c r="VKB242"/>
      <c r="VKC242"/>
      <c r="VKD242"/>
      <c r="VKE242"/>
      <c r="VKF242"/>
      <c r="VKG242"/>
      <c r="VKH242"/>
      <c r="VKI242"/>
      <c r="VKJ242"/>
      <c r="VKK242"/>
      <c r="VKL242"/>
      <c r="VKM242"/>
      <c r="VKN242"/>
      <c r="VKO242"/>
      <c r="VKP242"/>
      <c r="VKQ242"/>
      <c r="VKR242"/>
      <c r="VKS242"/>
      <c r="VKT242"/>
      <c r="VKU242"/>
      <c r="VKV242"/>
      <c r="VKW242"/>
      <c r="VKX242"/>
      <c r="VKY242"/>
      <c r="VKZ242"/>
      <c r="VLA242"/>
      <c r="VLB242"/>
      <c r="VLC242"/>
      <c r="VLD242"/>
      <c r="VLE242"/>
      <c r="VLF242"/>
      <c r="VLG242"/>
      <c r="VLH242"/>
      <c r="VLI242"/>
      <c r="VLJ242"/>
      <c r="VLK242"/>
      <c r="VLL242"/>
      <c r="VLM242"/>
      <c r="VLN242"/>
      <c r="VLO242"/>
      <c r="VLP242"/>
      <c r="VLQ242"/>
      <c r="VLR242"/>
      <c r="VLS242"/>
      <c r="VLT242"/>
      <c r="VLU242"/>
      <c r="VLV242"/>
      <c r="VLW242"/>
      <c r="VLX242"/>
      <c r="VLY242"/>
      <c r="VLZ242"/>
      <c r="VMA242"/>
      <c r="VMB242"/>
      <c r="VMC242"/>
      <c r="VMD242"/>
      <c r="VME242"/>
      <c r="VMF242"/>
      <c r="VMG242"/>
      <c r="VMH242"/>
      <c r="VMI242"/>
      <c r="VMJ242"/>
      <c r="VMK242"/>
      <c r="VML242"/>
      <c r="VMM242"/>
      <c r="VMN242"/>
      <c r="VMO242"/>
      <c r="VMP242"/>
      <c r="VMQ242"/>
      <c r="VMR242"/>
      <c r="VMS242"/>
      <c r="VMT242"/>
      <c r="VMU242"/>
      <c r="VMV242"/>
      <c r="VMW242"/>
      <c r="VMX242"/>
      <c r="VMY242"/>
      <c r="VMZ242"/>
      <c r="VNA242"/>
      <c r="VNB242"/>
      <c r="VNC242"/>
      <c r="VND242"/>
      <c r="VNE242"/>
      <c r="VNF242"/>
      <c r="VNG242"/>
      <c r="VNH242"/>
      <c r="VNI242"/>
      <c r="VNJ242"/>
      <c r="VNK242"/>
      <c r="VNL242"/>
      <c r="VNM242"/>
      <c r="VNN242"/>
      <c r="VNO242"/>
      <c r="VNP242"/>
      <c r="VNQ242"/>
      <c r="VNR242"/>
      <c r="VNS242"/>
      <c r="VNT242"/>
      <c r="VNU242"/>
      <c r="VNV242"/>
      <c r="VNW242"/>
      <c r="VNX242"/>
      <c r="VNY242"/>
      <c r="VNZ242"/>
      <c r="VOA242"/>
      <c r="VOB242"/>
      <c r="VOC242"/>
      <c r="VOD242"/>
      <c r="VOE242"/>
      <c r="VOF242"/>
      <c r="VOG242"/>
      <c r="VOH242"/>
      <c r="VOI242"/>
      <c r="VOJ242"/>
      <c r="VOK242"/>
      <c r="VOL242"/>
      <c r="VOM242"/>
      <c r="VON242"/>
      <c r="VOO242"/>
      <c r="VOP242"/>
      <c r="VOQ242"/>
      <c r="VOR242"/>
      <c r="VOS242"/>
      <c r="VOT242"/>
      <c r="VOU242"/>
      <c r="VOV242"/>
      <c r="VOW242"/>
      <c r="VOX242"/>
      <c r="VOY242"/>
      <c r="VOZ242"/>
      <c r="VPA242"/>
      <c r="VPB242"/>
      <c r="VPC242"/>
      <c r="VPD242"/>
      <c r="VPE242"/>
      <c r="VPF242"/>
      <c r="VPG242"/>
      <c r="VPH242"/>
      <c r="VPI242"/>
      <c r="VPJ242"/>
      <c r="VPK242"/>
      <c r="VPL242"/>
      <c r="VPM242"/>
      <c r="VPN242"/>
      <c r="VPO242"/>
      <c r="VPP242"/>
      <c r="VPQ242"/>
      <c r="VPR242"/>
      <c r="VPS242"/>
      <c r="VPT242"/>
      <c r="VPU242"/>
      <c r="VPV242"/>
      <c r="VPW242"/>
      <c r="VPX242"/>
      <c r="VPY242"/>
      <c r="VPZ242"/>
      <c r="VQA242"/>
      <c r="VQB242"/>
      <c r="VQC242"/>
      <c r="VQD242"/>
      <c r="VQE242"/>
      <c r="VQF242"/>
      <c r="VQG242"/>
      <c r="VQH242"/>
      <c r="VQI242"/>
      <c r="VQJ242"/>
      <c r="VQK242"/>
      <c r="VQL242"/>
      <c r="VQM242"/>
      <c r="VQN242"/>
      <c r="VQO242"/>
      <c r="VQP242"/>
      <c r="VQQ242"/>
      <c r="VQR242"/>
      <c r="VQS242"/>
      <c r="VQT242"/>
      <c r="VQU242"/>
      <c r="VQV242"/>
      <c r="VQW242"/>
      <c r="VQX242"/>
      <c r="VQY242"/>
      <c r="VQZ242"/>
      <c r="VRA242"/>
      <c r="VRB242"/>
      <c r="VRC242"/>
      <c r="VRD242"/>
      <c r="VRE242"/>
      <c r="VRF242"/>
      <c r="VRG242"/>
      <c r="VRH242"/>
      <c r="VRI242"/>
      <c r="VRJ242"/>
      <c r="VRK242"/>
      <c r="VRL242"/>
      <c r="VRM242"/>
      <c r="VRN242"/>
      <c r="VRO242"/>
      <c r="VRP242"/>
      <c r="VRQ242"/>
      <c r="VRR242"/>
      <c r="VRS242"/>
      <c r="VRT242"/>
      <c r="VRU242"/>
      <c r="VRV242"/>
      <c r="VRW242"/>
      <c r="VRX242"/>
      <c r="VRY242"/>
      <c r="VRZ242"/>
      <c r="VSA242"/>
      <c r="VSB242"/>
      <c r="VSC242"/>
      <c r="VSD242"/>
      <c r="VSE242"/>
      <c r="VSF242"/>
      <c r="VSG242"/>
      <c r="VSH242"/>
      <c r="VSI242"/>
      <c r="VSJ242"/>
      <c r="VSK242"/>
      <c r="VSL242"/>
      <c r="VSM242"/>
      <c r="VSN242"/>
      <c r="VSO242"/>
      <c r="VSP242"/>
      <c r="VSQ242"/>
      <c r="VSR242"/>
      <c r="VSS242"/>
      <c r="VST242"/>
      <c r="VSU242"/>
      <c r="VSV242"/>
      <c r="VSW242"/>
      <c r="VSX242"/>
      <c r="VSY242"/>
      <c r="VSZ242"/>
      <c r="VTA242"/>
      <c r="VTB242"/>
      <c r="VTC242"/>
      <c r="VTD242"/>
      <c r="VTE242"/>
      <c r="VTF242"/>
      <c r="VTG242"/>
      <c r="VTH242"/>
      <c r="VTI242"/>
      <c r="VTJ242"/>
      <c r="VTK242"/>
      <c r="VTL242"/>
      <c r="VTM242"/>
      <c r="VTN242"/>
      <c r="VTO242"/>
      <c r="VTP242"/>
      <c r="VTQ242"/>
      <c r="VTR242"/>
      <c r="VTS242"/>
      <c r="VTT242"/>
      <c r="VTU242"/>
      <c r="VTV242"/>
      <c r="VTW242"/>
      <c r="VTX242"/>
      <c r="VTY242"/>
      <c r="VTZ242"/>
      <c r="VUA242"/>
      <c r="VUB242"/>
      <c r="VUC242"/>
      <c r="VUD242"/>
      <c r="VUE242"/>
      <c r="VUF242"/>
      <c r="VUG242"/>
      <c r="VUH242"/>
      <c r="VUI242"/>
      <c r="VUJ242"/>
      <c r="VUK242"/>
      <c r="VUL242"/>
      <c r="VUM242"/>
      <c r="VUN242"/>
      <c r="VUO242"/>
      <c r="VUP242"/>
      <c r="VUQ242"/>
      <c r="VUR242"/>
      <c r="VUS242"/>
      <c r="VUT242"/>
      <c r="VUU242"/>
      <c r="VUV242"/>
      <c r="VUW242"/>
      <c r="VUX242"/>
      <c r="VUY242"/>
      <c r="VUZ242"/>
      <c r="VVA242"/>
      <c r="VVB242"/>
      <c r="VVC242"/>
      <c r="VVD242"/>
      <c r="VVE242"/>
      <c r="VVF242"/>
      <c r="VVG242"/>
      <c r="VVH242"/>
      <c r="VVI242"/>
      <c r="VVJ242"/>
      <c r="VVK242"/>
      <c r="VVL242"/>
      <c r="VVM242"/>
      <c r="VVN242"/>
      <c r="VVO242"/>
      <c r="VVP242"/>
      <c r="VVQ242"/>
      <c r="VVR242"/>
      <c r="VVS242"/>
      <c r="VVT242"/>
      <c r="VVU242"/>
      <c r="VVV242"/>
      <c r="VVW242"/>
      <c r="VVX242"/>
      <c r="VVY242"/>
      <c r="VVZ242"/>
      <c r="VWA242"/>
      <c r="VWB242"/>
      <c r="VWC242"/>
      <c r="VWD242"/>
      <c r="VWE242"/>
      <c r="VWF242"/>
      <c r="VWG242"/>
      <c r="VWH242"/>
      <c r="VWI242"/>
      <c r="VWJ242"/>
      <c r="VWK242"/>
      <c r="VWL242"/>
      <c r="VWM242"/>
      <c r="VWN242"/>
      <c r="VWO242"/>
      <c r="VWP242"/>
      <c r="VWQ242"/>
      <c r="VWR242"/>
      <c r="VWS242"/>
      <c r="VWT242"/>
      <c r="VWU242"/>
      <c r="VWV242"/>
      <c r="VWW242"/>
      <c r="VWX242"/>
      <c r="VWY242"/>
      <c r="VWZ242"/>
      <c r="VXA242"/>
      <c r="VXB242"/>
      <c r="VXC242"/>
      <c r="VXD242"/>
      <c r="VXE242"/>
      <c r="VXF242"/>
      <c r="VXG242"/>
      <c r="VXH242"/>
      <c r="VXI242"/>
      <c r="VXJ242"/>
      <c r="VXK242"/>
      <c r="VXL242"/>
      <c r="VXM242"/>
      <c r="VXN242"/>
      <c r="VXO242"/>
      <c r="VXP242"/>
      <c r="VXQ242"/>
      <c r="VXR242"/>
      <c r="VXS242"/>
      <c r="VXT242"/>
      <c r="VXU242"/>
      <c r="VXV242"/>
      <c r="VXW242"/>
      <c r="VXX242"/>
      <c r="VXY242"/>
      <c r="VXZ242"/>
      <c r="VYA242"/>
      <c r="VYB242"/>
      <c r="VYC242"/>
      <c r="VYD242"/>
      <c r="VYE242"/>
      <c r="VYF242"/>
      <c r="VYG242"/>
      <c r="VYH242"/>
      <c r="VYI242"/>
      <c r="VYJ242"/>
      <c r="VYK242"/>
      <c r="VYL242"/>
      <c r="VYM242"/>
      <c r="VYN242"/>
      <c r="VYO242"/>
      <c r="VYP242"/>
      <c r="VYQ242"/>
      <c r="VYR242"/>
      <c r="VYS242"/>
      <c r="VYT242"/>
      <c r="VYU242"/>
      <c r="VYV242"/>
      <c r="VYW242"/>
      <c r="VYX242"/>
      <c r="VYY242"/>
      <c r="VYZ242"/>
      <c r="VZA242"/>
      <c r="VZB242"/>
      <c r="VZC242"/>
      <c r="VZD242"/>
      <c r="VZE242"/>
      <c r="VZF242"/>
      <c r="VZG242"/>
      <c r="VZH242"/>
      <c r="VZI242"/>
      <c r="VZJ242"/>
      <c r="VZK242"/>
      <c r="VZL242"/>
      <c r="VZM242"/>
      <c r="VZN242"/>
      <c r="VZO242"/>
      <c r="VZP242"/>
      <c r="VZQ242"/>
      <c r="VZR242"/>
      <c r="VZS242"/>
      <c r="VZT242"/>
      <c r="VZU242"/>
      <c r="VZV242"/>
      <c r="VZW242"/>
      <c r="VZX242"/>
      <c r="VZY242"/>
      <c r="VZZ242"/>
      <c r="WAA242"/>
      <c r="WAB242"/>
      <c r="WAC242"/>
      <c r="WAD242"/>
      <c r="WAE242"/>
      <c r="WAF242"/>
      <c r="WAG242"/>
      <c r="WAH242"/>
      <c r="WAI242"/>
      <c r="WAJ242"/>
      <c r="WAK242"/>
      <c r="WAL242"/>
      <c r="WAM242"/>
      <c r="WAN242"/>
      <c r="WAO242"/>
      <c r="WAP242"/>
      <c r="WAQ242"/>
      <c r="WAR242"/>
      <c r="WAS242"/>
      <c r="WAT242"/>
      <c r="WAU242"/>
      <c r="WAV242"/>
      <c r="WAW242"/>
      <c r="WAX242"/>
      <c r="WAY242"/>
      <c r="WAZ242"/>
      <c r="WBA242"/>
      <c r="WBB242"/>
      <c r="WBC242"/>
      <c r="WBD242"/>
      <c r="WBE242"/>
      <c r="WBF242"/>
      <c r="WBG242"/>
      <c r="WBH242"/>
      <c r="WBI242"/>
      <c r="WBJ242"/>
      <c r="WBK242"/>
      <c r="WBL242"/>
      <c r="WBM242"/>
      <c r="WBN242"/>
      <c r="WBO242"/>
      <c r="WBP242"/>
      <c r="WBQ242"/>
      <c r="WBR242"/>
      <c r="WBS242"/>
      <c r="WBT242"/>
      <c r="WBU242"/>
      <c r="WBV242"/>
      <c r="WBW242"/>
      <c r="WBX242"/>
      <c r="WBY242"/>
      <c r="WBZ242"/>
      <c r="WCA242"/>
      <c r="WCB242"/>
      <c r="WCC242"/>
      <c r="WCD242"/>
      <c r="WCE242"/>
      <c r="WCF242"/>
      <c r="WCG242"/>
      <c r="WCH242"/>
      <c r="WCI242"/>
      <c r="WCJ242"/>
      <c r="WCK242"/>
      <c r="WCL242"/>
      <c r="WCM242"/>
      <c r="WCN242"/>
      <c r="WCO242"/>
      <c r="WCP242"/>
      <c r="WCQ242"/>
      <c r="WCR242"/>
      <c r="WCS242"/>
      <c r="WCT242"/>
      <c r="WCU242"/>
      <c r="WCV242"/>
      <c r="WCW242"/>
      <c r="WCX242"/>
      <c r="WCY242"/>
      <c r="WCZ242"/>
      <c r="WDA242"/>
      <c r="WDB242"/>
      <c r="WDC242"/>
      <c r="WDD242"/>
      <c r="WDE242"/>
      <c r="WDF242"/>
      <c r="WDG242"/>
      <c r="WDH242"/>
      <c r="WDI242"/>
      <c r="WDJ242"/>
      <c r="WDK242"/>
      <c r="WDL242"/>
      <c r="WDM242"/>
      <c r="WDN242"/>
      <c r="WDO242"/>
      <c r="WDP242"/>
      <c r="WDQ242"/>
      <c r="WDR242"/>
      <c r="WDS242"/>
      <c r="WDT242"/>
      <c r="WDU242"/>
      <c r="WDV242"/>
      <c r="WDW242"/>
      <c r="WDX242"/>
      <c r="WDY242"/>
      <c r="WDZ242"/>
      <c r="WEA242"/>
      <c r="WEB242"/>
      <c r="WEC242"/>
      <c r="WED242"/>
      <c r="WEE242"/>
      <c r="WEF242"/>
      <c r="WEG242"/>
      <c r="WEH242"/>
      <c r="WEI242"/>
      <c r="WEJ242"/>
      <c r="WEK242"/>
      <c r="WEL242"/>
      <c r="WEM242"/>
      <c r="WEN242"/>
      <c r="WEO242"/>
      <c r="WEP242"/>
      <c r="WEQ242"/>
      <c r="WER242"/>
      <c r="WES242"/>
      <c r="WET242"/>
      <c r="WEU242"/>
      <c r="WEV242"/>
      <c r="WEW242"/>
      <c r="WEX242"/>
      <c r="WEY242"/>
      <c r="WEZ242"/>
      <c r="WFA242"/>
      <c r="WFB242"/>
      <c r="WFC242"/>
      <c r="WFD242"/>
      <c r="WFE242"/>
      <c r="WFF242"/>
      <c r="WFG242"/>
      <c r="WFH242"/>
      <c r="WFI242"/>
      <c r="WFJ242"/>
      <c r="WFK242"/>
      <c r="WFL242"/>
      <c r="WFM242"/>
      <c r="WFN242"/>
      <c r="WFO242"/>
      <c r="WFP242"/>
      <c r="WFQ242"/>
      <c r="WFR242"/>
      <c r="WFS242"/>
      <c r="WFT242"/>
      <c r="WFU242"/>
      <c r="WFV242"/>
      <c r="WFW242"/>
      <c r="WFX242"/>
      <c r="WFY242"/>
      <c r="WFZ242"/>
      <c r="WGA242"/>
      <c r="WGB242"/>
      <c r="WGC242"/>
      <c r="WGD242"/>
      <c r="WGE242"/>
      <c r="WGF242"/>
      <c r="WGG242"/>
      <c r="WGH242"/>
      <c r="WGI242"/>
      <c r="WGJ242"/>
      <c r="WGK242"/>
      <c r="WGL242"/>
      <c r="WGM242"/>
      <c r="WGN242"/>
      <c r="WGO242"/>
      <c r="WGP242"/>
      <c r="WGQ242"/>
      <c r="WGR242"/>
      <c r="WGS242"/>
      <c r="WGT242"/>
      <c r="WGU242"/>
      <c r="WGV242"/>
      <c r="WGW242"/>
      <c r="WGX242"/>
      <c r="WGY242"/>
      <c r="WGZ242"/>
      <c r="WHA242"/>
      <c r="WHB242"/>
      <c r="WHC242"/>
      <c r="WHD242"/>
      <c r="WHE242"/>
      <c r="WHF242"/>
      <c r="WHG242"/>
      <c r="WHH242"/>
      <c r="WHI242"/>
      <c r="WHJ242"/>
      <c r="WHK242"/>
      <c r="WHL242"/>
      <c r="WHM242"/>
      <c r="WHN242"/>
      <c r="WHO242"/>
      <c r="WHP242"/>
      <c r="WHQ242"/>
      <c r="WHR242"/>
      <c r="WHS242"/>
      <c r="WHT242"/>
      <c r="WHU242"/>
      <c r="WHV242"/>
      <c r="WHW242"/>
      <c r="WHX242"/>
      <c r="WHY242"/>
      <c r="WHZ242"/>
      <c r="WIA242"/>
      <c r="WIB242"/>
      <c r="WIC242"/>
      <c r="WID242"/>
      <c r="WIE242"/>
      <c r="WIF242"/>
      <c r="WIG242"/>
      <c r="WIH242"/>
      <c r="WII242"/>
      <c r="WIJ242"/>
      <c r="WIK242"/>
      <c r="WIL242"/>
      <c r="WIM242"/>
      <c r="WIN242"/>
      <c r="WIO242"/>
      <c r="WIP242"/>
      <c r="WIQ242"/>
      <c r="WIR242"/>
      <c r="WIS242"/>
      <c r="WIT242"/>
      <c r="WIU242"/>
      <c r="WIV242"/>
      <c r="WIW242"/>
      <c r="WIX242"/>
      <c r="WIY242"/>
      <c r="WIZ242"/>
      <c r="WJA242"/>
      <c r="WJB242"/>
      <c r="WJC242"/>
      <c r="WJD242"/>
      <c r="WJE242"/>
      <c r="WJF242"/>
      <c r="WJG242"/>
      <c r="WJH242"/>
      <c r="WJI242"/>
      <c r="WJJ242"/>
      <c r="WJK242"/>
      <c r="WJL242"/>
      <c r="WJM242"/>
      <c r="WJN242"/>
      <c r="WJO242"/>
      <c r="WJP242"/>
      <c r="WJQ242"/>
      <c r="WJR242"/>
      <c r="WJS242"/>
      <c r="WJT242"/>
      <c r="WJU242"/>
      <c r="WJV242"/>
      <c r="WJW242"/>
      <c r="WJX242"/>
      <c r="WJY242"/>
      <c r="WJZ242"/>
      <c r="WKA242"/>
      <c r="WKB242"/>
      <c r="WKC242"/>
      <c r="WKD242"/>
      <c r="WKE242"/>
      <c r="WKF242"/>
      <c r="WKG242"/>
      <c r="WKH242"/>
      <c r="WKI242"/>
      <c r="WKJ242"/>
      <c r="WKK242"/>
      <c r="WKL242"/>
      <c r="WKM242"/>
      <c r="WKN242"/>
      <c r="WKO242"/>
      <c r="WKP242"/>
      <c r="WKQ242"/>
      <c r="WKR242"/>
      <c r="WKS242"/>
      <c r="WKT242"/>
      <c r="WKU242"/>
      <c r="WKV242"/>
      <c r="WKW242"/>
      <c r="WKX242"/>
      <c r="WKY242"/>
      <c r="WKZ242"/>
      <c r="WLA242"/>
      <c r="WLB242"/>
      <c r="WLC242"/>
      <c r="WLD242"/>
      <c r="WLE242"/>
      <c r="WLF242"/>
      <c r="WLG242"/>
      <c r="WLH242"/>
      <c r="WLI242"/>
      <c r="WLJ242"/>
      <c r="WLK242"/>
      <c r="WLL242"/>
      <c r="WLM242"/>
      <c r="WLN242"/>
      <c r="WLO242"/>
      <c r="WLP242"/>
      <c r="WLQ242"/>
      <c r="WLR242"/>
      <c r="WLS242"/>
      <c r="WLT242"/>
      <c r="WLU242"/>
      <c r="WLV242"/>
      <c r="WLW242"/>
      <c r="WLX242"/>
      <c r="WLY242"/>
      <c r="WLZ242"/>
      <c r="WMA242"/>
      <c r="WMB242"/>
      <c r="WMC242"/>
      <c r="WMD242"/>
      <c r="WME242"/>
      <c r="WMF242"/>
      <c r="WMG242"/>
      <c r="WMH242"/>
      <c r="WMI242"/>
      <c r="WMJ242"/>
      <c r="WMK242"/>
      <c r="WML242"/>
      <c r="WMM242"/>
      <c r="WMN242"/>
      <c r="WMO242"/>
      <c r="WMP242"/>
      <c r="WMQ242"/>
      <c r="WMR242"/>
      <c r="WMS242"/>
      <c r="WMT242"/>
      <c r="WMU242"/>
      <c r="WMV242"/>
      <c r="WMW242"/>
      <c r="WMX242"/>
      <c r="WMY242"/>
      <c r="WMZ242"/>
      <c r="WNA242"/>
      <c r="WNB242"/>
      <c r="WNC242"/>
      <c r="WND242"/>
      <c r="WNE242"/>
      <c r="WNF242"/>
      <c r="WNG242"/>
      <c r="WNH242"/>
      <c r="WNI242"/>
      <c r="WNJ242"/>
      <c r="WNK242"/>
      <c r="WNL242"/>
      <c r="WNM242"/>
      <c r="WNN242"/>
      <c r="WNO242"/>
      <c r="WNP242"/>
      <c r="WNQ242"/>
      <c r="WNR242"/>
      <c r="WNS242"/>
      <c r="WNT242"/>
      <c r="WNU242"/>
      <c r="WNV242"/>
      <c r="WNW242"/>
      <c r="WNX242"/>
      <c r="WNY242"/>
      <c r="WNZ242"/>
      <c r="WOA242"/>
      <c r="WOB242"/>
      <c r="WOC242"/>
      <c r="WOD242"/>
      <c r="WOE242"/>
      <c r="WOF242"/>
      <c r="WOG242"/>
      <c r="WOH242"/>
      <c r="WOI242"/>
      <c r="WOJ242"/>
      <c r="WOK242"/>
      <c r="WOL242"/>
      <c r="WOM242"/>
      <c r="WON242"/>
      <c r="WOO242"/>
      <c r="WOP242"/>
      <c r="WOQ242"/>
      <c r="WOR242"/>
      <c r="WOS242"/>
      <c r="WOT242"/>
      <c r="WOU242"/>
      <c r="WOV242"/>
      <c r="WOW242"/>
      <c r="WOX242"/>
      <c r="WOY242"/>
      <c r="WOZ242"/>
      <c r="WPA242"/>
      <c r="WPB242"/>
      <c r="WPC242"/>
      <c r="WPD242"/>
      <c r="WPE242"/>
      <c r="WPF242"/>
      <c r="WPG242"/>
      <c r="WPH242"/>
      <c r="WPI242"/>
      <c r="WPJ242"/>
      <c r="WPK242"/>
      <c r="WPL242"/>
      <c r="WPM242"/>
      <c r="WPN242"/>
      <c r="WPO242"/>
      <c r="WPP242"/>
      <c r="WPQ242"/>
      <c r="WPR242"/>
      <c r="WPS242"/>
      <c r="WPT242"/>
      <c r="WPU242"/>
      <c r="WPV242"/>
      <c r="WPW242"/>
      <c r="WPX242"/>
      <c r="WPY242"/>
      <c r="WPZ242"/>
      <c r="WQA242"/>
      <c r="WQB242"/>
      <c r="WQC242"/>
      <c r="WQD242"/>
      <c r="WQE242"/>
      <c r="WQF242"/>
      <c r="WQG242"/>
      <c r="WQH242"/>
      <c r="WQI242"/>
      <c r="WQJ242"/>
      <c r="WQK242"/>
      <c r="WQL242"/>
      <c r="WQM242"/>
      <c r="WQN242"/>
      <c r="WQO242"/>
      <c r="WQP242"/>
      <c r="WQQ242"/>
      <c r="WQR242"/>
      <c r="WQS242"/>
      <c r="WQT242"/>
      <c r="WQU242"/>
      <c r="WQV242"/>
      <c r="WQW242"/>
      <c r="WQX242"/>
      <c r="WQY242"/>
      <c r="WQZ242"/>
      <c r="WRA242"/>
      <c r="WRB242"/>
      <c r="WRC242"/>
      <c r="WRD242"/>
      <c r="WRE242"/>
      <c r="WRF242"/>
      <c r="WRG242"/>
      <c r="WRH242"/>
      <c r="WRI242"/>
      <c r="WRJ242"/>
      <c r="WRK242"/>
      <c r="WRL242"/>
      <c r="WRM242"/>
      <c r="WRN242"/>
      <c r="WRO242"/>
      <c r="WRP242"/>
      <c r="WRQ242"/>
      <c r="WRR242"/>
      <c r="WRS242"/>
      <c r="WRT242"/>
      <c r="WRU242"/>
      <c r="WRV242"/>
      <c r="WRW242"/>
      <c r="WRX242"/>
      <c r="WRY242"/>
      <c r="WRZ242"/>
      <c r="WSA242"/>
      <c r="WSB242"/>
      <c r="WSC242"/>
      <c r="WSD242"/>
      <c r="WSE242"/>
      <c r="WSF242"/>
      <c r="WSG242"/>
      <c r="WSH242"/>
      <c r="WSI242"/>
      <c r="WSJ242"/>
      <c r="WSK242"/>
      <c r="WSL242"/>
      <c r="WSM242"/>
      <c r="WSN242"/>
      <c r="WSO242"/>
      <c r="WSP242"/>
      <c r="WSQ242"/>
      <c r="WSR242"/>
      <c r="WSS242"/>
      <c r="WST242"/>
      <c r="WSU242"/>
      <c r="WSV242"/>
      <c r="WSW242"/>
      <c r="WSX242"/>
      <c r="WSY242"/>
      <c r="WSZ242"/>
      <c r="WTA242"/>
      <c r="WTB242"/>
      <c r="WTC242"/>
      <c r="WTD242"/>
      <c r="WTE242"/>
      <c r="WTF242"/>
      <c r="WTG242"/>
      <c r="WTH242"/>
      <c r="WTI242"/>
      <c r="WTJ242"/>
      <c r="WTK242"/>
      <c r="WTL242"/>
      <c r="WTM242"/>
      <c r="WTN242"/>
      <c r="WTO242"/>
      <c r="WTP242"/>
      <c r="WTQ242"/>
      <c r="WTR242"/>
      <c r="WTS242"/>
      <c r="WTT242"/>
      <c r="WTU242"/>
      <c r="WTV242"/>
      <c r="WTW242"/>
      <c r="WTX242"/>
      <c r="WTY242"/>
      <c r="WTZ242"/>
      <c r="WUA242"/>
      <c r="WUB242"/>
      <c r="WUC242"/>
      <c r="WUD242"/>
      <c r="WUE242"/>
      <c r="WUF242"/>
      <c r="WUG242"/>
      <c r="WUH242"/>
      <c r="WUI242"/>
      <c r="WUJ242"/>
      <c r="WUK242"/>
      <c r="WUL242"/>
      <c r="WUM242"/>
      <c r="WUN242"/>
      <c r="WUO242"/>
      <c r="WUP242"/>
      <c r="WUQ242"/>
      <c r="WUR242"/>
      <c r="WUS242"/>
      <c r="WUT242"/>
      <c r="WUU242"/>
      <c r="WUV242"/>
      <c r="WUW242"/>
      <c r="WUX242"/>
      <c r="WUY242"/>
      <c r="WUZ242"/>
      <c r="WVA242"/>
      <c r="WVB242"/>
      <c r="WVC242"/>
      <c r="WVD242"/>
      <c r="WVE242"/>
      <c r="WVF242"/>
      <c r="WVG242"/>
      <c r="WVH242"/>
      <c r="WVI242"/>
      <c r="WVJ242"/>
      <c r="WVK242"/>
      <c r="WVL242"/>
      <c r="WVM242"/>
      <c r="WVN242"/>
      <c r="WVO242"/>
      <c r="WVP242"/>
      <c r="WVQ242"/>
      <c r="WVR242"/>
      <c r="WVS242"/>
      <c r="WVT242"/>
      <c r="WVU242"/>
      <c r="WVV242"/>
      <c r="WVW242"/>
      <c r="WVX242"/>
      <c r="WVY242"/>
      <c r="WVZ242"/>
      <c r="WWA242"/>
      <c r="WWB242"/>
      <c r="WWC242"/>
      <c r="WWD242"/>
      <c r="WWE242"/>
      <c r="WWF242"/>
      <c r="WWG242"/>
      <c r="WWH242"/>
      <c r="WWI242"/>
      <c r="WWJ242"/>
      <c r="WWK242"/>
      <c r="WWL242"/>
      <c r="WWM242"/>
      <c r="WWN242"/>
      <c r="WWO242"/>
      <c r="WWP242"/>
      <c r="WWQ242"/>
      <c r="WWR242"/>
      <c r="WWS242"/>
      <c r="WWT242"/>
      <c r="WWU242"/>
      <c r="WWV242"/>
      <c r="WWW242"/>
      <c r="WWX242"/>
      <c r="WWY242"/>
      <c r="WWZ242"/>
      <c r="WXA242"/>
      <c r="WXB242"/>
      <c r="WXC242"/>
      <c r="WXD242"/>
      <c r="WXE242"/>
      <c r="WXF242"/>
      <c r="WXG242"/>
      <c r="WXH242"/>
      <c r="WXI242"/>
      <c r="WXJ242"/>
      <c r="WXK242"/>
      <c r="WXL242"/>
      <c r="WXM242"/>
      <c r="WXN242"/>
      <c r="WXO242"/>
      <c r="WXP242"/>
      <c r="WXQ242"/>
      <c r="WXR242"/>
      <c r="WXS242"/>
      <c r="WXT242"/>
      <c r="WXU242"/>
      <c r="WXV242"/>
      <c r="WXW242"/>
      <c r="WXX242"/>
      <c r="WXY242"/>
      <c r="WXZ242"/>
      <c r="WYA242"/>
      <c r="WYB242"/>
      <c r="WYC242"/>
      <c r="WYD242"/>
      <c r="WYE242"/>
      <c r="WYF242"/>
      <c r="WYG242"/>
      <c r="WYH242"/>
      <c r="WYI242"/>
      <c r="WYJ242"/>
      <c r="WYK242"/>
      <c r="WYL242"/>
      <c r="WYM242"/>
      <c r="WYN242"/>
      <c r="WYO242"/>
      <c r="WYP242"/>
      <c r="WYQ242"/>
      <c r="WYR242"/>
      <c r="WYS242"/>
      <c r="WYT242"/>
      <c r="WYU242"/>
      <c r="WYV242"/>
      <c r="WYW242"/>
      <c r="WYX242"/>
      <c r="WYY242"/>
      <c r="WYZ242"/>
      <c r="WZA242"/>
      <c r="WZB242"/>
      <c r="WZC242"/>
      <c r="WZD242"/>
      <c r="WZE242"/>
      <c r="WZF242"/>
      <c r="WZG242"/>
      <c r="WZH242"/>
      <c r="WZI242"/>
      <c r="WZJ242"/>
      <c r="WZK242"/>
      <c r="WZL242"/>
      <c r="WZM242"/>
      <c r="WZN242"/>
      <c r="WZO242"/>
      <c r="WZP242"/>
      <c r="WZQ242"/>
      <c r="WZR242"/>
      <c r="WZS242"/>
      <c r="WZT242"/>
      <c r="WZU242"/>
      <c r="WZV242"/>
      <c r="WZW242"/>
      <c r="WZX242"/>
      <c r="WZY242"/>
      <c r="WZZ242"/>
      <c r="XAA242"/>
      <c r="XAB242"/>
      <c r="XAC242"/>
      <c r="XAD242"/>
      <c r="XAE242"/>
      <c r="XAF242"/>
      <c r="XAG242"/>
      <c r="XAH242"/>
      <c r="XAI242"/>
      <c r="XAJ242"/>
      <c r="XAK242"/>
      <c r="XAL242"/>
      <c r="XAM242"/>
      <c r="XAN242"/>
      <c r="XAO242"/>
      <c r="XAP242"/>
      <c r="XAQ242"/>
      <c r="XAR242"/>
      <c r="XAS242"/>
      <c r="XAT242"/>
      <c r="XAU242"/>
      <c r="XAV242"/>
      <c r="XAW242"/>
      <c r="XAX242"/>
      <c r="XAY242"/>
      <c r="XAZ242"/>
      <c r="XBA242"/>
      <c r="XBB242"/>
      <c r="XBC242"/>
      <c r="XBD242"/>
      <c r="XBE242"/>
      <c r="XBF242"/>
      <c r="XBG242"/>
      <c r="XBH242"/>
      <c r="XBI242"/>
      <c r="XBJ242"/>
      <c r="XBK242"/>
      <c r="XBL242"/>
      <c r="XBM242"/>
      <c r="XBN242"/>
      <c r="XBO242"/>
      <c r="XBP242"/>
      <c r="XBQ242"/>
      <c r="XBR242"/>
      <c r="XBS242"/>
      <c r="XBT242"/>
      <c r="XBU242"/>
      <c r="XBV242"/>
      <c r="XBW242"/>
      <c r="XBX242"/>
      <c r="XBY242"/>
      <c r="XBZ242"/>
      <c r="XCA242"/>
      <c r="XCB242"/>
      <c r="XCC242"/>
      <c r="XCD242"/>
      <c r="XCE242"/>
      <c r="XCF242"/>
      <c r="XCG242"/>
      <c r="XCH242"/>
      <c r="XCI242"/>
      <c r="XCJ242"/>
      <c r="XCK242"/>
      <c r="XCL242"/>
      <c r="XCM242"/>
      <c r="XCN242"/>
      <c r="XCO242"/>
      <c r="XCP242"/>
      <c r="XCQ242"/>
      <c r="XCR242"/>
      <c r="XCS242"/>
      <c r="XCT242"/>
      <c r="XCU242"/>
      <c r="XCV242"/>
      <c r="XCW242"/>
      <c r="XCX242"/>
      <c r="XCY242"/>
      <c r="XCZ242"/>
      <c r="XDA242"/>
      <c r="XDB242"/>
      <c r="XDC242"/>
      <c r="XDD242"/>
      <c r="XDE242"/>
      <c r="XDF242"/>
      <c r="XDG242"/>
      <c r="XDH242"/>
      <c r="XDI242"/>
      <c r="XDJ242"/>
      <c r="XDK242"/>
      <c r="XDL242"/>
      <c r="XDM242"/>
      <c r="XDN242"/>
      <c r="XDO242"/>
      <c r="XDP242"/>
      <c r="XDQ242"/>
      <c r="XDR242"/>
      <c r="XDS242"/>
      <c r="XDT242"/>
      <c r="XDU242"/>
      <c r="XDV242"/>
      <c r="XDW242"/>
      <c r="XDX242"/>
      <c r="XDY242"/>
      <c r="XDZ242"/>
      <c r="XEA242"/>
      <c r="XEB242"/>
      <c r="XEC242"/>
      <c r="XED242"/>
      <c r="XEE242"/>
      <c r="XEF242"/>
      <c r="XEG242"/>
      <c r="XEH242"/>
      <c r="XEI242"/>
      <c r="XEJ242"/>
      <c r="XEK242"/>
      <c r="XEL242"/>
      <c r="XEM242"/>
      <c r="XEN242"/>
      <c r="XEO242"/>
      <c r="XEP242"/>
      <c r="XEQ242"/>
      <c r="XER242"/>
      <c r="XES242"/>
      <c r="XET242"/>
      <c r="XEU242"/>
      <c r="XEV242"/>
      <c r="XEW242"/>
      <c r="XEX242"/>
      <c r="XEY242"/>
      <c r="XEZ242"/>
      <c r="XFA242"/>
      <c r="XFB242"/>
      <c r="XFC242"/>
      <c r="XFD242"/>
    </row>
    <row r="243" spans="2:16384" s="131" customFormat="1" x14ac:dyDescent="0.25">
      <c r="E243" s="175"/>
      <c r="F243" s="66" t="s">
        <v>51</v>
      </c>
      <c r="G243" s="139" t="s">
        <v>388</v>
      </c>
      <c r="H243" s="572"/>
      <c r="I243" s="572"/>
      <c r="J243" s="585">
        <f t="shared" ref="J243:AP243" si="50">J$78 * J213</f>
        <v>0</v>
      </c>
      <c r="K243" s="585">
        <f t="shared" si="50"/>
        <v>0</v>
      </c>
      <c r="L243" s="585">
        <f t="shared" si="50"/>
        <v>0</v>
      </c>
      <c r="M243" s="585">
        <f t="shared" si="50"/>
        <v>0</v>
      </c>
      <c r="N243" s="585">
        <f t="shared" si="50"/>
        <v>0</v>
      </c>
      <c r="O243" s="585">
        <f t="shared" si="50"/>
        <v>0</v>
      </c>
      <c r="P243" s="585">
        <f t="shared" si="50"/>
        <v>0</v>
      </c>
      <c r="Q243" s="585">
        <f t="shared" si="50"/>
        <v>0</v>
      </c>
      <c r="R243" s="585">
        <f t="shared" si="50"/>
        <v>0</v>
      </c>
      <c r="S243" s="585">
        <f t="shared" si="50"/>
        <v>0</v>
      </c>
      <c r="T243" s="585">
        <f t="shared" si="50"/>
        <v>0</v>
      </c>
      <c r="U243" s="585">
        <f t="shared" si="50"/>
        <v>0</v>
      </c>
      <c r="V243" s="585">
        <f t="shared" si="50"/>
        <v>0</v>
      </c>
      <c r="W243" s="585">
        <f t="shared" si="50"/>
        <v>0</v>
      </c>
      <c r="X243" s="585">
        <f t="shared" si="50"/>
        <v>0</v>
      </c>
      <c r="Y243" s="585">
        <f t="shared" si="50"/>
        <v>0</v>
      </c>
      <c r="Z243" s="585">
        <f t="shared" si="50"/>
        <v>0</v>
      </c>
      <c r="AA243" s="585">
        <f t="shared" si="50"/>
        <v>0</v>
      </c>
      <c r="AB243" s="585">
        <f t="shared" si="50"/>
        <v>0</v>
      </c>
      <c r="AC243" s="585">
        <f t="shared" si="50"/>
        <v>0</v>
      </c>
      <c r="AD243" s="585">
        <f t="shared" si="50"/>
        <v>0</v>
      </c>
      <c r="AE243" s="585">
        <f t="shared" si="50"/>
        <v>0</v>
      </c>
      <c r="AF243" s="585">
        <f t="shared" si="50"/>
        <v>0</v>
      </c>
      <c r="AG243" s="585">
        <f t="shared" si="50"/>
        <v>0</v>
      </c>
      <c r="AH243" s="585">
        <f t="shared" si="50"/>
        <v>0</v>
      </c>
      <c r="AI243" s="585">
        <f t="shared" si="50"/>
        <v>0</v>
      </c>
      <c r="AJ243" s="585">
        <f t="shared" si="50"/>
        <v>0</v>
      </c>
      <c r="AK243" s="585">
        <f t="shared" si="50"/>
        <v>0</v>
      </c>
      <c r="AL243" s="585">
        <f t="shared" si="50"/>
        <v>0</v>
      </c>
      <c r="AM243" s="585">
        <f t="shared" si="50"/>
        <v>0</v>
      </c>
      <c r="AN243" s="585">
        <f t="shared" si="50"/>
        <v>0</v>
      </c>
      <c r="AO243" s="585">
        <f t="shared" si="50"/>
        <v>0</v>
      </c>
      <c r="AP243" s="585">
        <f t="shared" si="50"/>
        <v>0</v>
      </c>
      <c r="AQ243" s="571"/>
      <c r="AR243" s="571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  <c r="FX243"/>
      <c r="FY243"/>
      <c r="FZ243"/>
      <c r="GA243"/>
      <c r="GB243"/>
      <c r="GC243"/>
      <c r="GD243"/>
      <c r="GE243"/>
      <c r="GF243"/>
      <c r="GG243"/>
      <c r="GH243"/>
      <c r="GI243"/>
      <c r="GJ243"/>
      <c r="GK243"/>
      <c r="GL243"/>
      <c r="GM243"/>
      <c r="GN243"/>
      <c r="GO243"/>
      <c r="GP243"/>
      <c r="GQ243"/>
      <c r="GR243"/>
      <c r="GS243"/>
      <c r="GT243"/>
      <c r="GU243"/>
      <c r="GV243"/>
      <c r="GW243"/>
      <c r="GX243"/>
      <c r="GY243"/>
      <c r="GZ243"/>
      <c r="HA243"/>
      <c r="HB243"/>
      <c r="HC243"/>
      <c r="HD243"/>
      <c r="HE243"/>
      <c r="HF243"/>
      <c r="HG243"/>
      <c r="HH243"/>
      <c r="HI243"/>
      <c r="HJ243"/>
      <c r="HK243"/>
      <c r="HL243"/>
      <c r="HM243"/>
      <c r="HN243"/>
      <c r="HO243"/>
      <c r="HP243"/>
      <c r="HQ243"/>
      <c r="HR243"/>
      <c r="HS243"/>
      <c r="HT243"/>
      <c r="HU243"/>
      <c r="HV243"/>
      <c r="HW243"/>
      <c r="HX243"/>
      <c r="HY243"/>
      <c r="HZ243"/>
      <c r="IA243"/>
      <c r="IB243"/>
      <c r="IC243"/>
      <c r="ID243"/>
      <c r="IE243"/>
      <c r="IF243"/>
      <c r="IG243"/>
      <c r="IH243"/>
      <c r="II243"/>
      <c r="IJ243"/>
      <c r="IK243"/>
      <c r="IL243"/>
      <c r="IM243"/>
      <c r="IN243"/>
      <c r="IO243"/>
      <c r="IP243"/>
      <c r="IQ243"/>
      <c r="IR243"/>
      <c r="IS243"/>
      <c r="IT243"/>
      <c r="IU243"/>
      <c r="IV243"/>
      <c r="IW243"/>
      <c r="IX243"/>
      <c r="IY243"/>
      <c r="IZ243"/>
      <c r="JA243"/>
      <c r="JB243"/>
      <c r="JC243"/>
      <c r="JD243"/>
      <c r="JE243"/>
      <c r="JF243"/>
      <c r="JG243"/>
      <c r="JH243"/>
      <c r="JI243"/>
      <c r="JJ243"/>
      <c r="JK243"/>
      <c r="JL243"/>
      <c r="JM243"/>
      <c r="JN243"/>
      <c r="JO243"/>
      <c r="JP243"/>
      <c r="JQ243"/>
      <c r="JR243"/>
      <c r="JS243"/>
      <c r="JT243"/>
      <c r="JU243"/>
      <c r="JV243"/>
      <c r="JW243"/>
      <c r="JX243"/>
      <c r="JY243"/>
      <c r="JZ243"/>
      <c r="KA243"/>
      <c r="KB243"/>
      <c r="KC243"/>
      <c r="KD243"/>
      <c r="KE243"/>
      <c r="KF243"/>
      <c r="KG243"/>
      <c r="KH243"/>
      <c r="KI243"/>
      <c r="KJ243"/>
      <c r="KK243"/>
      <c r="KL243"/>
      <c r="KM243"/>
      <c r="KN243"/>
      <c r="KO243"/>
      <c r="KP243"/>
      <c r="KQ243"/>
      <c r="KR243"/>
      <c r="KS243"/>
      <c r="KT243"/>
      <c r="KU243"/>
      <c r="KV243"/>
      <c r="KW243"/>
      <c r="KX243"/>
      <c r="KY243"/>
      <c r="KZ243"/>
      <c r="LA243"/>
      <c r="LB243"/>
      <c r="LC243"/>
      <c r="LD243"/>
      <c r="LE243"/>
      <c r="LF243"/>
      <c r="LG243"/>
      <c r="LH243"/>
      <c r="LI243"/>
      <c r="LJ243"/>
      <c r="LK243"/>
      <c r="LL243"/>
      <c r="LM243"/>
      <c r="LN243"/>
      <c r="LO243"/>
      <c r="LP243"/>
      <c r="LQ243"/>
      <c r="LR243"/>
      <c r="LS243"/>
      <c r="LT243"/>
      <c r="LU243"/>
      <c r="LV243"/>
      <c r="LW243"/>
      <c r="LX243"/>
      <c r="LY243"/>
      <c r="LZ243"/>
      <c r="MA243"/>
      <c r="MB243"/>
      <c r="MC243"/>
      <c r="MD243"/>
      <c r="ME243"/>
      <c r="MF243"/>
      <c r="MG243"/>
      <c r="MH243"/>
      <c r="MI243"/>
      <c r="MJ243"/>
      <c r="MK243"/>
      <c r="ML243"/>
      <c r="MM243"/>
      <c r="MN243"/>
      <c r="MO243"/>
      <c r="MP243"/>
      <c r="MQ243"/>
      <c r="MR243"/>
      <c r="MS243"/>
      <c r="MT243"/>
      <c r="MU243"/>
      <c r="MV243"/>
      <c r="MW243"/>
      <c r="MX243"/>
      <c r="MY243"/>
      <c r="MZ243"/>
      <c r="NA243"/>
      <c r="NB243"/>
      <c r="NC243"/>
      <c r="ND243"/>
      <c r="NE243"/>
      <c r="NF243"/>
      <c r="NG243"/>
      <c r="NH243"/>
      <c r="NI243"/>
      <c r="NJ243"/>
      <c r="NK243"/>
      <c r="NL243"/>
      <c r="NM243"/>
      <c r="NN243"/>
      <c r="NO243"/>
      <c r="NP243"/>
      <c r="NQ243"/>
      <c r="NR243"/>
      <c r="NS243"/>
      <c r="NT243"/>
      <c r="NU243"/>
      <c r="NV243"/>
      <c r="NW243"/>
      <c r="NX243"/>
      <c r="NY243"/>
      <c r="NZ243"/>
      <c r="OA243"/>
      <c r="OB243"/>
      <c r="OC243"/>
      <c r="OD243"/>
      <c r="OE243"/>
      <c r="OF243"/>
      <c r="OG243"/>
      <c r="OH243"/>
      <c r="OI243"/>
      <c r="OJ243"/>
      <c r="OK243"/>
      <c r="OL243"/>
      <c r="OM243"/>
      <c r="ON243"/>
      <c r="OO243"/>
      <c r="OP243"/>
      <c r="OQ243"/>
      <c r="OR243"/>
      <c r="OS243"/>
      <c r="OT243"/>
      <c r="OU243"/>
      <c r="OV243"/>
      <c r="OW243"/>
      <c r="OX243"/>
      <c r="OY243"/>
      <c r="OZ243"/>
      <c r="PA243"/>
      <c r="PB243"/>
      <c r="PC243"/>
      <c r="PD243"/>
      <c r="PE243"/>
      <c r="PF243"/>
      <c r="PG243"/>
      <c r="PH243"/>
      <c r="PI243"/>
      <c r="PJ243"/>
      <c r="PK243"/>
      <c r="PL243"/>
      <c r="PM243"/>
      <c r="PN243"/>
      <c r="PO243"/>
      <c r="PP243"/>
      <c r="PQ243"/>
      <c r="PR243"/>
      <c r="PS243"/>
      <c r="PT243"/>
      <c r="PU243"/>
      <c r="PV243"/>
      <c r="PW243"/>
      <c r="PX243"/>
      <c r="PY243"/>
      <c r="PZ243"/>
      <c r="QA243"/>
      <c r="QB243"/>
      <c r="QC243"/>
      <c r="QD243"/>
      <c r="QE243"/>
      <c r="QF243"/>
      <c r="QG243"/>
      <c r="QH243"/>
      <c r="QI243"/>
      <c r="QJ243"/>
      <c r="QK243"/>
      <c r="QL243"/>
      <c r="QM243"/>
      <c r="QN243"/>
      <c r="QO243"/>
      <c r="QP243"/>
      <c r="QQ243"/>
      <c r="QR243"/>
      <c r="QS243"/>
      <c r="QT243"/>
      <c r="QU243"/>
      <c r="QV243"/>
      <c r="QW243"/>
      <c r="QX243"/>
      <c r="QY243"/>
      <c r="QZ243"/>
      <c r="RA243"/>
      <c r="RB243"/>
      <c r="RC243"/>
      <c r="RD243"/>
      <c r="RE243"/>
      <c r="RF243"/>
      <c r="RG243"/>
      <c r="RH243"/>
      <c r="RI243"/>
      <c r="RJ243"/>
      <c r="RK243"/>
      <c r="RL243"/>
      <c r="RM243"/>
      <c r="RN243"/>
      <c r="RO243"/>
      <c r="RP243"/>
      <c r="RQ243"/>
      <c r="RR243"/>
      <c r="RS243"/>
      <c r="RT243"/>
      <c r="RU243"/>
      <c r="RV243"/>
      <c r="RW243"/>
      <c r="RX243"/>
      <c r="RY243"/>
      <c r="RZ243"/>
      <c r="SA243"/>
      <c r="SB243"/>
      <c r="SC243"/>
      <c r="SD243"/>
      <c r="SE243"/>
      <c r="SF243"/>
      <c r="SG243"/>
      <c r="SH243"/>
      <c r="SI243"/>
      <c r="SJ243"/>
      <c r="SK243"/>
      <c r="SL243"/>
      <c r="SM243"/>
      <c r="SN243"/>
      <c r="SO243"/>
      <c r="SP243"/>
      <c r="SQ243"/>
      <c r="SR243"/>
      <c r="SS243"/>
      <c r="ST243"/>
      <c r="SU243"/>
      <c r="SV243"/>
      <c r="SW243"/>
      <c r="SX243"/>
      <c r="SY243"/>
      <c r="SZ243"/>
      <c r="TA243"/>
      <c r="TB243"/>
      <c r="TC243"/>
      <c r="TD243"/>
      <c r="TE243"/>
      <c r="TF243"/>
      <c r="TG243"/>
      <c r="TH243"/>
      <c r="TI243"/>
      <c r="TJ243"/>
      <c r="TK243"/>
      <c r="TL243"/>
      <c r="TM243"/>
      <c r="TN243"/>
      <c r="TO243"/>
      <c r="TP243"/>
      <c r="TQ243"/>
      <c r="TR243"/>
      <c r="TS243"/>
      <c r="TT243"/>
      <c r="TU243"/>
      <c r="TV243"/>
      <c r="TW243"/>
      <c r="TX243"/>
      <c r="TY243"/>
      <c r="TZ243"/>
      <c r="UA243"/>
      <c r="UB243"/>
      <c r="UC243"/>
      <c r="UD243"/>
      <c r="UE243"/>
      <c r="UF243"/>
      <c r="UG243"/>
      <c r="UH243"/>
      <c r="UI243"/>
      <c r="UJ243"/>
      <c r="UK243"/>
      <c r="UL243"/>
      <c r="UM243"/>
      <c r="UN243"/>
      <c r="UO243"/>
      <c r="UP243"/>
      <c r="UQ243"/>
      <c r="UR243"/>
      <c r="US243"/>
      <c r="UT243"/>
      <c r="UU243"/>
      <c r="UV243"/>
      <c r="UW243"/>
      <c r="UX243"/>
      <c r="UY243"/>
      <c r="UZ243"/>
      <c r="VA243"/>
      <c r="VB243"/>
      <c r="VC243"/>
      <c r="VD243"/>
      <c r="VE243"/>
      <c r="VF243"/>
      <c r="VG243"/>
      <c r="VH243"/>
      <c r="VI243"/>
      <c r="VJ243"/>
      <c r="VK243"/>
      <c r="VL243"/>
      <c r="VM243"/>
      <c r="VN243"/>
      <c r="VO243"/>
      <c r="VP243"/>
      <c r="VQ243"/>
      <c r="VR243"/>
      <c r="VS243"/>
      <c r="VT243"/>
      <c r="VU243"/>
      <c r="VV243"/>
      <c r="VW243"/>
      <c r="VX243"/>
      <c r="VY243"/>
      <c r="VZ243"/>
      <c r="WA243"/>
      <c r="WB243"/>
      <c r="WC243"/>
      <c r="WD243"/>
      <c r="WE243"/>
      <c r="WF243"/>
      <c r="WG243"/>
      <c r="WH243"/>
      <c r="WI243"/>
      <c r="WJ243"/>
      <c r="WK243"/>
      <c r="WL243"/>
      <c r="WM243"/>
      <c r="WN243"/>
      <c r="WO243"/>
      <c r="WP243"/>
      <c r="WQ243"/>
      <c r="WR243"/>
      <c r="WS243"/>
      <c r="WT243"/>
      <c r="WU243"/>
      <c r="WV243"/>
      <c r="WW243"/>
      <c r="WX243"/>
      <c r="WY243"/>
      <c r="WZ243"/>
      <c r="XA243"/>
      <c r="XB243"/>
      <c r="XC243"/>
      <c r="XD243"/>
      <c r="XE243"/>
      <c r="XF243"/>
      <c r="XG243"/>
      <c r="XH243"/>
      <c r="XI243"/>
      <c r="XJ243"/>
      <c r="XK243"/>
      <c r="XL243"/>
      <c r="XM243"/>
      <c r="XN243"/>
      <c r="XO243"/>
      <c r="XP243"/>
      <c r="XQ243"/>
      <c r="XR243"/>
      <c r="XS243"/>
      <c r="XT243"/>
      <c r="XU243"/>
      <c r="XV243"/>
      <c r="XW243"/>
      <c r="XX243"/>
      <c r="XY243"/>
      <c r="XZ243"/>
      <c r="YA243"/>
      <c r="YB243"/>
      <c r="YC243"/>
      <c r="YD243"/>
      <c r="YE243"/>
      <c r="YF243"/>
      <c r="YG243"/>
      <c r="YH243"/>
      <c r="YI243"/>
      <c r="YJ243"/>
      <c r="YK243"/>
      <c r="YL243"/>
      <c r="YM243"/>
      <c r="YN243"/>
      <c r="YO243"/>
      <c r="YP243"/>
      <c r="YQ243"/>
      <c r="YR243"/>
      <c r="YS243"/>
      <c r="YT243"/>
      <c r="YU243"/>
      <c r="YV243"/>
      <c r="YW243"/>
      <c r="YX243"/>
      <c r="YY243"/>
      <c r="YZ243"/>
      <c r="ZA243"/>
      <c r="ZB243"/>
      <c r="ZC243"/>
      <c r="ZD243"/>
      <c r="ZE243"/>
      <c r="ZF243"/>
      <c r="ZG243"/>
      <c r="ZH243"/>
      <c r="ZI243"/>
      <c r="ZJ243"/>
      <c r="ZK243"/>
      <c r="ZL243"/>
      <c r="ZM243"/>
      <c r="ZN243"/>
      <c r="ZO243"/>
      <c r="ZP243"/>
      <c r="ZQ243"/>
      <c r="ZR243"/>
      <c r="ZS243"/>
      <c r="ZT243"/>
      <c r="ZU243"/>
      <c r="ZV243"/>
      <c r="ZW243"/>
      <c r="ZX243"/>
      <c r="ZY243"/>
      <c r="ZZ243"/>
      <c r="AAA243"/>
      <c r="AAB243"/>
      <c r="AAC243"/>
      <c r="AAD243"/>
      <c r="AAE243"/>
      <c r="AAF243"/>
      <c r="AAG243"/>
      <c r="AAH243"/>
      <c r="AAI243"/>
      <c r="AAJ243"/>
      <c r="AAK243"/>
      <c r="AAL243"/>
      <c r="AAM243"/>
      <c r="AAN243"/>
      <c r="AAO243"/>
      <c r="AAP243"/>
      <c r="AAQ243"/>
      <c r="AAR243"/>
      <c r="AAS243"/>
      <c r="AAT243"/>
      <c r="AAU243"/>
      <c r="AAV243"/>
      <c r="AAW243"/>
      <c r="AAX243"/>
      <c r="AAY243"/>
      <c r="AAZ243"/>
      <c r="ABA243"/>
      <c r="ABB243"/>
      <c r="ABC243"/>
      <c r="ABD243"/>
      <c r="ABE243"/>
      <c r="ABF243"/>
      <c r="ABG243"/>
      <c r="ABH243"/>
      <c r="ABI243"/>
      <c r="ABJ243"/>
      <c r="ABK243"/>
      <c r="ABL243"/>
      <c r="ABM243"/>
      <c r="ABN243"/>
      <c r="ABO243"/>
      <c r="ABP243"/>
      <c r="ABQ243"/>
      <c r="ABR243"/>
      <c r="ABS243"/>
      <c r="ABT243"/>
      <c r="ABU243"/>
      <c r="ABV243"/>
      <c r="ABW243"/>
      <c r="ABX243"/>
      <c r="ABY243"/>
      <c r="ABZ243"/>
      <c r="ACA243"/>
      <c r="ACB243"/>
      <c r="ACC243"/>
      <c r="ACD243"/>
      <c r="ACE243"/>
      <c r="ACF243"/>
      <c r="ACG243"/>
      <c r="ACH243"/>
      <c r="ACI243"/>
      <c r="ACJ243"/>
      <c r="ACK243"/>
      <c r="ACL243"/>
      <c r="ACM243"/>
      <c r="ACN243"/>
      <c r="ACO243"/>
      <c r="ACP243"/>
      <c r="ACQ243"/>
      <c r="ACR243"/>
      <c r="ACS243"/>
      <c r="ACT243"/>
      <c r="ACU243"/>
      <c r="ACV243"/>
      <c r="ACW243"/>
      <c r="ACX243"/>
      <c r="ACY243"/>
      <c r="ACZ243"/>
      <c r="ADA243"/>
      <c r="ADB243"/>
      <c r="ADC243"/>
      <c r="ADD243"/>
      <c r="ADE243"/>
      <c r="ADF243"/>
      <c r="ADG243"/>
      <c r="ADH243"/>
      <c r="ADI243"/>
      <c r="ADJ243"/>
      <c r="ADK243"/>
      <c r="ADL243"/>
      <c r="ADM243"/>
      <c r="ADN243"/>
      <c r="ADO243"/>
      <c r="ADP243"/>
      <c r="ADQ243"/>
      <c r="ADR243"/>
      <c r="ADS243"/>
      <c r="ADT243"/>
      <c r="ADU243"/>
      <c r="ADV243"/>
      <c r="ADW243"/>
      <c r="ADX243"/>
      <c r="ADY243"/>
      <c r="ADZ243"/>
      <c r="AEA243"/>
      <c r="AEB243"/>
      <c r="AEC243"/>
      <c r="AED243"/>
      <c r="AEE243"/>
      <c r="AEF243"/>
      <c r="AEG243"/>
      <c r="AEH243"/>
      <c r="AEI243"/>
      <c r="AEJ243"/>
      <c r="AEK243"/>
      <c r="AEL243"/>
      <c r="AEM243"/>
      <c r="AEN243"/>
      <c r="AEO243"/>
      <c r="AEP243"/>
      <c r="AEQ243"/>
      <c r="AER243"/>
      <c r="AES243"/>
      <c r="AET243"/>
      <c r="AEU243"/>
      <c r="AEV243"/>
      <c r="AEW243"/>
      <c r="AEX243"/>
      <c r="AEY243"/>
      <c r="AEZ243"/>
      <c r="AFA243"/>
      <c r="AFB243"/>
      <c r="AFC243"/>
      <c r="AFD243"/>
      <c r="AFE243"/>
      <c r="AFF243"/>
      <c r="AFG243"/>
      <c r="AFH243"/>
      <c r="AFI243"/>
      <c r="AFJ243"/>
      <c r="AFK243"/>
      <c r="AFL243"/>
      <c r="AFM243"/>
      <c r="AFN243"/>
      <c r="AFO243"/>
      <c r="AFP243"/>
      <c r="AFQ243"/>
      <c r="AFR243"/>
      <c r="AFS243"/>
      <c r="AFT243"/>
      <c r="AFU243"/>
      <c r="AFV243"/>
      <c r="AFW243"/>
      <c r="AFX243"/>
      <c r="AFY243"/>
      <c r="AFZ243"/>
      <c r="AGA243"/>
      <c r="AGB243"/>
      <c r="AGC243"/>
      <c r="AGD243"/>
      <c r="AGE243"/>
      <c r="AGF243"/>
      <c r="AGG243"/>
      <c r="AGH243"/>
      <c r="AGI243"/>
      <c r="AGJ243"/>
      <c r="AGK243"/>
      <c r="AGL243"/>
      <c r="AGM243"/>
      <c r="AGN243"/>
      <c r="AGO243"/>
      <c r="AGP243"/>
      <c r="AGQ243"/>
      <c r="AGR243"/>
      <c r="AGS243"/>
      <c r="AGT243"/>
      <c r="AGU243"/>
      <c r="AGV243"/>
      <c r="AGW243"/>
      <c r="AGX243"/>
      <c r="AGY243"/>
      <c r="AGZ243"/>
      <c r="AHA243"/>
      <c r="AHB243"/>
      <c r="AHC243"/>
      <c r="AHD243"/>
      <c r="AHE243"/>
      <c r="AHF243"/>
      <c r="AHG243"/>
      <c r="AHH243"/>
      <c r="AHI243"/>
      <c r="AHJ243"/>
      <c r="AHK243"/>
      <c r="AHL243"/>
      <c r="AHM243"/>
      <c r="AHN243"/>
      <c r="AHO243"/>
      <c r="AHP243"/>
      <c r="AHQ243"/>
      <c r="AHR243"/>
      <c r="AHS243"/>
      <c r="AHT243"/>
      <c r="AHU243"/>
      <c r="AHV243"/>
      <c r="AHW243"/>
      <c r="AHX243"/>
      <c r="AHY243"/>
      <c r="AHZ243"/>
      <c r="AIA243"/>
      <c r="AIB243"/>
      <c r="AIC243"/>
      <c r="AID243"/>
      <c r="AIE243"/>
      <c r="AIF243"/>
      <c r="AIG243"/>
      <c r="AIH243"/>
      <c r="AII243"/>
      <c r="AIJ243"/>
      <c r="AIK243"/>
      <c r="AIL243"/>
      <c r="AIM243"/>
      <c r="AIN243"/>
      <c r="AIO243"/>
      <c r="AIP243"/>
      <c r="AIQ243"/>
      <c r="AIR243"/>
      <c r="AIS243"/>
      <c r="AIT243"/>
      <c r="AIU243"/>
      <c r="AIV243"/>
      <c r="AIW243"/>
      <c r="AIX243"/>
      <c r="AIY243"/>
      <c r="AIZ243"/>
      <c r="AJA243"/>
      <c r="AJB243"/>
      <c r="AJC243"/>
      <c r="AJD243"/>
      <c r="AJE243"/>
      <c r="AJF243"/>
      <c r="AJG243"/>
      <c r="AJH243"/>
      <c r="AJI243"/>
      <c r="AJJ243"/>
      <c r="AJK243"/>
      <c r="AJL243"/>
      <c r="AJM243"/>
      <c r="AJN243"/>
      <c r="AJO243"/>
      <c r="AJP243"/>
      <c r="AJQ243"/>
      <c r="AJR243"/>
      <c r="AJS243"/>
      <c r="AJT243"/>
      <c r="AJU243"/>
      <c r="AJV243"/>
      <c r="AJW243"/>
      <c r="AJX243"/>
      <c r="AJY243"/>
      <c r="AJZ243"/>
      <c r="AKA243"/>
      <c r="AKB243"/>
      <c r="AKC243"/>
      <c r="AKD243"/>
      <c r="AKE243"/>
      <c r="AKF243"/>
      <c r="AKG243"/>
      <c r="AKH243"/>
      <c r="AKI243"/>
      <c r="AKJ243"/>
      <c r="AKK243"/>
      <c r="AKL243"/>
      <c r="AKM243"/>
      <c r="AKN243"/>
      <c r="AKO243"/>
      <c r="AKP243"/>
      <c r="AKQ243"/>
      <c r="AKR243"/>
      <c r="AKS243"/>
      <c r="AKT243"/>
      <c r="AKU243"/>
      <c r="AKV243"/>
      <c r="AKW243"/>
      <c r="AKX243"/>
      <c r="AKY243"/>
      <c r="AKZ243"/>
      <c r="ALA243"/>
      <c r="ALB243"/>
      <c r="ALC243"/>
      <c r="ALD243"/>
      <c r="ALE243"/>
      <c r="ALF243"/>
      <c r="ALG243"/>
      <c r="ALH243"/>
      <c r="ALI243"/>
      <c r="ALJ243"/>
      <c r="ALK243"/>
      <c r="ALL243"/>
      <c r="ALM243"/>
      <c r="ALN243"/>
      <c r="ALO243"/>
      <c r="ALP243"/>
      <c r="ALQ243"/>
      <c r="ALR243"/>
      <c r="ALS243"/>
      <c r="ALT243"/>
      <c r="ALU243"/>
      <c r="ALV243"/>
      <c r="ALW243"/>
      <c r="ALX243"/>
      <c r="ALY243"/>
      <c r="ALZ243"/>
      <c r="AMA243"/>
      <c r="AMB243"/>
      <c r="AMC243"/>
      <c r="AMD243"/>
      <c r="AME243"/>
      <c r="AMF243"/>
      <c r="AMG243"/>
      <c r="AMH243"/>
      <c r="AMI243"/>
      <c r="AMJ243"/>
      <c r="AMK243"/>
      <c r="AML243"/>
      <c r="AMM243"/>
      <c r="AMN243"/>
      <c r="AMO243"/>
      <c r="AMP243"/>
      <c r="AMQ243"/>
      <c r="AMR243"/>
      <c r="AMS243"/>
      <c r="AMT243"/>
      <c r="AMU243"/>
      <c r="AMV243"/>
      <c r="AMW243"/>
      <c r="AMX243"/>
      <c r="AMY243"/>
      <c r="AMZ243"/>
      <c r="ANA243"/>
      <c r="ANB243"/>
      <c r="ANC243"/>
      <c r="AND243"/>
      <c r="ANE243"/>
      <c r="ANF243"/>
      <c r="ANG243"/>
      <c r="ANH243"/>
      <c r="ANI243"/>
      <c r="ANJ243"/>
      <c r="ANK243"/>
      <c r="ANL243"/>
      <c r="ANM243"/>
      <c r="ANN243"/>
      <c r="ANO243"/>
      <c r="ANP243"/>
      <c r="ANQ243"/>
      <c r="ANR243"/>
      <c r="ANS243"/>
      <c r="ANT243"/>
      <c r="ANU243"/>
      <c r="ANV243"/>
      <c r="ANW243"/>
      <c r="ANX243"/>
      <c r="ANY243"/>
      <c r="ANZ243"/>
      <c r="AOA243"/>
      <c r="AOB243"/>
      <c r="AOC243"/>
      <c r="AOD243"/>
      <c r="AOE243"/>
      <c r="AOF243"/>
      <c r="AOG243"/>
      <c r="AOH243"/>
      <c r="AOI243"/>
      <c r="AOJ243"/>
      <c r="AOK243"/>
      <c r="AOL243"/>
      <c r="AOM243"/>
      <c r="AON243"/>
      <c r="AOO243"/>
      <c r="AOP243"/>
      <c r="AOQ243"/>
      <c r="AOR243"/>
      <c r="AOS243"/>
      <c r="AOT243"/>
      <c r="AOU243"/>
      <c r="AOV243"/>
      <c r="AOW243"/>
      <c r="AOX243"/>
      <c r="AOY243"/>
      <c r="AOZ243"/>
      <c r="APA243"/>
      <c r="APB243"/>
      <c r="APC243"/>
      <c r="APD243"/>
      <c r="APE243"/>
      <c r="APF243"/>
      <c r="APG243"/>
      <c r="APH243"/>
      <c r="API243"/>
      <c r="APJ243"/>
      <c r="APK243"/>
      <c r="APL243"/>
      <c r="APM243"/>
      <c r="APN243"/>
      <c r="APO243"/>
      <c r="APP243"/>
      <c r="APQ243"/>
      <c r="APR243"/>
      <c r="APS243"/>
      <c r="APT243"/>
      <c r="APU243"/>
      <c r="APV243"/>
      <c r="APW243"/>
      <c r="APX243"/>
      <c r="APY243"/>
      <c r="APZ243"/>
      <c r="AQA243"/>
      <c r="AQB243"/>
      <c r="AQC243"/>
      <c r="AQD243"/>
      <c r="AQE243"/>
      <c r="AQF243"/>
      <c r="AQG243"/>
      <c r="AQH243"/>
      <c r="AQI243"/>
      <c r="AQJ243"/>
      <c r="AQK243"/>
      <c r="AQL243"/>
      <c r="AQM243"/>
      <c r="AQN243"/>
      <c r="AQO243"/>
      <c r="AQP243"/>
      <c r="AQQ243"/>
      <c r="AQR243"/>
      <c r="AQS243"/>
      <c r="AQT243"/>
      <c r="AQU243"/>
      <c r="AQV243"/>
      <c r="AQW243"/>
      <c r="AQX243"/>
      <c r="AQY243"/>
      <c r="AQZ243"/>
      <c r="ARA243"/>
      <c r="ARB243"/>
      <c r="ARC243"/>
      <c r="ARD243"/>
      <c r="ARE243"/>
      <c r="ARF243"/>
      <c r="ARG243"/>
      <c r="ARH243"/>
      <c r="ARI243"/>
      <c r="ARJ243"/>
      <c r="ARK243"/>
      <c r="ARL243"/>
      <c r="ARM243"/>
      <c r="ARN243"/>
      <c r="ARO243"/>
      <c r="ARP243"/>
      <c r="ARQ243"/>
      <c r="ARR243"/>
      <c r="ARS243"/>
      <c r="ART243"/>
      <c r="ARU243"/>
      <c r="ARV243"/>
      <c r="ARW243"/>
      <c r="ARX243"/>
      <c r="ARY243"/>
      <c r="ARZ243"/>
      <c r="ASA243"/>
      <c r="ASB243"/>
      <c r="ASC243"/>
      <c r="ASD243"/>
      <c r="ASE243"/>
      <c r="ASF243"/>
      <c r="ASG243"/>
      <c r="ASH243"/>
      <c r="ASI243"/>
      <c r="ASJ243"/>
      <c r="ASK243"/>
      <c r="ASL243"/>
      <c r="ASM243"/>
      <c r="ASN243"/>
      <c r="ASO243"/>
      <c r="ASP243"/>
      <c r="ASQ243"/>
      <c r="ASR243"/>
      <c r="ASS243"/>
      <c r="AST243"/>
      <c r="ASU243"/>
      <c r="ASV243"/>
      <c r="ASW243"/>
      <c r="ASX243"/>
      <c r="ASY243"/>
      <c r="ASZ243"/>
      <c r="ATA243"/>
      <c r="ATB243"/>
      <c r="ATC243"/>
      <c r="ATD243"/>
      <c r="ATE243"/>
      <c r="ATF243"/>
      <c r="ATG243"/>
      <c r="ATH243"/>
      <c r="ATI243"/>
      <c r="ATJ243"/>
      <c r="ATK243"/>
      <c r="ATL243"/>
      <c r="ATM243"/>
      <c r="ATN243"/>
      <c r="ATO243"/>
      <c r="ATP243"/>
      <c r="ATQ243"/>
      <c r="ATR243"/>
      <c r="ATS243"/>
      <c r="ATT243"/>
      <c r="ATU243"/>
      <c r="ATV243"/>
      <c r="ATW243"/>
      <c r="ATX243"/>
      <c r="ATY243"/>
      <c r="ATZ243"/>
      <c r="AUA243"/>
      <c r="AUB243"/>
      <c r="AUC243"/>
      <c r="AUD243"/>
      <c r="AUE243"/>
      <c r="AUF243"/>
      <c r="AUG243"/>
      <c r="AUH243"/>
      <c r="AUI243"/>
      <c r="AUJ243"/>
      <c r="AUK243"/>
      <c r="AUL243"/>
      <c r="AUM243"/>
      <c r="AUN243"/>
      <c r="AUO243"/>
      <c r="AUP243"/>
      <c r="AUQ243"/>
      <c r="AUR243"/>
      <c r="AUS243"/>
      <c r="AUT243"/>
      <c r="AUU243"/>
      <c r="AUV243"/>
      <c r="AUW243"/>
      <c r="AUX243"/>
      <c r="AUY243"/>
      <c r="AUZ243"/>
      <c r="AVA243"/>
      <c r="AVB243"/>
      <c r="AVC243"/>
      <c r="AVD243"/>
      <c r="AVE243"/>
      <c r="AVF243"/>
      <c r="AVG243"/>
      <c r="AVH243"/>
      <c r="AVI243"/>
      <c r="AVJ243"/>
      <c r="AVK243"/>
      <c r="AVL243"/>
      <c r="AVM243"/>
      <c r="AVN243"/>
      <c r="AVO243"/>
      <c r="AVP243"/>
      <c r="AVQ243"/>
      <c r="AVR243"/>
      <c r="AVS243"/>
      <c r="AVT243"/>
      <c r="AVU243"/>
      <c r="AVV243"/>
      <c r="AVW243"/>
      <c r="AVX243"/>
      <c r="AVY243"/>
      <c r="AVZ243"/>
      <c r="AWA243"/>
      <c r="AWB243"/>
      <c r="AWC243"/>
      <c r="AWD243"/>
      <c r="AWE243"/>
      <c r="AWF243"/>
      <c r="AWG243"/>
      <c r="AWH243"/>
      <c r="AWI243"/>
      <c r="AWJ243"/>
      <c r="AWK243"/>
      <c r="AWL243"/>
      <c r="AWM243"/>
      <c r="AWN243"/>
      <c r="AWO243"/>
      <c r="AWP243"/>
      <c r="AWQ243"/>
      <c r="AWR243"/>
      <c r="AWS243"/>
      <c r="AWT243"/>
      <c r="AWU243"/>
      <c r="AWV243"/>
      <c r="AWW243"/>
      <c r="AWX243"/>
      <c r="AWY243"/>
      <c r="AWZ243"/>
      <c r="AXA243"/>
      <c r="AXB243"/>
      <c r="AXC243"/>
      <c r="AXD243"/>
      <c r="AXE243"/>
      <c r="AXF243"/>
      <c r="AXG243"/>
      <c r="AXH243"/>
      <c r="AXI243"/>
      <c r="AXJ243"/>
      <c r="AXK243"/>
      <c r="AXL243"/>
      <c r="AXM243"/>
      <c r="AXN243"/>
      <c r="AXO243"/>
      <c r="AXP243"/>
      <c r="AXQ243"/>
      <c r="AXR243"/>
      <c r="AXS243"/>
      <c r="AXT243"/>
      <c r="AXU243"/>
      <c r="AXV243"/>
      <c r="AXW243"/>
      <c r="AXX243"/>
      <c r="AXY243"/>
      <c r="AXZ243"/>
      <c r="AYA243"/>
      <c r="AYB243"/>
      <c r="AYC243"/>
      <c r="AYD243"/>
      <c r="AYE243"/>
      <c r="AYF243"/>
      <c r="AYG243"/>
      <c r="AYH243"/>
      <c r="AYI243"/>
      <c r="AYJ243"/>
      <c r="AYK243"/>
      <c r="AYL243"/>
      <c r="AYM243"/>
      <c r="AYN243"/>
      <c r="AYO243"/>
      <c r="AYP243"/>
      <c r="AYQ243"/>
      <c r="AYR243"/>
      <c r="AYS243"/>
      <c r="AYT243"/>
      <c r="AYU243"/>
      <c r="AYV243"/>
      <c r="AYW243"/>
      <c r="AYX243"/>
      <c r="AYY243"/>
      <c r="AYZ243"/>
      <c r="AZA243"/>
      <c r="AZB243"/>
      <c r="AZC243"/>
      <c r="AZD243"/>
      <c r="AZE243"/>
      <c r="AZF243"/>
      <c r="AZG243"/>
      <c r="AZH243"/>
      <c r="AZI243"/>
      <c r="AZJ243"/>
      <c r="AZK243"/>
      <c r="AZL243"/>
      <c r="AZM243"/>
      <c r="AZN243"/>
      <c r="AZO243"/>
      <c r="AZP243"/>
      <c r="AZQ243"/>
      <c r="AZR243"/>
      <c r="AZS243"/>
      <c r="AZT243"/>
      <c r="AZU243"/>
      <c r="AZV243"/>
      <c r="AZW243"/>
      <c r="AZX243"/>
      <c r="AZY243"/>
      <c r="AZZ243"/>
      <c r="BAA243"/>
      <c r="BAB243"/>
      <c r="BAC243"/>
      <c r="BAD243"/>
      <c r="BAE243"/>
      <c r="BAF243"/>
      <c r="BAG243"/>
      <c r="BAH243"/>
      <c r="BAI243"/>
      <c r="BAJ243"/>
      <c r="BAK243"/>
      <c r="BAL243"/>
      <c r="BAM243"/>
      <c r="BAN243"/>
      <c r="BAO243"/>
      <c r="BAP243"/>
      <c r="BAQ243"/>
      <c r="BAR243"/>
      <c r="BAS243"/>
      <c r="BAT243"/>
      <c r="BAU243"/>
      <c r="BAV243"/>
      <c r="BAW243"/>
      <c r="BAX243"/>
      <c r="BAY243"/>
      <c r="BAZ243"/>
      <c r="BBA243"/>
      <c r="BBB243"/>
      <c r="BBC243"/>
      <c r="BBD243"/>
      <c r="BBE243"/>
      <c r="BBF243"/>
      <c r="BBG243"/>
      <c r="BBH243"/>
      <c r="BBI243"/>
      <c r="BBJ243"/>
      <c r="BBK243"/>
      <c r="BBL243"/>
      <c r="BBM243"/>
      <c r="BBN243"/>
      <c r="BBO243"/>
      <c r="BBP243"/>
      <c r="BBQ243"/>
      <c r="BBR243"/>
      <c r="BBS243"/>
      <c r="BBT243"/>
      <c r="BBU243"/>
      <c r="BBV243"/>
      <c r="BBW243"/>
      <c r="BBX243"/>
      <c r="BBY243"/>
      <c r="BBZ243"/>
      <c r="BCA243"/>
      <c r="BCB243"/>
      <c r="BCC243"/>
      <c r="BCD243"/>
      <c r="BCE243"/>
      <c r="BCF243"/>
      <c r="BCG243"/>
      <c r="BCH243"/>
      <c r="BCI243"/>
      <c r="BCJ243"/>
      <c r="BCK243"/>
      <c r="BCL243"/>
      <c r="BCM243"/>
      <c r="BCN243"/>
      <c r="BCO243"/>
      <c r="BCP243"/>
      <c r="BCQ243"/>
      <c r="BCR243"/>
      <c r="BCS243"/>
      <c r="BCT243"/>
      <c r="BCU243"/>
      <c r="BCV243"/>
      <c r="BCW243"/>
      <c r="BCX243"/>
      <c r="BCY243"/>
      <c r="BCZ243"/>
      <c r="BDA243"/>
      <c r="BDB243"/>
      <c r="BDC243"/>
      <c r="BDD243"/>
      <c r="BDE243"/>
      <c r="BDF243"/>
      <c r="BDG243"/>
      <c r="BDH243"/>
      <c r="BDI243"/>
      <c r="BDJ243"/>
      <c r="BDK243"/>
      <c r="BDL243"/>
      <c r="BDM243"/>
      <c r="BDN243"/>
      <c r="BDO243"/>
      <c r="BDP243"/>
      <c r="BDQ243"/>
      <c r="BDR243"/>
      <c r="BDS243"/>
      <c r="BDT243"/>
      <c r="BDU243"/>
      <c r="BDV243"/>
      <c r="BDW243"/>
      <c r="BDX243"/>
      <c r="BDY243"/>
      <c r="BDZ243"/>
      <c r="BEA243"/>
      <c r="BEB243"/>
      <c r="BEC243"/>
      <c r="BED243"/>
      <c r="BEE243"/>
      <c r="BEF243"/>
      <c r="BEG243"/>
      <c r="BEH243"/>
      <c r="BEI243"/>
      <c r="BEJ243"/>
      <c r="BEK243"/>
      <c r="BEL243"/>
      <c r="BEM243"/>
      <c r="BEN243"/>
      <c r="BEO243"/>
      <c r="BEP243"/>
      <c r="BEQ243"/>
      <c r="BER243"/>
      <c r="BES243"/>
      <c r="BET243"/>
      <c r="BEU243"/>
      <c r="BEV243"/>
      <c r="BEW243"/>
      <c r="BEX243"/>
      <c r="BEY243"/>
      <c r="BEZ243"/>
      <c r="BFA243"/>
      <c r="BFB243"/>
      <c r="BFC243"/>
      <c r="BFD243"/>
      <c r="BFE243"/>
      <c r="BFF243"/>
      <c r="BFG243"/>
      <c r="BFH243"/>
      <c r="BFI243"/>
      <c r="BFJ243"/>
      <c r="BFK243"/>
      <c r="BFL243"/>
      <c r="BFM243"/>
      <c r="BFN243"/>
      <c r="BFO243"/>
      <c r="BFP243"/>
      <c r="BFQ243"/>
      <c r="BFR243"/>
      <c r="BFS243"/>
      <c r="BFT243"/>
      <c r="BFU243"/>
      <c r="BFV243"/>
      <c r="BFW243"/>
      <c r="BFX243"/>
      <c r="BFY243"/>
      <c r="BFZ243"/>
      <c r="BGA243"/>
      <c r="BGB243"/>
      <c r="BGC243"/>
      <c r="BGD243"/>
      <c r="BGE243"/>
      <c r="BGF243"/>
      <c r="BGG243"/>
      <c r="BGH243"/>
      <c r="BGI243"/>
      <c r="BGJ243"/>
      <c r="BGK243"/>
      <c r="BGL243"/>
      <c r="BGM243"/>
      <c r="BGN243"/>
      <c r="BGO243"/>
      <c r="BGP243"/>
      <c r="BGQ243"/>
      <c r="BGR243"/>
      <c r="BGS243"/>
      <c r="BGT243"/>
      <c r="BGU243"/>
      <c r="BGV243"/>
      <c r="BGW243"/>
      <c r="BGX243"/>
      <c r="BGY243"/>
      <c r="BGZ243"/>
      <c r="BHA243"/>
      <c r="BHB243"/>
      <c r="BHC243"/>
      <c r="BHD243"/>
      <c r="BHE243"/>
      <c r="BHF243"/>
      <c r="BHG243"/>
      <c r="BHH243"/>
      <c r="BHI243"/>
      <c r="BHJ243"/>
      <c r="BHK243"/>
      <c r="BHL243"/>
      <c r="BHM243"/>
      <c r="BHN243"/>
      <c r="BHO243"/>
      <c r="BHP243"/>
      <c r="BHQ243"/>
      <c r="BHR243"/>
      <c r="BHS243"/>
      <c r="BHT243"/>
      <c r="BHU243"/>
      <c r="BHV243"/>
      <c r="BHW243"/>
      <c r="BHX243"/>
      <c r="BHY243"/>
      <c r="BHZ243"/>
      <c r="BIA243"/>
      <c r="BIB243"/>
      <c r="BIC243"/>
      <c r="BID243"/>
      <c r="BIE243"/>
      <c r="BIF243"/>
      <c r="BIG243"/>
      <c r="BIH243"/>
      <c r="BII243"/>
      <c r="BIJ243"/>
      <c r="BIK243"/>
      <c r="BIL243"/>
      <c r="BIM243"/>
      <c r="BIN243"/>
      <c r="BIO243"/>
      <c r="BIP243"/>
      <c r="BIQ243"/>
      <c r="BIR243"/>
      <c r="BIS243"/>
      <c r="BIT243"/>
      <c r="BIU243"/>
      <c r="BIV243"/>
      <c r="BIW243"/>
      <c r="BIX243"/>
      <c r="BIY243"/>
      <c r="BIZ243"/>
      <c r="BJA243"/>
      <c r="BJB243"/>
      <c r="BJC243"/>
      <c r="BJD243"/>
      <c r="BJE243"/>
      <c r="BJF243"/>
      <c r="BJG243"/>
      <c r="BJH243"/>
      <c r="BJI243"/>
      <c r="BJJ243"/>
      <c r="BJK243"/>
      <c r="BJL243"/>
      <c r="BJM243"/>
      <c r="BJN243"/>
      <c r="BJO243"/>
      <c r="BJP243"/>
      <c r="BJQ243"/>
      <c r="BJR243"/>
      <c r="BJS243"/>
      <c r="BJT243"/>
      <c r="BJU243"/>
      <c r="BJV243"/>
      <c r="BJW243"/>
      <c r="BJX243"/>
      <c r="BJY243"/>
      <c r="BJZ243"/>
      <c r="BKA243"/>
      <c r="BKB243"/>
      <c r="BKC243"/>
      <c r="BKD243"/>
      <c r="BKE243"/>
      <c r="BKF243"/>
      <c r="BKG243"/>
      <c r="BKH243"/>
      <c r="BKI243"/>
      <c r="BKJ243"/>
      <c r="BKK243"/>
      <c r="BKL243"/>
      <c r="BKM243"/>
      <c r="BKN243"/>
      <c r="BKO243"/>
      <c r="BKP243"/>
      <c r="BKQ243"/>
      <c r="BKR243"/>
      <c r="BKS243"/>
      <c r="BKT243"/>
      <c r="BKU243"/>
      <c r="BKV243"/>
      <c r="BKW243"/>
      <c r="BKX243"/>
      <c r="BKY243"/>
      <c r="BKZ243"/>
      <c r="BLA243"/>
      <c r="BLB243"/>
      <c r="BLC243"/>
      <c r="BLD243"/>
      <c r="BLE243"/>
      <c r="BLF243"/>
      <c r="BLG243"/>
      <c r="BLH243"/>
      <c r="BLI243"/>
      <c r="BLJ243"/>
      <c r="BLK243"/>
      <c r="BLL243"/>
      <c r="BLM243"/>
      <c r="BLN243"/>
      <c r="BLO243"/>
      <c r="BLP243"/>
      <c r="BLQ243"/>
      <c r="BLR243"/>
      <c r="BLS243"/>
      <c r="BLT243"/>
      <c r="BLU243"/>
      <c r="BLV243"/>
      <c r="BLW243"/>
      <c r="BLX243"/>
      <c r="BLY243"/>
      <c r="BLZ243"/>
      <c r="BMA243"/>
      <c r="BMB243"/>
      <c r="BMC243"/>
      <c r="BMD243"/>
      <c r="BME243"/>
      <c r="BMF243"/>
      <c r="BMG243"/>
      <c r="BMH243"/>
      <c r="BMI243"/>
      <c r="BMJ243"/>
      <c r="BMK243"/>
      <c r="BML243"/>
      <c r="BMM243"/>
      <c r="BMN243"/>
      <c r="BMO243"/>
      <c r="BMP243"/>
      <c r="BMQ243"/>
      <c r="BMR243"/>
      <c r="BMS243"/>
      <c r="BMT243"/>
      <c r="BMU243"/>
      <c r="BMV243"/>
      <c r="BMW243"/>
      <c r="BMX243"/>
      <c r="BMY243"/>
      <c r="BMZ243"/>
      <c r="BNA243"/>
      <c r="BNB243"/>
      <c r="BNC243"/>
      <c r="BND243"/>
      <c r="BNE243"/>
      <c r="BNF243"/>
      <c r="BNG243"/>
      <c r="BNH243"/>
      <c r="BNI243"/>
      <c r="BNJ243"/>
      <c r="BNK243"/>
      <c r="BNL243"/>
      <c r="BNM243"/>
      <c r="BNN243"/>
      <c r="BNO243"/>
      <c r="BNP243"/>
      <c r="BNQ243"/>
      <c r="BNR243"/>
      <c r="BNS243"/>
      <c r="BNT243"/>
      <c r="BNU243"/>
      <c r="BNV243"/>
      <c r="BNW243"/>
      <c r="BNX243"/>
      <c r="BNY243"/>
      <c r="BNZ243"/>
      <c r="BOA243"/>
      <c r="BOB243"/>
      <c r="BOC243"/>
      <c r="BOD243"/>
      <c r="BOE243"/>
      <c r="BOF243"/>
      <c r="BOG243"/>
      <c r="BOH243"/>
      <c r="BOI243"/>
      <c r="BOJ243"/>
      <c r="BOK243"/>
      <c r="BOL243"/>
      <c r="BOM243"/>
      <c r="BON243"/>
      <c r="BOO243"/>
      <c r="BOP243"/>
      <c r="BOQ243"/>
      <c r="BOR243"/>
      <c r="BOS243"/>
      <c r="BOT243"/>
      <c r="BOU243"/>
      <c r="BOV243"/>
      <c r="BOW243"/>
      <c r="BOX243"/>
      <c r="BOY243"/>
      <c r="BOZ243"/>
      <c r="BPA243"/>
      <c r="BPB243"/>
      <c r="BPC243"/>
      <c r="BPD243"/>
      <c r="BPE243"/>
      <c r="BPF243"/>
      <c r="BPG243"/>
      <c r="BPH243"/>
      <c r="BPI243"/>
      <c r="BPJ243"/>
      <c r="BPK243"/>
      <c r="BPL243"/>
      <c r="BPM243"/>
      <c r="BPN243"/>
      <c r="BPO243"/>
      <c r="BPP243"/>
      <c r="BPQ243"/>
      <c r="BPR243"/>
      <c r="BPS243"/>
      <c r="BPT243"/>
      <c r="BPU243"/>
      <c r="BPV243"/>
      <c r="BPW243"/>
      <c r="BPX243"/>
      <c r="BPY243"/>
      <c r="BPZ243"/>
      <c r="BQA243"/>
      <c r="BQB243"/>
      <c r="BQC243"/>
      <c r="BQD243"/>
      <c r="BQE243"/>
      <c r="BQF243"/>
      <c r="BQG243"/>
      <c r="BQH243"/>
      <c r="BQI243"/>
      <c r="BQJ243"/>
      <c r="BQK243"/>
      <c r="BQL243"/>
      <c r="BQM243"/>
      <c r="BQN243"/>
      <c r="BQO243"/>
      <c r="BQP243"/>
      <c r="BQQ243"/>
      <c r="BQR243"/>
      <c r="BQS243"/>
      <c r="BQT243"/>
      <c r="BQU243"/>
      <c r="BQV243"/>
      <c r="BQW243"/>
      <c r="BQX243"/>
      <c r="BQY243"/>
      <c r="BQZ243"/>
      <c r="BRA243"/>
      <c r="BRB243"/>
      <c r="BRC243"/>
      <c r="BRD243"/>
      <c r="BRE243"/>
      <c r="BRF243"/>
      <c r="BRG243"/>
      <c r="BRH243"/>
      <c r="BRI243"/>
      <c r="BRJ243"/>
      <c r="BRK243"/>
      <c r="BRL243"/>
      <c r="BRM243"/>
      <c r="BRN243"/>
      <c r="BRO243"/>
      <c r="BRP243"/>
      <c r="BRQ243"/>
      <c r="BRR243"/>
      <c r="BRS243"/>
      <c r="BRT243"/>
      <c r="BRU243"/>
      <c r="BRV243"/>
      <c r="BRW243"/>
      <c r="BRX243"/>
      <c r="BRY243"/>
      <c r="BRZ243"/>
      <c r="BSA243"/>
      <c r="BSB243"/>
      <c r="BSC243"/>
      <c r="BSD243"/>
      <c r="BSE243"/>
      <c r="BSF243"/>
      <c r="BSG243"/>
      <c r="BSH243"/>
      <c r="BSI243"/>
      <c r="BSJ243"/>
      <c r="BSK243"/>
      <c r="BSL243"/>
      <c r="BSM243"/>
      <c r="BSN243"/>
      <c r="BSO243"/>
      <c r="BSP243"/>
      <c r="BSQ243"/>
      <c r="BSR243"/>
      <c r="BSS243"/>
      <c r="BST243"/>
      <c r="BSU243"/>
      <c r="BSV243"/>
      <c r="BSW243"/>
      <c r="BSX243"/>
      <c r="BSY243"/>
      <c r="BSZ243"/>
      <c r="BTA243"/>
      <c r="BTB243"/>
      <c r="BTC243"/>
      <c r="BTD243"/>
      <c r="BTE243"/>
      <c r="BTF243"/>
      <c r="BTG243"/>
      <c r="BTH243"/>
      <c r="BTI243"/>
      <c r="BTJ243"/>
      <c r="BTK243"/>
      <c r="BTL243"/>
      <c r="BTM243"/>
      <c r="BTN243"/>
      <c r="BTO243"/>
      <c r="BTP243"/>
      <c r="BTQ243"/>
      <c r="BTR243"/>
      <c r="BTS243"/>
      <c r="BTT243"/>
      <c r="BTU243"/>
      <c r="BTV243"/>
      <c r="BTW243"/>
      <c r="BTX243"/>
      <c r="BTY243"/>
      <c r="BTZ243"/>
      <c r="BUA243"/>
      <c r="BUB243"/>
      <c r="BUC243"/>
      <c r="BUD243"/>
      <c r="BUE243"/>
      <c r="BUF243"/>
      <c r="BUG243"/>
      <c r="BUH243"/>
      <c r="BUI243"/>
      <c r="BUJ243"/>
      <c r="BUK243"/>
      <c r="BUL243"/>
      <c r="BUM243"/>
      <c r="BUN243"/>
      <c r="BUO243"/>
      <c r="BUP243"/>
      <c r="BUQ243"/>
      <c r="BUR243"/>
      <c r="BUS243"/>
      <c r="BUT243"/>
      <c r="BUU243"/>
      <c r="BUV243"/>
      <c r="BUW243"/>
      <c r="BUX243"/>
      <c r="BUY243"/>
      <c r="BUZ243"/>
      <c r="BVA243"/>
      <c r="BVB243"/>
      <c r="BVC243"/>
      <c r="BVD243"/>
      <c r="BVE243"/>
      <c r="BVF243"/>
      <c r="BVG243"/>
      <c r="BVH243"/>
      <c r="BVI243"/>
      <c r="BVJ243"/>
      <c r="BVK243"/>
      <c r="BVL243"/>
      <c r="BVM243"/>
      <c r="BVN243"/>
      <c r="BVO243"/>
      <c r="BVP243"/>
      <c r="BVQ243"/>
      <c r="BVR243"/>
      <c r="BVS243"/>
      <c r="BVT243"/>
      <c r="BVU243"/>
      <c r="BVV243"/>
      <c r="BVW243"/>
      <c r="BVX243"/>
      <c r="BVY243"/>
      <c r="BVZ243"/>
      <c r="BWA243"/>
      <c r="BWB243"/>
      <c r="BWC243"/>
      <c r="BWD243"/>
      <c r="BWE243"/>
      <c r="BWF243"/>
      <c r="BWG243"/>
      <c r="BWH243"/>
      <c r="BWI243"/>
      <c r="BWJ243"/>
      <c r="BWK243"/>
      <c r="BWL243"/>
      <c r="BWM243"/>
      <c r="BWN243"/>
      <c r="BWO243"/>
      <c r="BWP243"/>
      <c r="BWQ243"/>
      <c r="BWR243"/>
      <c r="BWS243"/>
      <c r="BWT243"/>
      <c r="BWU243"/>
      <c r="BWV243"/>
      <c r="BWW243"/>
      <c r="BWX243"/>
      <c r="BWY243"/>
      <c r="BWZ243"/>
      <c r="BXA243"/>
      <c r="BXB243"/>
      <c r="BXC243"/>
      <c r="BXD243"/>
      <c r="BXE243"/>
      <c r="BXF243"/>
      <c r="BXG243"/>
      <c r="BXH243"/>
      <c r="BXI243"/>
      <c r="BXJ243"/>
      <c r="BXK243"/>
      <c r="BXL243"/>
      <c r="BXM243"/>
      <c r="BXN243"/>
      <c r="BXO243"/>
      <c r="BXP243"/>
      <c r="BXQ243"/>
      <c r="BXR243"/>
      <c r="BXS243"/>
      <c r="BXT243"/>
      <c r="BXU243"/>
      <c r="BXV243"/>
      <c r="BXW243"/>
      <c r="BXX243"/>
      <c r="BXY243"/>
      <c r="BXZ243"/>
      <c r="BYA243"/>
      <c r="BYB243"/>
      <c r="BYC243"/>
      <c r="BYD243"/>
      <c r="BYE243"/>
      <c r="BYF243"/>
      <c r="BYG243"/>
      <c r="BYH243"/>
      <c r="BYI243"/>
      <c r="BYJ243"/>
      <c r="BYK243"/>
      <c r="BYL243"/>
      <c r="BYM243"/>
      <c r="BYN243"/>
      <c r="BYO243"/>
      <c r="BYP243"/>
      <c r="BYQ243"/>
      <c r="BYR243"/>
      <c r="BYS243"/>
      <c r="BYT243"/>
      <c r="BYU243"/>
      <c r="BYV243"/>
      <c r="BYW243"/>
      <c r="BYX243"/>
      <c r="BYY243"/>
      <c r="BYZ243"/>
      <c r="BZA243"/>
      <c r="BZB243"/>
      <c r="BZC243"/>
      <c r="BZD243"/>
      <c r="BZE243"/>
      <c r="BZF243"/>
      <c r="BZG243"/>
      <c r="BZH243"/>
      <c r="BZI243"/>
      <c r="BZJ243"/>
      <c r="BZK243"/>
      <c r="BZL243"/>
      <c r="BZM243"/>
      <c r="BZN243"/>
      <c r="BZO243"/>
      <c r="BZP243"/>
      <c r="BZQ243"/>
      <c r="BZR243"/>
      <c r="BZS243"/>
      <c r="BZT243"/>
      <c r="BZU243"/>
      <c r="BZV243"/>
      <c r="BZW243"/>
      <c r="BZX243"/>
      <c r="BZY243"/>
      <c r="BZZ243"/>
      <c r="CAA243"/>
      <c r="CAB243"/>
      <c r="CAC243"/>
      <c r="CAD243"/>
      <c r="CAE243"/>
      <c r="CAF243"/>
      <c r="CAG243"/>
      <c r="CAH243"/>
      <c r="CAI243"/>
      <c r="CAJ243"/>
      <c r="CAK243"/>
      <c r="CAL243"/>
      <c r="CAM243"/>
      <c r="CAN243"/>
      <c r="CAO243"/>
      <c r="CAP243"/>
      <c r="CAQ243"/>
      <c r="CAR243"/>
      <c r="CAS243"/>
      <c r="CAT243"/>
      <c r="CAU243"/>
      <c r="CAV243"/>
      <c r="CAW243"/>
      <c r="CAX243"/>
      <c r="CAY243"/>
      <c r="CAZ243"/>
      <c r="CBA243"/>
      <c r="CBB243"/>
      <c r="CBC243"/>
      <c r="CBD243"/>
      <c r="CBE243"/>
      <c r="CBF243"/>
      <c r="CBG243"/>
      <c r="CBH243"/>
      <c r="CBI243"/>
      <c r="CBJ243"/>
      <c r="CBK243"/>
      <c r="CBL243"/>
      <c r="CBM243"/>
      <c r="CBN243"/>
      <c r="CBO243"/>
      <c r="CBP243"/>
      <c r="CBQ243"/>
      <c r="CBR243"/>
      <c r="CBS243"/>
      <c r="CBT243"/>
      <c r="CBU243"/>
      <c r="CBV243"/>
      <c r="CBW243"/>
      <c r="CBX243"/>
      <c r="CBY243"/>
      <c r="CBZ243"/>
      <c r="CCA243"/>
      <c r="CCB243"/>
      <c r="CCC243"/>
      <c r="CCD243"/>
      <c r="CCE243"/>
      <c r="CCF243"/>
      <c r="CCG243"/>
      <c r="CCH243"/>
      <c r="CCI243"/>
      <c r="CCJ243"/>
      <c r="CCK243"/>
      <c r="CCL243"/>
      <c r="CCM243"/>
      <c r="CCN243"/>
      <c r="CCO243"/>
      <c r="CCP243"/>
      <c r="CCQ243"/>
      <c r="CCR243"/>
      <c r="CCS243"/>
      <c r="CCT243"/>
      <c r="CCU243"/>
      <c r="CCV243"/>
      <c r="CCW243"/>
      <c r="CCX243"/>
      <c r="CCY243"/>
      <c r="CCZ243"/>
      <c r="CDA243"/>
      <c r="CDB243"/>
      <c r="CDC243"/>
      <c r="CDD243"/>
      <c r="CDE243"/>
      <c r="CDF243"/>
      <c r="CDG243"/>
      <c r="CDH243"/>
      <c r="CDI243"/>
      <c r="CDJ243"/>
      <c r="CDK243"/>
      <c r="CDL243"/>
      <c r="CDM243"/>
      <c r="CDN243"/>
      <c r="CDO243"/>
      <c r="CDP243"/>
      <c r="CDQ243"/>
      <c r="CDR243"/>
      <c r="CDS243"/>
      <c r="CDT243"/>
      <c r="CDU243"/>
      <c r="CDV243"/>
      <c r="CDW243"/>
      <c r="CDX243"/>
      <c r="CDY243"/>
      <c r="CDZ243"/>
      <c r="CEA243"/>
      <c r="CEB243"/>
      <c r="CEC243"/>
      <c r="CED243"/>
      <c r="CEE243"/>
      <c r="CEF243"/>
      <c r="CEG243"/>
      <c r="CEH243"/>
      <c r="CEI243"/>
      <c r="CEJ243"/>
      <c r="CEK243"/>
      <c r="CEL243"/>
      <c r="CEM243"/>
      <c r="CEN243"/>
      <c r="CEO243"/>
      <c r="CEP243"/>
      <c r="CEQ243"/>
      <c r="CER243"/>
      <c r="CES243"/>
      <c r="CET243"/>
      <c r="CEU243"/>
      <c r="CEV243"/>
      <c r="CEW243"/>
      <c r="CEX243"/>
      <c r="CEY243"/>
      <c r="CEZ243"/>
      <c r="CFA243"/>
      <c r="CFB243"/>
      <c r="CFC243"/>
      <c r="CFD243"/>
      <c r="CFE243"/>
      <c r="CFF243"/>
      <c r="CFG243"/>
      <c r="CFH243"/>
      <c r="CFI243"/>
      <c r="CFJ243"/>
      <c r="CFK243"/>
      <c r="CFL243"/>
      <c r="CFM243"/>
      <c r="CFN243"/>
      <c r="CFO243"/>
      <c r="CFP243"/>
      <c r="CFQ243"/>
      <c r="CFR243"/>
      <c r="CFS243"/>
      <c r="CFT243"/>
      <c r="CFU243"/>
      <c r="CFV243"/>
      <c r="CFW243"/>
      <c r="CFX243"/>
      <c r="CFY243"/>
      <c r="CFZ243"/>
      <c r="CGA243"/>
      <c r="CGB243"/>
      <c r="CGC243"/>
      <c r="CGD243"/>
      <c r="CGE243"/>
      <c r="CGF243"/>
      <c r="CGG243"/>
      <c r="CGH243"/>
      <c r="CGI243"/>
      <c r="CGJ243"/>
      <c r="CGK243"/>
      <c r="CGL243"/>
      <c r="CGM243"/>
      <c r="CGN243"/>
      <c r="CGO243"/>
      <c r="CGP243"/>
      <c r="CGQ243"/>
      <c r="CGR243"/>
      <c r="CGS243"/>
      <c r="CGT243"/>
      <c r="CGU243"/>
      <c r="CGV243"/>
      <c r="CGW243"/>
      <c r="CGX243"/>
      <c r="CGY243"/>
      <c r="CGZ243"/>
      <c r="CHA243"/>
      <c r="CHB243"/>
      <c r="CHC243"/>
      <c r="CHD243"/>
      <c r="CHE243"/>
      <c r="CHF243"/>
      <c r="CHG243"/>
      <c r="CHH243"/>
      <c r="CHI243"/>
      <c r="CHJ243"/>
      <c r="CHK243"/>
      <c r="CHL243"/>
      <c r="CHM243"/>
      <c r="CHN243"/>
      <c r="CHO243"/>
      <c r="CHP243"/>
      <c r="CHQ243"/>
      <c r="CHR243"/>
      <c r="CHS243"/>
      <c r="CHT243"/>
      <c r="CHU243"/>
      <c r="CHV243"/>
      <c r="CHW243"/>
      <c r="CHX243"/>
      <c r="CHY243"/>
      <c r="CHZ243"/>
      <c r="CIA243"/>
      <c r="CIB243"/>
      <c r="CIC243"/>
      <c r="CID243"/>
      <c r="CIE243"/>
      <c r="CIF243"/>
      <c r="CIG243"/>
      <c r="CIH243"/>
      <c r="CII243"/>
      <c r="CIJ243"/>
      <c r="CIK243"/>
      <c r="CIL243"/>
      <c r="CIM243"/>
      <c r="CIN243"/>
      <c r="CIO243"/>
      <c r="CIP243"/>
      <c r="CIQ243"/>
      <c r="CIR243"/>
      <c r="CIS243"/>
      <c r="CIT243"/>
      <c r="CIU243"/>
      <c r="CIV243"/>
      <c r="CIW243"/>
      <c r="CIX243"/>
      <c r="CIY243"/>
      <c r="CIZ243"/>
      <c r="CJA243"/>
      <c r="CJB243"/>
      <c r="CJC243"/>
      <c r="CJD243"/>
      <c r="CJE243"/>
      <c r="CJF243"/>
      <c r="CJG243"/>
      <c r="CJH243"/>
      <c r="CJI243"/>
      <c r="CJJ243"/>
      <c r="CJK243"/>
      <c r="CJL243"/>
      <c r="CJM243"/>
      <c r="CJN243"/>
      <c r="CJO243"/>
      <c r="CJP243"/>
      <c r="CJQ243"/>
      <c r="CJR243"/>
      <c r="CJS243"/>
      <c r="CJT243"/>
      <c r="CJU243"/>
      <c r="CJV243"/>
      <c r="CJW243"/>
      <c r="CJX243"/>
      <c r="CJY243"/>
      <c r="CJZ243"/>
      <c r="CKA243"/>
      <c r="CKB243"/>
      <c r="CKC243"/>
      <c r="CKD243"/>
      <c r="CKE243"/>
      <c r="CKF243"/>
      <c r="CKG243"/>
      <c r="CKH243"/>
      <c r="CKI243"/>
      <c r="CKJ243"/>
      <c r="CKK243"/>
      <c r="CKL243"/>
      <c r="CKM243"/>
      <c r="CKN243"/>
      <c r="CKO243"/>
      <c r="CKP243"/>
      <c r="CKQ243"/>
      <c r="CKR243"/>
      <c r="CKS243"/>
      <c r="CKT243"/>
      <c r="CKU243"/>
      <c r="CKV243"/>
      <c r="CKW243"/>
      <c r="CKX243"/>
      <c r="CKY243"/>
      <c r="CKZ243"/>
      <c r="CLA243"/>
      <c r="CLB243"/>
      <c r="CLC243"/>
      <c r="CLD243"/>
      <c r="CLE243"/>
      <c r="CLF243"/>
      <c r="CLG243"/>
      <c r="CLH243"/>
      <c r="CLI243"/>
      <c r="CLJ243"/>
      <c r="CLK243"/>
      <c r="CLL243"/>
      <c r="CLM243"/>
      <c r="CLN243"/>
      <c r="CLO243"/>
      <c r="CLP243"/>
      <c r="CLQ243"/>
      <c r="CLR243"/>
      <c r="CLS243"/>
      <c r="CLT243"/>
      <c r="CLU243"/>
      <c r="CLV243"/>
      <c r="CLW243"/>
      <c r="CLX243"/>
      <c r="CLY243"/>
      <c r="CLZ243"/>
      <c r="CMA243"/>
      <c r="CMB243"/>
      <c r="CMC243"/>
      <c r="CMD243"/>
      <c r="CME243"/>
      <c r="CMF243"/>
      <c r="CMG243"/>
      <c r="CMH243"/>
      <c r="CMI243"/>
      <c r="CMJ243"/>
      <c r="CMK243"/>
      <c r="CML243"/>
      <c r="CMM243"/>
      <c r="CMN243"/>
      <c r="CMO243"/>
      <c r="CMP243"/>
      <c r="CMQ243"/>
      <c r="CMR243"/>
      <c r="CMS243"/>
      <c r="CMT243"/>
      <c r="CMU243"/>
      <c r="CMV243"/>
      <c r="CMW243"/>
      <c r="CMX243"/>
      <c r="CMY243"/>
      <c r="CMZ243"/>
      <c r="CNA243"/>
      <c r="CNB243"/>
      <c r="CNC243"/>
      <c r="CND243"/>
      <c r="CNE243"/>
      <c r="CNF243"/>
      <c r="CNG243"/>
      <c r="CNH243"/>
      <c r="CNI243"/>
      <c r="CNJ243"/>
      <c r="CNK243"/>
      <c r="CNL243"/>
      <c r="CNM243"/>
      <c r="CNN243"/>
      <c r="CNO243"/>
      <c r="CNP243"/>
      <c r="CNQ243"/>
      <c r="CNR243"/>
      <c r="CNS243"/>
      <c r="CNT243"/>
      <c r="CNU243"/>
      <c r="CNV243"/>
      <c r="CNW243"/>
      <c r="CNX243"/>
      <c r="CNY243"/>
      <c r="CNZ243"/>
      <c r="COA243"/>
      <c r="COB243"/>
      <c r="COC243"/>
      <c r="COD243"/>
      <c r="COE243"/>
      <c r="COF243"/>
      <c r="COG243"/>
      <c r="COH243"/>
      <c r="COI243"/>
      <c r="COJ243"/>
      <c r="COK243"/>
      <c r="COL243"/>
      <c r="COM243"/>
      <c r="CON243"/>
      <c r="COO243"/>
      <c r="COP243"/>
      <c r="COQ243"/>
      <c r="COR243"/>
      <c r="COS243"/>
      <c r="COT243"/>
      <c r="COU243"/>
      <c r="COV243"/>
      <c r="COW243"/>
      <c r="COX243"/>
      <c r="COY243"/>
      <c r="COZ243"/>
      <c r="CPA243"/>
      <c r="CPB243"/>
      <c r="CPC243"/>
      <c r="CPD243"/>
      <c r="CPE243"/>
      <c r="CPF243"/>
      <c r="CPG243"/>
      <c r="CPH243"/>
      <c r="CPI243"/>
      <c r="CPJ243"/>
      <c r="CPK243"/>
      <c r="CPL243"/>
      <c r="CPM243"/>
      <c r="CPN243"/>
      <c r="CPO243"/>
      <c r="CPP243"/>
      <c r="CPQ243"/>
      <c r="CPR243"/>
      <c r="CPS243"/>
      <c r="CPT243"/>
      <c r="CPU243"/>
      <c r="CPV243"/>
      <c r="CPW243"/>
      <c r="CPX243"/>
      <c r="CPY243"/>
      <c r="CPZ243"/>
      <c r="CQA243"/>
      <c r="CQB243"/>
      <c r="CQC243"/>
      <c r="CQD243"/>
      <c r="CQE243"/>
      <c r="CQF243"/>
      <c r="CQG243"/>
      <c r="CQH243"/>
      <c r="CQI243"/>
      <c r="CQJ243"/>
      <c r="CQK243"/>
      <c r="CQL243"/>
      <c r="CQM243"/>
      <c r="CQN243"/>
      <c r="CQO243"/>
      <c r="CQP243"/>
      <c r="CQQ243"/>
      <c r="CQR243"/>
      <c r="CQS243"/>
      <c r="CQT243"/>
      <c r="CQU243"/>
      <c r="CQV243"/>
      <c r="CQW243"/>
      <c r="CQX243"/>
      <c r="CQY243"/>
      <c r="CQZ243"/>
      <c r="CRA243"/>
      <c r="CRB243"/>
      <c r="CRC243"/>
      <c r="CRD243"/>
      <c r="CRE243"/>
      <c r="CRF243"/>
      <c r="CRG243"/>
      <c r="CRH243"/>
      <c r="CRI243"/>
      <c r="CRJ243"/>
      <c r="CRK243"/>
      <c r="CRL243"/>
      <c r="CRM243"/>
      <c r="CRN243"/>
      <c r="CRO243"/>
      <c r="CRP243"/>
      <c r="CRQ243"/>
      <c r="CRR243"/>
      <c r="CRS243"/>
      <c r="CRT243"/>
      <c r="CRU243"/>
      <c r="CRV243"/>
      <c r="CRW243"/>
      <c r="CRX243"/>
      <c r="CRY243"/>
      <c r="CRZ243"/>
      <c r="CSA243"/>
      <c r="CSB243"/>
      <c r="CSC243"/>
      <c r="CSD243"/>
      <c r="CSE243"/>
      <c r="CSF243"/>
      <c r="CSG243"/>
      <c r="CSH243"/>
      <c r="CSI243"/>
      <c r="CSJ243"/>
      <c r="CSK243"/>
      <c r="CSL243"/>
      <c r="CSM243"/>
      <c r="CSN243"/>
      <c r="CSO243"/>
      <c r="CSP243"/>
      <c r="CSQ243"/>
      <c r="CSR243"/>
      <c r="CSS243"/>
      <c r="CST243"/>
      <c r="CSU243"/>
      <c r="CSV243"/>
      <c r="CSW243"/>
      <c r="CSX243"/>
      <c r="CSY243"/>
      <c r="CSZ243"/>
      <c r="CTA243"/>
      <c r="CTB243"/>
      <c r="CTC243"/>
      <c r="CTD243"/>
      <c r="CTE243"/>
      <c r="CTF243"/>
      <c r="CTG243"/>
      <c r="CTH243"/>
      <c r="CTI243"/>
      <c r="CTJ243"/>
      <c r="CTK243"/>
      <c r="CTL243"/>
      <c r="CTM243"/>
      <c r="CTN243"/>
      <c r="CTO243"/>
      <c r="CTP243"/>
      <c r="CTQ243"/>
      <c r="CTR243"/>
      <c r="CTS243"/>
      <c r="CTT243"/>
      <c r="CTU243"/>
      <c r="CTV243"/>
      <c r="CTW243"/>
      <c r="CTX243"/>
      <c r="CTY243"/>
      <c r="CTZ243"/>
      <c r="CUA243"/>
      <c r="CUB243"/>
      <c r="CUC243"/>
      <c r="CUD243"/>
      <c r="CUE243"/>
      <c r="CUF243"/>
      <c r="CUG243"/>
      <c r="CUH243"/>
      <c r="CUI243"/>
      <c r="CUJ243"/>
      <c r="CUK243"/>
      <c r="CUL243"/>
      <c r="CUM243"/>
      <c r="CUN243"/>
      <c r="CUO243"/>
      <c r="CUP243"/>
      <c r="CUQ243"/>
      <c r="CUR243"/>
      <c r="CUS243"/>
      <c r="CUT243"/>
      <c r="CUU243"/>
      <c r="CUV243"/>
      <c r="CUW243"/>
      <c r="CUX243"/>
      <c r="CUY243"/>
      <c r="CUZ243"/>
      <c r="CVA243"/>
      <c r="CVB243"/>
      <c r="CVC243"/>
      <c r="CVD243"/>
      <c r="CVE243"/>
      <c r="CVF243"/>
      <c r="CVG243"/>
      <c r="CVH243"/>
      <c r="CVI243"/>
      <c r="CVJ243"/>
      <c r="CVK243"/>
      <c r="CVL243"/>
      <c r="CVM243"/>
      <c r="CVN243"/>
      <c r="CVO243"/>
      <c r="CVP243"/>
      <c r="CVQ243"/>
      <c r="CVR243"/>
      <c r="CVS243"/>
      <c r="CVT243"/>
      <c r="CVU243"/>
      <c r="CVV243"/>
      <c r="CVW243"/>
      <c r="CVX243"/>
      <c r="CVY243"/>
      <c r="CVZ243"/>
      <c r="CWA243"/>
      <c r="CWB243"/>
      <c r="CWC243"/>
      <c r="CWD243"/>
      <c r="CWE243"/>
      <c r="CWF243"/>
      <c r="CWG243"/>
      <c r="CWH243"/>
      <c r="CWI243"/>
      <c r="CWJ243"/>
      <c r="CWK243"/>
      <c r="CWL243"/>
      <c r="CWM243"/>
      <c r="CWN243"/>
      <c r="CWO243"/>
      <c r="CWP243"/>
      <c r="CWQ243"/>
      <c r="CWR243"/>
      <c r="CWS243"/>
      <c r="CWT243"/>
      <c r="CWU243"/>
      <c r="CWV243"/>
      <c r="CWW243"/>
      <c r="CWX243"/>
      <c r="CWY243"/>
      <c r="CWZ243"/>
      <c r="CXA243"/>
      <c r="CXB243"/>
      <c r="CXC243"/>
      <c r="CXD243"/>
      <c r="CXE243"/>
      <c r="CXF243"/>
      <c r="CXG243"/>
      <c r="CXH243"/>
      <c r="CXI243"/>
      <c r="CXJ243"/>
      <c r="CXK243"/>
      <c r="CXL243"/>
      <c r="CXM243"/>
      <c r="CXN243"/>
      <c r="CXO243"/>
      <c r="CXP243"/>
      <c r="CXQ243"/>
      <c r="CXR243"/>
      <c r="CXS243"/>
      <c r="CXT243"/>
      <c r="CXU243"/>
      <c r="CXV243"/>
      <c r="CXW243"/>
      <c r="CXX243"/>
      <c r="CXY243"/>
      <c r="CXZ243"/>
      <c r="CYA243"/>
      <c r="CYB243"/>
      <c r="CYC243"/>
      <c r="CYD243"/>
      <c r="CYE243"/>
      <c r="CYF243"/>
      <c r="CYG243"/>
      <c r="CYH243"/>
      <c r="CYI243"/>
      <c r="CYJ243"/>
      <c r="CYK243"/>
      <c r="CYL243"/>
      <c r="CYM243"/>
      <c r="CYN243"/>
      <c r="CYO243"/>
      <c r="CYP243"/>
      <c r="CYQ243"/>
      <c r="CYR243"/>
      <c r="CYS243"/>
      <c r="CYT243"/>
      <c r="CYU243"/>
      <c r="CYV243"/>
      <c r="CYW243"/>
      <c r="CYX243"/>
      <c r="CYY243"/>
      <c r="CYZ243"/>
      <c r="CZA243"/>
      <c r="CZB243"/>
      <c r="CZC243"/>
      <c r="CZD243"/>
      <c r="CZE243"/>
      <c r="CZF243"/>
      <c r="CZG243"/>
      <c r="CZH243"/>
      <c r="CZI243"/>
      <c r="CZJ243"/>
      <c r="CZK243"/>
      <c r="CZL243"/>
      <c r="CZM243"/>
      <c r="CZN243"/>
      <c r="CZO243"/>
      <c r="CZP243"/>
      <c r="CZQ243"/>
      <c r="CZR243"/>
      <c r="CZS243"/>
      <c r="CZT243"/>
      <c r="CZU243"/>
      <c r="CZV243"/>
      <c r="CZW243"/>
      <c r="CZX243"/>
      <c r="CZY243"/>
      <c r="CZZ243"/>
      <c r="DAA243"/>
      <c r="DAB243"/>
      <c r="DAC243"/>
      <c r="DAD243"/>
      <c r="DAE243"/>
      <c r="DAF243"/>
      <c r="DAG243"/>
      <c r="DAH243"/>
      <c r="DAI243"/>
      <c r="DAJ243"/>
      <c r="DAK243"/>
      <c r="DAL243"/>
      <c r="DAM243"/>
      <c r="DAN243"/>
      <c r="DAO243"/>
      <c r="DAP243"/>
      <c r="DAQ243"/>
      <c r="DAR243"/>
      <c r="DAS243"/>
      <c r="DAT243"/>
      <c r="DAU243"/>
      <c r="DAV243"/>
      <c r="DAW243"/>
      <c r="DAX243"/>
      <c r="DAY243"/>
      <c r="DAZ243"/>
      <c r="DBA243"/>
      <c r="DBB243"/>
      <c r="DBC243"/>
      <c r="DBD243"/>
      <c r="DBE243"/>
      <c r="DBF243"/>
      <c r="DBG243"/>
      <c r="DBH243"/>
      <c r="DBI243"/>
      <c r="DBJ243"/>
      <c r="DBK243"/>
      <c r="DBL243"/>
      <c r="DBM243"/>
      <c r="DBN243"/>
      <c r="DBO243"/>
      <c r="DBP243"/>
      <c r="DBQ243"/>
      <c r="DBR243"/>
      <c r="DBS243"/>
      <c r="DBT243"/>
      <c r="DBU243"/>
      <c r="DBV243"/>
      <c r="DBW243"/>
      <c r="DBX243"/>
      <c r="DBY243"/>
      <c r="DBZ243"/>
      <c r="DCA243"/>
      <c r="DCB243"/>
      <c r="DCC243"/>
      <c r="DCD243"/>
      <c r="DCE243"/>
      <c r="DCF243"/>
      <c r="DCG243"/>
      <c r="DCH243"/>
      <c r="DCI243"/>
      <c r="DCJ243"/>
      <c r="DCK243"/>
      <c r="DCL243"/>
      <c r="DCM243"/>
      <c r="DCN243"/>
      <c r="DCO243"/>
      <c r="DCP243"/>
      <c r="DCQ243"/>
      <c r="DCR243"/>
      <c r="DCS243"/>
      <c r="DCT243"/>
      <c r="DCU243"/>
      <c r="DCV243"/>
      <c r="DCW243"/>
      <c r="DCX243"/>
      <c r="DCY243"/>
      <c r="DCZ243"/>
      <c r="DDA243"/>
      <c r="DDB243"/>
      <c r="DDC243"/>
      <c r="DDD243"/>
      <c r="DDE243"/>
      <c r="DDF243"/>
      <c r="DDG243"/>
      <c r="DDH243"/>
      <c r="DDI243"/>
      <c r="DDJ243"/>
      <c r="DDK243"/>
      <c r="DDL243"/>
      <c r="DDM243"/>
      <c r="DDN243"/>
      <c r="DDO243"/>
      <c r="DDP243"/>
      <c r="DDQ243"/>
      <c r="DDR243"/>
      <c r="DDS243"/>
      <c r="DDT243"/>
      <c r="DDU243"/>
      <c r="DDV243"/>
      <c r="DDW243"/>
      <c r="DDX243"/>
      <c r="DDY243"/>
      <c r="DDZ243"/>
      <c r="DEA243"/>
      <c r="DEB243"/>
      <c r="DEC243"/>
      <c r="DED243"/>
      <c r="DEE243"/>
      <c r="DEF243"/>
      <c r="DEG243"/>
      <c r="DEH243"/>
      <c r="DEI243"/>
      <c r="DEJ243"/>
      <c r="DEK243"/>
      <c r="DEL243"/>
      <c r="DEM243"/>
      <c r="DEN243"/>
      <c r="DEO243"/>
      <c r="DEP243"/>
      <c r="DEQ243"/>
      <c r="DER243"/>
      <c r="DES243"/>
      <c r="DET243"/>
      <c r="DEU243"/>
      <c r="DEV243"/>
      <c r="DEW243"/>
      <c r="DEX243"/>
      <c r="DEY243"/>
      <c r="DEZ243"/>
      <c r="DFA243"/>
      <c r="DFB243"/>
      <c r="DFC243"/>
      <c r="DFD243"/>
      <c r="DFE243"/>
      <c r="DFF243"/>
      <c r="DFG243"/>
      <c r="DFH243"/>
      <c r="DFI243"/>
      <c r="DFJ243"/>
      <c r="DFK243"/>
      <c r="DFL243"/>
      <c r="DFM243"/>
      <c r="DFN243"/>
      <c r="DFO243"/>
      <c r="DFP243"/>
      <c r="DFQ243"/>
      <c r="DFR243"/>
      <c r="DFS243"/>
      <c r="DFT243"/>
      <c r="DFU243"/>
      <c r="DFV243"/>
      <c r="DFW243"/>
      <c r="DFX243"/>
      <c r="DFY243"/>
      <c r="DFZ243"/>
      <c r="DGA243"/>
      <c r="DGB243"/>
      <c r="DGC243"/>
      <c r="DGD243"/>
      <c r="DGE243"/>
      <c r="DGF243"/>
      <c r="DGG243"/>
      <c r="DGH243"/>
      <c r="DGI243"/>
      <c r="DGJ243"/>
      <c r="DGK243"/>
      <c r="DGL243"/>
      <c r="DGM243"/>
      <c r="DGN243"/>
      <c r="DGO243"/>
      <c r="DGP243"/>
      <c r="DGQ243"/>
      <c r="DGR243"/>
      <c r="DGS243"/>
      <c r="DGT243"/>
      <c r="DGU243"/>
      <c r="DGV243"/>
      <c r="DGW243"/>
      <c r="DGX243"/>
      <c r="DGY243"/>
      <c r="DGZ243"/>
      <c r="DHA243"/>
      <c r="DHB243"/>
      <c r="DHC243"/>
      <c r="DHD243"/>
      <c r="DHE243"/>
      <c r="DHF243"/>
      <c r="DHG243"/>
      <c r="DHH243"/>
      <c r="DHI243"/>
      <c r="DHJ243"/>
      <c r="DHK243"/>
      <c r="DHL243"/>
      <c r="DHM243"/>
      <c r="DHN243"/>
      <c r="DHO243"/>
      <c r="DHP243"/>
      <c r="DHQ243"/>
      <c r="DHR243"/>
      <c r="DHS243"/>
      <c r="DHT243"/>
      <c r="DHU243"/>
      <c r="DHV243"/>
      <c r="DHW243"/>
      <c r="DHX243"/>
      <c r="DHY243"/>
      <c r="DHZ243"/>
      <c r="DIA243"/>
      <c r="DIB243"/>
      <c r="DIC243"/>
      <c r="DID243"/>
      <c r="DIE243"/>
      <c r="DIF243"/>
      <c r="DIG243"/>
      <c r="DIH243"/>
      <c r="DII243"/>
      <c r="DIJ243"/>
      <c r="DIK243"/>
      <c r="DIL243"/>
      <c r="DIM243"/>
      <c r="DIN243"/>
      <c r="DIO243"/>
      <c r="DIP243"/>
      <c r="DIQ243"/>
      <c r="DIR243"/>
      <c r="DIS243"/>
      <c r="DIT243"/>
      <c r="DIU243"/>
      <c r="DIV243"/>
      <c r="DIW243"/>
      <c r="DIX243"/>
      <c r="DIY243"/>
      <c r="DIZ243"/>
      <c r="DJA243"/>
      <c r="DJB243"/>
      <c r="DJC243"/>
      <c r="DJD243"/>
      <c r="DJE243"/>
      <c r="DJF243"/>
      <c r="DJG243"/>
      <c r="DJH243"/>
      <c r="DJI243"/>
      <c r="DJJ243"/>
      <c r="DJK243"/>
      <c r="DJL243"/>
      <c r="DJM243"/>
      <c r="DJN243"/>
      <c r="DJO243"/>
      <c r="DJP243"/>
      <c r="DJQ243"/>
      <c r="DJR243"/>
      <c r="DJS243"/>
      <c r="DJT243"/>
      <c r="DJU243"/>
      <c r="DJV243"/>
      <c r="DJW243"/>
      <c r="DJX243"/>
      <c r="DJY243"/>
      <c r="DJZ243"/>
      <c r="DKA243"/>
      <c r="DKB243"/>
      <c r="DKC243"/>
      <c r="DKD243"/>
      <c r="DKE243"/>
      <c r="DKF243"/>
      <c r="DKG243"/>
      <c r="DKH243"/>
      <c r="DKI243"/>
      <c r="DKJ243"/>
      <c r="DKK243"/>
      <c r="DKL243"/>
      <c r="DKM243"/>
      <c r="DKN243"/>
      <c r="DKO243"/>
      <c r="DKP243"/>
      <c r="DKQ243"/>
      <c r="DKR243"/>
      <c r="DKS243"/>
      <c r="DKT243"/>
      <c r="DKU243"/>
      <c r="DKV243"/>
      <c r="DKW243"/>
      <c r="DKX243"/>
      <c r="DKY243"/>
      <c r="DKZ243"/>
      <c r="DLA243"/>
      <c r="DLB243"/>
      <c r="DLC243"/>
      <c r="DLD243"/>
      <c r="DLE243"/>
      <c r="DLF243"/>
      <c r="DLG243"/>
      <c r="DLH243"/>
      <c r="DLI243"/>
      <c r="DLJ243"/>
      <c r="DLK243"/>
      <c r="DLL243"/>
      <c r="DLM243"/>
      <c r="DLN243"/>
      <c r="DLO243"/>
      <c r="DLP243"/>
      <c r="DLQ243"/>
      <c r="DLR243"/>
      <c r="DLS243"/>
      <c r="DLT243"/>
      <c r="DLU243"/>
      <c r="DLV243"/>
      <c r="DLW243"/>
      <c r="DLX243"/>
      <c r="DLY243"/>
      <c r="DLZ243"/>
      <c r="DMA243"/>
      <c r="DMB243"/>
      <c r="DMC243"/>
      <c r="DMD243"/>
      <c r="DME243"/>
      <c r="DMF243"/>
      <c r="DMG243"/>
      <c r="DMH243"/>
      <c r="DMI243"/>
      <c r="DMJ243"/>
      <c r="DMK243"/>
      <c r="DML243"/>
      <c r="DMM243"/>
      <c r="DMN243"/>
      <c r="DMO243"/>
      <c r="DMP243"/>
      <c r="DMQ243"/>
      <c r="DMR243"/>
      <c r="DMS243"/>
      <c r="DMT243"/>
      <c r="DMU243"/>
      <c r="DMV243"/>
      <c r="DMW243"/>
      <c r="DMX243"/>
      <c r="DMY243"/>
      <c r="DMZ243"/>
      <c r="DNA243"/>
      <c r="DNB243"/>
      <c r="DNC243"/>
      <c r="DND243"/>
      <c r="DNE243"/>
      <c r="DNF243"/>
      <c r="DNG243"/>
      <c r="DNH243"/>
      <c r="DNI243"/>
      <c r="DNJ243"/>
      <c r="DNK243"/>
      <c r="DNL243"/>
      <c r="DNM243"/>
      <c r="DNN243"/>
      <c r="DNO243"/>
      <c r="DNP243"/>
      <c r="DNQ243"/>
      <c r="DNR243"/>
      <c r="DNS243"/>
      <c r="DNT243"/>
      <c r="DNU243"/>
      <c r="DNV243"/>
      <c r="DNW243"/>
      <c r="DNX243"/>
      <c r="DNY243"/>
      <c r="DNZ243"/>
      <c r="DOA243"/>
      <c r="DOB243"/>
      <c r="DOC243"/>
      <c r="DOD243"/>
      <c r="DOE243"/>
      <c r="DOF243"/>
      <c r="DOG243"/>
      <c r="DOH243"/>
      <c r="DOI243"/>
      <c r="DOJ243"/>
      <c r="DOK243"/>
      <c r="DOL243"/>
      <c r="DOM243"/>
      <c r="DON243"/>
      <c r="DOO243"/>
      <c r="DOP243"/>
      <c r="DOQ243"/>
      <c r="DOR243"/>
      <c r="DOS243"/>
      <c r="DOT243"/>
      <c r="DOU243"/>
      <c r="DOV243"/>
      <c r="DOW243"/>
      <c r="DOX243"/>
      <c r="DOY243"/>
      <c r="DOZ243"/>
      <c r="DPA243"/>
      <c r="DPB243"/>
      <c r="DPC243"/>
      <c r="DPD243"/>
      <c r="DPE243"/>
      <c r="DPF243"/>
      <c r="DPG243"/>
      <c r="DPH243"/>
      <c r="DPI243"/>
      <c r="DPJ243"/>
      <c r="DPK243"/>
      <c r="DPL243"/>
      <c r="DPM243"/>
      <c r="DPN243"/>
      <c r="DPO243"/>
      <c r="DPP243"/>
      <c r="DPQ243"/>
      <c r="DPR243"/>
      <c r="DPS243"/>
      <c r="DPT243"/>
      <c r="DPU243"/>
      <c r="DPV243"/>
      <c r="DPW243"/>
      <c r="DPX243"/>
      <c r="DPY243"/>
      <c r="DPZ243"/>
      <c r="DQA243"/>
      <c r="DQB243"/>
      <c r="DQC243"/>
      <c r="DQD243"/>
      <c r="DQE243"/>
      <c r="DQF243"/>
      <c r="DQG243"/>
      <c r="DQH243"/>
      <c r="DQI243"/>
      <c r="DQJ243"/>
      <c r="DQK243"/>
      <c r="DQL243"/>
      <c r="DQM243"/>
      <c r="DQN243"/>
      <c r="DQO243"/>
      <c r="DQP243"/>
      <c r="DQQ243"/>
      <c r="DQR243"/>
      <c r="DQS243"/>
      <c r="DQT243"/>
      <c r="DQU243"/>
      <c r="DQV243"/>
      <c r="DQW243"/>
      <c r="DQX243"/>
      <c r="DQY243"/>
      <c r="DQZ243"/>
      <c r="DRA243"/>
      <c r="DRB243"/>
      <c r="DRC243"/>
      <c r="DRD243"/>
      <c r="DRE243"/>
      <c r="DRF243"/>
      <c r="DRG243"/>
      <c r="DRH243"/>
      <c r="DRI243"/>
      <c r="DRJ243"/>
      <c r="DRK243"/>
      <c r="DRL243"/>
      <c r="DRM243"/>
      <c r="DRN243"/>
      <c r="DRO243"/>
      <c r="DRP243"/>
      <c r="DRQ243"/>
      <c r="DRR243"/>
      <c r="DRS243"/>
      <c r="DRT243"/>
      <c r="DRU243"/>
      <c r="DRV243"/>
      <c r="DRW243"/>
      <c r="DRX243"/>
      <c r="DRY243"/>
      <c r="DRZ243"/>
      <c r="DSA243"/>
      <c r="DSB243"/>
      <c r="DSC243"/>
      <c r="DSD243"/>
      <c r="DSE243"/>
      <c r="DSF243"/>
      <c r="DSG243"/>
      <c r="DSH243"/>
      <c r="DSI243"/>
      <c r="DSJ243"/>
      <c r="DSK243"/>
      <c r="DSL243"/>
      <c r="DSM243"/>
      <c r="DSN243"/>
      <c r="DSO243"/>
      <c r="DSP243"/>
      <c r="DSQ243"/>
      <c r="DSR243"/>
      <c r="DSS243"/>
      <c r="DST243"/>
      <c r="DSU243"/>
      <c r="DSV243"/>
      <c r="DSW243"/>
      <c r="DSX243"/>
      <c r="DSY243"/>
      <c r="DSZ243"/>
      <c r="DTA243"/>
      <c r="DTB243"/>
      <c r="DTC243"/>
      <c r="DTD243"/>
      <c r="DTE243"/>
      <c r="DTF243"/>
      <c r="DTG243"/>
      <c r="DTH243"/>
      <c r="DTI243"/>
      <c r="DTJ243"/>
      <c r="DTK243"/>
      <c r="DTL243"/>
      <c r="DTM243"/>
      <c r="DTN243"/>
      <c r="DTO243"/>
      <c r="DTP243"/>
      <c r="DTQ243"/>
      <c r="DTR243"/>
      <c r="DTS243"/>
      <c r="DTT243"/>
      <c r="DTU243"/>
      <c r="DTV243"/>
      <c r="DTW243"/>
      <c r="DTX243"/>
      <c r="DTY243"/>
      <c r="DTZ243"/>
      <c r="DUA243"/>
      <c r="DUB243"/>
      <c r="DUC243"/>
      <c r="DUD243"/>
      <c r="DUE243"/>
      <c r="DUF243"/>
      <c r="DUG243"/>
      <c r="DUH243"/>
      <c r="DUI243"/>
      <c r="DUJ243"/>
      <c r="DUK243"/>
      <c r="DUL243"/>
      <c r="DUM243"/>
      <c r="DUN243"/>
      <c r="DUO243"/>
      <c r="DUP243"/>
      <c r="DUQ243"/>
      <c r="DUR243"/>
      <c r="DUS243"/>
      <c r="DUT243"/>
      <c r="DUU243"/>
      <c r="DUV243"/>
      <c r="DUW243"/>
      <c r="DUX243"/>
      <c r="DUY243"/>
      <c r="DUZ243"/>
      <c r="DVA243"/>
      <c r="DVB243"/>
      <c r="DVC243"/>
      <c r="DVD243"/>
      <c r="DVE243"/>
      <c r="DVF243"/>
      <c r="DVG243"/>
      <c r="DVH243"/>
      <c r="DVI243"/>
      <c r="DVJ243"/>
      <c r="DVK243"/>
      <c r="DVL243"/>
      <c r="DVM243"/>
      <c r="DVN243"/>
      <c r="DVO243"/>
      <c r="DVP243"/>
      <c r="DVQ243"/>
      <c r="DVR243"/>
      <c r="DVS243"/>
      <c r="DVT243"/>
      <c r="DVU243"/>
      <c r="DVV243"/>
      <c r="DVW243"/>
      <c r="DVX243"/>
      <c r="DVY243"/>
      <c r="DVZ243"/>
      <c r="DWA243"/>
      <c r="DWB243"/>
      <c r="DWC243"/>
      <c r="DWD243"/>
      <c r="DWE243"/>
      <c r="DWF243"/>
      <c r="DWG243"/>
      <c r="DWH243"/>
      <c r="DWI243"/>
      <c r="DWJ243"/>
      <c r="DWK243"/>
      <c r="DWL243"/>
      <c r="DWM243"/>
      <c r="DWN243"/>
      <c r="DWO243"/>
      <c r="DWP243"/>
      <c r="DWQ243"/>
      <c r="DWR243"/>
      <c r="DWS243"/>
      <c r="DWT243"/>
      <c r="DWU243"/>
      <c r="DWV243"/>
      <c r="DWW243"/>
      <c r="DWX243"/>
      <c r="DWY243"/>
      <c r="DWZ243"/>
      <c r="DXA243"/>
      <c r="DXB243"/>
      <c r="DXC243"/>
      <c r="DXD243"/>
      <c r="DXE243"/>
      <c r="DXF243"/>
      <c r="DXG243"/>
      <c r="DXH243"/>
      <c r="DXI243"/>
      <c r="DXJ243"/>
      <c r="DXK243"/>
      <c r="DXL243"/>
      <c r="DXM243"/>
      <c r="DXN243"/>
      <c r="DXO243"/>
      <c r="DXP243"/>
      <c r="DXQ243"/>
      <c r="DXR243"/>
      <c r="DXS243"/>
      <c r="DXT243"/>
      <c r="DXU243"/>
      <c r="DXV243"/>
      <c r="DXW243"/>
      <c r="DXX243"/>
      <c r="DXY243"/>
      <c r="DXZ243"/>
      <c r="DYA243"/>
      <c r="DYB243"/>
      <c r="DYC243"/>
      <c r="DYD243"/>
      <c r="DYE243"/>
      <c r="DYF243"/>
      <c r="DYG243"/>
      <c r="DYH243"/>
      <c r="DYI243"/>
      <c r="DYJ243"/>
      <c r="DYK243"/>
      <c r="DYL243"/>
      <c r="DYM243"/>
      <c r="DYN243"/>
      <c r="DYO243"/>
      <c r="DYP243"/>
      <c r="DYQ243"/>
      <c r="DYR243"/>
      <c r="DYS243"/>
      <c r="DYT243"/>
      <c r="DYU243"/>
      <c r="DYV243"/>
      <c r="DYW243"/>
      <c r="DYX243"/>
      <c r="DYY243"/>
      <c r="DYZ243"/>
      <c r="DZA243"/>
      <c r="DZB243"/>
      <c r="DZC243"/>
      <c r="DZD243"/>
      <c r="DZE243"/>
      <c r="DZF243"/>
      <c r="DZG243"/>
      <c r="DZH243"/>
      <c r="DZI243"/>
      <c r="DZJ243"/>
      <c r="DZK243"/>
      <c r="DZL243"/>
      <c r="DZM243"/>
      <c r="DZN243"/>
      <c r="DZO243"/>
      <c r="DZP243"/>
      <c r="DZQ243"/>
      <c r="DZR243"/>
      <c r="DZS243"/>
      <c r="DZT243"/>
      <c r="DZU243"/>
      <c r="DZV243"/>
      <c r="DZW243"/>
      <c r="DZX243"/>
      <c r="DZY243"/>
      <c r="DZZ243"/>
      <c r="EAA243"/>
      <c r="EAB243"/>
      <c r="EAC243"/>
      <c r="EAD243"/>
      <c r="EAE243"/>
      <c r="EAF243"/>
      <c r="EAG243"/>
      <c r="EAH243"/>
      <c r="EAI243"/>
      <c r="EAJ243"/>
      <c r="EAK243"/>
      <c r="EAL243"/>
      <c r="EAM243"/>
      <c r="EAN243"/>
      <c r="EAO243"/>
      <c r="EAP243"/>
      <c r="EAQ243"/>
      <c r="EAR243"/>
      <c r="EAS243"/>
      <c r="EAT243"/>
      <c r="EAU243"/>
      <c r="EAV243"/>
      <c r="EAW243"/>
      <c r="EAX243"/>
      <c r="EAY243"/>
      <c r="EAZ243"/>
      <c r="EBA243"/>
      <c r="EBB243"/>
      <c r="EBC243"/>
      <c r="EBD243"/>
      <c r="EBE243"/>
      <c r="EBF243"/>
      <c r="EBG243"/>
      <c r="EBH243"/>
      <c r="EBI243"/>
      <c r="EBJ243"/>
      <c r="EBK243"/>
      <c r="EBL243"/>
      <c r="EBM243"/>
      <c r="EBN243"/>
      <c r="EBO243"/>
      <c r="EBP243"/>
      <c r="EBQ243"/>
      <c r="EBR243"/>
      <c r="EBS243"/>
      <c r="EBT243"/>
      <c r="EBU243"/>
      <c r="EBV243"/>
      <c r="EBW243"/>
      <c r="EBX243"/>
      <c r="EBY243"/>
      <c r="EBZ243"/>
      <c r="ECA243"/>
      <c r="ECB243"/>
      <c r="ECC243"/>
      <c r="ECD243"/>
      <c r="ECE243"/>
      <c r="ECF243"/>
      <c r="ECG243"/>
      <c r="ECH243"/>
      <c r="ECI243"/>
      <c r="ECJ243"/>
      <c r="ECK243"/>
      <c r="ECL243"/>
      <c r="ECM243"/>
      <c r="ECN243"/>
      <c r="ECO243"/>
      <c r="ECP243"/>
      <c r="ECQ243"/>
      <c r="ECR243"/>
      <c r="ECS243"/>
      <c r="ECT243"/>
      <c r="ECU243"/>
      <c r="ECV243"/>
      <c r="ECW243"/>
      <c r="ECX243"/>
      <c r="ECY243"/>
      <c r="ECZ243"/>
      <c r="EDA243"/>
      <c r="EDB243"/>
      <c r="EDC243"/>
      <c r="EDD243"/>
      <c r="EDE243"/>
      <c r="EDF243"/>
      <c r="EDG243"/>
      <c r="EDH243"/>
      <c r="EDI243"/>
      <c r="EDJ243"/>
      <c r="EDK243"/>
      <c r="EDL243"/>
      <c r="EDM243"/>
      <c r="EDN243"/>
      <c r="EDO243"/>
      <c r="EDP243"/>
      <c r="EDQ243"/>
      <c r="EDR243"/>
      <c r="EDS243"/>
      <c r="EDT243"/>
      <c r="EDU243"/>
      <c r="EDV243"/>
      <c r="EDW243"/>
      <c r="EDX243"/>
      <c r="EDY243"/>
      <c r="EDZ243"/>
      <c r="EEA243"/>
      <c r="EEB243"/>
      <c r="EEC243"/>
      <c r="EED243"/>
      <c r="EEE243"/>
      <c r="EEF243"/>
      <c r="EEG243"/>
      <c r="EEH243"/>
      <c r="EEI243"/>
      <c r="EEJ243"/>
      <c r="EEK243"/>
      <c r="EEL243"/>
      <c r="EEM243"/>
      <c r="EEN243"/>
      <c r="EEO243"/>
      <c r="EEP243"/>
      <c r="EEQ243"/>
      <c r="EER243"/>
      <c r="EES243"/>
      <c r="EET243"/>
      <c r="EEU243"/>
      <c r="EEV243"/>
      <c r="EEW243"/>
      <c r="EEX243"/>
      <c r="EEY243"/>
      <c r="EEZ243"/>
      <c r="EFA243"/>
      <c r="EFB243"/>
      <c r="EFC243"/>
      <c r="EFD243"/>
      <c r="EFE243"/>
      <c r="EFF243"/>
      <c r="EFG243"/>
      <c r="EFH243"/>
      <c r="EFI243"/>
      <c r="EFJ243"/>
      <c r="EFK243"/>
      <c r="EFL243"/>
      <c r="EFM243"/>
      <c r="EFN243"/>
      <c r="EFO243"/>
      <c r="EFP243"/>
      <c r="EFQ243"/>
      <c r="EFR243"/>
      <c r="EFS243"/>
      <c r="EFT243"/>
      <c r="EFU243"/>
      <c r="EFV243"/>
      <c r="EFW243"/>
      <c r="EFX243"/>
      <c r="EFY243"/>
      <c r="EFZ243"/>
      <c r="EGA243"/>
      <c r="EGB243"/>
      <c r="EGC243"/>
      <c r="EGD243"/>
      <c r="EGE243"/>
      <c r="EGF243"/>
      <c r="EGG243"/>
      <c r="EGH243"/>
      <c r="EGI243"/>
      <c r="EGJ243"/>
      <c r="EGK243"/>
      <c r="EGL243"/>
      <c r="EGM243"/>
      <c r="EGN243"/>
      <c r="EGO243"/>
      <c r="EGP243"/>
      <c r="EGQ243"/>
      <c r="EGR243"/>
      <c r="EGS243"/>
      <c r="EGT243"/>
      <c r="EGU243"/>
      <c r="EGV243"/>
      <c r="EGW243"/>
      <c r="EGX243"/>
      <c r="EGY243"/>
      <c r="EGZ243"/>
      <c r="EHA243"/>
      <c r="EHB243"/>
      <c r="EHC243"/>
      <c r="EHD243"/>
      <c r="EHE243"/>
      <c r="EHF243"/>
      <c r="EHG243"/>
      <c r="EHH243"/>
      <c r="EHI243"/>
      <c r="EHJ243"/>
      <c r="EHK243"/>
      <c r="EHL243"/>
      <c r="EHM243"/>
      <c r="EHN243"/>
      <c r="EHO243"/>
      <c r="EHP243"/>
      <c r="EHQ243"/>
      <c r="EHR243"/>
      <c r="EHS243"/>
      <c r="EHT243"/>
      <c r="EHU243"/>
      <c r="EHV243"/>
      <c r="EHW243"/>
      <c r="EHX243"/>
      <c r="EHY243"/>
      <c r="EHZ243"/>
      <c r="EIA243"/>
      <c r="EIB243"/>
      <c r="EIC243"/>
      <c r="EID243"/>
      <c r="EIE243"/>
      <c r="EIF243"/>
      <c r="EIG243"/>
      <c r="EIH243"/>
      <c r="EII243"/>
      <c r="EIJ243"/>
      <c r="EIK243"/>
      <c r="EIL243"/>
      <c r="EIM243"/>
      <c r="EIN243"/>
      <c r="EIO243"/>
      <c r="EIP243"/>
      <c r="EIQ243"/>
      <c r="EIR243"/>
      <c r="EIS243"/>
      <c r="EIT243"/>
      <c r="EIU243"/>
      <c r="EIV243"/>
      <c r="EIW243"/>
      <c r="EIX243"/>
      <c r="EIY243"/>
      <c r="EIZ243"/>
      <c r="EJA243"/>
      <c r="EJB243"/>
      <c r="EJC243"/>
      <c r="EJD243"/>
      <c r="EJE243"/>
      <c r="EJF243"/>
      <c r="EJG243"/>
      <c r="EJH243"/>
      <c r="EJI243"/>
      <c r="EJJ243"/>
      <c r="EJK243"/>
      <c r="EJL243"/>
      <c r="EJM243"/>
      <c r="EJN243"/>
      <c r="EJO243"/>
      <c r="EJP243"/>
      <c r="EJQ243"/>
      <c r="EJR243"/>
      <c r="EJS243"/>
      <c r="EJT243"/>
      <c r="EJU243"/>
      <c r="EJV243"/>
      <c r="EJW243"/>
      <c r="EJX243"/>
      <c r="EJY243"/>
      <c r="EJZ243"/>
      <c r="EKA243"/>
      <c r="EKB243"/>
      <c r="EKC243"/>
      <c r="EKD243"/>
      <c r="EKE243"/>
      <c r="EKF243"/>
      <c r="EKG243"/>
      <c r="EKH243"/>
      <c r="EKI243"/>
      <c r="EKJ243"/>
      <c r="EKK243"/>
      <c r="EKL243"/>
      <c r="EKM243"/>
      <c r="EKN243"/>
      <c r="EKO243"/>
      <c r="EKP243"/>
      <c r="EKQ243"/>
      <c r="EKR243"/>
      <c r="EKS243"/>
      <c r="EKT243"/>
      <c r="EKU243"/>
      <c r="EKV243"/>
      <c r="EKW243"/>
      <c r="EKX243"/>
      <c r="EKY243"/>
      <c r="EKZ243"/>
      <c r="ELA243"/>
      <c r="ELB243"/>
      <c r="ELC243"/>
      <c r="ELD243"/>
      <c r="ELE243"/>
      <c r="ELF243"/>
      <c r="ELG243"/>
      <c r="ELH243"/>
      <c r="ELI243"/>
      <c r="ELJ243"/>
      <c r="ELK243"/>
      <c r="ELL243"/>
      <c r="ELM243"/>
      <c r="ELN243"/>
      <c r="ELO243"/>
      <c r="ELP243"/>
      <c r="ELQ243"/>
      <c r="ELR243"/>
      <c r="ELS243"/>
      <c r="ELT243"/>
      <c r="ELU243"/>
      <c r="ELV243"/>
      <c r="ELW243"/>
      <c r="ELX243"/>
      <c r="ELY243"/>
      <c r="ELZ243"/>
      <c r="EMA243"/>
      <c r="EMB243"/>
      <c r="EMC243"/>
      <c r="EMD243"/>
      <c r="EME243"/>
      <c r="EMF243"/>
      <c r="EMG243"/>
      <c r="EMH243"/>
      <c r="EMI243"/>
      <c r="EMJ243"/>
      <c r="EMK243"/>
      <c r="EML243"/>
      <c r="EMM243"/>
      <c r="EMN243"/>
      <c r="EMO243"/>
      <c r="EMP243"/>
      <c r="EMQ243"/>
      <c r="EMR243"/>
      <c r="EMS243"/>
      <c r="EMT243"/>
      <c r="EMU243"/>
      <c r="EMV243"/>
      <c r="EMW243"/>
      <c r="EMX243"/>
      <c r="EMY243"/>
      <c r="EMZ243"/>
      <c r="ENA243"/>
      <c r="ENB243"/>
      <c r="ENC243"/>
      <c r="END243"/>
      <c r="ENE243"/>
      <c r="ENF243"/>
      <c r="ENG243"/>
      <c r="ENH243"/>
      <c r="ENI243"/>
      <c r="ENJ243"/>
      <c r="ENK243"/>
      <c r="ENL243"/>
      <c r="ENM243"/>
      <c r="ENN243"/>
      <c r="ENO243"/>
      <c r="ENP243"/>
      <c r="ENQ243"/>
      <c r="ENR243"/>
      <c r="ENS243"/>
      <c r="ENT243"/>
      <c r="ENU243"/>
      <c r="ENV243"/>
      <c r="ENW243"/>
      <c r="ENX243"/>
      <c r="ENY243"/>
      <c r="ENZ243"/>
      <c r="EOA243"/>
      <c r="EOB243"/>
      <c r="EOC243"/>
      <c r="EOD243"/>
      <c r="EOE243"/>
      <c r="EOF243"/>
      <c r="EOG243"/>
      <c r="EOH243"/>
      <c r="EOI243"/>
      <c r="EOJ243"/>
      <c r="EOK243"/>
      <c r="EOL243"/>
      <c r="EOM243"/>
      <c r="EON243"/>
      <c r="EOO243"/>
      <c r="EOP243"/>
      <c r="EOQ243"/>
      <c r="EOR243"/>
      <c r="EOS243"/>
      <c r="EOT243"/>
      <c r="EOU243"/>
      <c r="EOV243"/>
      <c r="EOW243"/>
      <c r="EOX243"/>
      <c r="EOY243"/>
      <c r="EOZ243"/>
      <c r="EPA243"/>
      <c r="EPB243"/>
      <c r="EPC243"/>
      <c r="EPD243"/>
      <c r="EPE243"/>
      <c r="EPF243"/>
      <c r="EPG243"/>
      <c r="EPH243"/>
      <c r="EPI243"/>
      <c r="EPJ243"/>
      <c r="EPK243"/>
      <c r="EPL243"/>
      <c r="EPM243"/>
      <c r="EPN243"/>
      <c r="EPO243"/>
      <c r="EPP243"/>
      <c r="EPQ243"/>
      <c r="EPR243"/>
      <c r="EPS243"/>
      <c r="EPT243"/>
      <c r="EPU243"/>
      <c r="EPV243"/>
      <c r="EPW243"/>
      <c r="EPX243"/>
      <c r="EPY243"/>
      <c r="EPZ243"/>
      <c r="EQA243"/>
      <c r="EQB243"/>
      <c r="EQC243"/>
      <c r="EQD243"/>
      <c r="EQE243"/>
      <c r="EQF243"/>
      <c r="EQG243"/>
      <c r="EQH243"/>
      <c r="EQI243"/>
      <c r="EQJ243"/>
      <c r="EQK243"/>
      <c r="EQL243"/>
      <c r="EQM243"/>
      <c r="EQN243"/>
      <c r="EQO243"/>
      <c r="EQP243"/>
      <c r="EQQ243"/>
      <c r="EQR243"/>
      <c r="EQS243"/>
      <c r="EQT243"/>
      <c r="EQU243"/>
      <c r="EQV243"/>
      <c r="EQW243"/>
      <c r="EQX243"/>
      <c r="EQY243"/>
      <c r="EQZ243"/>
      <c r="ERA243"/>
      <c r="ERB243"/>
      <c r="ERC243"/>
      <c r="ERD243"/>
      <c r="ERE243"/>
      <c r="ERF243"/>
      <c r="ERG243"/>
      <c r="ERH243"/>
      <c r="ERI243"/>
      <c r="ERJ243"/>
      <c r="ERK243"/>
      <c r="ERL243"/>
      <c r="ERM243"/>
      <c r="ERN243"/>
      <c r="ERO243"/>
      <c r="ERP243"/>
      <c r="ERQ243"/>
      <c r="ERR243"/>
      <c r="ERS243"/>
      <c r="ERT243"/>
      <c r="ERU243"/>
      <c r="ERV243"/>
      <c r="ERW243"/>
      <c r="ERX243"/>
      <c r="ERY243"/>
      <c r="ERZ243"/>
      <c r="ESA243"/>
      <c r="ESB243"/>
      <c r="ESC243"/>
      <c r="ESD243"/>
      <c r="ESE243"/>
      <c r="ESF243"/>
      <c r="ESG243"/>
      <c r="ESH243"/>
      <c r="ESI243"/>
      <c r="ESJ243"/>
      <c r="ESK243"/>
      <c r="ESL243"/>
      <c r="ESM243"/>
      <c r="ESN243"/>
      <c r="ESO243"/>
      <c r="ESP243"/>
      <c r="ESQ243"/>
      <c r="ESR243"/>
      <c r="ESS243"/>
      <c r="EST243"/>
      <c r="ESU243"/>
      <c r="ESV243"/>
      <c r="ESW243"/>
      <c r="ESX243"/>
      <c r="ESY243"/>
      <c r="ESZ243"/>
      <c r="ETA243"/>
      <c r="ETB243"/>
      <c r="ETC243"/>
      <c r="ETD243"/>
      <c r="ETE243"/>
      <c r="ETF243"/>
      <c r="ETG243"/>
      <c r="ETH243"/>
      <c r="ETI243"/>
      <c r="ETJ243"/>
      <c r="ETK243"/>
      <c r="ETL243"/>
      <c r="ETM243"/>
      <c r="ETN243"/>
      <c r="ETO243"/>
      <c r="ETP243"/>
      <c r="ETQ243"/>
      <c r="ETR243"/>
      <c r="ETS243"/>
      <c r="ETT243"/>
      <c r="ETU243"/>
      <c r="ETV243"/>
      <c r="ETW243"/>
      <c r="ETX243"/>
      <c r="ETY243"/>
      <c r="ETZ243"/>
      <c r="EUA243"/>
      <c r="EUB243"/>
      <c r="EUC243"/>
      <c r="EUD243"/>
      <c r="EUE243"/>
      <c r="EUF243"/>
      <c r="EUG243"/>
      <c r="EUH243"/>
      <c r="EUI243"/>
      <c r="EUJ243"/>
      <c r="EUK243"/>
      <c r="EUL243"/>
      <c r="EUM243"/>
      <c r="EUN243"/>
      <c r="EUO243"/>
      <c r="EUP243"/>
      <c r="EUQ243"/>
      <c r="EUR243"/>
      <c r="EUS243"/>
      <c r="EUT243"/>
      <c r="EUU243"/>
      <c r="EUV243"/>
      <c r="EUW243"/>
      <c r="EUX243"/>
      <c r="EUY243"/>
      <c r="EUZ243"/>
      <c r="EVA243"/>
      <c r="EVB243"/>
      <c r="EVC243"/>
      <c r="EVD243"/>
      <c r="EVE243"/>
      <c r="EVF243"/>
      <c r="EVG243"/>
      <c r="EVH243"/>
      <c r="EVI243"/>
      <c r="EVJ243"/>
      <c r="EVK243"/>
      <c r="EVL243"/>
      <c r="EVM243"/>
      <c r="EVN243"/>
      <c r="EVO243"/>
      <c r="EVP243"/>
      <c r="EVQ243"/>
      <c r="EVR243"/>
      <c r="EVS243"/>
      <c r="EVT243"/>
      <c r="EVU243"/>
      <c r="EVV243"/>
      <c r="EVW243"/>
      <c r="EVX243"/>
      <c r="EVY243"/>
      <c r="EVZ243"/>
      <c r="EWA243"/>
      <c r="EWB243"/>
      <c r="EWC243"/>
      <c r="EWD243"/>
      <c r="EWE243"/>
      <c r="EWF243"/>
      <c r="EWG243"/>
      <c r="EWH243"/>
      <c r="EWI243"/>
      <c r="EWJ243"/>
      <c r="EWK243"/>
      <c r="EWL243"/>
      <c r="EWM243"/>
      <c r="EWN243"/>
      <c r="EWO243"/>
      <c r="EWP243"/>
      <c r="EWQ243"/>
      <c r="EWR243"/>
      <c r="EWS243"/>
      <c r="EWT243"/>
      <c r="EWU243"/>
      <c r="EWV243"/>
      <c r="EWW243"/>
      <c r="EWX243"/>
      <c r="EWY243"/>
      <c r="EWZ243"/>
      <c r="EXA243"/>
      <c r="EXB243"/>
      <c r="EXC243"/>
      <c r="EXD243"/>
      <c r="EXE243"/>
      <c r="EXF243"/>
      <c r="EXG243"/>
      <c r="EXH243"/>
      <c r="EXI243"/>
      <c r="EXJ243"/>
      <c r="EXK243"/>
      <c r="EXL243"/>
      <c r="EXM243"/>
      <c r="EXN243"/>
      <c r="EXO243"/>
      <c r="EXP243"/>
      <c r="EXQ243"/>
      <c r="EXR243"/>
      <c r="EXS243"/>
      <c r="EXT243"/>
      <c r="EXU243"/>
      <c r="EXV243"/>
      <c r="EXW243"/>
      <c r="EXX243"/>
      <c r="EXY243"/>
      <c r="EXZ243"/>
      <c r="EYA243"/>
      <c r="EYB243"/>
      <c r="EYC243"/>
      <c r="EYD243"/>
      <c r="EYE243"/>
      <c r="EYF243"/>
      <c r="EYG243"/>
      <c r="EYH243"/>
      <c r="EYI243"/>
      <c r="EYJ243"/>
      <c r="EYK243"/>
      <c r="EYL243"/>
      <c r="EYM243"/>
      <c r="EYN243"/>
      <c r="EYO243"/>
      <c r="EYP243"/>
      <c r="EYQ243"/>
      <c r="EYR243"/>
      <c r="EYS243"/>
      <c r="EYT243"/>
      <c r="EYU243"/>
      <c r="EYV243"/>
      <c r="EYW243"/>
      <c r="EYX243"/>
      <c r="EYY243"/>
      <c r="EYZ243"/>
      <c r="EZA243"/>
      <c r="EZB243"/>
      <c r="EZC243"/>
      <c r="EZD243"/>
      <c r="EZE243"/>
      <c r="EZF243"/>
      <c r="EZG243"/>
      <c r="EZH243"/>
      <c r="EZI243"/>
      <c r="EZJ243"/>
      <c r="EZK243"/>
      <c r="EZL243"/>
      <c r="EZM243"/>
      <c r="EZN243"/>
      <c r="EZO243"/>
      <c r="EZP243"/>
      <c r="EZQ243"/>
      <c r="EZR243"/>
      <c r="EZS243"/>
      <c r="EZT243"/>
      <c r="EZU243"/>
      <c r="EZV243"/>
      <c r="EZW243"/>
      <c r="EZX243"/>
      <c r="EZY243"/>
      <c r="EZZ243"/>
      <c r="FAA243"/>
      <c r="FAB243"/>
      <c r="FAC243"/>
      <c r="FAD243"/>
      <c r="FAE243"/>
      <c r="FAF243"/>
      <c r="FAG243"/>
      <c r="FAH243"/>
      <c r="FAI243"/>
      <c r="FAJ243"/>
      <c r="FAK243"/>
      <c r="FAL243"/>
      <c r="FAM243"/>
      <c r="FAN243"/>
      <c r="FAO243"/>
      <c r="FAP243"/>
      <c r="FAQ243"/>
      <c r="FAR243"/>
      <c r="FAS243"/>
      <c r="FAT243"/>
      <c r="FAU243"/>
      <c r="FAV243"/>
      <c r="FAW243"/>
      <c r="FAX243"/>
      <c r="FAY243"/>
      <c r="FAZ243"/>
      <c r="FBA243"/>
      <c r="FBB243"/>
      <c r="FBC243"/>
      <c r="FBD243"/>
      <c r="FBE243"/>
      <c r="FBF243"/>
      <c r="FBG243"/>
      <c r="FBH243"/>
      <c r="FBI243"/>
      <c r="FBJ243"/>
      <c r="FBK243"/>
      <c r="FBL243"/>
      <c r="FBM243"/>
      <c r="FBN243"/>
      <c r="FBO243"/>
      <c r="FBP243"/>
      <c r="FBQ243"/>
      <c r="FBR243"/>
      <c r="FBS243"/>
      <c r="FBT243"/>
      <c r="FBU243"/>
      <c r="FBV243"/>
      <c r="FBW243"/>
      <c r="FBX243"/>
      <c r="FBY243"/>
      <c r="FBZ243"/>
      <c r="FCA243"/>
      <c r="FCB243"/>
      <c r="FCC243"/>
      <c r="FCD243"/>
      <c r="FCE243"/>
      <c r="FCF243"/>
      <c r="FCG243"/>
      <c r="FCH243"/>
      <c r="FCI243"/>
      <c r="FCJ243"/>
      <c r="FCK243"/>
      <c r="FCL243"/>
      <c r="FCM243"/>
      <c r="FCN243"/>
      <c r="FCO243"/>
      <c r="FCP243"/>
      <c r="FCQ243"/>
      <c r="FCR243"/>
      <c r="FCS243"/>
      <c r="FCT243"/>
      <c r="FCU243"/>
      <c r="FCV243"/>
      <c r="FCW243"/>
      <c r="FCX243"/>
      <c r="FCY243"/>
      <c r="FCZ243"/>
      <c r="FDA243"/>
      <c r="FDB243"/>
      <c r="FDC243"/>
      <c r="FDD243"/>
      <c r="FDE243"/>
      <c r="FDF243"/>
      <c r="FDG243"/>
      <c r="FDH243"/>
      <c r="FDI243"/>
      <c r="FDJ243"/>
      <c r="FDK243"/>
      <c r="FDL243"/>
      <c r="FDM243"/>
      <c r="FDN243"/>
      <c r="FDO243"/>
      <c r="FDP243"/>
      <c r="FDQ243"/>
      <c r="FDR243"/>
      <c r="FDS243"/>
      <c r="FDT243"/>
      <c r="FDU243"/>
      <c r="FDV243"/>
      <c r="FDW243"/>
      <c r="FDX243"/>
      <c r="FDY243"/>
      <c r="FDZ243"/>
      <c r="FEA243"/>
      <c r="FEB243"/>
      <c r="FEC243"/>
      <c r="FED243"/>
      <c r="FEE243"/>
      <c r="FEF243"/>
      <c r="FEG243"/>
      <c r="FEH243"/>
      <c r="FEI243"/>
      <c r="FEJ243"/>
      <c r="FEK243"/>
      <c r="FEL243"/>
      <c r="FEM243"/>
      <c r="FEN243"/>
      <c r="FEO243"/>
      <c r="FEP243"/>
      <c r="FEQ243"/>
      <c r="FER243"/>
      <c r="FES243"/>
      <c r="FET243"/>
      <c r="FEU243"/>
      <c r="FEV243"/>
      <c r="FEW243"/>
      <c r="FEX243"/>
      <c r="FEY243"/>
      <c r="FEZ243"/>
      <c r="FFA243"/>
      <c r="FFB243"/>
      <c r="FFC243"/>
      <c r="FFD243"/>
      <c r="FFE243"/>
      <c r="FFF243"/>
      <c r="FFG243"/>
      <c r="FFH243"/>
      <c r="FFI243"/>
      <c r="FFJ243"/>
      <c r="FFK243"/>
      <c r="FFL243"/>
      <c r="FFM243"/>
      <c r="FFN243"/>
      <c r="FFO243"/>
      <c r="FFP243"/>
      <c r="FFQ243"/>
      <c r="FFR243"/>
      <c r="FFS243"/>
      <c r="FFT243"/>
      <c r="FFU243"/>
      <c r="FFV243"/>
      <c r="FFW243"/>
      <c r="FFX243"/>
      <c r="FFY243"/>
      <c r="FFZ243"/>
      <c r="FGA243"/>
      <c r="FGB243"/>
      <c r="FGC243"/>
      <c r="FGD243"/>
      <c r="FGE243"/>
      <c r="FGF243"/>
      <c r="FGG243"/>
      <c r="FGH243"/>
      <c r="FGI243"/>
      <c r="FGJ243"/>
      <c r="FGK243"/>
      <c r="FGL243"/>
      <c r="FGM243"/>
      <c r="FGN243"/>
      <c r="FGO243"/>
      <c r="FGP243"/>
      <c r="FGQ243"/>
      <c r="FGR243"/>
      <c r="FGS243"/>
      <c r="FGT243"/>
      <c r="FGU243"/>
      <c r="FGV243"/>
      <c r="FGW243"/>
      <c r="FGX243"/>
      <c r="FGY243"/>
      <c r="FGZ243"/>
      <c r="FHA243"/>
      <c r="FHB243"/>
      <c r="FHC243"/>
      <c r="FHD243"/>
      <c r="FHE243"/>
      <c r="FHF243"/>
      <c r="FHG243"/>
      <c r="FHH243"/>
      <c r="FHI243"/>
      <c r="FHJ243"/>
      <c r="FHK243"/>
      <c r="FHL243"/>
      <c r="FHM243"/>
      <c r="FHN243"/>
      <c r="FHO243"/>
      <c r="FHP243"/>
      <c r="FHQ243"/>
      <c r="FHR243"/>
      <c r="FHS243"/>
      <c r="FHT243"/>
      <c r="FHU243"/>
      <c r="FHV243"/>
      <c r="FHW243"/>
      <c r="FHX243"/>
      <c r="FHY243"/>
      <c r="FHZ243"/>
      <c r="FIA243"/>
      <c r="FIB243"/>
      <c r="FIC243"/>
      <c r="FID243"/>
      <c r="FIE243"/>
      <c r="FIF243"/>
      <c r="FIG243"/>
      <c r="FIH243"/>
      <c r="FII243"/>
      <c r="FIJ243"/>
      <c r="FIK243"/>
      <c r="FIL243"/>
      <c r="FIM243"/>
      <c r="FIN243"/>
      <c r="FIO243"/>
      <c r="FIP243"/>
      <c r="FIQ243"/>
      <c r="FIR243"/>
      <c r="FIS243"/>
      <c r="FIT243"/>
      <c r="FIU243"/>
      <c r="FIV243"/>
      <c r="FIW243"/>
      <c r="FIX243"/>
      <c r="FIY243"/>
      <c r="FIZ243"/>
      <c r="FJA243"/>
      <c r="FJB243"/>
      <c r="FJC243"/>
      <c r="FJD243"/>
      <c r="FJE243"/>
      <c r="FJF243"/>
      <c r="FJG243"/>
      <c r="FJH243"/>
      <c r="FJI243"/>
      <c r="FJJ243"/>
      <c r="FJK243"/>
      <c r="FJL243"/>
      <c r="FJM243"/>
      <c r="FJN243"/>
      <c r="FJO243"/>
      <c r="FJP243"/>
      <c r="FJQ243"/>
      <c r="FJR243"/>
      <c r="FJS243"/>
      <c r="FJT243"/>
      <c r="FJU243"/>
      <c r="FJV243"/>
      <c r="FJW243"/>
      <c r="FJX243"/>
      <c r="FJY243"/>
      <c r="FJZ243"/>
      <c r="FKA243"/>
      <c r="FKB243"/>
      <c r="FKC243"/>
      <c r="FKD243"/>
      <c r="FKE243"/>
      <c r="FKF243"/>
      <c r="FKG243"/>
      <c r="FKH243"/>
      <c r="FKI243"/>
      <c r="FKJ243"/>
      <c r="FKK243"/>
      <c r="FKL243"/>
      <c r="FKM243"/>
      <c r="FKN243"/>
      <c r="FKO243"/>
      <c r="FKP243"/>
      <c r="FKQ243"/>
      <c r="FKR243"/>
      <c r="FKS243"/>
      <c r="FKT243"/>
      <c r="FKU243"/>
      <c r="FKV243"/>
      <c r="FKW243"/>
      <c r="FKX243"/>
      <c r="FKY243"/>
      <c r="FKZ243"/>
      <c r="FLA243"/>
      <c r="FLB243"/>
      <c r="FLC243"/>
      <c r="FLD243"/>
      <c r="FLE243"/>
      <c r="FLF243"/>
      <c r="FLG243"/>
      <c r="FLH243"/>
      <c r="FLI243"/>
      <c r="FLJ243"/>
      <c r="FLK243"/>
      <c r="FLL243"/>
      <c r="FLM243"/>
      <c r="FLN243"/>
      <c r="FLO243"/>
      <c r="FLP243"/>
      <c r="FLQ243"/>
      <c r="FLR243"/>
      <c r="FLS243"/>
      <c r="FLT243"/>
      <c r="FLU243"/>
      <c r="FLV243"/>
      <c r="FLW243"/>
      <c r="FLX243"/>
      <c r="FLY243"/>
      <c r="FLZ243"/>
      <c r="FMA243"/>
      <c r="FMB243"/>
      <c r="FMC243"/>
      <c r="FMD243"/>
      <c r="FME243"/>
      <c r="FMF243"/>
      <c r="FMG243"/>
      <c r="FMH243"/>
      <c r="FMI243"/>
      <c r="FMJ243"/>
      <c r="FMK243"/>
      <c r="FML243"/>
      <c r="FMM243"/>
      <c r="FMN243"/>
      <c r="FMO243"/>
      <c r="FMP243"/>
      <c r="FMQ243"/>
      <c r="FMR243"/>
      <c r="FMS243"/>
      <c r="FMT243"/>
      <c r="FMU243"/>
      <c r="FMV243"/>
      <c r="FMW243"/>
      <c r="FMX243"/>
      <c r="FMY243"/>
      <c r="FMZ243"/>
      <c r="FNA243"/>
      <c r="FNB243"/>
      <c r="FNC243"/>
      <c r="FND243"/>
      <c r="FNE243"/>
      <c r="FNF243"/>
      <c r="FNG243"/>
      <c r="FNH243"/>
      <c r="FNI243"/>
      <c r="FNJ243"/>
      <c r="FNK243"/>
      <c r="FNL243"/>
      <c r="FNM243"/>
      <c r="FNN243"/>
      <c r="FNO243"/>
      <c r="FNP243"/>
      <c r="FNQ243"/>
      <c r="FNR243"/>
      <c r="FNS243"/>
      <c r="FNT243"/>
      <c r="FNU243"/>
      <c r="FNV243"/>
      <c r="FNW243"/>
      <c r="FNX243"/>
      <c r="FNY243"/>
      <c r="FNZ243"/>
      <c r="FOA243"/>
      <c r="FOB243"/>
      <c r="FOC243"/>
      <c r="FOD243"/>
      <c r="FOE243"/>
      <c r="FOF243"/>
      <c r="FOG243"/>
      <c r="FOH243"/>
      <c r="FOI243"/>
      <c r="FOJ243"/>
      <c r="FOK243"/>
      <c r="FOL243"/>
      <c r="FOM243"/>
      <c r="FON243"/>
      <c r="FOO243"/>
      <c r="FOP243"/>
      <c r="FOQ243"/>
      <c r="FOR243"/>
      <c r="FOS243"/>
      <c r="FOT243"/>
      <c r="FOU243"/>
      <c r="FOV243"/>
      <c r="FOW243"/>
      <c r="FOX243"/>
      <c r="FOY243"/>
      <c r="FOZ243"/>
      <c r="FPA243"/>
      <c r="FPB243"/>
      <c r="FPC243"/>
      <c r="FPD243"/>
      <c r="FPE243"/>
      <c r="FPF243"/>
      <c r="FPG243"/>
      <c r="FPH243"/>
      <c r="FPI243"/>
      <c r="FPJ243"/>
      <c r="FPK243"/>
      <c r="FPL243"/>
      <c r="FPM243"/>
      <c r="FPN243"/>
      <c r="FPO243"/>
      <c r="FPP243"/>
      <c r="FPQ243"/>
      <c r="FPR243"/>
      <c r="FPS243"/>
      <c r="FPT243"/>
      <c r="FPU243"/>
      <c r="FPV243"/>
      <c r="FPW243"/>
      <c r="FPX243"/>
      <c r="FPY243"/>
      <c r="FPZ243"/>
      <c r="FQA243"/>
      <c r="FQB243"/>
      <c r="FQC243"/>
      <c r="FQD243"/>
      <c r="FQE243"/>
      <c r="FQF243"/>
      <c r="FQG243"/>
      <c r="FQH243"/>
      <c r="FQI243"/>
      <c r="FQJ243"/>
      <c r="FQK243"/>
      <c r="FQL243"/>
      <c r="FQM243"/>
      <c r="FQN243"/>
      <c r="FQO243"/>
      <c r="FQP243"/>
      <c r="FQQ243"/>
      <c r="FQR243"/>
      <c r="FQS243"/>
      <c r="FQT243"/>
      <c r="FQU243"/>
      <c r="FQV243"/>
      <c r="FQW243"/>
      <c r="FQX243"/>
      <c r="FQY243"/>
      <c r="FQZ243"/>
      <c r="FRA243"/>
      <c r="FRB243"/>
      <c r="FRC243"/>
      <c r="FRD243"/>
      <c r="FRE243"/>
      <c r="FRF243"/>
      <c r="FRG243"/>
      <c r="FRH243"/>
      <c r="FRI243"/>
      <c r="FRJ243"/>
      <c r="FRK243"/>
      <c r="FRL243"/>
      <c r="FRM243"/>
      <c r="FRN243"/>
      <c r="FRO243"/>
      <c r="FRP243"/>
      <c r="FRQ243"/>
      <c r="FRR243"/>
      <c r="FRS243"/>
      <c r="FRT243"/>
      <c r="FRU243"/>
      <c r="FRV243"/>
      <c r="FRW243"/>
      <c r="FRX243"/>
      <c r="FRY243"/>
      <c r="FRZ243"/>
      <c r="FSA243"/>
      <c r="FSB243"/>
      <c r="FSC243"/>
      <c r="FSD243"/>
      <c r="FSE243"/>
      <c r="FSF243"/>
      <c r="FSG243"/>
      <c r="FSH243"/>
      <c r="FSI243"/>
      <c r="FSJ243"/>
      <c r="FSK243"/>
      <c r="FSL243"/>
      <c r="FSM243"/>
      <c r="FSN243"/>
      <c r="FSO243"/>
      <c r="FSP243"/>
      <c r="FSQ243"/>
      <c r="FSR243"/>
      <c r="FSS243"/>
      <c r="FST243"/>
      <c r="FSU243"/>
      <c r="FSV243"/>
      <c r="FSW243"/>
      <c r="FSX243"/>
      <c r="FSY243"/>
      <c r="FSZ243"/>
      <c r="FTA243"/>
      <c r="FTB243"/>
      <c r="FTC243"/>
      <c r="FTD243"/>
      <c r="FTE243"/>
      <c r="FTF243"/>
      <c r="FTG243"/>
      <c r="FTH243"/>
      <c r="FTI243"/>
      <c r="FTJ243"/>
      <c r="FTK243"/>
      <c r="FTL243"/>
      <c r="FTM243"/>
      <c r="FTN243"/>
      <c r="FTO243"/>
      <c r="FTP243"/>
      <c r="FTQ243"/>
      <c r="FTR243"/>
      <c r="FTS243"/>
      <c r="FTT243"/>
      <c r="FTU243"/>
      <c r="FTV243"/>
      <c r="FTW243"/>
      <c r="FTX243"/>
      <c r="FTY243"/>
      <c r="FTZ243"/>
      <c r="FUA243"/>
      <c r="FUB243"/>
      <c r="FUC243"/>
      <c r="FUD243"/>
      <c r="FUE243"/>
      <c r="FUF243"/>
      <c r="FUG243"/>
      <c r="FUH243"/>
      <c r="FUI243"/>
      <c r="FUJ243"/>
      <c r="FUK243"/>
      <c r="FUL243"/>
      <c r="FUM243"/>
      <c r="FUN243"/>
      <c r="FUO243"/>
      <c r="FUP243"/>
      <c r="FUQ243"/>
      <c r="FUR243"/>
      <c r="FUS243"/>
      <c r="FUT243"/>
      <c r="FUU243"/>
      <c r="FUV243"/>
      <c r="FUW243"/>
      <c r="FUX243"/>
      <c r="FUY243"/>
      <c r="FUZ243"/>
      <c r="FVA243"/>
      <c r="FVB243"/>
      <c r="FVC243"/>
      <c r="FVD243"/>
      <c r="FVE243"/>
      <c r="FVF243"/>
      <c r="FVG243"/>
      <c r="FVH243"/>
      <c r="FVI243"/>
      <c r="FVJ243"/>
      <c r="FVK243"/>
      <c r="FVL243"/>
      <c r="FVM243"/>
      <c r="FVN243"/>
      <c r="FVO243"/>
      <c r="FVP243"/>
      <c r="FVQ243"/>
      <c r="FVR243"/>
      <c r="FVS243"/>
      <c r="FVT243"/>
      <c r="FVU243"/>
      <c r="FVV243"/>
      <c r="FVW243"/>
      <c r="FVX243"/>
      <c r="FVY243"/>
      <c r="FVZ243"/>
      <c r="FWA243"/>
      <c r="FWB243"/>
      <c r="FWC243"/>
      <c r="FWD243"/>
      <c r="FWE243"/>
      <c r="FWF243"/>
      <c r="FWG243"/>
      <c r="FWH243"/>
      <c r="FWI243"/>
      <c r="FWJ243"/>
      <c r="FWK243"/>
      <c r="FWL243"/>
      <c r="FWM243"/>
      <c r="FWN243"/>
      <c r="FWO243"/>
      <c r="FWP243"/>
      <c r="FWQ243"/>
      <c r="FWR243"/>
      <c r="FWS243"/>
      <c r="FWT243"/>
      <c r="FWU243"/>
      <c r="FWV243"/>
      <c r="FWW243"/>
      <c r="FWX243"/>
      <c r="FWY243"/>
      <c r="FWZ243"/>
      <c r="FXA243"/>
      <c r="FXB243"/>
      <c r="FXC243"/>
      <c r="FXD243"/>
      <c r="FXE243"/>
      <c r="FXF243"/>
      <c r="FXG243"/>
      <c r="FXH243"/>
      <c r="FXI243"/>
      <c r="FXJ243"/>
      <c r="FXK243"/>
      <c r="FXL243"/>
      <c r="FXM243"/>
      <c r="FXN243"/>
      <c r="FXO243"/>
      <c r="FXP243"/>
      <c r="FXQ243"/>
      <c r="FXR243"/>
      <c r="FXS243"/>
      <c r="FXT243"/>
      <c r="FXU243"/>
      <c r="FXV243"/>
      <c r="FXW243"/>
      <c r="FXX243"/>
      <c r="FXY243"/>
      <c r="FXZ243"/>
      <c r="FYA243"/>
      <c r="FYB243"/>
      <c r="FYC243"/>
      <c r="FYD243"/>
      <c r="FYE243"/>
      <c r="FYF243"/>
      <c r="FYG243"/>
      <c r="FYH243"/>
      <c r="FYI243"/>
      <c r="FYJ243"/>
      <c r="FYK243"/>
      <c r="FYL243"/>
      <c r="FYM243"/>
      <c r="FYN243"/>
      <c r="FYO243"/>
      <c r="FYP243"/>
      <c r="FYQ243"/>
      <c r="FYR243"/>
      <c r="FYS243"/>
      <c r="FYT243"/>
      <c r="FYU243"/>
      <c r="FYV243"/>
      <c r="FYW243"/>
      <c r="FYX243"/>
      <c r="FYY243"/>
      <c r="FYZ243"/>
      <c r="FZA243"/>
      <c r="FZB243"/>
      <c r="FZC243"/>
      <c r="FZD243"/>
      <c r="FZE243"/>
      <c r="FZF243"/>
      <c r="FZG243"/>
      <c r="FZH243"/>
      <c r="FZI243"/>
      <c r="FZJ243"/>
      <c r="FZK243"/>
      <c r="FZL243"/>
      <c r="FZM243"/>
      <c r="FZN243"/>
      <c r="FZO243"/>
      <c r="FZP243"/>
      <c r="FZQ243"/>
      <c r="FZR243"/>
      <c r="FZS243"/>
      <c r="FZT243"/>
      <c r="FZU243"/>
      <c r="FZV243"/>
      <c r="FZW243"/>
      <c r="FZX243"/>
      <c r="FZY243"/>
      <c r="FZZ243"/>
      <c r="GAA243"/>
      <c r="GAB243"/>
      <c r="GAC243"/>
      <c r="GAD243"/>
      <c r="GAE243"/>
      <c r="GAF243"/>
      <c r="GAG243"/>
      <c r="GAH243"/>
      <c r="GAI243"/>
      <c r="GAJ243"/>
      <c r="GAK243"/>
      <c r="GAL243"/>
      <c r="GAM243"/>
      <c r="GAN243"/>
      <c r="GAO243"/>
      <c r="GAP243"/>
      <c r="GAQ243"/>
      <c r="GAR243"/>
      <c r="GAS243"/>
      <c r="GAT243"/>
      <c r="GAU243"/>
      <c r="GAV243"/>
      <c r="GAW243"/>
      <c r="GAX243"/>
      <c r="GAY243"/>
      <c r="GAZ243"/>
      <c r="GBA243"/>
      <c r="GBB243"/>
      <c r="GBC243"/>
      <c r="GBD243"/>
      <c r="GBE243"/>
      <c r="GBF243"/>
      <c r="GBG243"/>
      <c r="GBH243"/>
      <c r="GBI243"/>
      <c r="GBJ243"/>
      <c r="GBK243"/>
      <c r="GBL243"/>
      <c r="GBM243"/>
      <c r="GBN243"/>
      <c r="GBO243"/>
      <c r="GBP243"/>
      <c r="GBQ243"/>
      <c r="GBR243"/>
      <c r="GBS243"/>
      <c r="GBT243"/>
      <c r="GBU243"/>
      <c r="GBV243"/>
      <c r="GBW243"/>
      <c r="GBX243"/>
      <c r="GBY243"/>
      <c r="GBZ243"/>
      <c r="GCA243"/>
      <c r="GCB243"/>
      <c r="GCC243"/>
      <c r="GCD243"/>
      <c r="GCE243"/>
      <c r="GCF243"/>
      <c r="GCG243"/>
      <c r="GCH243"/>
      <c r="GCI243"/>
      <c r="GCJ243"/>
      <c r="GCK243"/>
      <c r="GCL243"/>
      <c r="GCM243"/>
      <c r="GCN243"/>
      <c r="GCO243"/>
      <c r="GCP243"/>
      <c r="GCQ243"/>
      <c r="GCR243"/>
      <c r="GCS243"/>
      <c r="GCT243"/>
      <c r="GCU243"/>
      <c r="GCV243"/>
      <c r="GCW243"/>
      <c r="GCX243"/>
      <c r="GCY243"/>
      <c r="GCZ243"/>
      <c r="GDA243"/>
      <c r="GDB243"/>
      <c r="GDC243"/>
      <c r="GDD243"/>
      <c r="GDE243"/>
      <c r="GDF243"/>
      <c r="GDG243"/>
      <c r="GDH243"/>
      <c r="GDI243"/>
      <c r="GDJ243"/>
      <c r="GDK243"/>
      <c r="GDL243"/>
      <c r="GDM243"/>
      <c r="GDN243"/>
      <c r="GDO243"/>
      <c r="GDP243"/>
      <c r="GDQ243"/>
      <c r="GDR243"/>
      <c r="GDS243"/>
      <c r="GDT243"/>
      <c r="GDU243"/>
      <c r="GDV243"/>
      <c r="GDW243"/>
      <c r="GDX243"/>
      <c r="GDY243"/>
      <c r="GDZ243"/>
      <c r="GEA243"/>
      <c r="GEB243"/>
      <c r="GEC243"/>
      <c r="GED243"/>
      <c r="GEE243"/>
      <c r="GEF243"/>
      <c r="GEG243"/>
      <c r="GEH243"/>
      <c r="GEI243"/>
      <c r="GEJ243"/>
      <c r="GEK243"/>
      <c r="GEL243"/>
      <c r="GEM243"/>
      <c r="GEN243"/>
      <c r="GEO243"/>
      <c r="GEP243"/>
      <c r="GEQ243"/>
      <c r="GER243"/>
      <c r="GES243"/>
      <c r="GET243"/>
      <c r="GEU243"/>
      <c r="GEV243"/>
      <c r="GEW243"/>
      <c r="GEX243"/>
      <c r="GEY243"/>
      <c r="GEZ243"/>
      <c r="GFA243"/>
      <c r="GFB243"/>
      <c r="GFC243"/>
      <c r="GFD243"/>
      <c r="GFE243"/>
      <c r="GFF243"/>
      <c r="GFG243"/>
      <c r="GFH243"/>
      <c r="GFI243"/>
      <c r="GFJ243"/>
      <c r="GFK243"/>
      <c r="GFL243"/>
      <c r="GFM243"/>
      <c r="GFN243"/>
      <c r="GFO243"/>
      <c r="GFP243"/>
      <c r="GFQ243"/>
      <c r="GFR243"/>
      <c r="GFS243"/>
      <c r="GFT243"/>
      <c r="GFU243"/>
      <c r="GFV243"/>
      <c r="GFW243"/>
      <c r="GFX243"/>
      <c r="GFY243"/>
      <c r="GFZ243"/>
      <c r="GGA243"/>
      <c r="GGB243"/>
      <c r="GGC243"/>
      <c r="GGD243"/>
      <c r="GGE243"/>
      <c r="GGF243"/>
      <c r="GGG243"/>
      <c r="GGH243"/>
      <c r="GGI243"/>
      <c r="GGJ243"/>
      <c r="GGK243"/>
      <c r="GGL243"/>
      <c r="GGM243"/>
      <c r="GGN243"/>
      <c r="GGO243"/>
      <c r="GGP243"/>
      <c r="GGQ243"/>
      <c r="GGR243"/>
      <c r="GGS243"/>
      <c r="GGT243"/>
      <c r="GGU243"/>
      <c r="GGV243"/>
      <c r="GGW243"/>
      <c r="GGX243"/>
      <c r="GGY243"/>
      <c r="GGZ243"/>
      <c r="GHA243"/>
      <c r="GHB243"/>
      <c r="GHC243"/>
      <c r="GHD243"/>
      <c r="GHE243"/>
      <c r="GHF243"/>
      <c r="GHG243"/>
      <c r="GHH243"/>
      <c r="GHI243"/>
      <c r="GHJ243"/>
      <c r="GHK243"/>
      <c r="GHL243"/>
      <c r="GHM243"/>
      <c r="GHN243"/>
      <c r="GHO243"/>
      <c r="GHP243"/>
      <c r="GHQ243"/>
      <c r="GHR243"/>
      <c r="GHS243"/>
      <c r="GHT243"/>
      <c r="GHU243"/>
      <c r="GHV243"/>
      <c r="GHW243"/>
      <c r="GHX243"/>
      <c r="GHY243"/>
      <c r="GHZ243"/>
      <c r="GIA243"/>
      <c r="GIB243"/>
      <c r="GIC243"/>
      <c r="GID243"/>
      <c r="GIE243"/>
      <c r="GIF243"/>
      <c r="GIG243"/>
      <c r="GIH243"/>
      <c r="GII243"/>
      <c r="GIJ243"/>
      <c r="GIK243"/>
      <c r="GIL243"/>
      <c r="GIM243"/>
      <c r="GIN243"/>
      <c r="GIO243"/>
      <c r="GIP243"/>
      <c r="GIQ243"/>
      <c r="GIR243"/>
      <c r="GIS243"/>
      <c r="GIT243"/>
      <c r="GIU243"/>
      <c r="GIV243"/>
      <c r="GIW243"/>
      <c r="GIX243"/>
      <c r="GIY243"/>
      <c r="GIZ243"/>
      <c r="GJA243"/>
      <c r="GJB243"/>
      <c r="GJC243"/>
      <c r="GJD243"/>
      <c r="GJE243"/>
      <c r="GJF243"/>
      <c r="GJG243"/>
      <c r="GJH243"/>
      <c r="GJI243"/>
      <c r="GJJ243"/>
      <c r="GJK243"/>
      <c r="GJL243"/>
      <c r="GJM243"/>
      <c r="GJN243"/>
      <c r="GJO243"/>
      <c r="GJP243"/>
      <c r="GJQ243"/>
      <c r="GJR243"/>
      <c r="GJS243"/>
      <c r="GJT243"/>
      <c r="GJU243"/>
      <c r="GJV243"/>
      <c r="GJW243"/>
      <c r="GJX243"/>
      <c r="GJY243"/>
      <c r="GJZ243"/>
      <c r="GKA243"/>
      <c r="GKB243"/>
      <c r="GKC243"/>
      <c r="GKD243"/>
      <c r="GKE243"/>
      <c r="GKF243"/>
      <c r="GKG243"/>
      <c r="GKH243"/>
      <c r="GKI243"/>
      <c r="GKJ243"/>
      <c r="GKK243"/>
      <c r="GKL243"/>
      <c r="GKM243"/>
      <c r="GKN243"/>
      <c r="GKO243"/>
      <c r="GKP243"/>
      <c r="GKQ243"/>
      <c r="GKR243"/>
      <c r="GKS243"/>
      <c r="GKT243"/>
      <c r="GKU243"/>
      <c r="GKV243"/>
      <c r="GKW243"/>
      <c r="GKX243"/>
      <c r="GKY243"/>
      <c r="GKZ243"/>
      <c r="GLA243"/>
      <c r="GLB243"/>
      <c r="GLC243"/>
      <c r="GLD243"/>
      <c r="GLE243"/>
      <c r="GLF243"/>
      <c r="GLG243"/>
      <c r="GLH243"/>
      <c r="GLI243"/>
      <c r="GLJ243"/>
      <c r="GLK243"/>
      <c r="GLL243"/>
      <c r="GLM243"/>
      <c r="GLN243"/>
      <c r="GLO243"/>
      <c r="GLP243"/>
      <c r="GLQ243"/>
      <c r="GLR243"/>
      <c r="GLS243"/>
      <c r="GLT243"/>
      <c r="GLU243"/>
      <c r="GLV243"/>
      <c r="GLW243"/>
      <c r="GLX243"/>
      <c r="GLY243"/>
      <c r="GLZ243"/>
      <c r="GMA243"/>
      <c r="GMB243"/>
      <c r="GMC243"/>
      <c r="GMD243"/>
      <c r="GME243"/>
      <c r="GMF243"/>
      <c r="GMG243"/>
      <c r="GMH243"/>
      <c r="GMI243"/>
      <c r="GMJ243"/>
      <c r="GMK243"/>
      <c r="GML243"/>
      <c r="GMM243"/>
      <c r="GMN243"/>
      <c r="GMO243"/>
      <c r="GMP243"/>
      <c r="GMQ243"/>
      <c r="GMR243"/>
      <c r="GMS243"/>
      <c r="GMT243"/>
      <c r="GMU243"/>
      <c r="GMV243"/>
      <c r="GMW243"/>
      <c r="GMX243"/>
      <c r="GMY243"/>
      <c r="GMZ243"/>
      <c r="GNA243"/>
      <c r="GNB243"/>
      <c r="GNC243"/>
      <c r="GND243"/>
      <c r="GNE243"/>
      <c r="GNF243"/>
      <c r="GNG243"/>
      <c r="GNH243"/>
      <c r="GNI243"/>
      <c r="GNJ243"/>
      <c r="GNK243"/>
      <c r="GNL243"/>
      <c r="GNM243"/>
      <c r="GNN243"/>
      <c r="GNO243"/>
      <c r="GNP243"/>
      <c r="GNQ243"/>
      <c r="GNR243"/>
      <c r="GNS243"/>
      <c r="GNT243"/>
      <c r="GNU243"/>
      <c r="GNV243"/>
      <c r="GNW243"/>
      <c r="GNX243"/>
      <c r="GNY243"/>
      <c r="GNZ243"/>
      <c r="GOA243"/>
      <c r="GOB243"/>
      <c r="GOC243"/>
      <c r="GOD243"/>
      <c r="GOE243"/>
      <c r="GOF243"/>
      <c r="GOG243"/>
      <c r="GOH243"/>
      <c r="GOI243"/>
      <c r="GOJ243"/>
      <c r="GOK243"/>
      <c r="GOL243"/>
      <c r="GOM243"/>
      <c r="GON243"/>
      <c r="GOO243"/>
      <c r="GOP243"/>
      <c r="GOQ243"/>
      <c r="GOR243"/>
      <c r="GOS243"/>
      <c r="GOT243"/>
      <c r="GOU243"/>
      <c r="GOV243"/>
      <c r="GOW243"/>
      <c r="GOX243"/>
      <c r="GOY243"/>
      <c r="GOZ243"/>
      <c r="GPA243"/>
      <c r="GPB243"/>
      <c r="GPC243"/>
      <c r="GPD243"/>
      <c r="GPE243"/>
      <c r="GPF243"/>
      <c r="GPG243"/>
      <c r="GPH243"/>
      <c r="GPI243"/>
      <c r="GPJ243"/>
      <c r="GPK243"/>
      <c r="GPL243"/>
      <c r="GPM243"/>
      <c r="GPN243"/>
      <c r="GPO243"/>
      <c r="GPP243"/>
      <c r="GPQ243"/>
      <c r="GPR243"/>
      <c r="GPS243"/>
      <c r="GPT243"/>
      <c r="GPU243"/>
      <c r="GPV243"/>
      <c r="GPW243"/>
      <c r="GPX243"/>
      <c r="GPY243"/>
      <c r="GPZ243"/>
      <c r="GQA243"/>
      <c r="GQB243"/>
      <c r="GQC243"/>
      <c r="GQD243"/>
      <c r="GQE243"/>
      <c r="GQF243"/>
      <c r="GQG243"/>
      <c r="GQH243"/>
      <c r="GQI243"/>
      <c r="GQJ243"/>
      <c r="GQK243"/>
      <c r="GQL243"/>
      <c r="GQM243"/>
      <c r="GQN243"/>
      <c r="GQO243"/>
      <c r="GQP243"/>
      <c r="GQQ243"/>
      <c r="GQR243"/>
      <c r="GQS243"/>
      <c r="GQT243"/>
      <c r="GQU243"/>
      <c r="GQV243"/>
      <c r="GQW243"/>
      <c r="GQX243"/>
      <c r="GQY243"/>
      <c r="GQZ243"/>
      <c r="GRA243"/>
      <c r="GRB243"/>
      <c r="GRC243"/>
      <c r="GRD243"/>
      <c r="GRE243"/>
      <c r="GRF243"/>
      <c r="GRG243"/>
      <c r="GRH243"/>
      <c r="GRI243"/>
      <c r="GRJ243"/>
      <c r="GRK243"/>
      <c r="GRL243"/>
      <c r="GRM243"/>
      <c r="GRN243"/>
      <c r="GRO243"/>
      <c r="GRP243"/>
      <c r="GRQ243"/>
      <c r="GRR243"/>
      <c r="GRS243"/>
      <c r="GRT243"/>
      <c r="GRU243"/>
      <c r="GRV243"/>
      <c r="GRW243"/>
      <c r="GRX243"/>
      <c r="GRY243"/>
      <c r="GRZ243"/>
      <c r="GSA243"/>
      <c r="GSB243"/>
      <c r="GSC243"/>
      <c r="GSD243"/>
      <c r="GSE243"/>
      <c r="GSF243"/>
      <c r="GSG243"/>
      <c r="GSH243"/>
      <c r="GSI243"/>
      <c r="GSJ243"/>
      <c r="GSK243"/>
      <c r="GSL243"/>
      <c r="GSM243"/>
      <c r="GSN243"/>
      <c r="GSO243"/>
      <c r="GSP243"/>
      <c r="GSQ243"/>
      <c r="GSR243"/>
      <c r="GSS243"/>
      <c r="GST243"/>
      <c r="GSU243"/>
      <c r="GSV243"/>
      <c r="GSW243"/>
      <c r="GSX243"/>
      <c r="GSY243"/>
      <c r="GSZ243"/>
      <c r="GTA243"/>
      <c r="GTB243"/>
      <c r="GTC243"/>
      <c r="GTD243"/>
      <c r="GTE243"/>
      <c r="GTF243"/>
      <c r="GTG243"/>
      <c r="GTH243"/>
      <c r="GTI243"/>
      <c r="GTJ243"/>
      <c r="GTK243"/>
      <c r="GTL243"/>
      <c r="GTM243"/>
      <c r="GTN243"/>
      <c r="GTO243"/>
      <c r="GTP243"/>
      <c r="GTQ243"/>
      <c r="GTR243"/>
      <c r="GTS243"/>
      <c r="GTT243"/>
      <c r="GTU243"/>
      <c r="GTV243"/>
      <c r="GTW243"/>
      <c r="GTX243"/>
      <c r="GTY243"/>
      <c r="GTZ243"/>
      <c r="GUA243"/>
      <c r="GUB243"/>
      <c r="GUC243"/>
      <c r="GUD243"/>
      <c r="GUE243"/>
      <c r="GUF243"/>
      <c r="GUG243"/>
      <c r="GUH243"/>
      <c r="GUI243"/>
      <c r="GUJ243"/>
      <c r="GUK243"/>
      <c r="GUL243"/>
      <c r="GUM243"/>
      <c r="GUN243"/>
      <c r="GUO243"/>
      <c r="GUP243"/>
      <c r="GUQ243"/>
      <c r="GUR243"/>
      <c r="GUS243"/>
      <c r="GUT243"/>
      <c r="GUU243"/>
      <c r="GUV243"/>
      <c r="GUW243"/>
      <c r="GUX243"/>
      <c r="GUY243"/>
      <c r="GUZ243"/>
      <c r="GVA243"/>
      <c r="GVB243"/>
      <c r="GVC243"/>
      <c r="GVD243"/>
      <c r="GVE243"/>
      <c r="GVF243"/>
      <c r="GVG243"/>
      <c r="GVH243"/>
      <c r="GVI243"/>
      <c r="GVJ243"/>
      <c r="GVK243"/>
      <c r="GVL243"/>
      <c r="GVM243"/>
      <c r="GVN243"/>
      <c r="GVO243"/>
      <c r="GVP243"/>
      <c r="GVQ243"/>
      <c r="GVR243"/>
      <c r="GVS243"/>
      <c r="GVT243"/>
      <c r="GVU243"/>
      <c r="GVV243"/>
      <c r="GVW243"/>
      <c r="GVX243"/>
      <c r="GVY243"/>
      <c r="GVZ243"/>
      <c r="GWA243"/>
      <c r="GWB243"/>
      <c r="GWC243"/>
      <c r="GWD243"/>
      <c r="GWE243"/>
      <c r="GWF243"/>
      <c r="GWG243"/>
      <c r="GWH243"/>
      <c r="GWI243"/>
      <c r="GWJ243"/>
      <c r="GWK243"/>
      <c r="GWL243"/>
      <c r="GWM243"/>
      <c r="GWN243"/>
      <c r="GWO243"/>
      <c r="GWP243"/>
      <c r="GWQ243"/>
      <c r="GWR243"/>
      <c r="GWS243"/>
      <c r="GWT243"/>
      <c r="GWU243"/>
      <c r="GWV243"/>
      <c r="GWW243"/>
      <c r="GWX243"/>
      <c r="GWY243"/>
      <c r="GWZ243"/>
      <c r="GXA243"/>
      <c r="GXB243"/>
      <c r="GXC243"/>
      <c r="GXD243"/>
      <c r="GXE243"/>
      <c r="GXF243"/>
      <c r="GXG243"/>
      <c r="GXH243"/>
      <c r="GXI243"/>
      <c r="GXJ243"/>
      <c r="GXK243"/>
      <c r="GXL243"/>
      <c r="GXM243"/>
      <c r="GXN243"/>
      <c r="GXO243"/>
      <c r="GXP243"/>
      <c r="GXQ243"/>
      <c r="GXR243"/>
      <c r="GXS243"/>
      <c r="GXT243"/>
      <c r="GXU243"/>
      <c r="GXV243"/>
      <c r="GXW243"/>
      <c r="GXX243"/>
      <c r="GXY243"/>
      <c r="GXZ243"/>
      <c r="GYA243"/>
      <c r="GYB243"/>
      <c r="GYC243"/>
      <c r="GYD243"/>
      <c r="GYE243"/>
      <c r="GYF243"/>
      <c r="GYG243"/>
      <c r="GYH243"/>
      <c r="GYI243"/>
      <c r="GYJ243"/>
      <c r="GYK243"/>
      <c r="GYL243"/>
      <c r="GYM243"/>
      <c r="GYN243"/>
      <c r="GYO243"/>
      <c r="GYP243"/>
      <c r="GYQ243"/>
      <c r="GYR243"/>
      <c r="GYS243"/>
      <c r="GYT243"/>
      <c r="GYU243"/>
      <c r="GYV243"/>
      <c r="GYW243"/>
      <c r="GYX243"/>
      <c r="GYY243"/>
      <c r="GYZ243"/>
      <c r="GZA243"/>
      <c r="GZB243"/>
      <c r="GZC243"/>
      <c r="GZD243"/>
      <c r="GZE243"/>
      <c r="GZF243"/>
      <c r="GZG243"/>
      <c r="GZH243"/>
      <c r="GZI243"/>
      <c r="GZJ243"/>
      <c r="GZK243"/>
      <c r="GZL243"/>
      <c r="GZM243"/>
      <c r="GZN243"/>
      <c r="GZO243"/>
      <c r="GZP243"/>
      <c r="GZQ243"/>
      <c r="GZR243"/>
      <c r="GZS243"/>
      <c r="GZT243"/>
      <c r="GZU243"/>
      <c r="GZV243"/>
      <c r="GZW243"/>
      <c r="GZX243"/>
      <c r="GZY243"/>
      <c r="GZZ243"/>
      <c r="HAA243"/>
      <c r="HAB243"/>
      <c r="HAC243"/>
      <c r="HAD243"/>
      <c r="HAE243"/>
      <c r="HAF243"/>
      <c r="HAG243"/>
      <c r="HAH243"/>
      <c r="HAI243"/>
      <c r="HAJ243"/>
      <c r="HAK243"/>
      <c r="HAL243"/>
      <c r="HAM243"/>
      <c r="HAN243"/>
      <c r="HAO243"/>
      <c r="HAP243"/>
      <c r="HAQ243"/>
      <c r="HAR243"/>
      <c r="HAS243"/>
      <c r="HAT243"/>
      <c r="HAU243"/>
      <c r="HAV243"/>
      <c r="HAW243"/>
      <c r="HAX243"/>
      <c r="HAY243"/>
      <c r="HAZ243"/>
      <c r="HBA243"/>
      <c r="HBB243"/>
      <c r="HBC243"/>
      <c r="HBD243"/>
      <c r="HBE243"/>
      <c r="HBF243"/>
      <c r="HBG243"/>
      <c r="HBH243"/>
      <c r="HBI243"/>
      <c r="HBJ243"/>
      <c r="HBK243"/>
      <c r="HBL243"/>
      <c r="HBM243"/>
      <c r="HBN243"/>
      <c r="HBO243"/>
      <c r="HBP243"/>
      <c r="HBQ243"/>
      <c r="HBR243"/>
      <c r="HBS243"/>
      <c r="HBT243"/>
      <c r="HBU243"/>
      <c r="HBV243"/>
      <c r="HBW243"/>
      <c r="HBX243"/>
      <c r="HBY243"/>
      <c r="HBZ243"/>
      <c r="HCA243"/>
      <c r="HCB243"/>
      <c r="HCC243"/>
      <c r="HCD243"/>
      <c r="HCE243"/>
      <c r="HCF243"/>
      <c r="HCG243"/>
      <c r="HCH243"/>
      <c r="HCI243"/>
      <c r="HCJ243"/>
      <c r="HCK243"/>
      <c r="HCL243"/>
      <c r="HCM243"/>
      <c r="HCN243"/>
      <c r="HCO243"/>
      <c r="HCP243"/>
      <c r="HCQ243"/>
      <c r="HCR243"/>
      <c r="HCS243"/>
      <c r="HCT243"/>
      <c r="HCU243"/>
      <c r="HCV243"/>
      <c r="HCW243"/>
      <c r="HCX243"/>
      <c r="HCY243"/>
      <c r="HCZ243"/>
      <c r="HDA243"/>
      <c r="HDB243"/>
      <c r="HDC243"/>
      <c r="HDD243"/>
      <c r="HDE243"/>
      <c r="HDF243"/>
      <c r="HDG243"/>
      <c r="HDH243"/>
      <c r="HDI243"/>
      <c r="HDJ243"/>
      <c r="HDK243"/>
      <c r="HDL243"/>
      <c r="HDM243"/>
      <c r="HDN243"/>
      <c r="HDO243"/>
      <c r="HDP243"/>
      <c r="HDQ243"/>
      <c r="HDR243"/>
      <c r="HDS243"/>
      <c r="HDT243"/>
      <c r="HDU243"/>
      <c r="HDV243"/>
      <c r="HDW243"/>
      <c r="HDX243"/>
      <c r="HDY243"/>
      <c r="HDZ243"/>
      <c r="HEA243"/>
      <c r="HEB243"/>
      <c r="HEC243"/>
      <c r="HED243"/>
      <c r="HEE243"/>
      <c r="HEF243"/>
      <c r="HEG243"/>
      <c r="HEH243"/>
      <c r="HEI243"/>
      <c r="HEJ243"/>
      <c r="HEK243"/>
      <c r="HEL243"/>
      <c r="HEM243"/>
      <c r="HEN243"/>
      <c r="HEO243"/>
      <c r="HEP243"/>
      <c r="HEQ243"/>
      <c r="HER243"/>
      <c r="HES243"/>
      <c r="HET243"/>
      <c r="HEU243"/>
      <c r="HEV243"/>
      <c r="HEW243"/>
      <c r="HEX243"/>
      <c r="HEY243"/>
      <c r="HEZ243"/>
      <c r="HFA243"/>
      <c r="HFB243"/>
      <c r="HFC243"/>
      <c r="HFD243"/>
      <c r="HFE243"/>
      <c r="HFF243"/>
      <c r="HFG243"/>
      <c r="HFH243"/>
      <c r="HFI243"/>
      <c r="HFJ243"/>
      <c r="HFK243"/>
      <c r="HFL243"/>
      <c r="HFM243"/>
      <c r="HFN243"/>
      <c r="HFO243"/>
      <c r="HFP243"/>
      <c r="HFQ243"/>
      <c r="HFR243"/>
      <c r="HFS243"/>
      <c r="HFT243"/>
      <c r="HFU243"/>
      <c r="HFV243"/>
      <c r="HFW243"/>
      <c r="HFX243"/>
      <c r="HFY243"/>
      <c r="HFZ243"/>
      <c r="HGA243"/>
      <c r="HGB243"/>
      <c r="HGC243"/>
      <c r="HGD243"/>
      <c r="HGE243"/>
      <c r="HGF243"/>
      <c r="HGG243"/>
      <c r="HGH243"/>
      <c r="HGI243"/>
      <c r="HGJ243"/>
      <c r="HGK243"/>
      <c r="HGL243"/>
      <c r="HGM243"/>
      <c r="HGN243"/>
      <c r="HGO243"/>
      <c r="HGP243"/>
      <c r="HGQ243"/>
      <c r="HGR243"/>
      <c r="HGS243"/>
      <c r="HGT243"/>
      <c r="HGU243"/>
      <c r="HGV243"/>
      <c r="HGW243"/>
      <c r="HGX243"/>
      <c r="HGY243"/>
      <c r="HGZ243"/>
      <c r="HHA243"/>
      <c r="HHB243"/>
      <c r="HHC243"/>
      <c r="HHD243"/>
      <c r="HHE243"/>
      <c r="HHF243"/>
      <c r="HHG243"/>
      <c r="HHH243"/>
      <c r="HHI243"/>
      <c r="HHJ243"/>
      <c r="HHK243"/>
      <c r="HHL243"/>
      <c r="HHM243"/>
      <c r="HHN243"/>
      <c r="HHO243"/>
      <c r="HHP243"/>
      <c r="HHQ243"/>
      <c r="HHR243"/>
      <c r="HHS243"/>
      <c r="HHT243"/>
      <c r="HHU243"/>
      <c r="HHV243"/>
      <c r="HHW243"/>
      <c r="HHX243"/>
      <c r="HHY243"/>
      <c r="HHZ243"/>
      <c r="HIA243"/>
      <c r="HIB243"/>
      <c r="HIC243"/>
      <c r="HID243"/>
      <c r="HIE243"/>
      <c r="HIF243"/>
      <c r="HIG243"/>
      <c r="HIH243"/>
      <c r="HII243"/>
      <c r="HIJ243"/>
      <c r="HIK243"/>
      <c r="HIL243"/>
      <c r="HIM243"/>
      <c r="HIN243"/>
      <c r="HIO243"/>
      <c r="HIP243"/>
      <c r="HIQ243"/>
      <c r="HIR243"/>
      <c r="HIS243"/>
      <c r="HIT243"/>
      <c r="HIU243"/>
      <c r="HIV243"/>
      <c r="HIW243"/>
      <c r="HIX243"/>
      <c r="HIY243"/>
      <c r="HIZ243"/>
      <c r="HJA243"/>
      <c r="HJB243"/>
      <c r="HJC243"/>
      <c r="HJD243"/>
      <c r="HJE243"/>
      <c r="HJF243"/>
      <c r="HJG243"/>
      <c r="HJH243"/>
      <c r="HJI243"/>
      <c r="HJJ243"/>
      <c r="HJK243"/>
      <c r="HJL243"/>
      <c r="HJM243"/>
      <c r="HJN243"/>
      <c r="HJO243"/>
      <c r="HJP243"/>
      <c r="HJQ243"/>
      <c r="HJR243"/>
      <c r="HJS243"/>
      <c r="HJT243"/>
      <c r="HJU243"/>
      <c r="HJV243"/>
      <c r="HJW243"/>
      <c r="HJX243"/>
      <c r="HJY243"/>
      <c r="HJZ243"/>
      <c r="HKA243"/>
      <c r="HKB243"/>
      <c r="HKC243"/>
      <c r="HKD243"/>
      <c r="HKE243"/>
      <c r="HKF243"/>
      <c r="HKG243"/>
      <c r="HKH243"/>
      <c r="HKI243"/>
      <c r="HKJ243"/>
      <c r="HKK243"/>
      <c r="HKL243"/>
      <c r="HKM243"/>
      <c r="HKN243"/>
      <c r="HKO243"/>
      <c r="HKP243"/>
      <c r="HKQ243"/>
      <c r="HKR243"/>
      <c r="HKS243"/>
      <c r="HKT243"/>
      <c r="HKU243"/>
      <c r="HKV243"/>
      <c r="HKW243"/>
      <c r="HKX243"/>
      <c r="HKY243"/>
      <c r="HKZ243"/>
      <c r="HLA243"/>
      <c r="HLB243"/>
      <c r="HLC243"/>
      <c r="HLD243"/>
      <c r="HLE243"/>
      <c r="HLF243"/>
      <c r="HLG243"/>
      <c r="HLH243"/>
      <c r="HLI243"/>
      <c r="HLJ243"/>
      <c r="HLK243"/>
      <c r="HLL243"/>
      <c r="HLM243"/>
      <c r="HLN243"/>
      <c r="HLO243"/>
      <c r="HLP243"/>
      <c r="HLQ243"/>
      <c r="HLR243"/>
      <c r="HLS243"/>
      <c r="HLT243"/>
      <c r="HLU243"/>
      <c r="HLV243"/>
      <c r="HLW243"/>
      <c r="HLX243"/>
      <c r="HLY243"/>
      <c r="HLZ243"/>
      <c r="HMA243"/>
      <c r="HMB243"/>
      <c r="HMC243"/>
      <c r="HMD243"/>
      <c r="HME243"/>
      <c r="HMF243"/>
      <c r="HMG243"/>
      <c r="HMH243"/>
      <c r="HMI243"/>
      <c r="HMJ243"/>
      <c r="HMK243"/>
      <c r="HML243"/>
      <c r="HMM243"/>
      <c r="HMN243"/>
      <c r="HMO243"/>
      <c r="HMP243"/>
      <c r="HMQ243"/>
      <c r="HMR243"/>
      <c r="HMS243"/>
      <c r="HMT243"/>
      <c r="HMU243"/>
      <c r="HMV243"/>
      <c r="HMW243"/>
      <c r="HMX243"/>
      <c r="HMY243"/>
      <c r="HMZ243"/>
      <c r="HNA243"/>
      <c r="HNB243"/>
      <c r="HNC243"/>
      <c r="HND243"/>
      <c r="HNE243"/>
      <c r="HNF243"/>
      <c r="HNG243"/>
      <c r="HNH243"/>
      <c r="HNI243"/>
      <c r="HNJ243"/>
      <c r="HNK243"/>
      <c r="HNL243"/>
      <c r="HNM243"/>
      <c r="HNN243"/>
      <c r="HNO243"/>
      <c r="HNP243"/>
      <c r="HNQ243"/>
      <c r="HNR243"/>
      <c r="HNS243"/>
      <c r="HNT243"/>
      <c r="HNU243"/>
      <c r="HNV243"/>
      <c r="HNW243"/>
      <c r="HNX243"/>
      <c r="HNY243"/>
      <c r="HNZ243"/>
      <c r="HOA243"/>
      <c r="HOB243"/>
      <c r="HOC243"/>
      <c r="HOD243"/>
      <c r="HOE243"/>
      <c r="HOF243"/>
      <c r="HOG243"/>
      <c r="HOH243"/>
      <c r="HOI243"/>
      <c r="HOJ243"/>
      <c r="HOK243"/>
      <c r="HOL243"/>
      <c r="HOM243"/>
      <c r="HON243"/>
      <c r="HOO243"/>
      <c r="HOP243"/>
      <c r="HOQ243"/>
      <c r="HOR243"/>
      <c r="HOS243"/>
      <c r="HOT243"/>
      <c r="HOU243"/>
      <c r="HOV243"/>
      <c r="HOW243"/>
      <c r="HOX243"/>
      <c r="HOY243"/>
      <c r="HOZ243"/>
      <c r="HPA243"/>
      <c r="HPB243"/>
      <c r="HPC243"/>
      <c r="HPD243"/>
      <c r="HPE243"/>
      <c r="HPF243"/>
      <c r="HPG243"/>
      <c r="HPH243"/>
      <c r="HPI243"/>
      <c r="HPJ243"/>
      <c r="HPK243"/>
      <c r="HPL243"/>
      <c r="HPM243"/>
      <c r="HPN243"/>
      <c r="HPO243"/>
      <c r="HPP243"/>
      <c r="HPQ243"/>
      <c r="HPR243"/>
      <c r="HPS243"/>
      <c r="HPT243"/>
      <c r="HPU243"/>
      <c r="HPV243"/>
      <c r="HPW243"/>
      <c r="HPX243"/>
      <c r="HPY243"/>
      <c r="HPZ243"/>
      <c r="HQA243"/>
      <c r="HQB243"/>
      <c r="HQC243"/>
      <c r="HQD243"/>
      <c r="HQE243"/>
      <c r="HQF243"/>
      <c r="HQG243"/>
      <c r="HQH243"/>
      <c r="HQI243"/>
      <c r="HQJ243"/>
      <c r="HQK243"/>
      <c r="HQL243"/>
      <c r="HQM243"/>
      <c r="HQN243"/>
      <c r="HQO243"/>
      <c r="HQP243"/>
      <c r="HQQ243"/>
      <c r="HQR243"/>
      <c r="HQS243"/>
      <c r="HQT243"/>
      <c r="HQU243"/>
      <c r="HQV243"/>
      <c r="HQW243"/>
      <c r="HQX243"/>
      <c r="HQY243"/>
      <c r="HQZ243"/>
      <c r="HRA243"/>
      <c r="HRB243"/>
      <c r="HRC243"/>
      <c r="HRD243"/>
      <c r="HRE243"/>
      <c r="HRF243"/>
      <c r="HRG243"/>
      <c r="HRH243"/>
      <c r="HRI243"/>
      <c r="HRJ243"/>
      <c r="HRK243"/>
      <c r="HRL243"/>
      <c r="HRM243"/>
      <c r="HRN243"/>
      <c r="HRO243"/>
      <c r="HRP243"/>
      <c r="HRQ243"/>
      <c r="HRR243"/>
      <c r="HRS243"/>
      <c r="HRT243"/>
      <c r="HRU243"/>
      <c r="HRV243"/>
      <c r="HRW243"/>
      <c r="HRX243"/>
      <c r="HRY243"/>
      <c r="HRZ243"/>
      <c r="HSA243"/>
      <c r="HSB243"/>
      <c r="HSC243"/>
      <c r="HSD243"/>
      <c r="HSE243"/>
      <c r="HSF243"/>
      <c r="HSG243"/>
      <c r="HSH243"/>
      <c r="HSI243"/>
      <c r="HSJ243"/>
      <c r="HSK243"/>
      <c r="HSL243"/>
      <c r="HSM243"/>
      <c r="HSN243"/>
      <c r="HSO243"/>
      <c r="HSP243"/>
      <c r="HSQ243"/>
      <c r="HSR243"/>
      <c r="HSS243"/>
      <c r="HST243"/>
      <c r="HSU243"/>
      <c r="HSV243"/>
      <c r="HSW243"/>
      <c r="HSX243"/>
      <c r="HSY243"/>
      <c r="HSZ243"/>
      <c r="HTA243"/>
      <c r="HTB243"/>
      <c r="HTC243"/>
      <c r="HTD243"/>
      <c r="HTE243"/>
      <c r="HTF243"/>
      <c r="HTG243"/>
      <c r="HTH243"/>
      <c r="HTI243"/>
      <c r="HTJ243"/>
      <c r="HTK243"/>
      <c r="HTL243"/>
      <c r="HTM243"/>
      <c r="HTN243"/>
      <c r="HTO243"/>
      <c r="HTP243"/>
      <c r="HTQ243"/>
      <c r="HTR243"/>
      <c r="HTS243"/>
      <c r="HTT243"/>
      <c r="HTU243"/>
      <c r="HTV243"/>
      <c r="HTW243"/>
      <c r="HTX243"/>
      <c r="HTY243"/>
      <c r="HTZ243"/>
      <c r="HUA243"/>
      <c r="HUB243"/>
      <c r="HUC243"/>
      <c r="HUD243"/>
      <c r="HUE243"/>
      <c r="HUF243"/>
      <c r="HUG243"/>
      <c r="HUH243"/>
      <c r="HUI243"/>
      <c r="HUJ243"/>
      <c r="HUK243"/>
      <c r="HUL243"/>
      <c r="HUM243"/>
      <c r="HUN243"/>
      <c r="HUO243"/>
      <c r="HUP243"/>
      <c r="HUQ243"/>
      <c r="HUR243"/>
      <c r="HUS243"/>
      <c r="HUT243"/>
      <c r="HUU243"/>
      <c r="HUV243"/>
      <c r="HUW243"/>
      <c r="HUX243"/>
      <c r="HUY243"/>
      <c r="HUZ243"/>
      <c r="HVA243"/>
      <c r="HVB243"/>
      <c r="HVC243"/>
      <c r="HVD243"/>
      <c r="HVE243"/>
      <c r="HVF243"/>
      <c r="HVG243"/>
      <c r="HVH243"/>
      <c r="HVI243"/>
      <c r="HVJ243"/>
      <c r="HVK243"/>
      <c r="HVL243"/>
      <c r="HVM243"/>
      <c r="HVN243"/>
      <c r="HVO243"/>
      <c r="HVP243"/>
      <c r="HVQ243"/>
      <c r="HVR243"/>
      <c r="HVS243"/>
      <c r="HVT243"/>
      <c r="HVU243"/>
      <c r="HVV243"/>
      <c r="HVW243"/>
      <c r="HVX243"/>
      <c r="HVY243"/>
      <c r="HVZ243"/>
      <c r="HWA243"/>
      <c r="HWB243"/>
      <c r="HWC243"/>
      <c r="HWD243"/>
      <c r="HWE243"/>
      <c r="HWF243"/>
      <c r="HWG243"/>
      <c r="HWH243"/>
      <c r="HWI243"/>
      <c r="HWJ243"/>
      <c r="HWK243"/>
      <c r="HWL243"/>
      <c r="HWM243"/>
      <c r="HWN243"/>
      <c r="HWO243"/>
      <c r="HWP243"/>
      <c r="HWQ243"/>
      <c r="HWR243"/>
      <c r="HWS243"/>
      <c r="HWT243"/>
      <c r="HWU243"/>
      <c r="HWV243"/>
      <c r="HWW243"/>
      <c r="HWX243"/>
      <c r="HWY243"/>
      <c r="HWZ243"/>
      <c r="HXA243"/>
      <c r="HXB243"/>
      <c r="HXC243"/>
      <c r="HXD243"/>
      <c r="HXE243"/>
      <c r="HXF243"/>
      <c r="HXG243"/>
      <c r="HXH243"/>
      <c r="HXI243"/>
      <c r="HXJ243"/>
      <c r="HXK243"/>
      <c r="HXL243"/>
      <c r="HXM243"/>
      <c r="HXN243"/>
      <c r="HXO243"/>
      <c r="HXP243"/>
      <c r="HXQ243"/>
      <c r="HXR243"/>
      <c r="HXS243"/>
      <c r="HXT243"/>
      <c r="HXU243"/>
      <c r="HXV243"/>
      <c r="HXW243"/>
      <c r="HXX243"/>
      <c r="HXY243"/>
      <c r="HXZ243"/>
      <c r="HYA243"/>
      <c r="HYB243"/>
      <c r="HYC243"/>
      <c r="HYD243"/>
      <c r="HYE243"/>
      <c r="HYF243"/>
      <c r="HYG243"/>
      <c r="HYH243"/>
      <c r="HYI243"/>
      <c r="HYJ243"/>
      <c r="HYK243"/>
      <c r="HYL243"/>
      <c r="HYM243"/>
      <c r="HYN243"/>
      <c r="HYO243"/>
      <c r="HYP243"/>
      <c r="HYQ243"/>
      <c r="HYR243"/>
      <c r="HYS243"/>
      <c r="HYT243"/>
      <c r="HYU243"/>
      <c r="HYV243"/>
      <c r="HYW243"/>
      <c r="HYX243"/>
      <c r="HYY243"/>
      <c r="HYZ243"/>
      <c r="HZA243"/>
      <c r="HZB243"/>
      <c r="HZC243"/>
      <c r="HZD243"/>
      <c r="HZE243"/>
      <c r="HZF243"/>
      <c r="HZG243"/>
      <c r="HZH243"/>
      <c r="HZI243"/>
      <c r="HZJ243"/>
      <c r="HZK243"/>
      <c r="HZL243"/>
      <c r="HZM243"/>
      <c r="HZN243"/>
      <c r="HZO243"/>
      <c r="HZP243"/>
      <c r="HZQ243"/>
      <c r="HZR243"/>
      <c r="HZS243"/>
      <c r="HZT243"/>
      <c r="HZU243"/>
      <c r="HZV243"/>
      <c r="HZW243"/>
      <c r="HZX243"/>
      <c r="HZY243"/>
      <c r="HZZ243"/>
      <c r="IAA243"/>
      <c r="IAB243"/>
      <c r="IAC243"/>
      <c r="IAD243"/>
      <c r="IAE243"/>
      <c r="IAF243"/>
      <c r="IAG243"/>
      <c r="IAH243"/>
      <c r="IAI243"/>
      <c r="IAJ243"/>
      <c r="IAK243"/>
      <c r="IAL243"/>
      <c r="IAM243"/>
      <c r="IAN243"/>
      <c r="IAO243"/>
      <c r="IAP243"/>
      <c r="IAQ243"/>
      <c r="IAR243"/>
      <c r="IAS243"/>
      <c r="IAT243"/>
      <c r="IAU243"/>
      <c r="IAV243"/>
      <c r="IAW243"/>
      <c r="IAX243"/>
      <c r="IAY243"/>
      <c r="IAZ243"/>
      <c r="IBA243"/>
      <c r="IBB243"/>
      <c r="IBC243"/>
      <c r="IBD243"/>
      <c r="IBE243"/>
      <c r="IBF243"/>
      <c r="IBG243"/>
      <c r="IBH243"/>
      <c r="IBI243"/>
      <c r="IBJ243"/>
      <c r="IBK243"/>
      <c r="IBL243"/>
      <c r="IBM243"/>
      <c r="IBN243"/>
      <c r="IBO243"/>
      <c r="IBP243"/>
      <c r="IBQ243"/>
      <c r="IBR243"/>
      <c r="IBS243"/>
      <c r="IBT243"/>
      <c r="IBU243"/>
      <c r="IBV243"/>
      <c r="IBW243"/>
      <c r="IBX243"/>
      <c r="IBY243"/>
      <c r="IBZ243"/>
      <c r="ICA243"/>
      <c r="ICB243"/>
      <c r="ICC243"/>
      <c r="ICD243"/>
      <c r="ICE243"/>
      <c r="ICF243"/>
      <c r="ICG243"/>
      <c r="ICH243"/>
      <c r="ICI243"/>
      <c r="ICJ243"/>
      <c r="ICK243"/>
      <c r="ICL243"/>
      <c r="ICM243"/>
      <c r="ICN243"/>
      <c r="ICO243"/>
      <c r="ICP243"/>
      <c r="ICQ243"/>
      <c r="ICR243"/>
      <c r="ICS243"/>
      <c r="ICT243"/>
      <c r="ICU243"/>
      <c r="ICV243"/>
      <c r="ICW243"/>
      <c r="ICX243"/>
      <c r="ICY243"/>
      <c r="ICZ243"/>
      <c r="IDA243"/>
      <c r="IDB243"/>
      <c r="IDC243"/>
      <c r="IDD243"/>
      <c r="IDE243"/>
      <c r="IDF243"/>
      <c r="IDG243"/>
      <c r="IDH243"/>
      <c r="IDI243"/>
      <c r="IDJ243"/>
      <c r="IDK243"/>
      <c r="IDL243"/>
      <c r="IDM243"/>
      <c r="IDN243"/>
      <c r="IDO243"/>
      <c r="IDP243"/>
      <c r="IDQ243"/>
      <c r="IDR243"/>
      <c r="IDS243"/>
      <c r="IDT243"/>
      <c r="IDU243"/>
      <c r="IDV243"/>
      <c r="IDW243"/>
      <c r="IDX243"/>
      <c r="IDY243"/>
      <c r="IDZ243"/>
      <c r="IEA243"/>
      <c r="IEB243"/>
      <c r="IEC243"/>
      <c r="IED243"/>
      <c r="IEE243"/>
      <c r="IEF243"/>
      <c r="IEG243"/>
      <c r="IEH243"/>
      <c r="IEI243"/>
      <c r="IEJ243"/>
      <c r="IEK243"/>
      <c r="IEL243"/>
      <c r="IEM243"/>
      <c r="IEN243"/>
      <c r="IEO243"/>
      <c r="IEP243"/>
      <c r="IEQ243"/>
      <c r="IER243"/>
      <c r="IES243"/>
      <c r="IET243"/>
      <c r="IEU243"/>
      <c r="IEV243"/>
      <c r="IEW243"/>
      <c r="IEX243"/>
      <c r="IEY243"/>
      <c r="IEZ243"/>
      <c r="IFA243"/>
      <c r="IFB243"/>
      <c r="IFC243"/>
      <c r="IFD243"/>
      <c r="IFE243"/>
      <c r="IFF243"/>
      <c r="IFG243"/>
      <c r="IFH243"/>
      <c r="IFI243"/>
      <c r="IFJ243"/>
      <c r="IFK243"/>
      <c r="IFL243"/>
      <c r="IFM243"/>
      <c r="IFN243"/>
      <c r="IFO243"/>
      <c r="IFP243"/>
      <c r="IFQ243"/>
      <c r="IFR243"/>
      <c r="IFS243"/>
      <c r="IFT243"/>
      <c r="IFU243"/>
      <c r="IFV243"/>
      <c r="IFW243"/>
      <c r="IFX243"/>
      <c r="IFY243"/>
      <c r="IFZ243"/>
      <c r="IGA243"/>
      <c r="IGB243"/>
      <c r="IGC243"/>
      <c r="IGD243"/>
      <c r="IGE243"/>
      <c r="IGF243"/>
      <c r="IGG243"/>
      <c r="IGH243"/>
      <c r="IGI243"/>
      <c r="IGJ243"/>
      <c r="IGK243"/>
      <c r="IGL243"/>
      <c r="IGM243"/>
      <c r="IGN243"/>
      <c r="IGO243"/>
      <c r="IGP243"/>
      <c r="IGQ243"/>
      <c r="IGR243"/>
      <c r="IGS243"/>
      <c r="IGT243"/>
      <c r="IGU243"/>
      <c r="IGV243"/>
      <c r="IGW243"/>
      <c r="IGX243"/>
      <c r="IGY243"/>
      <c r="IGZ243"/>
      <c r="IHA243"/>
      <c r="IHB243"/>
      <c r="IHC243"/>
      <c r="IHD243"/>
      <c r="IHE243"/>
      <c r="IHF243"/>
      <c r="IHG243"/>
      <c r="IHH243"/>
      <c r="IHI243"/>
      <c r="IHJ243"/>
      <c r="IHK243"/>
      <c r="IHL243"/>
      <c r="IHM243"/>
      <c r="IHN243"/>
      <c r="IHO243"/>
      <c r="IHP243"/>
      <c r="IHQ243"/>
      <c r="IHR243"/>
      <c r="IHS243"/>
      <c r="IHT243"/>
      <c r="IHU243"/>
      <c r="IHV243"/>
      <c r="IHW243"/>
      <c r="IHX243"/>
      <c r="IHY243"/>
      <c r="IHZ243"/>
      <c r="IIA243"/>
      <c r="IIB243"/>
      <c r="IIC243"/>
      <c r="IID243"/>
      <c r="IIE243"/>
      <c r="IIF243"/>
      <c r="IIG243"/>
      <c r="IIH243"/>
      <c r="III243"/>
      <c r="IIJ243"/>
      <c r="IIK243"/>
      <c r="IIL243"/>
      <c r="IIM243"/>
      <c r="IIN243"/>
      <c r="IIO243"/>
      <c r="IIP243"/>
      <c r="IIQ243"/>
      <c r="IIR243"/>
      <c r="IIS243"/>
      <c r="IIT243"/>
      <c r="IIU243"/>
      <c r="IIV243"/>
      <c r="IIW243"/>
      <c r="IIX243"/>
      <c r="IIY243"/>
      <c r="IIZ243"/>
      <c r="IJA243"/>
      <c r="IJB243"/>
      <c r="IJC243"/>
      <c r="IJD243"/>
      <c r="IJE243"/>
      <c r="IJF243"/>
      <c r="IJG243"/>
      <c r="IJH243"/>
      <c r="IJI243"/>
      <c r="IJJ243"/>
      <c r="IJK243"/>
      <c r="IJL243"/>
      <c r="IJM243"/>
      <c r="IJN243"/>
      <c r="IJO243"/>
      <c r="IJP243"/>
      <c r="IJQ243"/>
      <c r="IJR243"/>
      <c r="IJS243"/>
      <c r="IJT243"/>
      <c r="IJU243"/>
      <c r="IJV243"/>
      <c r="IJW243"/>
      <c r="IJX243"/>
      <c r="IJY243"/>
      <c r="IJZ243"/>
      <c r="IKA243"/>
      <c r="IKB243"/>
      <c r="IKC243"/>
      <c r="IKD243"/>
      <c r="IKE243"/>
      <c r="IKF243"/>
      <c r="IKG243"/>
      <c r="IKH243"/>
      <c r="IKI243"/>
      <c r="IKJ243"/>
      <c r="IKK243"/>
      <c r="IKL243"/>
      <c r="IKM243"/>
      <c r="IKN243"/>
      <c r="IKO243"/>
      <c r="IKP243"/>
      <c r="IKQ243"/>
      <c r="IKR243"/>
      <c r="IKS243"/>
      <c r="IKT243"/>
      <c r="IKU243"/>
      <c r="IKV243"/>
      <c r="IKW243"/>
      <c r="IKX243"/>
      <c r="IKY243"/>
      <c r="IKZ243"/>
      <c r="ILA243"/>
      <c r="ILB243"/>
      <c r="ILC243"/>
      <c r="ILD243"/>
      <c r="ILE243"/>
      <c r="ILF243"/>
      <c r="ILG243"/>
      <c r="ILH243"/>
      <c r="ILI243"/>
      <c r="ILJ243"/>
      <c r="ILK243"/>
      <c r="ILL243"/>
      <c r="ILM243"/>
      <c r="ILN243"/>
      <c r="ILO243"/>
      <c r="ILP243"/>
      <c r="ILQ243"/>
      <c r="ILR243"/>
      <c r="ILS243"/>
      <c r="ILT243"/>
      <c r="ILU243"/>
      <c r="ILV243"/>
      <c r="ILW243"/>
      <c r="ILX243"/>
      <c r="ILY243"/>
      <c r="ILZ243"/>
      <c r="IMA243"/>
      <c r="IMB243"/>
      <c r="IMC243"/>
      <c r="IMD243"/>
      <c r="IME243"/>
      <c r="IMF243"/>
      <c r="IMG243"/>
      <c r="IMH243"/>
      <c r="IMI243"/>
      <c r="IMJ243"/>
      <c r="IMK243"/>
      <c r="IML243"/>
      <c r="IMM243"/>
      <c r="IMN243"/>
      <c r="IMO243"/>
      <c r="IMP243"/>
      <c r="IMQ243"/>
      <c r="IMR243"/>
      <c r="IMS243"/>
      <c r="IMT243"/>
      <c r="IMU243"/>
      <c r="IMV243"/>
      <c r="IMW243"/>
      <c r="IMX243"/>
      <c r="IMY243"/>
      <c r="IMZ243"/>
      <c r="INA243"/>
      <c r="INB243"/>
      <c r="INC243"/>
      <c r="IND243"/>
      <c r="INE243"/>
      <c r="INF243"/>
      <c r="ING243"/>
      <c r="INH243"/>
      <c r="INI243"/>
      <c r="INJ243"/>
      <c r="INK243"/>
      <c r="INL243"/>
      <c r="INM243"/>
      <c r="INN243"/>
      <c r="INO243"/>
      <c r="INP243"/>
      <c r="INQ243"/>
      <c r="INR243"/>
      <c r="INS243"/>
      <c r="INT243"/>
      <c r="INU243"/>
      <c r="INV243"/>
      <c r="INW243"/>
      <c r="INX243"/>
      <c r="INY243"/>
      <c r="INZ243"/>
      <c r="IOA243"/>
      <c r="IOB243"/>
      <c r="IOC243"/>
      <c r="IOD243"/>
      <c r="IOE243"/>
      <c r="IOF243"/>
      <c r="IOG243"/>
      <c r="IOH243"/>
      <c r="IOI243"/>
      <c r="IOJ243"/>
      <c r="IOK243"/>
      <c r="IOL243"/>
      <c r="IOM243"/>
      <c r="ION243"/>
      <c r="IOO243"/>
      <c r="IOP243"/>
      <c r="IOQ243"/>
      <c r="IOR243"/>
      <c r="IOS243"/>
      <c r="IOT243"/>
      <c r="IOU243"/>
      <c r="IOV243"/>
      <c r="IOW243"/>
      <c r="IOX243"/>
      <c r="IOY243"/>
      <c r="IOZ243"/>
      <c r="IPA243"/>
      <c r="IPB243"/>
      <c r="IPC243"/>
      <c r="IPD243"/>
      <c r="IPE243"/>
      <c r="IPF243"/>
      <c r="IPG243"/>
      <c r="IPH243"/>
      <c r="IPI243"/>
      <c r="IPJ243"/>
      <c r="IPK243"/>
      <c r="IPL243"/>
      <c r="IPM243"/>
      <c r="IPN243"/>
      <c r="IPO243"/>
      <c r="IPP243"/>
      <c r="IPQ243"/>
      <c r="IPR243"/>
      <c r="IPS243"/>
      <c r="IPT243"/>
      <c r="IPU243"/>
      <c r="IPV243"/>
      <c r="IPW243"/>
      <c r="IPX243"/>
      <c r="IPY243"/>
      <c r="IPZ243"/>
      <c r="IQA243"/>
      <c r="IQB243"/>
      <c r="IQC243"/>
      <c r="IQD243"/>
      <c r="IQE243"/>
      <c r="IQF243"/>
      <c r="IQG243"/>
      <c r="IQH243"/>
      <c r="IQI243"/>
      <c r="IQJ243"/>
      <c r="IQK243"/>
      <c r="IQL243"/>
      <c r="IQM243"/>
      <c r="IQN243"/>
      <c r="IQO243"/>
      <c r="IQP243"/>
      <c r="IQQ243"/>
      <c r="IQR243"/>
      <c r="IQS243"/>
      <c r="IQT243"/>
      <c r="IQU243"/>
      <c r="IQV243"/>
      <c r="IQW243"/>
      <c r="IQX243"/>
      <c r="IQY243"/>
      <c r="IQZ243"/>
      <c r="IRA243"/>
      <c r="IRB243"/>
      <c r="IRC243"/>
      <c r="IRD243"/>
      <c r="IRE243"/>
      <c r="IRF243"/>
      <c r="IRG243"/>
      <c r="IRH243"/>
      <c r="IRI243"/>
      <c r="IRJ243"/>
      <c r="IRK243"/>
      <c r="IRL243"/>
      <c r="IRM243"/>
      <c r="IRN243"/>
      <c r="IRO243"/>
      <c r="IRP243"/>
      <c r="IRQ243"/>
      <c r="IRR243"/>
      <c r="IRS243"/>
      <c r="IRT243"/>
      <c r="IRU243"/>
      <c r="IRV243"/>
      <c r="IRW243"/>
      <c r="IRX243"/>
      <c r="IRY243"/>
      <c r="IRZ243"/>
      <c r="ISA243"/>
      <c r="ISB243"/>
      <c r="ISC243"/>
      <c r="ISD243"/>
      <c r="ISE243"/>
      <c r="ISF243"/>
      <c r="ISG243"/>
      <c r="ISH243"/>
      <c r="ISI243"/>
      <c r="ISJ243"/>
      <c r="ISK243"/>
      <c r="ISL243"/>
      <c r="ISM243"/>
      <c r="ISN243"/>
      <c r="ISO243"/>
      <c r="ISP243"/>
      <c r="ISQ243"/>
      <c r="ISR243"/>
      <c r="ISS243"/>
      <c r="IST243"/>
      <c r="ISU243"/>
      <c r="ISV243"/>
      <c r="ISW243"/>
      <c r="ISX243"/>
      <c r="ISY243"/>
      <c r="ISZ243"/>
      <c r="ITA243"/>
      <c r="ITB243"/>
      <c r="ITC243"/>
      <c r="ITD243"/>
      <c r="ITE243"/>
      <c r="ITF243"/>
      <c r="ITG243"/>
      <c r="ITH243"/>
      <c r="ITI243"/>
      <c r="ITJ243"/>
      <c r="ITK243"/>
      <c r="ITL243"/>
      <c r="ITM243"/>
      <c r="ITN243"/>
      <c r="ITO243"/>
      <c r="ITP243"/>
      <c r="ITQ243"/>
      <c r="ITR243"/>
      <c r="ITS243"/>
      <c r="ITT243"/>
      <c r="ITU243"/>
      <c r="ITV243"/>
      <c r="ITW243"/>
      <c r="ITX243"/>
      <c r="ITY243"/>
      <c r="ITZ243"/>
      <c r="IUA243"/>
      <c r="IUB243"/>
      <c r="IUC243"/>
      <c r="IUD243"/>
      <c r="IUE243"/>
      <c r="IUF243"/>
      <c r="IUG243"/>
      <c r="IUH243"/>
      <c r="IUI243"/>
      <c r="IUJ243"/>
      <c r="IUK243"/>
      <c r="IUL243"/>
      <c r="IUM243"/>
      <c r="IUN243"/>
      <c r="IUO243"/>
      <c r="IUP243"/>
      <c r="IUQ243"/>
      <c r="IUR243"/>
      <c r="IUS243"/>
      <c r="IUT243"/>
      <c r="IUU243"/>
      <c r="IUV243"/>
      <c r="IUW243"/>
      <c r="IUX243"/>
      <c r="IUY243"/>
      <c r="IUZ243"/>
      <c r="IVA243"/>
      <c r="IVB243"/>
      <c r="IVC243"/>
      <c r="IVD243"/>
      <c r="IVE243"/>
      <c r="IVF243"/>
      <c r="IVG243"/>
      <c r="IVH243"/>
      <c r="IVI243"/>
      <c r="IVJ243"/>
      <c r="IVK243"/>
      <c r="IVL243"/>
      <c r="IVM243"/>
      <c r="IVN243"/>
      <c r="IVO243"/>
      <c r="IVP243"/>
      <c r="IVQ243"/>
      <c r="IVR243"/>
      <c r="IVS243"/>
      <c r="IVT243"/>
      <c r="IVU243"/>
      <c r="IVV243"/>
      <c r="IVW243"/>
      <c r="IVX243"/>
      <c r="IVY243"/>
      <c r="IVZ243"/>
      <c r="IWA243"/>
      <c r="IWB243"/>
      <c r="IWC243"/>
      <c r="IWD243"/>
      <c r="IWE243"/>
      <c r="IWF243"/>
      <c r="IWG243"/>
      <c r="IWH243"/>
      <c r="IWI243"/>
      <c r="IWJ243"/>
      <c r="IWK243"/>
      <c r="IWL243"/>
      <c r="IWM243"/>
      <c r="IWN243"/>
      <c r="IWO243"/>
      <c r="IWP243"/>
      <c r="IWQ243"/>
      <c r="IWR243"/>
      <c r="IWS243"/>
      <c r="IWT243"/>
      <c r="IWU243"/>
      <c r="IWV243"/>
      <c r="IWW243"/>
      <c r="IWX243"/>
      <c r="IWY243"/>
      <c r="IWZ243"/>
      <c r="IXA243"/>
      <c r="IXB243"/>
      <c r="IXC243"/>
      <c r="IXD243"/>
      <c r="IXE243"/>
      <c r="IXF243"/>
      <c r="IXG243"/>
      <c r="IXH243"/>
      <c r="IXI243"/>
      <c r="IXJ243"/>
      <c r="IXK243"/>
      <c r="IXL243"/>
      <c r="IXM243"/>
      <c r="IXN243"/>
      <c r="IXO243"/>
      <c r="IXP243"/>
      <c r="IXQ243"/>
      <c r="IXR243"/>
      <c r="IXS243"/>
      <c r="IXT243"/>
      <c r="IXU243"/>
      <c r="IXV243"/>
      <c r="IXW243"/>
      <c r="IXX243"/>
      <c r="IXY243"/>
      <c r="IXZ243"/>
      <c r="IYA243"/>
      <c r="IYB243"/>
      <c r="IYC243"/>
      <c r="IYD243"/>
      <c r="IYE243"/>
      <c r="IYF243"/>
      <c r="IYG243"/>
      <c r="IYH243"/>
      <c r="IYI243"/>
      <c r="IYJ243"/>
      <c r="IYK243"/>
      <c r="IYL243"/>
      <c r="IYM243"/>
      <c r="IYN243"/>
      <c r="IYO243"/>
      <c r="IYP243"/>
      <c r="IYQ243"/>
      <c r="IYR243"/>
      <c r="IYS243"/>
      <c r="IYT243"/>
      <c r="IYU243"/>
      <c r="IYV243"/>
      <c r="IYW243"/>
      <c r="IYX243"/>
      <c r="IYY243"/>
      <c r="IYZ243"/>
      <c r="IZA243"/>
      <c r="IZB243"/>
      <c r="IZC243"/>
      <c r="IZD243"/>
      <c r="IZE243"/>
      <c r="IZF243"/>
      <c r="IZG243"/>
      <c r="IZH243"/>
      <c r="IZI243"/>
      <c r="IZJ243"/>
      <c r="IZK243"/>
      <c r="IZL243"/>
      <c r="IZM243"/>
      <c r="IZN243"/>
      <c r="IZO243"/>
      <c r="IZP243"/>
      <c r="IZQ243"/>
      <c r="IZR243"/>
      <c r="IZS243"/>
      <c r="IZT243"/>
      <c r="IZU243"/>
      <c r="IZV243"/>
      <c r="IZW243"/>
      <c r="IZX243"/>
      <c r="IZY243"/>
      <c r="IZZ243"/>
      <c r="JAA243"/>
      <c r="JAB243"/>
      <c r="JAC243"/>
      <c r="JAD243"/>
      <c r="JAE243"/>
      <c r="JAF243"/>
      <c r="JAG243"/>
      <c r="JAH243"/>
      <c r="JAI243"/>
      <c r="JAJ243"/>
      <c r="JAK243"/>
      <c r="JAL243"/>
      <c r="JAM243"/>
      <c r="JAN243"/>
      <c r="JAO243"/>
      <c r="JAP243"/>
      <c r="JAQ243"/>
      <c r="JAR243"/>
      <c r="JAS243"/>
      <c r="JAT243"/>
      <c r="JAU243"/>
      <c r="JAV243"/>
      <c r="JAW243"/>
      <c r="JAX243"/>
      <c r="JAY243"/>
      <c r="JAZ243"/>
      <c r="JBA243"/>
      <c r="JBB243"/>
      <c r="JBC243"/>
      <c r="JBD243"/>
      <c r="JBE243"/>
      <c r="JBF243"/>
      <c r="JBG243"/>
      <c r="JBH243"/>
      <c r="JBI243"/>
      <c r="JBJ243"/>
      <c r="JBK243"/>
      <c r="JBL243"/>
      <c r="JBM243"/>
      <c r="JBN243"/>
      <c r="JBO243"/>
      <c r="JBP243"/>
      <c r="JBQ243"/>
      <c r="JBR243"/>
      <c r="JBS243"/>
      <c r="JBT243"/>
      <c r="JBU243"/>
      <c r="JBV243"/>
      <c r="JBW243"/>
      <c r="JBX243"/>
      <c r="JBY243"/>
      <c r="JBZ243"/>
      <c r="JCA243"/>
      <c r="JCB243"/>
      <c r="JCC243"/>
      <c r="JCD243"/>
      <c r="JCE243"/>
      <c r="JCF243"/>
      <c r="JCG243"/>
      <c r="JCH243"/>
      <c r="JCI243"/>
      <c r="JCJ243"/>
      <c r="JCK243"/>
      <c r="JCL243"/>
      <c r="JCM243"/>
      <c r="JCN243"/>
      <c r="JCO243"/>
      <c r="JCP243"/>
      <c r="JCQ243"/>
      <c r="JCR243"/>
      <c r="JCS243"/>
      <c r="JCT243"/>
      <c r="JCU243"/>
      <c r="JCV243"/>
      <c r="JCW243"/>
      <c r="JCX243"/>
      <c r="JCY243"/>
      <c r="JCZ243"/>
      <c r="JDA243"/>
      <c r="JDB243"/>
      <c r="JDC243"/>
      <c r="JDD243"/>
      <c r="JDE243"/>
      <c r="JDF243"/>
      <c r="JDG243"/>
      <c r="JDH243"/>
      <c r="JDI243"/>
      <c r="JDJ243"/>
      <c r="JDK243"/>
      <c r="JDL243"/>
      <c r="JDM243"/>
      <c r="JDN243"/>
      <c r="JDO243"/>
      <c r="JDP243"/>
      <c r="JDQ243"/>
      <c r="JDR243"/>
      <c r="JDS243"/>
      <c r="JDT243"/>
      <c r="JDU243"/>
      <c r="JDV243"/>
      <c r="JDW243"/>
      <c r="JDX243"/>
      <c r="JDY243"/>
      <c r="JDZ243"/>
      <c r="JEA243"/>
      <c r="JEB243"/>
      <c r="JEC243"/>
      <c r="JED243"/>
      <c r="JEE243"/>
      <c r="JEF243"/>
      <c r="JEG243"/>
      <c r="JEH243"/>
      <c r="JEI243"/>
      <c r="JEJ243"/>
      <c r="JEK243"/>
      <c r="JEL243"/>
      <c r="JEM243"/>
      <c r="JEN243"/>
      <c r="JEO243"/>
      <c r="JEP243"/>
      <c r="JEQ243"/>
      <c r="JER243"/>
      <c r="JES243"/>
      <c r="JET243"/>
      <c r="JEU243"/>
      <c r="JEV243"/>
      <c r="JEW243"/>
      <c r="JEX243"/>
      <c r="JEY243"/>
      <c r="JEZ243"/>
      <c r="JFA243"/>
      <c r="JFB243"/>
      <c r="JFC243"/>
      <c r="JFD243"/>
      <c r="JFE243"/>
      <c r="JFF243"/>
      <c r="JFG243"/>
      <c r="JFH243"/>
      <c r="JFI243"/>
      <c r="JFJ243"/>
      <c r="JFK243"/>
      <c r="JFL243"/>
      <c r="JFM243"/>
      <c r="JFN243"/>
      <c r="JFO243"/>
      <c r="JFP243"/>
      <c r="JFQ243"/>
      <c r="JFR243"/>
      <c r="JFS243"/>
      <c r="JFT243"/>
      <c r="JFU243"/>
      <c r="JFV243"/>
      <c r="JFW243"/>
      <c r="JFX243"/>
      <c r="JFY243"/>
      <c r="JFZ243"/>
      <c r="JGA243"/>
      <c r="JGB243"/>
      <c r="JGC243"/>
      <c r="JGD243"/>
      <c r="JGE243"/>
      <c r="JGF243"/>
      <c r="JGG243"/>
      <c r="JGH243"/>
      <c r="JGI243"/>
      <c r="JGJ243"/>
      <c r="JGK243"/>
      <c r="JGL243"/>
      <c r="JGM243"/>
      <c r="JGN243"/>
      <c r="JGO243"/>
      <c r="JGP243"/>
      <c r="JGQ243"/>
      <c r="JGR243"/>
      <c r="JGS243"/>
      <c r="JGT243"/>
      <c r="JGU243"/>
      <c r="JGV243"/>
      <c r="JGW243"/>
      <c r="JGX243"/>
      <c r="JGY243"/>
      <c r="JGZ243"/>
      <c r="JHA243"/>
      <c r="JHB243"/>
      <c r="JHC243"/>
      <c r="JHD243"/>
      <c r="JHE243"/>
      <c r="JHF243"/>
      <c r="JHG243"/>
      <c r="JHH243"/>
      <c r="JHI243"/>
      <c r="JHJ243"/>
      <c r="JHK243"/>
      <c r="JHL243"/>
      <c r="JHM243"/>
      <c r="JHN243"/>
      <c r="JHO243"/>
      <c r="JHP243"/>
      <c r="JHQ243"/>
      <c r="JHR243"/>
      <c r="JHS243"/>
      <c r="JHT243"/>
      <c r="JHU243"/>
      <c r="JHV243"/>
      <c r="JHW243"/>
      <c r="JHX243"/>
      <c r="JHY243"/>
      <c r="JHZ243"/>
      <c r="JIA243"/>
      <c r="JIB243"/>
      <c r="JIC243"/>
      <c r="JID243"/>
      <c r="JIE243"/>
      <c r="JIF243"/>
      <c r="JIG243"/>
      <c r="JIH243"/>
      <c r="JII243"/>
      <c r="JIJ243"/>
      <c r="JIK243"/>
      <c r="JIL243"/>
      <c r="JIM243"/>
      <c r="JIN243"/>
      <c r="JIO243"/>
      <c r="JIP243"/>
      <c r="JIQ243"/>
      <c r="JIR243"/>
      <c r="JIS243"/>
      <c r="JIT243"/>
      <c r="JIU243"/>
      <c r="JIV243"/>
      <c r="JIW243"/>
      <c r="JIX243"/>
      <c r="JIY243"/>
      <c r="JIZ243"/>
      <c r="JJA243"/>
      <c r="JJB243"/>
      <c r="JJC243"/>
      <c r="JJD243"/>
      <c r="JJE243"/>
      <c r="JJF243"/>
      <c r="JJG243"/>
      <c r="JJH243"/>
      <c r="JJI243"/>
      <c r="JJJ243"/>
      <c r="JJK243"/>
      <c r="JJL243"/>
      <c r="JJM243"/>
      <c r="JJN243"/>
      <c r="JJO243"/>
      <c r="JJP243"/>
      <c r="JJQ243"/>
      <c r="JJR243"/>
      <c r="JJS243"/>
      <c r="JJT243"/>
      <c r="JJU243"/>
      <c r="JJV243"/>
      <c r="JJW243"/>
      <c r="JJX243"/>
      <c r="JJY243"/>
      <c r="JJZ243"/>
      <c r="JKA243"/>
      <c r="JKB243"/>
      <c r="JKC243"/>
      <c r="JKD243"/>
      <c r="JKE243"/>
      <c r="JKF243"/>
      <c r="JKG243"/>
      <c r="JKH243"/>
      <c r="JKI243"/>
      <c r="JKJ243"/>
      <c r="JKK243"/>
      <c r="JKL243"/>
      <c r="JKM243"/>
      <c r="JKN243"/>
      <c r="JKO243"/>
      <c r="JKP243"/>
      <c r="JKQ243"/>
      <c r="JKR243"/>
      <c r="JKS243"/>
      <c r="JKT243"/>
      <c r="JKU243"/>
      <c r="JKV243"/>
      <c r="JKW243"/>
      <c r="JKX243"/>
      <c r="JKY243"/>
      <c r="JKZ243"/>
      <c r="JLA243"/>
      <c r="JLB243"/>
      <c r="JLC243"/>
      <c r="JLD243"/>
      <c r="JLE243"/>
      <c r="JLF243"/>
      <c r="JLG243"/>
      <c r="JLH243"/>
      <c r="JLI243"/>
      <c r="JLJ243"/>
      <c r="JLK243"/>
      <c r="JLL243"/>
      <c r="JLM243"/>
      <c r="JLN243"/>
      <c r="JLO243"/>
      <c r="JLP243"/>
      <c r="JLQ243"/>
      <c r="JLR243"/>
      <c r="JLS243"/>
      <c r="JLT243"/>
      <c r="JLU243"/>
      <c r="JLV243"/>
      <c r="JLW243"/>
      <c r="JLX243"/>
      <c r="JLY243"/>
      <c r="JLZ243"/>
      <c r="JMA243"/>
      <c r="JMB243"/>
      <c r="JMC243"/>
      <c r="JMD243"/>
      <c r="JME243"/>
      <c r="JMF243"/>
      <c r="JMG243"/>
      <c r="JMH243"/>
      <c r="JMI243"/>
      <c r="JMJ243"/>
      <c r="JMK243"/>
      <c r="JML243"/>
      <c r="JMM243"/>
      <c r="JMN243"/>
      <c r="JMO243"/>
      <c r="JMP243"/>
      <c r="JMQ243"/>
      <c r="JMR243"/>
      <c r="JMS243"/>
      <c r="JMT243"/>
      <c r="JMU243"/>
      <c r="JMV243"/>
      <c r="JMW243"/>
      <c r="JMX243"/>
      <c r="JMY243"/>
      <c r="JMZ243"/>
      <c r="JNA243"/>
      <c r="JNB243"/>
      <c r="JNC243"/>
      <c r="JND243"/>
      <c r="JNE243"/>
      <c r="JNF243"/>
      <c r="JNG243"/>
      <c r="JNH243"/>
      <c r="JNI243"/>
      <c r="JNJ243"/>
      <c r="JNK243"/>
      <c r="JNL243"/>
      <c r="JNM243"/>
      <c r="JNN243"/>
      <c r="JNO243"/>
      <c r="JNP243"/>
      <c r="JNQ243"/>
      <c r="JNR243"/>
      <c r="JNS243"/>
      <c r="JNT243"/>
      <c r="JNU243"/>
      <c r="JNV243"/>
      <c r="JNW243"/>
      <c r="JNX243"/>
      <c r="JNY243"/>
      <c r="JNZ243"/>
      <c r="JOA243"/>
      <c r="JOB243"/>
      <c r="JOC243"/>
      <c r="JOD243"/>
      <c r="JOE243"/>
      <c r="JOF243"/>
      <c r="JOG243"/>
      <c r="JOH243"/>
      <c r="JOI243"/>
      <c r="JOJ243"/>
      <c r="JOK243"/>
      <c r="JOL243"/>
      <c r="JOM243"/>
      <c r="JON243"/>
      <c r="JOO243"/>
      <c r="JOP243"/>
      <c r="JOQ243"/>
      <c r="JOR243"/>
      <c r="JOS243"/>
      <c r="JOT243"/>
      <c r="JOU243"/>
      <c r="JOV243"/>
      <c r="JOW243"/>
      <c r="JOX243"/>
      <c r="JOY243"/>
      <c r="JOZ243"/>
      <c r="JPA243"/>
      <c r="JPB243"/>
      <c r="JPC243"/>
      <c r="JPD243"/>
      <c r="JPE243"/>
      <c r="JPF243"/>
      <c r="JPG243"/>
      <c r="JPH243"/>
      <c r="JPI243"/>
      <c r="JPJ243"/>
      <c r="JPK243"/>
      <c r="JPL243"/>
      <c r="JPM243"/>
      <c r="JPN243"/>
      <c r="JPO243"/>
      <c r="JPP243"/>
      <c r="JPQ243"/>
      <c r="JPR243"/>
      <c r="JPS243"/>
      <c r="JPT243"/>
      <c r="JPU243"/>
      <c r="JPV243"/>
      <c r="JPW243"/>
      <c r="JPX243"/>
      <c r="JPY243"/>
      <c r="JPZ243"/>
      <c r="JQA243"/>
      <c r="JQB243"/>
      <c r="JQC243"/>
      <c r="JQD243"/>
      <c r="JQE243"/>
      <c r="JQF243"/>
      <c r="JQG243"/>
      <c r="JQH243"/>
      <c r="JQI243"/>
      <c r="JQJ243"/>
      <c r="JQK243"/>
      <c r="JQL243"/>
      <c r="JQM243"/>
      <c r="JQN243"/>
      <c r="JQO243"/>
      <c r="JQP243"/>
      <c r="JQQ243"/>
      <c r="JQR243"/>
      <c r="JQS243"/>
      <c r="JQT243"/>
      <c r="JQU243"/>
      <c r="JQV243"/>
      <c r="JQW243"/>
      <c r="JQX243"/>
      <c r="JQY243"/>
      <c r="JQZ243"/>
      <c r="JRA243"/>
      <c r="JRB243"/>
      <c r="JRC243"/>
      <c r="JRD243"/>
      <c r="JRE243"/>
      <c r="JRF243"/>
      <c r="JRG243"/>
      <c r="JRH243"/>
      <c r="JRI243"/>
      <c r="JRJ243"/>
      <c r="JRK243"/>
      <c r="JRL243"/>
      <c r="JRM243"/>
      <c r="JRN243"/>
      <c r="JRO243"/>
      <c r="JRP243"/>
      <c r="JRQ243"/>
      <c r="JRR243"/>
      <c r="JRS243"/>
      <c r="JRT243"/>
      <c r="JRU243"/>
      <c r="JRV243"/>
      <c r="JRW243"/>
      <c r="JRX243"/>
      <c r="JRY243"/>
      <c r="JRZ243"/>
      <c r="JSA243"/>
      <c r="JSB243"/>
      <c r="JSC243"/>
      <c r="JSD243"/>
      <c r="JSE243"/>
      <c r="JSF243"/>
      <c r="JSG243"/>
      <c r="JSH243"/>
      <c r="JSI243"/>
      <c r="JSJ243"/>
      <c r="JSK243"/>
      <c r="JSL243"/>
      <c r="JSM243"/>
      <c r="JSN243"/>
      <c r="JSO243"/>
      <c r="JSP243"/>
      <c r="JSQ243"/>
      <c r="JSR243"/>
      <c r="JSS243"/>
      <c r="JST243"/>
      <c r="JSU243"/>
      <c r="JSV243"/>
      <c r="JSW243"/>
      <c r="JSX243"/>
      <c r="JSY243"/>
      <c r="JSZ243"/>
      <c r="JTA243"/>
      <c r="JTB243"/>
      <c r="JTC243"/>
      <c r="JTD243"/>
      <c r="JTE243"/>
      <c r="JTF243"/>
      <c r="JTG243"/>
      <c r="JTH243"/>
      <c r="JTI243"/>
      <c r="JTJ243"/>
      <c r="JTK243"/>
      <c r="JTL243"/>
      <c r="JTM243"/>
      <c r="JTN243"/>
      <c r="JTO243"/>
      <c r="JTP243"/>
      <c r="JTQ243"/>
      <c r="JTR243"/>
      <c r="JTS243"/>
      <c r="JTT243"/>
      <c r="JTU243"/>
      <c r="JTV243"/>
      <c r="JTW243"/>
      <c r="JTX243"/>
      <c r="JTY243"/>
      <c r="JTZ243"/>
      <c r="JUA243"/>
      <c r="JUB243"/>
      <c r="JUC243"/>
      <c r="JUD243"/>
      <c r="JUE243"/>
      <c r="JUF243"/>
      <c r="JUG243"/>
      <c r="JUH243"/>
      <c r="JUI243"/>
      <c r="JUJ243"/>
      <c r="JUK243"/>
      <c r="JUL243"/>
      <c r="JUM243"/>
      <c r="JUN243"/>
      <c r="JUO243"/>
      <c r="JUP243"/>
      <c r="JUQ243"/>
      <c r="JUR243"/>
      <c r="JUS243"/>
      <c r="JUT243"/>
      <c r="JUU243"/>
      <c r="JUV243"/>
      <c r="JUW243"/>
      <c r="JUX243"/>
      <c r="JUY243"/>
      <c r="JUZ243"/>
      <c r="JVA243"/>
      <c r="JVB243"/>
      <c r="JVC243"/>
      <c r="JVD243"/>
      <c r="JVE243"/>
      <c r="JVF243"/>
      <c r="JVG243"/>
      <c r="JVH243"/>
      <c r="JVI243"/>
      <c r="JVJ243"/>
      <c r="JVK243"/>
      <c r="JVL243"/>
      <c r="JVM243"/>
      <c r="JVN243"/>
      <c r="JVO243"/>
      <c r="JVP243"/>
      <c r="JVQ243"/>
      <c r="JVR243"/>
      <c r="JVS243"/>
      <c r="JVT243"/>
      <c r="JVU243"/>
      <c r="JVV243"/>
      <c r="JVW243"/>
      <c r="JVX243"/>
      <c r="JVY243"/>
      <c r="JVZ243"/>
      <c r="JWA243"/>
      <c r="JWB243"/>
      <c r="JWC243"/>
      <c r="JWD243"/>
      <c r="JWE243"/>
      <c r="JWF243"/>
      <c r="JWG243"/>
      <c r="JWH243"/>
      <c r="JWI243"/>
      <c r="JWJ243"/>
      <c r="JWK243"/>
      <c r="JWL243"/>
      <c r="JWM243"/>
      <c r="JWN243"/>
      <c r="JWO243"/>
      <c r="JWP243"/>
      <c r="JWQ243"/>
      <c r="JWR243"/>
      <c r="JWS243"/>
      <c r="JWT243"/>
      <c r="JWU243"/>
      <c r="JWV243"/>
      <c r="JWW243"/>
      <c r="JWX243"/>
      <c r="JWY243"/>
      <c r="JWZ243"/>
      <c r="JXA243"/>
      <c r="JXB243"/>
      <c r="JXC243"/>
      <c r="JXD243"/>
      <c r="JXE243"/>
      <c r="JXF243"/>
      <c r="JXG243"/>
      <c r="JXH243"/>
      <c r="JXI243"/>
      <c r="JXJ243"/>
      <c r="JXK243"/>
      <c r="JXL243"/>
      <c r="JXM243"/>
      <c r="JXN243"/>
      <c r="JXO243"/>
      <c r="JXP243"/>
      <c r="JXQ243"/>
      <c r="JXR243"/>
      <c r="JXS243"/>
      <c r="JXT243"/>
      <c r="JXU243"/>
      <c r="JXV243"/>
      <c r="JXW243"/>
      <c r="JXX243"/>
      <c r="JXY243"/>
      <c r="JXZ243"/>
      <c r="JYA243"/>
      <c r="JYB243"/>
      <c r="JYC243"/>
      <c r="JYD243"/>
      <c r="JYE243"/>
      <c r="JYF243"/>
      <c r="JYG243"/>
      <c r="JYH243"/>
      <c r="JYI243"/>
      <c r="JYJ243"/>
      <c r="JYK243"/>
      <c r="JYL243"/>
      <c r="JYM243"/>
      <c r="JYN243"/>
      <c r="JYO243"/>
      <c r="JYP243"/>
      <c r="JYQ243"/>
      <c r="JYR243"/>
      <c r="JYS243"/>
      <c r="JYT243"/>
      <c r="JYU243"/>
      <c r="JYV243"/>
      <c r="JYW243"/>
      <c r="JYX243"/>
      <c r="JYY243"/>
      <c r="JYZ243"/>
      <c r="JZA243"/>
      <c r="JZB243"/>
      <c r="JZC243"/>
      <c r="JZD243"/>
      <c r="JZE243"/>
      <c r="JZF243"/>
      <c r="JZG243"/>
      <c r="JZH243"/>
      <c r="JZI243"/>
      <c r="JZJ243"/>
      <c r="JZK243"/>
      <c r="JZL243"/>
      <c r="JZM243"/>
      <c r="JZN243"/>
      <c r="JZO243"/>
      <c r="JZP243"/>
      <c r="JZQ243"/>
      <c r="JZR243"/>
      <c r="JZS243"/>
      <c r="JZT243"/>
      <c r="JZU243"/>
      <c r="JZV243"/>
      <c r="JZW243"/>
      <c r="JZX243"/>
      <c r="JZY243"/>
      <c r="JZZ243"/>
      <c r="KAA243"/>
      <c r="KAB243"/>
      <c r="KAC243"/>
      <c r="KAD243"/>
      <c r="KAE243"/>
      <c r="KAF243"/>
      <c r="KAG243"/>
      <c r="KAH243"/>
      <c r="KAI243"/>
      <c r="KAJ243"/>
      <c r="KAK243"/>
      <c r="KAL243"/>
      <c r="KAM243"/>
      <c r="KAN243"/>
      <c r="KAO243"/>
      <c r="KAP243"/>
      <c r="KAQ243"/>
      <c r="KAR243"/>
      <c r="KAS243"/>
      <c r="KAT243"/>
      <c r="KAU243"/>
      <c r="KAV243"/>
      <c r="KAW243"/>
      <c r="KAX243"/>
      <c r="KAY243"/>
      <c r="KAZ243"/>
      <c r="KBA243"/>
      <c r="KBB243"/>
      <c r="KBC243"/>
      <c r="KBD243"/>
      <c r="KBE243"/>
      <c r="KBF243"/>
      <c r="KBG243"/>
      <c r="KBH243"/>
      <c r="KBI243"/>
      <c r="KBJ243"/>
      <c r="KBK243"/>
      <c r="KBL243"/>
      <c r="KBM243"/>
      <c r="KBN243"/>
      <c r="KBO243"/>
      <c r="KBP243"/>
      <c r="KBQ243"/>
      <c r="KBR243"/>
      <c r="KBS243"/>
      <c r="KBT243"/>
      <c r="KBU243"/>
      <c r="KBV243"/>
      <c r="KBW243"/>
      <c r="KBX243"/>
      <c r="KBY243"/>
      <c r="KBZ243"/>
      <c r="KCA243"/>
      <c r="KCB243"/>
      <c r="KCC243"/>
      <c r="KCD243"/>
      <c r="KCE243"/>
      <c r="KCF243"/>
      <c r="KCG243"/>
      <c r="KCH243"/>
      <c r="KCI243"/>
      <c r="KCJ243"/>
      <c r="KCK243"/>
      <c r="KCL243"/>
      <c r="KCM243"/>
      <c r="KCN243"/>
      <c r="KCO243"/>
      <c r="KCP243"/>
      <c r="KCQ243"/>
      <c r="KCR243"/>
      <c r="KCS243"/>
      <c r="KCT243"/>
      <c r="KCU243"/>
      <c r="KCV243"/>
      <c r="KCW243"/>
      <c r="KCX243"/>
      <c r="KCY243"/>
      <c r="KCZ243"/>
      <c r="KDA243"/>
      <c r="KDB243"/>
      <c r="KDC243"/>
      <c r="KDD243"/>
      <c r="KDE243"/>
      <c r="KDF243"/>
      <c r="KDG243"/>
      <c r="KDH243"/>
      <c r="KDI243"/>
      <c r="KDJ243"/>
      <c r="KDK243"/>
      <c r="KDL243"/>
      <c r="KDM243"/>
      <c r="KDN243"/>
      <c r="KDO243"/>
      <c r="KDP243"/>
      <c r="KDQ243"/>
      <c r="KDR243"/>
      <c r="KDS243"/>
      <c r="KDT243"/>
      <c r="KDU243"/>
      <c r="KDV243"/>
      <c r="KDW243"/>
      <c r="KDX243"/>
      <c r="KDY243"/>
      <c r="KDZ243"/>
      <c r="KEA243"/>
      <c r="KEB243"/>
      <c r="KEC243"/>
      <c r="KED243"/>
      <c r="KEE243"/>
      <c r="KEF243"/>
      <c r="KEG243"/>
      <c r="KEH243"/>
      <c r="KEI243"/>
      <c r="KEJ243"/>
      <c r="KEK243"/>
      <c r="KEL243"/>
      <c r="KEM243"/>
      <c r="KEN243"/>
      <c r="KEO243"/>
      <c r="KEP243"/>
      <c r="KEQ243"/>
      <c r="KER243"/>
      <c r="KES243"/>
      <c r="KET243"/>
      <c r="KEU243"/>
      <c r="KEV243"/>
      <c r="KEW243"/>
      <c r="KEX243"/>
      <c r="KEY243"/>
      <c r="KEZ243"/>
      <c r="KFA243"/>
      <c r="KFB243"/>
      <c r="KFC243"/>
      <c r="KFD243"/>
      <c r="KFE243"/>
      <c r="KFF243"/>
      <c r="KFG243"/>
      <c r="KFH243"/>
      <c r="KFI243"/>
      <c r="KFJ243"/>
      <c r="KFK243"/>
      <c r="KFL243"/>
      <c r="KFM243"/>
      <c r="KFN243"/>
      <c r="KFO243"/>
      <c r="KFP243"/>
      <c r="KFQ243"/>
      <c r="KFR243"/>
      <c r="KFS243"/>
      <c r="KFT243"/>
      <c r="KFU243"/>
      <c r="KFV243"/>
      <c r="KFW243"/>
      <c r="KFX243"/>
      <c r="KFY243"/>
      <c r="KFZ243"/>
      <c r="KGA243"/>
      <c r="KGB243"/>
      <c r="KGC243"/>
      <c r="KGD243"/>
      <c r="KGE243"/>
      <c r="KGF243"/>
      <c r="KGG243"/>
      <c r="KGH243"/>
      <c r="KGI243"/>
      <c r="KGJ243"/>
      <c r="KGK243"/>
      <c r="KGL243"/>
      <c r="KGM243"/>
      <c r="KGN243"/>
      <c r="KGO243"/>
      <c r="KGP243"/>
      <c r="KGQ243"/>
      <c r="KGR243"/>
      <c r="KGS243"/>
      <c r="KGT243"/>
      <c r="KGU243"/>
      <c r="KGV243"/>
      <c r="KGW243"/>
      <c r="KGX243"/>
      <c r="KGY243"/>
      <c r="KGZ243"/>
      <c r="KHA243"/>
      <c r="KHB243"/>
      <c r="KHC243"/>
      <c r="KHD243"/>
      <c r="KHE243"/>
      <c r="KHF243"/>
      <c r="KHG243"/>
      <c r="KHH243"/>
      <c r="KHI243"/>
      <c r="KHJ243"/>
      <c r="KHK243"/>
      <c r="KHL243"/>
      <c r="KHM243"/>
      <c r="KHN243"/>
      <c r="KHO243"/>
      <c r="KHP243"/>
      <c r="KHQ243"/>
      <c r="KHR243"/>
      <c r="KHS243"/>
      <c r="KHT243"/>
      <c r="KHU243"/>
      <c r="KHV243"/>
      <c r="KHW243"/>
      <c r="KHX243"/>
      <c r="KHY243"/>
      <c r="KHZ243"/>
      <c r="KIA243"/>
      <c r="KIB243"/>
      <c r="KIC243"/>
      <c r="KID243"/>
      <c r="KIE243"/>
      <c r="KIF243"/>
      <c r="KIG243"/>
      <c r="KIH243"/>
      <c r="KII243"/>
      <c r="KIJ243"/>
      <c r="KIK243"/>
      <c r="KIL243"/>
      <c r="KIM243"/>
      <c r="KIN243"/>
      <c r="KIO243"/>
      <c r="KIP243"/>
      <c r="KIQ243"/>
      <c r="KIR243"/>
      <c r="KIS243"/>
      <c r="KIT243"/>
      <c r="KIU243"/>
      <c r="KIV243"/>
      <c r="KIW243"/>
      <c r="KIX243"/>
      <c r="KIY243"/>
      <c r="KIZ243"/>
      <c r="KJA243"/>
      <c r="KJB243"/>
      <c r="KJC243"/>
      <c r="KJD243"/>
      <c r="KJE243"/>
      <c r="KJF243"/>
      <c r="KJG243"/>
      <c r="KJH243"/>
      <c r="KJI243"/>
      <c r="KJJ243"/>
      <c r="KJK243"/>
      <c r="KJL243"/>
      <c r="KJM243"/>
      <c r="KJN243"/>
      <c r="KJO243"/>
      <c r="KJP243"/>
      <c r="KJQ243"/>
      <c r="KJR243"/>
      <c r="KJS243"/>
      <c r="KJT243"/>
      <c r="KJU243"/>
      <c r="KJV243"/>
      <c r="KJW243"/>
      <c r="KJX243"/>
      <c r="KJY243"/>
      <c r="KJZ243"/>
      <c r="KKA243"/>
      <c r="KKB243"/>
      <c r="KKC243"/>
      <c r="KKD243"/>
      <c r="KKE243"/>
      <c r="KKF243"/>
      <c r="KKG243"/>
      <c r="KKH243"/>
      <c r="KKI243"/>
      <c r="KKJ243"/>
      <c r="KKK243"/>
      <c r="KKL243"/>
      <c r="KKM243"/>
      <c r="KKN243"/>
      <c r="KKO243"/>
      <c r="KKP243"/>
      <c r="KKQ243"/>
      <c r="KKR243"/>
      <c r="KKS243"/>
      <c r="KKT243"/>
      <c r="KKU243"/>
      <c r="KKV243"/>
      <c r="KKW243"/>
      <c r="KKX243"/>
      <c r="KKY243"/>
      <c r="KKZ243"/>
      <c r="KLA243"/>
      <c r="KLB243"/>
      <c r="KLC243"/>
      <c r="KLD243"/>
      <c r="KLE243"/>
      <c r="KLF243"/>
      <c r="KLG243"/>
      <c r="KLH243"/>
      <c r="KLI243"/>
      <c r="KLJ243"/>
      <c r="KLK243"/>
      <c r="KLL243"/>
      <c r="KLM243"/>
      <c r="KLN243"/>
      <c r="KLO243"/>
      <c r="KLP243"/>
      <c r="KLQ243"/>
      <c r="KLR243"/>
      <c r="KLS243"/>
      <c r="KLT243"/>
      <c r="KLU243"/>
      <c r="KLV243"/>
      <c r="KLW243"/>
      <c r="KLX243"/>
      <c r="KLY243"/>
      <c r="KLZ243"/>
      <c r="KMA243"/>
      <c r="KMB243"/>
      <c r="KMC243"/>
      <c r="KMD243"/>
      <c r="KME243"/>
      <c r="KMF243"/>
      <c r="KMG243"/>
      <c r="KMH243"/>
      <c r="KMI243"/>
      <c r="KMJ243"/>
      <c r="KMK243"/>
      <c r="KML243"/>
      <c r="KMM243"/>
      <c r="KMN243"/>
      <c r="KMO243"/>
      <c r="KMP243"/>
      <c r="KMQ243"/>
      <c r="KMR243"/>
      <c r="KMS243"/>
      <c r="KMT243"/>
      <c r="KMU243"/>
      <c r="KMV243"/>
      <c r="KMW243"/>
      <c r="KMX243"/>
      <c r="KMY243"/>
      <c r="KMZ243"/>
      <c r="KNA243"/>
      <c r="KNB243"/>
      <c r="KNC243"/>
      <c r="KND243"/>
      <c r="KNE243"/>
      <c r="KNF243"/>
      <c r="KNG243"/>
      <c r="KNH243"/>
      <c r="KNI243"/>
      <c r="KNJ243"/>
      <c r="KNK243"/>
      <c r="KNL243"/>
      <c r="KNM243"/>
      <c r="KNN243"/>
      <c r="KNO243"/>
      <c r="KNP243"/>
      <c r="KNQ243"/>
      <c r="KNR243"/>
      <c r="KNS243"/>
      <c r="KNT243"/>
      <c r="KNU243"/>
      <c r="KNV243"/>
      <c r="KNW243"/>
      <c r="KNX243"/>
      <c r="KNY243"/>
      <c r="KNZ243"/>
      <c r="KOA243"/>
      <c r="KOB243"/>
      <c r="KOC243"/>
      <c r="KOD243"/>
      <c r="KOE243"/>
      <c r="KOF243"/>
      <c r="KOG243"/>
      <c r="KOH243"/>
      <c r="KOI243"/>
      <c r="KOJ243"/>
      <c r="KOK243"/>
      <c r="KOL243"/>
      <c r="KOM243"/>
      <c r="KON243"/>
      <c r="KOO243"/>
      <c r="KOP243"/>
      <c r="KOQ243"/>
      <c r="KOR243"/>
      <c r="KOS243"/>
      <c r="KOT243"/>
      <c r="KOU243"/>
      <c r="KOV243"/>
      <c r="KOW243"/>
      <c r="KOX243"/>
      <c r="KOY243"/>
      <c r="KOZ243"/>
      <c r="KPA243"/>
      <c r="KPB243"/>
      <c r="KPC243"/>
      <c r="KPD243"/>
      <c r="KPE243"/>
      <c r="KPF243"/>
      <c r="KPG243"/>
      <c r="KPH243"/>
      <c r="KPI243"/>
      <c r="KPJ243"/>
      <c r="KPK243"/>
      <c r="KPL243"/>
      <c r="KPM243"/>
      <c r="KPN243"/>
      <c r="KPO243"/>
      <c r="KPP243"/>
      <c r="KPQ243"/>
      <c r="KPR243"/>
      <c r="KPS243"/>
      <c r="KPT243"/>
      <c r="KPU243"/>
      <c r="KPV243"/>
      <c r="KPW243"/>
      <c r="KPX243"/>
      <c r="KPY243"/>
      <c r="KPZ243"/>
      <c r="KQA243"/>
      <c r="KQB243"/>
      <c r="KQC243"/>
      <c r="KQD243"/>
      <c r="KQE243"/>
      <c r="KQF243"/>
      <c r="KQG243"/>
      <c r="KQH243"/>
      <c r="KQI243"/>
      <c r="KQJ243"/>
      <c r="KQK243"/>
      <c r="KQL243"/>
      <c r="KQM243"/>
      <c r="KQN243"/>
      <c r="KQO243"/>
      <c r="KQP243"/>
      <c r="KQQ243"/>
      <c r="KQR243"/>
      <c r="KQS243"/>
      <c r="KQT243"/>
      <c r="KQU243"/>
      <c r="KQV243"/>
      <c r="KQW243"/>
      <c r="KQX243"/>
      <c r="KQY243"/>
      <c r="KQZ243"/>
      <c r="KRA243"/>
      <c r="KRB243"/>
      <c r="KRC243"/>
      <c r="KRD243"/>
      <c r="KRE243"/>
      <c r="KRF243"/>
      <c r="KRG243"/>
      <c r="KRH243"/>
      <c r="KRI243"/>
      <c r="KRJ243"/>
      <c r="KRK243"/>
      <c r="KRL243"/>
      <c r="KRM243"/>
      <c r="KRN243"/>
      <c r="KRO243"/>
      <c r="KRP243"/>
      <c r="KRQ243"/>
      <c r="KRR243"/>
      <c r="KRS243"/>
      <c r="KRT243"/>
      <c r="KRU243"/>
      <c r="KRV243"/>
      <c r="KRW243"/>
      <c r="KRX243"/>
      <c r="KRY243"/>
      <c r="KRZ243"/>
      <c r="KSA243"/>
      <c r="KSB243"/>
      <c r="KSC243"/>
      <c r="KSD243"/>
      <c r="KSE243"/>
      <c r="KSF243"/>
      <c r="KSG243"/>
      <c r="KSH243"/>
      <c r="KSI243"/>
      <c r="KSJ243"/>
      <c r="KSK243"/>
      <c r="KSL243"/>
      <c r="KSM243"/>
      <c r="KSN243"/>
      <c r="KSO243"/>
      <c r="KSP243"/>
      <c r="KSQ243"/>
      <c r="KSR243"/>
      <c r="KSS243"/>
      <c r="KST243"/>
      <c r="KSU243"/>
      <c r="KSV243"/>
      <c r="KSW243"/>
      <c r="KSX243"/>
      <c r="KSY243"/>
      <c r="KSZ243"/>
      <c r="KTA243"/>
      <c r="KTB243"/>
      <c r="KTC243"/>
      <c r="KTD243"/>
      <c r="KTE243"/>
      <c r="KTF243"/>
      <c r="KTG243"/>
      <c r="KTH243"/>
      <c r="KTI243"/>
      <c r="KTJ243"/>
      <c r="KTK243"/>
      <c r="KTL243"/>
      <c r="KTM243"/>
      <c r="KTN243"/>
      <c r="KTO243"/>
      <c r="KTP243"/>
      <c r="KTQ243"/>
      <c r="KTR243"/>
      <c r="KTS243"/>
      <c r="KTT243"/>
      <c r="KTU243"/>
      <c r="KTV243"/>
      <c r="KTW243"/>
      <c r="KTX243"/>
      <c r="KTY243"/>
      <c r="KTZ243"/>
      <c r="KUA243"/>
      <c r="KUB243"/>
      <c r="KUC243"/>
      <c r="KUD243"/>
      <c r="KUE243"/>
      <c r="KUF243"/>
      <c r="KUG243"/>
      <c r="KUH243"/>
      <c r="KUI243"/>
      <c r="KUJ243"/>
      <c r="KUK243"/>
      <c r="KUL243"/>
      <c r="KUM243"/>
      <c r="KUN243"/>
      <c r="KUO243"/>
      <c r="KUP243"/>
      <c r="KUQ243"/>
      <c r="KUR243"/>
      <c r="KUS243"/>
      <c r="KUT243"/>
      <c r="KUU243"/>
      <c r="KUV243"/>
      <c r="KUW243"/>
      <c r="KUX243"/>
      <c r="KUY243"/>
      <c r="KUZ243"/>
      <c r="KVA243"/>
      <c r="KVB243"/>
      <c r="KVC243"/>
      <c r="KVD243"/>
      <c r="KVE243"/>
      <c r="KVF243"/>
      <c r="KVG243"/>
      <c r="KVH243"/>
      <c r="KVI243"/>
      <c r="KVJ243"/>
      <c r="KVK243"/>
      <c r="KVL243"/>
      <c r="KVM243"/>
      <c r="KVN243"/>
      <c r="KVO243"/>
      <c r="KVP243"/>
      <c r="KVQ243"/>
      <c r="KVR243"/>
      <c r="KVS243"/>
      <c r="KVT243"/>
      <c r="KVU243"/>
      <c r="KVV243"/>
      <c r="KVW243"/>
      <c r="KVX243"/>
      <c r="KVY243"/>
      <c r="KVZ243"/>
      <c r="KWA243"/>
      <c r="KWB243"/>
      <c r="KWC243"/>
      <c r="KWD243"/>
      <c r="KWE243"/>
      <c r="KWF243"/>
      <c r="KWG243"/>
      <c r="KWH243"/>
      <c r="KWI243"/>
      <c r="KWJ243"/>
      <c r="KWK243"/>
      <c r="KWL243"/>
      <c r="KWM243"/>
      <c r="KWN243"/>
      <c r="KWO243"/>
      <c r="KWP243"/>
      <c r="KWQ243"/>
      <c r="KWR243"/>
      <c r="KWS243"/>
      <c r="KWT243"/>
      <c r="KWU243"/>
      <c r="KWV243"/>
      <c r="KWW243"/>
      <c r="KWX243"/>
      <c r="KWY243"/>
      <c r="KWZ243"/>
      <c r="KXA243"/>
      <c r="KXB243"/>
      <c r="KXC243"/>
      <c r="KXD243"/>
      <c r="KXE243"/>
      <c r="KXF243"/>
      <c r="KXG243"/>
      <c r="KXH243"/>
      <c r="KXI243"/>
      <c r="KXJ243"/>
      <c r="KXK243"/>
      <c r="KXL243"/>
      <c r="KXM243"/>
      <c r="KXN243"/>
      <c r="KXO243"/>
      <c r="KXP243"/>
      <c r="KXQ243"/>
      <c r="KXR243"/>
      <c r="KXS243"/>
      <c r="KXT243"/>
      <c r="KXU243"/>
      <c r="KXV243"/>
      <c r="KXW243"/>
      <c r="KXX243"/>
      <c r="KXY243"/>
      <c r="KXZ243"/>
      <c r="KYA243"/>
      <c r="KYB243"/>
      <c r="KYC243"/>
      <c r="KYD243"/>
      <c r="KYE243"/>
      <c r="KYF243"/>
      <c r="KYG243"/>
      <c r="KYH243"/>
      <c r="KYI243"/>
      <c r="KYJ243"/>
      <c r="KYK243"/>
      <c r="KYL243"/>
      <c r="KYM243"/>
      <c r="KYN243"/>
      <c r="KYO243"/>
      <c r="KYP243"/>
      <c r="KYQ243"/>
      <c r="KYR243"/>
      <c r="KYS243"/>
      <c r="KYT243"/>
      <c r="KYU243"/>
      <c r="KYV243"/>
      <c r="KYW243"/>
      <c r="KYX243"/>
      <c r="KYY243"/>
      <c r="KYZ243"/>
      <c r="KZA243"/>
      <c r="KZB243"/>
      <c r="KZC243"/>
      <c r="KZD243"/>
      <c r="KZE243"/>
      <c r="KZF243"/>
      <c r="KZG243"/>
      <c r="KZH243"/>
      <c r="KZI243"/>
      <c r="KZJ243"/>
      <c r="KZK243"/>
      <c r="KZL243"/>
      <c r="KZM243"/>
      <c r="KZN243"/>
      <c r="KZO243"/>
      <c r="KZP243"/>
      <c r="KZQ243"/>
      <c r="KZR243"/>
      <c r="KZS243"/>
      <c r="KZT243"/>
      <c r="KZU243"/>
      <c r="KZV243"/>
      <c r="KZW243"/>
      <c r="KZX243"/>
      <c r="KZY243"/>
      <c r="KZZ243"/>
      <c r="LAA243"/>
      <c r="LAB243"/>
      <c r="LAC243"/>
      <c r="LAD243"/>
      <c r="LAE243"/>
      <c r="LAF243"/>
      <c r="LAG243"/>
      <c r="LAH243"/>
      <c r="LAI243"/>
      <c r="LAJ243"/>
      <c r="LAK243"/>
      <c r="LAL243"/>
      <c r="LAM243"/>
      <c r="LAN243"/>
      <c r="LAO243"/>
      <c r="LAP243"/>
      <c r="LAQ243"/>
      <c r="LAR243"/>
      <c r="LAS243"/>
      <c r="LAT243"/>
      <c r="LAU243"/>
      <c r="LAV243"/>
      <c r="LAW243"/>
      <c r="LAX243"/>
      <c r="LAY243"/>
      <c r="LAZ243"/>
      <c r="LBA243"/>
      <c r="LBB243"/>
      <c r="LBC243"/>
      <c r="LBD243"/>
      <c r="LBE243"/>
      <c r="LBF243"/>
      <c r="LBG243"/>
      <c r="LBH243"/>
      <c r="LBI243"/>
      <c r="LBJ243"/>
      <c r="LBK243"/>
      <c r="LBL243"/>
      <c r="LBM243"/>
      <c r="LBN243"/>
      <c r="LBO243"/>
      <c r="LBP243"/>
      <c r="LBQ243"/>
      <c r="LBR243"/>
      <c r="LBS243"/>
      <c r="LBT243"/>
      <c r="LBU243"/>
      <c r="LBV243"/>
      <c r="LBW243"/>
      <c r="LBX243"/>
      <c r="LBY243"/>
      <c r="LBZ243"/>
      <c r="LCA243"/>
      <c r="LCB243"/>
      <c r="LCC243"/>
      <c r="LCD243"/>
      <c r="LCE243"/>
      <c r="LCF243"/>
      <c r="LCG243"/>
      <c r="LCH243"/>
      <c r="LCI243"/>
      <c r="LCJ243"/>
      <c r="LCK243"/>
      <c r="LCL243"/>
      <c r="LCM243"/>
      <c r="LCN243"/>
      <c r="LCO243"/>
      <c r="LCP243"/>
      <c r="LCQ243"/>
      <c r="LCR243"/>
      <c r="LCS243"/>
      <c r="LCT243"/>
      <c r="LCU243"/>
      <c r="LCV243"/>
      <c r="LCW243"/>
      <c r="LCX243"/>
      <c r="LCY243"/>
      <c r="LCZ243"/>
      <c r="LDA243"/>
      <c r="LDB243"/>
      <c r="LDC243"/>
      <c r="LDD243"/>
      <c r="LDE243"/>
      <c r="LDF243"/>
      <c r="LDG243"/>
      <c r="LDH243"/>
      <c r="LDI243"/>
      <c r="LDJ243"/>
      <c r="LDK243"/>
      <c r="LDL243"/>
      <c r="LDM243"/>
      <c r="LDN243"/>
      <c r="LDO243"/>
      <c r="LDP243"/>
      <c r="LDQ243"/>
      <c r="LDR243"/>
      <c r="LDS243"/>
      <c r="LDT243"/>
      <c r="LDU243"/>
      <c r="LDV243"/>
      <c r="LDW243"/>
      <c r="LDX243"/>
      <c r="LDY243"/>
      <c r="LDZ243"/>
      <c r="LEA243"/>
      <c r="LEB243"/>
      <c r="LEC243"/>
      <c r="LED243"/>
      <c r="LEE243"/>
      <c r="LEF243"/>
      <c r="LEG243"/>
      <c r="LEH243"/>
      <c r="LEI243"/>
      <c r="LEJ243"/>
      <c r="LEK243"/>
      <c r="LEL243"/>
      <c r="LEM243"/>
      <c r="LEN243"/>
      <c r="LEO243"/>
      <c r="LEP243"/>
      <c r="LEQ243"/>
      <c r="LER243"/>
      <c r="LES243"/>
      <c r="LET243"/>
      <c r="LEU243"/>
      <c r="LEV243"/>
      <c r="LEW243"/>
      <c r="LEX243"/>
      <c r="LEY243"/>
      <c r="LEZ243"/>
      <c r="LFA243"/>
      <c r="LFB243"/>
      <c r="LFC243"/>
      <c r="LFD243"/>
      <c r="LFE243"/>
      <c r="LFF243"/>
      <c r="LFG243"/>
      <c r="LFH243"/>
      <c r="LFI243"/>
      <c r="LFJ243"/>
      <c r="LFK243"/>
      <c r="LFL243"/>
      <c r="LFM243"/>
      <c r="LFN243"/>
      <c r="LFO243"/>
      <c r="LFP243"/>
      <c r="LFQ243"/>
      <c r="LFR243"/>
      <c r="LFS243"/>
      <c r="LFT243"/>
      <c r="LFU243"/>
      <c r="LFV243"/>
      <c r="LFW243"/>
      <c r="LFX243"/>
      <c r="LFY243"/>
      <c r="LFZ243"/>
      <c r="LGA243"/>
      <c r="LGB243"/>
      <c r="LGC243"/>
      <c r="LGD243"/>
      <c r="LGE243"/>
      <c r="LGF243"/>
      <c r="LGG243"/>
      <c r="LGH243"/>
      <c r="LGI243"/>
      <c r="LGJ243"/>
      <c r="LGK243"/>
      <c r="LGL243"/>
      <c r="LGM243"/>
      <c r="LGN243"/>
      <c r="LGO243"/>
      <c r="LGP243"/>
      <c r="LGQ243"/>
      <c r="LGR243"/>
      <c r="LGS243"/>
      <c r="LGT243"/>
      <c r="LGU243"/>
      <c r="LGV243"/>
      <c r="LGW243"/>
      <c r="LGX243"/>
      <c r="LGY243"/>
      <c r="LGZ243"/>
      <c r="LHA243"/>
      <c r="LHB243"/>
      <c r="LHC243"/>
      <c r="LHD243"/>
      <c r="LHE243"/>
      <c r="LHF243"/>
      <c r="LHG243"/>
      <c r="LHH243"/>
      <c r="LHI243"/>
      <c r="LHJ243"/>
      <c r="LHK243"/>
      <c r="LHL243"/>
      <c r="LHM243"/>
      <c r="LHN243"/>
      <c r="LHO243"/>
      <c r="LHP243"/>
      <c r="LHQ243"/>
      <c r="LHR243"/>
      <c r="LHS243"/>
      <c r="LHT243"/>
      <c r="LHU243"/>
      <c r="LHV243"/>
      <c r="LHW243"/>
      <c r="LHX243"/>
      <c r="LHY243"/>
      <c r="LHZ243"/>
      <c r="LIA243"/>
      <c r="LIB243"/>
      <c r="LIC243"/>
      <c r="LID243"/>
      <c r="LIE243"/>
      <c r="LIF243"/>
      <c r="LIG243"/>
      <c r="LIH243"/>
      <c r="LII243"/>
      <c r="LIJ243"/>
      <c r="LIK243"/>
      <c r="LIL243"/>
      <c r="LIM243"/>
      <c r="LIN243"/>
      <c r="LIO243"/>
      <c r="LIP243"/>
      <c r="LIQ243"/>
      <c r="LIR243"/>
      <c r="LIS243"/>
      <c r="LIT243"/>
      <c r="LIU243"/>
      <c r="LIV243"/>
      <c r="LIW243"/>
      <c r="LIX243"/>
      <c r="LIY243"/>
      <c r="LIZ243"/>
      <c r="LJA243"/>
      <c r="LJB243"/>
      <c r="LJC243"/>
      <c r="LJD243"/>
      <c r="LJE243"/>
      <c r="LJF243"/>
      <c r="LJG243"/>
      <c r="LJH243"/>
      <c r="LJI243"/>
      <c r="LJJ243"/>
      <c r="LJK243"/>
      <c r="LJL243"/>
      <c r="LJM243"/>
      <c r="LJN243"/>
      <c r="LJO243"/>
      <c r="LJP243"/>
      <c r="LJQ243"/>
      <c r="LJR243"/>
      <c r="LJS243"/>
      <c r="LJT243"/>
      <c r="LJU243"/>
      <c r="LJV243"/>
      <c r="LJW243"/>
      <c r="LJX243"/>
      <c r="LJY243"/>
      <c r="LJZ243"/>
      <c r="LKA243"/>
      <c r="LKB243"/>
      <c r="LKC243"/>
      <c r="LKD243"/>
      <c r="LKE243"/>
      <c r="LKF243"/>
      <c r="LKG243"/>
      <c r="LKH243"/>
      <c r="LKI243"/>
      <c r="LKJ243"/>
      <c r="LKK243"/>
      <c r="LKL243"/>
      <c r="LKM243"/>
      <c r="LKN243"/>
      <c r="LKO243"/>
      <c r="LKP243"/>
      <c r="LKQ243"/>
      <c r="LKR243"/>
      <c r="LKS243"/>
      <c r="LKT243"/>
      <c r="LKU243"/>
      <c r="LKV243"/>
      <c r="LKW243"/>
      <c r="LKX243"/>
      <c r="LKY243"/>
      <c r="LKZ243"/>
      <c r="LLA243"/>
      <c r="LLB243"/>
      <c r="LLC243"/>
      <c r="LLD243"/>
      <c r="LLE243"/>
      <c r="LLF243"/>
      <c r="LLG243"/>
      <c r="LLH243"/>
      <c r="LLI243"/>
      <c r="LLJ243"/>
      <c r="LLK243"/>
      <c r="LLL243"/>
      <c r="LLM243"/>
      <c r="LLN243"/>
      <c r="LLO243"/>
      <c r="LLP243"/>
      <c r="LLQ243"/>
      <c r="LLR243"/>
      <c r="LLS243"/>
      <c r="LLT243"/>
      <c r="LLU243"/>
      <c r="LLV243"/>
      <c r="LLW243"/>
      <c r="LLX243"/>
      <c r="LLY243"/>
      <c r="LLZ243"/>
      <c r="LMA243"/>
      <c r="LMB243"/>
      <c r="LMC243"/>
      <c r="LMD243"/>
      <c r="LME243"/>
      <c r="LMF243"/>
      <c r="LMG243"/>
      <c r="LMH243"/>
      <c r="LMI243"/>
      <c r="LMJ243"/>
      <c r="LMK243"/>
      <c r="LML243"/>
      <c r="LMM243"/>
      <c r="LMN243"/>
      <c r="LMO243"/>
      <c r="LMP243"/>
      <c r="LMQ243"/>
      <c r="LMR243"/>
      <c r="LMS243"/>
      <c r="LMT243"/>
      <c r="LMU243"/>
      <c r="LMV243"/>
      <c r="LMW243"/>
      <c r="LMX243"/>
      <c r="LMY243"/>
      <c r="LMZ243"/>
      <c r="LNA243"/>
      <c r="LNB243"/>
      <c r="LNC243"/>
      <c r="LND243"/>
      <c r="LNE243"/>
      <c r="LNF243"/>
      <c r="LNG243"/>
      <c r="LNH243"/>
      <c r="LNI243"/>
      <c r="LNJ243"/>
      <c r="LNK243"/>
      <c r="LNL243"/>
      <c r="LNM243"/>
      <c r="LNN243"/>
      <c r="LNO243"/>
      <c r="LNP243"/>
      <c r="LNQ243"/>
      <c r="LNR243"/>
      <c r="LNS243"/>
      <c r="LNT243"/>
      <c r="LNU243"/>
      <c r="LNV243"/>
      <c r="LNW243"/>
      <c r="LNX243"/>
      <c r="LNY243"/>
      <c r="LNZ243"/>
      <c r="LOA243"/>
      <c r="LOB243"/>
      <c r="LOC243"/>
      <c r="LOD243"/>
      <c r="LOE243"/>
      <c r="LOF243"/>
      <c r="LOG243"/>
      <c r="LOH243"/>
      <c r="LOI243"/>
      <c r="LOJ243"/>
      <c r="LOK243"/>
      <c r="LOL243"/>
      <c r="LOM243"/>
      <c r="LON243"/>
      <c r="LOO243"/>
      <c r="LOP243"/>
      <c r="LOQ243"/>
      <c r="LOR243"/>
      <c r="LOS243"/>
      <c r="LOT243"/>
      <c r="LOU243"/>
      <c r="LOV243"/>
      <c r="LOW243"/>
      <c r="LOX243"/>
      <c r="LOY243"/>
      <c r="LOZ243"/>
      <c r="LPA243"/>
      <c r="LPB243"/>
      <c r="LPC243"/>
      <c r="LPD243"/>
      <c r="LPE243"/>
      <c r="LPF243"/>
      <c r="LPG243"/>
      <c r="LPH243"/>
      <c r="LPI243"/>
      <c r="LPJ243"/>
      <c r="LPK243"/>
      <c r="LPL243"/>
      <c r="LPM243"/>
      <c r="LPN243"/>
      <c r="LPO243"/>
      <c r="LPP243"/>
      <c r="LPQ243"/>
      <c r="LPR243"/>
      <c r="LPS243"/>
      <c r="LPT243"/>
      <c r="LPU243"/>
      <c r="LPV243"/>
      <c r="LPW243"/>
      <c r="LPX243"/>
      <c r="LPY243"/>
      <c r="LPZ243"/>
      <c r="LQA243"/>
      <c r="LQB243"/>
      <c r="LQC243"/>
      <c r="LQD243"/>
      <c r="LQE243"/>
      <c r="LQF243"/>
      <c r="LQG243"/>
      <c r="LQH243"/>
      <c r="LQI243"/>
      <c r="LQJ243"/>
      <c r="LQK243"/>
      <c r="LQL243"/>
      <c r="LQM243"/>
      <c r="LQN243"/>
      <c r="LQO243"/>
      <c r="LQP243"/>
      <c r="LQQ243"/>
      <c r="LQR243"/>
      <c r="LQS243"/>
      <c r="LQT243"/>
      <c r="LQU243"/>
      <c r="LQV243"/>
      <c r="LQW243"/>
      <c r="LQX243"/>
      <c r="LQY243"/>
      <c r="LQZ243"/>
      <c r="LRA243"/>
      <c r="LRB243"/>
      <c r="LRC243"/>
      <c r="LRD243"/>
      <c r="LRE243"/>
      <c r="LRF243"/>
      <c r="LRG243"/>
      <c r="LRH243"/>
      <c r="LRI243"/>
      <c r="LRJ243"/>
      <c r="LRK243"/>
      <c r="LRL243"/>
      <c r="LRM243"/>
      <c r="LRN243"/>
      <c r="LRO243"/>
      <c r="LRP243"/>
      <c r="LRQ243"/>
      <c r="LRR243"/>
      <c r="LRS243"/>
      <c r="LRT243"/>
      <c r="LRU243"/>
      <c r="LRV243"/>
      <c r="LRW243"/>
      <c r="LRX243"/>
      <c r="LRY243"/>
      <c r="LRZ243"/>
      <c r="LSA243"/>
      <c r="LSB243"/>
      <c r="LSC243"/>
      <c r="LSD243"/>
      <c r="LSE243"/>
      <c r="LSF243"/>
      <c r="LSG243"/>
      <c r="LSH243"/>
      <c r="LSI243"/>
      <c r="LSJ243"/>
      <c r="LSK243"/>
      <c r="LSL243"/>
      <c r="LSM243"/>
      <c r="LSN243"/>
      <c r="LSO243"/>
      <c r="LSP243"/>
      <c r="LSQ243"/>
      <c r="LSR243"/>
      <c r="LSS243"/>
      <c r="LST243"/>
      <c r="LSU243"/>
      <c r="LSV243"/>
      <c r="LSW243"/>
      <c r="LSX243"/>
      <c r="LSY243"/>
      <c r="LSZ243"/>
      <c r="LTA243"/>
      <c r="LTB243"/>
      <c r="LTC243"/>
      <c r="LTD243"/>
      <c r="LTE243"/>
      <c r="LTF243"/>
      <c r="LTG243"/>
      <c r="LTH243"/>
      <c r="LTI243"/>
      <c r="LTJ243"/>
      <c r="LTK243"/>
      <c r="LTL243"/>
      <c r="LTM243"/>
      <c r="LTN243"/>
      <c r="LTO243"/>
      <c r="LTP243"/>
      <c r="LTQ243"/>
      <c r="LTR243"/>
      <c r="LTS243"/>
      <c r="LTT243"/>
      <c r="LTU243"/>
      <c r="LTV243"/>
      <c r="LTW243"/>
      <c r="LTX243"/>
      <c r="LTY243"/>
      <c r="LTZ243"/>
      <c r="LUA243"/>
      <c r="LUB243"/>
      <c r="LUC243"/>
      <c r="LUD243"/>
      <c r="LUE243"/>
      <c r="LUF243"/>
      <c r="LUG243"/>
      <c r="LUH243"/>
      <c r="LUI243"/>
      <c r="LUJ243"/>
      <c r="LUK243"/>
      <c r="LUL243"/>
      <c r="LUM243"/>
      <c r="LUN243"/>
      <c r="LUO243"/>
      <c r="LUP243"/>
      <c r="LUQ243"/>
      <c r="LUR243"/>
      <c r="LUS243"/>
      <c r="LUT243"/>
      <c r="LUU243"/>
      <c r="LUV243"/>
      <c r="LUW243"/>
      <c r="LUX243"/>
      <c r="LUY243"/>
      <c r="LUZ243"/>
      <c r="LVA243"/>
      <c r="LVB243"/>
      <c r="LVC243"/>
      <c r="LVD243"/>
      <c r="LVE243"/>
      <c r="LVF243"/>
      <c r="LVG243"/>
      <c r="LVH243"/>
      <c r="LVI243"/>
      <c r="LVJ243"/>
      <c r="LVK243"/>
      <c r="LVL243"/>
      <c r="LVM243"/>
      <c r="LVN243"/>
      <c r="LVO243"/>
      <c r="LVP243"/>
      <c r="LVQ243"/>
      <c r="LVR243"/>
      <c r="LVS243"/>
      <c r="LVT243"/>
      <c r="LVU243"/>
      <c r="LVV243"/>
      <c r="LVW243"/>
      <c r="LVX243"/>
      <c r="LVY243"/>
      <c r="LVZ243"/>
      <c r="LWA243"/>
      <c r="LWB243"/>
      <c r="LWC243"/>
      <c r="LWD243"/>
      <c r="LWE243"/>
      <c r="LWF243"/>
      <c r="LWG243"/>
      <c r="LWH243"/>
      <c r="LWI243"/>
      <c r="LWJ243"/>
      <c r="LWK243"/>
      <c r="LWL243"/>
      <c r="LWM243"/>
      <c r="LWN243"/>
      <c r="LWO243"/>
      <c r="LWP243"/>
      <c r="LWQ243"/>
      <c r="LWR243"/>
      <c r="LWS243"/>
      <c r="LWT243"/>
      <c r="LWU243"/>
      <c r="LWV243"/>
      <c r="LWW243"/>
      <c r="LWX243"/>
      <c r="LWY243"/>
      <c r="LWZ243"/>
      <c r="LXA243"/>
      <c r="LXB243"/>
      <c r="LXC243"/>
      <c r="LXD243"/>
      <c r="LXE243"/>
      <c r="LXF243"/>
      <c r="LXG243"/>
      <c r="LXH243"/>
      <c r="LXI243"/>
      <c r="LXJ243"/>
      <c r="LXK243"/>
      <c r="LXL243"/>
      <c r="LXM243"/>
      <c r="LXN243"/>
      <c r="LXO243"/>
      <c r="LXP243"/>
      <c r="LXQ243"/>
      <c r="LXR243"/>
      <c r="LXS243"/>
      <c r="LXT243"/>
      <c r="LXU243"/>
      <c r="LXV243"/>
      <c r="LXW243"/>
      <c r="LXX243"/>
      <c r="LXY243"/>
      <c r="LXZ243"/>
      <c r="LYA243"/>
      <c r="LYB243"/>
      <c r="LYC243"/>
      <c r="LYD243"/>
      <c r="LYE243"/>
      <c r="LYF243"/>
      <c r="LYG243"/>
      <c r="LYH243"/>
      <c r="LYI243"/>
      <c r="LYJ243"/>
      <c r="LYK243"/>
      <c r="LYL243"/>
      <c r="LYM243"/>
      <c r="LYN243"/>
      <c r="LYO243"/>
      <c r="LYP243"/>
      <c r="LYQ243"/>
      <c r="LYR243"/>
      <c r="LYS243"/>
      <c r="LYT243"/>
      <c r="LYU243"/>
      <c r="LYV243"/>
      <c r="LYW243"/>
      <c r="LYX243"/>
      <c r="LYY243"/>
      <c r="LYZ243"/>
      <c r="LZA243"/>
      <c r="LZB243"/>
      <c r="LZC243"/>
      <c r="LZD243"/>
      <c r="LZE243"/>
      <c r="LZF243"/>
      <c r="LZG243"/>
      <c r="LZH243"/>
      <c r="LZI243"/>
      <c r="LZJ243"/>
      <c r="LZK243"/>
      <c r="LZL243"/>
      <c r="LZM243"/>
      <c r="LZN243"/>
      <c r="LZO243"/>
      <c r="LZP243"/>
      <c r="LZQ243"/>
      <c r="LZR243"/>
      <c r="LZS243"/>
      <c r="LZT243"/>
      <c r="LZU243"/>
      <c r="LZV243"/>
      <c r="LZW243"/>
      <c r="LZX243"/>
      <c r="LZY243"/>
      <c r="LZZ243"/>
      <c r="MAA243"/>
      <c r="MAB243"/>
      <c r="MAC243"/>
      <c r="MAD243"/>
      <c r="MAE243"/>
      <c r="MAF243"/>
      <c r="MAG243"/>
      <c r="MAH243"/>
      <c r="MAI243"/>
      <c r="MAJ243"/>
      <c r="MAK243"/>
      <c r="MAL243"/>
      <c r="MAM243"/>
      <c r="MAN243"/>
      <c r="MAO243"/>
      <c r="MAP243"/>
      <c r="MAQ243"/>
      <c r="MAR243"/>
      <c r="MAS243"/>
      <c r="MAT243"/>
      <c r="MAU243"/>
      <c r="MAV243"/>
      <c r="MAW243"/>
      <c r="MAX243"/>
      <c r="MAY243"/>
      <c r="MAZ243"/>
      <c r="MBA243"/>
      <c r="MBB243"/>
      <c r="MBC243"/>
      <c r="MBD243"/>
      <c r="MBE243"/>
      <c r="MBF243"/>
      <c r="MBG243"/>
      <c r="MBH243"/>
      <c r="MBI243"/>
      <c r="MBJ243"/>
      <c r="MBK243"/>
      <c r="MBL243"/>
      <c r="MBM243"/>
      <c r="MBN243"/>
      <c r="MBO243"/>
      <c r="MBP243"/>
      <c r="MBQ243"/>
      <c r="MBR243"/>
      <c r="MBS243"/>
      <c r="MBT243"/>
      <c r="MBU243"/>
      <c r="MBV243"/>
      <c r="MBW243"/>
      <c r="MBX243"/>
      <c r="MBY243"/>
      <c r="MBZ243"/>
      <c r="MCA243"/>
      <c r="MCB243"/>
      <c r="MCC243"/>
      <c r="MCD243"/>
      <c r="MCE243"/>
      <c r="MCF243"/>
      <c r="MCG243"/>
      <c r="MCH243"/>
      <c r="MCI243"/>
      <c r="MCJ243"/>
      <c r="MCK243"/>
      <c r="MCL243"/>
      <c r="MCM243"/>
      <c r="MCN243"/>
      <c r="MCO243"/>
      <c r="MCP243"/>
      <c r="MCQ243"/>
      <c r="MCR243"/>
      <c r="MCS243"/>
      <c r="MCT243"/>
      <c r="MCU243"/>
      <c r="MCV243"/>
      <c r="MCW243"/>
      <c r="MCX243"/>
      <c r="MCY243"/>
      <c r="MCZ243"/>
      <c r="MDA243"/>
      <c r="MDB243"/>
      <c r="MDC243"/>
      <c r="MDD243"/>
      <c r="MDE243"/>
      <c r="MDF243"/>
      <c r="MDG243"/>
      <c r="MDH243"/>
      <c r="MDI243"/>
      <c r="MDJ243"/>
      <c r="MDK243"/>
      <c r="MDL243"/>
      <c r="MDM243"/>
      <c r="MDN243"/>
      <c r="MDO243"/>
      <c r="MDP243"/>
      <c r="MDQ243"/>
      <c r="MDR243"/>
      <c r="MDS243"/>
      <c r="MDT243"/>
      <c r="MDU243"/>
      <c r="MDV243"/>
      <c r="MDW243"/>
      <c r="MDX243"/>
      <c r="MDY243"/>
      <c r="MDZ243"/>
      <c r="MEA243"/>
      <c r="MEB243"/>
      <c r="MEC243"/>
      <c r="MED243"/>
      <c r="MEE243"/>
      <c r="MEF243"/>
      <c r="MEG243"/>
      <c r="MEH243"/>
      <c r="MEI243"/>
      <c r="MEJ243"/>
      <c r="MEK243"/>
      <c r="MEL243"/>
      <c r="MEM243"/>
      <c r="MEN243"/>
      <c r="MEO243"/>
      <c r="MEP243"/>
      <c r="MEQ243"/>
      <c r="MER243"/>
      <c r="MES243"/>
      <c r="MET243"/>
      <c r="MEU243"/>
      <c r="MEV243"/>
      <c r="MEW243"/>
      <c r="MEX243"/>
      <c r="MEY243"/>
      <c r="MEZ243"/>
      <c r="MFA243"/>
      <c r="MFB243"/>
      <c r="MFC243"/>
      <c r="MFD243"/>
      <c r="MFE243"/>
      <c r="MFF243"/>
      <c r="MFG243"/>
      <c r="MFH243"/>
      <c r="MFI243"/>
      <c r="MFJ243"/>
      <c r="MFK243"/>
      <c r="MFL243"/>
      <c r="MFM243"/>
      <c r="MFN243"/>
      <c r="MFO243"/>
      <c r="MFP243"/>
      <c r="MFQ243"/>
      <c r="MFR243"/>
      <c r="MFS243"/>
      <c r="MFT243"/>
      <c r="MFU243"/>
      <c r="MFV243"/>
      <c r="MFW243"/>
      <c r="MFX243"/>
      <c r="MFY243"/>
      <c r="MFZ243"/>
      <c r="MGA243"/>
      <c r="MGB243"/>
      <c r="MGC243"/>
      <c r="MGD243"/>
      <c r="MGE243"/>
      <c r="MGF243"/>
      <c r="MGG243"/>
      <c r="MGH243"/>
      <c r="MGI243"/>
      <c r="MGJ243"/>
      <c r="MGK243"/>
      <c r="MGL243"/>
      <c r="MGM243"/>
      <c r="MGN243"/>
      <c r="MGO243"/>
      <c r="MGP243"/>
      <c r="MGQ243"/>
      <c r="MGR243"/>
      <c r="MGS243"/>
      <c r="MGT243"/>
      <c r="MGU243"/>
      <c r="MGV243"/>
      <c r="MGW243"/>
      <c r="MGX243"/>
      <c r="MGY243"/>
      <c r="MGZ243"/>
      <c r="MHA243"/>
      <c r="MHB243"/>
      <c r="MHC243"/>
      <c r="MHD243"/>
      <c r="MHE243"/>
      <c r="MHF243"/>
      <c r="MHG243"/>
      <c r="MHH243"/>
      <c r="MHI243"/>
      <c r="MHJ243"/>
      <c r="MHK243"/>
      <c r="MHL243"/>
      <c r="MHM243"/>
      <c r="MHN243"/>
      <c r="MHO243"/>
      <c r="MHP243"/>
      <c r="MHQ243"/>
      <c r="MHR243"/>
      <c r="MHS243"/>
      <c r="MHT243"/>
      <c r="MHU243"/>
      <c r="MHV243"/>
      <c r="MHW243"/>
      <c r="MHX243"/>
      <c r="MHY243"/>
      <c r="MHZ243"/>
      <c r="MIA243"/>
      <c r="MIB243"/>
      <c r="MIC243"/>
      <c r="MID243"/>
      <c r="MIE243"/>
      <c r="MIF243"/>
      <c r="MIG243"/>
      <c r="MIH243"/>
      <c r="MII243"/>
      <c r="MIJ243"/>
      <c r="MIK243"/>
      <c r="MIL243"/>
      <c r="MIM243"/>
      <c r="MIN243"/>
      <c r="MIO243"/>
      <c r="MIP243"/>
      <c r="MIQ243"/>
      <c r="MIR243"/>
      <c r="MIS243"/>
      <c r="MIT243"/>
      <c r="MIU243"/>
      <c r="MIV243"/>
      <c r="MIW243"/>
      <c r="MIX243"/>
      <c r="MIY243"/>
      <c r="MIZ243"/>
      <c r="MJA243"/>
      <c r="MJB243"/>
      <c r="MJC243"/>
      <c r="MJD243"/>
      <c r="MJE243"/>
      <c r="MJF243"/>
      <c r="MJG243"/>
      <c r="MJH243"/>
      <c r="MJI243"/>
      <c r="MJJ243"/>
      <c r="MJK243"/>
      <c r="MJL243"/>
      <c r="MJM243"/>
      <c r="MJN243"/>
      <c r="MJO243"/>
      <c r="MJP243"/>
      <c r="MJQ243"/>
      <c r="MJR243"/>
      <c r="MJS243"/>
      <c r="MJT243"/>
      <c r="MJU243"/>
      <c r="MJV243"/>
      <c r="MJW243"/>
      <c r="MJX243"/>
      <c r="MJY243"/>
      <c r="MJZ243"/>
      <c r="MKA243"/>
      <c r="MKB243"/>
      <c r="MKC243"/>
      <c r="MKD243"/>
      <c r="MKE243"/>
      <c r="MKF243"/>
      <c r="MKG243"/>
      <c r="MKH243"/>
      <c r="MKI243"/>
      <c r="MKJ243"/>
      <c r="MKK243"/>
      <c r="MKL243"/>
      <c r="MKM243"/>
      <c r="MKN243"/>
      <c r="MKO243"/>
      <c r="MKP243"/>
      <c r="MKQ243"/>
      <c r="MKR243"/>
      <c r="MKS243"/>
      <c r="MKT243"/>
      <c r="MKU243"/>
      <c r="MKV243"/>
      <c r="MKW243"/>
      <c r="MKX243"/>
      <c r="MKY243"/>
      <c r="MKZ243"/>
      <c r="MLA243"/>
      <c r="MLB243"/>
      <c r="MLC243"/>
      <c r="MLD243"/>
      <c r="MLE243"/>
      <c r="MLF243"/>
      <c r="MLG243"/>
      <c r="MLH243"/>
      <c r="MLI243"/>
      <c r="MLJ243"/>
      <c r="MLK243"/>
      <c r="MLL243"/>
      <c r="MLM243"/>
      <c r="MLN243"/>
      <c r="MLO243"/>
      <c r="MLP243"/>
      <c r="MLQ243"/>
      <c r="MLR243"/>
      <c r="MLS243"/>
      <c r="MLT243"/>
      <c r="MLU243"/>
      <c r="MLV243"/>
      <c r="MLW243"/>
      <c r="MLX243"/>
      <c r="MLY243"/>
      <c r="MLZ243"/>
      <c r="MMA243"/>
      <c r="MMB243"/>
      <c r="MMC243"/>
      <c r="MMD243"/>
      <c r="MME243"/>
      <c r="MMF243"/>
      <c r="MMG243"/>
      <c r="MMH243"/>
      <c r="MMI243"/>
      <c r="MMJ243"/>
      <c r="MMK243"/>
      <c r="MML243"/>
      <c r="MMM243"/>
      <c r="MMN243"/>
      <c r="MMO243"/>
      <c r="MMP243"/>
      <c r="MMQ243"/>
      <c r="MMR243"/>
      <c r="MMS243"/>
      <c r="MMT243"/>
      <c r="MMU243"/>
      <c r="MMV243"/>
      <c r="MMW243"/>
      <c r="MMX243"/>
      <c r="MMY243"/>
      <c r="MMZ243"/>
      <c r="MNA243"/>
      <c r="MNB243"/>
      <c r="MNC243"/>
      <c r="MND243"/>
      <c r="MNE243"/>
      <c r="MNF243"/>
      <c r="MNG243"/>
      <c r="MNH243"/>
      <c r="MNI243"/>
      <c r="MNJ243"/>
      <c r="MNK243"/>
      <c r="MNL243"/>
      <c r="MNM243"/>
      <c r="MNN243"/>
      <c r="MNO243"/>
      <c r="MNP243"/>
      <c r="MNQ243"/>
      <c r="MNR243"/>
      <c r="MNS243"/>
      <c r="MNT243"/>
      <c r="MNU243"/>
      <c r="MNV243"/>
      <c r="MNW243"/>
      <c r="MNX243"/>
      <c r="MNY243"/>
      <c r="MNZ243"/>
      <c r="MOA243"/>
      <c r="MOB243"/>
      <c r="MOC243"/>
      <c r="MOD243"/>
      <c r="MOE243"/>
      <c r="MOF243"/>
      <c r="MOG243"/>
      <c r="MOH243"/>
      <c r="MOI243"/>
      <c r="MOJ243"/>
      <c r="MOK243"/>
      <c r="MOL243"/>
      <c r="MOM243"/>
      <c r="MON243"/>
      <c r="MOO243"/>
      <c r="MOP243"/>
      <c r="MOQ243"/>
      <c r="MOR243"/>
      <c r="MOS243"/>
      <c r="MOT243"/>
      <c r="MOU243"/>
      <c r="MOV243"/>
      <c r="MOW243"/>
      <c r="MOX243"/>
      <c r="MOY243"/>
      <c r="MOZ243"/>
      <c r="MPA243"/>
      <c r="MPB243"/>
      <c r="MPC243"/>
      <c r="MPD243"/>
      <c r="MPE243"/>
      <c r="MPF243"/>
      <c r="MPG243"/>
      <c r="MPH243"/>
      <c r="MPI243"/>
      <c r="MPJ243"/>
      <c r="MPK243"/>
      <c r="MPL243"/>
      <c r="MPM243"/>
      <c r="MPN243"/>
      <c r="MPO243"/>
      <c r="MPP243"/>
      <c r="MPQ243"/>
      <c r="MPR243"/>
      <c r="MPS243"/>
      <c r="MPT243"/>
      <c r="MPU243"/>
      <c r="MPV243"/>
      <c r="MPW243"/>
      <c r="MPX243"/>
      <c r="MPY243"/>
      <c r="MPZ243"/>
      <c r="MQA243"/>
      <c r="MQB243"/>
      <c r="MQC243"/>
      <c r="MQD243"/>
      <c r="MQE243"/>
      <c r="MQF243"/>
      <c r="MQG243"/>
      <c r="MQH243"/>
      <c r="MQI243"/>
      <c r="MQJ243"/>
      <c r="MQK243"/>
      <c r="MQL243"/>
      <c r="MQM243"/>
      <c r="MQN243"/>
      <c r="MQO243"/>
      <c r="MQP243"/>
      <c r="MQQ243"/>
      <c r="MQR243"/>
      <c r="MQS243"/>
      <c r="MQT243"/>
      <c r="MQU243"/>
      <c r="MQV243"/>
      <c r="MQW243"/>
      <c r="MQX243"/>
      <c r="MQY243"/>
      <c r="MQZ243"/>
      <c r="MRA243"/>
      <c r="MRB243"/>
      <c r="MRC243"/>
      <c r="MRD243"/>
      <c r="MRE243"/>
      <c r="MRF243"/>
      <c r="MRG243"/>
      <c r="MRH243"/>
      <c r="MRI243"/>
      <c r="MRJ243"/>
      <c r="MRK243"/>
      <c r="MRL243"/>
      <c r="MRM243"/>
      <c r="MRN243"/>
      <c r="MRO243"/>
      <c r="MRP243"/>
      <c r="MRQ243"/>
      <c r="MRR243"/>
      <c r="MRS243"/>
      <c r="MRT243"/>
      <c r="MRU243"/>
      <c r="MRV243"/>
      <c r="MRW243"/>
      <c r="MRX243"/>
      <c r="MRY243"/>
      <c r="MRZ243"/>
      <c r="MSA243"/>
      <c r="MSB243"/>
      <c r="MSC243"/>
      <c r="MSD243"/>
      <c r="MSE243"/>
      <c r="MSF243"/>
      <c r="MSG243"/>
      <c r="MSH243"/>
      <c r="MSI243"/>
      <c r="MSJ243"/>
      <c r="MSK243"/>
      <c r="MSL243"/>
      <c r="MSM243"/>
      <c r="MSN243"/>
      <c r="MSO243"/>
      <c r="MSP243"/>
      <c r="MSQ243"/>
      <c r="MSR243"/>
      <c r="MSS243"/>
      <c r="MST243"/>
      <c r="MSU243"/>
      <c r="MSV243"/>
      <c r="MSW243"/>
      <c r="MSX243"/>
      <c r="MSY243"/>
      <c r="MSZ243"/>
      <c r="MTA243"/>
      <c r="MTB243"/>
      <c r="MTC243"/>
      <c r="MTD243"/>
      <c r="MTE243"/>
      <c r="MTF243"/>
      <c r="MTG243"/>
      <c r="MTH243"/>
      <c r="MTI243"/>
      <c r="MTJ243"/>
      <c r="MTK243"/>
      <c r="MTL243"/>
      <c r="MTM243"/>
      <c r="MTN243"/>
      <c r="MTO243"/>
      <c r="MTP243"/>
      <c r="MTQ243"/>
      <c r="MTR243"/>
      <c r="MTS243"/>
      <c r="MTT243"/>
      <c r="MTU243"/>
      <c r="MTV243"/>
      <c r="MTW243"/>
      <c r="MTX243"/>
      <c r="MTY243"/>
      <c r="MTZ243"/>
      <c r="MUA243"/>
      <c r="MUB243"/>
      <c r="MUC243"/>
      <c r="MUD243"/>
      <c r="MUE243"/>
      <c r="MUF243"/>
      <c r="MUG243"/>
      <c r="MUH243"/>
      <c r="MUI243"/>
      <c r="MUJ243"/>
      <c r="MUK243"/>
      <c r="MUL243"/>
      <c r="MUM243"/>
      <c r="MUN243"/>
      <c r="MUO243"/>
      <c r="MUP243"/>
      <c r="MUQ243"/>
      <c r="MUR243"/>
      <c r="MUS243"/>
      <c r="MUT243"/>
      <c r="MUU243"/>
      <c r="MUV243"/>
      <c r="MUW243"/>
      <c r="MUX243"/>
      <c r="MUY243"/>
      <c r="MUZ243"/>
      <c r="MVA243"/>
      <c r="MVB243"/>
      <c r="MVC243"/>
      <c r="MVD243"/>
      <c r="MVE243"/>
      <c r="MVF243"/>
      <c r="MVG243"/>
      <c r="MVH243"/>
      <c r="MVI243"/>
      <c r="MVJ243"/>
      <c r="MVK243"/>
      <c r="MVL243"/>
      <c r="MVM243"/>
      <c r="MVN243"/>
      <c r="MVO243"/>
      <c r="MVP243"/>
      <c r="MVQ243"/>
      <c r="MVR243"/>
      <c r="MVS243"/>
      <c r="MVT243"/>
      <c r="MVU243"/>
      <c r="MVV243"/>
      <c r="MVW243"/>
      <c r="MVX243"/>
      <c r="MVY243"/>
      <c r="MVZ243"/>
      <c r="MWA243"/>
      <c r="MWB243"/>
      <c r="MWC243"/>
      <c r="MWD243"/>
      <c r="MWE243"/>
      <c r="MWF243"/>
      <c r="MWG243"/>
      <c r="MWH243"/>
      <c r="MWI243"/>
      <c r="MWJ243"/>
      <c r="MWK243"/>
      <c r="MWL243"/>
      <c r="MWM243"/>
      <c r="MWN243"/>
      <c r="MWO243"/>
      <c r="MWP243"/>
      <c r="MWQ243"/>
      <c r="MWR243"/>
      <c r="MWS243"/>
      <c r="MWT243"/>
      <c r="MWU243"/>
      <c r="MWV243"/>
      <c r="MWW243"/>
      <c r="MWX243"/>
      <c r="MWY243"/>
      <c r="MWZ243"/>
      <c r="MXA243"/>
      <c r="MXB243"/>
      <c r="MXC243"/>
      <c r="MXD243"/>
      <c r="MXE243"/>
      <c r="MXF243"/>
      <c r="MXG243"/>
      <c r="MXH243"/>
      <c r="MXI243"/>
      <c r="MXJ243"/>
      <c r="MXK243"/>
      <c r="MXL243"/>
      <c r="MXM243"/>
      <c r="MXN243"/>
      <c r="MXO243"/>
      <c r="MXP243"/>
      <c r="MXQ243"/>
      <c r="MXR243"/>
      <c r="MXS243"/>
      <c r="MXT243"/>
      <c r="MXU243"/>
      <c r="MXV243"/>
      <c r="MXW243"/>
      <c r="MXX243"/>
      <c r="MXY243"/>
      <c r="MXZ243"/>
      <c r="MYA243"/>
      <c r="MYB243"/>
      <c r="MYC243"/>
      <c r="MYD243"/>
      <c r="MYE243"/>
      <c r="MYF243"/>
      <c r="MYG243"/>
      <c r="MYH243"/>
      <c r="MYI243"/>
      <c r="MYJ243"/>
      <c r="MYK243"/>
      <c r="MYL243"/>
      <c r="MYM243"/>
      <c r="MYN243"/>
      <c r="MYO243"/>
      <c r="MYP243"/>
      <c r="MYQ243"/>
      <c r="MYR243"/>
      <c r="MYS243"/>
      <c r="MYT243"/>
      <c r="MYU243"/>
      <c r="MYV243"/>
      <c r="MYW243"/>
      <c r="MYX243"/>
      <c r="MYY243"/>
      <c r="MYZ243"/>
      <c r="MZA243"/>
      <c r="MZB243"/>
      <c r="MZC243"/>
      <c r="MZD243"/>
      <c r="MZE243"/>
      <c r="MZF243"/>
      <c r="MZG243"/>
      <c r="MZH243"/>
      <c r="MZI243"/>
      <c r="MZJ243"/>
      <c r="MZK243"/>
      <c r="MZL243"/>
      <c r="MZM243"/>
      <c r="MZN243"/>
      <c r="MZO243"/>
      <c r="MZP243"/>
      <c r="MZQ243"/>
      <c r="MZR243"/>
      <c r="MZS243"/>
      <c r="MZT243"/>
      <c r="MZU243"/>
      <c r="MZV243"/>
      <c r="MZW243"/>
      <c r="MZX243"/>
      <c r="MZY243"/>
      <c r="MZZ243"/>
      <c r="NAA243"/>
      <c r="NAB243"/>
      <c r="NAC243"/>
      <c r="NAD243"/>
      <c r="NAE243"/>
      <c r="NAF243"/>
      <c r="NAG243"/>
      <c r="NAH243"/>
      <c r="NAI243"/>
      <c r="NAJ243"/>
      <c r="NAK243"/>
      <c r="NAL243"/>
      <c r="NAM243"/>
      <c r="NAN243"/>
      <c r="NAO243"/>
      <c r="NAP243"/>
      <c r="NAQ243"/>
      <c r="NAR243"/>
      <c r="NAS243"/>
      <c r="NAT243"/>
      <c r="NAU243"/>
      <c r="NAV243"/>
      <c r="NAW243"/>
      <c r="NAX243"/>
      <c r="NAY243"/>
      <c r="NAZ243"/>
      <c r="NBA243"/>
      <c r="NBB243"/>
      <c r="NBC243"/>
      <c r="NBD243"/>
      <c r="NBE243"/>
      <c r="NBF243"/>
      <c r="NBG243"/>
      <c r="NBH243"/>
      <c r="NBI243"/>
      <c r="NBJ243"/>
      <c r="NBK243"/>
      <c r="NBL243"/>
      <c r="NBM243"/>
      <c r="NBN243"/>
      <c r="NBO243"/>
      <c r="NBP243"/>
      <c r="NBQ243"/>
      <c r="NBR243"/>
      <c r="NBS243"/>
      <c r="NBT243"/>
      <c r="NBU243"/>
      <c r="NBV243"/>
      <c r="NBW243"/>
      <c r="NBX243"/>
      <c r="NBY243"/>
      <c r="NBZ243"/>
      <c r="NCA243"/>
      <c r="NCB243"/>
      <c r="NCC243"/>
      <c r="NCD243"/>
      <c r="NCE243"/>
      <c r="NCF243"/>
      <c r="NCG243"/>
      <c r="NCH243"/>
      <c r="NCI243"/>
      <c r="NCJ243"/>
      <c r="NCK243"/>
      <c r="NCL243"/>
      <c r="NCM243"/>
      <c r="NCN243"/>
      <c r="NCO243"/>
      <c r="NCP243"/>
      <c r="NCQ243"/>
      <c r="NCR243"/>
      <c r="NCS243"/>
      <c r="NCT243"/>
      <c r="NCU243"/>
      <c r="NCV243"/>
      <c r="NCW243"/>
      <c r="NCX243"/>
      <c r="NCY243"/>
      <c r="NCZ243"/>
      <c r="NDA243"/>
      <c r="NDB243"/>
      <c r="NDC243"/>
      <c r="NDD243"/>
      <c r="NDE243"/>
      <c r="NDF243"/>
      <c r="NDG243"/>
      <c r="NDH243"/>
      <c r="NDI243"/>
      <c r="NDJ243"/>
      <c r="NDK243"/>
      <c r="NDL243"/>
      <c r="NDM243"/>
      <c r="NDN243"/>
      <c r="NDO243"/>
      <c r="NDP243"/>
      <c r="NDQ243"/>
      <c r="NDR243"/>
      <c r="NDS243"/>
      <c r="NDT243"/>
      <c r="NDU243"/>
      <c r="NDV243"/>
      <c r="NDW243"/>
      <c r="NDX243"/>
      <c r="NDY243"/>
      <c r="NDZ243"/>
      <c r="NEA243"/>
      <c r="NEB243"/>
      <c r="NEC243"/>
      <c r="NED243"/>
      <c r="NEE243"/>
      <c r="NEF243"/>
      <c r="NEG243"/>
      <c r="NEH243"/>
      <c r="NEI243"/>
      <c r="NEJ243"/>
      <c r="NEK243"/>
      <c r="NEL243"/>
      <c r="NEM243"/>
      <c r="NEN243"/>
      <c r="NEO243"/>
      <c r="NEP243"/>
      <c r="NEQ243"/>
      <c r="NER243"/>
      <c r="NES243"/>
      <c r="NET243"/>
      <c r="NEU243"/>
      <c r="NEV243"/>
      <c r="NEW243"/>
      <c r="NEX243"/>
      <c r="NEY243"/>
      <c r="NEZ243"/>
      <c r="NFA243"/>
      <c r="NFB243"/>
      <c r="NFC243"/>
      <c r="NFD243"/>
      <c r="NFE243"/>
      <c r="NFF243"/>
      <c r="NFG243"/>
      <c r="NFH243"/>
      <c r="NFI243"/>
      <c r="NFJ243"/>
      <c r="NFK243"/>
      <c r="NFL243"/>
      <c r="NFM243"/>
      <c r="NFN243"/>
      <c r="NFO243"/>
      <c r="NFP243"/>
      <c r="NFQ243"/>
      <c r="NFR243"/>
      <c r="NFS243"/>
      <c r="NFT243"/>
      <c r="NFU243"/>
      <c r="NFV243"/>
      <c r="NFW243"/>
      <c r="NFX243"/>
      <c r="NFY243"/>
      <c r="NFZ243"/>
      <c r="NGA243"/>
      <c r="NGB243"/>
      <c r="NGC243"/>
      <c r="NGD243"/>
      <c r="NGE243"/>
      <c r="NGF243"/>
      <c r="NGG243"/>
      <c r="NGH243"/>
      <c r="NGI243"/>
      <c r="NGJ243"/>
      <c r="NGK243"/>
      <c r="NGL243"/>
      <c r="NGM243"/>
      <c r="NGN243"/>
      <c r="NGO243"/>
      <c r="NGP243"/>
      <c r="NGQ243"/>
      <c r="NGR243"/>
      <c r="NGS243"/>
      <c r="NGT243"/>
      <c r="NGU243"/>
      <c r="NGV243"/>
      <c r="NGW243"/>
      <c r="NGX243"/>
      <c r="NGY243"/>
      <c r="NGZ243"/>
      <c r="NHA243"/>
      <c r="NHB243"/>
      <c r="NHC243"/>
      <c r="NHD243"/>
      <c r="NHE243"/>
      <c r="NHF243"/>
      <c r="NHG243"/>
      <c r="NHH243"/>
      <c r="NHI243"/>
      <c r="NHJ243"/>
      <c r="NHK243"/>
      <c r="NHL243"/>
      <c r="NHM243"/>
      <c r="NHN243"/>
      <c r="NHO243"/>
      <c r="NHP243"/>
      <c r="NHQ243"/>
      <c r="NHR243"/>
      <c r="NHS243"/>
      <c r="NHT243"/>
      <c r="NHU243"/>
      <c r="NHV243"/>
      <c r="NHW243"/>
      <c r="NHX243"/>
      <c r="NHY243"/>
      <c r="NHZ243"/>
      <c r="NIA243"/>
      <c r="NIB243"/>
      <c r="NIC243"/>
      <c r="NID243"/>
      <c r="NIE243"/>
      <c r="NIF243"/>
      <c r="NIG243"/>
      <c r="NIH243"/>
      <c r="NII243"/>
      <c r="NIJ243"/>
      <c r="NIK243"/>
      <c r="NIL243"/>
      <c r="NIM243"/>
      <c r="NIN243"/>
      <c r="NIO243"/>
      <c r="NIP243"/>
      <c r="NIQ243"/>
      <c r="NIR243"/>
      <c r="NIS243"/>
      <c r="NIT243"/>
      <c r="NIU243"/>
      <c r="NIV243"/>
      <c r="NIW243"/>
      <c r="NIX243"/>
      <c r="NIY243"/>
      <c r="NIZ243"/>
      <c r="NJA243"/>
      <c r="NJB243"/>
      <c r="NJC243"/>
      <c r="NJD243"/>
      <c r="NJE243"/>
      <c r="NJF243"/>
      <c r="NJG243"/>
      <c r="NJH243"/>
      <c r="NJI243"/>
      <c r="NJJ243"/>
      <c r="NJK243"/>
      <c r="NJL243"/>
      <c r="NJM243"/>
      <c r="NJN243"/>
      <c r="NJO243"/>
      <c r="NJP243"/>
      <c r="NJQ243"/>
      <c r="NJR243"/>
      <c r="NJS243"/>
      <c r="NJT243"/>
      <c r="NJU243"/>
      <c r="NJV243"/>
      <c r="NJW243"/>
      <c r="NJX243"/>
      <c r="NJY243"/>
      <c r="NJZ243"/>
      <c r="NKA243"/>
      <c r="NKB243"/>
      <c r="NKC243"/>
      <c r="NKD243"/>
      <c r="NKE243"/>
      <c r="NKF243"/>
      <c r="NKG243"/>
      <c r="NKH243"/>
      <c r="NKI243"/>
      <c r="NKJ243"/>
      <c r="NKK243"/>
      <c r="NKL243"/>
      <c r="NKM243"/>
      <c r="NKN243"/>
      <c r="NKO243"/>
      <c r="NKP243"/>
      <c r="NKQ243"/>
      <c r="NKR243"/>
      <c r="NKS243"/>
      <c r="NKT243"/>
      <c r="NKU243"/>
      <c r="NKV243"/>
      <c r="NKW243"/>
      <c r="NKX243"/>
      <c r="NKY243"/>
      <c r="NKZ243"/>
      <c r="NLA243"/>
      <c r="NLB243"/>
      <c r="NLC243"/>
      <c r="NLD243"/>
      <c r="NLE243"/>
      <c r="NLF243"/>
      <c r="NLG243"/>
      <c r="NLH243"/>
      <c r="NLI243"/>
      <c r="NLJ243"/>
      <c r="NLK243"/>
      <c r="NLL243"/>
      <c r="NLM243"/>
      <c r="NLN243"/>
      <c r="NLO243"/>
      <c r="NLP243"/>
      <c r="NLQ243"/>
      <c r="NLR243"/>
      <c r="NLS243"/>
      <c r="NLT243"/>
      <c r="NLU243"/>
      <c r="NLV243"/>
      <c r="NLW243"/>
      <c r="NLX243"/>
      <c r="NLY243"/>
      <c r="NLZ243"/>
      <c r="NMA243"/>
      <c r="NMB243"/>
      <c r="NMC243"/>
      <c r="NMD243"/>
      <c r="NME243"/>
      <c r="NMF243"/>
      <c r="NMG243"/>
      <c r="NMH243"/>
      <c r="NMI243"/>
      <c r="NMJ243"/>
      <c r="NMK243"/>
      <c r="NML243"/>
      <c r="NMM243"/>
      <c r="NMN243"/>
      <c r="NMO243"/>
      <c r="NMP243"/>
      <c r="NMQ243"/>
      <c r="NMR243"/>
      <c r="NMS243"/>
      <c r="NMT243"/>
      <c r="NMU243"/>
      <c r="NMV243"/>
      <c r="NMW243"/>
      <c r="NMX243"/>
      <c r="NMY243"/>
      <c r="NMZ243"/>
      <c r="NNA243"/>
      <c r="NNB243"/>
      <c r="NNC243"/>
      <c r="NND243"/>
      <c r="NNE243"/>
      <c r="NNF243"/>
      <c r="NNG243"/>
      <c r="NNH243"/>
      <c r="NNI243"/>
      <c r="NNJ243"/>
      <c r="NNK243"/>
      <c r="NNL243"/>
      <c r="NNM243"/>
      <c r="NNN243"/>
      <c r="NNO243"/>
      <c r="NNP243"/>
      <c r="NNQ243"/>
      <c r="NNR243"/>
      <c r="NNS243"/>
      <c r="NNT243"/>
      <c r="NNU243"/>
      <c r="NNV243"/>
      <c r="NNW243"/>
      <c r="NNX243"/>
      <c r="NNY243"/>
      <c r="NNZ243"/>
      <c r="NOA243"/>
      <c r="NOB243"/>
      <c r="NOC243"/>
      <c r="NOD243"/>
      <c r="NOE243"/>
      <c r="NOF243"/>
      <c r="NOG243"/>
      <c r="NOH243"/>
      <c r="NOI243"/>
      <c r="NOJ243"/>
      <c r="NOK243"/>
      <c r="NOL243"/>
      <c r="NOM243"/>
      <c r="NON243"/>
      <c r="NOO243"/>
      <c r="NOP243"/>
      <c r="NOQ243"/>
      <c r="NOR243"/>
      <c r="NOS243"/>
      <c r="NOT243"/>
      <c r="NOU243"/>
      <c r="NOV243"/>
      <c r="NOW243"/>
      <c r="NOX243"/>
      <c r="NOY243"/>
      <c r="NOZ243"/>
      <c r="NPA243"/>
      <c r="NPB243"/>
      <c r="NPC243"/>
      <c r="NPD243"/>
      <c r="NPE243"/>
      <c r="NPF243"/>
      <c r="NPG243"/>
      <c r="NPH243"/>
      <c r="NPI243"/>
      <c r="NPJ243"/>
      <c r="NPK243"/>
      <c r="NPL243"/>
      <c r="NPM243"/>
      <c r="NPN243"/>
      <c r="NPO243"/>
      <c r="NPP243"/>
      <c r="NPQ243"/>
      <c r="NPR243"/>
      <c r="NPS243"/>
      <c r="NPT243"/>
      <c r="NPU243"/>
      <c r="NPV243"/>
      <c r="NPW243"/>
      <c r="NPX243"/>
      <c r="NPY243"/>
      <c r="NPZ243"/>
      <c r="NQA243"/>
      <c r="NQB243"/>
      <c r="NQC243"/>
      <c r="NQD243"/>
      <c r="NQE243"/>
      <c r="NQF243"/>
      <c r="NQG243"/>
      <c r="NQH243"/>
      <c r="NQI243"/>
      <c r="NQJ243"/>
      <c r="NQK243"/>
      <c r="NQL243"/>
      <c r="NQM243"/>
      <c r="NQN243"/>
      <c r="NQO243"/>
      <c r="NQP243"/>
      <c r="NQQ243"/>
      <c r="NQR243"/>
      <c r="NQS243"/>
      <c r="NQT243"/>
      <c r="NQU243"/>
      <c r="NQV243"/>
      <c r="NQW243"/>
      <c r="NQX243"/>
      <c r="NQY243"/>
      <c r="NQZ243"/>
      <c r="NRA243"/>
      <c r="NRB243"/>
      <c r="NRC243"/>
      <c r="NRD243"/>
      <c r="NRE243"/>
      <c r="NRF243"/>
      <c r="NRG243"/>
      <c r="NRH243"/>
      <c r="NRI243"/>
      <c r="NRJ243"/>
      <c r="NRK243"/>
      <c r="NRL243"/>
      <c r="NRM243"/>
      <c r="NRN243"/>
      <c r="NRO243"/>
      <c r="NRP243"/>
      <c r="NRQ243"/>
      <c r="NRR243"/>
      <c r="NRS243"/>
      <c r="NRT243"/>
      <c r="NRU243"/>
      <c r="NRV243"/>
      <c r="NRW243"/>
      <c r="NRX243"/>
      <c r="NRY243"/>
      <c r="NRZ243"/>
      <c r="NSA243"/>
      <c r="NSB243"/>
      <c r="NSC243"/>
      <c r="NSD243"/>
      <c r="NSE243"/>
      <c r="NSF243"/>
      <c r="NSG243"/>
      <c r="NSH243"/>
      <c r="NSI243"/>
      <c r="NSJ243"/>
      <c r="NSK243"/>
      <c r="NSL243"/>
      <c r="NSM243"/>
      <c r="NSN243"/>
      <c r="NSO243"/>
      <c r="NSP243"/>
      <c r="NSQ243"/>
      <c r="NSR243"/>
      <c r="NSS243"/>
      <c r="NST243"/>
      <c r="NSU243"/>
      <c r="NSV243"/>
      <c r="NSW243"/>
      <c r="NSX243"/>
      <c r="NSY243"/>
      <c r="NSZ243"/>
      <c r="NTA243"/>
      <c r="NTB243"/>
      <c r="NTC243"/>
      <c r="NTD243"/>
      <c r="NTE243"/>
      <c r="NTF243"/>
      <c r="NTG243"/>
      <c r="NTH243"/>
      <c r="NTI243"/>
      <c r="NTJ243"/>
      <c r="NTK243"/>
      <c r="NTL243"/>
      <c r="NTM243"/>
      <c r="NTN243"/>
      <c r="NTO243"/>
      <c r="NTP243"/>
      <c r="NTQ243"/>
      <c r="NTR243"/>
      <c r="NTS243"/>
      <c r="NTT243"/>
      <c r="NTU243"/>
      <c r="NTV243"/>
      <c r="NTW243"/>
      <c r="NTX243"/>
      <c r="NTY243"/>
      <c r="NTZ243"/>
      <c r="NUA243"/>
      <c r="NUB243"/>
      <c r="NUC243"/>
      <c r="NUD243"/>
      <c r="NUE243"/>
      <c r="NUF243"/>
      <c r="NUG243"/>
      <c r="NUH243"/>
      <c r="NUI243"/>
      <c r="NUJ243"/>
      <c r="NUK243"/>
      <c r="NUL243"/>
      <c r="NUM243"/>
      <c r="NUN243"/>
      <c r="NUO243"/>
      <c r="NUP243"/>
      <c r="NUQ243"/>
      <c r="NUR243"/>
      <c r="NUS243"/>
      <c r="NUT243"/>
      <c r="NUU243"/>
      <c r="NUV243"/>
      <c r="NUW243"/>
      <c r="NUX243"/>
      <c r="NUY243"/>
      <c r="NUZ243"/>
      <c r="NVA243"/>
      <c r="NVB243"/>
      <c r="NVC243"/>
      <c r="NVD243"/>
      <c r="NVE243"/>
      <c r="NVF243"/>
      <c r="NVG243"/>
      <c r="NVH243"/>
      <c r="NVI243"/>
      <c r="NVJ243"/>
      <c r="NVK243"/>
      <c r="NVL243"/>
      <c r="NVM243"/>
      <c r="NVN243"/>
      <c r="NVO243"/>
      <c r="NVP243"/>
      <c r="NVQ243"/>
      <c r="NVR243"/>
      <c r="NVS243"/>
      <c r="NVT243"/>
      <c r="NVU243"/>
      <c r="NVV243"/>
      <c r="NVW243"/>
      <c r="NVX243"/>
      <c r="NVY243"/>
      <c r="NVZ243"/>
      <c r="NWA243"/>
      <c r="NWB243"/>
      <c r="NWC243"/>
      <c r="NWD243"/>
      <c r="NWE243"/>
      <c r="NWF243"/>
      <c r="NWG243"/>
      <c r="NWH243"/>
      <c r="NWI243"/>
      <c r="NWJ243"/>
      <c r="NWK243"/>
      <c r="NWL243"/>
      <c r="NWM243"/>
      <c r="NWN243"/>
      <c r="NWO243"/>
      <c r="NWP243"/>
      <c r="NWQ243"/>
      <c r="NWR243"/>
      <c r="NWS243"/>
      <c r="NWT243"/>
      <c r="NWU243"/>
      <c r="NWV243"/>
      <c r="NWW243"/>
      <c r="NWX243"/>
      <c r="NWY243"/>
      <c r="NWZ243"/>
      <c r="NXA243"/>
      <c r="NXB243"/>
      <c r="NXC243"/>
      <c r="NXD243"/>
      <c r="NXE243"/>
      <c r="NXF243"/>
      <c r="NXG243"/>
      <c r="NXH243"/>
      <c r="NXI243"/>
      <c r="NXJ243"/>
      <c r="NXK243"/>
      <c r="NXL243"/>
      <c r="NXM243"/>
      <c r="NXN243"/>
      <c r="NXO243"/>
      <c r="NXP243"/>
      <c r="NXQ243"/>
      <c r="NXR243"/>
      <c r="NXS243"/>
      <c r="NXT243"/>
      <c r="NXU243"/>
      <c r="NXV243"/>
      <c r="NXW243"/>
      <c r="NXX243"/>
      <c r="NXY243"/>
      <c r="NXZ243"/>
      <c r="NYA243"/>
      <c r="NYB243"/>
      <c r="NYC243"/>
      <c r="NYD243"/>
      <c r="NYE243"/>
      <c r="NYF243"/>
      <c r="NYG243"/>
      <c r="NYH243"/>
      <c r="NYI243"/>
      <c r="NYJ243"/>
      <c r="NYK243"/>
      <c r="NYL243"/>
      <c r="NYM243"/>
      <c r="NYN243"/>
      <c r="NYO243"/>
      <c r="NYP243"/>
      <c r="NYQ243"/>
      <c r="NYR243"/>
      <c r="NYS243"/>
      <c r="NYT243"/>
      <c r="NYU243"/>
      <c r="NYV243"/>
      <c r="NYW243"/>
      <c r="NYX243"/>
      <c r="NYY243"/>
      <c r="NYZ243"/>
      <c r="NZA243"/>
      <c r="NZB243"/>
      <c r="NZC243"/>
      <c r="NZD243"/>
      <c r="NZE243"/>
      <c r="NZF243"/>
      <c r="NZG243"/>
      <c r="NZH243"/>
      <c r="NZI243"/>
      <c r="NZJ243"/>
      <c r="NZK243"/>
      <c r="NZL243"/>
      <c r="NZM243"/>
      <c r="NZN243"/>
      <c r="NZO243"/>
      <c r="NZP243"/>
      <c r="NZQ243"/>
      <c r="NZR243"/>
      <c r="NZS243"/>
      <c r="NZT243"/>
      <c r="NZU243"/>
      <c r="NZV243"/>
      <c r="NZW243"/>
      <c r="NZX243"/>
      <c r="NZY243"/>
      <c r="NZZ243"/>
      <c r="OAA243"/>
      <c r="OAB243"/>
      <c r="OAC243"/>
      <c r="OAD243"/>
      <c r="OAE243"/>
      <c r="OAF243"/>
      <c r="OAG243"/>
      <c r="OAH243"/>
      <c r="OAI243"/>
      <c r="OAJ243"/>
      <c r="OAK243"/>
      <c r="OAL243"/>
      <c r="OAM243"/>
      <c r="OAN243"/>
      <c r="OAO243"/>
      <c r="OAP243"/>
      <c r="OAQ243"/>
      <c r="OAR243"/>
      <c r="OAS243"/>
      <c r="OAT243"/>
      <c r="OAU243"/>
      <c r="OAV243"/>
      <c r="OAW243"/>
      <c r="OAX243"/>
      <c r="OAY243"/>
      <c r="OAZ243"/>
      <c r="OBA243"/>
      <c r="OBB243"/>
      <c r="OBC243"/>
      <c r="OBD243"/>
      <c r="OBE243"/>
      <c r="OBF243"/>
      <c r="OBG243"/>
      <c r="OBH243"/>
      <c r="OBI243"/>
      <c r="OBJ243"/>
      <c r="OBK243"/>
      <c r="OBL243"/>
      <c r="OBM243"/>
      <c r="OBN243"/>
      <c r="OBO243"/>
      <c r="OBP243"/>
      <c r="OBQ243"/>
      <c r="OBR243"/>
      <c r="OBS243"/>
      <c r="OBT243"/>
      <c r="OBU243"/>
      <c r="OBV243"/>
      <c r="OBW243"/>
      <c r="OBX243"/>
      <c r="OBY243"/>
      <c r="OBZ243"/>
      <c r="OCA243"/>
      <c r="OCB243"/>
      <c r="OCC243"/>
      <c r="OCD243"/>
      <c r="OCE243"/>
      <c r="OCF243"/>
      <c r="OCG243"/>
      <c r="OCH243"/>
      <c r="OCI243"/>
      <c r="OCJ243"/>
      <c r="OCK243"/>
      <c r="OCL243"/>
      <c r="OCM243"/>
      <c r="OCN243"/>
      <c r="OCO243"/>
      <c r="OCP243"/>
      <c r="OCQ243"/>
      <c r="OCR243"/>
      <c r="OCS243"/>
      <c r="OCT243"/>
      <c r="OCU243"/>
      <c r="OCV243"/>
      <c r="OCW243"/>
      <c r="OCX243"/>
      <c r="OCY243"/>
      <c r="OCZ243"/>
      <c r="ODA243"/>
      <c r="ODB243"/>
      <c r="ODC243"/>
      <c r="ODD243"/>
      <c r="ODE243"/>
      <c r="ODF243"/>
      <c r="ODG243"/>
      <c r="ODH243"/>
      <c r="ODI243"/>
      <c r="ODJ243"/>
      <c r="ODK243"/>
      <c r="ODL243"/>
      <c r="ODM243"/>
      <c r="ODN243"/>
      <c r="ODO243"/>
      <c r="ODP243"/>
      <c r="ODQ243"/>
      <c r="ODR243"/>
      <c r="ODS243"/>
      <c r="ODT243"/>
      <c r="ODU243"/>
      <c r="ODV243"/>
      <c r="ODW243"/>
      <c r="ODX243"/>
      <c r="ODY243"/>
      <c r="ODZ243"/>
      <c r="OEA243"/>
      <c r="OEB243"/>
      <c r="OEC243"/>
      <c r="OED243"/>
      <c r="OEE243"/>
      <c r="OEF243"/>
      <c r="OEG243"/>
      <c r="OEH243"/>
      <c r="OEI243"/>
      <c r="OEJ243"/>
      <c r="OEK243"/>
      <c r="OEL243"/>
      <c r="OEM243"/>
      <c r="OEN243"/>
      <c r="OEO243"/>
      <c r="OEP243"/>
      <c r="OEQ243"/>
      <c r="OER243"/>
      <c r="OES243"/>
      <c r="OET243"/>
      <c r="OEU243"/>
      <c r="OEV243"/>
      <c r="OEW243"/>
      <c r="OEX243"/>
      <c r="OEY243"/>
      <c r="OEZ243"/>
      <c r="OFA243"/>
      <c r="OFB243"/>
      <c r="OFC243"/>
      <c r="OFD243"/>
      <c r="OFE243"/>
      <c r="OFF243"/>
      <c r="OFG243"/>
      <c r="OFH243"/>
      <c r="OFI243"/>
      <c r="OFJ243"/>
      <c r="OFK243"/>
      <c r="OFL243"/>
      <c r="OFM243"/>
      <c r="OFN243"/>
      <c r="OFO243"/>
      <c r="OFP243"/>
      <c r="OFQ243"/>
      <c r="OFR243"/>
      <c r="OFS243"/>
      <c r="OFT243"/>
      <c r="OFU243"/>
      <c r="OFV243"/>
      <c r="OFW243"/>
      <c r="OFX243"/>
      <c r="OFY243"/>
      <c r="OFZ243"/>
      <c r="OGA243"/>
      <c r="OGB243"/>
      <c r="OGC243"/>
      <c r="OGD243"/>
      <c r="OGE243"/>
      <c r="OGF243"/>
      <c r="OGG243"/>
      <c r="OGH243"/>
      <c r="OGI243"/>
      <c r="OGJ243"/>
      <c r="OGK243"/>
      <c r="OGL243"/>
      <c r="OGM243"/>
      <c r="OGN243"/>
      <c r="OGO243"/>
      <c r="OGP243"/>
      <c r="OGQ243"/>
      <c r="OGR243"/>
      <c r="OGS243"/>
      <c r="OGT243"/>
      <c r="OGU243"/>
      <c r="OGV243"/>
      <c r="OGW243"/>
      <c r="OGX243"/>
      <c r="OGY243"/>
      <c r="OGZ243"/>
      <c r="OHA243"/>
      <c r="OHB243"/>
      <c r="OHC243"/>
      <c r="OHD243"/>
      <c r="OHE243"/>
      <c r="OHF243"/>
      <c r="OHG243"/>
      <c r="OHH243"/>
      <c r="OHI243"/>
      <c r="OHJ243"/>
      <c r="OHK243"/>
      <c r="OHL243"/>
      <c r="OHM243"/>
      <c r="OHN243"/>
      <c r="OHO243"/>
      <c r="OHP243"/>
      <c r="OHQ243"/>
      <c r="OHR243"/>
      <c r="OHS243"/>
      <c r="OHT243"/>
      <c r="OHU243"/>
      <c r="OHV243"/>
      <c r="OHW243"/>
      <c r="OHX243"/>
      <c r="OHY243"/>
      <c r="OHZ243"/>
      <c r="OIA243"/>
      <c r="OIB243"/>
      <c r="OIC243"/>
      <c r="OID243"/>
      <c r="OIE243"/>
      <c r="OIF243"/>
      <c r="OIG243"/>
      <c r="OIH243"/>
      <c r="OII243"/>
      <c r="OIJ243"/>
      <c r="OIK243"/>
      <c r="OIL243"/>
      <c r="OIM243"/>
      <c r="OIN243"/>
      <c r="OIO243"/>
      <c r="OIP243"/>
      <c r="OIQ243"/>
      <c r="OIR243"/>
      <c r="OIS243"/>
      <c r="OIT243"/>
      <c r="OIU243"/>
      <c r="OIV243"/>
      <c r="OIW243"/>
      <c r="OIX243"/>
      <c r="OIY243"/>
      <c r="OIZ243"/>
      <c r="OJA243"/>
      <c r="OJB243"/>
      <c r="OJC243"/>
      <c r="OJD243"/>
      <c r="OJE243"/>
      <c r="OJF243"/>
      <c r="OJG243"/>
      <c r="OJH243"/>
      <c r="OJI243"/>
      <c r="OJJ243"/>
      <c r="OJK243"/>
      <c r="OJL243"/>
      <c r="OJM243"/>
      <c r="OJN243"/>
      <c r="OJO243"/>
      <c r="OJP243"/>
      <c r="OJQ243"/>
      <c r="OJR243"/>
      <c r="OJS243"/>
      <c r="OJT243"/>
      <c r="OJU243"/>
      <c r="OJV243"/>
      <c r="OJW243"/>
      <c r="OJX243"/>
      <c r="OJY243"/>
      <c r="OJZ243"/>
      <c r="OKA243"/>
      <c r="OKB243"/>
      <c r="OKC243"/>
      <c r="OKD243"/>
      <c r="OKE243"/>
      <c r="OKF243"/>
      <c r="OKG243"/>
      <c r="OKH243"/>
      <c r="OKI243"/>
      <c r="OKJ243"/>
      <c r="OKK243"/>
      <c r="OKL243"/>
      <c r="OKM243"/>
      <c r="OKN243"/>
      <c r="OKO243"/>
      <c r="OKP243"/>
      <c r="OKQ243"/>
      <c r="OKR243"/>
      <c r="OKS243"/>
      <c r="OKT243"/>
      <c r="OKU243"/>
      <c r="OKV243"/>
      <c r="OKW243"/>
      <c r="OKX243"/>
      <c r="OKY243"/>
      <c r="OKZ243"/>
      <c r="OLA243"/>
      <c r="OLB243"/>
      <c r="OLC243"/>
      <c r="OLD243"/>
      <c r="OLE243"/>
      <c r="OLF243"/>
      <c r="OLG243"/>
      <c r="OLH243"/>
      <c r="OLI243"/>
      <c r="OLJ243"/>
      <c r="OLK243"/>
      <c r="OLL243"/>
      <c r="OLM243"/>
      <c r="OLN243"/>
      <c r="OLO243"/>
      <c r="OLP243"/>
      <c r="OLQ243"/>
      <c r="OLR243"/>
      <c r="OLS243"/>
      <c r="OLT243"/>
      <c r="OLU243"/>
      <c r="OLV243"/>
      <c r="OLW243"/>
      <c r="OLX243"/>
      <c r="OLY243"/>
      <c r="OLZ243"/>
      <c r="OMA243"/>
      <c r="OMB243"/>
      <c r="OMC243"/>
      <c r="OMD243"/>
      <c r="OME243"/>
      <c r="OMF243"/>
      <c r="OMG243"/>
      <c r="OMH243"/>
      <c r="OMI243"/>
      <c r="OMJ243"/>
      <c r="OMK243"/>
      <c r="OML243"/>
      <c r="OMM243"/>
      <c r="OMN243"/>
      <c r="OMO243"/>
      <c r="OMP243"/>
      <c r="OMQ243"/>
      <c r="OMR243"/>
      <c r="OMS243"/>
      <c r="OMT243"/>
      <c r="OMU243"/>
      <c r="OMV243"/>
      <c r="OMW243"/>
      <c r="OMX243"/>
      <c r="OMY243"/>
      <c r="OMZ243"/>
      <c r="ONA243"/>
      <c r="ONB243"/>
      <c r="ONC243"/>
      <c r="OND243"/>
      <c r="ONE243"/>
      <c r="ONF243"/>
      <c r="ONG243"/>
      <c r="ONH243"/>
      <c r="ONI243"/>
      <c r="ONJ243"/>
      <c r="ONK243"/>
      <c r="ONL243"/>
      <c r="ONM243"/>
      <c r="ONN243"/>
      <c r="ONO243"/>
      <c r="ONP243"/>
      <c r="ONQ243"/>
      <c r="ONR243"/>
      <c r="ONS243"/>
      <c r="ONT243"/>
      <c r="ONU243"/>
      <c r="ONV243"/>
      <c r="ONW243"/>
      <c r="ONX243"/>
      <c r="ONY243"/>
      <c r="ONZ243"/>
      <c r="OOA243"/>
      <c r="OOB243"/>
      <c r="OOC243"/>
      <c r="OOD243"/>
      <c r="OOE243"/>
      <c r="OOF243"/>
      <c r="OOG243"/>
      <c r="OOH243"/>
      <c r="OOI243"/>
      <c r="OOJ243"/>
      <c r="OOK243"/>
      <c r="OOL243"/>
      <c r="OOM243"/>
      <c r="OON243"/>
      <c r="OOO243"/>
      <c r="OOP243"/>
      <c r="OOQ243"/>
      <c r="OOR243"/>
      <c r="OOS243"/>
      <c r="OOT243"/>
      <c r="OOU243"/>
      <c r="OOV243"/>
      <c r="OOW243"/>
      <c r="OOX243"/>
      <c r="OOY243"/>
      <c r="OOZ243"/>
      <c r="OPA243"/>
      <c r="OPB243"/>
      <c r="OPC243"/>
      <c r="OPD243"/>
      <c r="OPE243"/>
      <c r="OPF243"/>
      <c r="OPG243"/>
      <c r="OPH243"/>
      <c r="OPI243"/>
      <c r="OPJ243"/>
      <c r="OPK243"/>
      <c r="OPL243"/>
      <c r="OPM243"/>
      <c r="OPN243"/>
      <c r="OPO243"/>
      <c r="OPP243"/>
      <c r="OPQ243"/>
      <c r="OPR243"/>
      <c r="OPS243"/>
      <c r="OPT243"/>
      <c r="OPU243"/>
      <c r="OPV243"/>
      <c r="OPW243"/>
      <c r="OPX243"/>
      <c r="OPY243"/>
      <c r="OPZ243"/>
      <c r="OQA243"/>
      <c r="OQB243"/>
      <c r="OQC243"/>
      <c r="OQD243"/>
      <c r="OQE243"/>
      <c r="OQF243"/>
      <c r="OQG243"/>
      <c r="OQH243"/>
      <c r="OQI243"/>
      <c r="OQJ243"/>
      <c r="OQK243"/>
      <c r="OQL243"/>
      <c r="OQM243"/>
      <c r="OQN243"/>
      <c r="OQO243"/>
      <c r="OQP243"/>
      <c r="OQQ243"/>
      <c r="OQR243"/>
      <c r="OQS243"/>
      <c r="OQT243"/>
      <c r="OQU243"/>
      <c r="OQV243"/>
      <c r="OQW243"/>
      <c r="OQX243"/>
      <c r="OQY243"/>
      <c r="OQZ243"/>
      <c r="ORA243"/>
      <c r="ORB243"/>
      <c r="ORC243"/>
      <c r="ORD243"/>
      <c r="ORE243"/>
      <c r="ORF243"/>
      <c r="ORG243"/>
      <c r="ORH243"/>
      <c r="ORI243"/>
      <c r="ORJ243"/>
      <c r="ORK243"/>
      <c r="ORL243"/>
      <c r="ORM243"/>
      <c r="ORN243"/>
      <c r="ORO243"/>
      <c r="ORP243"/>
      <c r="ORQ243"/>
      <c r="ORR243"/>
      <c r="ORS243"/>
      <c r="ORT243"/>
      <c r="ORU243"/>
      <c r="ORV243"/>
      <c r="ORW243"/>
      <c r="ORX243"/>
      <c r="ORY243"/>
      <c r="ORZ243"/>
      <c r="OSA243"/>
      <c r="OSB243"/>
      <c r="OSC243"/>
      <c r="OSD243"/>
      <c r="OSE243"/>
      <c r="OSF243"/>
      <c r="OSG243"/>
      <c r="OSH243"/>
      <c r="OSI243"/>
      <c r="OSJ243"/>
      <c r="OSK243"/>
      <c r="OSL243"/>
      <c r="OSM243"/>
      <c r="OSN243"/>
      <c r="OSO243"/>
      <c r="OSP243"/>
      <c r="OSQ243"/>
      <c r="OSR243"/>
      <c r="OSS243"/>
      <c r="OST243"/>
      <c r="OSU243"/>
      <c r="OSV243"/>
      <c r="OSW243"/>
      <c r="OSX243"/>
      <c r="OSY243"/>
      <c r="OSZ243"/>
      <c r="OTA243"/>
      <c r="OTB243"/>
      <c r="OTC243"/>
      <c r="OTD243"/>
      <c r="OTE243"/>
      <c r="OTF243"/>
      <c r="OTG243"/>
      <c r="OTH243"/>
      <c r="OTI243"/>
      <c r="OTJ243"/>
      <c r="OTK243"/>
      <c r="OTL243"/>
      <c r="OTM243"/>
      <c r="OTN243"/>
      <c r="OTO243"/>
      <c r="OTP243"/>
      <c r="OTQ243"/>
      <c r="OTR243"/>
      <c r="OTS243"/>
      <c r="OTT243"/>
      <c r="OTU243"/>
      <c r="OTV243"/>
      <c r="OTW243"/>
      <c r="OTX243"/>
      <c r="OTY243"/>
      <c r="OTZ243"/>
      <c r="OUA243"/>
      <c r="OUB243"/>
      <c r="OUC243"/>
      <c r="OUD243"/>
      <c r="OUE243"/>
      <c r="OUF243"/>
      <c r="OUG243"/>
      <c r="OUH243"/>
      <c r="OUI243"/>
      <c r="OUJ243"/>
      <c r="OUK243"/>
      <c r="OUL243"/>
      <c r="OUM243"/>
      <c r="OUN243"/>
      <c r="OUO243"/>
      <c r="OUP243"/>
      <c r="OUQ243"/>
      <c r="OUR243"/>
      <c r="OUS243"/>
      <c r="OUT243"/>
      <c r="OUU243"/>
      <c r="OUV243"/>
      <c r="OUW243"/>
      <c r="OUX243"/>
      <c r="OUY243"/>
      <c r="OUZ243"/>
      <c r="OVA243"/>
      <c r="OVB243"/>
      <c r="OVC243"/>
      <c r="OVD243"/>
      <c r="OVE243"/>
      <c r="OVF243"/>
      <c r="OVG243"/>
      <c r="OVH243"/>
      <c r="OVI243"/>
      <c r="OVJ243"/>
      <c r="OVK243"/>
      <c r="OVL243"/>
      <c r="OVM243"/>
      <c r="OVN243"/>
      <c r="OVO243"/>
      <c r="OVP243"/>
      <c r="OVQ243"/>
      <c r="OVR243"/>
      <c r="OVS243"/>
      <c r="OVT243"/>
      <c r="OVU243"/>
      <c r="OVV243"/>
      <c r="OVW243"/>
      <c r="OVX243"/>
      <c r="OVY243"/>
      <c r="OVZ243"/>
      <c r="OWA243"/>
      <c r="OWB243"/>
      <c r="OWC243"/>
      <c r="OWD243"/>
      <c r="OWE243"/>
      <c r="OWF243"/>
      <c r="OWG243"/>
      <c r="OWH243"/>
      <c r="OWI243"/>
      <c r="OWJ243"/>
      <c r="OWK243"/>
      <c r="OWL243"/>
      <c r="OWM243"/>
      <c r="OWN243"/>
      <c r="OWO243"/>
      <c r="OWP243"/>
      <c r="OWQ243"/>
      <c r="OWR243"/>
      <c r="OWS243"/>
      <c r="OWT243"/>
      <c r="OWU243"/>
      <c r="OWV243"/>
      <c r="OWW243"/>
      <c r="OWX243"/>
      <c r="OWY243"/>
      <c r="OWZ243"/>
      <c r="OXA243"/>
      <c r="OXB243"/>
      <c r="OXC243"/>
      <c r="OXD243"/>
      <c r="OXE243"/>
      <c r="OXF243"/>
      <c r="OXG243"/>
      <c r="OXH243"/>
      <c r="OXI243"/>
      <c r="OXJ243"/>
      <c r="OXK243"/>
      <c r="OXL243"/>
      <c r="OXM243"/>
      <c r="OXN243"/>
      <c r="OXO243"/>
      <c r="OXP243"/>
      <c r="OXQ243"/>
      <c r="OXR243"/>
      <c r="OXS243"/>
      <c r="OXT243"/>
      <c r="OXU243"/>
      <c r="OXV243"/>
      <c r="OXW243"/>
      <c r="OXX243"/>
      <c r="OXY243"/>
      <c r="OXZ243"/>
      <c r="OYA243"/>
      <c r="OYB243"/>
      <c r="OYC243"/>
      <c r="OYD243"/>
      <c r="OYE243"/>
      <c r="OYF243"/>
      <c r="OYG243"/>
      <c r="OYH243"/>
      <c r="OYI243"/>
      <c r="OYJ243"/>
      <c r="OYK243"/>
      <c r="OYL243"/>
      <c r="OYM243"/>
      <c r="OYN243"/>
      <c r="OYO243"/>
      <c r="OYP243"/>
      <c r="OYQ243"/>
      <c r="OYR243"/>
      <c r="OYS243"/>
      <c r="OYT243"/>
      <c r="OYU243"/>
      <c r="OYV243"/>
      <c r="OYW243"/>
      <c r="OYX243"/>
      <c r="OYY243"/>
      <c r="OYZ243"/>
      <c r="OZA243"/>
      <c r="OZB243"/>
      <c r="OZC243"/>
      <c r="OZD243"/>
      <c r="OZE243"/>
      <c r="OZF243"/>
      <c r="OZG243"/>
      <c r="OZH243"/>
      <c r="OZI243"/>
      <c r="OZJ243"/>
      <c r="OZK243"/>
      <c r="OZL243"/>
      <c r="OZM243"/>
      <c r="OZN243"/>
      <c r="OZO243"/>
      <c r="OZP243"/>
      <c r="OZQ243"/>
      <c r="OZR243"/>
      <c r="OZS243"/>
      <c r="OZT243"/>
      <c r="OZU243"/>
      <c r="OZV243"/>
      <c r="OZW243"/>
      <c r="OZX243"/>
      <c r="OZY243"/>
      <c r="OZZ243"/>
      <c r="PAA243"/>
      <c r="PAB243"/>
      <c r="PAC243"/>
      <c r="PAD243"/>
      <c r="PAE243"/>
      <c r="PAF243"/>
      <c r="PAG243"/>
      <c r="PAH243"/>
      <c r="PAI243"/>
      <c r="PAJ243"/>
      <c r="PAK243"/>
      <c r="PAL243"/>
      <c r="PAM243"/>
      <c r="PAN243"/>
      <c r="PAO243"/>
      <c r="PAP243"/>
      <c r="PAQ243"/>
      <c r="PAR243"/>
      <c r="PAS243"/>
      <c r="PAT243"/>
      <c r="PAU243"/>
      <c r="PAV243"/>
      <c r="PAW243"/>
      <c r="PAX243"/>
      <c r="PAY243"/>
      <c r="PAZ243"/>
      <c r="PBA243"/>
      <c r="PBB243"/>
      <c r="PBC243"/>
      <c r="PBD243"/>
      <c r="PBE243"/>
      <c r="PBF243"/>
      <c r="PBG243"/>
      <c r="PBH243"/>
      <c r="PBI243"/>
      <c r="PBJ243"/>
      <c r="PBK243"/>
      <c r="PBL243"/>
      <c r="PBM243"/>
      <c r="PBN243"/>
      <c r="PBO243"/>
      <c r="PBP243"/>
      <c r="PBQ243"/>
      <c r="PBR243"/>
      <c r="PBS243"/>
      <c r="PBT243"/>
      <c r="PBU243"/>
      <c r="PBV243"/>
      <c r="PBW243"/>
      <c r="PBX243"/>
      <c r="PBY243"/>
      <c r="PBZ243"/>
      <c r="PCA243"/>
      <c r="PCB243"/>
      <c r="PCC243"/>
      <c r="PCD243"/>
      <c r="PCE243"/>
      <c r="PCF243"/>
      <c r="PCG243"/>
      <c r="PCH243"/>
      <c r="PCI243"/>
      <c r="PCJ243"/>
      <c r="PCK243"/>
      <c r="PCL243"/>
      <c r="PCM243"/>
      <c r="PCN243"/>
      <c r="PCO243"/>
      <c r="PCP243"/>
      <c r="PCQ243"/>
      <c r="PCR243"/>
      <c r="PCS243"/>
      <c r="PCT243"/>
      <c r="PCU243"/>
      <c r="PCV243"/>
      <c r="PCW243"/>
      <c r="PCX243"/>
      <c r="PCY243"/>
      <c r="PCZ243"/>
      <c r="PDA243"/>
      <c r="PDB243"/>
      <c r="PDC243"/>
      <c r="PDD243"/>
      <c r="PDE243"/>
      <c r="PDF243"/>
      <c r="PDG243"/>
      <c r="PDH243"/>
      <c r="PDI243"/>
      <c r="PDJ243"/>
      <c r="PDK243"/>
      <c r="PDL243"/>
      <c r="PDM243"/>
      <c r="PDN243"/>
      <c r="PDO243"/>
      <c r="PDP243"/>
      <c r="PDQ243"/>
      <c r="PDR243"/>
      <c r="PDS243"/>
      <c r="PDT243"/>
      <c r="PDU243"/>
      <c r="PDV243"/>
      <c r="PDW243"/>
      <c r="PDX243"/>
      <c r="PDY243"/>
      <c r="PDZ243"/>
      <c r="PEA243"/>
      <c r="PEB243"/>
      <c r="PEC243"/>
      <c r="PED243"/>
      <c r="PEE243"/>
      <c r="PEF243"/>
      <c r="PEG243"/>
      <c r="PEH243"/>
      <c r="PEI243"/>
      <c r="PEJ243"/>
      <c r="PEK243"/>
      <c r="PEL243"/>
      <c r="PEM243"/>
      <c r="PEN243"/>
      <c r="PEO243"/>
      <c r="PEP243"/>
      <c r="PEQ243"/>
      <c r="PER243"/>
      <c r="PES243"/>
      <c r="PET243"/>
      <c r="PEU243"/>
      <c r="PEV243"/>
      <c r="PEW243"/>
      <c r="PEX243"/>
      <c r="PEY243"/>
      <c r="PEZ243"/>
      <c r="PFA243"/>
      <c r="PFB243"/>
      <c r="PFC243"/>
      <c r="PFD243"/>
      <c r="PFE243"/>
      <c r="PFF243"/>
      <c r="PFG243"/>
      <c r="PFH243"/>
      <c r="PFI243"/>
      <c r="PFJ243"/>
      <c r="PFK243"/>
      <c r="PFL243"/>
      <c r="PFM243"/>
      <c r="PFN243"/>
      <c r="PFO243"/>
      <c r="PFP243"/>
      <c r="PFQ243"/>
      <c r="PFR243"/>
      <c r="PFS243"/>
      <c r="PFT243"/>
      <c r="PFU243"/>
      <c r="PFV243"/>
      <c r="PFW243"/>
      <c r="PFX243"/>
      <c r="PFY243"/>
      <c r="PFZ243"/>
      <c r="PGA243"/>
      <c r="PGB243"/>
      <c r="PGC243"/>
      <c r="PGD243"/>
      <c r="PGE243"/>
      <c r="PGF243"/>
      <c r="PGG243"/>
      <c r="PGH243"/>
      <c r="PGI243"/>
      <c r="PGJ243"/>
      <c r="PGK243"/>
      <c r="PGL243"/>
      <c r="PGM243"/>
      <c r="PGN243"/>
      <c r="PGO243"/>
      <c r="PGP243"/>
      <c r="PGQ243"/>
      <c r="PGR243"/>
      <c r="PGS243"/>
      <c r="PGT243"/>
      <c r="PGU243"/>
      <c r="PGV243"/>
      <c r="PGW243"/>
      <c r="PGX243"/>
      <c r="PGY243"/>
      <c r="PGZ243"/>
      <c r="PHA243"/>
      <c r="PHB243"/>
      <c r="PHC243"/>
      <c r="PHD243"/>
      <c r="PHE243"/>
      <c r="PHF243"/>
      <c r="PHG243"/>
      <c r="PHH243"/>
      <c r="PHI243"/>
      <c r="PHJ243"/>
      <c r="PHK243"/>
      <c r="PHL243"/>
      <c r="PHM243"/>
      <c r="PHN243"/>
      <c r="PHO243"/>
      <c r="PHP243"/>
      <c r="PHQ243"/>
      <c r="PHR243"/>
      <c r="PHS243"/>
      <c r="PHT243"/>
      <c r="PHU243"/>
      <c r="PHV243"/>
      <c r="PHW243"/>
      <c r="PHX243"/>
      <c r="PHY243"/>
      <c r="PHZ243"/>
      <c r="PIA243"/>
      <c r="PIB243"/>
      <c r="PIC243"/>
      <c r="PID243"/>
      <c r="PIE243"/>
      <c r="PIF243"/>
      <c r="PIG243"/>
      <c r="PIH243"/>
      <c r="PII243"/>
      <c r="PIJ243"/>
      <c r="PIK243"/>
      <c r="PIL243"/>
      <c r="PIM243"/>
      <c r="PIN243"/>
      <c r="PIO243"/>
      <c r="PIP243"/>
      <c r="PIQ243"/>
      <c r="PIR243"/>
      <c r="PIS243"/>
      <c r="PIT243"/>
      <c r="PIU243"/>
      <c r="PIV243"/>
      <c r="PIW243"/>
      <c r="PIX243"/>
      <c r="PIY243"/>
      <c r="PIZ243"/>
      <c r="PJA243"/>
      <c r="PJB243"/>
      <c r="PJC243"/>
      <c r="PJD243"/>
      <c r="PJE243"/>
      <c r="PJF243"/>
      <c r="PJG243"/>
      <c r="PJH243"/>
      <c r="PJI243"/>
      <c r="PJJ243"/>
      <c r="PJK243"/>
      <c r="PJL243"/>
      <c r="PJM243"/>
      <c r="PJN243"/>
      <c r="PJO243"/>
      <c r="PJP243"/>
      <c r="PJQ243"/>
      <c r="PJR243"/>
      <c r="PJS243"/>
      <c r="PJT243"/>
      <c r="PJU243"/>
      <c r="PJV243"/>
      <c r="PJW243"/>
      <c r="PJX243"/>
      <c r="PJY243"/>
      <c r="PJZ243"/>
      <c r="PKA243"/>
      <c r="PKB243"/>
      <c r="PKC243"/>
      <c r="PKD243"/>
      <c r="PKE243"/>
      <c r="PKF243"/>
      <c r="PKG243"/>
      <c r="PKH243"/>
      <c r="PKI243"/>
      <c r="PKJ243"/>
      <c r="PKK243"/>
      <c r="PKL243"/>
      <c r="PKM243"/>
      <c r="PKN243"/>
      <c r="PKO243"/>
      <c r="PKP243"/>
      <c r="PKQ243"/>
      <c r="PKR243"/>
      <c r="PKS243"/>
      <c r="PKT243"/>
      <c r="PKU243"/>
      <c r="PKV243"/>
      <c r="PKW243"/>
      <c r="PKX243"/>
      <c r="PKY243"/>
      <c r="PKZ243"/>
      <c r="PLA243"/>
      <c r="PLB243"/>
      <c r="PLC243"/>
      <c r="PLD243"/>
      <c r="PLE243"/>
      <c r="PLF243"/>
      <c r="PLG243"/>
      <c r="PLH243"/>
      <c r="PLI243"/>
      <c r="PLJ243"/>
      <c r="PLK243"/>
      <c r="PLL243"/>
      <c r="PLM243"/>
      <c r="PLN243"/>
      <c r="PLO243"/>
      <c r="PLP243"/>
      <c r="PLQ243"/>
      <c r="PLR243"/>
      <c r="PLS243"/>
      <c r="PLT243"/>
      <c r="PLU243"/>
      <c r="PLV243"/>
      <c r="PLW243"/>
      <c r="PLX243"/>
      <c r="PLY243"/>
      <c r="PLZ243"/>
      <c r="PMA243"/>
      <c r="PMB243"/>
      <c r="PMC243"/>
      <c r="PMD243"/>
      <c r="PME243"/>
      <c r="PMF243"/>
      <c r="PMG243"/>
      <c r="PMH243"/>
      <c r="PMI243"/>
      <c r="PMJ243"/>
      <c r="PMK243"/>
      <c r="PML243"/>
      <c r="PMM243"/>
      <c r="PMN243"/>
      <c r="PMO243"/>
      <c r="PMP243"/>
      <c r="PMQ243"/>
      <c r="PMR243"/>
      <c r="PMS243"/>
      <c r="PMT243"/>
      <c r="PMU243"/>
      <c r="PMV243"/>
      <c r="PMW243"/>
      <c r="PMX243"/>
      <c r="PMY243"/>
      <c r="PMZ243"/>
      <c r="PNA243"/>
      <c r="PNB243"/>
      <c r="PNC243"/>
      <c r="PND243"/>
      <c r="PNE243"/>
      <c r="PNF243"/>
      <c r="PNG243"/>
      <c r="PNH243"/>
      <c r="PNI243"/>
      <c r="PNJ243"/>
      <c r="PNK243"/>
      <c r="PNL243"/>
      <c r="PNM243"/>
      <c r="PNN243"/>
      <c r="PNO243"/>
      <c r="PNP243"/>
      <c r="PNQ243"/>
      <c r="PNR243"/>
      <c r="PNS243"/>
      <c r="PNT243"/>
      <c r="PNU243"/>
      <c r="PNV243"/>
      <c r="PNW243"/>
      <c r="PNX243"/>
      <c r="PNY243"/>
      <c r="PNZ243"/>
      <c r="POA243"/>
      <c r="POB243"/>
      <c r="POC243"/>
      <c r="POD243"/>
      <c r="POE243"/>
      <c r="POF243"/>
      <c r="POG243"/>
      <c r="POH243"/>
      <c r="POI243"/>
      <c r="POJ243"/>
      <c r="POK243"/>
      <c r="POL243"/>
      <c r="POM243"/>
      <c r="PON243"/>
      <c r="POO243"/>
      <c r="POP243"/>
      <c r="POQ243"/>
      <c r="POR243"/>
      <c r="POS243"/>
      <c r="POT243"/>
      <c r="POU243"/>
      <c r="POV243"/>
      <c r="POW243"/>
      <c r="POX243"/>
      <c r="POY243"/>
      <c r="POZ243"/>
      <c r="PPA243"/>
      <c r="PPB243"/>
      <c r="PPC243"/>
      <c r="PPD243"/>
      <c r="PPE243"/>
      <c r="PPF243"/>
      <c r="PPG243"/>
      <c r="PPH243"/>
      <c r="PPI243"/>
      <c r="PPJ243"/>
      <c r="PPK243"/>
      <c r="PPL243"/>
      <c r="PPM243"/>
      <c r="PPN243"/>
      <c r="PPO243"/>
      <c r="PPP243"/>
      <c r="PPQ243"/>
      <c r="PPR243"/>
      <c r="PPS243"/>
      <c r="PPT243"/>
      <c r="PPU243"/>
      <c r="PPV243"/>
      <c r="PPW243"/>
      <c r="PPX243"/>
      <c r="PPY243"/>
      <c r="PPZ243"/>
      <c r="PQA243"/>
      <c r="PQB243"/>
      <c r="PQC243"/>
      <c r="PQD243"/>
      <c r="PQE243"/>
      <c r="PQF243"/>
      <c r="PQG243"/>
      <c r="PQH243"/>
      <c r="PQI243"/>
      <c r="PQJ243"/>
      <c r="PQK243"/>
      <c r="PQL243"/>
      <c r="PQM243"/>
      <c r="PQN243"/>
      <c r="PQO243"/>
      <c r="PQP243"/>
      <c r="PQQ243"/>
      <c r="PQR243"/>
      <c r="PQS243"/>
      <c r="PQT243"/>
      <c r="PQU243"/>
      <c r="PQV243"/>
      <c r="PQW243"/>
      <c r="PQX243"/>
      <c r="PQY243"/>
      <c r="PQZ243"/>
      <c r="PRA243"/>
      <c r="PRB243"/>
      <c r="PRC243"/>
      <c r="PRD243"/>
      <c r="PRE243"/>
      <c r="PRF243"/>
      <c r="PRG243"/>
      <c r="PRH243"/>
      <c r="PRI243"/>
      <c r="PRJ243"/>
      <c r="PRK243"/>
      <c r="PRL243"/>
      <c r="PRM243"/>
      <c r="PRN243"/>
      <c r="PRO243"/>
      <c r="PRP243"/>
      <c r="PRQ243"/>
      <c r="PRR243"/>
      <c r="PRS243"/>
      <c r="PRT243"/>
      <c r="PRU243"/>
      <c r="PRV243"/>
      <c r="PRW243"/>
      <c r="PRX243"/>
      <c r="PRY243"/>
      <c r="PRZ243"/>
      <c r="PSA243"/>
      <c r="PSB243"/>
      <c r="PSC243"/>
      <c r="PSD243"/>
      <c r="PSE243"/>
      <c r="PSF243"/>
      <c r="PSG243"/>
      <c r="PSH243"/>
      <c r="PSI243"/>
      <c r="PSJ243"/>
      <c r="PSK243"/>
      <c r="PSL243"/>
      <c r="PSM243"/>
      <c r="PSN243"/>
      <c r="PSO243"/>
      <c r="PSP243"/>
      <c r="PSQ243"/>
      <c r="PSR243"/>
      <c r="PSS243"/>
      <c r="PST243"/>
      <c r="PSU243"/>
      <c r="PSV243"/>
      <c r="PSW243"/>
      <c r="PSX243"/>
      <c r="PSY243"/>
      <c r="PSZ243"/>
      <c r="PTA243"/>
      <c r="PTB243"/>
      <c r="PTC243"/>
      <c r="PTD243"/>
      <c r="PTE243"/>
      <c r="PTF243"/>
      <c r="PTG243"/>
      <c r="PTH243"/>
      <c r="PTI243"/>
      <c r="PTJ243"/>
      <c r="PTK243"/>
      <c r="PTL243"/>
      <c r="PTM243"/>
      <c r="PTN243"/>
      <c r="PTO243"/>
      <c r="PTP243"/>
      <c r="PTQ243"/>
      <c r="PTR243"/>
      <c r="PTS243"/>
      <c r="PTT243"/>
      <c r="PTU243"/>
      <c r="PTV243"/>
      <c r="PTW243"/>
      <c r="PTX243"/>
      <c r="PTY243"/>
      <c r="PTZ243"/>
      <c r="PUA243"/>
      <c r="PUB243"/>
      <c r="PUC243"/>
      <c r="PUD243"/>
      <c r="PUE243"/>
      <c r="PUF243"/>
      <c r="PUG243"/>
      <c r="PUH243"/>
      <c r="PUI243"/>
      <c r="PUJ243"/>
      <c r="PUK243"/>
      <c r="PUL243"/>
      <c r="PUM243"/>
      <c r="PUN243"/>
      <c r="PUO243"/>
      <c r="PUP243"/>
      <c r="PUQ243"/>
      <c r="PUR243"/>
      <c r="PUS243"/>
      <c r="PUT243"/>
      <c r="PUU243"/>
      <c r="PUV243"/>
      <c r="PUW243"/>
      <c r="PUX243"/>
      <c r="PUY243"/>
      <c r="PUZ243"/>
      <c r="PVA243"/>
      <c r="PVB243"/>
      <c r="PVC243"/>
      <c r="PVD243"/>
      <c r="PVE243"/>
      <c r="PVF243"/>
      <c r="PVG243"/>
      <c r="PVH243"/>
      <c r="PVI243"/>
      <c r="PVJ243"/>
      <c r="PVK243"/>
      <c r="PVL243"/>
      <c r="PVM243"/>
      <c r="PVN243"/>
      <c r="PVO243"/>
      <c r="PVP243"/>
      <c r="PVQ243"/>
      <c r="PVR243"/>
      <c r="PVS243"/>
      <c r="PVT243"/>
      <c r="PVU243"/>
      <c r="PVV243"/>
      <c r="PVW243"/>
      <c r="PVX243"/>
      <c r="PVY243"/>
      <c r="PVZ243"/>
      <c r="PWA243"/>
      <c r="PWB243"/>
      <c r="PWC243"/>
      <c r="PWD243"/>
      <c r="PWE243"/>
      <c r="PWF243"/>
      <c r="PWG243"/>
      <c r="PWH243"/>
      <c r="PWI243"/>
      <c r="PWJ243"/>
      <c r="PWK243"/>
      <c r="PWL243"/>
      <c r="PWM243"/>
      <c r="PWN243"/>
      <c r="PWO243"/>
      <c r="PWP243"/>
      <c r="PWQ243"/>
      <c r="PWR243"/>
      <c r="PWS243"/>
      <c r="PWT243"/>
      <c r="PWU243"/>
      <c r="PWV243"/>
      <c r="PWW243"/>
      <c r="PWX243"/>
      <c r="PWY243"/>
      <c r="PWZ243"/>
      <c r="PXA243"/>
      <c r="PXB243"/>
      <c r="PXC243"/>
      <c r="PXD243"/>
      <c r="PXE243"/>
      <c r="PXF243"/>
      <c r="PXG243"/>
      <c r="PXH243"/>
      <c r="PXI243"/>
      <c r="PXJ243"/>
      <c r="PXK243"/>
      <c r="PXL243"/>
      <c r="PXM243"/>
      <c r="PXN243"/>
      <c r="PXO243"/>
      <c r="PXP243"/>
      <c r="PXQ243"/>
      <c r="PXR243"/>
      <c r="PXS243"/>
      <c r="PXT243"/>
      <c r="PXU243"/>
      <c r="PXV243"/>
      <c r="PXW243"/>
      <c r="PXX243"/>
      <c r="PXY243"/>
      <c r="PXZ243"/>
      <c r="PYA243"/>
      <c r="PYB243"/>
      <c r="PYC243"/>
      <c r="PYD243"/>
      <c r="PYE243"/>
      <c r="PYF243"/>
      <c r="PYG243"/>
      <c r="PYH243"/>
      <c r="PYI243"/>
      <c r="PYJ243"/>
      <c r="PYK243"/>
      <c r="PYL243"/>
      <c r="PYM243"/>
      <c r="PYN243"/>
      <c r="PYO243"/>
      <c r="PYP243"/>
      <c r="PYQ243"/>
      <c r="PYR243"/>
      <c r="PYS243"/>
      <c r="PYT243"/>
      <c r="PYU243"/>
      <c r="PYV243"/>
      <c r="PYW243"/>
      <c r="PYX243"/>
      <c r="PYY243"/>
      <c r="PYZ243"/>
      <c r="PZA243"/>
      <c r="PZB243"/>
      <c r="PZC243"/>
      <c r="PZD243"/>
      <c r="PZE243"/>
      <c r="PZF243"/>
      <c r="PZG243"/>
      <c r="PZH243"/>
      <c r="PZI243"/>
      <c r="PZJ243"/>
      <c r="PZK243"/>
      <c r="PZL243"/>
      <c r="PZM243"/>
      <c r="PZN243"/>
      <c r="PZO243"/>
      <c r="PZP243"/>
      <c r="PZQ243"/>
      <c r="PZR243"/>
      <c r="PZS243"/>
      <c r="PZT243"/>
      <c r="PZU243"/>
      <c r="PZV243"/>
      <c r="PZW243"/>
      <c r="PZX243"/>
      <c r="PZY243"/>
      <c r="PZZ243"/>
      <c r="QAA243"/>
      <c r="QAB243"/>
      <c r="QAC243"/>
      <c r="QAD243"/>
      <c r="QAE243"/>
      <c r="QAF243"/>
      <c r="QAG243"/>
      <c r="QAH243"/>
      <c r="QAI243"/>
      <c r="QAJ243"/>
      <c r="QAK243"/>
      <c r="QAL243"/>
      <c r="QAM243"/>
      <c r="QAN243"/>
      <c r="QAO243"/>
      <c r="QAP243"/>
      <c r="QAQ243"/>
      <c r="QAR243"/>
      <c r="QAS243"/>
      <c r="QAT243"/>
      <c r="QAU243"/>
      <c r="QAV243"/>
      <c r="QAW243"/>
      <c r="QAX243"/>
      <c r="QAY243"/>
      <c r="QAZ243"/>
      <c r="QBA243"/>
      <c r="QBB243"/>
      <c r="QBC243"/>
      <c r="QBD243"/>
      <c r="QBE243"/>
      <c r="QBF243"/>
      <c r="QBG243"/>
      <c r="QBH243"/>
      <c r="QBI243"/>
      <c r="QBJ243"/>
      <c r="QBK243"/>
      <c r="QBL243"/>
      <c r="QBM243"/>
      <c r="QBN243"/>
      <c r="QBO243"/>
      <c r="QBP243"/>
      <c r="QBQ243"/>
      <c r="QBR243"/>
      <c r="QBS243"/>
      <c r="QBT243"/>
      <c r="QBU243"/>
      <c r="QBV243"/>
      <c r="QBW243"/>
      <c r="QBX243"/>
      <c r="QBY243"/>
      <c r="QBZ243"/>
      <c r="QCA243"/>
      <c r="QCB243"/>
      <c r="QCC243"/>
      <c r="QCD243"/>
      <c r="QCE243"/>
      <c r="QCF243"/>
      <c r="QCG243"/>
      <c r="QCH243"/>
      <c r="QCI243"/>
      <c r="QCJ243"/>
      <c r="QCK243"/>
      <c r="QCL243"/>
      <c r="QCM243"/>
      <c r="QCN243"/>
      <c r="QCO243"/>
      <c r="QCP243"/>
      <c r="QCQ243"/>
      <c r="QCR243"/>
      <c r="QCS243"/>
      <c r="QCT243"/>
      <c r="QCU243"/>
      <c r="QCV243"/>
      <c r="QCW243"/>
      <c r="QCX243"/>
      <c r="QCY243"/>
      <c r="QCZ243"/>
      <c r="QDA243"/>
      <c r="QDB243"/>
      <c r="QDC243"/>
      <c r="QDD243"/>
      <c r="QDE243"/>
      <c r="QDF243"/>
      <c r="QDG243"/>
      <c r="QDH243"/>
      <c r="QDI243"/>
      <c r="QDJ243"/>
      <c r="QDK243"/>
      <c r="QDL243"/>
      <c r="QDM243"/>
      <c r="QDN243"/>
      <c r="QDO243"/>
      <c r="QDP243"/>
      <c r="QDQ243"/>
      <c r="QDR243"/>
      <c r="QDS243"/>
      <c r="QDT243"/>
      <c r="QDU243"/>
      <c r="QDV243"/>
      <c r="QDW243"/>
      <c r="QDX243"/>
      <c r="QDY243"/>
      <c r="QDZ243"/>
      <c r="QEA243"/>
      <c r="QEB243"/>
      <c r="QEC243"/>
      <c r="QED243"/>
      <c r="QEE243"/>
      <c r="QEF243"/>
      <c r="QEG243"/>
      <c r="QEH243"/>
      <c r="QEI243"/>
      <c r="QEJ243"/>
      <c r="QEK243"/>
      <c r="QEL243"/>
      <c r="QEM243"/>
      <c r="QEN243"/>
      <c r="QEO243"/>
      <c r="QEP243"/>
      <c r="QEQ243"/>
      <c r="QER243"/>
      <c r="QES243"/>
      <c r="QET243"/>
      <c r="QEU243"/>
      <c r="QEV243"/>
      <c r="QEW243"/>
      <c r="QEX243"/>
      <c r="QEY243"/>
      <c r="QEZ243"/>
      <c r="QFA243"/>
      <c r="QFB243"/>
      <c r="QFC243"/>
      <c r="QFD243"/>
      <c r="QFE243"/>
      <c r="QFF243"/>
      <c r="QFG243"/>
      <c r="QFH243"/>
      <c r="QFI243"/>
      <c r="QFJ243"/>
      <c r="QFK243"/>
      <c r="QFL243"/>
      <c r="QFM243"/>
      <c r="QFN243"/>
      <c r="QFO243"/>
      <c r="QFP243"/>
      <c r="QFQ243"/>
      <c r="QFR243"/>
      <c r="QFS243"/>
      <c r="QFT243"/>
      <c r="QFU243"/>
      <c r="QFV243"/>
      <c r="QFW243"/>
      <c r="QFX243"/>
      <c r="QFY243"/>
      <c r="QFZ243"/>
      <c r="QGA243"/>
      <c r="QGB243"/>
      <c r="QGC243"/>
      <c r="QGD243"/>
      <c r="QGE243"/>
      <c r="QGF243"/>
      <c r="QGG243"/>
      <c r="QGH243"/>
      <c r="QGI243"/>
      <c r="QGJ243"/>
      <c r="QGK243"/>
      <c r="QGL243"/>
      <c r="QGM243"/>
      <c r="QGN243"/>
      <c r="QGO243"/>
      <c r="QGP243"/>
      <c r="QGQ243"/>
      <c r="QGR243"/>
      <c r="QGS243"/>
      <c r="QGT243"/>
      <c r="QGU243"/>
      <c r="QGV243"/>
      <c r="QGW243"/>
      <c r="QGX243"/>
      <c r="QGY243"/>
      <c r="QGZ243"/>
      <c r="QHA243"/>
      <c r="QHB243"/>
      <c r="QHC243"/>
      <c r="QHD243"/>
      <c r="QHE243"/>
      <c r="QHF243"/>
      <c r="QHG243"/>
      <c r="QHH243"/>
      <c r="QHI243"/>
      <c r="QHJ243"/>
      <c r="QHK243"/>
      <c r="QHL243"/>
      <c r="QHM243"/>
      <c r="QHN243"/>
      <c r="QHO243"/>
      <c r="QHP243"/>
      <c r="QHQ243"/>
      <c r="QHR243"/>
      <c r="QHS243"/>
      <c r="QHT243"/>
      <c r="QHU243"/>
      <c r="QHV243"/>
      <c r="QHW243"/>
      <c r="QHX243"/>
      <c r="QHY243"/>
      <c r="QHZ243"/>
      <c r="QIA243"/>
      <c r="QIB243"/>
      <c r="QIC243"/>
      <c r="QID243"/>
      <c r="QIE243"/>
      <c r="QIF243"/>
      <c r="QIG243"/>
      <c r="QIH243"/>
      <c r="QII243"/>
      <c r="QIJ243"/>
      <c r="QIK243"/>
      <c r="QIL243"/>
      <c r="QIM243"/>
      <c r="QIN243"/>
      <c r="QIO243"/>
      <c r="QIP243"/>
      <c r="QIQ243"/>
      <c r="QIR243"/>
      <c r="QIS243"/>
      <c r="QIT243"/>
      <c r="QIU243"/>
      <c r="QIV243"/>
      <c r="QIW243"/>
      <c r="QIX243"/>
      <c r="QIY243"/>
      <c r="QIZ243"/>
      <c r="QJA243"/>
      <c r="QJB243"/>
      <c r="QJC243"/>
      <c r="QJD243"/>
      <c r="QJE243"/>
      <c r="QJF243"/>
      <c r="QJG243"/>
      <c r="QJH243"/>
      <c r="QJI243"/>
      <c r="QJJ243"/>
      <c r="QJK243"/>
      <c r="QJL243"/>
      <c r="QJM243"/>
      <c r="QJN243"/>
      <c r="QJO243"/>
      <c r="QJP243"/>
      <c r="QJQ243"/>
      <c r="QJR243"/>
      <c r="QJS243"/>
      <c r="QJT243"/>
      <c r="QJU243"/>
      <c r="QJV243"/>
      <c r="QJW243"/>
      <c r="QJX243"/>
      <c r="QJY243"/>
      <c r="QJZ243"/>
      <c r="QKA243"/>
      <c r="QKB243"/>
      <c r="QKC243"/>
      <c r="QKD243"/>
      <c r="QKE243"/>
      <c r="QKF243"/>
      <c r="QKG243"/>
      <c r="QKH243"/>
      <c r="QKI243"/>
      <c r="QKJ243"/>
      <c r="QKK243"/>
      <c r="QKL243"/>
      <c r="QKM243"/>
      <c r="QKN243"/>
      <c r="QKO243"/>
      <c r="QKP243"/>
      <c r="QKQ243"/>
      <c r="QKR243"/>
      <c r="QKS243"/>
      <c r="QKT243"/>
      <c r="QKU243"/>
      <c r="QKV243"/>
      <c r="QKW243"/>
      <c r="QKX243"/>
      <c r="QKY243"/>
      <c r="QKZ243"/>
      <c r="QLA243"/>
      <c r="QLB243"/>
      <c r="QLC243"/>
      <c r="QLD243"/>
      <c r="QLE243"/>
      <c r="QLF243"/>
      <c r="QLG243"/>
      <c r="QLH243"/>
      <c r="QLI243"/>
      <c r="QLJ243"/>
      <c r="QLK243"/>
      <c r="QLL243"/>
      <c r="QLM243"/>
      <c r="QLN243"/>
      <c r="QLO243"/>
      <c r="QLP243"/>
      <c r="QLQ243"/>
      <c r="QLR243"/>
      <c r="QLS243"/>
      <c r="QLT243"/>
      <c r="QLU243"/>
      <c r="QLV243"/>
      <c r="QLW243"/>
      <c r="QLX243"/>
      <c r="QLY243"/>
      <c r="QLZ243"/>
      <c r="QMA243"/>
      <c r="QMB243"/>
      <c r="QMC243"/>
      <c r="QMD243"/>
      <c r="QME243"/>
      <c r="QMF243"/>
      <c r="QMG243"/>
      <c r="QMH243"/>
      <c r="QMI243"/>
      <c r="QMJ243"/>
      <c r="QMK243"/>
      <c r="QML243"/>
      <c r="QMM243"/>
      <c r="QMN243"/>
      <c r="QMO243"/>
      <c r="QMP243"/>
      <c r="QMQ243"/>
      <c r="QMR243"/>
      <c r="QMS243"/>
      <c r="QMT243"/>
      <c r="QMU243"/>
      <c r="QMV243"/>
      <c r="QMW243"/>
      <c r="QMX243"/>
      <c r="QMY243"/>
      <c r="QMZ243"/>
      <c r="QNA243"/>
      <c r="QNB243"/>
      <c r="QNC243"/>
      <c r="QND243"/>
      <c r="QNE243"/>
      <c r="QNF243"/>
      <c r="QNG243"/>
      <c r="QNH243"/>
      <c r="QNI243"/>
      <c r="QNJ243"/>
      <c r="QNK243"/>
      <c r="QNL243"/>
      <c r="QNM243"/>
      <c r="QNN243"/>
      <c r="QNO243"/>
      <c r="QNP243"/>
      <c r="QNQ243"/>
      <c r="QNR243"/>
      <c r="QNS243"/>
      <c r="QNT243"/>
      <c r="QNU243"/>
      <c r="QNV243"/>
      <c r="QNW243"/>
      <c r="QNX243"/>
      <c r="QNY243"/>
      <c r="QNZ243"/>
      <c r="QOA243"/>
      <c r="QOB243"/>
      <c r="QOC243"/>
      <c r="QOD243"/>
      <c r="QOE243"/>
      <c r="QOF243"/>
      <c r="QOG243"/>
      <c r="QOH243"/>
      <c r="QOI243"/>
      <c r="QOJ243"/>
      <c r="QOK243"/>
      <c r="QOL243"/>
      <c r="QOM243"/>
      <c r="QON243"/>
      <c r="QOO243"/>
      <c r="QOP243"/>
      <c r="QOQ243"/>
      <c r="QOR243"/>
      <c r="QOS243"/>
      <c r="QOT243"/>
      <c r="QOU243"/>
      <c r="QOV243"/>
      <c r="QOW243"/>
      <c r="QOX243"/>
      <c r="QOY243"/>
      <c r="QOZ243"/>
      <c r="QPA243"/>
      <c r="QPB243"/>
      <c r="QPC243"/>
      <c r="QPD243"/>
      <c r="QPE243"/>
      <c r="QPF243"/>
      <c r="QPG243"/>
      <c r="QPH243"/>
      <c r="QPI243"/>
      <c r="QPJ243"/>
      <c r="QPK243"/>
      <c r="QPL243"/>
      <c r="QPM243"/>
      <c r="QPN243"/>
      <c r="QPO243"/>
      <c r="QPP243"/>
      <c r="QPQ243"/>
      <c r="QPR243"/>
      <c r="QPS243"/>
      <c r="QPT243"/>
      <c r="QPU243"/>
      <c r="QPV243"/>
      <c r="QPW243"/>
      <c r="QPX243"/>
      <c r="QPY243"/>
      <c r="QPZ243"/>
      <c r="QQA243"/>
      <c r="QQB243"/>
      <c r="QQC243"/>
      <c r="QQD243"/>
      <c r="QQE243"/>
      <c r="QQF243"/>
      <c r="QQG243"/>
      <c r="QQH243"/>
      <c r="QQI243"/>
      <c r="QQJ243"/>
      <c r="QQK243"/>
      <c r="QQL243"/>
      <c r="QQM243"/>
      <c r="QQN243"/>
      <c r="QQO243"/>
      <c r="QQP243"/>
      <c r="QQQ243"/>
      <c r="QQR243"/>
      <c r="QQS243"/>
      <c r="QQT243"/>
      <c r="QQU243"/>
      <c r="QQV243"/>
      <c r="QQW243"/>
      <c r="QQX243"/>
      <c r="QQY243"/>
      <c r="QQZ243"/>
      <c r="QRA243"/>
      <c r="QRB243"/>
      <c r="QRC243"/>
      <c r="QRD243"/>
      <c r="QRE243"/>
      <c r="QRF243"/>
      <c r="QRG243"/>
      <c r="QRH243"/>
      <c r="QRI243"/>
      <c r="QRJ243"/>
      <c r="QRK243"/>
      <c r="QRL243"/>
      <c r="QRM243"/>
      <c r="QRN243"/>
      <c r="QRO243"/>
      <c r="QRP243"/>
      <c r="QRQ243"/>
      <c r="QRR243"/>
      <c r="QRS243"/>
      <c r="QRT243"/>
      <c r="QRU243"/>
      <c r="QRV243"/>
      <c r="QRW243"/>
      <c r="QRX243"/>
      <c r="QRY243"/>
      <c r="QRZ243"/>
      <c r="QSA243"/>
      <c r="QSB243"/>
      <c r="QSC243"/>
      <c r="QSD243"/>
      <c r="QSE243"/>
      <c r="QSF243"/>
      <c r="QSG243"/>
      <c r="QSH243"/>
      <c r="QSI243"/>
      <c r="QSJ243"/>
      <c r="QSK243"/>
      <c r="QSL243"/>
      <c r="QSM243"/>
      <c r="QSN243"/>
      <c r="QSO243"/>
      <c r="QSP243"/>
      <c r="QSQ243"/>
      <c r="QSR243"/>
      <c r="QSS243"/>
      <c r="QST243"/>
      <c r="QSU243"/>
      <c r="QSV243"/>
      <c r="QSW243"/>
      <c r="QSX243"/>
      <c r="QSY243"/>
      <c r="QSZ243"/>
      <c r="QTA243"/>
      <c r="QTB243"/>
      <c r="QTC243"/>
      <c r="QTD243"/>
      <c r="QTE243"/>
      <c r="QTF243"/>
      <c r="QTG243"/>
      <c r="QTH243"/>
      <c r="QTI243"/>
      <c r="QTJ243"/>
      <c r="QTK243"/>
      <c r="QTL243"/>
      <c r="QTM243"/>
      <c r="QTN243"/>
      <c r="QTO243"/>
      <c r="QTP243"/>
      <c r="QTQ243"/>
      <c r="QTR243"/>
      <c r="QTS243"/>
      <c r="QTT243"/>
      <c r="QTU243"/>
      <c r="QTV243"/>
      <c r="QTW243"/>
      <c r="QTX243"/>
      <c r="QTY243"/>
      <c r="QTZ243"/>
      <c r="QUA243"/>
      <c r="QUB243"/>
      <c r="QUC243"/>
      <c r="QUD243"/>
      <c r="QUE243"/>
      <c r="QUF243"/>
      <c r="QUG243"/>
      <c r="QUH243"/>
      <c r="QUI243"/>
      <c r="QUJ243"/>
      <c r="QUK243"/>
      <c r="QUL243"/>
      <c r="QUM243"/>
      <c r="QUN243"/>
      <c r="QUO243"/>
      <c r="QUP243"/>
      <c r="QUQ243"/>
      <c r="QUR243"/>
      <c r="QUS243"/>
      <c r="QUT243"/>
      <c r="QUU243"/>
      <c r="QUV243"/>
      <c r="QUW243"/>
      <c r="QUX243"/>
      <c r="QUY243"/>
      <c r="QUZ243"/>
      <c r="QVA243"/>
      <c r="QVB243"/>
      <c r="QVC243"/>
      <c r="QVD243"/>
      <c r="QVE243"/>
      <c r="QVF243"/>
      <c r="QVG243"/>
      <c r="QVH243"/>
      <c r="QVI243"/>
      <c r="QVJ243"/>
      <c r="QVK243"/>
      <c r="QVL243"/>
      <c r="QVM243"/>
      <c r="QVN243"/>
      <c r="QVO243"/>
      <c r="QVP243"/>
      <c r="QVQ243"/>
      <c r="QVR243"/>
      <c r="QVS243"/>
      <c r="QVT243"/>
      <c r="QVU243"/>
      <c r="QVV243"/>
      <c r="QVW243"/>
      <c r="QVX243"/>
      <c r="QVY243"/>
      <c r="QVZ243"/>
      <c r="QWA243"/>
      <c r="QWB243"/>
      <c r="QWC243"/>
      <c r="QWD243"/>
      <c r="QWE243"/>
      <c r="QWF243"/>
      <c r="QWG243"/>
      <c r="QWH243"/>
      <c r="QWI243"/>
      <c r="QWJ243"/>
      <c r="QWK243"/>
      <c r="QWL243"/>
      <c r="QWM243"/>
      <c r="QWN243"/>
      <c r="QWO243"/>
      <c r="QWP243"/>
      <c r="QWQ243"/>
      <c r="QWR243"/>
      <c r="QWS243"/>
      <c r="QWT243"/>
      <c r="QWU243"/>
      <c r="QWV243"/>
      <c r="QWW243"/>
      <c r="QWX243"/>
      <c r="QWY243"/>
      <c r="QWZ243"/>
      <c r="QXA243"/>
      <c r="QXB243"/>
      <c r="QXC243"/>
      <c r="QXD243"/>
      <c r="QXE243"/>
      <c r="QXF243"/>
      <c r="QXG243"/>
      <c r="QXH243"/>
      <c r="QXI243"/>
      <c r="QXJ243"/>
      <c r="QXK243"/>
      <c r="QXL243"/>
      <c r="QXM243"/>
      <c r="QXN243"/>
      <c r="QXO243"/>
      <c r="QXP243"/>
      <c r="QXQ243"/>
      <c r="QXR243"/>
      <c r="QXS243"/>
      <c r="QXT243"/>
      <c r="QXU243"/>
      <c r="QXV243"/>
      <c r="QXW243"/>
      <c r="QXX243"/>
      <c r="QXY243"/>
      <c r="QXZ243"/>
      <c r="QYA243"/>
      <c r="QYB243"/>
      <c r="QYC243"/>
      <c r="QYD243"/>
      <c r="QYE243"/>
      <c r="QYF243"/>
      <c r="QYG243"/>
      <c r="QYH243"/>
      <c r="QYI243"/>
      <c r="QYJ243"/>
      <c r="QYK243"/>
      <c r="QYL243"/>
      <c r="QYM243"/>
      <c r="QYN243"/>
      <c r="QYO243"/>
      <c r="QYP243"/>
      <c r="QYQ243"/>
      <c r="QYR243"/>
      <c r="QYS243"/>
      <c r="QYT243"/>
      <c r="QYU243"/>
      <c r="QYV243"/>
      <c r="QYW243"/>
      <c r="QYX243"/>
      <c r="QYY243"/>
      <c r="QYZ243"/>
      <c r="QZA243"/>
      <c r="QZB243"/>
      <c r="QZC243"/>
      <c r="QZD243"/>
      <c r="QZE243"/>
      <c r="QZF243"/>
      <c r="QZG243"/>
      <c r="QZH243"/>
      <c r="QZI243"/>
      <c r="QZJ243"/>
      <c r="QZK243"/>
      <c r="QZL243"/>
      <c r="QZM243"/>
      <c r="QZN243"/>
      <c r="QZO243"/>
      <c r="QZP243"/>
      <c r="QZQ243"/>
      <c r="QZR243"/>
      <c r="QZS243"/>
      <c r="QZT243"/>
      <c r="QZU243"/>
      <c r="QZV243"/>
      <c r="QZW243"/>
      <c r="QZX243"/>
      <c r="QZY243"/>
      <c r="QZZ243"/>
      <c r="RAA243"/>
      <c r="RAB243"/>
      <c r="RAC243"/>
      <c r="RAD243"/>
      <c r="RAE243"/>
      <c r="RAF243"/>
      <c r="RAG243"/>
      <c r="RAH243"/>
      <c r="RAI243"/>
      <c r="RAJ243"/>
      <c r="RAK243"/>
      <c r="RAL243"/>
      <c r="RAM243"/>
      <c r="RAN243"/>
      <c r="RAO243"/>
      <c r="RAP243"/>
      <c r="RAQ243"/>
      <c r="RAR243"/>
      <c r="RAS243"/>
      <c r="RAT243"/>
      <c r="RAU243"/>
      <c r="RAV243"/>
      <c r="RAW243"/>
      <c r="RAX243"/>
      <c r="RAY243"/>
      <c r="RAZ243"/>
      <c r="RBA243"/>
      <c r="RBB243"/>
      <c r="RBC243"/>
      <c r="RBD243"/>
      <c r="RBE243"/>
      <c r="RBF243"/>
      <c r="RBG243"/>
      <c r="RBH243"/>
      <c r="RBI243"/>
      <c r="RBJ243"/>
      <c r="RBK243"/>
      <c r="RBL243"/>
      <c r="RBM243"/>
      <c r="RBN243"/>
      <c r="RBO243"/>
      <c r="RBP243"/>
      <c r="RBQ243"/>
      <c r="RBR243"/>
      <c r="RBS243"/>
      <c r="RBT243"/>
      <c r="RBU243"/>
      <c r="RBV243"/>
      <c r="RBW243"/>
      <c r="RBX243"/>
      <c r="RBY243"/>
      <c r="RBZ243"/>
      <c r="RCA243"/>
      <c r="RCB243"/>
      <c r="RCC243"/>
      <c r="RCD243"/>
      <c r="RCE243"/>
      <c r="RCF243"/>
      <c r="RCG243"/>
      <c r="RCH243"/>
      <c r="RCI243"/>
      <c r="RCJ243"/>
      <c r="RCK243"/>
      <c r="RCL243"/>
      <c r="RCM243"/>
      <c r="RCN243"/>
      <c r="RCO243"/>
      <c r="RCP243"/>
      <c r="RCQ243"/>
      <c r="RCR243"/>
      <c r="RCS243"/>
      <c r="RCT243"/>
      <c r="RCU243"/>
      <c r="RCV243"/>
      <c r="RCW243"/>
      <c r="RCX243"/>
      <c r="RCY243"/>
      <c r="RCZ243"/>
      <c r="RDA243"/>
      <c r="RDB243"/>
      <c r="RDC243"/>
      <c r="RDD243"/>
      <c r="RDE243"/>
      <c r="RDF243"/>
      <c r="RDG243"/>
      <c r="RDH243"/>
      <c r="RDI243"/>
      <c r="RDJ243"/>
      <c r="RDK243"/>
      <c r="RDL243"/>
      <c r="RDM243"/>
      <c r="RDN243"/>
      <c r="RDO243"/>
      <c r="RDP243"/>
      <c r="RDQ243"/>
      <c r="RDR243"/>
      <c r="RDS243"/>
      <c r="RDT243"/>
      <c r="RDU243"/>
      <c r="RDV243"/>
      <c r="RDW243"/>
      <c r="RDX243"/>
      <c r="RDY243"/>
      <c r="RDZ243"/>
      <c r="REA243"/>
      <c r="REB243"/>
      <c r="REC243"/>
      <c r="RED243"/>
      <c r="REE243"/>
      <c r="REF243"/>
      <c r="REG243"/>
      <c r="REH243"/>
      <c r="REI243"/>
      <c r="REJ243"/>
      <c r="REK243"/>
      <c r="REL243"/>
      <c r="REM243"/>
      <c r="REN243"/>
      <c r="REO243"/>
      <c r="REP243"/>
      <c r="REQ243"/>
      <c r="RER243"/>
      <c r="RES243"/>
      <c r="RET243"/>
      <c r="REU243"/>
      <c r="REV243"/>
      <c r="REW243"/>
      <c r="REX243"/>
      <c r="REY243"/>
      <c r="REZ243"/>
      <c r="RFA243"/>
      <c r="RFB243"/>
      <c r="RFC243"/>
      <c r="RFD243"/>
      <c r="RFE243"/>
      <c r="RFF243"/>
      <c r="RFG243"/>
      <c r="RFH243"/>
      <c r="RFI243"/>
      <c r="RFJ243"/>
      <c r="RFK243"/>
      <c r="RFL243"/>
      <c r="RFM243"/>
      <c r="RFN243"/>
      <c r="RFO243"/>
      <c r="RFP243"/>
      <c r="RFQ243"/>
      <c r="RFR243"/>
      <c r="RFS243"/>
      <c r="RFT243"/>
      <c r="RFU243"/>
      <c r="RFV243"/>
      <c r="RFW243"/>
      <c r="RFX243"/>
      <c r="RFY243"/>
      <c r="RFZ243"/>
      <c r="RGA243"/>
      <c r="RGB243"/>
      <c r="RGC243"/>
      <c r="RGD243"/>
      <c r="RGE243"/>
      <c r="RGF243"/>
      <c r="RGG243"/>
      <c r="RGH243"/>
      <c r="RGI243"/>
      <c r="RGJ243"/>
      <c r="RGK243"/>
      <c r="RGL243"/>
      <c r="RGM243"/>
      <c r="RGN243"/>
      <c r="RGO243"/>
      <c r="RGP243"/>
      <c r="RGQ243"/>
      <c r="RGR243"/>
      <c r="RGS243"/>
      <c r="RGT243"/>
      <c r="RGU243"/>
      <c r="RGV243"/>
      <c r="RGW243"/>
      <c r="RGX243"/>
      <c r="RGY243"/>
      <c r="RGZ243"/>
      <c r="RHA243"/>
      <c r="RHB243"/>
      <c r="RHC243"/>
      <c r="RHD243"/>
      <c r="RHE243"/>
      <c r="RHF243"/>
      <c r="RHG243"/>
      <c r="RHH243"/>
      <c r="RHI243"/>
      <c r="RHJ243"/>
      <c r="RHK243"/>
      <c r="RHL243"/>
      <c r="RHM243"/>
      <c r="RHN243"/>
      <c r="RHO243"/>
      <c r="RHP243"/>
      <c r="RHQ243"/>
      <c r="RHR243"/>
      <c r="RHS243"/>
      <c r="RHT243"/>
      <c r="RHU243"/>
      <c r="RHV243"/>
      <c r="RHW243"/>
      <c r="RHX243"/>
      <c r="RHY243"/>
      <c r="RHZ243"/>
      <c r="RIA243"/>
      <c r="RIB243"/>
      <c r="RIC243"/>
      <c r="RID243"/>
      <c r="RIE243"/>
      <c r="RIF243"/>
      <c r="RIG243"/>
      <c r="RIH243"/>
      <c r="RII243"/>
      <c r="RIJ243"/>
      <c r="RIK243"/>
      <c r="RIL243"/>
      <c r="RIM243"/>
      <c r="RIN243"/>
      <c r="RIO243"/>
      <c r="RIP243"/>
      <c r="RIQ243"/>
      <c r="RIR243"/>
      <c r="RIS243"/>
      <c r="RIT243"/>
      <c r="RIU243"/>
      <c r="RIV243"/>
      <c r="RIW243"/>
      <c r="RIX243"/>
      <c r="RIY243"/>
      <c r="RIZ243"/>
      <c r="RJA243"/>
      <c r="RJB243"/>
      <c r="RJC243"/>
      <c r="RJD243"/>
      <c r="RJE243"/>
      <c r="RJF243"/>
      <c r="RJG243"/>
      <c r="RJH243"/>
      <c r="RJI243"/>
      <c r="RJJ243"/>
      <c r="RJK243"/>
      <c r="RJL243"/>
      <c r="RJM243"/>
      <c r="RJN243"/>
      <c r="RJO243"/>
      <c r="RJP243"/>
      <c r="RJQ243"/>
      <c r="RJR243"/>
      <c r="RJS243"/>
      <c r="RJT243"/>
      <c r="RJU243"/>
      <c r="RJV243"/>
      <c r="RJW243"/>
      <c r="RJX243"/>
      <c r="RJY243"/>
      <c r="RJZ243"/>
      <c r="RKA243"/>
      <c r="RKB243"/>
      <c r="RKC243"/>
      <c r="RKD243"/>
      <c r="RKE243"/>
      <c r="RKF243"/>
      <c r="RKG243"/>
      <c r="RKH243"/>
      <c r="RKI243"/>
      <c r="RKJ243"/>
      <c r="RKK243"/>
      <c r="RKL243"/>
      <c r="RKM243"/>
      <c r="RKN243"/>
      <c r="RKO243"/>
      <c r="RKP243"/>
      <c r="RKQ243"/>
      <c r="RKR243"/>
      <c r="RKS243"/>
      <c r="RKT243"/>
      <c r="RKU243"/>
      <c r="RKV243"/>
      <c r="RKW243"/>
      <c r="RKX243"/>
      <c r="RKY243"/>
      <c r="RKZ243"/>
      <c r="RLA243"/>
      <c r="RLB243"/>
      <c r="RLC243"/>
      <c r="RLD243"/>
      <c r="RLE243"/>
      <c r="RLF243"/>
      <c r="RLG243"/>
      <c r="RLH243"/>
      <c r="RLI243"/>
      <c r="RLJ243"/>
      <c r="RLK243"/>
      <c r="RLL243"/>
      <c r="RLM243"/>
      <c r="RLN243"/>
      <c r="RLO243"/>
      <c r="RLP243"/>
      <c r="RLQ243"/>
      <c r="RLR243"/>
      <c r="RLS243"/>
      <c r="RLT243"/>
      <c r="RLU243"/>
      <c r="RLV243"/>
      <c r="RLW243"/>
      <c r="RLX243"/>
      <c r="RLY243"/>
      <c r="RLZ243"/>
      <c r="RMA243"/>
      <c r="RMB243"/>
      <c r="RMC243"/>
      <c r="RMD243"/>
      <c r="RME243"/>
      <c r="RMF243"/>
      <c r="RMG243"/>
      <c r="RMH243"/>
      <c r="RMI243"/>
      <c r="RMJ243"/>
      <c r="RMK243"/>
      <c r="RML243"/>
      <c r="RMM243"/>
      <c r="RMN243"/>
      <c r="RMO243"/>
      <c r="RMP243"/>
      <c r="RMQ243"/>
      <c r="RMR243"/>
      <c r="RMS243"/>
      <c r="RMT243"/>
      <c r="RMU243"/>
      <c r="RMV243"/>
      <c r="RMW243"/>
      <c r="RMX243"/>
      <c r="RMY243"/>
      <c r="RMZ243"/>
      <c r="RNA243"/>
      <c r="RNB243"/>
      <c r="RNC243"/>
      <c r="RND243"/>
      <c r="RNE243"/>
      <c r="RNF243"/>
      <c r="RNG243"/>
      <c r="RNH243"/>
      <c r="RNI243"/>
      <c r="RNJ243"/>
      <c r="RNK243"/>
      <c r="RNL243"/>
      <c r="RNM243"/>
      <c r="RNN243"/>
      <c r="RNO243"/>
      <c r="RNP243"/>
      <c r="RNQ243"/>
      <c r="RNR243"/>
      <c r="RNS243"/>
      <c r="RNT243"/>
      <c r="RNU243"/>
      <c r="RNV243"/>
      <c r="RNW243"/>
      <c r="RNX243"/>
      <c r="RNY243"/>
      <c r="RNZ243"/>
      <c r="ROA243"/>
      <c r="ROB243"/>
      <c r="ROC243"/>
      <c r="ROD243"/>
      <c r="ROE243"/>
      <c r="ROF243"/>
      <c r="ROG243"/>
      <c r="ROH243"/>
      <c r="ROI243"/>
      <c r="ROJ243"/>
      <c r="ROK243"/>
      <c r="ROL243"/>
      <c r="ROM243"/>
      <c r="RON243"/>
      <c r="ROO243"/>
      <c r="ROP243"/>
      <c r="ROQ243"/>
      <c r="ROR243"/>
      <c r="ROS243"/>
      <c r="ROT243"/>
      <c r="ROU243"/>
      <c r="ROV243"/>
      <c r="ROW243"/>
      <c r="ROX243"/>
      <c r="ROY243"/>
      <c r="ROZ243"/>
      <c r="RPA243"/>
      <c r="RPB243"/>
      <c r="RPC243"/>
      <c r="RPD243"/>
      <c r="RPE243"/>
      <c r="RPF243"/>
      <c r="RPG243"/>
      <c r="RPH243"/>
      <c r="RPI243"/>
      <c r="RPJ243"/>
      <c r="RPK243"/>
      <c r="RPL243"/>
      <c r="RPM243"/>
      <c r="RPN243"/>
      <c r="RPO243"/>
      <c r="RPP243"/>
      <c r="RPQ243"/>
      <c r="RPR243"/>
      <c r="RPS243"/>
      <c r="RPT243"/>
      <c r="RPU243"/>
      <c r="RPV243"/>
      <c r="RPW243"/>
      <c r="RPX243"/>
      <c r="RPY243"/>
      <c r="RPZ243"/>
      <c r="RQA243"/>
      <c r="RQB243"/>
      <c r="RQC243"/>
      <c r="RQD243"/>
      <c r="RQE243"/>
      <c r="RQF243"/>
      <c r="RQG243"/>
      <c r="RQH243"/>
      <c r="RQI243"/>
      <c r="RQJ243"/>
      <c r="RQK243"/>
      <c r="RQL243"/>
      <c r="RQM243"/>
      <c r="RQN243"/>
      <c r="RQO243"/>
      <c r="RQP243"/>
      <c r="RQQ243"/>
      <c r="RQR243"/>
      <c r="RQS243"/>
      <c r="RQT243"/>
      <c r="RQU243"/>
      <c r="RQV243"/>
      <c r="RQW243"/>
      <c r="RQX243"/>
      <c r="RQY243"/>
      <c r="RQZ243"/>
      <c r="RRA243"/>
      <c r="RRB243"/>
      <c r="RRC243"/>
      <c r="RRD243"/>
      <c r="RRE243"/>
      <c r="RRF243"/>
      <c r="RRG243"/>
      <c r="RRH243"/>
      <c r="RRI243"/>
      <c r="RRJ243"/>
      <c r="RRK243"/>
      <c r="RRL243"/>
      <c r="RRM243"/>
      <c r="RRN243"/>
      <c r="RRO243"/>
      <c r="RRP243"/>
      <c r="RRQ243"/>
      <c r="RRR243"/>
      <c r="RRS243"/>
      <c r="RRT243"/>
      <c r="RRU243"/>
      <c r="RRV243"/>
      <c r="RRW243"/>
      <c r="RRX243"/>
      <c r="RRY243"/>
      <c r="RRZ243"/>
      <c r="RSA243"/>
      <c r="RSB243"/>
      <c r="RSC243"/>
      <c r="RSD243"/>
      <c r="RSE243"/>
      <c r="RSF243"/>
      <c r="RSG243"/>
      <c r="RSH243"/>
      <c r="RSI243"/>
      <c r="RSJ243"/>
      <c r="RSK243"/>
      <c r="RSL243"/>
      <c r="RSM243"/>
      <c r="RSN243"/>
      <c r="RSO243"/>
      <c r="RSP243"/>
      <c r="RSQ243"/>
      <c r="RSR243"/>
      <c r="RSS243"/>
      <c r="RST243"/>
      <c r="RSU243"/>
      <c r="RSV243"/>
      <c r="RSW243"/>
      <c r="RSX243"/>
      <c r="RSY243"/>
      <c r="RSZ243"/>
      <c r="RTA243"/>
      <c r="RTB243"/>
      <c r="RTC243"/>
      <c r="RTD243"/>
      <c r="RTE243"/>
      <c r="RTF243"/>
      <c r="RTG243"/>
      <c r="RTH243"/>
      <c r="RTI243"/>
      <c r="RTJ243"/>
      <c r="RTK243"/>
      <c r="RTL243"/>
      <c r="RTM243"/>
      <c r="RTN243"/>
      <c r="RTO243"/>
      <c r="RTP243"/>
      <c r="RTQ243"/>
      <c r="RTR243"/>
      <c r="RTS243"/>
      <c r="RTT243"/>
      <c r="RTU243"/>
      <c r="RTV243"/>
      <c r="RTW243"/>
      <c r="RTX243"/>
      <c r="RTY243"/>
      <c r="RTZ243"/>
      <c r="RUA243"/>
      <c r="RUB243"/>
      <c r="RUC243"/>
      <c r="RUD243"/>
      <c r="RUE243"/>
      <c r="RUF243"/>
      <c r="RUG243"/>
      <c r="RUH243"/>
      <c r="RUI243"/>
      <c r="RUJ243"/>
      <c r="RUK243"/>
      <c r="RUL243"/>
      <c r="RUM243"/>
      <c r="RUN243"/>
      <c r="RUO243"/>
      <c r="RUP243"/>
      <c r="RUQ243"/>
      <c r="RUR243"/>
      <c r="RUS243"/>
      <c r="RUT243"/>
      <c r="RUU243"/>
      <c r="RUV243"/>
      <c r="RUW243"/>
      <c r="RUX243"/>
      <c r="RUY243"/>
      <c r="RUZ243"/>
      <c r="RVA243"/>
      <c r="RVB243"/>
      <c r="RVC243"/>
      <c r="RVD243"/>
      <c r="RVE243"/>
      <c r="RVF243"/>
      <c r="RVG243"/>
      <c r="RVH243"/>
      <c r="RVI243"/>
      <c r="RVJ243"/>
      <c r="RVK243"/>
      <c r="RVL243"/>
      <c r="RVM243"/>
      <c r="RVN243"/>
      <c r="RVO243"/>
      <c r="RVP243"/>
      <c r="RVQ243"/>
      <c r="RVR243"/>
      <c r="RVS243"/>
      <c r="RVT243"/>
      <c r="RVU243"/>
      <c r="RVV243"/>
      <c r="RVW243"/>
      <c r="RVX243"/>
      <c r="RVY243"/>
      <c r="RVZ243"/>
      <c r="RWA243"/>
      <c r="RWB243"/>
      <c r="RWC243"/>
      <c r="RWD243"/>
      <c r="RWE243"/>
      <c r="RWF243"/>
      <c r="RWG243"/>
      <c r="RWH243"/>
      <c r="RWI243"/>
      <c r="RWJ243"/>
      <c r="RWK243"/>
      <c r="RWL243"/>
      <c r="RWM243"/>
      <c r="RWN243"/>
      <c r="RWO243"/>
      <c r="RWP243"/>
      <c r="RWQ243"/>
      <c r="RWR243"/>
      <c r="RWS243"/>
      <c r="RWT243"/>
      <c r="RWU243"/>
      <c r="RWV243"/>
      <c r="RWW243"/>
      <c r="RWX243"/>
      <c r="RWY243"/>
      <c r="RWZ243"/>
      <c r="RXA243"/>
      <c r="RXB243"/>
      <c r="RXC243"/>
      <c r="RXD243"/>
      <c r="RXE243"/>
      <c r="RXF243"/>
      <c r="RXG243"/>
      <c r="RXH243"/>
      <c r="RXI243"/>
      <c r="RXJ243"/>
      <c r="RXK243"/>
      <c r="RXL243"/>
      <c r="RXM243"/>
      <c r="RXN243"/>
      <c r="RXO243"/>
      <c r="RXP243"/>
      <c r="RXQ243"/>
      <c r="RXR243"/>
      <c r="RXS243"/>
      <c r="RXT243"/>
      <c r="RXU243"/>
      <c r="RXV243"/>
      <c r="RXW243"/>
      <c r="RXX243"/>
      <c r="RXY243"/>
      <c r="RXZ243"/>
      <c r="RYA243"/>
      <c r="RYB243"/>
      <c r="RYC243"/>
      <c r="RYD243"/>
      <c r="RYE243"/>
      <c r="RYF243"/>
      <c r="RYG243"/>
      <c r="RYH243"/>
      <c r="RYI243"/>
      <c r="RYJ243"/>
      <c r="RYK243"/>
      <c r="RYL243"/>
      <c r="RYM243"/>
      <c r="RYN243"/>
      <c r="RYO243"/>
      <c r="RYP243"/>
      <c r="RYQ243"/>
      <c r="RYR243"/>
      <c r="RYS243"/>
      <c r="RYT243"/>
      <c r="RYU243"/>
      <c r="RYV243"/>
      <c r="RYW243"/>
      <c r="RYX243"/>
      <c r="RYY243"/>
      <c r="RYZ243"/>
      <c r="RZA243"/>
      <c r="RZB243"/>
      <c r="RZC243"/>
      <c r="RZD243"/>
      <c r="RZE243"/>
      <c r="RZF243"/>
      <c r="RZG243"/>
      <c r="RZH243"/>
      <c r="RZI243"/>
      <c r="RZJ243"/>
      <c r="RZK243"/>
      <c r="RZL243"/>
      <c r="RZM243"/>
      <c r="RZN243"/>
      <c r="RZO243"/>
      <c r="RZP243"/>
      <c r="RZQ243"/>
      <c r="RZR243"/>
      <c r="RZS243"/>
      <c r="RZT243"/>
      <c r="RZU243"/>
      <c r="RZV243"/>
      <c r="RZW243"/>
      <c r="RZX243"/>
      <c r="RZY243"/>
      <c r="RZZ243"/>
      <c r="SAA243"/>
      <c r="SAB243"/>
      <c r="SAC243"/>
      <c r="SAD243"/>
      <c r="SAE243"/>
      <c r="SAF243"/>
      <c r="SAG243"/>
      <c r="SAH243"/>
      <c r="SAI243"/>
      <c r="SAJ243"/>
      <c r="SAK243"/>
      <c r="SAL243"/>
      <c r="SAM243"/>
      <c r="SAN243"/>
      <c r="SAO243"/>
      <c r="SAP243"/>
      <c r="SAQ243"/>
      <c r="SAR243"/>
      <c r="SAS243"/>
      <c r="SAT243"/>
      <c r="SAU243"/>
      <c r="SAV243"/>
      <c r="SAW243"/>
      <c r="SAX243"/>
      <c r="SAY243"/>
      <c r="SAZ243"/>
      <c r="SBA243"/>
      <c r="SBB243"/>
      <c r="SBC243"/>
      <c r="SBD243"/>
      <c r="SBE243"/>
      <c r="SBF243"/>
      <c r="SBG243"/>
      <c r="SBH243"/>
      <c r="SBI243"/>
      <c r="SBJ243"/>
      <c r="SBK243"/>
      <c r="SBL243"/>
      <c r="SBM243"/>
      <c r="SBN243"/>
      <c r="SBO243"/>
      <c r="SBP243"/>
      <c r="SBQ243"/>
      <c r="SBR243"/>
      <c r="SBS243"/>
      <c r="SBT243"/>
      <c r="SBU243"/>
      <c r="SBV243"/>
      <c r="SBW243"/>
      <c r="SBX243"/>
      <c r="SBY243"/>
      <c r="SBZ243"/>
      <c r="SCA243"/>
      <c r="SCB243"/>
      <c r="SCC243"/>
      <c r="SCD243"/>
      <c r="SCE243"/>
      <c r="SCF243"/>
      <c r="SCG243"/>
      <c r="SCH243"/>
      <c r="SCI243"/>
      <c r="SCJ243"/>
      <c r="SCK243"/>
      <c r="SCL243"/>
      <c r="SCM243"/>
      <c r="SCN243"/>
      <c r="SCO243"/>
      <c r="SCP243"/>
      <c r="SCQ243"/>
      <c r="SCR243"/>
      <c r="SCS243"/>
      <c r="SCT243"/>
      <c r="SCU243"/>
      <c r="SCV243"/>
      <c r="SCW243"/>
      <c r="SCX243"/>
      <c r="SCY243"/>
      <c r="SCZ243"/>
      <c r="SDA243"/>
      <c r="SDB243"/>
      <c r="SDC243"/>
      <c r="SDD243"/>
      <c r="SDE243"/>
      <c r="SDF243"/>
      <c r="SDG243"/>
      <c r="SDH243"/>
      <c r="SDI243"/>
      <c r="SDJ243"/>
      <c r="SDK243"/>
      <c r="SDL243"/>
      <c r="SDM243"/>
      <c r="SDN243"/>
      <c r="SDO243"/>
      <c r="SDP243"/>
      <c r="SDQ243"/>
      <c r="SDR243"/>
      <c r="SDS243"/>
      <c r="SDT243"/>
      <c r="SDU243"/>
      <c r="SDV243"/>
      <c r="SDW243"/>
      <c r="SDX243"/>
      <c r="SDY243"/>
      <c r="SDZ243"/>
      <c r="SEA243"/>
      <c r="SEB243"/>
      <c r="SEC243"/>
      <c r="SED243"/>
      <c r="SEE243"/>
      <c r="SEF243"/>
      <c r="SEG243"/>
      <c r="SEH243"/>
      <c r="SEI243"/>
      <c r="SEJ243"/>
      <c r="SEK243"/>
      <c r="SEL243"/>
      <c r="SEM243"/>
      <c r="SEN243"/>
      <c r="SEO243"/>
      <c r="SEP243"/>
      <c r="SEQ243"/>
      <c r="SER243"/>
      <c r="SES243"/>
      <c r="SET243"/>
      <c r="SEU243"/>
      <c r="SEV243"/>
      <c r="SEW243"/>
      <c r="SEX243"/>
      <c r="SEY243"/>
      <c r="SEZ243"/>
      <c r="SFA243"/>
      <c r="SFB243"/>
      <c r="SFC243"/>
      <c r="SFD243"/>
      <c r="SFE243"/>
      <c r="SFF243"/>
      <c r="SFG243"/>
      <c r="SFH243"/>
      <c r="SFI243"/>
      <c r="SFJ243"/>
      <c r="SFK243"/>
      <c r="SFL243"/>
      <c r="SFM243"/>
      <c r="SFN243"/>
      <c r="SFO243"/>
      <c r="SFP243"/>
      <c r="SFQ243"/>
      <c r="SFR243"/>
      <c r="SFS243"/>
      <c r="SFT243"/>
      <c r="SFU243"/>
      <c r="SFV243"/>
      <c r="SFW243"/>
      <c r="SFX243"/>
      <c r="SFY243"/>
      <c r="SFZ243"/>
      <c r="SGA243"/>
      <c r="SGB243"/>
      <c r="SGC243"/>
      <c r="SGD243"/>
      <c r="SGE243"/>
      <c r="SGF243"/>
      <c r="SGG243"/>
      <c r="SGH243"/>
      <c r="SGI243"/>
      <c r="SGJ243"/>
      <c r="SGK243"/>
      <c r="SGL243"/>
      <c r="SGM243"/>
      <c r="SGN243"/>
      <c r="SGO243"/>
      <c r="SGP243"/>
      <c r="SGQ243"/>
      <c r="SGR243"/>
      <c r="SGS243"/>
      <c r="SGT243"/>
      <c r="SGU243"/>
      <c r="SGV243"/>
      <c r="SGW243"/>
      <c r="SGX243"/>
      <c r="SGY243"/>
      <c r="SGZ243"/>
      <c r="SHA243"/>
      <c r="SHB243"/>
      <c r="SHC243"/>
      <c r="SHD243"/>
      <c r="SHE243"/>
      <c r="SHF243"/>
      <c r="SHG243"/>
      <c r="SHH243"/>
      <c r="SHI243"/>
      <c r="SHJ243"/>
      <c r="SHK243"/>
      <c r="SHL243"/>
      <c r="SHM243"/>
      <c r="SHN243"/>
      <c r="SHO243"/>
      <c r="SHP243"/>
      <c r="SHQ243"/>
      <c r="SHR243"/>
      <c r="SHS243"/>
      <c r="SHT243"/>
      <c r="SHU243"/>
      <c r="SHV243"/>
      <c r="SHW243"/>
      <c r="SHX243"/>
      <c r="SHY243"/>
      <c r="SHZ243"/>
      <c r="SIA243"/>
      <c r="SIB243"/>
      <c r="SIC243"/>
      <c r="SID243"/>
      <c r="SIE243"/>
      <c r="SIF243"/>
      <c r="SIG243"/>
      <c r="SIH243"/>
      <c r="SII243"/>
      <c r="SIJ243"/>
      <c r="SIK243"/>
      <c r="SIL243"/>
      <c r="SIM243"/>
      <c r="SIN243"/>
      <c r="SIO243"/>
      <c r="SIP243"/>
      <c r="SIQ243"/>
      <c r="SIR243"/>
      <c r="SIS243"/>
      <c r="SIT243"/>
      <c r="SIU243"/>
      <c r="SIV243"/>
      <c r="SIW243"/>
      <c r="SIX243"/>
      <c r="SIY243"/>
      <c r="SIZ243"/>
      <c r="SJA243"/>
      <c r="SJB243"/>
      <c r="SJC243"/>
      <c r="SJD243"/>
      <c r="SJE243"/>
      <c r="SJF243"/>
      <c r="SJG243"/>
      <c r="SJH243"/>
      <c r="SJI243"/>
      <c r="SJJ243"/>
      <c r="SJK243"/>
      <c r="SJL243"/>
      <c r="SJM243"/>
      <c r="SJN243"/>
      <c r="SJO243"/>
      <c r="SJP243"/>
      <c r="SJQ243"/>
      <c r="SJR243"/>
      <c r="SJS243"/>
      <c r="SJT243"/>
      <c r="SJU243"/>
      <c r="SJV243"/>
      <c r="SJW243"/>
      <c r="SJX243"/>
      <c r="SJY243"/>
      <c r="SJZ243"/>
      <c r="SKA243"/>
      <c r="SKB243"/>
      <c r="SKC243"/>
      <c r="SKD243"/>
      <c r="SKE243"/>
      <c r="SKF243"/>
      <c r="SKG243"/>
      <c r="SKH243"/>
      <c r="SKI243"/>
      <c r="SKJ243"/>
      <c r="SKK243"/>
      <c r="SKL243"/>
      <c r="SKM243"/>
      <c r="SKN243"/>
      <c r="SKO243"/>
      <c r="SKP243"/>
      <c r="SKQ243"/>
      <c r="SKR243"/>
      <c r="SKS243"/>
      <c r="SKT243"/>
      <c r="SKU243"/>
      <c r="SKV243"/>
      <c r="SKW243"/>
      <c r="SKX243"/>
      <c r="SKY243"/>
      <c r="SKZ243"/>
      <c r="SLA243"/>
      <c r="SLB243"/>
      <c r="SLC243"/>
      <c r="SLD243"/>
      <c r="SLE243"/>
      <c r="SLF243"/>
      <c r="SLG243"/>
      <c r="SLH243"/>
      <c r="SLI243"/>
      <c r="SLJ243"/>
      <c r="SLK243"/>
      <c r="SLL243"/>
      <c r="SLM243"/>
      <c r="SLN243"/>
      <c r="SLO243"/>
      <c r="SLP243"/>
      <c r="SLQ243"/>
      <c r="SLR243"/>
      <c r="SLS243"/>
      <c r="SLT243"/>
      <c r="SLU243"/>
      <c r="SLV243"/>
      <c r="SLW243"/>
      <c r="SLX243"/>
      <c r="SLY243"/>
      <c r="SLZ243"/>
      <c r="SMA243"/>
      <c r="SMB243"/>
      <c r="SMC243"/>
      <c r="SMD243"/>
      <c r="SME243"/>
      <c r="SMF243"/>
      <c r="SMG243"/>
      <c r="SMH243"/>
      <c r="SMI243"/>
      <c r="SMJ243"/>
      <c r="SMK243"/>
      <c r="SML243"/>
      <c r="SMM243"/>
      <c r="SMN243"/>
      <c r="SMO243"/>
      <c r="SMP243"/>
      <c r="SMQ243"/>
      <c r="SMR243"/>
      <c r="SMS243"/>
      <c r="SMT243"/>
      <c r="SMU243"/>
      <c r="SMV243"/>
      <c r="SMW243"/>
      <c r="SMX243"/>
      <c r="SMY243"/>
      <c r="SMZ243"/>
      <c r="SNA243"/>
      <c r="SNB243"/>
      <c r="SNC243"/>
      <c r="SND243"/>
      <c r="SNE243"/>
      <c r="SNF243"/>
      <c r="SNG243"/>
      <c r="SNH243"/>
      <c r="SNI243"/>
      <c r="SNJ243"/>
      <c r="SNK243"/>
      <c r="SNL243"/>
      <c r="SNM243"/>
      <c r="SNN243"/>
      <c r="SNO243"/>
      <c r="SNP243"/>
      <c r="SNQ243"/>
      <c r="SNR243"/>
      <c r="SNS243"/>
      <c r="SNT243"/>
      <c r="SNU243"/>
      <c r="SNV243"/>
      <c r="SNW243"/>
      <c r="SNX243"/>
      <c r="SNY243"/>
      <c r="SNZ243"/>
      <c r="SOA243"/>
      <c r="SOB243"/>
      <c r="SOC243"/>
      <c r="SOD243"/>
      <c r="SOE243"/>
      <c r="SOF243"/>
      <c r="SOG243"/>
      <c r="SOH243"/>
      <c r="SOI243"/>
      <c r="SOJ243"/>
      <c r="SOK243"/>
      <c r="SOL243"/>
      <c r="SOM243"/>
      <c r="SON243"/>
      <c r="SOO243"/>
      <c r="SOP243"/>
      <c r="SOQ243"/>
      <c r="SOR243"/>
      <c r="SOS243"/>
      <c r="SOT243"/>
      <c r="SOU243"/>
      <c r="SOV243"/>
      <c r="SOW243"/>
      <c r="SOX243"/>
      <c r="SOY243"/>
      <c r="SOZ243"/>
      <c r="SPA243"/>
      <c r="SPB243"/>
      <c r="SPC243"/>
      <c r="SPD243"/>
      <c r="SPE243"/>
      <c r="SPF243"/>
      <c r="SPG243"/>
      <c r="SPH243"/>
      <c r="SPI243"/>
      <c r="SPJ243"/>
      <c r="SPK243"/>
      <c r="SPL243"/>
      <c r="SPM243"/>
      <c r="SPN243"/>
      <c r="SPO243"/>
      <c r="SPP243"/>
      <c r="SPQ243"/>
      <c r="SPR243"/>
      <c r="SPS243"/>
      <c r="SPT243"/>
      <c r="SPU243"/>
      <c r="SPV243"/>
      <c r="SPW243"/>
      <c r="SPX243"/>
      <c r="SPY243"/>
      <c r="SPZ243"/>
      <c r="SQA243"/>
      <c r="SQB243"/>
      <c r="SQC243"/>
      <c r="SQD243"/>
      <c r="SQE243"/>
      <c r="SQF243"/>
      <c r="SQG243"/>
      <c r="SQH243"/>
      <c r="SQI243"/>
      <c r="SQJ243"/>
      <c r="SQK243"/>
      <c r="SQL243"/>
      <c r="SQM243"/>
      <c r="SQN243"/>
      <c r="SQO243"/>
      <c r="SQP243"/>
      <c r="SQQ243"/>
      <c r="SQR243"/>
      <c r="SQS243"/>
      <c r="SQT243"/>
      <c r="SQU243"/>
      <c r="SQV243"/>
      <c r="SQW243"/>
      <c r="SQX243"/>
      <c r="SQY243"/>
      <c r="SQZ243"/>
      <c r="SRA243"/>
      <c r="SRB243"/>
      <c r="SRC243"/>
      <c r="SRD243"/>
      <c r="SRE243"/>
      <c r="SRF243"/>
      <c r="SRG243"/>
      <c r="SRH243"/>
      <c r="SRI243"/>
      <c r="SRJ243"/>
      <c r="SRK243"/>
      <c r="SRL243"/>
      <c r="SRM243"/>
      <c r="SRN243"/>
      <c r="SRO243"/>
      <c r="SRP243"/>
      <c r="SRQ243"/>
      <c r="SRR243"/>
      <c r="SRS243"/>
      <c r="SRT243"/>
      <c r="SRU243"/>
      <c r="SRV243"/>
      <c r="SRW243"/>
      <c r="SRX243"/>
      <c r="SRY243"/>
      <c r="SRZ243"/>
      <c r="SSA243"/>
      <c r="SSB243"/>
      <c r="SSC243"/>
      <c r="SSD243"/>
      <c r="SSE243"/>
      <c r="SSF243"/>
      <c r="SSG243"/>
      <c r="SSH243"/>
      <c r="SSI243"/>
      <c r="SSJ243"/>
      <c r="SSK243"/>
      <c r="SSL243"/>
      <c r="SSM243"/>
      <c r="SSN243"/>
      <c r="SSO243"/>
      <c r="SSP243"/>
      <c r="SSQ243"/>
      <c r="SSR243"/>
      <c r="SSS243"/>
      <c r="SST243"/>
      <c r="SSU243"/>
      <c r="SSV243"/>
      <c r="SSW243"/>
      <c r="SSX243"/>
      <c r="SSY243"/>
      <c r="SSZ243"/>
      <c r="STA243"/>
      <c r="STB243"/>
      <c r="STC243"/>
      <c r="STD243"/>
      <c r="STE243"/>
      <c r="STF243"/>
      <c r="STG243"/>
      <c r="STH243"/>
      <c r="STI243"/>
      <c r="STJ243"/>
      <c r="STK243"/>
      <c r="STL243"/>
      <c r="STM243"/>
      <c r="STN243"/>
      <c r="STO243"/>
      <c r="STP243"/>
      <c r="STQ243"/>
      <c r="STR243"/>
      <c r="STS243"/>
      <c r="STT243"/>
      <c r="STU243"/>
      <c r="STV243"/>
      <c r="STW243"/>
      <c r="STX243"/>
      <c r="STY243"/>
      <c r="STZ243"/>
      <c r="SUA243"/>
      <c r="SUB243"/>
      <c r="SUC243"/>
      <c r="SUD243"/>
      <c r="SUE243"/>
      <c r="SUF243"/>
      <c r="SUG243"/>
      <c r="SUH243"/>
      <c r="SUI243"/>
      <c r="SUJ243"/>
      <c r="SUK243"/>
      <c r="SUL243"/>
      <c r="SUM243"/>
      <c r="SUN243"/>
      <c r="SUO243"/>
      <c r="SUP243"/>
      <c r="SUQ243"/>
      <c r="SUR243"/>
      <c r="SUS243"/>
      <c r="SUT243"/>
      <c r="SUU243"/>
      <c r="SUV243"/>
      <c r="SUW243"/>
      <c r="SUX243"/>
      <c r="SUY243"/>
      <c r="SUZ243"/>
      <c r="SVA243"/>
      <c r="SVB243"/>
      <c r="SVC243"/>
      <c r="SVD243"/>
      <c r="SVE243"/>
      <c r="SVF243"/>
      <c r="SVG243"/>
      <c r="SVH243"/>
      <c r="SVI243"/>
      <c r="SVJ243"/>
      <c r="SVK243"/>
      <c r="SVL243"/>
      <c r="SVM243"/>
      <c r="SVN243"/>
      <c r="SVO243"/>
      <c r="SVP243"/>
      <c r="SVQ243"/>
      <c r="SVR243"/>
      <c r="SVS243"/>
      <c r="SVT243"/>
      <c r="SVU243"/>
      <c r="SVV243"/>
      <c r="SVW243"/>
      <c r="SVX243"/>
      <c r="SVY243"/>
      <c r="SVZ243"/>
      <c r="SWA243"/>
      <c r="SWB243"/>
      <c r="SWC243"/>
      <c r="SWD243"/>
      <c r="SWE243"/>
      <c r="SWF243"/>
      <c r="SWG243"/>
      <c r="SWH243"/>
      <c r="SWI243"/>
      <c r="SWJ243"/>
      <c r="SWK243"/>
      <c r="SWL243"/>
      <c r="SWM243"/>
      <c r="SWN243"/>
      <c r="SWO243"/>
      <c r="SWP243"/>
      <c r="SWQ243"/>
      <c r="SWR243"/>
      <c r="SWS243"/>
      <c r="SWT243"/>
      <c r="SWU243"/>
      <c r="SWV243"/>
      <c r="SWW243"/>
      <c r="SWX243"/>
      <c r="SWY243"/>
      <c r="SWZ243"/>
      <c r="SXA243"/>
      <c r="SXB243"/>
      <c r="SXC243"/>
      <c r="SXD243"/>
      <c r="SXE243"/>
      <c r="SXF243"/>
      <c r="SXG243"/>
      <c r="SXH243"/>
      <c r="SXI243"/>
      <c r="SXJ243"/>
      <c r="SXK243"/>
      <c r="SXL243"/>
      <c r="SXM243"/>
      <c r="SXN243"/>
      <c r="SXO243"/>
      <c r="SXP243"/>
      <c r="SXQ243"/>
      <c r="SXR243"/>
      <c r="SXS243"/>
      <c r="SXT243"/>
      <c r="SXU243"/>
      <c r="SXV243"/>
      <c r="SXW243"/>
      <c r="SXX243"/>
      <c r="SXY243"/>
      <c r="SXZ243"/>
      <c r="SYA243"/>
      <c r="SYB243"/>
      <c r="SYC243"/>
      <c r="SYD243"/>
      <c r="SYE243"/>
      <c r="SYF243"/>
      <c r="SYG243"/>
      <c r="SYH243"/>
      <c r="SYI243"/>
      <c r="SYJ243"/>
      <c r="SYK243"/>
      <c r="SYL243"/>
      <c r="SYM243"/>
      <c r="SYN243"/>
      <c r="SYO243"/>
      <c r="SYP243"/>
      <c r="SYQ243"/>
      <c r="SYR243"/>
      <c r="SYS243"/>
      <c r="SYT243"/>
      <c r="SYU243"/>
      <c r="SYV243"/>
      <c r="SYW243"/>
      <c r="SYX243"/>
      <c r="SYY243"/>
      <c r="SYZ243"/>
      <c r="SZA243"/>
      <c r="SZB243"/>
      <c r="SZC243"/>
      <c r="SZD243"/>
      <c r="SZE243"/>
      <c r="SZF243"/>
      <c r="SZG243"/>
      <c r="SZH243"/>
      <c r="SZI243"/>
      <c r="SZJ243"/>
      <c r="SZK243"/>
      <c r="SZL243"/>
      <c r="SZM243"/>
      <c r="SZN243"/>
      <c r="SZO243"/>
      <c r="SZP243"/>
      <c r="SZQ243"/>
      <c r="SZR243"/>
      <c r="SZS243"/>
      <c r="SZT243"/>
      <c r="SZU243"/>
      <c r="SZV243"/>
      <c r="SZW243"/>
      <c r="SZX243"/>
      <c r="SZY243"/>
      <c r="SZZ243"/>
      <c r="TAA243"/>
      <c r="TAB243"/>
      <c r="TAC243"/>
      <c r="TAD243"/>
      <c r="TAE243"/>
      <c r="TAF243"/>
      <c r="TAG243"/>
      <c r="TAH243"/>
      <c r="TAI243"/>
      <c r="TAJ243"/>
      <c r="TAK243"/>
      <c r="TAL243"/>
      <c r="TAM243"/>
      <c r="TAN243"/>
      <c r="TAO243"/>
      <c r="TAP243"/>
      <c r="TAQ243"/>
      <c r="TAR243"/>
      <c r="TAS243"/>
      <c r="TAT243"/>
      <c r="TAU243"/>
      <c r="TAV243"/>
      <c r="TAW243"/>
      <c r="TAX243"/>
      <c r="TAY243"/>
      <c r="TAZ243"/>
      <c r="TBA243"/>
      <c r="TBB243"/>
      <c r="TBC243"/>
      <c r="TBD243"/>
      <c r="TBE243"/>
      <c r="TBF243"/>
      <c r="TBG243"/>
      <c r="TBH243"/>
      <c r="TBI243"/>
      <c r="TBJ243"/>
      <c r="TBK243"/>
      <c r="TBL243"/>
      <c r="TBM243"/>
      <c r="TBN243"/>
      <c r="TBO243"/>
      <c r="TBP243"/>
      <c r="TBQ243"/>
      <c r="TBR243"/>
      <c r="TBS243"/>
      <c r="TBT243"/>
      <c r="TBU243"/>
      <c r="TBV243"/>
      <c r="TBW243"/>
      <c r="TBX243"/>
      <c r="TBY243"/>
      <c r="TBZ243"/>
      <c r="TCA243"/>
      <c r="TCB243"/>
      <c r="TCC243"/>
      <c r="TCD243"/>
      <c r="TCE243"/>
      <c r="TCF243"/>
      <c r="TCG243"/>
      <c r="TCH243"/>
      <c r="TCI243"/>
      <c r="TCJ243"/>
      <c r="TCK243"/>
      <c r="TCL243"/>
      <c r="TCM243"/>
      <c r="TCN243"/>
      <c r="TCO243"/>
      <c r="TCP243"/>
      <c r="TCQ243"/>
      <c r="TCR243"/>
      <c r="TCS243"/>
      <c r="TCT243"/>
      <c r="TCU243"/>
      <c r="TCV243"/>
      <c r="TCW243"/>
      <c r="TCX243"/>
      <c r="TCY243"/>
      <c r="TCZ243"/>
      <c r="TDA243"/>
      <c r="TDB243"/>
      <c r="TDC243"/>
      <c r="TDD243"/>
      <c r="TDE243"/>
      <c r="TDF243"/>
      <c r="TDG243"/>
      <c r="TDH243"/>
      <c r="TDI243"/>
      <c r="TDJ243"/>
      <c r="TDK243"/>
      <c r="TDL243"/>
      <c r="TDM243"/>
      <c r="TDN243"/>
      <c r="TDO243"/>
      <c r="TDP243"/>
      <c r="TDQ243"/>
      <c r="TDR243"/>
      <c r="TDS243"/>
      <c r="TDT243"/>
      <c r="TDU243"/>
      <c r="TDV243"/>
      <c r="TDW243"/>
      <c r="TDX243"/>
      <c r="TDY243"/>
      <c r="TDZ243"/>
      <c r="TEA243"/>
      <c r="TEB243"/>
      <c r="TEC243"/>
      <c r="TED243"/>
      <c r="TEE243"/>
      <c r="TEF243"/>
      <c r="TEG243"/>
      <c r="TEH243"/>
      <c r="TEI243"/>
      <c r="TEJ243"/>
      <c r="TEK243"/>
      <c r="TEL243"/>
      <c r="TEM243"/>
      <c r="TEN243"/>
      <c r="TEO243"/>
      <c r="TEP243"/>
      <c r="TEQ243"/>
      <c r="TER243"/>
      <c r="TES243"/>
      <c r="TET243"/>
      <c r="TEU243"/>
      <c r="TEV243"/>
      <c r="TEW243"/>
      <c r="TEX243"/>
      <c r="TEY243"/>
      <c r="TEZ243"/>
      <c r="TFA243"/>
      <c r="TFB243"/>
      <c r="TFC243"/>
      <c r="TFD243"/>
      <c r="TFE243"/>
      <c r="TFF243"/>
      <c r="TFG243"/>
      <c r="TFH243"/>
      <c r="TFI243"/>
      <c r="TFJ243"/>
      <c r="TFK243"/>
      <c r="TFL243"/>
      <c r="TFM243"/>
      <c r="TFN243"/>
      <c r="TFO243"/>
      <c r="TFP243"/>
      <c r="TFQ243"/>
      <c r="TFR243"/>
      <c r="TFS243"/>
      <c r="TFT243"/>
      <c r="TFU243"/>
      <c r="TFV243"/>
      <c r="TFW243"/>
      <c r="TFX243"/>
      <c r="TFY243"/>
      <c r="TFZ243"/>
      <c r="TGA243"/>
      <c r="TGB243"/>
      <c r="TGC243"/>
      <c r="TGD243"/>
      <c r="TGE243"/>
      <c r="TGF243"/>
      <c r="TGG243"/>
      <c r="TGH243"/>
      <c r="TGI243"/>
      <c r="TGJ243"/>
      <c r="TGK243"/>
      <c r="TGL243"/>
      <c r="TGM243"/>
      <c r="TGN243"/>
      <c r="TGO243"/>
      <c r="TGP243"/>
      <c r="TGQ243"/>
      <c r="TGR243"/>
      <c r="TGS243"/>
      <c r="TGT243"/>
      <c r="TGU243"/>
      <c r="TGV243"/>
      <c r="TGW243"/>
      <c r="TGX243"/>
      <c r="TGY243"/>
      <c r="TGZ243"/>
      <c r="THA243"/>
      <c r="THB243"/>
      <c r="THC243"/>
      <c r="THD243"/>
      <c r="THE243"/>
      <c r="THF243"/>
      <c r="THG243"/>
      <c r="THH243"/>
      <c r="THI243"/>
      <c r="THJ243"/>
      <c r="THK243"/>
      <c r="THL243"/>
      <c r="THM243"/>
      <c r="THN243"/>
      <c r="THO243"/>
      <c r="THP243"/>
      <c r="THQ243"/>
      <c r="THR243"/>
      <c r="THS243"/>
      <c r="THT243"/>
      <c r="THU243"/>
      <c r="THV243"/>
      <c r="THW243"/>
      <c r="THX243"/>
      <c r="THY243"/>
      <c r="THZ243"/>
      <c r="TIA243"/>
      <c r="TIB243"/>
      <c r="TIC243"/>
      <c r="TID243"/>
      <c r="TIE243"/>
      <c r="TIF243"/>
      <c r="TIG243"/>
      <c r="TIH243"/>
      <c r="TII243"/>
      <c r="TIJ243"/>
      <c r="TIK243"/>
      <c r="TIL243"/>
      <c r="TIM243"/>
      <c r="TIN243"/>
      <c r="TIO243"/>
      <c r="TIP243"/>
      <c r="TIQ243"/>
      <c r="TIR243"/>
      <c r="TIS243"/>
      <c r="TIT243"/>
      <c r="TIU243"/>
      <c r="TIV243"/>
      <c r="TIW243"/>
      <c r="TIX243"/>
      <c r="TIY243"/>
      <c r="TIZ243"/>
      <c r="TJA243"/>
      <c r="TJB243"/>
      <c r="TJC243"/>
      <c r="TJD243"/>
      <c r="TJE243"/>
      <c r="TJF243"/>
      <c r="TJG243"/>
      <c r="TJH243"/>
      <c r="TJI243"/>
      <c r="TJJ243"/>
      <c r="TJK243"/>
      <c r="TJL243"/>
      <c r="TJM243"/>
      <c r="TJN243"/>
      <c r="TJO243"/>
      <c r="TJP243"/>
      <c r="TJQ243"/>
      <c r="TJR243"/>
      <c r="TJS243"/>
      <c r="TJT243"/>
      <c r="TJU243"/>
      <c r="TJV243"/>
      <c r="TJW243"/>
      <c r="TJX243"/>
      <c r="TJY243"/>
      <c r="TJZ243"/>
      <c r="TKA243"/>
      <c r="TKB243"/>
      <c r="TKC243"/>
      <c r="TKD243"/>
      <c r="TKE243"/>
      <c r="TKF243"/>
      <c r="TKG243"/>
      <c r="TKH243"/>
      <c r="TKI243"/>
      <c r="TKJ243"/>
      <c r="TKK243"/>
      <c r="TKL243"/>
      <c r="TKM243"/>
      <c r="TKN243"/>
      <c r="TKO243"/>
      <c r="TKP243"/>
      <c r="TKQ243"/>
      <c r="TKR243"/>
      <c r="TKS243"/>
      <c r="TKT243"/>
      <c r="TKU243"/>
      <c r="TKV243"/>
      <c r="TKW243"/>
      <c r="TKX243"/>
      <c r="TKY243"/>
      <c r="TKZ243"/>
      <c r="TLA243"/>
      <c r="TLB243"/>
      <c r="TLC243"/>
      <c r="TLD243"/>
      <c r="TLE243"/>
      <c r="TLF243"/>
      <c r="TLG243"/>
      <c r="TLH243"/>
      <c r="TLI243"/>
      <c r="TLJ243"/>
      <c r="TLK243"/>
      <c r="TLL243"/>
      <c r="TLM243"/>
      <c r="TLN243"/>
      <c r="TLO243"/>
      <c r="TLP243"/>
      <c r="TLQ243"/>
      <c r="TLR243"/>
      <c r="TLS243"/>
      <c r="TLT243"/>
      <c r="TLU243"/>
      <c r="TLV243"/>
      <c r="TLW243"/>
      <c r="TLX243"/>
      <c r="TLY243"/>
      <c r="TLZ243"/>
      <c r="TMA243"/>
      <c r="TMB243"/>
      <c r="TMC243"/>
      <c r="TMD243"/>
      <c r="TME243"/>
      <c r="TMF243"/>
      <c r="TMG243"/>
      <c r="TMH243"/>
      <c r="TMI243"/>
      <c r="TMJ243"/>
      <c r="TMK243"/>
      <c r="TML243"/>
      <c r="TMM243"/>
      <c r="TMN243"/>
      <c r="TMO243"/>
      <c r="TMP243"/>
      <c r="TMQ243"/>
      <c r="TMR243"/>
      <c r="TMS243"/>
      <c r="TMT243"/>
      <c r="TMU243"/>
      <c r="TMV243"/>
      <c r="TMW243"/>
      <c r="TMX243"/>
      <c r="TMY243"/>
      <c r="TMZ243"/>
      <c r="TNA243"/>
      <c r="TNB243"/>
      <c r="TNC243"/>
      <c r="TND243"/>
      <c r="TNE243"/>
      <c r="TNF243"/>
      <c r="TNG243"/>
      <c r="TNH243"/>
      <c r="TNI243"/>
      <c r="TNJ243"/>
      <c r="TNK243"/>
      <c r="TNL243"/>
      <c r="TNM243"/>
      <c r="TNN243"/>
      <c r="TNO243"/>
      <c r="TNP243"/>
      <c r="TNQ243"/>
      <c r="TNR243"/>
      <c r="TNS243"/>
      <c r="TNT243"/>
      <c r="TNU243"/>
      <c r="TNV243"/>
      <c r="TNW243"/>
      <c r="TNX243"/>
      <c r="TNY243"/>
      <c r="TNZ243"/>
      <c r="TOA243"/>
      <c r="TOB243"/>
      <c r="TOC243"/>
      <c r="TOD243"/>
      <c r="TOE243"/>
      <c r="TOF243"/>
      <c r="TOG243"/>
      <c r="TOH243"/>
      <c r="TOI243"/>
      <c r="TOJ243"/>
      <c r="TOK243"/>
      <c r="TOL243"/>
      <c r="TOM243"/>
      <c r="TON243"/>
      <c r="TOO243"/>
      <c r="TOP243"/>
      <c r="TOQ243"/>
      <c r="TOR243"/>
      <c r="TOS243"/>
      <c r="TOT243"/>
      <c r="TOU243"/>
      <c r="TOV243"/>
      <c r="TOW243"/>
      <c r="TOX243"/>
      <c r="TOY243"/>
      <c r="TOZ243"/>
      <c r="TPA243"/>
      <c r="TPB243"/>
      <c r="TPC243"/>
      <c r="TPD243"/>
      <c r="TPE243"/>
      <c r="TPF243"/>
      <c r="TPG243"/>
      <c r="TPH243"/>
      <c r="TPI243"/>
      <c r="TPJ243"/>
      <c r="TPK243"/>
      <c r="TPL243"/>
      <c r="TPM243"/>
      <c r="TPN243"/>
      <c r="TPO243"/>
      <c r="TPP243"/>
      <c r="TPQ243"/>
      <c r="TPR243"/>
      <c r="TPS243"/>
      <c r="TPT243"/>
      <c r="TPU243"/>
      <c r="TPV243"/>
      <c r="TPW243"/>
      <c r="TPX243"/>
      <c r="TPY243"/>
      <c r="TPZ243"/>
      <c r="TQA243"/>
      <c r="TQB243"/>
      <c r="TQC243"/>
      <c r="TQD243"/>
      <c r="TQE243"/>
      <c r="TQF243"/>
      <c r="TQG243"/>
      <c r="TQH243"/>
      <c r="TQI243"/>
      <c r="TQJ243"/>
      <c r="TQK243"/>
      <c r="TQL243"/>
      <c r="TQM243"/>
      <c r="TQN243"/>
      <c r="TQO243"/>
      <c r="TQP243"/>
      <c r="TQQ243"/>
      <c r="TQR243"/>
      <c r="TQS243"/>
      <c r="TQT243"/>
      <c r="TQU243"/>
      <c r="TQV243"/>
      <c r="TQW243"/>
      <c r="TQX243"/>
      <c r="TQY243"/>
      <c r="TQZ243"/>
      <c r="TRA243"/>
      <c r="TRB243"/>
      <c r="TRC243"/>
      <c r="TRD243"/>
      <c r="TRE243"/>
      <c r="TRF243"/>
      <c r="TRG243"/>
      <c r="TRH243"/>
      <c r="TRI243"/>
      <c r="TRJ243"/>
      <c r="TRK243"/>
      <c r="TRL243"/>
      <c r="TRM243"/>
      <c r="TRN243"/>
      <c r="TRO243"/>
      <c r="TRP243"/>
      <c r="TRQ243"/>
      <c r="TRR243"/>
      <c r="TRS243"/>
      <c r="TRT243"/>
      <c r="TRU243"/>
      <c r="TRV243"/>
      <c r="TRW243"/>
      <c r="TRX243"/>
      <c r="TRY243"/>
      <c r="TRZ243"/>
      <c r="TSA243"/>
      <c r="TSB243"/>
      <c r="TSC243"/>
      <c r="TSD243"/>
      <c r="TSE243"/>
      <c r="TSF243"/>
      <c r="TSG243"/>
      <c r="TSH243"/>
      <c r="TSI243"/>
      <c r="TSJ243"/>
      <c r="TSK243"/>
      <c r="TSL243"/>
      <c r="TSM243"/>
      <c r="TSN243"/>
      <c r="TSO243"/>
      <c r="TSP243"/>
      <c r="TSQ243"/>
      <c r="TSR243"/>
      <c r="TSS243"/>
      <c r="TST243"/>
      <c r="TSU243"/>
      <c r="TSV243"/>
      <c r="TSW243"/>
      <c r="TSX243"/>
      <c r="TSY243"/>
      <c r="TSZ243"/>
      <c r="TTA243"/>
      <c r="TTB243"/>
      <c r="TTC243"/>
      <c r="TTD243"/>
      <c r="TTE243"/>
      <c r="TTF243"/>
      <c r="TTG243"/>
      <c r="TTH243"/>
      <c r="TTI243"/>
      <c r="TTJ243"/>
      <c r="TTK243"/>
      <c r="TTL243"/>
      <c r="TTM243"/>
      <c r="TTN243"/>
      <c r="TTO243"/>
      <c r="TTP243"/>
      <c r="TTQ243"/>
      <c r="TTR243"/>
      <c r="TTS243"/>
      <c r="TTT243"/>
      <c r="TTU243"/>
      <c r="TTV243"/>
      <c r="TTW243"/>
      <c r="TTX243"/>
      <c r="TTY243"/>
      <c r="TTZ243"/>
      <c r="TUA243"/>
      <c r="TUB243"/>
      <c r="TUC243"/>
      <c r="TUD243"/>
      <c r="TUE243"/>
      <c r="TUF243"/>
      <c r="TUG243"/>
      <c r="TUH243"/>
      <c r="TUI243"/>
      <c r="TUJ243"/>
      <c r="TUK243"/>
      <c r="TUL243"/>
      <c r="TUM243"/>
      <c r="TUN243"/>
      <c r="TUO243"/>
      <c r="TUP243"/>
      <c r="TUQ243"/>
      <c r="TUR243"/>
      <c r="TUS243"/>
      <c r="TUT243"/>
      <c r="TUU243"/>
      <c r="TUV243"/>
      <c r="TUW243"/>
      <c r="TUX243"/>
      <c r="TUY243"/>
      <c r="TUZ243"/>
      <c r="TVA243"/>
      <c r="TVB243"/>
      <c r="TVC243"/>
      <c r="TVD243"/>
      <c r="TVE243"/>
      <c r="TVF243"/>
      <c r="TVG243"/>
      <c r="TVH243"/>
      <c r="TVI243"/>
      <c r="TVJ243"/>
      <c r="TVK243"/>
      <c r="TVL243"/>
      <c r="TVM243"/>
      <c r="TVN243"/>
      <c r="TVO243"/>
      <c r="TVP243"/>
      <c r="TVQ243"/>
      <c r="TVR243"/>
      <c r="TVS243"/>
      <c r="TVT243"/>
      <c r="TVU243"/>
      <c r="TVV243"/>
      <c r="TVW243"/>
      <c r="TVX243"/>
      <c r="TVY243"/>
      <c r="TVZ243"/>
      <c r="TWA243"/>
      <c r="TWB243"/>
      <c r="TWC243"/>
      <c r="TWD243"/>
      <c r="TWE243"/>
      <c r="TWF243"/>
      <c r="TWG243"/>
      <c r="TWH243"/>
      <c r="TWI243"/>
      <c r="TWJ243"/>
      <c r="TWK243"/>
      <c r="TWL243"/>
      <c r="TWM243"/>
      <c r="TWN243"/>
      <c r="TWO243"/>
      <c r="TWP243"/>
      <c r="TWQ243"/>
      <c r="TWR243"/>
      <c r="TWS243"/>
      <c r="TWT243"/>
      <c r="TWU243"/>
      <c r="TWV243"/>
      <c r="TWW243"/>
      <c r="TWX243"/>
      <c r="TWY243"/>
      <c r="TWZ243"/>
      <c r="TXA243"/>
      <c r="TXB243"/>
      <c r="TXC243"/>
      <c r="TXD243"/>
      <c r="TXE243"/>
      <c r="TXF243"/>
      <c r="TXG243"/>
      <c r="TXH243"/>
      <c r="TXI243"/>
      <c r="TXJ243"/>
      <c r="TXK243"/>
      <c r="TXL243"/>
      <c r="TXM243"/>
      <c r="TXN243"/>
      <c r="TXO243"/>
      <c r="TXP243"/>
      <c r="TXQ243"/>
      <c r="TXR243"/>
      <c r="TXS243"/>
      <c r="TXT243"/>
      <c r="TXU243"/>
      <c r="TXV243"/>
      <c r="TXW243"/>
      <c r="TXX243"/>
      <c r="TXY243"/>
      <c r="TXZ243"/>
      <c r="TYA243"/>
      <c r="TYB243"/>
      <c r="TYC243"/>
      <c r="TYD243"/>
      <c r="TYE243"/>
      <c r="TYF243"/>
      <c r="TYG243"/>
      <c r="TYH243"/>
      <c r="TYI243"/>
      <c r="TYJ243"/>
      <c r="TYK243"/>
      <c r="TYL243"/>
      <c r="TYM243"/>
      <c r="TYN243"/>
      <c r="TYO243"/>
      <c r="TYP243"/>
      <c r="TYQ243"/>
      <c r="TYR243"/>
      <c r="TYS243"/>
      <c r="TYT243"/>
      <c r="TYU243"/>
      <c r="TYV243"/>
      <c r="TYW243"/>
      <c r="TYX243"/>
      <c r="TYY243"/>
      <c r="TYZ243"/>
      <c r="TZA243"/>
      <c r="TZB243"/>
      <c r="TZC243"/>
      <c r="TZD243"/>
      <c r="TZE243"/>
      <c r="TZF243"/>
      <c r="TZG243"/>
      <c r="TZH243"/>
      <c r="TZI243"/>
      <c r="TZJ243"/>
      <c r="TZK243"/>
      <c r="TZL243"/>
      <c r="TZM243"/>
      <c r="TZN243"/>
      <c r="TZO243"/>
      <c r="TZP243"/>
      <c r="TZQ243"/>
      <c r="TZR243"/>
      <c r="TZS243"/>
      <c r="TZT243"/>
      <c r="TZU243"/>
      <c r="TZV243"/>
      <c r="TZW243"/>
      <c r="TZX243"/>
      <c r="TZY243"/>
      <c r="TZZ243"/>
      <c r="UAA243"/>
      <c r="UAB243"/>
      <c r="UAC243"/>
      <c r="UAD243"/>
      <c r="UAE243"/>
      <c r="UAF243"/>
      <c r="UAG243"/>
      <c r="UAH243"/>
      <c r="UAI243"/>
      <c r="UAJ243"/>
      <c r="UAK243"/>
      <c r="UAL243"/>
      <c r="UAM243"/>
      <c r="UAN243"/>
      <c r="UAO243"/>
      <c r="UAP243"/>
      <c r="UAQ243"/>
      <c r="UAR243"/>
      <c r="UAS243"/>
      <c r="UAT243"/>
      <c r="UAU243"/>
      <c r="UAV243"/>
      <c r="UAW243"/>
      <c r="UAX243"/>
      <c r="UAY243"/>
      <c r="UAZ243"/>
      <c r="UBA243"/>
      <c r="UBB243"/>
      <c r="UBC243"/>
      <c r="UBD243"/>
      <c r="UBE243"/>
      <c r="UBF243"/>
      <c r="UBG243"/>
      <c r="UBH243"/>
      <c r="UBI243"/>
      <c r="UBJ243"/>
      <c r="UBK243"/>
      <c r="UBL243"/>
      <c r="UBM243"/>
      <c r="UBN243"/>
      <c r="UBO243"/>
      <c r="UBP243"/>
      <c r="UBQ243"/>
      <c r="UBR243"/>
      <c r="UBS243"/>
      <c r="UBT243"/>
      <c r="UBU243"/>
      <c r="UBV243"/>
      <c r="UBW243"/>
      <c r="UBX243"/>
      <c r="UBY243"/>
      <c r="UBZ243"/>
      <c r="UCA243"/>
      <c r="UCB243"/>
      <c r="UCC243"/>
      <c r="UCD243"/>
      <c r="UCE243"/>
      <c r="UCF243"/>
      <c r="UCG243"/>
      <c r="UCH243"/>
      <c r="UCI243"/>
      <c r="UCJ243"/>
      <c r="UCK243"/>
      <c r="UCL243"/>
      <c r="UCM243"/>
      <c r="UCN243"/>
      <c r="UCO243"/>
      <c r="UCP243"/>
      <c r="UCQ243"/>
      <c r="UCR243"/>
      <c r="UCS243"/>
      <c r="UCT243"/>
      <c r="UCU243"/>
      <c r="UCV243"/>
      <c r="UCW243"/>
      <c r="UCX243"/>
      <c r="UCY243"/>
      <c r="UCZ243"/>
      <c r="UDA243"/>
      <c r="UDB243"/>
      <c r="UDC243"/>
      <c r="UDD243"/>
      <c r="UDE243"/>
      <c r="UDF243"/>
      <c r="UDG243"/>
      <c r="UDH243"/>
      <c r="UDI243"/>
      <c r="UDJ243"/>
      <c r="UDK243"/>
      <c r="UDL243"/>
      <c r="UDM243"/>
      <c r="UDN243"/>
      <c r="UDO243"/>
      <c r="UDP243"/>
      <c r="UDQ243"/>
      <c r="UDR243"/>
      <c r="UDS243"/>
      <c r="UDT243"/>
      <c r="UDU243"/>
      <c r="UDV243"/>
      <c r="UDW243"/>
      <c r="UDX243"/>
      <c r="UDY243"/>
      <c r="UDZ243"/>
      <c r="UEA243"/>
      <c r="UEB243"/>
      <c r="UEC243"/>
      <c r="UED243"/>
      <c r="UEE243"/>
      <c r="UEF243"/>
      <c r="UEG243"/>
      <c r="UEH243"/>
      <c r="UEI243"/>
      <c r="UEJ243"/>
      <c r="UEK243"/>
      <c r="UEL243"/>
      <c r="UEM243"/>
      <c r="UEN243"/>
      <c r="UEO243"/>
      <c r="UEP243"/>
      <c r="UEQ243"/>
      <c r="UER243"/>
      <c r="UES243"/>
      <c r="UET243"/>
      <c r="UEU243"/>
      <c r="UEV243"/>
      <c r="UEW243"/>
      <c r="UEX243"/>
      <c r="UEY243"/>
      <c r="UEZ243"/>
      <c r="UFA243"/>
      <c r="UFB243"/>
      <c r="UFC243"/>
      <c r="UFD243"/>
      <c r="UFE243"/>
      <c r="UFF243"/>
      <c r="UFG243"/>
      <c r="UFH243"/>
      <c r="UFI243"/>
      <c r="UFJ243"/>
      <c r="UFK243"/>
      <c r="UFL243"/>
      <c r="UFM243"/>
      <c r="UFN243"/>
      <c r="UFO243"/>
      <c r="UFP243"/>
      <c r="UFQ243"/>
      <c r="UFR243"/>
      <c r="UFS243"/>
      <c r="UFT243"/>
      <c r="UFU243"/>
      <c r="UFV243"/>
      <c r="UFW243"/>
      <c r="UFX243"/>
      <c r="UFY243"/>
      <c r="UFZ243"/>
      <c r="UGA243"/>
      <c r="UGB243"/>
      <c r="UGC243"/>
      <c r="UGD243"/>
      <c r="UGE243"/>
      <c r="UGF243"/>
      <c r="UGG243"/>
      <c r="UGH243"/>
      <c r="UGI243"/>
      <c r="UGJ243"/>
      <c r="UGK243"/>
      <c r="UGL243"/>
      <c r="UGM243"/>
      <c r="UGN243"/>
      <c r="UGO243"/>
      <c r="UGP243"/>
      <c r="UGQ243"/>
      <c r="UGR243"/>
      <c r="UGS243"/>
      <c r="UGT243"/>
      <c r="UGU243"/>
      <c r="UGV243"/>
      <c r="UGW243"/>
      <c r="UGX243"/>
      <c r="UGY243"/>
      <c r="UGZ243"/>
      <c r="UHA243"/>
      <c r="UHB243"/>
      <c r="UHC243"/>
      <c r="UHD243"/>
      <c r="UHE243"/>
      <c r="UHF243"/>
      <c r="UHG243"/>
      <c r="UHH243"/>
      <c r="UHI243"/>
      <c r="UHJ243"/>
      <c r="UHK243"/>
      <c r="UHL243"/>
      <c r="UHM243"/>
      <c r="UHN243"/>
      <c r="UHO243"/>
      <c r="UHP243"/>
      <c r="UHQ243"/>
      <c r="UHR243"/>
      <c r="UHS243"/>
      <c r="UHT243"/>
      <c r="UHU243"/>
      <c r="UHV243"/>
      <c r="UHW243"/>
      <c r="UHX243"/>
      <c r="UHY243"/>
      <c r="UHZ243"/>
      <c r="UIA243"/>
      <c r="UIB243"/>
      <c r="UIC243"/>
      <c r="UID243"/>
      <c r="UIE243"/>
      <c r="UIF243"/>
      <c r="UIG243"/>
      <c r="UIH243"/>
      <c r="UII243"/>
      <c r="UIJ243"/>
      <c r="UIK243"/>
      <c r="UIL243"/>
      <c r="UIM243"/>
      <c r="UIN243"/>
      <c r="UIO243"/>
      <c r="UIP243"/>
      <c r="UIQ243"/>
      <c r="UIR243"/>
      <c r="UIS243"/>
      <c r="UIT243"/>
      <c r="UIU243"/>
      <c r="UIV243"/>
      <c r="UIW243"/>
      <c r="UIX243"/>
      <c r="UIY243"/>
      <c r="UIZ243"/>
      <c r="UJA243"/>
      <c r="UJB243"/>
      <c r="UJC243"/>
      <c r="UJD243"/>
      <c r="UJE243"/>
      <c r="UJF243"/>
      <c r="UJG243"/>
      <c r="UJH243"/>
      <c r="UJI243"/>
      <c r="UJJ243"/>
      <c r="UJK243"/>
      <c r="UJL243"/>
      <c r="UJM243"/>
      <c r="UJN243"/>
      <c r="UJO243"/>
      <c r="UJP243"/>
      <c r="UJQ243"/>
      <c r="UJR243"/>
      <c r="UJS243"/>
      <c r="UJT243"/>
      <c r="UJU243"/>
      <c r="UJV243"/>
      <c r="UJW243"/>
      <c r="UJX243"/>
      <c r="UJY243"/>
      <c r="UJZ243"/>
      <c r="UKA243"/>
      <c r="UKB243"/>
      <c r="UKC243"/>
      <c r="UKD243"/>
      <c r="UKE243"/>
      <c r="UKF243"/>
      <c r="UKG243"/>
      <c r="UKH243"/>
      <c r="UKI243"/>
      <c r="UKJ243"/>
      <c r="UKK243"/>
      <c r="UKL243"/>
      <c r="UKM243"/>
      <c r="UKN243"/>
      <c r="UKO243"/>
      <c r="UKP243"/>
      <c r="UKQ243"/>
      <c r="UKR243"/>
      <c r="UKS243"/>
      <c r="UKT243"/>
      <c r="UKU243"/>
      <c r="UKV243"/>
      <c r="UKW243"/>
      <c r="UKX243"/>
      <c r="UKY243"/>
      <c r="UKZ243"/>
      <c r="ULA243"/>
      <c r="ULB243"/>
      <c r="ULC243"/>
      <c r="ULD243"/>
      <c r="ULE243"/>
      <c r="ULF243"/>
      <c r="ULG243"/>
      <c r="ULH243"/>
      <c r="ULI243"/>
      <c r="ULJ243"/>
      <c r="ULK243"/>
      <c r="ULL243"/>
      <c r="ULM243"/>
      <c r="ULN243"/>
      <c r="ULO243"/>
      <c r="ULP243"/>
      <c r="ULQ243"/>
      <c r="ULR243"/>
      <c r="ULS243"/>
      <c r="ULT243"/>
      <c r="ULU243"/>
      <c r="ULV243"/>
      <c r="ULW243"/>
      <c r="ULX243"/>
      <c r="ULY243"/>
      <c r="ULZ243"/>
      <c r="UMA243"/>
      <c r="UMB243"/>
      <c r="UMC243"/>
      <c r="UMD243"/>
      <c r="UME243"/>
      <c r="UMF243"/>
      <c r="UMG243"/>
      <c r="UMH243"/>
      <c r="UMI243"/>
      <c r="UMJ243"/>
      <c r="UMK243"/>
      <c r="UML243"/>
      <c r="UMM243"/>
      <c r="UMN243"/>
      <c r="UMO243"/>
      <c r="UMP243"/>
      <c r="UMQ243"/>
      <c r="UMR243"/>
      <c r="UMS243"/>
      <c r="UMT243"/>
      <c r="UMU243"/>
      <c r="UMV243"/>
      <c r="UMW243"/>
      <c r="UMX243"/>
      <c r="UMY243"/>
      <c r="UMZ243"/>
      <c r="UNA243"/>
      <c r="UNB243"/>
      <c r="UNC243"/>
      <c r="UND243"/>
      <c r="UNE243"/>
      <c r="UNF243"/>
      <c r="UNG243"/>
      <c r="UNH243"/>
      <c r="UNI243"/>
      <c r="UNJ243"/>
      <c r="UNK243"/>
      <c r="UNL243"/>
      <c r="UNM243"/>
      <c r="UNN243"/>
      <c r="UNO243"/>
      <c r="UNP243"/>
      <c r="UNQ243"/>
      <c r="UNR243"/>
      <c r="UNS243"/>
      <c r="UNT243"/>
      <c r="UNU243"/>
      <c r="UNV243"/>
      <c r="UNW243"/>
      <c r="UNX243"/>
      <c r="UNY243"/>
      <c r="UNZ243"/>
      <c r="UOA243"/>
      <c r="UOB243"/>
      <c r="UOC243"/>
      <c r="UOD243"/>
      <c r="UOE243"/>
      <c r="UOF243"/>
      <c r="UOG243"/>
      <c r="UOH243"/>
      <c r="UOI243"/>
      <c r="UOJ243"/>
      <c r="UOK243"/>
      <c r="UOL243"/>
      <c r="UOM243"/>
      <c r="UON243"/>
      <c r="UOO243"/>
      <c r="UOP243"/>
      <c r="UOQ243"/>
      <c r="UOR243"/>
      <c r="UOS243"/>
      <c r="UOT243"/>
      <c r="UOU243"/>
      <c r="UOV243"/>
      <c r="UOW243"/>
      <c r="UOX243"/>
      <c r="UOY243"/>
      <c r="UOZ243"/>
      <c r="UPA243"/>
      <c r="UPB243"/>
      <c r="UPC243"/>
      <c r="UPD243"/>
      <c r="UPE243"/>
      <c r="UPF243"/>
      <c r="UPG243"/>
      <c r="UPH243"/>
      <c r="UPI243"/>
      <c r="UPJ243"/>
      <c r="UPK243"/>
      <c r="UPL243"/>
      <c r="UPM243"/>
      <c r="UPN243"/>
      <c r="UPO243"/>
      <c r="UPP243"/>
      <c r="UPQ243"/>
      <c r="UPR243"/>
      <c r="UPS243"/>
      <c r="UPT243"/>
      <c r="UPU243"/>
      <c r="UPV243"/>
      <c r="UPW243"/>
      <c r="UPX243"/>
      <c r="UPY243"/>
      <c r="UPZ243"/>
      <c r="UQA243"/>
      <c r="UQB243"/>
      <c r="UQC243"/>
      <c r="UQD243"/>
      <c r="UQE243"/>
      <c r="UQF243"/>
      <c r="UQG243"/>
      <c r="UQH243"/>
      <c r="UQI243"/>
      <c r="UQJ243"/>
      <c r="UQK243"/>
      <c r="UQL243"/>
      <c r="UQM243"/>
      <c r="UQN243"/>
      <c r="UQO243"/>
      <c r="UQP243"/>
      <c r="UQQ243"/>
      <c r="UQR243"/>
      <c r="UQS243"/>
      <c r="UQT243"/>
      <c r="UQU243"/>
      <c r="UQV243"/>
      <c r="UQW243"/>
      <c r="UQX243"/>
      <c r="UQY243"/>
      <c r="UQZ243"/>
      <c r="URA243"/>
      <c r="URB243"/>
      <c r="URC243"/>
      <c r="URD243"/>
      <c r="URE243"/>
      <c r="URF243"/>
      <c r="URG243"/>
      <c r="URH243"/>
      <c r="URI243"/>
      <c r="URJ243"/>
      <c r="URK243"/>
      <c r="URL243"/>
      <c r="URM243"/>
      <c r="URN243"/>
      <c r="URO243"/>
      <c r="URP243"/>
      <c r="URQ243"/>
      <c r="URR243"/>
      <c r="URS243"/>
      <c r="URT243"/>
      <c r="URU243"/>
      <c r="URV243"/>
      <c r="URW243"/>
      <c r="URX243"/>
      <c r="URY243"/>
      <c r="URZ243"/>
      <c r="USA243"/>
      <c r="USB243"/>
      <c r="USC243"/>
      <c r="USD243"/>
      <c r="USE243"/>
      <c r="USF243"/>
      <c r="USG243"/>
      <c r="USH243"/>
      <c r="USI243"/>
      <c r="USJ243"/>
      <c r="USK243"/>
      <c r="USL243"/>
      <c r="USM243"/>
      <c r="USN243"/>
      <c r="USO243"/>
      <c r="USP243"/>
      <c r="USQ243"/>
      <c r="USR243"/>
      <c r="USS243"/>
      <c r="UST243"/>
      <c r="USU243"/>
      <c r="USV243"/>
      <c r="USW243"/>
      <c r="USX243"/>
      <c r="USY243"/>
      <c r="USZ243"/>
      <c r="UTA243"/>
      <c r="UTB243"/>
      <c r="UTC243"/>
      <c r="UTD243"/>
      <c r="UTE243"/>
      <c r="UTF243"/>
      <c r="UTG243"/>
      <c r="UTH243"/>
      <c r="UTI243"/>
      <c r="UTJ243"/>
      <c r="UTK243"/>
      <c r="UTL243"/>
      <c r="UTM243"/>
      <c r="UTN243"/>
      <c r="UTO243"/>
      <c r="UTP243"/>
      <c r="UTQ243"/>
      <c r="UTR243"/>
      <c r="UTS243"/>
      <c r="UTT243"/>
      <c r="UTU243"/>
      <c r="UTV243"/>
      <c r="UTW243"/>
      <c r="UTX243"/>
      <c r="UTY243"/>
      <c r="UTZ243"/>
      <c r="UUA243"/>
      <c r="UUB243"/>
      <c r="UUC243"/>
      <c r="UUD243"/>
      <c r="UUE243"/>
      <c r="UUF243"/>
      <c r="UUG243"/>
      <c r="UUH243"/>
      <c r="UUI243"/>
      <c r="UUJ243"/>
      <c r="UUK243"/>
      <c r="UUL243"/>
      <c r="UUM243"/>
      <c r="UUN243"/>
      <c r="UUO243"/>
      <c r="UUP243"/>
      <c r="UUQ243"/>
      <c r="UUR243"/>
      <c r="UUS243"/>
      <c r="UUT243"/>
      <c r="UUU243"/>
      <c r="UUV243"/>
      <c r="UUW243"/>
      <c r="UUX243"/>
      <c r="UUY243"/>
      <c r="UUZ243"/>
      <c r="UVA243"/>
      <c r="UVB243"/>
      <c r="UVC243"/>
      <c r="UVD243"/>
      <c r="UVE243"/>
      <c r="UVF243"/>
      <c r="UVG243"/>
      <c r="UVH243"/>
      <c r="UVI243"/>
      <c r="UVJ243"/>
      <c r="UVK243"/>
      <c r="UVL243"/>
      <c r="UVM243"/>
      <c r="UVN243"/>
      <c r="UVO243"/>
      <c r="UVP243"/>
      <c r="UVQ243"/>
      <c r="UVR243"/>
      <c r="UVS243"/>
      <c r="UVT243"/>
      <c r="UVU243"/>
      <c r="UVV243"/>
      <c r="UVW243"/>
      <c r="UVX243"/>
      <c r="UVY243"/>
      <c r="UVZ243"/>
      <c r="UWA243"/>
      <c r="UWB243"/>
      <c r="UWC243"/>
      <c r="UWD243"/>
      <c r="UWE243"/>
      <c r="UWF243"/>
      <c r="UWG243"/>
      <c r="UWH243"/>
      <c r="UWI243"/>
      <c r="UWJ243"/>
      <c r="UWK243"/>
      <c r="UWL243"/>
      <c r="UWM243"/>
      <c r="UWN243"/>
      <c r="UWO243"/>
      <c r="UWP243"/>
      <c r="UWQ243"/>
      <c r="UWR243"/>
      <c r="UWS243"/>
      <c r="UWT243"/>
      <c r="UWU243"/>
      <c r="UWV243"/>
      <c r="UWW243"/>
      <c r="UWX243"/>
      <c r="UWY243"/>
      <c r="UWZ243"/>
      <c r="UXA243"/>
      <c r="UXB243"/>
      <c r="UXC243"/>
      <c r="UXD243"/>
      <c r="UXE243"/>
      <c r="UXF243"/>
      <c r="UXG243"/>
      <c r="UXH243"/>
      <c r="UXI243"/>
      <c r="UXJ243"/>
      <c r="UXK243"/>
      <c r="UXL243"/>
      <c r="UXM243"/>
      <c r="UXN243"/>
      <c r="UXO243"/>
      <c r="UXP243"/>
      <c r="UXQ243"/>
      <c r="UXR243"/>
      <c r="UXS243"/>
      <c r="UXT243"/>
      <c r="UXU243"/>
      <c r="UXV243"/>
      <c r="UXW243"/>
      <c r="UXX243"/>
      <c r="UXY243"/>
      <c r="UXZ243"/>
      <c r="UYA243"/>
      <c r="UYB243"/>
      <c r="UYC243"/>
      <c r="UYD243"/>
      <c r="UYE243"/>
      <c r="UYF243"/>
      <c r="UYG243"/>
      <c r="UYH243"/>
      <c r="UYI243"/>
      <c r="UYJ243"/>
      <c r="UYK243"/>
      <c r="UYL243"/>
      <c r="UYM243"/>
      <c r="UYN243"/>
      <c r="UYO243"/>
      <c r="UYP243"/>
      <c r="UYQ243"/>
      <c r="UYR243"/>
      <c r="UYS243"/>
      <c r="UYT243"/>
      <c r="UYU243"/>
      <c r="UYV243"/>
      <c r="UYW243"/>
      <c r="UYX243"/>
      <c r="UYY243"/>
      <c r="UYZ243"/>
      <c r="UZA243"/>
      <c r="UZB243"/>
      <c r="UZC243"/>
      <c r="UZD243"/>
      <c r="UZE243"/>
      <c r="UZF243"/>
      <c r="UZG243"/>
      <c r="UZH243"/>
      <c r="UZI243"/>
      <c r="UZJ243"/>
      <c r="UZK243"/>
      <c r="UZL243"/>
      <c r="UZM243"/>
      <c r="UZN243"/>
      <c r="UZO243"/>
      <c r="UZP243"/>
      <c r="UZQ243"/>
      <c r="UZR243"/>
      <c r="UZS243"/>
      <c r="UZT243"/>
      <c r="UZU243"/>
      <c r="UZV243"/>
      <c r="UZW243"/>
      <c r="UZX243"/>
      <c r="UZY243"/>
      <c r="UZZ243"/>
      <c r="VAA243"/>
      <c r="VAB243"/>
      <c r="VAC243"/>
      <c r="VAD243"/>
      <c r="VAE243"/>
      <c r="VAF243"/>
      <c r="VAG243"/>
      <c r="VAH243"/>
      <c r="VAI243"/>
      <c r="VAJ243"/>
      <c r="VAK243"/>
      <c r="VAL243"/>
      <c r="VAM243"/>
      <c r="VAN243"/>
      <c r="VAO243"/>
      <c r="VAP243"/>
      <c r="VAQ243"/>
      <c r="VAR243"/>
      <c r="VAS243"/>
      <c r="VAT243"/>
      <c r="VAU243"/>
      <c r="VAV243"/>
      <c r="VAW243"/>
      <c r="VAX243"/>
      <c r="VAY243"/>
      <c r="VAZ243"/>
      <c r="VBA243"/>
      <c r="VBB243"/>
      <c r="VBC243"/>
      <c r="VBD243"/>
      <c r="VBE243"/>
      <c r="VBF243"/>
      <c r="VBG243"/>
      <c r="VBH243"/>
      <c r="VBI243"/>
      <c r="VBJ243"/>
      <c r="VBK243"/>
      <c r="VBL243"/>
      <c r="VBM243"/>
      <c r="VBN243"/>
      <c r="VBO243"/>
      <c r="VBP243"/>
      <c r="VBQ243"/>
      <c r="VBR243"/>
      <c r="VBS243"/>
      <c r="VBT243"/>
      <c r="VBU243"/>
      <c r="VBV243"/>
      <c r="VBW243"/>
      <c r="VBX243"/>
      <c r="VBY243"/>
      <c r="VBZ243"/>
      <c r="VCA243"/>
      <c r="VCB243"/>
      <c r="VCC243"/>
      <c r="VCD243"/>
      <c r="VCE243"/>
      <c r="VCF243"/>
      <c r="VCG243"/>
      <c r="VCH243"/>
      <c r="VCI243"/>
      <c r="VCJ243"/>
      <c r="VCK243"/>
      <c r="VCL243"/>
      <c r="VCM243"/>
      <c r="VCN243"/>
      <c r="VCO243"/>
      <c r="VCP243"/>
      <c r="VCQ243"/>
      <c r="VCR243"/>
      <c r="VCS243"/>
      <c r="VCT243"/>
      <c r="VCU243"/>
      <c r="VCV243"/>
      <c r="VCW243"/>
      <c r="VCX243"/>
      <c r="VCY243"/>
      <c r="VCZ243"/>
      <c r="VDA243"/>
      <c r="VDB243"/>
      <c r="VDC243"/>
      <c r="VDD243"/>
      <c r="VDE243"/>
      <c r="VDF243"/>
      <c r="VDG243"/>
      <c r="VDH243"/>
      <c r="VDI243"/>
      <c r="VDJ243"/>
      <c r="VDK243"/>
      <c r="VDL243"/>
      <c r="VDM243"/>
      <c r="VDN243"/>
      <c r="VDO243"/>
      <c r="VDP243"/>
      <c r="VDQ243"/>
      <c r="VDR243"/>
      <c r="VDS243"/>
      <c r="VDT243"/>
      <c r="VDU243"/>
      <c r="VDV243"/>
      <c r="VDW243"/>
      <c r="VDX243"/>
      <c r="VDY243"/>
      <c r="VDZ243"/>
      <c r="VEA243"/>
      <c r="VEB243"/>
      <c r="VEC243"/>
      <c r="VED243"/>
      <c r="VEE243"/>
      <c r="VEF243"/>
      <c r="VEG243"/>
      <c r="VEH243"/>
      <c r="VEI243"/>
      <c r="VEJ243"/>
      <c r="VEK243"/>
      <c r="VEL243"/>
      <c r="VEM243"/>
      <c r="VEN243"/>
      <c r="VEO243"/>
      <c r="VEP243"/>
      <c r="VEQ243"/>
      <c r="VER243"/>
      <c r="VES243"/>
      <c r="VET243"/>
      <c r="VEU243"/>
      <c r="VEV243"/>
      <c r="VEW243"/>
      <c r="VEX243"/>
      <c r="VEY243"/>
      <c r="VEZ243"/>
      <c r="VFA243"/>
      <c r="VFB243"/>
      <c r="VFC243"/>
      <c r="VFD243"/>
      <c r="VFE243"/>
      <c r="VFF243"/>
      <c r="VFG243"/>
      <c r="VFH243"/>
      <c r="VFI243"/>
      <c r="VFJ243"/>
      <c r="VFK243"/>
      <c r="VFL243"/>
      <c r="VFM243"/>
      <c r="VFN243"/>
      <c r="VFO243"/>
      <c r="VFP243"/>
      <c r="VFQ243"/>
      <c r="VFR243"/>
      <c r="VFS243"/>
      <c r="VFT243"/>
      <c r="VFU243"/>
      <c r="VFV243"/>
      <c r="VFW243"/>
      <c r="VFX243"/>
      <c r="VFY243"/>
      <c r="VFZ243"/>
      <c r="VGA243"/>
      <c r="VGB243"/>
      <c r="VGC243"/>
      <c r="VGD243"/>
      <c r="VGE243"/>
      <c r="VGF243"/>
      <c r="VGG243"/>
      <c r="VGH243"/>
      <c r="VGI243"/>
      <c r="VGJ243"/>
      <c r="VGK243"/>
      <c r="VGL243"/>
      <c r="VGM243"/>
      <c r="VGN243"/>
      <c r="VGO243"/>
      <c r="VGP243"/>
      <c r="VGQ243"/>
      <c r="VGR243"/>
      <c r="VGS243"/>
      <c r="VGT243"/>
      <c r="VGU243"/>
      <c r="VGV243"/>
      <c r="VGW243"/>
      <c r="VGX243"/>
      <c r="VGY243"/>
      <c r="VGZ243"/>
      <c r="VHA243"/>
      <c r="VHB243"/>
      <c r="VHC243"/>
      <c r="VHD243"/>
      <c r="VHE243"/>
      <c r="VHF243"/>
      <c r="VHG243"/>
      <c r="VHH243"/>
      <c r="VHI243"/>
      <c r="VHJ243"/>
      <c r="VHK243"/>
      <c r="VHL243"/>
      <c r="VHM243"/>
      <c r="VHN243"/>
      <c r="VHO243"/>
      <c r="VHP243"/>
      <c r="VHQ243"/>
      <c r="VHR243"/>
      <c r="VHS243"/>
      <c r="VHT243"/>
      <c r="VHU243"/>
      <c r="VHV243"/>
      <c r="VHW243"/>
      <c r="VHX243"/>
      <c r="VHY243"/>
      <c r="VHZ243"/>
      <c r="VIA243"/>
      <c r="VIB243"/>
      <c r="VIC243"/>
      <c r="VID243"/>
      <c r="VIE243"/>
      <c r="VIF243"/>
      <c r="VIG243"/>
      <c r="VIH243"/>
      <c r="VII243"/>
      <c r="VIJ243"/>
      <c r="VIK243"/>
      <c r="VIL243"/>
      <c r="VIM243"/>
      <c r="VIN243"/>
      <c r="VIO243"/>
      <c r="VIP243"/>
      <c r="VIQ243"/>
      <c r="VIR243"/>
      <c r="VIS243"/>
      <c r="VIT243"/>
      <c r="VIU243"/>
      <c r="VIV243"/>
      <c r="VIW243"/>
      <c r="VIX243"/>
      <c r="VIY243"/>
      <c r="VIZ243"/>
      <c r="VJA243"/>
      <c r="VJB243"/>
      <c r="VJC243"/>
      <c r="VJD243"/>
      <c r="VJE243"/>
      <c r="VJF243"/>
      <c r="VJG243"/>
      <c r="VJH243"/>
      <c r="VJI243"/>
      <c r="VJJ243"/>
      <c r="VJK243"/>
      <c r="VJL243"/>
      <c r="VJM243"/>
      <c r="VJN243"/>
      <c r="VJO243"/>
      <c r="VJP243"/>
      <c r="VJQ243"/>
      <c r="VJR243"/>
      <c r="VJS243"/>
      <c r="VJT243"/>
      <c r="VJU243"/>
      <c r="VJV243"/>
      <c r="VJW243"/>
      <c r="VJX243"/>
      <c r="VJY243"/>
      <c r="VJZ243"/>
      <c r="VKA243"/>
      <c r="VKB243"/>
      <c r="VKC243"/>
      <c r="VKD243"/>
      <c r="VKE243"/>
      <c r="VKF243"/>
      <c r="VKG243"/>
      <c r="VKH243"/>
      <c r="VKI243"/>
      <c r="VKJ243"/>
      <c r="VKK243"/>
      <c r="VKL243"/>
      <c r="VKM243"/>
      <c r="VKN243"/>
      <c r="VKO243"/>
      <c r="VKP243"/>
      <c r="VKQ243"/>
      <c r="VKR243"/>
      <c r="VKS243"/>
      <c r="VKT243"/>
      <c r="VKU243"/>
      <c r="VKV243"/>
      <c r="VKW243"/>
      <c r="VKX243"/>
      <c r="VKY243"/>
      <c r="VKZ243"/>
      <c r="VLA243"/>
      <c r="VLB243"/>
      <c r="VLC243"/>
      <c r="VLD243"/>
      <c r="VLE243"/>
      <c r="VLF243"/>
      <c r="VLG243"/>
      <c r="VLH243"/>
      <c r="VLI243"/>
      <c r="VLJ243"/>
      <c r="VLK243"/>
      <c r="VLL243"/>
      <c r="VLM243"/>
      <c r="VLN243"/>
      <c r="VLO243"/>
      <c r="VLP243"/>
      <c r="VLQ243"/>
      <c r="VLR243"/>
      <c r="VLS243"/>
      <c r="VLT243"/>
      <c r="VLU243"/>
      <c r="VLV243"/>
      <c r="VLW243"/>
      <c r="VLX243"/>
      <c r="VLY243"/>
      <c r="VLZ243"/>
      <c r="VMA243"/>
      <c r="VMB243"/>
      <c r="VMC243"/>
      <c r="VMD243"/>
      <c r="VME243"/>
      <c r="VMF243"/>
      <c r="VMG243"/>
      <c r="VMH243"/>
      <c r="VMI243"/>
      <c r="VMJ243"/>
      <c r="VMK243"/>
      <c r="VML243"/>
      <c r="VMM243"/>
      <c r="VMN243"/>
      <c r="VMO243"/>
      <c r="VMP243"/>
      <c r="VMQ243"/>
      <c r="VMR243"/>
      <c r="VMS243"/>
      <c r="VMT243"/>
      <c r="VMU243"/>
      <c r="VMV243"/>
      <c r="VMW243"/>
      <c r="VMX243"/>
      <c r="VMY243"/>
      <c r="VMZ243"/>
      <c r="VNA243"/>
      <c r="VNB243"/>
      <c r="VNC243"/>
      <c r="VND243"/>
      <c r="VNE243"/>
      <c r="VNF243"/>
      <c r="VNG243"/>
      <c r="VNH243"/>
      <c r="VNI243"/>
      <c r="VNJ243"/>
      <c r="VNK243"/>
      <c r="VNL243"/>
      <c r="VNM243"/>
      <c r="VNN243"/>
      <c r="VNO243"/>
      <c r="VNP243"/>
      <c r="VNQ243"/>
      <c r="VNR243"/>
      <c r="VNS243"/>
      <c r="VNT243"/>
      <c r="VNU243"/>
      <c r="VNV243"/>
      <c r="VNW243"/>
      <c r="VNX243"/>
      <c r="VNY243"/>
      <c r="VNZ243"/>
      <c r="VOA243"/>
      <c r="VOB243"/>
      <c r="VOC243"/>
      <c r="VOD243"/>
      <c r="VOE243"/>
      <c r="VOF243"/>
      <c r="VOG243"/>
      <c r="VOH243"/>
      <c r="VOI243"/>
      <c r="VOJ243"/>
      <c r="VOK243"/>
      <c r="VOL243"/>
      <c r="VOM243"/>
      <c r="VON243"/>
      <c r="VOO243"/>
      <c r="VOP243"/>
      <c r="VOQ243"/>
      <c r="VOR243"/>
      <c r="VOS243"/>
      <c r="VOT243"/>
      <c r="VOU243"/>
      <c r="VOV243"/>
      <c r="VOW243"/>
      <c r="VOX243"/>
      <c r="VOY243"/>
      <c r="VOZ243"/>
      <c r="VPA243"/>
      <c r="VPB243"/>
      <c r="VPC243"/>
      <c r="VPD243"/>
      <c r="VPE243"/>
      <c r="VPF243"/>
      <c r="VPG243"/>
      <c r="VPH243"/>
      <c r="VPI243"/>
      <c r="VPJ243"/>
      <c r="VPK243"/>
      <c r="VPL243"/>
      <c r="VPM243"/>
      <c r="VPN243"/>
      <c r="VPO243"/>
      <c r="VPP243"/>
      <c r="VPQ243"/>
      <c r="VPR243"/>
      <c r="VPS243"/>
      <c r="VPT243"/>
      <c r="VPU243"/>
      <c r="VPV243"/>
      <c r="VPW243"/>
      <c r="VPX243"/>
      <c r="VPY243"/>
      <c r="VPZ243"/>
      <c r="VQA243"/>
      <c r="VQB243"/>
      <c r="VQC243"/>
      <c r="VQD243"/>
      <c r="VQE243"/>
      <c r="VQF243"/>
      <c r="VQG243"/>
      <c r="VQH243"/>
      <c r="VQI243"/>
      <c r="VQJ243"/>
      <c r="VQK243"/>
      <c r="VQL243"/>
      <c r="VQM243"/>
      <c r="VQN243"/>
      <c r="VQO243"/>
      <c r="VQP243"/>
      <c r="VQQ243"/>
      <c r="VQR243"/>
      <c r="VQS243"/>
      <c r="VQT243"/>
      <c r="VQU243"/>
      <c r="VQV243"/>
      <c r="VQW243"/>
      <c r="VQX243"/>
      <c r="VQY243"/>
      <c r="VQZ243"/>
      <c r="VRA243"/>
      <c r="VRB243"/>
      <c r="VRC243"/>
      <c r="VRD243"/>
      <c r="VRE243"/>
      <c r="VRF243"/>
      <c r="VRG243"/>
      <c r="VRH243"/>
      <c r="VRI243"/>
      <c r="VRJ243"/>
      <c r="VRK243"/>
      <c r="VRL243"/>
      <c r="VRM243"/>
      <c r="VRN243"/>
      <c r="VRO243"/>
      <c r="VRP243"/>
      <c r="VRQ243"/>
      <c r="VRR243"/>
      <c r="VRS243"/>
      <c r="VRT243"/>
      <c r="VRU243"/>
      <c r="VRV243"/>
      <c r="VRW243"/>
      <c r="VRX243"/>
      <c r="VRY243"/>
      <c r="VRZ243"/>
      <c r="VSA243"/>
      <c r="VSB243"/>
      <c r="VSC243"/>
      <c r="VSD243"/>
      <c r="VSE243"/>
      <c r="VSF243"/>
      <c r="VSG243"/>
      <c r="VSH243"/>
      <c r="VSI243"/>
      <c r="VSJ243"/>
      <c r="VSK243"/>
      <c r="VSL243"/>
      <c r="VSM243"/>
      <c r="VSN243"/>
      <c r="VSO243"/>
      <c r="VSP243"/>
      <c r="VSQ243"/>
      <c r="VSR243"/>
      <c r="VSS243"/>
      <c r="VST243"/>
      <c r="VSU243"/>
      <c r="VSV243"/>
      <c r="VSW243"/>
      <c r="VSX243"/>
      <c r="VSY243"/>
      <c r="VSZ243"/>
      <c r="VTA243"/>
      <c r="VTB243"/>
      <c r="VTC243"/>
      <c r="VTD243"/>
      <c r="VTE243"/>
      <c r="VTF243"/>
      <c r="VTG243"/>
      <c r="VTH243"/>
      <c r="VTI243"/>
      <c r="VTJ243"/>
      <c r="VTK243"/>
      <c r="VTL243"/>
      <c r="VTM243"/>
      <c r="VTN243"/>
      <c r="VTO243"/>
      <c r="VTP243"/>
      <c r="VTQ243"/>
      <c r="VTR243"/>
      <c r="VTS243"/>
      <c r="VTT243"/>
      <c r="VTU243"/>
      <c r="VTV243"/>
      <c r="VTW243"/>
      <c r="VTX243"/>
      <c r="VTY243"/>
      <c r="VTZ243"/>
      <c r="VUA243"/>
      <c r="VUB243"/>
      <c r="VUC243"/>
      <c r="VUD243"/>
      <c r="VUE243"/>
      <c r="VUF243"/>
      <c r="VUG243"/>
      <c r="VUH243"/>
      <c r="VUI243"/>
      <c r="VUJ243"/>
      <c r="VUK243"/>
      <c r="VUL243"/>
      <c r="VUM243"/>
      <c r="VUN243"/>
      <c r="VUO243"/>
      <c r="VUP243"/>
      <c r="VUQ243"/>
      <c r="VUR243"/>
      <c r="VUS243"/>
      <c r="VUT243"/>
      <c r="VUU243"/>
      <c r="VUV243"/>
      <c r="VUW243"/>
      <c r="VUX243"/>
      <c r="VUY243"/>
      <c r="VUZ243"/>
      <c r="VVA243"/>
      <c r="VVB243"/>
      <c r="VVC243"/>
      <c r="VVD243"/>
      <c r="VVE243"/>
      <c r="VVF243"/>
      <c r="VVG243"/>
      <c r="VVH243"/>
      <c r="VVI243"/>
      <c r="VVJ243"/>
      <c r="VVK243"/>
      <c r="VVL243"/>
      <c r="VVM243"/>
      <c r="VVN243"/>
      <c r="VVO243"/>
      <c r="VVP243"/>
      <c r="VVQ243"/>
      <c r="VVR243"/>
      <c r="VVS243"/>
      <c r="VVT243"/>
      <c r="VVU243"/>
      <c r="VVV243"/>
      <c r="VVW243"/>
      <c r="VVX243"/>
      <c r="VVY243"/>
      <c r="VVZ243"/>
      <c r="VWA243"/>
      <c r="VWB243"/>
      <c r="VWC243"/>
      <c r="VWD243"/>
      <c r="VWE243"/>
      <c r="VWF243"/>
      <c r="VWG243"/>
      <c r="VWH243"/>
      <c r="VWI243"/>
      <c r="VWJ243"/>
      <c r="VWK243"/>
      <c r="VWL243"/>
      <c r="VWM243"/>
      <c r="VWN243"/>
      <c r="VWO243"/>
      <c r="VWP243"/>
      <c r="VWQ243"/>
      <c r="VWR243"/>
      <c r="VWS243"/>
      <c r="VWT243"/>
      <c r="VWU243"/>
      <c r="VWV243"/>
      <c r="VWW243"/>
      <c r="VWX243"/>
      <c r="VWY243"/>
      <c r="VWZ243"/>
      <c r="VXA243"/>
      <c r="VXB243"/>
      <c r="VXC243"/>
      <c r="VXD243"/>
      <c r="VXE243"/>
      <c r="VXF243"/>
      <c r="VXG243"/>
      <c r="VXH243"/>
      <c r="VXI243"/>
      <c r="VXJ243"/>
      <c r="VXK243"/>
      <c r="VXL243"/>
      <c r="VXM243"/>
      <c r="VXN243"/>
      <c r="VXO243"/>
      <c r="VXP243"/>
      <c r="VXQ243"/>
      <c r="VXR243"/>
      <c r="VXS243"/>
      <c r="VXT243"/>
      <c r="VXU243"/>
      <c r="VXV243"/>
      <c r="VXW243"/>
      <c r="VXX243"/>
      <c r="VXY243"/>
      <c r="VXZ243"/>
      <c r="VYA243"/>
      <c r="VYB243"/>
      <c r="VYC243"/>
      <c r="VYD243"/>
      <c r="VYE243"/>
      <c r="VYF243"/>
      <c r="VYG243"/>
      <c r="VYH243"/>
      <c r="VYI243"/>
      <c r="VYJ243"/>
      <c r="VYK243"/>
      <c r="VYL243"/>
      <c r="VYM243"/>
      <c r="VYN243"/>
      <c r="VYO243"/>
      <c r="VYP243"/>
      <c r="VYQ243"/>
      <c r="VYR243"/>
      <c r="VYS243"/>
      <c r="VYT243"/>
      <c r="VYU243"/>
      <c r="VYV243"/>
      <c r="VYW243"/>
      <c r="VYX243"/>
      <c r="VYY243"/>
      <c r="VYZ243"/>
      <c r="VZA243"/>
      <c r="VZB243"/>
      <c r="VZC243"/>
      <c r="VZD243"/>
      <c r="VZE243"/>
      <c r="VZF243"/>
      <c r="VZG243"/>
      <c r="VZH243"/>
      <c r="VZI243"/>
      <c r="VZJ243"/>
      <c r="VZK243"/>
      <c r="VZL243"/>
      <c r="VZM243"/>
      <c r="VZN243"/>
      <c r="VZO243"/>
      <c r="VZP243"/>
      <c r="VZQ243"/>
      <c r="VZR243"/>
      <c r="VZS243"/>
      <c r="VZT243"/>
      <c r="VZU243"/>
      <c r="VZV243"/>
      <c r="VZW243"/>
      <c r="VZX243"/>
      <c r="VZY243"/>
      <c r="VZZ243"/>
      <c r="WAA243"/>
      <c r="WAB243"/>
      <c r="WAC243"/>
      <c r="WAD243"/>
      <c r="WAE243"/>
      <c r="WAF243"/>
      <c r="WAG243"/>
      <c r="WAH243"/>
      <c r="WAI243"/>
      <c r="WAJ243"/>
      <c r="WAK243"/>
      <c r="WAL243"/>
      <c r="WAM243"/>
      <c r="WAN243"/>
      <c r="WAO243"/>
      <c r="WAP243"/>
      <c r="WAQ243"/>
      <c r="WAR243"/>
      <c r="WAS243"/>
      <c r="WAT243"/>
      <c r="WAU243"/>
      <c r="WAV243"/>
      <c r="WAW243"/>
      <c r="WAX243"/>
      <c r="WAY243"/>
      <c r="WAZ243"/>
      <c r="WBA243"/>
      <c r="WBB243"/>
      <c r="WBC243"/>
      <c r="WBD243"/>
      <c r="WBE243"/>
      <c r="WBF243"/>
      <c r="WBG243"/>
      <c r="WBH243"/>
      <c r="WBI243"/>
      <c r="WBJ243"/>
      <c r="WBK243"/>
      <c r="WBL243"/>
      <c r="WBM243"/>
      <c r="WBN243"/>
      <c r="WBO243"/>
      <c r="WBP243"/>
      <c r="WBQ243"/>
      <c r="WBR243"/>
      <c r="WBS243"/>
      <c r="WBT243"/>
      <c r="WBU243"/>
      <c r="WBV243"/>
      <c r="WBW243"/>
      <c r="WBX243"/>
      <c r="WBY243"/>
      <c r="WBZ243"/>
      <c r="WCA243"/>
      <c r="WCB243"/>
      <c r="WCC243"/>
      <c r="WCD243"/>
      <c r="WCE243"/>
      <c r="WCF243"/>
      <c r="WCG243"/>
      <c r="WCH243"/>
      <c r="WCI243"/>
      <c r="WCJ243"/>
      <c r="WCK243"/>
      <c r="WCL243"/>
      <c r="WCM243"/>
      <c r="WCN243"/>
      <c r="WCO243"/>
      <c r="WCP243"/>
      <c r="WCQ243"/>
      <c r="WCR243"/>
      <c r="WCS243"/>
      <c r="WCT243"/>
      <c r="WCU243"/>
      <c r="WCV243"/>
      <c r="WCW243"/>
      <c r="WCX243"/>
      <c r="WCY243"/>
      <c r="WCZ243"/>
      <c r="WDA243"/>
      <c r="WDB243"/>
      <c r="WDC243"/>
      <c r="WDD243"/>
      <c r="WDE243"/>
      <c r="WDF243"/>
      <c r="WDG243"/>
      <c r="WDH243"/>
      <c r="WDI243"/>
      <c r="WDJ243"/>
      <c r="WDK243"/>
      <c r="WDL243"/>
      <c r="WDM243"/>
      <c r="WDN243"/>
      <c r="WDO243"/>
      <c r="WDP243"/>
      <c r="WDQ243"/>
      <c r="WDR243"/>
      <c r="WDS243"/>
      <c r="WDT243"/>
      <c r="WDU243"/>
      <c r="WDV243"/>
      <c r="WDW243"/>
      <c r="WDX243"/>
      <c r="WDY243"/>
      <c r="WDZ243"/>
      <c r="WEA243"/>
      <c r="WEB243"/>
      <c r="WEC243"/>
      <c r="WED243"/>
      <c r="WEE243"/>
      <c r="WEF243"/>
      <c r="WEG243"/>
      <c r="WEH243"/>
      <c r="WEI243"/>
      <c r="WEJ243"/>
      <c r="WEK243"/>
      <c r="WEL243"/>
      <c r="WEM243"/>
      <c r="WEN243"/>
      <c r="WEO243"/>
      <c r="WEP243"/>
      <c r="WEQ243"/>
      <c r="WER243"/>
      <c r="WES243"/>
      <c r="WET243"/>
      <c r="WEU243"/>
      <c r="WEV243"/>
      <c r="WEW243"/>
      <c r="WEX243"/>
      <c r="WEY243"/>
      <c r="WEZ243"/>
      <c r="WFA243"/>
      <c r="WFB243"/>
      <c r="WFC243"/>
      <c r="WFD243"/>
      <c r="WFE243"/>
      <c r="WFF243"/>
      <c r="WFG243"/>
      <c r="WFH243"/>
      <c r="WFI243"/>
      <c r="WFJ243"/>
      <c r="WFK243"/>
      <c r="WFL243"/>
      <c r="WFM243"/>
      <c r="WFN243"/>
      <c r="WFO243"/>
      <c r="WFP243"/>
      <c r="WFQ243"/>
      <c r="WFR243"/>
      <c r="WFS243"/>
      <c r="WFT243"/>
      <c r="WFU243"/>
      <c r="WFV243"/>
      <c r="WFW243"/>
      <c r="WFX243"/>
      <c r="WFY243"/>
      <c r="WFZ243"/>
      <c r="WGA243"/>
      <c r="WGB243"/>
      <c r="WGC243"/>
      <c r="WGD243"/>
      <c r="WGE243"/>
      <c r="WGF243"/>
      <c r="WGG243"/>
      <c r="WGH243"/>
      <c r="WGI243"/>
      <c r="WGJ243"/>
      <c r="WGK243"/>
      <c r="WGL243"/>
      <c r="WGM243"/>
      <c r="WGN243"/>
      <c r="WGO243"/>
      <c r="WGP243"/>
      <c r="WGQ243"/>
      <c r="WGR243"/>
      <c r="WGS243"/>
      <c r="WGT243"/>
      <c r="WGU243"/>
      <c r="WGV243"/>
      <c r="WGW243"/>
      <c r="WGX243"/>
      <c r="WGY243"/>
      <c r="WGZ243"/>
      <c r="WHA243"/>
      <c r="WHB243"/>
      <c r="WHC243"/>
      <c r="WHD243"/>
      <c r="WHE243"/>
      <c r="WHF243"/>
      <c r="WHG243"/>
      <c r="WHH243"/>
      <c r="WHI243"/>
      <c r="WHJ243"/>
      <c r="WHK243"/>
      <c r="WHL243"/>
      <c r="WHM243"/>
      <c r="WHN243"/>
      <c r="WHO243"/>
      <c r="WHP243"/>
      <c r="WHQ243"/>
      <c r="WHR243"/>
      <c r="WHS243"/>
      <c r="WHT243"/>
      <c r="WHU243"/>
      <c r="WHV243"/>
      <c r="WHW243"/>
      <c r="WHX243"/>
      <c r="WHY243"/>
      <c r="WHZ243"/>
      <c r="WIA243"/>
      <c r="WIB243"/>
      <c r="WIC243"/>
      <c r="WID243"/>
      <c r="WIE243"/>
      <c r="WIF243"/>
      <c r="WIG243"/>
      <c r="WIH243"/>
      <c r="WII243"/>
      <c r="WIJ243"/>
      <c r="WIK243"/>
      <c r="WIL243"/>
      <c r="WIM243"/>
      <c r="WIN243"/>
      <c r="WIO243"/>
      <c r="WIP243"/>
      <c r="WIQ243"/>
      <c r="WIR243"/>
      <c r="WIS243"/>
      <c r="WIT243"/>
      <c r="WIU243"/>
      <c r="WIV243"/>
      <c r="WIW243"/>
      <c r="WIX243"/>
      <c r="WIY243"/>
      <c r="WIZ243"/>
      <c r="WJA243"/>
      <c r="WJB243"/>
      <c r="WJC243"/>
      <c r="WJD243"/>
      <c r="WJE243"/>
      <c r="WJF243"/>
      <c r="WJG243"/>
      <c r="WJH243"/>
      <c r="WJI243"/>
      <c r="WJJ243"/>
      <c r="WJK243"/>
      <c r="WJL243"/>
      <c r="WJM243"/>
      <c r="WJN243"/>
      <c r="WJO243"/>
      <c r="WJP243"/>
      <c r="WJQ243"/>
      <c r="WJR243"/>
      <c r="WJS243"/>
      <c r="WJT243"/>
      <c r="WJU243"/>
      <c r="WJV243"/>
      <c r="WJW243"/>
      <c r="WJX243"/>
      <c r="WJY243"/>
      <c r="WJZ243"/>
      <c r="WKA243"/>
      <c r="WKB243"/>
      <c r="WKC243"/>
      <c r="WKD243"/>
      <c r="WKE243"/>
      <c r="WKF243"/>
      <c r="WKG243"/>
      <c r="WKH243"/>
      <c r="WKI243"/>
      <c r="WKJ243"/>
      <c r="WKK243"/>
      <c r="WKL243"/>
      <c r="WKM243"/>
      <c r="WKN243"/>
      <c r="WKO243"/>
      <c r="WKP243"/>
      <c r="WKQ243"/>
      <c r="WKR243"/>
      <c r="WKS243"/>
      <c r="WKT243"/>
      <c r="WKU243"/>
      <c r="WKV243"/>
      <c r="WKW243"/>
      <c r="WKX243"/>
      <c r="WKY243"/>
      <c r="WKZ243"/>
      <c r="WLA243"/>
      <c r="WLB243"/>
      <c r="WLC243"/>
      <c r="WLD243"/>
      <c r="WLE243"/>
      <c r="WLF243"/>
      <c r="WLG243"/>
      <c r="WLH243"/>
      <c r="WLI243"/>
      <c r="WLJ243"/>
      <c r="WLK243"/>
      <c r="WLL243"/>
      <c r="WLM243"/>
      <c r="WLN243"/>
      <c r="WLO243"/>
      <c r="WLP243"/>
      <c r="WLQ243"/>
      <c r="WLR243"/>
      <c r="WLS243"/>
      <c r="WLT243"/>
      <c r="WLU243"/>
      <c r="WLV243"/>
      <c r="WLW243"/>
      <c r="WLX243"/>
      <c r="WLY243"/>
      <c r="WLZ243"/>
      <c r="WMA243"/>
      <c r="WMB243"/>
      <c r="WMC243"/>
      <c r="WMD243"/>
      <c r="WME243"/>
      <c r="WMF243"/>
      <c r="WMG243"/>
      <c r="WMH243"/>
      <c r="WMI243"/>
      <c r="WMJ243"/>
      <c r="WMK243"/>
      <c r="WML243"/>
      <c r="WMM243"/>
      <c r="WMN243"/>
      <c r="WMO243"/>
      <c r="WMP243"/>
      <c r="WMQ243"/>
      <c r="WMR243"/>
      <c r="WMS243"/>
      <c r="WMT243"/>
      <c r="WMU243"/>
      <c r="WMV243"/>
      <c r="WMW243"/>
      <c r="WMX243"/>
      <c r="WMY243"/>
      <c r="WMZ243"/>
      <c r="WNA243"/>
      <c r="WNB243"/>
      <c r="WNC243"/>
      <c r="WND243"/>
      <c r="WNE243"/>
      <c r="WNF243"/>
      <c r="WNG243"/>
      <c r="WNH243"/>
      <c r="WNI243"/>
      <c r="WNJ243"/>
      <c r="WNK243"/>
      <c r="WNL243"/>
      <c r="WNM243"/>
      <c r="WNN243"/>
      <c r="WNO243"/>
      <c r="WNP243"/>
      <c r="WNQ243"/>
      <c r="WNR243"/>
      <c r="WNS243"/>
      <c r="WNT243"/>
      <c r="WNU243"/>
      <c r="WNV243"/>
      <c r="WNW243"/>
      <c r="WNX243"/>
      <c r="WNY243"/>
      <c r="WNZ243"/>
      <c r="WOA243"/>
      <c r="WOB243"/>
      <c r="WOC243"/>
      <c r="WOD243"/>
      <c r="WOE243"/>
      <c r="WOF243"/>
      <c r="WOG243"/>
      <c r="WOH243"/>
      <c r="WOI243"/>
      <c r="WOJ243"/>
      <c r="WOK243"/>
      <c r="WOL243"/>
      <c r="WOM243"/>
      <c r="WON243"/>
      <c r="WOO243"/>
      <c r="WOP243"/>
      <c r="WOQ243"/>
      <c r="WOR243"/>
      <c r="WOS243"/>
      <c r="WOT243"/>
      <c r="WOU243"/>
      <c r="WOV243"/>
      <c r="WOW243"/>
      <c r="WOX243"/>
      <c r="WOY243"/>
      <c r="WOZ243"/>
      <c r="WPA243"/>
      <c r="WPB243"/>
      <c r="WPC243"/>
      <c r="WPD243"/>
      <c r="WPE243"/>
      <c r="WPF243"/>
      <c r="WPG243"/>
      <c r="WPH243"/>
      <c r="WPI243"/>
      <c r="WPJ243"/>
      <c r="WPK243"/>
      <c r="WPL243"/>
      <c r="WPM243"/>
      <c r="WPN243"/>
      <c r="WPO243"/>
      <c r="WPP243"/>
      <c r="WPQ243"/>
      <c r="WPR243"/>
      <c r="WPS243"/>
      <c r="WPT243"/>
      <c r="WPU243"/>
      <c r="WPV243"/>
      <c r="WPW243"/>
      <c r="WPX243"/>
      <c r="WPY243"/>
      <c r="WPZ243"/>
      <c r="WQA243"/>
      <c r="WQB243"/>
      <c r="WQC243"/>
      <c r="WQD243"/>
      <c r="WQE243"/>
      <c r="WQF243"/>
      <c r="WQG243"/>
      <c r="WQH243"/>
      <c r="WQI243"/>
      <c r="WQJ243"/>
      <c r="WQK243"/>
      <c r="WQL243"/>
      <c r="WQM243"/>
      <c r="WQN243"/>
      <c r="WQO243"/>
      <c r="WQP243"/>
      <c r="WQQ243"/>
      <c r="WQR243"/>
      <c r="WQS243"/>
      <c r="WQT243"/>
      <c r="WQU243"/>
      <c r="WQV243"/>
      <c r="WQW243"/>
      <c r="WQX243"/>
      <c r="WQY243"/>
      <c r="WQZ243"/>
      <c r="WRA243"/>
      <c r="WRB243"/>
      <c r="WRC243"/>
      <c r="WRD243"/>
      <c r="WRE243"/>
      <c r="WRF243"/>
      <c r="WRG243"/>
      <c r="WRH243"/>
      <c r="WRI243"/>
      <c r="WRJ243"/>
      <c r="WRK243"/>
      <c r="WRL243"/>
      <c r="WRM243"/>
      <c r="WRN243"/>
      <c r="WRO243"/>
      <c r="WRP243"/>
      <c r="WRQ243"/>
      <c r="WRR243"/>
      <c r="WRS243"/>
      <c r="WRT243"/>
      <c r="WRU243"/>
      <c r="WRV243"/>
      <c r="WRW243"/>
      <c r="WRX243"/>
      <c r="WRY243"/>
      <c r="WRZ243"/>
      <c r="WSA243"/>
      <c r="WSB243"/>
      <c r="WSC243"/>
      <c r="WSD243"/>
      <c r="WSE243"/>
      <c r="WSF243"/>
      <c r="WSG243"/>
      <c r="WSH243"/>
      <c r="WSI243"/>
      <c r="WSJ243"/>
      <c r="WSK243"/>
      <c r="WSL243"/>
      <c r="WSM243"/>
      <c r="WSN243"/>
      <c r="WSO243"/>
      <c r="WSP243"/>
      <c r="WSQ243"/>
      <c r="WSR243"/>
      <c r="WSS243"/>
      <c r="WST243"/>
      <c r="WSU243"/>
      <c r="WSV243"/>
      <c r="WSW243"/>
      <c r="WSX243"/>
      <c r="WSY243"/>
      <c r="WSZ243"/>
      <c r="WTA243"/>
      <c r="WTB243"/>
      <c r="WTC243"/>
      <c r="WTD243"/>
      <c r="WTE243"/>
      <c r="WTF243"/>
      <c r="WTG243"/>
      <c r="WTH243"/>
      <c r="WTI243"/>
      <c r="WTJ243"/>
      <c r="WTK243"/>
      <c r="WTL243"/>
      <c r="WTM243"/>
      <c r="WTN243"/>
      <c r="WTO243"/>
      <c r="WTP243"/>
      <c r="WTQ243"/>
      <c r="WTR243"/>
      <c r="WTS243"/>
      <c r="WTT243"/>
      <c r="WTU243"/>
      <c r="WTV243"/>
      <c r="WTW243"/>
      <c r="WTX243"/>
      <c r="WTY243"/>
      <c r="WTZ243"/>
      <c r="WUA243"/>
      <c r="WUB243"/>
      <c r="WUC243"/>
      <c r="WUD243"/>
      <c r="WUE243"/>
      <c r="WUF243"/>
      <c r="WUG243"/>
      <c r="WUH243"/>
      <c r="WUI243"/>
      <c r="WUJ243"/>
      <c r="WUK243"/>
      <c r="WUL243"/>
      <c r="WUM243"/>
      <c r="WUN243"/>
      <c r="WUO243"/>
      <c r="WUP243"/>
      <c r="WUQ243"/>
      <c r="WUR243"/>
      <c r="WUS243"/>
      <c r="WUT243"/>
      <c r="WUU243"/>
      <c r="WUV243"/>
      <c r="WUW243"/>
      <c r="WUX243"/>
      <c r="WUY243"/>
      <c r="WUZ243"/>
      <c r="WVA243"/>
      <c r="WVB243"/>
      <c r="WVC243"/>
      <c r="WVD243"/>
      <c r="WVE243"/>
      <c r="WVF243"/>
      <c r="WVG243"/>
      <c r="WVH243"/>
      <c r="WVI243"/>
      <c r="WVJ243"/>
      <c r="WVK243"/>
      <c r="WVL243"/>
      <c r="WVM243"/>
      <c r="WVN243"/>
      <c r="WVO243"/>
      <c r="WVP243"/>
      <c r="WVQ243"/>
      <c r="WVR243"/>
      <c r="WVS243"/>
      <c r="WVT243"/>
      <c r="WVU243"/>
      <c r="WVV243"/>
      <c r="WVW243"/>
      <c r="WVX243"/>
      <c r="WVY243"/>
      <c r="WVZ243"/>
      <c r="WWA243"/>
      <c r="WWB243"/>
      <c r="WWC243"/>
      <c r="WWD243"/>
      <c r="WWE243"/>
      <c r="WWF243"/>
      <c r="WWG243"/>
      <c r="WWH243"/>
      <c r="WWI243"/>
      <c r="WWJ243"/>
      <c r="WWK243"/>
      <c r="WWL243"/>
      <c r="WWM243"/>
      <c r="WWN243"/>
      <c r="WWO243"/>
      <c r="WWP243"/>
      <c r="WWQ243"/>
      <c r="WWR243"/>
      <c r="WWS243"/>
      <c r="WWT243"/>
      <c r="WWU243"/>
      <c r="WWV243"/>
      <c r="WWW243"/>
      <c r="WWX243"/>
      <c r="WWY243"/>
      <c r="WWZ243"/>
      <c r="WXA243"/>
      <c r="WXB243"/>
      <c r="WXC243"/>
      <c r="WXD243"/>
      <c r="WXE243"/>
      <c r="WXF243"/>
      <c r="WXG243"/>
      <c r="WXH243"/>
      <c r="WXI243"/>
      <c r="WXJ243"/>
      <c r="WXK243"/>
      <c r="WXL243"/>
      <c r="WXM243"/>
      <c r="WXN243"/>
      <c r="WXO243"/>
      <c r="WXP243"/>
      <c r="WXQ243"/>
      <c r="WXR243"/>
      <c r="WXS243"/>
      <c r="WXT243"/>
      <c r="WXU243"/>
      <c r="WXV243"/>
      <c r="WXW243"/>
      <c r="WXX243"/>
      <c r="WXY243"/>
      <c r="WXZ243"/>
      <c r="WYA243"/>
      <c r="WYB243"/>
      <c r="WYC243"/>
      <c r="WYD243"/>
      <c r="WYE243"/>
      <c r="WYF243"/>
      <c r="WYG243"/>
      <c r="WYH243"/>
      <c r="WYI243"/>
      <c r="WYJ243"/>
      <c r="WYK243"/>
      <c r="WYL243"/>
      <c r="WYM243"/>
      <c r="WYN243"/>
      <c r="WYO243"/>
      <c r="WYP243"/>
      <c r="WYQ243"/>
      <c r="WYR243"/>
      <c r="WYS243"/>
      <c r="WYT243"/>
      <c r="WYU243"/>
      <c r="WYV243"/>
      <c r="WYW243"/>
      <c r="WYX243"/>
      <c r="WYY243"/>
      <c r="WYZ243"/>
      <c r="WZA243"/>
      <c r="WZB243"/>
      <c r="WZC243"/>
      <c r="WZD243"/>
      <c r="WZE243"/>
      <c r="WZF243"/>
      <c r="WZG243"/>
      <c r="WZH243"/>
      <c r="WZI243"/>
      <c r="WZJ243"/>
      <c r="WZK243"/>
      <c r="WZL243"/>
      <c r="WZM243"/>
      <c r="WZN243"/>
      <c r="WZO243"/>
      <c r="WZP243"/>
      <c r="WZQ243"/>
      <c r="WZR243"/>
      <c r="WZS243"/>
      <c r="WZT243"/>
      <c r="WZU243"/>
      <c r="WZV243"/>
      <c r="WZW243"/>
      <c r="WZX243"/>
      <c r="WZY243"/>
      <c r="WZZ243"/>
      <c r="XAA243"/>
      <c r="XAB243"/>
      <c r="XAC243"/>
      <c r="XAD243"/>
      <c r="XAE243"/>
      <c r="XAF243"/>
      <c r="XAG243"/>
      <c r="XAH243"/>
      <c r="XAI243"/>
      <c r="XAJ243"/>
      <c r="XAK243"/>
      <c r="XAL243"/>
      <c r="XAM243"/>
      <c r="XAN243"/>
      <c r="XAO243"/>
      <c r="XAP243"/>
      <c r="XAQ243"/>
      <c r="XAR243"/>
      <c r="XAS243"/>
      <c r="XAT243"/>
      <c r="XAU243"/>
      <c r="XAV243"/>
      <c r="XAW243"/>
      <c r="XAX243"/>
      <c r="XAY243"/>
      <c r="XAZ243"/>
      <c r="XBA243"/>
      <c r="XBB243"/>
      <c r="XBC243"/>
      <c r="XBD243"/>
      <c r="XBE243"/>
      <c r="XBF243"/>
      <c r="XBG243"/>
      <c r="XBH243"/>
      <c r="XBI243"/>
      <c r="XBJ243"/>
      <c r="XBK243"/>
      <c r="XBL243"/>
      <c r="XBM243"/>
      <c r="XBN243"/>
      <c r="XBO243"/>
      <c r="XBP243"/>
      <c r="XBQ243"/>
      <c r="XBR243"/>
      <c r="XBS243"/>
      <c r="XBT243"/>
      <c r="XBU243"/>
      <c r="XBV243"/>
      <c r="XBW243"/>
      <c r="XBX243"/>
      <c r="XBY243"/>
      <c r="XBZ243"/>
      <c r="XCA243"/>
      <c r="XCB243"/>
      <c r="XCC243"/>
      <c r="XCD243"/>
      <c r="XCE243"/>
      <c r="XCF243"/>
      <c r="XCG243"/>
      <c r="XCH243"/>
      <c r="XCI243"/>
      <c r="XCJ243"/>
      <c r="XCK243"/>
      <c r="XCL243"/>
      <c r="XCM243"/>
      <c r="XCN243"/>
      <c r="XCO243"/>
      <c r="XCP243"/>
      <c r="XCQ243"/>
      <c r="XCR243"/>
      <c r="XCS243"/>
      <c r="XCT243"/>
      <c r="XCU243"/>
      <c r="XCV243"/>
      <c r="XCW243"/>
      <c r="XCX243"/>
      <c r="XCY243"/>
      <c r="XCZ243"/>
      <c r="XDA243"/>
      <c r="XDB243"/>
      <c r="XDC243"/>
      <c r="XDD243"/>
      <c r="XDE243"/>
      <c r="XDF243"/>
      <c r="XDG243"/>
      <c r="XDH243"/>
      <c r="XDI243"/>
      <c r="XDJ243"/>
      <c r="XDK243"/>
      <c r="XDL243"/>
      <c r="XDM243"/>
      <c r="XDN243"/>
      <c r="XDO243"/>
      <c r="XDP243"/>
      <c r="XDQ243"/>
      <c r="XDR243"/>
      <c r="XDS243"/>
      <c r="XDT243"/>
      <c r="XDU243"/>
      <c r="XDV243"/>
      <c r="XDW243"/>
      <c r="XDX243"/>
      <c r="XDY243"/>
      <c r="XDZ243"/>
      <c r="XEA243"/>
      <c r="XEB243"/>
      <c r="XEC243"/>
      <c r="XED243"/>
      <c r="XEE243"/>
      <c r="XEF243"/>
      <c r="XEG243"/>
      <c r="XEH243"/>
      <c r="XEI243"/>
      <c r="XEJ243"/>
      <c r="XEK243"/>
      <c r="XEL243"/>
      <c r="XEM243"/>
      <c r="XEN243"/>
      <c r="XEO243"/>
      <c r="XEP243"/>
      <c r="XEQ243"/>
      <c r="XER243"/>
      <c r="XES243"/>
      <c r="XET243"/>
      <c r="XEU243"/>
      <c r="XEV243"/>
      <c r="XEW243"/>
      <c r="XEX243"/>
      <c r="XEY243"/>
      <c r="XEZ243"/>
      <c r="XFA243"/>
      <c r="XFB243"/>
      <c r="XFC243"/>
      <c r="XFD243"/>
    </row>
    <row r="244" spans="2:16384" s="131" customFormat="1" x14ac:dyDescent="0.25">
      <c r="E244" s="175"/>
      <c r="F244" s="66" t="s">
        <v>48</v>
      </c>
      <c r="G244" s="139" t="s">
        <v>388</v>
      </c>
      <c r="H244" s="572"/>
      <c r="I244" s="572"/>
      <c r="J244" s="585">
        <f t="shared" ref="J244:AP244" si="51">J$78 * J214</f>
        <v>0</v>
      </c>
      <c r="K244" s="585">
        <f t="shared" si="51"/>
        <v>0</v>
      </c>
      <c r="L244" s="585">
        <f t="shared" si="51"/>
        <v>0</v>
      </c>
      <c r="M244" s="585">
        <f t="shared" si="51"/>
        <v>0</v>
      </c>
      <c r="N244" s="585">
        <f t="shared" si="51"/>
        <v>0</v>
      </c>
      <c r="O244" s="585">
        <f t="shared" si="51"/>
        <v>0</v>
      </c>
      <c r="P244" s="585">
        <f t="shared" si="51"/>
        <v>0</v>
      </c>
      <c r="Q244" s="585">
        <f t="shared" si="51"/>
        <v>0</v>
      </c>
      <c r="R244" s="585">
        <f t="shared" si="51"/>
        <v>0</v>
      </c>
      <c r="S244" s="585">
        <f t="shared" si="51"/>
        <v>0</v>
      </c>
      <c r="T244" s="585">
        <f t="shared" si="51"/>
        <v>0</v>
      </c>
      <c r="U244" s="585">
        <f t="shared" si="51"/>
        <v>2.1419485966120373E-2</v>
      </c>
      <c r="V244" s="585">
        <f t="shared" si="51"/>
        <v>0</v>
      </c>
      <c r="W244" s="585">
        <f t="shared" si="51"/>
        <v>0</v>
      </c>
      <c r="X244" s="585">
        <f t="shared" si="51"/>
        <v>0</v>
      </c>
      <c r="Y244" s="585">
        <f t="shared" si="51"/>
        <v>0</v>
      </c>
      <c r="Z244" s="585">
        <f t="shared" si="51"/>
        <v>0</v>
      </c>
      <c r="AA244" s="585">
        <f t="shared" si="51"/>
        <v>0</v>
      </c>
      <c r="AB244" s="585">
        <f t="shared" si="51"/>
        <v>0</v>
      </c>
      <c r="AC244" s="585">
        <f t="shared" si="51"/>
        <v>0</v>
      </c>
      <c r="AD244" s="585">
        <f t="shared" si="51"/>
        <v>0</v>
      </c>
      <c r="AE244" s="585">
        <f t="shared" si="51"/>
        <v>1.9352923850443841E-2</v>
      </c>
      <c r="AF244" s="585">
        <f t="shared" si="51"/>
        <v>0</v>
      </c>
      <c r="AG244" s="585">
        <f t="shared" si="51"/>
        <v>1.9352923850443841E-2</v>
      </c>
      <c r="AH244" s="585">
        <f t="shared" si="51"/>
        <v>0</v>
      </c>
      <c r="AI244" s="585">
        <f t="shared" si="51"/>
        <v>1.8588758813190321E-2</v>
      </c>
      <c r="AJ244" s="585">
        <f t="shared" si="51"/>
        <v>0</v>
      </c>
      <c r="AK244" s="585">
        <f t="shared" si="51"/>
        <v>1.8588758813190321E-2</v>
      </c>
      <c r="AL244" s="585">
        <f t="shared" si="51"/>
        <v>0</v>
      </c>
      <c r="AM244" s="585">
        <f t="shared" si="51"/>
        <v>1.8322189614148394E-2</v>
      </c>
      <c r="AN244" s="585">
        <f t="shared" si="51"/>
        <v>0</v>
      </c>
      <c r="AO244" s="585">
        <f t="shared" si="51"/>
        <v>1.8322189614148394E-2</v>
      </c>
      <c r="AP244" s="585">
        <f t="shared" si="51"/>
        <v>0</v>
      </c>
      <c r="AQ244" s="571"/>
      <c r="AR244" s="571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  <c r="GB244"/>
      <c r="GC244"/>
      <c r="GD244"/>
      <c r="GE244"/>
      <c r="GF244"/>
      <c r="GG244"/>
      <c r="GH244"/>
      <c r="GI244"/>
      <c r="GJ244"/>
      <c r="GK244"/>
      <c r="GL244"/>
      <c r="GM244"/>
      <c r="GN244"/>
      <c r="GO244"/>
      <c r="GP244"/>
      <c r="GQ244"/>
      <c r="GR244"/>
      <c r="GS244"/>
      <c r="GT244"/>
      <c r="GU244"/>
      <c r="GV244"/>
      <c r="GW244"/>
      <c r="GX244"/>
      <c r="GY244"/>
      <c r="GZ244"/>
      <c r="HA244"/>
      <c r="HB244"/>
      <c r="HC244"/>
      <c r="HD244"/>
      <c r="HE244"/>
      <c r="HF244"/>
      <c r="HG244"/>
      <c r="HH244"/>
      <c r="HI244"/>
      <c r="HJ244"/>
      <c r="HK244"/>
      <c r="HL244"/>
      <c r="HM244"/>
      <c r="HN244"/>
      <c r="HO244"/>
      <c r="HP244"/>
      <c r="HQ244"/>
      <c r="HR244"/>
      <c r="HS244"/>
      <c r="HT244"/>
      <c r="HU244"/>
      <c r="HV244"/>
      <c r="HW244"/>
      <c r="HX244"/>
      <c r="HY244"/>
      <c r="HZ244"/>
      <c r="IA244"/>
      <c r="IB244"/>
      <c r="IC244"/>
      <c r="ID244"/>
      <c r="IE244"/>
      <c r="IF244"/>
      <c r="IG244"/>
      <c r="IH244"/>
      <c r="II244"/>
      <c r="IJ244"/>
      <c r="IK244"/>
      <c r="IL244"/>
      <c r="IM244"/>
      <c r="IN244"/>
      <c r="IO244"/>
      <c r="IP244"/>
      <c r="IQ244"/>
      <c r="IR244"/>
      <c r="IS244"/>
      <c r="IT244"/>
      <c r="IU244"/>
      <c r="IV244"/>
      <c r="IW244"/>
      <c r="IX244"/>
      <c r="IY244"/>
      <c r="IZ244"/>
      <c r="JA244"/>
      <c r="JB244"/>
      <c r="JC244"/>
      <c r="JD244"/>
      <c r="JE244"/>
      <c r="JF244"/>
      <c r="JG244"/>
      <c r="JH244"/>
      <c r="JI244"/>
      <c r="JJ244"/>
      <c r="JK244"/>
      <c r="JL244"/>
      <c r="JM244"/>
      <c r="JN244"/>
      <c r="JO244"/>
      <c r="JP244"/>
      <c r="JQ244"/>
      <c r="JR244"/>
      <c r="JS244"/>
      <c r="JT244"/>
      <c r="JU244"/>
      <c r="JV244"/>
      <c r="JW244"/>
      <c r="JX244"/>
      <c r="JY244"/>
      <c r="JZ244"/>
      <c r="KA244"/>
      <c r="KB244"/>
      <c r="KC244"/>
      <c r="KD244"/>
      <c r="KE244"/>
      <c r="KF244"/>
      <c r="KG244"/>
      <c r="KH244"/>
      <c r="KI244"/>
      <c r="KJ244"/>
      <c r="KK244"/>
      <c r="KL244"/>
      <c r="KM244"/>
      <c r="KN244"/>
      <c r="KO244"/>
      <c r="KP244"/>
      <c r="KQ244"/>
      <c r="KR244"/>
      <c r="KS244"/>
      <c r="KT244"/>
      <c r="KU244"/>
      <c r="KV244"/>
      <c r="KW244"/>
      <c r="KX244"/>
      <c r="KY244"/>
      <c r="KZ244"/>
      <c r="LA244"/>
      <c r="LB244"/>
      <c r="LC244"/>
      <c r="LD244"/>
      <c r="LE244"/>
      <c r="LF244"/>
      <c r="LG244"/>
      <c r="LH244"/>
      <c r="LI244"/>
      <c r="LJ244"/>
      <c r="LK244"/>
      <c r="LL244"/>
      <c r="LM244"/>
      <c r="LN244"/>
      <c r="LO244"/>
      <c r="LP244"/>
      <c r="LQ244"/>
      <c r="LR244"/>
      <c r="LS244"/>
      <c r="LT244"/>
      <c r="LU244"/>
      <c r="LV244"/>
      <c r="LW244"/>
      <c r="LX244"/>
      <c r="LY244"/>
      <c r="LZ244"/>
      <c r="MA244"/>
      <c r="MB244"/>
      <c r="MC244"/>
      <c r="MD244"/>
      <c r="ME244"/>
      <c r="MF244"/>
      <c r="MG244"/>
      <c r="MH244"/>
      <c r="MI244"/>
      <c r="MJ244"/>
      <c r="MK244"/>
      <c r="ML244"/>
      <c r="MM244"/>
      <c r="MN244"/>
      <c r="MO244"/>
      <c r="MP244"/>
      <c r="MQ244"/>
      <c r="MR244"/>
      <c r="MS244"/>
      <c r="MT244"/>
      <c r="MU244"/>
      <c r="MV244"/>
      <c r="MW244"/>
      <c r="MX244"/>
      <c r="MY244"/>
      <c r="MZ244"/>
      <c r="NA244"/>
      <c r="NB244"/>
      <c r="NC244"/>
      <c r="ND244"/>
      <c r="NE244"/>
      <c r="NF244"/>
      <c r="NG244"/>
      <c r="NH244"/>
      <c r="NI244"/>
      <c r="NJ244"/>
      <c r="NK244"/>
      <c r="NL244"/>
      <c r="NM244"/>
      <c r="NN244"/>
      <c r="NO244"/>
      <c r="NP244"/>
      <c r="NQ244"/>
      <c r="NR244"/>
      <c r="NS244"/>
      <c r="NT244"/>
      <c r="NU244"/>
      <c r="NV244"/>
      <c r="NW244"/>
      <c r="NX244"/>
      <c r="NY244"/>
      <c r="NZ244"/>
      <c r="OA244"/>
      <c r="OB244"/>
      <c r="OC244"/>
      <c r="OD244"/>
      <c r="OE244"/>
      <c r="OF244"/>
      <c r="OG244"/>
      <c r="OH244"/>
      <c r="OI244"/>
      <c r="OJ244"/>
      <c r="OK244"/>
      <c r="OL244"/>
      <c r="OM244"/>
      <c r="ON244"/>
      <c r="OO244"/>
      <c r="OP244"/>
      <c r="OQ244"/>
      <c r="OR244"/>
      <c r="OS244"/>
      <c r="OT244"/>
      <c r="OU244"/>
      <c r="OV244"/>
      <c r="OW244"/>
      <c r="OX244"/>
      <c r="OY244"/>
      <c r="OZ244"/>
      <c r="PA244"/>
      <c r="PB244"/>
      <c r="PC244"/>
      <c r="PD244"/>
      <c r="PE244"/>
      <c r="PF244"/>
      <c r="PG244"/>
      <c r="PH244"/>
      <c r="PI244"/>
      <c r="PJ244"/>
      <c r="PK244"/>
      <c r="PL244"/>
      <c r="PM244"/>
      <c r="PN244"/>
      <c r="PO244"/>
      <c r="PP244"/>
      <c r="PQ244"/>
      <c r="PR244"/>
      <c r="PS244"/>
      <c r="PT244"/>
      <c r="PU244"/>
      <c r="PV244"/>
      <c r="PW244"/>
      <c r="PX244"/>
      <c r="PY244"/>
      <c r="PZ244"/>
      <c r="QA244"/>
      <c r="QB244"/>
      <c r="QC244"/>
      <c r="QD244"/>
      <c r="QE244"/>
      <c r="QF244"/>
      <c r="QG244"/>
      <c r="QH244"/>
      <c r="QI244"/>
      <c r="QJ244"/>
      <c r="QK244"/>
      <c r="QL244"/>
      <c r="QM244"/>
      <c r="QN244"/>
      <c r="QO244"/>
      <c r="QP244"/>
      <c r="QQ244"/>
      <c r="QR244"/>
      <c r="QS244"/>
      <c r="QT244"/>
      <c r="QU244"/>
      <c r="QV244"/>
      <c r="QW244"/>
      <c r="QX244"/>
      <c r="QY244"/>
      <c r="QZ244"/>
      <c r="RA244"/>
      <c r="RB244"/>
      <c r="RC244"/>
      <c r="RD244"/>
      <c r="RE244"/>
      <c r="RF244"/>
      <c r="RG244"/>
      <c r="RH244"/>
      <c r="RI244"/>
      <c r="RJ244"/>
      <c r="RK244"/>
      <c r="RL244"/>
      <c r="RM244"/>
      <c r="RN244"/>
      <c r="RO244"/>
      <c r="RP244"/>
      <c r="RQ244"/>
      <c r="RR244"/>
      <c r="RS244"/>
      <c r="RT244"/>
      <c r="RU244"/>
      <c r="RV244"/>
      <c r="RW244"/>
      <c r="RX244"/>
      <c r="RY244"/>
      <c r="RZ244"/>
      <c r="SA244"/>
      <c r="SB244"/>
      <c r="SC244"/>
      <c r="SD244"/>
      <c r="SE244"/>
      <c r="SF244"/>
      <c r="SG244"/>
      <c r="SH244"/>
      <c r="SI244"/>
      <c r="SJ244"/>
      <c r="SK244"/>
      <c r="SL244"/>
      <c r="SM244"/>
      <c r="SN244"/>
      <c r="SO244"/>
      <c r="SP244"/>
      <c r="SQ244"/>
      <c r="SR244"/>
      <c r="SS244"/>
      <c r="ST244"/>
      <c r="SU244"/>
      <c r="SV244"/>
      <c r="SW244"/>
      <c r="SX244"/>
      <c r="SY244"/>
      <c r="SZ244"/>
      <c r="TA244"/>
      <c r="TB244"/>
      <c r="TC244"/>
      <c r="TD244"/>
      <c r="TE244"/>
      <c r="TF244"/>
      <c r="TG244"/>
      <c r="TH244"/>
      <c r="TI244"/>
      <c r="TJ244"/>
      <c r="TK244"/>
      <c r="TL244"/>
      <c r="TM244"/>
      <c r="TN244"/>
      <c r="TO244"/>
      <c r="TP244"/>
      <c r="TQ244"/>
      <c r="TR244"/>
      <c r="TS244"/>
      <c r="TT244"/>
      <c r="TU244"/>
      <c r="TV244"/>
      <c r="TW244"/>
      <c r="TX244"/>
      <c r="TY244"/>
      <c r="TZ244"/>
      <c r="UA244"/>
      <c r="UB244"/>
      <c r="UC244"/>
      <c r="UD244"/>
      <c r="UE244"/>
      <c r="UF244"/>
      <c r="UG244"/>
      <c r="UH244"/>
      <c r="UI244"/>
      <c r="UJ244"/>
      <c r="UK244"/>
      <c r="UL244"/>
      <c r="UM244"/>
      <c r="UN244"/>
      <c r="UO244"/>
      <c r="UP244"/>
      <c r="UQ244"/>
      <c r="UR244"/>
      <c r="US244"/>
      <c r="UT244"/>
      <c r="UU244"/>
      <c r="UV244"/>
      <c r="UW244"/>
      <c r="UX244"/>
      <c r="UY244"/>
      <c r="UZ244"/>
      <c r="VA244"/>
      <c r="VB244"/>
      <c r="VC244"/>
      <c r="VD244"/>
      <c r="VE244"/>
      <c r="VF244"/>
      <c r="VG244"/>
      <c r="VH244"/>
      <c r="VI244"/>
      <c r="VJ244"/>
      <c r="VK244"/>
      <c r="VL244"/>
      <c r="VM244"/>
      <c r="VN244"/>
      <c r="VO244"/>
      <c r="VP244"/>
      <c r="VQ244"/>
      <c r="VR244"/>
      <c r="VS244"/>
      <c r="VT244"/>
      <c r="VU244"/>
      <c r="VV244"/>
      <c r="VW244"/>
      <c r="VX244"/>
      <c r="VY244"/>
      <c r="VZ244"/>
      <c r="WA244"/>
      <c r="WB244"/>
      <c r="WC244"/>
      <c r="WD244"/>
      <c r="WE244"/>
      <c r="WF244"/>
      <c r="WG244"/>
      <c r="WH244"/>
      <c r="WI244"/>
      <c r="WJ244"/>
      <c r="WK244"/>
      <c r="WL244"/>
      <c r="WM244"/>
      <c r="WN244"/>
      <c r="WO244"/>
      <c r="WP244"/>
      <c r="WQ244"/>
      <c r="WR244"/>
      <c r="WS244"/>
      <c r="WT244"/>
      <c r="WU244"/>
      <c r="WV244"/>
      <c r="WW244"/>
      <c r="WX244"/>
      <c r="WY244"/>
      <c r="WZ244"/>
      <c r="XA244"/>
      <c r="XB244"/>
      <c r="XC244"/>
      <c r="XD244"/>
      <c r="XE244"/>
      <c r="XF244"/>
      <c r="XG244"/>
      <c r="XH244"/>
      <c r="XI244"/>
      <c r="XJ244"/>
      <c r="XK244"/>
      <c r="XL244"/>
      <c r="XM244"/>
      <c r="XN244"/>
      <c r="XO244"/>
      <c r="XP244"/>
      <c r="XQ244"/>
      <c r="XR244"/>
      <c r="XS244"/>
      <c r="XT244"/>
      <c r="XU244"/>
      <c r="XV244"/>
      <c r="XW244"/>
      <c r="XX244"/>
      <c r="XY244"/>
      <c r="XZ244"/>
      <c r="YA244"/>
      <c r="YB244"/>
      <c r="YC244"/>
      <c r="YD244"/>
      <c r="YE244"/>
      <c r="YF244"/>
      <c r="YG244"/>
      <c r="YH244"/>
      <c r="YI244"/>
      <c r="YJ244"/>
      <c r="YK244"/>
      <c r="YL244"/>
      <c r="YM244"/>
      <c r="YN244"/>
      <c r="YO244"/>
      <c r="YP244"/>
      <c r="YQ244"/>
      <c r="YR244"/>
      <c r="YS244"/>
      <c r="YT244"/>
      <c r="YU244"/>
      <c r="YV244"/>
      <c r="YW244"/>
      <c r="YX244"/>
      <c r="YY244"/>
      <c r="YZ244"/>
      <c r="ZA244"/>
      <c r="ZB244"/>
      <c r="ZC244"/>
      <c r="ZD244"/>
      <c r="ZE244"/>
      <c r="ZF244"/>
      <c r="ZG244"/>
      <c r="ZH244"/>
      <c r="ZI244"/>
      <c r="ZJ244"/>
      <c r="ZK244"/>
      <c r="ZL244"/>
      <c r="ZM244"/>
      <c r="ZN244"/>
      <c r="ZO244"/>
      <c r="ZP244"/>
      <c r="ZQ244"/>
      <c r="ZR244"/>
      <c r="ZS244"/>
      <c r="ZT244"/>
      <c r="ZU244"/>
      <c r="ZV244"/>
      <c r="ZW244"/>
      <c r="ZX244"/>
      <c r="ZY244"/>
      <c r="ZZ244"/>
      <c r="AAA244"/>
      <c r="AAB244"/>
      <c r="AAC244"/>
      <c r="AAD244"/>
      <c r="AAE244"/>
      <c r="AAF244"/>
      <c r="AAG244"/>
      <c r="AAH244"/>
      <c r="AAI244"/>
      <c r="AAJ244"/>
      <c r="AAK244"/>
      <c r="AAL244"/>
      <c r="AAM244"/>
      <c r="AAN244"/>
      <c r="AAO244"/>
      <c r="AAP244"/>
      <c r="AAQ244"/>
      <c r="AAR244"/>
      <c r="AAS244"/>
      <c r="AAT244"/>
      <c r="AAU244"/>
      <c r="AAV244"/>
      <c r="AAW244"/>
      <c r="AAX244"/>
      <c r="AAY244"/>
      <c r="AAZ244"/>
      <c r="ABA244"/>
      <c r="ABB244"/>
      <c r="ABC244"/>
      <c r="ABD244"/>
      <c r="ABE244"/>
      <c r="ABF244"/>
      <c r="ABG244"/>
      <c r="ABH244"/>
      <c r="ABI244"/>
      <c r="ABJ244"/>
      <c r="ABK244"/>
      <c r="ABL244"/>
      <c r="ABM244"/>
      <c r="ABN244"/>
      <c r="ABO244"/>
      <c r="ABP244"/>
      <c r="ABQ244"/>
      <c r="ABR244"/>
      <c r="ABS244"/>
      <c r="ABT244"/>
      <c r="ABU244"/>
      <c r="ABV244"/>
      <c r="ABW244"/>
      <c r="ABX244"/>
      <c r="ABY244"/>
      <c r="ABZ244"/>
      <c r="ACA244"/>
      <c r="ACB244"/>
      <c r="ACC244"/>
      <c r="ACD244"/>
      <c r="ACE244"/>
      <c r="ACF244"/>
      <c r="ACG244"/>
      <c r="ACH244"/>
      <c r="ACI244"/>
      <c r="ACJ244"/>
      <c r="ACK244"/>
      <c r="ACL244"/>
      <c r="ACM244"/>
      <c r="ACN244"/>
      <c r="ACO244"/>
      <c r="ACP244"/>
      <c r="ACQ244"/>
      <c r="ACR244"/>
      <c r="ACS244"/>
      <c r="ACT244"/>
      <c r="ACU244"/>
      <c r="ACV244"/>
      <c r="ACW244"/>
      <c r="ACX244"/>
      <c r="ACY244"/>
      <c r="ACZ244"/>
      <c r="ADA244"/>
      <c r="ADB244"/>
      <c r="ADC244"/>
      <c r="ADD244"/>
      <c r="ADE244"/>
      <c r="ADF244"/>
      <c r="ADG244"/>
      <c r="ADH244"/>
      <c r="ADI244"/>
      <c r="ADJ244"/>
      <c r="ADK244"/>
      <c r="ADL244"/>
      <c r="ADM244"/>
      <c r="ADN244"/>
      <c r="ADO244"/>
      <c r="ADP244"/>
      <c r="ADQ244"/>
      <c r="ADR244"/>
      <c r="ADS244"/>
      <c r="ADT244"/>
      <c r="ADU244"/>
      <c r="ADV244"/>
      <c r="ADW244"/>
      <c r="ADX244"/>
      <c r="ADY244"/>
      <c r="ADZ244"/>
      <c r="AEA244"/>
      <c r="AEB244"/>
      <c r="AEC244"/>
      <c r="AED244"/>
      <c r="AEE244"/>
      <c r="AEF244"/>
      <c r="AEG244"/>
      <c r="AEH244"/>
      <c r="AEI244"/>
      <c r="AEJ244"/>
      <c r="AEK244"/>
      <c r="AEL244"/>
      <c r="AEM244"/>
      <c r="AEN244"/>
      <c r="AEO244"/>
      <c r="AEP244"/>
      <c r="AEQ244"/>
      <c r="AER244"/>
      <c r="AES244"/>
      <c r="AET244"/>
      <c r="AEU244"/>
      <c r="AEV244"/>
      <c r="AEW244"/>
      <c r="AEX244"/>
      <c r="AEY244"/>
      <c r="AEZ244"/>
      <c r="AFA244"/>
      <c r="AFB244"/>
      <c r="AFC244"/>
      <c r="AFD244"/>
      <c r="AFE244"/>
      <c r="AFF244"/>
      <c r="AFG244"/>
      <c r="AFH244"/>
      <c r="AFI244"/>
      <c r="AFJ244"/>
      <c r="AFK244"/>
      <c r="AFL244"/>
      <c r="AFM244"/>
      <c r="AFN244"/>
      <c r="AFO244"/>
      <c r="AFP244"/>
      <c r="AFQ244"/>
      <c r="AFR244"/>
      <c r="AFS244"/>
      <c r="AFT244"/>
      <c r="AFU244"/>
      <c r="AFV244"/>
      <c r="AFW244"/>
      <c r="AFX244"/>
      <c r="AFY244"/>
      <c r="AFZ244"/>
      <c r="AGA244"/>
      <c r="AGB244"/>
      <c r="AGC244"/>
      <c r="AGD244"/>
      <c r="AGE244"/>
      <c r="AGF244"/>
      <c r="AGG244"/>
      <c r="AGH244"/>
      <c r="AGI244"/>
      <c r="AGJ244"/>
      <c r="AGK244"/>
      <c r="AGL244"/>
      <c r="AGM244"/>
      <c r="AGN244"/>
      <c r="AGO244"/>
      <c r="AGP244"/>
      <c r="AGQ244"/>
      <c r="AGR244"/>
      <c r="AGS244"/>
      <c r="AGT244"/>
      <c r="AGU244"/>
      <c r="AGV244"/>
      <c r="AGW244"/>
      <c r="AGX244"/>
      <c r="AGY244"/>
      <c r="AGZ244"/>
      <c r="AHA244"/>
      <c r="AHB244"/>
      <c r="AHC244"/>
      <c r="AHD244"/>
      <c r="AHE244"/>
      <c r="AHF244"/>
      <c r="AHG244"/>
      <c r="AHH244"/>
      <c r="AHI244"/>
      <c r="AHJ244"/>
      <c r="AHK244"/>
      <c r="AHL244"/>
      <c r="AHM244"/>
      <c r="AHN244"/>
      <c r="AHO244"/>
      <c r="AHP244"/>
      <c r="AHQ244"/>
      <c r="AHR244"/>
      <c r="AHS244"/>
      <c r="AHT244"/>
      <c r="AHU244"/>
      <c r="AHV244"/>
      <c r="AHW244"/>
      <c r="AHX244"/>
      <c r="AHY244"/>
      <c r="AHZ244"/>
      <c r="AIA244"/>
      <c r="AIB244"/>
      <c r="AIC244"/>
      <c r="AID244"/>
      <c r="AIE244"/>
      <c r="AIF244"/>
      <c r="AIG244"/>
      <c r="AIH244"/>
      <c r="AII244"/>
      <c r="AIJ244"/>
      <c r="AIK244"/>
      <c r="AIL244"/>
      <c r="AIM244"/>
      <c r="AIN244"/>
      <c r="AIO244"/>
      <c r="AIP244"/>
      <c r="AIQ244"/>
      <c r="AIR244"/>
      <c r="AIS244"/>
      <c r="AIT244"/>
      <c r="AIU244"/>
      <c r="AIV244"/>
      <c r="AIW244"/>
      <c r="AIX244"/>
      <c r="AIY244"/>
      <c r="AIZ244"/>
      <c r="AJA244"/>
      <c r="AJB244"/>
      <c r="AJC244"/>
      <c r="AJD244"/>
      <c r="AJE244"/>
      <c r="AJF244"/>
      <c r="AJG244"/>
      <c r="AJH244"/>
      <c r="AJI244"/>
      <c r="AJJ244"/>
      <c r="AJK244"/>
      <c r="AJL244"/>
      <c r="AJM244"/>
      <c r="AJN244"/>
      <c r="AJO244"/>
      <c r="AJP244"/>
      <c r="AJQ244"/>
      <c r="AJR244"/>
      <c r="AJS244"/>
      <c r="AJT244"/>
      <c r="AJU244"/>
      <c r="AJV244"/>
      <c r="AJW244"/>
      <c r="AJX244"/>
      <c r="AJY244"/>
      <c r="AJZ244"/>
      <c r="AKA244"/>
      <c r="AKB244"/>
      <c r="AKC244"/>
      <c r="AKD244"/>
      <c r="AKE244"/>
      <c r="AKF244"/>
      <c r="AKG244"/>
      <c r="AKH244"/>
      <c r="AKI244"/>
      <c r="AKJ244"/>
      <c r="AKK244"/>
      <c r="AKL244"/>
      <c r="AKM244"/>
      <c r="AKN244"/>
      <c r="AKO244"/>
      <c r="AKP244"/>
      <c r="AKQ244"/>
      <c r="AKR244"/>
      <c r="AKS244"/>
      <c r="AKT244"/>
      <c r="AKU244"/>
      <c r="AKV244"/>
      <c r="AKW244"/>
      <c r="AKX244"/>
      <c r="AKY244"/>
      <c r="AKZ244"/>
      <c r="ALA244"/>
      <c r="ALB244"/>
      <c r="ALC244"/>
      <c r="ALD244"/>
      <c r="ALE244"/>
      <c r="ALF244"/>
      <c r="ALG244"/>
      <c r="ALH244"/>
      <c r="ALI244"/>
      <c r="ALJ244"/>
      <c r="ALK244"/>
      <c r="ALL244"/>
      <c r="ALM244"/>
      <c r="ALN244"/>
      <c r="ALO244"/>
      <c r="ALP244"/>
      <c r="ALQ244"/>
      <c r="ALR244"/>
      <c r="ALS244"/>
      <c r="ALT244"/>
      <c r="ALU244"/>
      <c r="ALV244"/>
      <c r="ALW244"/>
      <c r="ALX244"/>
      <c r="ALY244"/>
      <c r="ALZ244"/>
      <c r="AMA244"/>
      <c r="AMB244"/>
      <c r="AMC244"/>
      <c r="AMD244"/>
      <c r="AME244"/>
      <c r="AMF244"/>
      <c r="AMG244"/>
      <c r="AMH244"/>
      <c r="AMI244"/>
      <c r="AMJ244"/>
      <c r="AMK244"/>
      <c r="AML244"/>
      <c r="AMM244"/>
      <c r="AMN244"/>
      <c r="AMO244"/>
      <c r="AMP244"/>
      <c r="AMQ244"/>
      <c r="AMR244"/>
      <c r="AMS244"/>
      <c r="AMT244"/>
      <c r="AMU244"/>
      <c r="AMV244"/>
      <c r="AMW244"/>
      <c r="AMX244"/>
      <c r="AMY244"/>
      <c r="AMZ244"/>
      <c r="ANA244"/>
      <c r="ANB244"/>
      <c r="ANC244"/>
      <c r="AND244"/>
      <c r="ANE244"/>
      <c r="ANF244"/>
      <c r="ANG244"/>
      <c r="ANH244"/>
      <c r="ANI244"/>
      <c r="ANJ244"/>
      <c r="ANK244"/>
      <c r="ANL244"/>
      <c r="ANM244"/>
      <c r="ANN244"/>
      <c r="ANO244"/>
      <c r="ANP244"/>
      <c r="ANQ244"/>
      <c r="ANR244"/>
      <c r="ANS244"/>
      <c r="ANT244"/>
      <c r="ANU244"/>
      <c r="ANV244"/>
      <c r="ANW244"/>
      <c r="ANX244"/>
      <c r="ANY244"/>
      <c r="ANZ244"/>
      <c r="AOA244"/>
      <c r="AOB244"/>
      <c r="AOC244"/>
      <c r="AOD244"/>
      <c r="AOE244"/>
      <c r="AOF244"/>
      <c r="AOG244"/>
      <c r="AOH244"/>
      <c r="AOI244"/>
      <c r="AOJ244"/>
      <c r="AOK244"/>
      <c r="AOL244"/>
      <c r="AOM244"/>
      <c r="AON244"/>
      <c r="AOO244"/>
      <c r="AOP244"/>
      <c r="AOQ244"/>
      <c r="AOR244"/>
      <c r="AOS244"/>
      <c r="AOT244"/>
      <c r="AOU244"/>
      <c r="AOV244"/>
      <c r="AOW244"/>
      <c r="AOX244"/>
      <c r="AOY244"/>
      <c r="AOZ244"/>
      <c r="APA244"/>
      <c r="APB244"/>
      <c r="APC244"/>
      <c r="APD244"/>
      <c r="APE244"/>
      <c r="APF244"/>
      <c r="APG244"/>
      <c r="APH244"/>
      <c r="API244"/>
      <c r="APJ244"/>
      <c r="APK244"/>
      <c r="APL244"/>
      <c r="APM244"/>
      <c r="APN244"/>
      <c r="APO244"/>
      <c r="APP244"/>
      <c r="APQ244"/>
      <c r="APR244"/>
      <c r="APS244"/>
      <c r="APT244"/>
      <c r="APU244"/>
      <c r="APV244"/>
      <c r="APW244"/>
      <c r="APX244"/>
      <c r="APY244"/>
      <c r="APZ244"/>
      <c r="AQA244"/>
      <c r="AQB244"/>
      <c r="AQC244"/>
      <c r="AQD244"/>
      <c r="AQE244"/>
      <c r="AQF244"/>
      <c r="AQG244"/>
      <c r="AQH244"/>
      <c r="AQI244"/>
      <c r="AQJ244"/>
      <c r="AQK244"/>
      <c r="AQL244"/>
      <c r="AQM244"/>
      <c r="AQN244"/>
      <c r="AQO244"/>
      <c r="AQP244"/>
      <c r="AQQ244"/>
      <c r="AQR244"/>
      <c r="AQS244"/>
      <c r="AQT244"/>
      <c r="AQU244"/>
      <c r="AQV244"/>
      <c r="AQW244"/>
      <c r="AQX244"/>
      <c r="AQY244"/>
      <c r="AQZ244"/>
      <c r="ARA244"/>
      <c r="ARB244"/>
      <c r="ARC244"/>
      <c r="ARD244"/>
      <c r="ARE244"/>
      <c r="ARF244"/>
      <c r="ARG244"/>
      <c r="ARH244"/>
      <c r="ARI244"/>
      <c r="ARJ244"/>
      <c r="ARK244"/>
      <c r="ARL244"/>
      <c r="ARM244"/>
      <c r="ARN244"/>
      <c r="ARO244"/>
      <c r="ARP244"/>
      <c r="ARQ244"/>
      <c r="ARR244"/>
      <c r="ARS244"/>
      <c r="ART244"/>
      <c r="ARU244"/>
      <c r="ARV244"/>
      <c r="ARW244"/>
      <c r="ARX244"/>
      <c r="ARY244"/>
      <c r="ARZ244"/>
      <c r="ASA244"/>
      <c r="ASB244"/>
      <c r="ASC244"/>
      <c r="ASD244"/>
      <c r="ASE244"/>
      <c r="ASF244"/>
      <c r="ASG244"/>
      <c r="ASH244"/>
      <c r="ASI244"/>
      <c r="ASJ244"/>
      <c r="ASK244"/>
      <c r="ASL244"/>
      <c r="ASM244"/>
      <c r="ASN244"/>
      <c r="ASO244"/>
      <c r="ASP244"/>
      <c r="ASQ244"/>
      <c r="ASR244"/>
      <c r="ASS244"/>
      <c r="AST244"/>
      <c r="ASU244"/>
      <c r="ASV244"/>
      <c r="ASW244"/>
      <c r="ASX244"/>
      <c r="ASY244"/>
      <c r="ASZ244"/>
      <c r="ATA244"/>
      <c r="ATB244"/>
      <c r="ATC244"/>
      <c r="ATD244"/>
      <c r="ATE244"/>
      <c r="ATF244"/>
      <c r="ATG244"/>
      <c r="ATH244"/>
      <c r="ATI244"/>
      <c r="ATJ244"/>
      <c r="ATK244"/>
      <c r="ATL244"/>
      <c r="ATM244"/>
      <c r="ATN244"/>
      <c r="ATO244"/>
      <c r="ATP244"/>
      <c r="ATQ244"/>
      <c r="ATR244"/>
      <c r="ATS244"/>
      <c r="ATT244"/>
      <c r="ATU244"/>
      <c r="ATV244"/>
      <c r="ATW244"/>
      <c r="ATX244"/>
      <c r="ATY244"/>
      <c r="ATZ244"/>
      <c r="AUA244"/>
      <c r="AUB244"/>
      <c r="AUC244"/>
      <c r="AUD244"/>
      <c r="AUE244"/>
      <c r="AUF244"/>
      <c r="AUG244"/>
      <c r="AUH244"/>
      <c r="AUI244"/>
      <c r="AUJ244"/>
      <c r="AUK244"/>
      <c r="AUL244"/>
      <c r="AUM244"/>
      <c r="AUN244"/>
      <c r="AUO244"/>
      <c r="AUP244"/>
      <c r="AUQ244"/>
      <c r="AUR244"/>
      <c r="AUS244"/>
      <c r="AUT244"/>
      <c r="AUU244"/>
      <c r="AUV244"/>
      <c r="AUW244"/>
      <c r="AUX244"/>
      <c r="AUY244"/>
      <c r="AUZ244"/>
      <c r="AVA244"/>
      <c r="AVB244"/>
      <c r="AVC244"/>
      <c r="AVD244"/>
      <c r="AVE244"/>
      <c r="AVF244"/>
      <c r="AVG244"/>
      <c r="AVH244"/>
      <c r="AVI244"/>
      <c r="AVJ244"/>
      <c r="AVK244"/>
      <c r="AVL244"/>
      <c r="AVM244"/>
      <c r="AVN244"/>
      <c r="AVO244"/>
      <c r="AVP244"/>
      <c r="AVQ244"/>
      <c r="AVR244"/>
      <c r="AVS244"/>
      <c r="AVT244"/>
      <c r="AVU244"/>
      <c r="AVV244"/>
      <c r="AVW244"/>
      <c r="AVX244"/>
      <c r="AVY244"/>
      <c r="AVZ244"/>
      <c r="AWA244"/>
      <c r="AWB244"/>
      <c r="AWC244"/>
      <c r="AWD244"/>
      <c r="AWE244"/>
      <c r="AWF244"/>
      <c r="AWG244"/>
      <c r="AWH244"/>
      <c r="AWI244"/>
      <c r="AWJ244"/>
      <c r="AWK244"/>
      <c r="AWL244"/>
      <c r="AWM244"/>
      <c r="AWN244"/>
      <c r="AWO244"/>
      <c r="AWP244"/>
      <c r="AWQ244"/>
      <c r="AWR244"/>
      <c r="AWS244"/>
      <c r="AWT244"/>
      <c r="AWU244"/>
      <c r="AWV244"/>
      <c r="AWW244"/>
      <c r="AWX244"/>
      <c r="AWY244"/>
      <c r="AWZ244"/>
      <c r="AXA244"/>
      <c r="AXB244"/>
      <c r="AXC244"/>
      <c r="AXD244"/>
      <c r="AXE244"/>
      <c r="AXF244"/>
      <c r="AXG244"/>
      <c r="AXH244"/>
      <c r="AXI244"/>
      <c r="AXJ244"/>
      <c r="AXK244"/>
      <c r="AXL244"/>
      <c r="AXM244"/>
      <c r="AXN244"/>
      <c r="AXO244"/>
      <c r="AXP244"/>
      <c r="AXQ244"/>
      <c r="AXR244"/>
      <c r="AXS244"/>
      <c r="AXT244"/>
      <c r="AXU244"/>
      <c r="AXV244"/>
      <c r="AXW244"/>
      <c r="AXX244"/>
      <c r="AXY244"/>
      <c r="AXZ244"/>
      <c r="AYA244"/>
      <c r="AYB244"/>
      <c r="AYC244"/>
      <c r="AYD244"/>
      <c r="AYE244"/>
      <c r="AYF244"/>
      <c r="AYG244"/>
      <c r="AYH244"/>
      <c r="AYI244"/>
      <c r="AYJ244"/>
      <c r="AYK244"/>
      <c r="AYL244"/>
      <c r="AYM244"/>
      <c r="AYN244"/>
      <c r="AYO244"/>
      <c r="AYP244"/>
      <c r="AYQ244"/>
      <c r="AYR244"/>
      <c r="AYS244"/>
      <c r="AYT244"/>
      <c r="AYU244"/>
      <c r="AYV244"/>
      <c r="AYW244"/>
      <c r="AYX244"/>
      <c r="AYY244"/>
      <c r="AYZ244"/>
      <c r="AZA244"/>
      <c r="AZB244"/>
      <c r="AZC244"/>
      <c r="AZD244"/>
      <c r="AZE244"/>
      <c r="AZF244"/>
      <c r="AZG244"/>
      <c r="AZH244"/>
      <c r="AZI244"/>
      <c r="AZJ244"/>
      <c r="AZK244"/>
      <c r="AZL244"/>
      <c r="AZM244"/>
      <c r="AZN244"/>
      <c r="AZO244"/>
      <c r="AZP244"/>
      <c r="AZQ244"/>
      <c r="AZR244"/>
      <c r="AZS244"/>
      <c r="AZT244"/>
      <c r="AZU244"/>
      <c r="AZV244"/>
      <c r="AZW244"/>
      <c r="AZX244"/>
      <c r="AZY244"/>
      <c r="AZZ244"/>
      <c r="BAA244"/>
      <c r="BAB244"/>
      <c r="BAC244"/>
      <c r="BAD244"/>
      <c r="BAE244"/>
      <c r="BAF244"/>
      <c r="BAG244"/>
      <c r="BAH244"/>
      <c r="BAI244"/>
      <c r="BAJ244"/>
      <c r="BAK244"/>
      <c r="BAL244"/>
      <c r="BAM244"/>
      <c r="BAN244"/>
      <c r="BAO244"/>
      <c r="BAP244"/>
      <c r="BAQ244"/>
      <c r="BAR244"/>
      <c r="BAS244"/>
      <c r="BAT244"/>
      <c r="BAU244"/>
      <c r="BAV244"/>
      <c r="BAW244"/>
      <c r="BAX244"/>
      <c r="BAY244"/>
      <c r="BAZ244"/>
      <c r="BBA244"/>
      <c r="BBB244"/>
      <c r="BBC244"/>
      <c r="BBD244"/>
      <c r="BBE244"/>
      <c r="BBF244"/>
      <c r="BBG244"/>
      <c r="BBH244"/>
      <c r="BBI244"/>
      <c r="BBJ244"/>
      <c r="BBK244"/>
      <c r="BBL244"/>
      <c r="BBM244"/>
      <c r="BBN244"/>
      <c r="BBO244"/>
      <c r="BBP244"/>
      <c r="BBQ244"/>
      <c r="BBR244"/>
      <c r="BBS244"/>
      <c r="BBT244"/>
      <c r="BBU244"/>
      <c r="BBV244"/>
      <c r="BBW244"/>
      <c r="BBX244"/>
      <c r="BBY244"/>
      <c r="BBZ244"/>
      <c r="BCA244"/>
      <c r="BCB244"/>
      <c r="BCC244"/>
      <c r="BCD244"/>
      <c r="BCE244"/>
      <c r="BCF244"/>
      <c r="BCG244"/>
      <c r="BCH244"/>
      <c r="BCI244"/>
      <c r="BCJ244"/>
      <c r="BCK244"/>
      <c r="BCL244"/>
      <c r="BCM244"/>
      <c r="BCN244"/>
      <c r="BCO244"/>
      <c r="BCP244"/>
      <c r="BCQ244"/>
      <c r="BCR244"/>
      <c r="BCS244"/>
      <c r="BCT244"/>
      <c r="BCU244"/>
      <c r="BCV244"/>
      <c r="BCW244"/>
      <c r="BCX244"/>
      <c r="BCY244"/>
      <c r="BCZ244"/>
      <c r="BDA244"/>
      <c r="BDB244"/>
      <c r="BDC244"/>
      <c r="BDD244"/>
      <c r="BDE244"/>
      <c r="BDF244"/>
      <c r="BDG244"/>
      <c r="BDH244"/>
      <c r="BDI244"/>
      <c r="BDJ244"/>
      <c r="BDK244"/>
      <c r="BDL244"/>
      <c r="BDM244"/>
      <c r="BDN244"/>
      <c r="BDO244"/>
      <c r="BDP244"/>
      <c r="BDQ244"/>
      <c r="BDR244"/>
      <c r="BDS244"/>
      <c r="BDT244"/>
      <c r="BDU244"/>
      <c r="BDV244"/>
      <c r="BDW244"/>
      <c r="BDX244"/>
      <c r="BDY244"/>
      <c r="BDZ244"/>
      <c r="BEA244"/>
      <c r="BEB244"/>
      <c r="BEC244"/>
      <c r="BED244"/>
      <c r="BEE244"/>
      <c r="BEF244"/>
      <c r="BEG244"/>
      <c r="BEH244"/>
      <c r="BEI244"/>
      <c r="BEJ244"/>
      <c r="BEK244"/>
      <c r="BEL244"/>
      <c r="BEM244"/>
      <c r="BEN244"/>
      <c r="BEO244"/>
      <c r="BEP244"/>
      <c r="BEQ244"/>
      <c r="BER244"/>
      <c r="BES244"/>
      <c r="BET244"/>
      <c r="BEU244"/>
      <c r="BEV244"/>
      <c r="BEW244"/>
      <c r="BEX244"/>
      <c r="BEY244"/>
      <c r="BEZ244"/>
      <c r="BFA244"/>
      <c r="BFB244"/>
      <c r="BFC244"/>
      <c r="BFD244"/>
      <c r="BFE244"/>
      <c r="BFF244"/>
      <c r="BFG244"/>
      <c r="BFH244"/>
      <c r="BFI244"/>
      <c r="BFJ244"/>
      <c r="BFK244"/>
      <c r="BFL244"/>
      <c r="BFM244"/>
      <c r="BFN244"/>
      <c r="BFO244"/>
      <c r="BFP244"/>
      <c r="BFQ244"/>
      <c r="BFR244"/>
      <c r="BFS244"/>
      <c r="BFT244"/>
      <c r="BFU244"/>
      <c r="BFV244"/>
      <c r="BFW244"/>
      <c r="BFX244"/>
      <c r="BFY244"/>
      <c r="BFZ244"/>
      <c r="BGA244"/>
      <c r="BGB244"/>
      <c r="BGC244"/>
      <c r="BGD244"/>
      <c r="BGE244"/>
      <c r="BGF244"/>
      <c r="BGG244"/>
      <c r="BGH244"/>
      <c r="BGI244"/>
      <c r="BGJ244"/>
      <c r="BGK244"/>
      <c r="BGL244"/>
      <c r="BGM244"/>
      <c r="BGN244"/>
      <c r="BGO244"/>
      <c r="BGP244"/>
      <c r="BGQ244"/>
      <c r="BGR244"/>
      <c r="BGS244"/>
      <c r="BGT244"/>
      <c r="BGU244"/>
      <c r="BGV244"/>
      <c r="BGW244"/>
      <c r="BGX244"/>
      <c r="BGY244"/>
      <c r="BGZ244"/>
      <c r="BHA244"/>
      <c r="BHB244"/>
      <c r="BHC244"/>
      <c r="BHD244"/>
      <c r="BHE244"/>
      <c r="BHF244"/>
      <c r="BHG244"/>
      <c r="BHH244"/>
      <c r="BHI244"/>
      <c r="BHJ244"/>
      <c r="BHK244"/>
      <c r="BHL244"/>
      <c r="BHM244"/>
      <c r="BHN244"/>
      <c r="BHO244"/>
      <c r="BHP244"/>
      <c r="BHQ244"/>
      <c r="BHR244"/>
      <c r="BHS244"/>
      <c r="BHT244"/>
      <c r="BHU244"/>
      <c r="BHV244"/>
      <c r="BHW244"/>
      <c r="BHX244"/>
      <c r="BHY244"/>
      <c r="BHZ244"/>
      <c r="BIA244"/>
      <c r="BIB244"/>
      <c r="BIC244"/>
      <c r="BID244"/>
      <c r="BIE244"/>
      <c r="BIF244"/>
      <c r="BIG244"/>
      <c r="BIH244"/>
      <c r="BII244"/>
      <c r="BIJ244"/>
      <c r="BIK244"/>
      <c r="BIL244"/>
      <c r="BIM244"/>
      <c r="BIN244"/>
      <c r="BIO244"/>
      <c r="BIP244"/>
      <c r="BIQ244"/>
      <c r="BIR244"/>
      <c r="BIS244"/>
      <c r="BIT244"/>
      <c r="BIU244"/>
      <c r="BIV244"/>
      <c r="BIW244"/>
      <c r="BIX244"/>
      <c r="BIY244"/>
      <c r="BIZ244"/>
      <c r="BJA244"/>
      <c r="BJB244"/>
      <c r="BJC244"/>
      <c r="BJD244"/>
      <c r="BJE244"/>
      <c r="BJF244"/>
      <c r="BJG244"/>
      <c r="BJH244"/>
      <c r="BJI244"/>
      <c r="BJJ244"/>
      <c r="BJK244"/>
      <c r="BJL244"/>
      <c r="BJM244"/>
      <c r="BJN244"/>
      <c r="BJO244"/>
      <c r="BJP244"/>
      <c r="BJQ244"/>
      <c r="BJR244"/>
      <c r="BJS244"/>
      <c r="BJT244"/>
      <c r="BJU244"/>
      <c r="BJV244"/>
      <c r="BJW244"/>
      <c r="BJX244"/>
      <c r="BJY244"/>
      <c r="BJZ244"/>
      <c r="BKA244"/>
      <c r="BKB244"/>
      <c r="BKC244"/>
      <c r="BKD244"/>
      <c r="BKE244"/>
      <c r="BKF244"/>
      <c r="BKG244"/>
      <c r="BKH244"/>
      <c r="BKI244"/>
      <c r="BKJ244"/>
      <c r="BKK244"/>
      <c r="BKL244"/>
      <c r="BKM244"/>
      <c r="BKN244"/>
      <c r="BKO244"/>
      <c r="BKP244"/>
      <c r="BKQ244"/>
      <c r="BKR244"/>
      <c r="BKS244"/>
      <c r="BKT244"/>
      <c r="BKU244"/>
      <c r="BKV244"/>
      <c r="BKW244"/>
      <c r="BKX244"/>
      <c r="BKY244"/>
      <c r="BKZ244"/>
      <c r="BLA244"/>
      <c r="BLB244"/>
      <c r="BLC244"/>
      <c r="BLD244"/>
      <c r="BLE244"/>
      <c r="BLF244"/>
      <c r="BLG244"/>
      <c r="BLH244"/>
      <c r="BLI244"/>
      <c r="BLJ244"/>
      <c r="BLK244"/>
      <c r="BLL244"/>
      <c r="BLM244"/>
      <c r="BLN244"/>
      <c r="BLO244"/>
      <c r="BLP244"/>
      <c r="BLQ244"/>
      <c r="BLR244"/>
      <c r="BLS244"/>
      <c r="BLT244"/>
      <c r="BLU244"/>
      <c r="BLV244"/>
      <c r="BLW244"/>
      <c r="BLX244"/>
      <c r="BLY244"/>
      <c r="BLZ244"/>
      <c r="BMA244"/>
      <c r="BMB244"/>
      <c r="BMC244"/>
      <c r="BMD244"/>
      <c r="BME244"/>
      <c r="BMF244"/>
      <c r="BMG244"/>
      <c r="BMH244"/>
      <c r="BMI244"/>
      <c r="BMJ244"/>
      <c r="BMK244"/>
      <c r="BML244"/>
      <c r="BMM244"/>
      <c r="BMN244"/>
      <c r="BMO244"/>
      <c r="BMP244"/>
      <c r="BMQ244"/>
      <c r="BMR244"/>
      <c r="BMS244"/>
      <c r="BMT244"/>
      <c r="BMU244"/>
      <c r="BMV244"/>
      <c r="BMW244"/>
      <c r="BMX244"/>
      <c r="BMY244"/>
      <c r="BMZ244"/>
      <c r="BNA244"/>
      <c r="BNB244"/>
      <c r="BNC244"/>
      <c r="BND244"/>
      <c r="BNE244"/>
      <c r="BNF244"/>
      <c r="BNG244"/>
      <c r="BNH244"/>
      <c r="BNI244"/>
      <c r="BNJ244"/>
      <c r="BNK244"/>
      <c r="BNL244"/>
      <c r="BNM244"/>
      <c r="BNN244"/>
      <c r="BNO244"/>
      <c r="BNP244"/>
      <c r="BNQ244"/>
      <c r="BNR244"/>
      <c r="BNS244"/>
      <c r="BNT244"/>
      <c r="BNU244"/>
      <c r="BNV244"/>
      <c r="BNW244"/>
      <c r="BNX244"/>
      <c r="BNY244"/>
      <c r="BNZ244"/>
      <c r="BOA244"/>
      <c r="BOB244"/>
      <c r="BOC244"/>
      <c r="BOD244"/>
      <c r="BOE244"/>
      <c r="BOF244"/>
      <c r="BOG244"/>
      <c r="BOH244"/>
      <c r="BOI244"/>
      <c r="BOJ244"/>
      <c r="BOK244"/>
      <c r="BOL244"/>
      <c r="BOM244"/>
      <c r="BON244"/>
      <c r="BOO244"/>
      <c r="BOP244"/>
      <c r="BOQ244"/>
      <c r="BOR244"/>
      <c r="BOS244"/>
      <c r="BOT244"/>
      <c r="BOU244"/>
      <c r="BOV244"/>
      <c r="BOW244"/>
      <c r="BOX244"/>
      <c r="BOY244"/>
      <c r="BOZ244"/>
      <c r="BPA244"/>
      <c r="BPB244"/>
      <c r="BPC244"/>
      <c r="BPD244"/>
      <c r="BPE244"/>
      <c r="BPF244"/>
      <c r="BPG244"/>
      <c r="BPH244"/>
      <c r="BPI244"/>
      <c r="BPJ244"/>
      <c r="BPK244"/>
      <c r="BPL244"/>
      <c r="BPM244"/>
      <c r="BPN244"/>
      <c r="BPO244"/>
      <c r="BPP244"/>
      <c r="BPQ244"/>
      <c r="BPR244"/>
      <c r="BPS244"/>
      <c r="BPT244"/>
      <c r="BPU244"/>
      <c r="BPV244"/>
      <c r="BPW244"/>
      <c r="BPX244"/>
      <c r="BPY244"/>
      <c r="BPZ244"/>
      <c r="BQA244"/>
      <c r="BQB244"/>
      <c r="BQC244"/>
      <c r="BQD244"/>
      <c r="BQE244"/>
      <c r="BQF244"/>
      <c r="BQG244"/>
      <c r="BQH244"/>
      <c r="BQI244"/>
      <c r="BQJ244"/>
      <c r="BQK244"/>
      <c r="BQL244"/>
      <c r="BQM244"/>
      <c r="BQN244"/>
      <c r="BQO244"/>
      <c r="BQP244"/>
      <c r="BQQ244"/>
      <c r="BQR244"/>
      <c r="BQS244"/>
      <c r="BQT244"/>
      <c r="BQU244"/>
      <c r="BQV244"/>
      <c r="BQW244"/>
      <c r="BQX244"/>
      <c r="BQY244"/>
      <c r="BQZ244"/>
      <c r="BRA244"/>
      <c r="BRB244"/>
      <c r="BRC244"/>
      <c r="BRD244"/>
      <c r="BRE244"/>
      <c r="BRF244"/>
      <c r="BRG244"/>
      <c r="BRH244"/>
      <c r="BRI244"/>
      <c r="BRJ244"/>
      <c r="BRK244"/>
      <c r="BRL244"/>
      <c r="BRM244"/>
      <c r="BRN244"/>
      <c r="BRO244"/>
      <c r="BRP244"/>
      <c r="BRQ244"/>
      <c r="BRR244"/>
      <c r="BRS244"/>
      <c r="BRT244"/>
      <c r="BRU244"/>
      <c r="BRV244"/>
      <c r="BRW244"/>
      <c r="BRX244"/>
      <c r="BRY244"/>
      <c r="BRZ244"/>
      <c r="BSA244"/>
      <c r="BSB244"/>
      <c r="BSC244"/>
      <c r="BSD244"/>
      <c r="BSE244"/>
      <c r="BSF244"/>
      <c r="BSG244"/>
      <c r="BSH244"/>
      <c r="BSI244"/>
      <c r="BSJ244"/>
      <c r="BSK244"/>
      <c r="BSL244"/>
      <c r="BSM244"/>
      <c r="BSN244"/>
      <c r="BSO244"/>
      <c r="BSP244"/>
      <c r="BSQ244"/>
      <c r="BSR244"/>
      <c r="BSS244"/>
      <c r="BST244"/>
      <c r="BSU244"/>
      <c r="BSV244"/>
      <c r="BSW244"/>
      <c r="BSX244"/>
      <c r="BSY244"/>
      <c r="BSZ244"/>
      <c r="BTA244"/>
      <c r="BTB244"/>
      <c r="BTC244"/>
      <c r="BTD244"/>
      <c r="BTE244"/>
      <c r="BTF244"/>
      <c r="BTG244"/>
      <c r="BTH244"/>
      <c r="BTI244"/>
      <c r="BTJ244"/>
      <c r="BTK244"/>
      <c r="BTL244"/>
      <c r="BTM244"/>
      <c r="BTN244"/>
      <c r="BTO244"/>
      <c r="BTP244"/>
      <c r="BTQ244"/>
      <c r="BTR244"/>
      <c r="BTS244"/>
      <c r="BTT244"/>
      <c r="BTU244"/>
      <c r="BTV244"/>
      <c r="BTW244"/>
      <c r="BTX244"/>
      <c r="BTY244"/>
      <c r="BTZ244"/>
      <c r="BUA244"/>
      <c r="BUB244"/>
      <c r="BUC244"/>
      <c r="BUD244"/>
      <c r="BUE244"/>
      <c r="BUF244"/>
      <c r="BUG244"/>
      <c r="BUH244"/>
      <c r="BUI244"/>
      <c r="BUJ244"/>
      <c r="BUK244"/>
      <c r="BUL244"/>
      <c r="BUM244"/>
      <c r="BUN244"/>
      <c r="BUO244"/>
      <c r="BUP244"/>
      <c r="BUQ244"/>
      <c r="BUR244"/>
      <c r="BUS244"/>
      <c r="BUT244"/>
      <c r="BUU244"/>
      <c r="BUV244"/>
      <c r="BUW244"/>
      <c r="BUX244"/>
      <c r="BUY244"/>
      <c r="BUZ244"/>
      <c r="BVA244"/>
      <c r="BVB244"/>
      <c r="BVC244"/>
      <c r="BVD244"/>
      <c r="BVE244"/>
      <c r="BVF244"/>
      <c r="BVG244"/>
      <c r="BVH244"/>
      <c r="BVI244"/>
      <c r="BVJ244"/>
      <c r="BVK244"/>
      <c r="BVL244"/>
      <c r="BVM244"/>
      <c r="BVN244"/>
      <c r="BVO244"/>
      <c r="BVP244"/>
      <c r="BVQ244"/>
      <c r="BVR244"/>
      <c r="BVS244"/>
      <c r="BVT244"/>
      <c r="BVU244"/>
      <c r="BVV244"/>
      <c r="BVW244"/>
      <c r="BVX244"/>
      <c r="BVY244"/>
      <c r="BVZ244"/>
      <c r="BWA244"/>
      <c r="BWB244"/>
      <c r="BWC244"/>
      <c r="BWD244"/>
      <c r="BWE244"/>
      <c r="BWF244"/>
      <c r="BWG244"/>
      <c r="BWH244"/>
      <c r="BWI244"/>
      <c r="BWJ244"/>
      <c r="BWK244"/>
      <c r="BWL244"/>
      <c r="BWM244"/>
      <c r="BWN244"/>
      <c r="BWO244"/>
      <c r="BWP244"/>
      <c r="BWQ244"/>
      <c r="BWR244"/>
      <c r="BWS244"/>
      <c r="BWT244"/>
      <c r="BWU244"/>
      <c r="BWV244"/>
      <c r="BWW244"/>
      <c r="BWX244"/>
      <c r="BWY244"/>
      <c r="BWZ244"/>
      <c r="BXA244"/>
      <c r="BXB244"/>
      <c r="BXC244"/>
      <c r="BXD244"/>
      <c r="BXE244"/>
      <c r="BXF244"/>
      <c r="BXG244"/>
      <c r="BXH244"/>
      <c r="BXI244"/>
      <c r="BXJ244"/>
      <c r="BXK244"/>
      <c r="BXL244"/>
      <c r="BXM244"/>
      <c r="BXN244"/>
      <c r="BXO244"/>
      <c r="BXP244"/>
      <c r="BXQ244"/>
      <c r="BXR244"/>
      <c r="BXS244"/>
      <c r="BXT244"/>
      <c r="BXU244"/>
      <c r="BXV244"/>
      <c r="BXW244"/>
      <c r="BXX244"/>
      <c r="BXY244"/>
      <c r="BXZ244"/>
      <c r="BYA244"/>
      <c r="BYB244"/>
      <c r="BYC244"/>
      <c r="BYD244"/>
      <c r="BYE244"/>
      <c r="BYF244"/>
      <c r="BYG244"/>
      <c r="BYH244"/>
      <c r="BYI244"/>
      <c r="BYJ244"/>
      <c r="BYK244"/>
      <c r="BYL244"/>
      <c r="BYM244"/>
      <c r="BYN244"/>
      <c r="BYO244"/>
      <c r="BYP244"/>
      <c r="BYQ244"/>
      <c r="BYR244"/>
      <c r="BYS244"/>
      <c r="BYT244"/>
      <c r="BYU244"/>
      <c r="BYV244"/>
      <c r="BYW244"/>
      <c r="BYX244"/>
      <c r="BYY244"/>
      <c r="BYZ244"/>
      <c r="BZA244"/>
      <c r="BZB244"/>
      <c r="BZC244"/>
      <c r="BZD244"/>
      <c r="BZE244"/>
      <c r="BZF244"/>
      <c r="BZG244"/>
      <c r="BZH244"/>
      <c r="BZI244"/>
      <c r="BZJ244"/>
      <c r="BZK244"/>
      <c r="BZL244"/>
      <c r="BZM244"/>
      <c r="BZN244"/>
      <c r="BZO244"/>
      <c r="BZP244"/>
      <c r="BZQ244"/>
      <c r="BZR244"/>
      <c r="BZS244"/>
      <c r="BZT244"/>
      <c r="BZU244"/>
      <c r="BZV244"/>
      <c r="BZW244"/>
      <c r="BZX244"/>
      <c r="BZY244"/>
      <c r="BZZ244"/>
      <c r="CAA244"/>
      <c r="CAB244"/>
      <c r="CAC244"/>
      <c r="CAD244"/>
      <c r="CAE244"/>
      <c r="CAF244"/>
      <c r="CAG244"/>
      <c r="CAH244"/>
      <c r="CAI244"/>
      <c r="CAJ244"/>
      <c r="CAK244"/>
      <c r="CAL244"/>
      <c r="CAM244"/>
      <c r="CAN244"/>
      <c r="CAO244"/>
      <c r="CAP244"/>
      <c r="CAQ244"/>
      <c r="CAR244"/>
      <c r="CAS244"/>
      <c r="CAT244"/>
      <c r="CAU244"/>
      <c r="CAV244"/>
      <c r="CAW244"/>
      <c r="CAX244"/>
      <c r="CAY244"/>
      <c r="CAZ244"/>
      <c r="CBA244"/>
      <c r="CBB244"/>
      <c r="CBC244"/>
      <c r="CBD244"/>
      <c r="CBE244"/>
      <c r="CBF244"/>
      <c r="CBG244"/>
      <c r="CBH244"/>
      <c r="CBI244"/>
      <c r="CBJ244"/>
      <c r="CBK244"/>
      <c r="CBL244"/>
      <c r="CBM244"/>
      <c r="CBN244"/>
      <c r="CBO244"/>
      <c r="CBP244"/>
      <c r="CBQ244"/>
      <c r="CBR244"/>
      <c r="CBS244"/>
      <c r="CBT244"/>
      <c r="CBU244"/>
      <c r="CBV244"/>
      <c r="CBW244"/>
      <c r="CBX244"/>
      <c r="CBY244"/>
      <c r="CBZ244"/>
      <c r="CCA244"/>
      <c r="CCB244"/>
      <c r="CCC244"/>
      <c r="CCD244"/>
      <c r="CCE244"/>
      <c r="CCF244"/>
      <c r="CCG244"/>
      <c r="CCH244"/>
      <c r="CCI244"/>
      <c r="CCJ244"/>
      <c r="CCK244"/>
      <c r="CCL244"/>
      <c r="CCM244"/>
      <c r="CCN244"/>
      <c r="CCO244"/>
      <c r="CCP244"/>
      <c r="CCQ244"/>
      <c r="CCR244"/>
      <c r="CCS244"/>
      <c r="CCT244"/>
      <c r="CCU244"/>
      <c r="CCV244"/>
      <c r="CCW244"/>
      <c r="CCX244"/>
      <c r="CCY244"/>
      <c r="CCZ244"/>
      <c r="CDA244"/>
      <c r="CDB244"/>
      <c r="CDC244"/>
      <c r="CDD244"/>
      <c r="CDE244"/>
      <c r="CDF244"/>
      <c r="CDG244"/>
      <c r="CDH244"/>
      <c r="CDI244"/>
      <c r="CDJ244"/>
      <c r="CDK244"/>
      <c r="CDL244"/>
      <c r="CDM244"/>
      <c r="CDN244"/>
      <c r="CDO244"/>
      <c r="CDP244"/>
      <c r="CDQ244"/>
      <c r="CDR244"/>
      <c r="CDS244"/>
      <c r="CDT244"/>
      <c r="CDU244"/>
      <c r="CDV244"/>
      <c r="CDW244"/>
      <c r="CDX244"/>
      <c r="CDY244"/>
      <c r="CDZ244"/>
      <c r="CEA244"/>
      <c r="CEB244"/>
      <c r="CEC244"/>
      <c r="CED244"/>
      <c r="CEE244"/>
      <c r="CEF244"/>
      <c r="CEG244"/>
      <c r="CEH244"/>
      <c r="CEI244"/>
      <c r="CEJ244"/>
      <c r="CEK244"/>
      <c r="CEL244"/>
      <c r="CEM244"/>
      <c r="CEN244"/>
      <c r="CEO244"/>
      <c r="CEP244"/>
      <c r="CEQ244"/>
      <c r="CER244"/>
      <c r="CES244"/>
      <c r="CET244"/>
      <c r="CEU244"/>
      <c r="CEV244"/>
      <c r="CEW244"/>
      <c r="CEX244"/>
      <c r="CEY244"/>
      <c r="CEZ244"/>
      <c r="CFA244"/>
      <c r="CFB244"/>
      <c r="CFC244"/>
      <c r="CFD244"/>
      <c r="CFE244"/>
      <c r="CFF244"/>
      <c r="CFG244"/>
      <c r="CFH244"/>
      <c r="CFI244"/>
      <c r="CFJ244"/>
      <c r="CFK244"/>
      <c r="CFL244"/>
      <c r="CFM244"/>
      <c r="CFN244"/>
      <c r="CFO244"/>
      <c r="CFP244"/>
      <c r="CFQ244"/>
      <c r="CFR244"/>
      <c r="CFS244"/>
      <c r="CFT244"/>
      <c r="CFU244"/>
      <c r="CFV244"/>
      <c r="CFW244"/>
      <c r="CFX244"/>
      <c r="CFY244"/>
      <c r="CFZ244"/>
      <c r="CGA244"/>
      <c r="CGB244"/>
      <c r="CGC244"/>
      <c r="CGD244"/>
      <c r="CGE244"/>
      <c r="CGF244"/>
      <c r="CGG244"/>
      <c r="CGH244"/>
      <c r="CGI244"/>
      <c r="CGJ244"/>
      <c r="CGK244"/>
      <c r="CGL244"/>
      <c r="CGM244"/>
      <c r="CGN244"/>
      <c r="CGO244"/>
      <c r="CGP244"/>
      <c r="CGQ244"/>
      <c r="CGR244"/>
      <c r="CGS244"/>
      <c r="CGT244"/>
      <c r="CGU244"/>
      <c r="CGV244"/>
      <c r="CGW244"/>
      <c r="CGX244"/>
      <c r="CGY244"/>
      <c r="CGZ244"/>
      <c r="CHA244"/>
      <c r="CHB244"/>
      <c r="CHC244"/>
      <c r="CHD244"/>
      <c r="CHE244"/>
      <c r="CHF244"/>
      <c r="CHG244"/>
      <c r="CHH244"/>
      <c r="CHI244"/>
      <c r="CHJ244"/>
      <c r="CHK244"/>
      <c r="CHL244"/>
      <c r="CHM244"/>
      <c r="CHN244"/>
      <c r="CHO244"/>
      <c r="CHP244"/>
      <c r="CHQ244"/>
      <c r="CHR244"/>
      <c r="CHS244"/>
      <c r="CHT244"/>
      <c r="CHU244"/>
      <c r="CHV244"/>
      <c r="CHW244"/>
      <c r="CHX244"/>
      <c r="CHY244"/>
      <c r="CHZ244"/>
      <c r="CIA244"/>
      <c r="CIB244"/>
      <c r="CIC244"/>
      <c r="CID244"/>
      <c r="CIE244"/>
      <c r="CIF244"/>
      <c r="CIG244"/>
      <c r="CIH244"/>
      <c r="CII244"/>
      <c r="CIJ244"/>
      <c r="CIK244"/>
      <c r="CIL244"/>
      <c r="CIM244"/>
      <c r="CIN244"/>
      <c r="CIO244"/>
      <c r="CIP244"/>
      <c r="CIQ244"/>
      <c r="CIR244"/>
      <c r="CIS244"/>
      <c r="CIT244"/>
      <c r="CIU244"/>
      <c r="CIV244"/>
      <c r="CIW244"/>
      <c r="CIX244"/>
      <c r="CIY244"/>
      <c r="CIZ244"/>
      <c r="CJA244"/>
      <c r="CJB244"/>
      <c r="CJC244"/>
      <c r="CJD244"/>
      <c r="CJE244"/>
      <c r="CJF244"/>
      <c r="CJG244"/>
      <c r="CJH244"/>
      <c r="CJI244"/>
      <c r="CJJ244"/>
      <c r="CJK244"/>
      <c r="CJL244"/>
      <c r="CJM244"/>
      <c r="CJN244"/>
      <c r="CJO244"/>
      <c r="CJP244"/>
      <c r="CJQ244"/>
      <c r="CJR244"/>
      <c r="CJS244"/>
      <c r="CJT244"/>
      <c r="CJU244"/>
      <c r="CJV244"/>
      <c r="CJW244"/>
      <c r="CJX244"/>
      <c r="CJY244"/>
      <c r="CJZ244"/>
      <c r="CKA244"/>
      <c r="CKB244"/>
      <c r="CKC244"/>
      <c r="CKD244"/>
      <c r="CKE244"/>
      <c r="CKF244"/>
      <c r="CKG244"/>
      <c r="CKH244"/>
      <c r="CKI244"/>
      <c r="CKJ244"/>
      <c r="CKK244"/>
      <c r="CKL244"/>
      <c r="CKM244"/>
      <c r="CKN244"/>
      <c r="CKO244"/>
      <c r="CKP244"/>
      <c r="CKQ244"/>
      <c r="CKR244"/>
      <c r="CKS244"/>
      <c r="CKT244"/>
      <c r="CKU244"/>
      <c r="CKV244"/>
      <c r="CKW244"/>
      <c r="CKX244"/>
      <c r="CKY244"/>
      <c r="CKZ244"/>
      <c r="CLA244"/>
      <c r="CLB244"/>
      <c r="CLC244"/>
      <c r="CLD244"/>
      <c r="CLE244"/>
      <c r="CLF244"/>
      <c r="CLG244"/>
      <c r="CLH244"/>
      <c r="CLI244"/>
      <c r="CLJ244"/>
      <c r="CLK244"/>
      <c r="CLL244"/>
      <c r="CLM244"/>
      <c r="CLN244"/>
      <c r="CLO244"/>
      <c r="CLP244"/>
      <c r="CLQ244"/>
      <c r="CLR244"/>
      <c r="CLS244"/>
      <c r="CLT244"/>
      <c r="CLU244"/>
      <c r="CLV244"/>
      <c r="CLW244"/>
      <c r="CLX244"/>
      <c r="CLY244"/>
      <c r="CLZ244"/>
      <c r="CMA244"/>
      <c r="CMB244"/>
      <c r="CMC244"/>
      <c r="CMD244"/>
      <c r="CME244"/>
      <c r="CMF244"/>
      <c r="CMG244"/>
      <c r="CMH244"/>
      <c r="CMI244"/>
      <c r="CMJ244"/>
      <c r="CMK244"/>
      <c r="CML244"/>
      <c r="CMM244"/>
      <c r="CMN244"/>
      <c r="CMO244"/>
      <c r="CMP244"/>
      <c r="CMQ244"/>
      <c r="CMR244"/>
      <c r="CMS244"/>
      <c r="CMT244"/>
      <c r="CMU244"/>
      <c r="CMV244"/>
      <c r="CMW244"/>
      <c r="CMX244"/>
      <c r="CMY244"/>
      <c r="CMZ244"/>
      <c r="CNA244"/>
      <c r="CNB244"/>
      <c r="CNC244"/>
      <c r="CND244"/>
      <c r="CNE244"/>
      <c r="CNF244"/>
      <c r="CNG244"/>
      <c r="CNH244"/>
      <c r="CNI244"/>
      <c r="CNJ244"/>
      <c r="CNK244"/>
      <c r="CNL244"/>
      <c r="CNM244"/>
      <c r="CNN244"/>
      <c r="CNO244"/>
      <c r="CNP244"/>
      <c r="CNQ244"/>
      <c r="CNR244"/>
      <c r="CNS244"/>
      <c r="CNT244"/>
      <c r="CNU244"/>
      <c r="CNV244"/>
      <c r="CNW244"/>
      <c r="CNX244"/>
      <c r="CNY244"/>
      <c r="CNZ244"/>
      <c r="COA244"/>
      <c r="COB244"/>
      <c r="COC244"/>
      <c r="COD244"/>
      <c r="COE244"/>
      <c r="COF244"/>
      <c r="COG244"/>
      <c r="COH244"/>
      <c r="COI244"/>
      <c r="COJ244"/>
      <c r="COK244"/>
      <c r="COL244"/>
      <c r="COM244"/>
      <c r="CON244"/>
      <c r="COO244"/>
      <c r="COP244"/>
      <c r="COQ244"/>
      <c r="COR244"/>
      <c r="COS244"/>
      <c r="COT244"/>
      <c r="COU244"/>
      <c r="COV244"/>
      <c r="COW244"/>
      <c r="COX244"/>
      <c r="COY244"/>
      <c r="COZ244"/>
      <c r="CPA244"/>
      <c r="CPB244"/>
      <c r="CPC244"/>
      <c r="CPD244"/>
      <c r="CPE244"/>
      <c r="CPF244"/>
      <c r="CPG244"/>
      <c r="CPH244"/>
      <c r="CPI244"/>
      <c r="CPJ244"/>
      <c r="CPK244"/>
      <c r="CPL244"/>
      <c r="CPM244"/>
      <c r="CPN244"/>
      <c r="CPO244"/>
      <c r="CPP244"/>
      <c r="CPQ244"/>
      <c r="CPR244"/>
      <c r="CPS244"/>
      <c r="CPT244"/>
      <c r="CPU244"/>
      <c r="CPV244"/>
      <c r="CPW244"/>
      <c r="CPX244"/>
      <c r="CPY244"/>
      <c r="CPZ244"/>
      <c r="CQA244"/>
      <c r="CQB244"/>
      <c r="CQC244"/>
      <c r="CQD244"/>
      <c r="CQE244"/>
      <c r="CQF244"/>
      <c r="CQG244"/>
      <c r="CQH244"/>
      <c r="CQI244"/>
      <c r="CQJ244"/>
      <c r="CQK244"/>
      <c r="CQL244"/>
      <c r="CQM244"/>
      <c r="CQN244"/>
      <c r="CQO244"/>
      <c r="CQP244"/>
      <c r="CQQ244"/>
      <c r="CQR244"/>
      <c r="CQS244"/>
      <c r="CQT244"/>
      <c r="CQU244"/>
      <c r="CQV244"/>
      <c r="CQW244"/>
      <c r="CQX244"/>
      <c r="CQY244"/>
      <c r="CQZ244"/>
      <c r="CRA244"/>
      <c r="CRB244"/>
      <c r="CRC244"/>
      <c r="CRD244"/>
      <c r="CRE244"/>
      <c r="CRF244"/>
      <c r="CRG244"/>
      <c r="CRH244"/>
      <c r="CRI244"/>
      <c r="CRJ244"/>
      <c r="CRK244"/>
      <c r="CRL244"/>
      <c r="CRM244"/>
      <c r="CRN244"/>
      <c r="CRO244"/>
      <c r="CRP244"/>
      <c r="CRQ244"/>
      <c r="CRR244"/>
      <c r="CRS244"/>
      <c r="CRT244"/>
      <c r="CRU244"/>
      <c r="CRV244"/>
      <c r="CRW244"/>
      <c r="CRX244"/>
      <c r="CRY244"/>
      <c r="CRZ244"/>
      <c r="CSA244"/>
      <c r="CSB244"/>
      <c r="CSC244"/>
      <c r="CSD244"/>
      <c r="CSE244"/>
      <c r="CSF244"/>
      <c r="CSG244"/>
      <c r="CSH244"/>
      <c r="CSI244"/>
      <c r="CSJ244"/>
      <c r="CSK244"/>
      <c r="CSL244"/>
      <c r="CSM244"/>
      <c r="CSN244"/>
      <c r="CSO244"/>
      <c r="CSP244"/>
      <c r="CSQ244"/>
      <c r="CSR244"/>
      <c r="CSS244"/>
      <c r="CST244"/>
      <c r="CSU244"/>
      <c r="CSV244"/>
      <c r="CSW244"/>
      <c r="CSX244"/>
      <c r="CSY244"/>
      <c r="CSZ244"/>
      <c r="CTA244"/>
      <c r="CTB244"/>
      <c r="CTC244"/>
      <c r="CTD244"/>
      <c r="CTE244"/>
      <c r="CTF244"/>
      <c r="CTG244"/>
      <c r="CTH244"/>
      <c r="CTI244"/>
      <c r="CTJ244"/>
      <c r="CTK244"/>
      <c r="CTL244"/>
      <c r="CTM244"/>
      <c r="CTN244"/>
      <c r="CTO244"/>
      <c r="CTP244"/>
      <c r="CTQ244"/>
      <c r="CTR244"/>
      <c r="CTS244"/>
      <c r="CTT244"/>
      <c r="CTU244"/>
      <c r="CTV244"/>
      <c r="CTW244"/>
      <c r="CTX244"/>
      <c r="CTY244"/>
      <c r="CTZ244"/>
      <c r="CUA244"/>
      <c r="CUB244"/>
      <c r="CUC244"/>
      <c r="CUD244"/>
      <c r="CUE244"/>
      <c r="CUF244"/>
      <c r="CUG244"/>
      <c r="CUH244"/>
      <c r="CUI244"/>
      <c r="CUJ244"/>
      <c r="CUK244"/>
      <c r="CUL244"/>
      <c r="CUM244"/>
      <c r="CUN244"/>
      <c r="CUO244"/>
      <c r="CUP244"/>
      <c r="CUQ244"/>
      <c r="CUR244"/>
      <c r="CUS244"/>
      <c r="CUT244"/>
      <c r="CUU244"/>
      <c r="CUV244"/>
      <c r="CUW244"/>
      <c r="CUX244"/>
      <c r="CUY244"/>
      <c r="CUZ244"/>
      <c r="CVA244"/>
      <c r="CVB244"/>
      <c r="CVC244"/>
      <c r="CVD244"/>
      <c r="CVE244"/>
      <c r="CVF244"/>
      <c r="CVG244"/>
      <c r="CVH244"/>
      <c r="CVI244"/>
      <c r="CVJ244"/>
      <c r="CVK244"/>
      <c r="CVL244"/>
      <c r="CVM244"/>
      <c r="CVN244"/>
      <c r="CVO244"/>
      <c r="CVP244"/>
      <c r="CVQ244"/>
      <c r="CVR244"/>
      <c r="CVS244"/>
      <c r="CVT244"/>
      <c r="CVU244"/>
      <c r="CVV244"/>
      <c r="CVW244"/>
      <c r="CVX244"/>
      <c r="CVY244"/>
      <c r="CVZ244"/>
      <c r="CWA244"/>
      <c r="CWB244"/>
      <c r="CWC244"/>
      <c r="CWD244"/>
      <c r="CWE244"/>
      <c r="CWF244"/>
      <c r="CWG244"/>
      <c r="CWH244"/>
      <c r="CWI244"/>
      <c r="CWJ244"/>
      <c r="CWK244"/>
      <c r="CWL244"/>
      <c r="CWM244"/>
      <c r="CWN244"/>
      <c r="CWO244"/>
      <c r="CWP244"/>
      <c r="CWQ244"/>
      <c r="CWR244"/>
      <c r="CWS244"/>
      <c r="CWT244"/>
      <c r="CWU244"/>
      <c r="CWV244"/>
      <c r="CWW244"/>
      <c r="CWX244"/>
      <c r="CWY244"/>
      <c r="CWZ244"/>
      <c r="CXA244"/>
      <c r="CXB244"/>
      <c r="CXC244"/>
      <c r="CXD244"/>
      <c r="CXE244"/>
      <c r="CXF244"/>
      <c r="CXG244"/>
      <c r="CXH244"/>
      <c r="CXI244"/>
      <c r="CXJ244"/>
      <c r="CXK244"/>
      <c r="CXL244"/>
      <c r="CXM244"/>
      <c r="CXN244"/>
      <c r="CXO244"/>
      <c r="CXP244"/>
      <c r="CXQ244"/>
      <c r="CXR244"/>
      <c r="CXS244"/>
      <c r="CXT244"/>
      <c r="CXU244"/>
      <c r="CXV244"/>
      <c r="CXW244"/>
      <c r="CXX244"/>
      <c r="CXY244"/>
      <c r="CXZ244"/>
      <c r="CYA244"/>
      <c r="CYB244"/>
      <c r="CYC244"/>
      <c r="CYD244"/>
      <c r="CYE244"/>
      <c r="CYF244"/>
      <c r="CYG244"/>
      <c r="CYH244"/>
      <c r="CYI244"/>
      <c r="CYJ244"/>
      <c r="CYK244"/>
      <c r="CYL244"/>
      <c r="CYM244"/>
      <c r="CYN244"/>
      <c r="CYO244"/>
      <c r="CYP244"/>
      <c r="CYQ244"/>
      <c r="CYR244"/>
      <c r="CYS244"/>
      <c r="CYT244"/>
      <c r="CYU244"/>
      <c r="CYV244"/>
      <c r="CYW244"/>
      <c r="CYX244"/>
      <c r="CYY244"/>
      <c r="CYZ244"/>
      <c r="CZA244"/>
      <c r="CZB244"/>
      <c r="CZC244"/>
      <c r="CZD244"/>
      <c r="CZE244"/>
      <c r="CZF244"/>
      <c r="CZG244"/>
      <c r="CZH244"/>
      <c r="CZI244"/>
      <c r="CZJ244"/>
      <c r="CZK244"/>
      <c r="CZL244"/>
      <c r="CZM244"/>
      <c r="CZN244"/>
      <c r="CZO244"/>
      <c r="CZP244"/>
      <c r="CZQ244"/>
      <c r="CZR244"/>
      <c r="CZS244"/>
      <c r="CZT244"/>
      <c r="CZU244"/>
      <c r="CZV244"/>
      <c r="CZW244"/>
      <c r="CZX244"/>
      <c r="CZY244"/>
      <c r="CZZ244"/>
      <c r="DAA244"/>
      <c r="DAB244"/>
      <c r="DAC244"/>
      <c r="DAD244"/>
      <c r="DAE244"/>
      <c r="DAF244"/>
      <c r="DAG244"/>
      <c r="DAH244"/>
      <c r="DAI244"/>
      <c r="DAJ244"/>
      <c r="DAK244"/>
      <c r="DAL244"/>
      <c r="DAM244"/>
      <c r="DAN244"/>
      <c r="DAO244"/>
      <c r="DAP244"/>
      <c r="DAQ244"/>
      <c r="DAR244"/>
      <c r="DAS244"/>
      <c r="DAT244"/>
      <c r="DAU244"/>
      <c r="DAV244"/>
      <c r="DAW244"/>
      <c r="DAX244"/>
      <c r="DAY244"/>
      <c r="DAZ244"/>
      <c r="DBA244"/>
      <c r="DBB244"/>
      <c r="DBC244"/>
      <c r="DBD244"/>
      <c r="DBE244"/>
      <c r="DBF244"/>
      <c r="DBG244"/>
      <c r="DBH244"/>
      <c r="DBI244"/>
      <c r="DBJ244"/>
      <c r="DBK244"/>
      <c r="DBL244"/>
      <c r="DBM244"/>
      <c r="DBN244"/>
      <c r="DBO244"/>
      <c r="DBP244"/>
      <c r="DBQ244"/>
      <c r="DBR244"/>
      <c r="DBS244"/>
      <c r="DBT244"/>
      <c r="DBU244"/>
      <c r="DBV244"/>
      <c r="DBW244"/>
      <c r="DBX244"/>
      <c r="DBY244"/>
      <c r="DBZ244"/>
      <c r="DCA244"/>
      <c r="DCB244"/>
      <c r="DCC244"/>
      <c r="DCD244"/>
      <c r="DCE244"/>
      <c r="DCF244"/>
      <c r="DCG244"/>
      <c r="DCH244"/>
      <c r="DCI244"/>
      <c r="DCJ244"/>
      <c r="DCK244"/>
      <c r="DCL244"/>
      <c r="DCM244"/>
      <c r="DCN244"/>
      <c r="DCO244"/>
      <c r="DCP244"/>
      <c r="DCQ244"/>
      <c r="DCR244"/>
      <c r="DCS244"/>
      <c r="DCT244"/>
      <c r="DCU244"/>
      <c r="DCV244"/>
      <c r="DCW244"/>
      <c r="DCX244"/>
      <c r="DCY244"/>
      <c r="DCZ244"/>
      <c r="DDA244"/>
      <c r="DDB244"/>
      <c r="DDC244"/>
      <c r="DDD244"/>
      <c r="DDE244"/>
      <c r="DDF244"/>
      <c r="DDG244"/>
      <c r="DDH244"/>
      <c r="DDI244"/>
      <c r="DDJ244"/>
      <c r="DDK244"/>
      <c r="DDL244"/>
      <c r="DDM244"/>
      <c r="DDN244"/>
      <c r="DDO244"/>
      <c r="DDP244"/>
      <c r="DDQ244"/>
      <c r="DDR244"/>
      <c r="DDS244"/>
      <c r="DDT244"/>
      <c r="DDU244"/>
      <c r="DDV244"/>
      <c r="DDW244"/>
      <c r="DDX244"/>
      <c r="DDY244"/>
      <c r="DDZ244"/>
      <c r="DEA244"/>
      <c r="DEB244"/>
      <c r="DEC244"/>
      <c r="DED244"/>
      <c r="DEE244"/>
      <c r="DEF244"/>
      <c r="DEG244"/>
      <c r="DEH244"/>
      <c r="DEI244"/>
      <c r="DEJ244"/>
      <c r="DEK244"/>
      <c r="DEL244"/>
      <c r="DEM244"/>
      <c r="DEN244"/>
      <c r="DEO244"/>
      <c r="DEP244"/>
      <c r="DEQ244"/>
      <c r="DER244"/>
      <c r="DES244"/>
      <c r="DET244"/>
      <c r="DEU244"/>
      <c r="DEV244"/>
      <c r="DEW244"/>
      <c r="DEX244"/>
      <c r="DEY244"/>
      <c r="DEZ244"/>
      <c r="DFA244"/>
      <c r="DFB244"/>
      <c r="DFC244"/>
      <c r="DFD244"/>
      <c r="DFE244"/>
      <c r="DFF244"/>
      <c r="DFG244"/>
      <c r="DFH244"/>
      <c r="DFI244"/>
      <c r="DFJ244"/>
      <c r="DFK244"/>
      <c r="DFL244"/>
      <c r="DFM244"/>
      <c r="DFN244"/>
      <c r="DFO244"/>
      <c r="DFP244"/>
      <c r="DFQ244"/>
      <c r="DFR244"/>
      <c r="DFS244"/>
      <c r="DFT244"/>
      <c r="DFU244"/>
      <c r="DFV244"/>
      <c r="DFW244"/>
      <c r="DFX244"/>
      <c r="DFY244"/>
      <c r="DFZ244"/>
      <c r="DGA244"/>
      <c r="DGB244"/>
      <c r="DGC244"/>
      <c r="DGD244"/>
      <c r="DGE244"/>
      <c r="DGF244"/>
      <c r="DGG244"/>
      <c r="DGH244"/>
      <c r="DGI244"/>
      <c r="DGJ244"/>
      <c r="DGK244"/>
      <c r="DGL244"/>
      <c r="DGM244"/>
      <c r="DGN244"/>
      <c r="DGO244"/>
      <c r="DGP244"/>
      <c r="DGQ244"/>
      <c r="DGR244"/>
      <c r="DGS244"/>
      <c r="DGT244"/>
      <c r="DGU244"/>
      <c r="DGV244"/>
      <c r="DGW244"/>
      <c r="DGX244"/>
      <c r="DGY244"/>
      <c r="DGZ244"/>
      <c r="DHA244"/>
      <c r="DHB244"/>
      <c r="DHC244"/>
      <c r="DHD244"/>
      <c r="DHE244"/>
      <c r="DHF244"/>
      <c r="DHG244"/>
      <c r="DHH244"/>
      <c r="DHI244"/>
      <c r="DHJ244"/>
      <c r="DHK244"/>
      <c r="DHL244"/>
      <c r="DHM244"/>
      <c r="DHN244"/>
      <c r="DHO244"/>
      <c r="DHP244"/>
      <c r="DHQ244"/>
      <c r="DHR244"/>
      <c r="DHS244"/>
      <c r="DHT244"/>
      <c r="DHU244"/>
      <c r="DHV244"/>
      <c r="DHW244"/>
      <c r="DHX244"/>
      <c r="DHY244"/>
      <c r="DHZ244"/>
      <c r="DIA244"/>
      <c r="DIB244"/>
      <c r="DIC244"/>
      <c r="DID244"/>
      <c r="DIE244"/>
      <c r="DIF244"/>
      <c r="DIG244"/>
      <c r="DIH244"/>
      <c r="DII244"/>
      <c r="DIJ244"/>
      <c r="DIK244"/>
      <c r="DIL244"/>
      <c r="DIM244"/>
      <c r="DIN244"/>
      <c r="DIO244"/>
      <c r="DIP244"/>
      <c r="DIQ244"/>
      <c r="DIR244"/>
      <c r="DIS244"/>
      <c r="DIT244"/>
      <c r="DIU244"/>
      <c r="DIV244"/>
      <c r="DIW244"/>
      <c r="DIX244"/>
      <c r="DIY244"/>
      <c r="DIZ244"/>
      <c r="DJA244"/>
      <c r="DJB244"/>
      <c r="DJC244"/>
      <c r="DJD244"/>
      <c r="DJE244"/>
      <c r="DJF244"/>
      <c r="DJG244"/>
      <c r="DJH244"/>
      <c r="DJI244"/>
      <c r="DJJ244"/>
      <c r="DJK244"/>
      <c r="DJL244"/>
      <c r="DJM244"/>
      <c r="DJN244"/>
      <c r="DJO244"/>
      <c r="DJP244"/>
      <c r="DJQ244"/>
      <c r="DJR244"/>
      <c r="DJS244"/>
      <c r="DJT244"/>
      <c r="DJU244"/>
      <c r="DJV244"/>
      <c r="DJW244"/>
      <c r="DJX244"/>
      <c r="DJY244"/>
      <c r="DJZ244"/>
      <c r="DKA244"/>
      <c r="DKB244"/>
      <c r="DKC244"/>
      <c r="DKD244"/>
      <c r="DKE244"/>
      <c r="DKF244"/>
      <c r="DKG244"/>
      <c r="DKH244"/>
      <c r="DKI244"/>
      <c r="DKJ244"/>
      <c r="DKK244"/>
      <c r="DKL244"/>
      <c r="DKM244"/>
      <c r="DKN244"/>
      <c r="DKO244"/>
      <c r="DKP244"/>
      <c r="DKQ244"/>
      <c r="DKR244"/>
      <c r="DKS244"/>
      <c r="DKT244"/>
      <c r="DKU244"/>
      <c r="DKV244"/>
      <c r="DKW244"/>
      <c r="DKX244"/>
      <c r="DKY244"/>
      <c r="DKZ244"/>
      <c r="DLA244"/>
      <c r="DLB244"/>
      <c r="DLC244"/>
      <c r="DLD244"/>
      <c r="DLE244"/>
      <c r="DLF244"/>
      <c r="DLG244"/>
      <c r="DLH244"/>
      <c r="DLI244"/>
      <c r="DLJ244"/>
      <c r="DLK244"/>
      <c r="DLL244"/>
      <c r="DLM244"/>
      <c r="DLN244"/>
      <c r="DLO244"/>
      <c r="DLP244"/>
      <c r="DLQ244"/>
      <c r="DLR244"/>
      <c r="DLS244"/>
      <c r="DLT244"/>
      <c r="DLU244"/>
      <c r="DLV244"/>
      <c r="DLW244"/>
      <c r="DLX244"/>
      <c r="DLY244"/>
      <c r="DLZ244"/>
      <c r="DMA244"/>
      <c r="DMB244"/>
      <c r="DMC244"/>
      <c r="DMD244"/>
      <c r="DME244"/>
      <c r="DMF244"/>
      <c r="DMG244"/>
      <c r="DMH244"/>
      <c r="DMI244"/>
      <c r="DMJ244"/>
      <c r="DMK244"/>
      <c r="DML244"/>
      <c r="DMM244"/>
      <c r="DMN244"/>
      <c r="DMO244"/>
      <c r="DMP244"/>
      <c r="DMQ244"/>
      <c r="DMR244"/>
      <c r="DMS244"/>
      <c r="DMT244"/>
      <c r="DMU244"/>
      <c r="DMV244"/>
      <c r="DMW244"/>
      <c r="DMX244"/>
      <c r="DMY244"/>
      <c r="DMZ244"/>
      <c r="DNA244"/>
      <c r="DNB244"/>
      <c r="DNC244"/>
      <c r="DND244"/>
      <c r="DNE244"/>
      <c r="DNF244"/>
      <c r="DNG244"/>
      <c r="DNH244"/>
      <c r="DNI244"/>
      <c r="DNJ244"/>
      <c r="DNK244"/>
      <c r="DNL244"/>
      <c r="DNM244"/>
      <c r="DNN244"/>
      <c r="DNO244"/>
      <c r="DNP244"/>
      <c r="DNQ244"/>
      <c r="DNR244"/>
      <c r="DNS244"/>
      <c r="DNT244"/>
      <c r="DNU244"/>
      <c r="DNV244"/>
      <c r="DNW244"/>
      <c r="DNX244"/>
      <c r="DNY244"/>
      <c r="DNZ244"/>
      <c r="DOA244"/>
      <c r="DOB244"/>
      <c r="DOC244"/>
      <c r="DOD244"/>
      <c r="DOE244"/>
      <c r="DOF244"/>
      <c r="DOG244"/>
      <c r="DOH244"/>
      <c r="DOI244"/>
      <c r="DOJ244"/>
      <c r="DOK244"/>
      <c r="DOL244"/>
      <c r="DOM244"/>
      <c r="DON244"/>
      <c r="DOO244"/>
      <c r="DOP244"/>
      <c r="DOQ244"/>
      <c r="DOR244"/>
      <c r="DOS244"/>
      <c r="DOT244"/>
      <c r="DOU244"/>
      <c r="DOV244"/>
      <c r="DOW244"/>
      <c r="DOX244"/>
      <c r="DOY244"/>
      <c r="DOZ244"/>
      <c r="DPA244"/>
      <c r="DPB244"/>
      <c r="DPC244"/>
      <c r="DPD244"/>
      <c r="DPE244"/>
      <c r="DPF244"/>
      <c r="DPG244"/>
      <c r="DPH244"/>
      <c r="DPI244"/>
      <c r="DPJ244"/>
      <c r="DPK244"/>
      <c r="DPL244"/>
      <c r="DPM244"/>
      <c r="DPN244"/>
      <c r="DPO244"/>
      <c r="DPP244"/>
      <c r="DPQ244"/>
      <c r="DPR244"/>
      <c r="DPS244"/>
      <c r="DPT244"/>
      <c r="DPU244"/>
      <c r="DPV244"/>
      <c r="DPW244"/>
      <c r="DPX244"/>
      <c r="DPY244"/>
      <c r="DPZ244"/>
      <c r="DQA244"/>
      <c r="DQB244"/>
      <c r="DQC244"/>
      <c r="DQD244"/>
      <c r="DQE244"/>
      <c r="DQF244"/>
      <c r="DQG244"/>
      <c r="DQH244"/>
      <c r="DQI244"/>
      <c r="DQJ244"/>
      <c r="DQK244"/>
      <c r="DQL244"/>
      <c r="DQM244"/>
      <c r="DQN244"/>
      <c r="DQO244"/>
      <c r="DQP244"/>
      <c r="DQQ244"/>
      <c r="DQR244"/>
      <c r="DQS244"/>
      <c r="DQT244"/>
      <c r="DQU244"/>
      <c r="DQV244"/>
      <c r="DQW244"/>
      <c r="DQX244"/>
      <c r="DQY244"/>
      <c r="DQZ244"/>
      <c r="DRA244"/>
      <c r="DRB244"/>
      <c r="DRC244"/>
      <c r="DRD244"/>
      <c r="DRE244"/>
      <c r="DRF244"/>
      <c r="DRG244"/>
      <c r="DRH244"/>
      <c r="DRI244"/>
      <c r="DRJ244"/>
      <c r="DRK244"/>
      <c r="DRL244"/>
      <c r="DRM244"/>
      <c r="DRN244"/>
      <c r="DRO244"/>
      <c r="DRP244"/>
      <c r="DRQ244"/>
      <c r="DRR244"/>
      <c r="DRS244"/>
      <c r="DRT244"/>
      <c r="DRU244"/>
      <c r="DRV244"/>
      <c r="DRW244"/>
      <c r="DRX244"/>
      <c r="DRY244"/>
      <c r="DRZ244"/>
      <c r="DSA244"/>
      <c r="DSB244"/>
      <c r="DSC244"/>
      <c r="DSD244"/>
      <c r="DSE244"/>
      <c r="DSF244"/>
      <c r="DSG244"/>
      <c r="DSH244"/>
      <c r="DSI244"/>
      <c r="DSJ244"/>
      <c r="DSK244"/>
      <c r="DSL244"/>
      <c r="DSM244"/>
      <c r="DSN244"/>
      <c r="DSO244"/>
      <c r="DSP244"/>
      <c r="DSQ244"/>
      <c r="DSR244"/>
      <c r="DSS244"/>
      <c r="DST244"/>
      <c r="DSU244"/>
      <c r="DSV244"/>
      <c r="DSW244"/>
      <c r="DSX244"/>
      <c r="DSY244"/>
      <c r="DSZ244"/>
      <c r="DTA244"/>
      <c r="DTB244"/>
      <c r="DTC244"/>
      <c r="DTD244"/>
      <c r="DTE244"/>
      <c r="DTF244"/>
      <c r="DTG244"/>
      <c r="DTH244"/>
      <c r="DTI244"/>
      <c r="DTJ244"/>
      <c r="DTK244"/>
      <c r="DTL244"/>
      <c r="DTM244"/>
      <c r="DTN244"/>
      <c r="DTO244"/>
      <c r="DTP244"/>
      <c r="DTQ244"/>
      <c r="DTR244"/>
      <c r="DTS244"/>
      <c r="DTT244"/>
      <c r="DTU244"/>
      <c r="DTV244"/>
      <c r="DTW244"/>
      <c r="DTX244"/>
      <c r="DTY244"/>
      <c r="DTZ244"/>
      <c r="DUA244"/>
      <c r="DUB244"/>
      <c r="DUC244"/>
      <c r="DUD244"/>
      <c r="DUE244"/>
      <c r="DUF244"/>
      <c r="DUG244"/>
      <c r="DUH244"/>
      <c r="DUI244"/>
      <c r="DUJ244"/>
      <c r="DUK244"/>
      <c r="DUL244"/>
      <c r="DUM244"/>
      <c r="DUN244"/>
      <c r="DUO244"/>
      <c r="DUP244"/>
      <c r="DUQ244"/>
      <c r="DUR244"/>
      <c r="DUS244"/>
      <c r="DUT244"/>
      <c r="DUU244"/>
      <c r="DUV244"/>
      <c r="DUW244"/>
      <c r="DUX244"/>
      <c r="DUY244"/>
      <c r="DUZ244"/>
      <c r="DVA244"/>
      <c r="DVB244"/>
      <c r="DVC244"/>
      <c r="DVD244"/>
      <c r="DVE244"/>
      <c r="DVF244"/>
      <c r="DVG244"/>
      <c r="DVH244"/>
      <c r="DVI244"/>
      <c r="DVJ244"/>
      <c r="DVK244"/>
      <c r="DVL244"/>
      <c r="DVM244"/>
      <c r="DVN244"/>
      <c r="DVO244"/>
      <c r="DVP244"/>
      <c r="DVQ244"/>
      <c r="DVR244"/>
      <c r="DVS244"/>
      <c r="DVT244"/>
      <c r="DVU244"/>
      <c r="DVV244"/>
      <c r="DVW244"/>
      <c r="DVX244"/>
      <c r="DVY244"/>
      <c r="DVZ244"/>
      <c r="DWA244"/>
      <c r="DWB244"/>
      <c r="DWC244"/>
      <c r="DWD244"/>
      <c r="DWE244"/>
      <c r="DWF244"/>
      <c r="DWG244"/>
      <c r="DWH244"/>
      <c r="DWI244"/>
      <c r="DWJ244"/>
      <c r="DWK244"/>
      <c r="DWL244"/>
      <c r="DWM244"/>
      <c r="DWN244"/>
      <c r="DWO244"/>
      <c r="DWP244"/>
      <c r="DWQ244"/>
      <c r="DWR244"/>
      <c r="DWS244"/>
      <c r="DWT244"/>
      <c r="DWU244"/>
      <c r="DWV244"/>
      <c r="DWW244"/>
      <c r="DWX244"/>
      <c r="DWY244"/>
      <c r="DWZ244"/>
      <c r="DXA244"/>
      <c r="DXB244"/>
      <c r="DXC244"/>
      <c r="DXD244"/>
      <c r="DXE244"/>
      <c r="DXF244"/>
      <c r="DXG244"/>
      <c r="DXH244"/>
      <c r="DXI244"/>
      <c r="DXJ244"/>
      <c r="DXK244"/>
      <c r="DXL244"/>
      <c r="DXM244"/>
      <c r="DXN244"/>
      <c r="DXO244"/>
      <c r="DXP244"/>
      <c r="DXQ244"/>
      <c r="DXR244"/>
      <c r="DXS244"/>
      <c r="DXT244"/>
      <c r="DXU244"/>
      <c r="DXV244"/>
      <c r="DXW244"/>
      <c r="DXX244"/>
      <c r="DXY244"/>
      <c r="DXZ244"/>
      <c r="DYA244"/>
      <c r="DYB244"/>
      <c r="DYC244"/>
      <c r="DYD244"/>
      <c r="DYE244"/>
      <c r="DYF244"/>
      <c r="DYG244"/>
      <c r="DYH244"/>
      <c r="DYI244"/>
      <c r="DYJ244"/>
      <c r="DYK244"/>
      <c r="DYL244"/>
      <c r="DYM244"/>
      <c r="DYN244"/>
      <c r="DYO244"/>
      <c r="DYP244"/>
      <c r="DYQ244"/>
      <c r="DYR244"/>
      <c r="DYS244"/>
      <c r="DYT244"/>
      <c r="DYU244"/>
      <c r="DYV244"/>
      <c r="DYW244"/>
      <c r="DYX244"/>
      <c r="DYY244"/>
      <c r="DYZ244"/>
      <c r="DZA244"/>
      <c r="DZB244"/>
      <c r="DZC244"/>
      <c r="DZD244"/>
      <c r="DZE244"/>
      <c r="DZF244"/>
      <c r="DZG244"/>
      <c r="DZH244"/>
      <c r="DZI244"/>
      <c r="DZJ244"/>
      <c r="DZK244"/>
      <c r="DZL244"/>
      <c r="DZM244"/>
      <c r="DZN244"/>
      <c r="DZO244"/>
      <c r="DZP244"/>
      <c r="DZQ244"/>
      <c r="DZR244"/>
      <c r="DZS244"/>
      <c r="DZT244"/>
      <c r="DZU244"/>
      <c r="DZV244"/>
      <c r="DZW244"/>
      <c r="DZX244"/>
      <c r="DZY244"/>
      <c r="DZZ244"/>
      <c r="EAA244"/>
      <c r="EAB244"/>
      <c r="EAC244"/>
      <c r="EAD244"/>
      <c r="EAE244"/>
      <c r="EAF244"/>
      <c r="EAG244"/>
      <c r="EAH244"/>
      <c r="EAI244"/>
      <c r="EAJ244"/>
      <c r="EAK244"/>
      <c r="EAL244"/>
      <c r="EAM244"/>
      <c r="EAN244"/>
      <c r="EAO244"/>
      <c r="EAP244"/>
      <c r="EAQ244"/>
      <c r="EAR244"/>
      <c r="EAS244"/>
      <c r="EAT244"/>
      <c r="EAU244"/>
      <c r="EAV244"/>
      <c r="EAW244"/>
      <c r="EAX244"/>
      <c r="EAY244"/>
      <c r="EAZ244"/>
      <c r="EBA244"/>
      <c r="EBB244"/>
      <c r="EBC244"/>
      <c r="EBD244"/>
      <c r="EBE244"/>
      <c r="EBF244"/>
      <c r="EBG244"/>
      <c r="EBH244"/>
      <c r="EBI244"/>
      <c r="EBJ244"/>
      <c r="EBK244"/>
      <c r="EBL244"/>
      <c r="EBM244"/>
      <c r="EBN244"/>
      <c r="EBO244"/>
      <c r="EBP244"/>
      <c r="EBQ244"/>
      <c r="EBR244"/>
      <c r="EBS244"/>
      <c r="EBT244"/>
      <c r="EBU244"/>
      <c r="EBV244"/>
      <c r="EBW244"/>
      <c r="EBX244"/>
      <c r="EBY244"/>
      <c r="EBZ244"/>
      <c r="ECA244"/>
      <c r="ECB244"/>
      <c r="ECC244"/>
      <c r="ECD244"/>
      <c r="ECE244"/>
      <c r="ECF244"/>
      <c r="ECG244"/>
      <c r="ECH244"/>
      <c r="ECI244"/>
      <c r="ECJ244"/>
      <c r="ECK244"/>
      <c r="ECL244"/>
      <c r="ECM244"/>
      <c r="ECN244"/>
      <c r="ECO244"/>
      <c r="ECP244"/>
      <c r="ECQ244"/>
      <c r="ECR244"/>
      <c r="ECS244"/>
      <c r="ECT244"/>
      <c r="ECU244"/>
      <c r="ECV244"/>
      <c r="ECW244"/>
      <c r="ECX244"/>
      <c r="ECY244"/>
      <c r="ECZ244"/>
      <c r="EDA244"/>
      <c r="EDB244"/>
      <c r="EDC244"/>
      <c r="EDD244"/>
      <c r="EDE244"/>
      <c r="EDF244"/>
      <c r="EDG244"/>
      <c r="EDH244"/>
      <c r="EDI244"/>
      <c r="EDJ244"/>
      <c r="EDK244"/>
      <c r="EDL244"/>
      <c r="EDM244"/>
      <c r="EDN244"/>
      <c r="EDO244"/>
      <c r="EDP244"/>
      <c r="EDQ244"/>
      <c r="EDR244"/>
      <c r="EDS244"/>
      <c r="EDT244"/>
      <c r="EDU244"/>
      <c r="EDV244"/>
      <c r="EDW244"/>
      <c r="EDX244"/>
      <c r="EDY244"/>
      <c r="EDZ244"/>
      <c r="EEA244"/>
      <c r="EEB244"/>
      <c r="EEC244"/>
      <c r="EED244"/>
      <c r="EEE244"/>
      <c r="EEF244"/>
      <c r="EEG244"/>
      <c r="EEH244"/>
      <c r="EEI244"/>
      <c r="EEJ244"/>
      <c r="EEK244"/>
      <c r="EEL244"/>
      <c r="EEM244"/>
      <c r="EEN244"/>
      <c r="EEO244"/>
      <c r="EEP244"/>
      <c r="EEQ244"/>
      <c r="EER244"/>
      <c r="EES244"/>
      <c r="EET244"/>
      <c r="EEU244"/>
      <c r="EEV244"/>
      <c r="EEW244"/>
      <c r="EEX244"/>
      <c r="EEY244"/>
      <c r="EEZ244"/>
      <c r="EFA244"/>
      <c r="EFB244"/>
      <c r="EFC244"/>
      <c r="EFD244"/>
      <c r="EFE244"/>
      <c r="EFF244"/>
      <c r="EFG244"/>
      <c r="EFH244"/>
      <c r="EFI244"/>
      <c r="EFJ244"/>
      <c r="EFK244"/>
      <c r="EFL244"/>
      <c r="EFM244"/>
      <c r="EFN244"/>
      <c r="EFO244"/>
      <c r="EFP244"/>
      <c r="EFQ244"/>
      <c r="EFR244"/>
      <c r="EFS244"/>
      <c r="EFT244"/>
      <c r="EFU244"/>
      <c r="EFV244"/>
      <c r="EFW244"/>
      <c r="EFX244"/>
      <c r="EFY244"/>
      <c r="EFZ244"/>
      <c r="EGA244"/>
      <c r="EGB244"/>
      <c r="EGC244"/>
      <c r="EGD244"/>
      <c r="EGE244"/>
      <c r="EGF244"/>
      <c r="EGG244"/>
      <c r="EGH244"/>
      <c r="EGI244"/>
      <c r="EGJ244"/>
      <c r="EGK244"/>
      <c r="EGL244"/>
      <c r="EGM244"/>
      <c r="EGN244"/>
      <c r="EGO244"/>
      <c r="EGP244"/>
      <c r="EGQ244"/>
      <c r="EGR244"/>
      <c r="EGS244"/>
      <c r="EGT244"/>
      <c r="EGU244"/>
      <c r="EGV244"/>
      <c r="EGW244"/>
      <c r="EGX244"/>
      <c r="EGY244"/>
      <c r="EGZ244"/>
      <c r="EHA244"/>
      <c r="EHB244"/>
      <c r="EHC244"/>
      <c r="EHD244"/>
      <c r="EHE244"/>
      <c r="EHF244"/>
      <c r="EHG244"/>
      <c r="EHH244"/>
      <c r="EHI244"/>
      <c r="EHJ244"/>
      <c r="EHK244"/>
      <c r="EHL244"/>
      <c r="EHM244"/>
      <c r="EHN244"/>
      <c r="EHO244"/>
      <c r="EHP244"/>
      <c r="EHQ244"/>
      <c r="EHR244"/>
      <c r="EHS244"/>
      <c r="EHT244"/>
      <c r="EHU244"/>
      <c r="EHV244"/>
      <c r="EHW244"/>
      <c r="EHX244"/>
      <c r="EHY244"/>
      <c r="EHZ244"/>
      <c r="EIA244"/>
      <c r="EIB244"/>
      <c r="EIC244"/>
      <c r="EID244"/>
      <c r="EIE244"/>
      <c r="EIF244"/>
      <c r="EIG244"/>
      <c r="EIH244"/>
      <c r="EII244"/>
      <c r="EIJ244"/>
      <c r="EIK244"/>
      <c r="EIL244"/>
      <c r="EIM244"/>
      <c r="EIN244"/>
      <c r="EIO244"/>
      <c r="EIP244"/>
      <c r="EIQ244"/>
      <c r="EIR244"/>
      <c r="EIS244"/>
      <c r="EIT244"/>
      <c r="EIU244"/>
      <c r="EIV244"/>
      <c r="EIW244"/>
      <c r="EIX244"/>
      <c r="EIY244"/>
      <c r="EIZ244"/>
      <c r="EJA244"/>
      <c r="EJB244"/>
      <c r="EJC244"/>
      <c r="EJD244"/>
      <c r="EJE244"/>
      <c r="EJF244"/>
      <c r="EJG244"/>
      <c r="EJH244"/>
      <c r="EJI244"/>
      <c r="EJJ244"/>
      <c r="EJK244"/>
      <c r="EJL244"/>
      <c r="EJM244"/>
      <c r="EJN244"/>
      <c r="EJO244"/>
      <c r="EJP244"/>
      <c r="EJQ244"/>
      <c r="EJR244"/>
      <c r="EJS244"/>
      <c r="EJT244"/>
      <c r="EJU244"/>
      <c r="EJV244"/>
      <c r="EJW244"/>
      <c r="EJX244"/>
      <c r="EJY244"/>
      <c r="EJZ244"/>
      <c r="EKA244"/>
      <c r="EKB244"/>
      <c r="EKC244"/>
      <c r="EKD244"/>
      <c r="EKE244"/>
      <c r="EKF244"/>
      <c r="EKG244"/>
      <c r="EKH244"/>
      <c r="EKI244"/>
      <c r="EKJ244"/>
      <c r="EKK244"/>
      <c r="EKL244"/>
      <c r="EKM244"/>
      <c r="EKN244"/>
      <c r="EKO244"/>
      <c r="EKP244"/>
      <c r="EKQ244"/>
      <c r="EKR244"/>
      <c r="EKS244"/>
      <c r="EKT244"/>
      <c r="EKU244"/>
      <c r="EKV244"/>
      <c r="EKW244"/>
      <c r="EKX244"/>
      <c r="EKY244"/>
      <c r="EKZ244"/>
      <c r="ELA244"/>
      <c r="ELB244"/>
      <c r="ELC244"/>
      <c r="ELD244"/>
      <c r="ELE244"/>
      <c r="ELF244"/>
      <c r="ELG244"/>
      <c r="ELH244"/>
      <c r="ELI244"/>
      <c r="ELJ244"/>
      <c r="ELK244"/>
      <c r="ELL244"/>
      <c r="ELM244"/>
      <c r="ELN244"/>
      <c r="ELO244"/>
      <c r="ELP244"/>
      <c r="ELQ244"/>
      <c r="ELR244"/>
      <c r="ELS244"/>
      <c r="ELT244"/>
      <c r="ELU244"/>
      <c r="ELV244"/>
      <c r="ELW244"/>
      <c r="ELX244"/>
      <c r="ELY244"/>
      <c r="ELZ244"/>
      <c r="EMA244"/>
      <c r="EMB244"/>
      <c r="EMC244"/>
      <c r="EMD244"/>
      <c r="EME244"/>
      <c r="EMF244"/>
      <c r="EMG244"/>
      <c r="EMH244"/>
      <c r="EMI244"/>
      <c r="EMJ244"/>
      <c r="EMK244"/>
      <c r="EML244"/>
      <c r="EMM244"/>
      <c r="EMN244"/>
      <c r="EMO244"/>
      <c r="EMP244"/>
      <c r="EMQ244"/>
      <c r="EMR244"/>
      <c r="EMS244"/>
      <c r="EMT244"/>
      <c r="EMU244"/>
      <c r="EMV244"/>
      <c r="EMW244"/>
      <c r="EMX244"/>
      <c r="EMY244"/>
      <c r="EMZ244"/>
      <c r="ENA244"/>
      <c r="ENB244"/>
      <c r="ENC244"/>
      <c r="END244"/>
      <c r="ENE244"/>
      <c r="ENF244"/>
      <c r="ENG244"/>
      <c r="ENH244"/>
      <c r="ENI244"/>
      <c r="ENJ244"/>
      <c r="ENK244"/>
      <c r="ENL244"/>
      <c r="ENM244"/>
      <c r="ENN244"/>
      <c r="ENO244"/>
      <c r="ENP244"/>
      <c r="ENQ244"/>
      <c r="ENR244"/>
      <c r="ENS244"/>
      <c r="ENT244"/>
      <c r="ENU244"/>
      <c r="ENV244"/>
      <c r="ENW244"/>
      <c r="ENX244"/>
      <c r="ENY244"/>
      <c r="ENZ244"/>
      <c r="EOA244"/>
      <c r="EOB244"/>
      <c r="EOC244"/>
      <c r="EOD244"/>
      <c r="EOE244"/>
      <c r="EOF244"/>
      <c r="EOG244"/>
      <c r="EOH244"/>
      <c r="EOI244"/>
      <c r="EOJ244"/>
      <c r="EOK244"/>
      <c r="EOL244"/>
      <c r="EOM244"/>
      <c r="EON244"/>
      <c r="EOO244"/>
      <c r="EOP244"/>
      <c r="EOQ244"/>
      <c r="EOR244"/>
      <c r="EOS244"/>
      <c r="EOT244"/>
      <c r="EOU244"/>
      <c r="EOV244"/>
      <c r="EOW244"/>
      <c r="EOX244"/>
      <c r="EOY244"/>
      <c r="EOZ244"/>
      <c r="EPA244"/>
      <c r="EPB244"/>
      <c r="EPC244"/>
      <c r="EPD244"/>
      <c r="EPE244"/>
      <c r="EPF244"/>
      <c r="EPG244"/>
      <c r="EPH244"/>
      <c r="EPI244"/>
      <c r="EPJ244"/>
      <c r="EPK244"/>
      <c r="EPL244"/>
      <c r="EPM244"/>
      <c r="EPN244"/>
      <c r="EPO244"/>
      <c r="EPP244"/>
      <c r="EPQ244"/>
      <c r="EPR244"/>
      <c r="EPS244"/>
      <c r="EPT244"/>
      <c r="EPU244"/>
      <c r="EPV244"/>
      <c r="EPW244"/>
      <c r="EPX244"/>
      <c r="EPY244"/>
      <c r="EPZ244"/>
      <c r="EQA244"/>
      <c r="EQB244"/>
      <c r="EQC244"/>
      <c r="EQD244"/>
      <c r="EQE244"/>
      <c r="EQF244"/>
      <c r="EQG244"/>
      <c r="EQH244"/>
      <c r="EQI244"/>
      <c r="EQJ244"/>
      <c r="EQK244"/>
      <c r="EQL244"/>
      <c r="EQM244"/>
      <c r="EQN244"/>
      <c r="EQO244"/>
      <c r="EQP244"/>
      <c r="EQQ244"/>
      <c r="EQR244"/>
      <c r="EQS244"/>
      <c r="EQT244"/>
      <c r="EQU244"/>
      <c r="EQV244"/>
      <c r="EQW244"/>
      <c r="EQX244"/>
      <c r="EQY244"/>
      <c r="EQZ244"/>
      <c r="ERA244"/>
      <c r="ERB244"/>
      <c r="ERC244"/>
      <c r="ERD244"/>
      <c r="ERE244"/>
      <c r="ERF244"/>
      <c r="ERG244"/>
      <c r="ERH244"/>
      <c r="ERI244"/>
      <c r="ERJ244"/>
      <c r="ERK244"/>
      <c r="ERL244"/>
      <c r="ERM244"/>
      <c r="ERN244"/>
      <c r="ERO244"/>
      <c r="ERP244"/>
      <c r="ERQ244"/>
      <c r="ERR244"/>
      <c r="ERS244"/>
      <c r="ERT244"/>
      <c r="ERU244"/>
      <c r="ERV244"/>
      <c r="ERW244"/>
      <c r="ERX244"/>
      <c r="ERY244"/>
      <c r="ERZ244"/>
      <c r="ESA244"/>
      <c r="ESB244"/>
      <c r="ESC244"/>
      <c r="ESD244"/>
      <c r="ESE244"/>
      <c r="ESF244"/>
      <c r="ESG244"/>
      <c r="ESH244"/>
      <c r="ESI244"/>
      <c r="ESJ244"/>
      <c r="ESK244"/>
      <c r="ESL244"/>
      <c r="ESM244"/>
      <c r="ESN244"/>
      <c r="ESO244"/>
      <c r="ESP244"/>
      <c r="ESQ244"/>
      <c r="ESR244"/>
      <c r="ESS244"/>
      <c r="EST244"/>
      <c r="ESU244"/>
      <c r="ESV244"/>
      <c r="ESW244"/>
      <c r="ESX244"/>
      <c r="ESY244"/>
      <c r="ESZ244"/>
      <c r="ETA244"/>
      <c r="ETB244"/>
      <c r="ETC244"/>
      <c r="ETD244"/>
      <c r="ETE244"/>
      <c r="ETF244"/>
      <c r="ETG244"/>
      <c r="ETH244"/>
      <c r="ETI244"/>
      <c r="ETJ244"/>
      <c r="ETK244"/>
      <c r="ETL244"/>
      <c r="ETM244"/>
      <c r="ETN244"/>
      <c r="ETO244"/>
      <c r="ETP244"/>
      <c r="ETQ244"/>
      <c r="ETR244"/>
      <c r="ETS244"/>
      <c r="ETT244"/>
      <c r="ETU244"/>
      <c r="ETV244"/>
      <c r="ETW244"/>
      <c r="ETX244"/>
      <c r="ETY244"/>
      <c r="ETZ244"/>
      <c r="EUA244"/>
      <c r="EUB244"/>
      <c r="EUC244"/>
      <c r="EUD244"/>
      <c r="EUE244"/>
      <c r="EUF244"/>
      <c r="EUG244"/>
      <c r="EUH244"/>
      <c r="EUI244"/>
      <c r="EUJ244"/>
      <c r="EUK244"/>
      <c r="EUL244"/>
      <c r="EUM244"/>
      <c r="EUN244"/>
      <c r="EUO244"/>
      <c r="EUP244"/>
      <c r="EUQ244"/>
      <c r="EUR244"/>
      <c r="EUS244"/>
      <c r="EUT244"/>
      <c r="EUU244"/>
      <c r="EUV244"/>
      <c r="EUW244"/>
      <c r="EUX244"/>
      <c r="EUY244"/>
      <c r="EUZ244"/>
      <c r="EVA244"/>
      <c r="EVB244"/>
      <c r="EVC244"/>
      <c r="EVD244"/>
      <c r="EVE244"/>
      <c r="EVF244"/>
      <c r="EVG244"/>
      <c r="EVH244"/>
      <c r="EVI244"/>
      <c r="EVJ244"/>
      <c r="EVK244"/>
      <c r="EVL244"/>
      <c r="EVM244"/>
      <c r="EVN244"/>
      <c r="EVO244"/>
      <c r="EVP244"/>
      <c r="EVQ244"/>
      <c r="EVR244"/>
      <c r="EVS244"/>
      <c r="EVT244"/>
      <c r="EVU244"/>
      <c r="EVV244"/>
      <c r="EVW244"/>
      <c r="EVX244"/>
      <c r="EVY244"/>
      <c r="EVZ244"/>
      <c r="EWA244"/>
      <c r="EWB244"/>
      <c r="EWC244"/>
      <c r="EWD244"/>
      <c r="EWE244"/>
      <c r="EWF244"/>
      <c r="EWG244"/>
      <c r="EWH244"/>
      <c r="EWI244"/>
      <c r="EWJ244"/>
      <c r="EWK244"/>
      <c r="EWL244"/>
      <c r="EWM244"/>
      <c r="EWN244"/>
      <c r="EWO244"/>
      <c r="EWP244"/>
      <c r="EWQ244"/>
      <c r="EWR244"/>
      <c r="EWS244"/>
      <c r="EWT244"/>
      <c r="EWU244"/>
      <c r="EWV244"/>
      <c r="EWW244"/>
      <c r="EWX244"/>
      <c r="EWY244"/>
      <c r="EWZ244"/>
      <c r="EXA244"/>
      <c r="EXB244"/>
      <c r="EXC244"/>
      <c r="EXD244"/>
      <c r="EXE244"/>
      <c r="EXF244"/>
      <c r="EXG244"/>
      <c r="EXH244"/>
      <c r="EXI244"/>
      <c r="EXJ244"/>
      <c r="EXK244"/>
      <c r="EXL244"/>
      <c r="EXM244"/>
      <c r="EXN244"/>
      <c r="EXO244"/>
      <c r="EXP244"/>
      <c r="EXQ244"/>
      <c r="EXR244"/>
      <c r="EXS244"/>
      <c r="EXT244"/>
      <c r="EXU244"/>
      <c r="EXV244"/>
      <c r="EXW244"/>
      <c r="EXX244"/>
      <c r="EXY244"/>
      <c r="EXZ244"/>
      <c r="EYA244"/>
      <c r="EYB244"/>
      <c r="EYC244"/>
      <c r="EYD244"/>
      <c r="EYE244"/>
      <c r="EYF244"/>
      <c r="EYG244"/>
      <c r="EYH244"/>
      <c r="EYI244"/>
      <c r="EYJ244"/>
      <c r="EYK244"/>
      <c r="EYL244"/>
      <c r="EYM244"/>
      <c r="EYN244"/>
      <c r="EYO244"/>
      <c r="EYP244"/>
      <c r="EYQ244"/>
      <c r="EYR244"/>
      <c r="EYS244"/>
      <c r="EYT244"/>
      <c r="EYU244"/>
      <c r="EYV244"/>
      <c r="EYW244"/>
      <c r="EYX244"/>
      <c r="EYY244"/>
      <c r="EYZ244"/>
      <c r="EZA244"/>
      <c r="EZB244"/>
      <c r="EZC244"/>
      <c r="EZD244"/>
      <c r="EZE244"/>
      <c r="EZF244"/>
      <c r="EZG244"/>
      <c r="EZH244"/>
      <c r="EZI244"/>
      <c r="EZJ244"/>
      <c r="EZK244"/>
      <c r="EZL244"/>
      <c r="EZM244"/>
      <c r="EZN244"/>
      <c r="EZO244"/>
      <c r="EZP244"/>
      <c r="EZQ244"/>
      <c r="EZR244"/>
      <c r="EZS244"/>
      <c r="EZT244"/>
      <c r="EZU244"/>
      <c r="EZV244"/>
      <c r="EZW244"/>
      <c r="EZX244"/>
      <c r="EZY244"/>
      <c r="EZZ244"/>
      <c r="FAA244"/>
      <c r="FAB244"/>
      <c r="FAC244"/>
      <c r="FAD244"/>
      <c r="FAE244"/>
      <c r="FAF244"/>
      <c r="FAG244"/>
      <c r="FAH244"/>
      <c r="FAI244"/>
      <c r="FAJ244"/>
      <c r="FAK244"/>
      <c r="FAL244"/>
      <c r="FAM244"/>
      <c r="FAN244"/>
      <c r="FAO244"/>
      <c r="FAP244"/>
      <c r="FAQ244"/>
      <c r="FAR244"/>
      <c r="FAS244"/>
      <c r="FAT244"/>
      <c r="FAU244"/>
      <c r="FAV244"/>
      <c r="FAW244"/>
      <c r="FAX244"/>
      <c r="FAY244"/>
      <c r="FAZ244"/>
      <c r="FBA244"/>
      <c r="FBB244"/>
      <c r="FBC244"/>
      <c r="FBD244"/>
      <c r="FBE244"/>
      <c r="FBF244"/>
      <c r="FBG244"/>
      <c r="FBH244"/>
      <c r="FBI244"/>
      <c r="FBJ244"/>
      <c r="FBK244"/>
      <c r="FBL244"/>
      <c r="FBM244"/>
      <c r="FBN244"/>
      <c r="FBO244"/>
      <c r="FBP244"/>
      <c r="FBQ244"/>
      <c r="FBR244"/>
      <c r="FBS244"/>
      <c r="FBT244"/>
      <c r="FBU244"/>
      <c r="FBV244"/>
      <c r="FBW244"/>
      <c r="FBX244"/>
      <c r="FBY244"/>
      <c r="FBZ244"/>
      <c r="FCA244"/>
      <c r="FCB244"/>
      <c r="FCC244"/>
      <c r="FCD244"/>
      <c r="FCE244"/>
      <c r="FCF244"/>
      <c r="FCG244"/>
      <c r="FCH244"/>
      <c r="FCI244"/>
      <c r="FCJ244"/>
      <c r="FCK244"/>
      <c r="FCL244"/>
      <c r="FCM244"/>
      <c r="FCN244"/>
      <c r="FCO244"/>
      <c r="FCP244"/>
      <c r="FCQ244"/>
      <c r="FCR244"/>
      <c r="FCS244"/>
      <c r="FCT244"/>
      <c r="FCU244"/>
      <c r="FCV244"/>
      <c r="FCW244"/>
      <c r="FCX244"/>
      <c r="FCY244"/>
      <c r="FCZ244"/>
      <c r="FDA244"/>
      <c r="FDB244"/>
      <c r="FDC244"/>
      <c r="FDD244"/>
      <c r="FDE244"/>
      <c r="FDF244"/>
      <c r="FDG244"/>
      <c r="FDH244"/>
      <c r="FDI244"/>
      <c r="FDJ244"/>
      <c r="FDK244"/>
      <c r="FDL244"/>
      <c r="FDM244"/>
      <c r="FDN244"/>
      <c r="FDO244"/>
      <c r="FDP244"/>
      <c r="FDQ244"/>
      <c r="FDR244"/>
      <c r="FDS244"/>
      <c r="FDT244"/>
      <c r="FDU244"/>
      <c r="FDV244"/>
      <c r="FDW244"/>
      <c r="FDX244"/>
      <c r="FDY244"/>
      <c r="FDZ244"/>
      <c r="FEA244"/>
      <c r="FEB244"/>
      <c r="FEC244"/>
      <c r="FED244"/>
      <c r="FEE244"/>
      <c r="FEF244"/>
      <c r="FEG244"/>
      <c r="FEH244"/>
      <c r="FEI244"/>
      <c r="FEJ244"/>
      <c r="FEK244"/>
      <c r="FEL244"/>
      <c r="FEM244"/>
      <c r="FEN244"/>
      <c r="FEO244"/>
      <c r="FEP244"/>
      <c r="FEQ244"/>
      <c r="FER244"/>
      <c r="FES244"/>
      <c r="FET244"/>
      <c r="FEU244"/>
      <c r="FEV244"/>
      <c r="FEW244"/>
      <c r="FEX244"/>
      <c r="FEY244"/>
      <c r="FEZ244"/>
      <c r="FFA244"/>
      <c r="FFB244"/>
      <c r="FFC244"/>
      <c r="FFD244"/>
      <c r="FFE244"/>
      <c r="FFF244"/>
      <c r="FFG244"/>
      <c r="FFH244"/>
      <c r="FFI244"/>
      <c r="FFJ244"/>
      <c r="FFK244"/>
      <c r="FFL244"/>
      <c r="FFM244"/>
      <c r="FFN244"/>
      <c r="FFO244"/>
      <c r="FFP244"/>
      <c r="FFQ244"/>
      <c r="FFR244"/>
      <c r="FFS244"/>
      <c r="FFT244"/>
      <c r="FFU244"/>
      <c r="FFV244"/>
      <c r="FFW244"/>
      <c r="FFX244"/>
      <c r="FFY244"/>
      <c r="FFZ244"/>
      <c r="FGA244"/>
      <c r="FGB244"/>
      <c r="FGC244"/>
      <c r="FGD244"/>
      <c r="FGE244"/>
      <c r="FGF244"/>
      <c r="FGG244"/>
      <c r="FGH244"/>
      <c r="FGI244"/>
      <c r="FGJ244"/>
      <c r="FGK244"/>
      <c r="FGL244"/>
      <c r="FGM244"/>
      <c r="FGN244"/>
      <c r="FGO244"/>
      <c r="FGP244"/>
      <c r="FGQ244"/>
      <c r="FGR244"/>
      <c r="FGS244"/>
      <c r="FGT244"/>
      <c r="FGU244"/>
      <c r="FGV244"/>
      <c r="FGW244"/>
      <c r="FGX244"/>
      <c r="FGY244"/>
      <c r="FGZ244"/>
      <c r="FHA244"/>
      <c r="FHB244"/>
      <c r="FHC244"/>
      <c r="FHD244"/>
      <c r="FHE244"/>
      <c r="FHF244"/>
      <c r="FHG244"/>
      <c r="FHH244"/>
      <c r="FHI244"/>
      <c r="FHJ244"/>
      <c r="FHK244"/>
      <c r="FHL244"/>
      <c r="FHM244"/>
      <c r="FHN244"/>
      <c r="FHO244"/>
      <c r="FHP244"/>
      <c r="FHQ244"/>
      <c r="FHR244"/>
      <c r="FHS244"/>
      <c r="FHT244"/>
      <c r="FHU244"/>
      <c r="FHV244"/>
      <c r="FHW244"/>
      <c r="FHX244"/>
      <c r="FHY244"/>
      <c r="FHZ244"/>
      <c r="FIA244"/>
      <c r="FIB244"/>
      <c r="FIC244"/>
      <c r="FID244"/>
      <c r="FIE244"/>
      <c r="FIF244"/>
      <c r="FIG244"/>
      <c r="FIH244"/>
      <c r="FII244"/>
      <c r="FIJ244"/>
      <c r="FIK244"/>
      <c r="FIL244"/>
      <c r="FIM244"/>
      <c r="FIN244"/>
      <c r="FIO244"/>
      <c r="FIP244"/>
      <c r="FIQ244"/>
      <c r="FIR244"/>
      <c r="FIS244"/>
      <c r="FIT244"/>
      <c r="FIU244"/>
      <c r="FIV244"/>
      <c r="FIW244"/>
      <c r="FIX244"/>
      <c r="FIY244"/>
      <c r="FIZ244"/>
      <c r="FJA244"/>
      <c r="FJB244"/>
      <c r="FJC244"/>
      <c r="FJD244"/>
      <c r="FJE244"/>
      <c r="FJF244"/>
      <c r="FJG244"/>
      <c r="FJH244"/>
      <c r="FJI244"/>
      <c r="FJJ244"/>
      <c r="FJK244"/>
      <c r="FJL244"/>
      <c r="FJM244"/>
      <c r="FJN244"/>
      <c r="FJO244"/>
      <c r="FJP244"/>
      <c r="FJQ244"/>
      <c r="FJR244"/>
      <c r="FJS244"/>
      <c r="FJT244"/>
      <c r="FJU244"/>
      <c r="FJV244"/>
      <c r="FJW244"/>
      <c r="FJX244"/>
      <c r="FJY244"/>
      <c r="FJZ244"/>
      <c r="FKA244"/>
      <c r="FKB244"/>
      <c r="FKC244"/>
      <c r="FKD244"/>
      <c r="FKE244"/>
      <c r="FKF244"/>
      <c r="FKG244"/>
      <c r="FKH244"/>
      <c r="FKI244"/>
      <c r="FKJ244"/>
      <c r="FKK244"/>
      <c r="FKL244"/>
      <c r="FKM244"/>
      <c r="FKN244"/>
      <c r="FKO244"/>
      <c r="FKP244"/>
      <c r="FKQ244"/>
      <c r="FKR244"/>
      <c r="FKS244"/>
      <c r="FKT244"/>
      <c r="FKU244"/>
      <c r="FKV244"/>
      <c r="FKW244"/>
      <c r="FKX244"/>
      <c r="FKY244"/>
      <c r="FKZ244"/>
      <c r="FLA244"/>
      <c r="FLB244"/>
      <c r="FLC244"/>
      <c r="FLD244"/>
      <c r="FLE244"/>
      <c r="FLF244"/>
      <c r="FLG244"/>
      <c r="FLH244"/>
      <c r="FLI244"/>
      <c r="FLJ244"/>
      <c r="FLK244"/>
      <c r="FLL244"/>
      <c r="FLM244"/>
      <c r="FLN244"/>
      <c r="FLO244"/>
      <c r="FLP244"/>
      <c r="FLQ244"/>
      <c r="FLR244"/>
      <c r="FLS244"/>
      <c r="FLT244"/>
      <c r="FLU244"/>
      <c r="FLV244"/>
      <c r="FLW244"/>
      <c r="FLX244"/>
      <c r="FLY244"/>
      <c r="FLZ244"/>
      <c r="FMA244"/>
      <c r="FMB244"/>
      <c r="FMC244"/>
      <c r="FMD244"/>
      <c r="FME244"/>
      <c r="FMF244"/>
      <c r="FMG244"/>
      <c r="FMH244"/>
      <c r="FMI244"/>
      <c r="FMJ244"/>
      <c r="FMK244"/>
      <c r="FML244"/>
      <c r="FMM244"/>
      <c r="FMN244"/>
      <c r="FMO244"/>
      <c r="FMP244"/>
      <c r="FMQ244"/>
      <c r="FMR244"/>
      <c r="FMS244"/>
      <c r="FMT244"/>
      <c r="FMU244"/>
      <c r="FMV244"/>
      <c r="FMW244"/>
      <c r="FMX244"/>
      <c r="FMY244"/>
      <c r="FMZ244"/>
      <c r="FNA244"/>
      <c r="FNB244"/>
      <c r="FNC244"/>
      <c r="FND244"/>
      <c r="FNE244"/>
      <c r="FNF244"/>
      <c r="FNG244"/>
      <c r="FNH244"/>
      <c r="FNI244"/>
      <c r="FNJ244"/>
      <c r="FNK244"/>
      <c r="FNL244"/>
      <c r="FNM244"/>
      <c r="FNN244"/>
      <c r="FNO244"/>
      <c r="FNP244"/>
      <c r="FNQ244"/>
      <c r="FNR244"/>
      <c r="FNS244"/>
      <c r="FNT244"/>
      <c r="FNU244"/>
      <c r="FNV244"/>
      <c r="FNW244"/>
      <c r="FNX244"/>
      <c r="FNY244"/>
      <c r="FNZ244"/>
      <c r="FOA244"/>
      <c r="FOB244"/>
      <c r="FOC244"/>
      <c r="FOD244"/>
      <c r="FOE244"/>
      <c r="FOF244"/>
      <c r="FOG244"/>
      <c r="FOH244"/>
      <c r="FOI244"/>
      <c r="FOJ244"/>
      <c r="FOK244"/>
      <c r="FOL244"/>
      <c r="FOM244"/>
      <c r="FON244"/>
      <c r="FOO244"/>
      <c r="FOP244"/>
      <c r="FOQ244"/>
      <c r="FOR244"/>
      <c r="FOS244"/>
      <c r="FOT244"/>
      <c r="FOU244"/>
      <c r="FOV244"/>
      <c r="FOW244"/>
      <c r="FOX244"/>
      <c r="FOY244"/>
      <c r="FOZ244"/>
      <c r="FPA244"/>
      <c r="FPB244"/>
      <c r="FPC244"/>
      <c r="FPD244"/>
      <c r="FPE244"/>
      <c r="FPF244"/>
      <c r="FPG244"/>
      <c r="FPH244"/>
      <c r="FPI244"/>
      <c r="FPJ244"/>
      <c r="FPK244"/>
      <c r="FPL244"/>
      <c r="FPM244"/>
      <c r="FPN244"/>
      <c r="FPO244"/>
      <c r="FPP244"/>
      <c r="FPQ244"/>
      <c r="FPR244"/>
      <c r="FPS244"/>
      <c r="FPT244"/>
      <c r="FPU244"/>
      <c r="FPV244"/>
      <c r="FPW244"/>
      <c r="FPX244"/>
      <c r="FPY244"/>
      <c r="FPZ244"/>
      <c r="FQA244"/>
      <c r="FQB244"/>
      <c r="FQC244"/>
      <c r="FQD244"/>
      <c r="FQE244"/>
      <c r="FQF244"/>
      <c r="FQG244"/>
      <c r="FQH244"/>
      <c r="FQI244"/>
      <c r="FQJ244"/>
      <c r="FQK244"/>
      <c r="FQL244"/>
      <c r="FQM244"/>
      <c r="FQN244"/>
      <c r="FQO244"/>
      <c r="FQP244"/>
      <c r="FQQ244"/>
      <c r="FQR244"/>
      <c r="FQS244"/>
      <c r="FQT244"/>
      <c r="FQU244"/>
      <c r="FQV244"/>
      <c r="FQW244"/>
      <c r="FQX244"/>
      <c r="FQY244"/>
      <c r="FQZ244"/>
      <c r="FRA244"/>
      <c r="FRB244"/>
      <c r="FRC244"/>
      <c r="FRD244"/>
      <c r="FRE244"/>
      <c r="FRF244"/>
      <c r="FRG244"/>
      <c r="FRH244"/>
      <c r="FRI244"/>
      <c r="FRJ244"/>
      <c r="FRK244"/>
      <c r="FRL244"/>
      <c r="FRM244"/>
      <c r="FRN244"/>
      <c r="FRO244"/>
      <c r="FRP244"/>
      <c r="FRQ244"/>
      <c r="FRR244"/>
      <c r="FRS244"/>
      <c r="FRT244"/>
      <c r="FRU244"/>
      <c r="FRV244"/>
      <c r="FRW244"/>
      <c r="FRX244"/>
      <c r="FRY244"/>
      <c r="FRZ244"/>
      <c r="FSA244"/>
      <c r="FSB244"/>
      <c r="FSC244"/>
      <c r="FSD244"/>
      <c r="FSE244"/>
      <c r="FSF244"/>
      <c r="FSG244"/>
      <c r="FSH244"/>
      <c r="FSI244"/>
      <c r="FSJ244"/>
      <c r="FSK244"/>
      <c r="FSL244"/>
      <c r="FSM244"/>
      <c r="FSN244"/>
      <c r="FSO244"/>
      <c r="FSP244"/>
      <c r="FSQ244"/>
      <c r="FSR244"/>
      <c r="FSS244"/>
      <c r="FST244"/>
      <c r="FSU244"/>
      <c r="FSV244"/>
      <c r="FSW244"/>
      <c r="FSX244"/>
      <c r="FSY244"/>
      <c r="FSZ244"/>
      <c r="FTA244"/>
      <c r="FTB244"/>
      <c r="FTC244"/>
      <c r="FTD244"/>
      <c r="FTE244"/>
      <c r="FTF244"/>
      <c r="FTG244"/>
      <c r="FTH244"/>
      <c r="FTI244"/>
      <c r="FTJ244"/>
      <c r="FTK244"/>
      <c r="FTL244"/>
      <c r="FTM244"/>
      <c r="FTN244"/>
      <c r="FTO244"/>
      <c r="FTP244"/>
      <c r="FTQ244"/>
      <c r="FTR244"/>
      <c r="FTS244"/>
      <c r="FTT244"/>
      <c r="FTU244"/>
      <c r="FTV244"/>
      <c r="FTW244"/>
      <c r="FTX244"/>
      <c r="FTY244"/>
      <c r="FTZ244"/>
      <c r="FUA244"/>
      <c r="FUB244"/>
      <c r="FUC244"/>
      <c r="FUD244"/>
      <c r="FUE244"/>
      <c r="FUF244"/>
      <c r="FUG244"/>
      <c r="FUH244"/>
      <c r="FUI244"/>
      <c r="FUJ244"/>
      <c r="FUK244"/>
      <c r="FUL244"/>
      <c r="FUM244"/>
      <c r="FUN244"/>
      <c r="FUO244"/>
      <c r="FUP244"/>
      <c r="FUQ244"/>
      <c r="FUR244"/>
      <c r="FUS244"/>
      <c r="FUT244"/>
      <c r="FUU244"/>
      <c r="FUV244"/>
      <c r="FUW244"/>
      <c r="FUX244"/>
      <c r="FUY244"/>
      <c r="FUZ244"/>
      <c r="FVA244"/>
      <c r="FVB244"/>
      <c r="FVC244"/>
      <c r="FVD244"/>
      <c r="FVE244"/>
      <c r="FVF244"/>
      <c r="FVG244"/>
      <c r="FVH244"/>
      <c r="FVI244"/>
      <c r="FVJ244"/>
      <c r="FVK244"/>
      <c r="FVL244"/>
      <c r="FVM244"/>
      <c r="FVN244"/>
      <c r="FVO244"/>
      <c r="FVP244"/>
      <c r="FVQ244"/>
      <c r="FVR244"/>
      <c r="FVS244"/>
      <c r="FVT244"/>
      <c r="FVU244"/>
      <c r="FVV244"/>
      <c r="FVW244"/>
      <c r="FVX244"/>
      <c r="FVY244"/>
      <c r="FVZ244"/>
      <c r="FWA244"/>
      <c r="FWB244"/>
      <c r="FWC244"/>
      <c r="FWD244"/>
      <c r="FWE244"/>
      <c r="FWF244"/>
      <c r="FWG244"/>
      <c r="FWH244"/>
      <c r="FWI244"/>
      <c r="FWJ244"/>
      <c r="FWK244"/>
      <c r="FWL244"/>
      <c r="FWM244"/>
      <c r="FWN244"/>
      <c r="FWO244"/>
      <c r="FWP244"/>
      <c r="FWQ244"/>
      <c r="FWR244"/>
      <c r="FWS244"/>
      <c r="FWT244"/>
      <c r="FWU244"/>
      <c r="FWV244"/>
      <c r="FWW244"/>
      <c r="FWX244"/>
      <c r="FWY244"/>
      <c r="FWZ244"/>
      <c r="FXA244"/>
      <c r="FXB244"/>
      <c r="FXC244"/>
      <c r="FXD244"/>
      <c r="FXE244"/>
      <c r="FXF244"/>
      <c r="FXG244"/>
      <c r="FXH244"/>
      <c r="FXI244"/>
      <c r="FXJ244"/>
      <c r="FXK244"/>
      <c r="FXL244"/>
      <c r="FXM244"/>
      <c r="FXN244"/>
      <c r="FXO244"/>
      <c r="FXP244"/>
      <c r="FXQ244"/>
      <c r="FXR244"/>
      <c r="FXS244"/>
      <c r="FXT244"/>
      <c r="FXU244"/>
      <c r="FXV244"/>
      <c r="FXW244"/>
      <c r="FXX244"/>
      <c r="FXY244"/>
      <c r="FXZ244"/>
      <c r="FYA244"/>
      <c r="FYB244"/>
      <c r="FYC244"/>
      <c r="FYD244"/>
      <c r="FYE244"/>
      <c r="FYF244"/>
      <c r="FYG244"/>
      <c r="FYH244"/>
      <c r="FYI244"/>
      <c r="FYJ244"/>
      <c r="FYK244"/>
      <c r="FYL244"/>
      <c r="FYM244"/>
      <c r="FYN244"/>
      <c r="FYO244"/>
      <c r="FYP244"/>
      <c r="FYQ244"/>
      <c r="FYR244"/>
      <c r="FYS244"/>
      <c r="FYT244"/>
      <c r="FYU244"/>
      <c r="FYV244"/>
      <c r="FYW244"/>
      <c r="FYX244"/>
      <c r="FYY244"/>
      <c r="FYZ244"/>
      <c r="FZA244"/>
      <c r="FZB244"/>
      <c r="FZC244"/>
      <c r="FZD244"/>
      <c r="FZE244"/>
      <c r="FZF244"/>
      <c r="FZG244"/>
      <c r="FZH244"/>
      <c r="FZI244"/>
      <c r="FZJ244"/>
      <c r="FZK244"/>
      <c r="FZL244"/>
      <c r="FZM244"/>
      <c r="FZN244"/>
      <c r="FZO244"/>
      <c r="FZP244"/>
      <c r="FZQ244"/>
      <c r="FZR244"/>
      <c r="FZS244"/>
      <c r="FZT244"/>
      <c r="FZU244"/>
      <c r="FZV244"/>
      <c r="FZW244"/>
      <c r="FZX244"/>
      <c r="FZY244"/>
      <c r="FZZ244"/>
      <c r="GAA244"/>
      <c r="GAB244"/>
      <c r="GAC244"/>
      <c r="GAD244"/>
      <c r="GAE244"/>
      <c r="GAF244"/>
      <c r="GAG244"/>
      <c r="GAH244"/>
      <c r="GAI244"/>
      <c r="GAJ244"/>
      <c r="GAK244"/>
      <c r="GAL244"/>
      <c r="GAM244"/>
      <c r="GAN244"/>
      <c r="GAO244"/>
      <c r="GAP244"/>
      <c r="GAQ244"/>
      <c r="GAR244"/>
      <c r="GAS244"/>
      <c r="GAT244"/>
      <c r="GAU244"/>
      <c r="GAV244"/>
      <c r="GAW244"/>
      <c r="GAX244"/>
      <c r="GAY244"/>
      <c r="GAZ244"/>
      <c r="GBA244"/>
      <c r="GBB244"/>
      <c r="GBC244"/>
      <c r="GBD244"/>
      <c r="GBE244"/>
      <c r="GBF244"/>
      <c r="GBG244"/>
      <c r="GBH244"/>
      <c r="GBI244"/>
      <c r="GBJ244"/>
      <c r="GBK244"/>
      <c r="GBL244"/>
      <c r="GBM244"/>
      <c r="GBN244"/>
      <c r="GBO244"/>
      <c r="GBP244"/>
      <c r="GBQ244"/>
      <c r="GBR244"/>
      <c r="GBS244"/>
      <c r="GBT244"/>
      <c r="GBU244"/>
      <c r="GBV244"/>
      <c r="GBW244"/>
      <c r="GBX244"/>
      <c r="GBY244"/>
      <c r="GBZ244"/>
      <c r="GCA244"/>
      <c r="GCB244"/>
      <c r="GCC244"/>
      <c r="GCD244"/>
      <c r="GCE244"/>
      <c r="GCF244"/>
      <c r="GCG244"/>
      <c r="GCH244"/>
      <c r="GCI244"/>
      <c r="GCJ244"/>
      <c r="GCK244"/>
      <c r="GCL244"/>
      <c r="GCM244"/>
      <c r="GCN244"/>
      <c r="GCO244"/>
      <c r="GCP244"/>
      <c r="GCQ244"/>
      <c r="GCR244"/>
      <c r="GCS244"/>
      <c r="GCT244"/>
      <c r="GCU244"/>
      <c r="GCV244"/>
      <c r="GCW244"/>
      <c r="GCX244"/>
      <c r="GCY244"/>
      <c r="GCZ244"/>
      <c r="GDA244"/>
      <c r="GDB244"/>
      <c r="GDC244"/>
      <c r="GDD244"/>
      <c r="GDE244"/>
      <c r="GDF244"/>
      <c r="GDG244"/>
      <c r="GDH244"/>
      <c r="GDI244"/>
      <c r="GDJ244"/>
      <c r="GDK244"/>
      <c r="GDL244"/>
      <c r="GDM244"/>
      <c r="GDN244"/>
      <c r="GDO244"/>
      <c r="GDP244"/>
      <c r="GDQ244"/>
      <c r="GDR244"/>
      <c r="GDS244"/>
      <c r="GDT244"/>
      <c r="GDU244"/>
      <c r="GDV244"/>
      <c r="GDW244"/>
      <c r="GDX244"/>
      <c r="GDY244"/>
      <c r="GDZ244"/>
      <c r="GEA244"/>
      <c r="GEB244"/>
      <c r="GEC244"/>
      <c r="GED244"/>
      <c r="GEE244"/>
      <c r="GEF244"/>
      <c r="GEG244"/>
      <c r="GEH244"/>
      <c r="GEI244"/>
      <c r="GEJ244"/>
      <c r="GEK244"/>
      <c r="GEL244"/>
      <c r="GEM244"/>
      <c r="GEN244"/>
      <c r="GEO244"/>
      <c r="GEP244"/>
      <c r="GEQ244"/>
      <c r="GER244"/>
      <c r="GES244"/>
      <c r="GET244"/>
      <c r="GEU244"/>
      <c r="GEV244"/>
      <c r="GEW244"/>
      <c r="GEX244"/>
      <c r="GEY244"/>
      <c r="GEZ244"/>
      <c r="GFA244"/>
      <c r="GFB244"/>
      <c r="GFC244"/>
      <c r="GFD244"/>
      <c r="GFE244"/>
      <c r="GFF244"/>
      <c r="GFG244"/>
      <c r="GFH244"/>
      <c r="GFI244"/>
      <c r="GFJ244"/>
      <c r="GFK244"/>
      <c r="GFL244"/>
      <c r="GFM244"/>
      <c r="GFN244"/>
      <c r="GFO244"/>
      <c r="GFP244"/>
      <c r="GFQ244"/>
      <c r="GFR244"/>
      <c r="GFS244"/>
      <c r="GFT244"/>
      <c r="GFU244"/>
      <c r="GFV244"/>
      <c r="GFW244"/>
      <c r="GFX244"/>
      <c r="GFY244"/>
      <c r="GFZ244"/>
      <c r="GGA244"/>
      <c r="GGB244"/>
      <c r="GGC244"/>
      <c r="GGD244"/>
      <c r="GGE244"/>
      <c r="GGF244"/>
      <c r="GGG244"/>
      <c r="GGH244"/>
      <c r="GGI244"/>
      <c r="GGJ244"/>
      <c r="GGK244"/>
      <c r="GGL244"/>
      <c r="GGM244"/>
      <c r="GGN244"/>
      <c r="GGO244"/>
      <c r="GGP244"/>
      <c r="GGQ244"/>
      <c r="GGR244"/>
      <c r="GGS244"/>
      <c r="GGT244"/>
      <c r="GGU244"/>
      <c r="GGV244"/>
      <c r="GGW244"/>
      <c r="GGX244"/>
      <c r="GGY244"/>
      <c r="GGZ244"/>
      <c r="GHA244"/>
      <c r="GHB244"/>
      <c r="GHC244"/>
      <c r="GHD244"/>
      <c r="GHE244"/>
      <c r="GHF244"/>
      <c r="GHG244"/>
      <c r="GHH244"/>
      <c r="GHI244"/>
      <c r="GHJ244"/>
      <c r="GHK244"/>
      <c r="GHL244"/>
      <c r="GHM244"/>
      <c r="GHN244"/>
      <c r="GHO244"/>
      <c r="GHP244"/>
      <c r="GHQ244"/>
      <c r="GHR244"/>
      <c r="GHS244"/>
      <c r="GHT244"/>
      <c r="GHU244"/>
      <c r="GHV244"/>
      <c r="GHW244"/>
      <c r="GHX244"/>
      <c r="GHY244"/>
      <c r="GHZ244"/>
      <c r="GIA244"/>
      <c r="GIB244"/>
      <c r="GIC244"/>
      <c r="GID244"/>
      <c r="GIE244"/>
      <c r="GIF244"/>
      <c r="GIG244"/>
      <c r="GIH244"/>
      <c r="GII244"/>
      <c r="GIJ244"/>
      <c r="GIK244"/>
      <c r="GIL244"/>
      <c r="GIM244"/>
      <c r="GIN244"/>
      <c r="GIO244"/>
      <c r="GIP244"/>
      <c r="GIQ244"/>
      <c r="GIR244"/>
      <c r="GIS244"/>
      <c r="GIT244"/>
      <c r="GIU244"/>
      <c r="GIV244"/>
      <c r="GIW244"/>
      <c r="GIX244"/>
      <c r="GIY244"/>
      <c r="GIZ244"/>
      <c r="GJA244"/>
      <c r="GJB244"/>
      <c r="GJC244"/>
      <c r="GJD244"/>
      <c r="GJE244"/>
      <c r="GJF244"/>
      <c r="GJG244"/>
      <c r="GJH244"/>
      <c r="GJI244"/>
      <c r="GJJ244"/>
      <c r="GJK244"/>
      <c r="GJL244"/>
      <c r="GJM244"/>
      <c r="GJN244"/>
      <c r="GJO244"/>
      <c r="GJP244"/>
      <c r="GJQ244"/>
      <c r="GJR244"/>
      <c r="GJS244"/>
      <c r="GJT244"/>
      <c r="GJU244"/>
      <c r="GJV244"/>
      <c r="GJW244"/>
      <c r="GJX244"/>
      <c r="GJY244"/>
      <c r="GJZ244"/>
      <c r="GKA244"/>
      <c r="GKB244"/>
      <c r="GKC244"/>
      <c r="GKD244"/>
      <c r="GKE244"/>
      <c r="GKF244"/>
      <c r="GKG244"/>
      <c r="GKH244"/>
      <c r="GKI244"/>
      <c r="GKJ244"/>
      <c r="GKK244"/>
      <c r="GKL244"/>
      <c r="GKM244"/>
      <c r="GKN244"/>
      <c r="GKO244"/>
      <c r="GKP244"/>
      <c r="GKQ244"/>
      <c r="GKR244"/>
      <c r="GKS244"/>
      <c r="GKT244"/>
      <c r="GKU244"/>
      <c r="GKV244"/>
      <c r="GKW244"/>
      <c r="GKX244"/>
      <c r="GKY244"/>
      <c r="GKZ244"/>
      <c r="GLA244"/>
      <c r="GLB244"/>
      <c r="GLC244"/>
      <c r="GLD244"/>
      <c r="GLE244"/>
      <c r="GLF244"/>
      <c r="GLG244"/>
      <c r="GLH244"/>
      <c r="GLI244"/>
      <c r="GLJ244"/>
      <c r="GLK244"/>
      <c r="GLL244"/>
      <c r="GLM244"/>
      <c r="GLN244"/>
      <c r="GLO244"/>
      <c r="GLP244"/>
      <c r="GLQ244"/>
      <c r="GLR244"/>
      <c r="GLS244"/>
      <c r="GLT244"/>
      <c r="GLU244"/>
      <c r="GLV244"/>
      <c r="GLW244"/>
      <c r="GLX244"/>
      <c r="GLY244"/>
      <c r="GLZ244"/>
      <c r="GMA244"/>
      <c r="GMB244"/>
      <c r="GMC244"/>
      <c r="GMD244"/>
      <c r="GME244"/>
      <c r="GMF244"/>
      <c r="GMG244"/>
      <c r="GMH244"/>
      <c r="GMI244"/>
      <c r="GMJ244"/>
      <c r="GMK244"/>
      <c r="GML244"/>
      <c r="GMM244"/>
      <c r="GMN244"/>
      <c r="GMO244"/>
      <c r="GMP244"/>
      <c r="GMQ244"/>
      <c r="GMR244"/>
      <c r="GMS244"/>
      <c r="GMT244"/>
      <c r="GMU244"/>
      <c r="GMV244"/>
      <c r="GMW244"/>
      <c r="GMX244"/>
      <c r="GMY244"/>
      <c r="GMZ244"/>
      <c r="GNA244"/>
      <c r="GNB244"/>
      <c r="GNC244"/>
      <c r="GND244"/>
      <c r="GNE244"/>
      <c r="GNF244"/>
      <c r="GNG244"/>
      <c r="GNH244"/>
      <c r="GNI244"/>
      <c r="GNJ244"/>
      <c r="GNK244"/>
      <c r="GNL244"/>
      <c r="GNM244"/>
      <c r="GNN244"/>
      <c r="GNO244"/>
      <c r="GNP244"/>
      <c r="GNQ244"/>
      <c r="GNR244"/>
      <c r="GNS244"/>
      <c r="GNT244"/>
      <c r="GNU244"/>
      <c r="GNV244"/>
      <c r="GNW244"/>
      <c r="GNX244"/>
      <c r="GNY244"/>
      <c r="GNZ244"/>
      <c r="GOA244"/>
      <c r="GOB244"/>
      <c r="GOC244"/>
      <c r="GOD244"/>
      <c r="GOE244"/>
      <c r="GOF244"/>
      <c r="GOG244"/>
      <c r="GOH244"/>
      <c r="GOI244"/>
      <c r="GOJ244"/>
      <c r="GOK244"/>
      <c r="GOL244"/>
      <c r="GOM244"/>
      <c r="GON244"/>
      <c r="GOO244"/>
      <c r="GOP244"/>
      <c r="GOQ244"/>
      <c r="GOR244"/>
      <c r="GOS244"/>
      <c r="GOT244"/>
      <c r="GOU244"/>
      <c r="GOV244"/>
      <c r="GOW244"/>
      <c r="GOX244"/>
      <c r="GOY244"/>
      <c r="GOZ244"/>
      <c r="GPA244"/>
      <c r="GPB244"/>
      <c r="GPC244"/>
      <c r="GPD244"/>
      <c r="GPE244"/>
      <c r="GPF244"/>
      <c r="GPG244"/>
      <c r="GPH244"/>
      <c r="GPI244"/>
      <c r="GPJ244"/>
      <c r="GPK244"/>
      <c r="GPL244"/>
      <c r="GPM244"/>
      <c r="GPN244"/>
      <c r="GPO244"/>
      <c r="GPP244"/>
      <c r="GPQ244"/>
      <c r="GPR244"/>
      <c r="GPS244"/>
      <c r="GPT244"/>
      <c r="GPU244"/>
      <c r="GPV244"/>
      <c r="GPW244"/>
      <c r="GPX244"/>
      <c r="GPY244"/>
      <c r="GPZ244"/>
      <c r="GQA244"/>
      <c r="GQB244"/>
      <c r="GQC244"/>
      <c r="GQD244"/>
      <c r="GQE244"/>
      <c r="GQF244"/>
      <c r="GQG244"/>
      <c r="GQH244"/>
      <c r="GQI244"/>
      <c r="GQJ244"/>
      <c r="GQK244"/>
      <c r="GQL244"/>
      <c r="GQM244"/>
      <c r="GQN244"/>
      <c r="GQO244"/>
      <c r="GQP244"/>
      <c r="GQQ244"/>
      <c r="GQR244"/>
      <c r="GQS244"/>
      <c r="GQT244"/>
      <c r="GQU244"/>
      <c r="GQV244"/>
      <c r="GQW244"/>
      <c r="GQX244"/>
      <c r="GQY244"/>
      <c r="GQZ244"/>
      <c r="GRA244"/>
      <c r="GRB244"/>
      <c r="GRC244"/>
      <c r="GRD244"/>
      <c r="GRE244"/>
      <c r="GRF244"/>
      <c r="GRG244"/>
      <c r="GRH244"/>
      <c r="GRI244"/>
      <c r="GRJ244"/>
      <c r="GRK244"/>
      <c r="GRL244"/>
      <c r="GRM244"/>
      <c r="GRN244"/>
      <c r="GRO244"/>
      <c r="GRP244"/>
      <c r="GRQ244"/>
      <c r="GRR244"/>
      <c r="GRS244"/>
      <c r="GRT244"/>
      <c r="GRU244"/>
      <c r="GRV244"/>
      <c r="GRW244"/>
      <c r="GRX244"/>
      <c r="GRY244"/>
      <c r="GRZ244"/>
      <c r="GSA244"/>
      <c r="GSB244"/>
      <c r="GSC244"/>
      <c r="GSD244"/>
      <c r="GSE244"/>
      <c r="GSF244"/>
      <c r="GSG244"/>
      <c r="GSH244"/>
      <c r="GSI244"/>
      <c r="GSJ244"/>
      <c r="GSK244"/>
      <c r="GSL244"/>
      <c r="GSM244"/>
      <c r="GSN244"/>
      <c r="GSO244"/>
      <c r="GSP244"/>
      <c r="GSQ244"/>
      <c r="GSR244"/>
      <c r="GSS244"/>
      <c r="GST244"/>
      <c r="GSU244"/>
      <c r="GSV244"/>
      <c r="GSW244"/>
      <c r="GSX244"/>
      <c r="GSY244"/>
      <c r="GSZ244"/>
      <c r="GTA244"/>
      <c r="GTB244"/>
      <c r="GTC244"/>
      <c r="GTD244"/>
      <c r="GTE244"/>
      <c r="GTF244"/>
      <c r="GTG244"/>
      <c r="GTH244"/>
      <c r="GTI244"/>
      <c r="GTJ244"/>
      <c r="GTK244"/>
      <c r="GTL244"/>
      <c r="GTM244"/>
      <c r="GTN244"/>
      <c r="GTO244"/>
      <c r="GTP244"/>
      <c r="GTQ244"/>
      <c r="GTR244"/>
      <c r="GTS244"/>
      <c r="GTT244"/>
      <c r="GTU244"/>
      <c r="GTV244"/>
      <c r="GTW244"/>
      <c r="GTX244"/>
      <c r="GTY244"/>
      <c r="GTZ244"/>
      <c r="GUA244"/>
      <c r="GUB244"/>
      <c r="GUC244"/>
      <c r="GUD244"/>
      <c r="GUE244"/>
      <c r="GUF244"/>
      <c r="GUG244"/>
      <c r="GUH244"/>
      <c r="GUI244"/>
      <c r="GUJ244"/>
      <c r="GUK244"/>
      <c r="GUL244"/>
      <c r="GUM244"/>
      <c r="GUN244"/>
      <c r="GUO244"/>
      <c r="GUP244"/>
      <c r="GUQ244"/>
      <c r="GUR244"/>
      <c r="GUS244"/>
      <c r="GUT244"/>
      <c r="GUU244"/>
      <c r="GUV244"/>
      <c r="GUW244"/>
      <c r="GUX244"/>
      <c r="GUY244"/>
      <c r="GUZ244"/>
      <c r="GVA244"/>
      <c r="GVB244"/>
      <c r="GVC244"/>
      <c r="GVD244"/>
      <c r="GVE244"/>
      <c r="GVF244"/>
      <c r="GVG244"/>
      <c r="GVH244"/>
      <c r="GVI244"/>
      <c r="GVJ244"/>
      <c r="GVK244"/>
      <c r="GVL244"/>
      <c r="GVM244"/>
      <c r="GVN244"/>
      <c r="GVO244"/>
      <c r="GVP244"/>
      <c r="GVQ244"/>
      <c r="GVR244"/>
      <c r="GVS244"/>
      <c r="GVT244"/>
      <c r="GVU244"/>
      <c r="GVV244"/>
      <c r="GVW244"/>
      <c r="GVX244"/>
      <c r="GVY244"/>
      <c r="GVZ244"/>
      <c r="GWA244"/>
      <c r="GWB244"/>
      <c r="GWC244"/>
      <c r="GWD244"/>
      <c r="GWE244"/>
      <c r="GWF244"/>
      <c r="GWG244"/>
      <c r="GWH244"/>
      <c r="GWI244"/>
      <c r="GWJ244"/>
      <c r="GWK244"/>
      <c r="GWL244"/>
      <c r="GWM244"/>
      <c r="GWN244"/>
      <c r="GWO244"/>
      <c r="GWP244"/>
      <c r="GWQ244"/>
      <c r="GWR244"/>
      <c r="GWS244"/>
      <c r="GWT244"/>
      <c r="GWU244"/>
      <c r="GWV244"/>
      <c r="GWW244"/>
      <c r="GWX244"/>
      <c r="GWY244"/>
      <c r="GWZ244"/>
      <c r="GXA244"/>
      <c r="GXB244"/>
      <c r="GXC244"/>
      <c r="GXD244"/>
      <c r="GXE244"/>
      <c r="GXF244"/>
      <c r="GXG244"/>
      <c r="GXH244"/>
      <c r="GXI244"/>
      <c r="GXJ244"/>
      <c r="GXK244"/>
      <c r="GXL244"/>
      <c r="GXM244"/>
      <c r="GXN244"/>
      <c r="GXO244"/>
      <c r="GXP244"/>
      <c r="GXQ244"/>
      <c r="GXR244"/>
      <c r="GXS244"/>
      <c r="GXT244"/>
      <c r="GXU244"/>
      <c r="GXV244"/>
      <c r="GXW244"/>
      <c r="GXX244"/>
      <c r="GXY244"/>
      <c r="GXZ244"/>
      <c r="GYA244"/>
      <c r="GYB244"/>
      <c r="GYC244"/>
      <c r="GYD244"/>
      <c r="GYE244"/>
      <c r="GYF244"/>
      <c r="GYG244"/>
      <c r="GYH244"/>
      <c r="GYI244"/>
      <c r="GYJ244"/>
      <c r="GYK244"/>
      <c r="GYL244"/>
      <c r="GYM244"/>
      <c r="GYN244"/>
      <c r="GYO244"/>
      <c r="GYP244"/>
      <c r="GYQ244"/>
      <c r="GYR244"/>
      <c r="GYS244"/>
      <c r="GYT244"/>
      <c r="GYU244"/>
      <c r="GYV244"/>
      <c r="GYW244"/>
      <c r="GYX244"/>
      <c r="GYY244"/>
      <c r="GYZ244"/>
      <c r="GZA244"/>
      <c r="GZB244"/>
      <c r="GZC244"/>
      <c r="GZD244"/>
      <c r="GZE244"/>
      <c r="GZF244"/>
      <c r="GZG244"/>
      <c r="GZH244"/>
      <c r="GZI244"/>
      <c r="GZJ244"/>
      <c r="GZK244"/>
      <c r="GZL244"/>
      <c r="GZM244"/>
      <c r="GZN244"/>
      <c r="GZO244"/>
      <c r="GZP244"/>
      <c r="GZQ244"/>
      <c r="GZR244"/>
      <c r="GZS244"/>
      <c r="GZT244"/>
      <c r="GZU244"/>
      <c r="GZV244"/>
      <c r="GZW244"/>
      <c r="GZX244"/>
      <c r="GZY244"/>
      <c r="GZZ244"/>
      <c r="HAA244"/>
      <c r="HAB244"/>
      <c r="HAC244"/>
      <c r="HAD244"/>
      <c r="HAE244"/>
      <c r="HAF244"/>
      <c r="HAG244"/>
      <c r="HAH244"/>
      <c r="HAI244"/>
      <c r="HAJ244"/>
      <c r="HAK244"/>
      <c r="HAL244"/>
      <c r="HAM244"/>
      <c r="HAN244"/>
      <c r="HAO244"/>
      <c r="HAP244"/>
      <c r="HAQ244"/>
      <c r="HAR244"/>
      <c r="HAS244"/>
      <c r="HAT244"/>
      <c r="HAU244"/>
      <c r="HAV244"/>
      <c r="HAW244"/>
      <c r="HAX244"/>
      <c r="HAY244"/>
      <c r="HAZ244"/>
      <c r="HBA244"/>
      <c r="HBB244"/>
      <c r="HBC244"/>
      <c r="HBD244"/>
      <c r="HBE244"/>
      <c r="HBF244"/>
      <c r="HBG244"/>
      <c r="HBH244"/>
      <c r="HBI244"/>
      <c r="HBJ244"/>
      <c r="HBK244"/>
      <c r="HBL244"/>
      <c r="HBM244"/>
      <c r="HBN244"/>
      <c r="HBO244"/>
      <c r="HBP244"/>
      <c r="HBQ244"/>
      <c r="HBR244"/>
      <c r="HBS244"/>
      <c r="HBT244"/>
      <c r="HBU244"/>
      <c r="HBV244"/>
      <c r="HBW244"/>
      <c r="HBX244"/>
      <c r="HBY244"/>
      <c r="HBZ244"/>
      <c r="HCA244"/>
      <c r="HCB244"/>
      <c r="HCC244"/>
      <c r="HCD244"/>
      <c r="HCE244"/>
      <c r="HCF244"/>
      <c r="HCG244"/>
      <c r="HCH244"/>
      <c r="HCI244"/>
      <c r="HCJ244"/>
      <c r="HCK244"/>
      <c r="HCL244"/>
      <c r="HCM244"/>
      <c r="HCN244"/>
      <c r="HCO244"/>
      <c r="HCP244"/>
      <c r="HCQ244"/>
      <c r="HCR244"/>
      <c r="HCS244"/>
      <c r="HCT244"/>
      <c r="HCU244"/>
      <c r="HCV244"/>
      <c r="HCW244"/>
      <c r="HCX244"/>
      <c r="HCY244"/>
      <c r="HCZ244"/>
      <c r="HDA244"/>
      <c r="HDB244"/>
      <c r="HDC244"/>
      <c r="HDD244"/>
      <c r="HDE244"/>
      <c r="HDF244"/>
      <c r="HDG244"/>
      <c r="HDH244"/>
      <c r="HDI244"/>
      <c r="HDJ244"/>
      <c r="HDK244"/>
      <c r="HDL244"/>
      <c r="HDM244"/>
      <c r="HDN244"/>
      <c r="HDO244"/>
      <c r="HDP244"/>
      <c r="HDQ244"/>
      <c r="HDR244"/>
      <c r="HDS244"/>
      <c r="HDT244"/>
      <c r="HDU244"/>
      <c r="HDV244"/>
      <c r="HDW244"/>
      <c r="HDX244"/>
      <c r="HDY244"/>
      <c r="HDZ244"/>
      <c r="HEA244"/>
      <c r="HEB244"/>
      <c r="HEC244"/>
      <c r="HED244"/>
      <c r="HEE244"/>
      <c r="HEF244"/>
      <c r="HEG244"/>
      <c r="HEH244"/>
      <c r="HEI244"/>
      <c r="HEJ244"/>
      <c r="HEK244"/>
      <c r="HEL244"/>
      <c r="HEM244"/>
      <c r="HEN244"/>
      <c r="HEO244"/>
      <c r="HEP244"/>
      <c r="HEQ244"/>
      <c r="HER244"/>
      <c r="HES244"/>
      <c r="HET244"/>
      <c r="HEU244"/>
      <c r="HEV244"/>
      <c r="HEW244"/>
      <c r="HEX244"/>
      <c r="HEY244"/>
      <c r="HEZ244"/>
      <c r="HFA244"/>
      <c r="HFB244"/>
      <c r="HFC244"/>
      <c r="HFD244"/>
      <c r="HFE244"/>
      <c r="HFF244"/>
      <c r="HFG244"/>
      <c r="HFH244"/>
      <c r="HFI244"/>
      <c r="HFJ244"/>
      <c r="HFK244"/>
      <c r="HFL244"/>
      <c r="HFM244"/>
      <c r="HFN244"/>
      <c r="HFO244"/>
      <c r="HFP244"/>
      <c r="HFQ244"/>
      <c r="HFR244"/>
      <c r="HFS244"/>
      <c r="HFT244"/>
      <c r="HFU244"/>
      <c r="HFV244"/>
      <c r="HFW244"/>
      <c r="HFX244"/>
      <c r="HFY244"/>
      <c r="HFZ244"/>
      <c r="HGA244"/>
      <c r="HGB244"/>
      <c r="HGC244"/>
      <c r="HGD244"/>
      <c r="HGE244"/>
      <c r="HGF244"/>
      <c r="HGG244"/>
      <c r="HGH244"/>
      <c r="HGI244"/>
      <c r="HGJ244"/>
      <c r="HGK244"/>
      <c r="HGL244"/>
      <c r="HGM244"/>
      <c r="HGN244"/>
      <c r="HGO244"/>
      <c r="HGP244"/>
      <c r="HGQ244"/>
      <c r="HGR244"/>
      <c r="HGS244"/>
      <c r="HGT244"/>
      <c r="HGU244"/>
      <c r="HGV244"/>
      <c r="HGW244"/>
      <c r="HGX244"/>
      <c r="HGY244"/>
      <c r="HGZ244"/>
      <c r="HHA244"/>
      <c r="HHB244"/>
      <c r="HHC244"/>
      <c r="HHD244"/>
      <c r="HHE244"/>
      <c r="HHF244"/>
      <c r="HHG244"/>
      <c r="HHH244"/>
      <c r="HHI244"/>
      <c r="HHJ244"/>
      <c r="HHK244"/>
      <c r="HHL244"/>
      <c r="HHM244"/>
      <c r="HHN244"/>
      <c r="HHO244"/>
      <c r="HHP244"/>
      <c r="HHQ244"/>
      <c r="HHR244"/>
      <c r="HHS244"/>
      <c r="HHT244"/>
      <c r="HHU244"/>
      <c r="HHV244"/>
      <c r="HHW244"/>
      <c r="HHX244"/>
      <c r="HHY244"/>
      <c r="HHZ244"/>
      <c r="HIA244"/>
      <c r="HIB244"/>
      <c r="HIC244"/>
      <c r="HID244"/>
      <c r="HIE244"/>
      <c r="HIF244"/>
      <c r="HIG244"/>
      <c r="HIH244"/>
      <c r="HII244"/>
      <c r="HIJ244"/>
      <c r="HIK244"/>
      <c r="HIL244"/>
      <c r="HIM244"/>
      <c r="HIN244"/>
      <c r="HIO244"/>
      <c r="HIP244"/>
      <c r="HIQ244"/>
      <c r="HIR244"/>
      <c r="HIS244"/>
      <c r="HIT244"/>
      <c r="HIU244"/>
      <c r="HIV244"/>
      <c r="HIW244"/>
      <c r="HIX244"/>
      <c r="HIY244"/>
      <c r="HIZ244"/>
      <c r="HJA244"/>
      <c r="HJB244"/>
      <c r="HJC244"/>
      <c r="HJD244"/>
      <c r="HJE244"/>
      <c r="HJF244"/>
      <c r="HJG244"/>
      <c r="HJH244"/>
      <c r="HJI244"/>
      <c r="HJJ244"/>
      <c r="HJK244"/>
      <c r="HJL244"/>
      <c r="HJM244"/>
      <c r="HJN244"/>
      <c r="HJO244"/>
      <c r="HJP244"/>
      <c r="HJQ244"/>
      <c r="HJR244"/>
      <c r="HJS244"/>
      <c r="HJT244"/>
      <c r="HJU244"/>
      <c r="HJV244"/>
      <c r="HJW244"/>
      <c r="HJX244"/>
      <c r="HJY244"/>
      <c r="HJZ244"/>
      <c r="HKA244"/>
      <c r="HKB244"/>
      <c r="HKC244"/>
      <c r="HKD244"/>
      <c r="HKE244"/>
      <c r="HKF244"/>
      <c r="HKG244"/>
      <c r="HKH244"/>
      <c r="HKI244"/>
      <c r="HKJ244"/>
      <c r="HKK244"/>
      <c r="HKL244"/>
      <c r="HKM244"/>
      <c r="HKN244"/>
      <c r="HKO244"/>
      <c r="HKP244"/>
      <c r="HKQ244"/>
      <c r="HKR244"/>
      <c r="HKS244"/>
      <c r="HKT244"/>
      <c r="HKU244"/>
      <c r="HKV244"/>
      <c r="HKW244"/>
      <c r="HKX244"/>
      <c r="HKY244"/>
      <c r="HKZ244"/>
      <c r="HLA244"/>
      <c r="HLB244"/>
      <c r="HLC244"/>
      <c r="HLD244"/>
      <c r="HLE244"/>
      <c r="HLF244"/>
      <c r="HLG244"/>
      <c r="HLH244"/>
      <c r="HLI244"/>
      <c r="HLJ244"/>
      <c r="HLK244"/>
      <c r="HLL244"/>
      <c r="HLM244"/>
      <c r="HLN244"/>
      <c r="HLO244"/>
      <c r="HLP244"/>
      <c r="HLQ244"/>
      <c r="HLR244"/>
      <c r="HLS244"/>
      <c r="HLT244"/>
      <c r="HLU244"/>
      <c r="HLV244"/>
      <c r="HLW244"/>
      <c r="HLX244"/>
      <c r="HLY244"/>
      <c r="HLZ244"/>
      <c r="HMA244"/>
      <c r="HMB244"/>
      <c r="HMC244"/>
      <c r="HMD244"/>
      <c r="HME244"/>
      <c r="HMF244"/>
      <c r="HMG244"/>
      <c r="HMH244"/>
      <c r="HMI244"/>
      <c r="HMJ244"/>
      <c r="HMK244"/>
      <c r="HML244"/>
      <c r="HMM244"/>
      <c r="HMN244"/>
      <c r="HMO244"/>
      <c r="HMP244"/>
      <c r="HMQ244"/>
      <c r="HMR244"/>
      <c r="HMS244"/>
      <c r="HMT244"/>
      <c r="HMU244"/>
      <c r="HMV244"/>
      <c r="HMW244"/>
      <c r="HMX244"/>
      <c r="HMY244"/>
      <c r="HMZ244"/>
      <c r="HNA244"/>
      <c r="HNB244"/>
      <c r="HNC244"/>
      <c r="HND244"/>
      <c r="HNE244"/>
      <c r="HNF244"/>
      <c r="HNG244"/>
      <c r="HNH244"/>
      <c r="HNI244"/>
      <c r="HNJ244"/>
      <c r="HNK244"/>
      <c r="HNL244"/>
      <c r="HNM244"/>
      <c r="HNN244"/>
      <c r="HNO244"/>
      <c r="HNP244"/>
      <c r="HNQ244"/>
      <c r="HNR244"/>
      <c r="HNS244"/>
      <c r="HNT244"/>
      <c r="HNU244"/>
      <c r="HNV244"/>
      <c r="HNW244"/>
      <c r="HNX244"/>
      <c r="HNY244"/>
      <c r="HNZ244"/>
      <c r="HOA244"/>
      <c r="HOB244"/>
      <c r="HOC244"/>
      <c r="HOD244"/>
      <c r="HOE244"/>
      <c r="HOF244"/>
      <c r="HOG244"/>
      <c r="HOH244"/>
      <c r="HOI244"/>
      <c r="HOJ244"/>
      <c r="HOK244"/>
      <c r="HOL244"/>
      <c r="HOM244"/>
      <c r="HON244"/>
      <c r="HOO244"/>
      <c r="HOP244"/>
      <c r="HOQ244"/>
      <c r="HOR244"/>
      <c r="HOS244"/>
      <c r="HOT244"/>
      <c r="HOU244"/>
      <c r="HOV244"/>
      <c r="HOW244"/>
      <c r="HOX244"/>
      <c r="HOY244"/>
      <c r="HOZ244"/>
      <c r="HPA244"/>
      <c r="HPB244"/>
      <c r="HPC244"/>
      <c r="HPD244"/>
      <c r="HPE244"/>
      <c r="HPF244"/>
      <c r="HPG244"/>
      <c r="HPH244"/>
      <c r="HPI244"/>
      <c r="HPJ244"/>
      <c r="HPK244"/>
      <c r="HPL244"/>
      <c r="HPM244"/>
      <c r="HPN244"/>
      <c r="HPO244"/>
      <c r="HPP244"/>
      <c r="HPQ244"/>
      <c r="HPR244"/>
      <c r="HPS244"/>
      <c r="HPT244"/>
      <c r="HPU244"/>
      <c r="HPV244"/>
      <c r="HPW244"/>
      <c r="HPX244"/>
      <c r="HPY244"/>
      <c r="HPZ244"/>
      <c r="HQA244"/>
      <c r="HQB244"/>
      <c r="HQC244"/>
      <c r="HQD244"/>
      <c r="HQE244"/>
      <c r="HQF244"/>
      <c r="HQG244"/>
      <c r="HQH244"/>
      <c r="HQI244"/>
      <c r="HQJ244"/>
      <c r="HQK244"/>
      <c r="HQL244"/>
      <c r="HQM244"/>
      <c r="HQN244"/>
      <c r="HQO244"/>
      <c r="HQP244"/>
      <c r="HQQ244"/>
      <c r="HQR244"/>
      <c r="HQS244"/>
      <c r="HQT244"/>
      <c r="HQU244"/>
      <c r="HQV244"/>
      <c r="HQW244"/>
      <c r="HQX244"/>
      <c r="HQY244"/>
      <c r="HQZ244"/>
      <c r="HRA244"/>
      <c r="HRB244"/>
      <c r="HRC244"/>
      <c r="HRD244"/>
      <c r="HRE244"/>
      <c r="HRF244"/>
      <c r="HRG244"/>
      <c r="HRH244"/>
      <c r="HRI244"/>
      <c r="HRJ244"/>
      <c r="HRK244"/>
      <c r="HRL244"/>
      <c r="HRM244"/>
      <c r="HRN244"/>
      <c r="HRO244"/>
      <c r="HRP244"/>
      <c r="HRQ244"/>
      <c r="HRR244"/>
      <c r="HRS244"/>
      <c r="HRT244"/>
      <c r="HRU244"/>
      <c r="HRV244"/>
      <c r="HRW244"/>
      <c r="HRX244"/>
      <c r="HRY244"/>
      <c r="HRZ244"/>
      <c r="HSA244"/>
      <c r="HSB244"/>
      <c r="HSC244"/>
      <c r="HSD244"/>
      <c r="HSE244"/>
      <c r="HSF244"/>
      <c r="HSG244"/>
      <c r="HSH244"/>
      <c r="HSI244"/>
      <c r="HSJ244"/>
      <c r="HSK244"/>
      <c r="HSL244"/>
      <c r="HSM244"/>
      <c r="HSN244"/>
      <c r="HSO244"/>
      <c r="HSP244"/>
      <c r="HSQ244"/>
      <c r="HSR244"/>
      <c r="HSS244"/>
      <c r="HST244"/>
      <c r="HSU244"/>
      <c r="HSV244"/>
      <c r="HSW244"/>
      <c r="HSX244"/>
      <c r="HSY244"/>
      <c r="HSZ244"/>
      <c r="HTA244"/>
      <c r="HTB244"/>
      <c r="HTC244"/>
      <c r="HTD244"/>
      <c r="HTE244"/>
      <c r="HTF244"/>
      <c r="HTG244"/>
      <c r="HTH244"/>
      <c r="HTI244"/>
      <c r="HTJ244"/>
      <c r="HTK244"/>
      <c r="HTL244"/>
      <c r="HTM244"/>
      <c r="HTN244"/>
      <c r="HTO244"/>
      <c r="HTP244"/>
      <c r="HTQ244"/>
      <c r="HTR244"/>
      <c r="HTS244"/>
      <c r="HTT244"/>
      <c r="HTU244"/>
      <c r="HTV244"/>
      <c r="HTW244"/>
      <c r="HTX244"/>
      <c r="HTY244"/>
      <c r="HTZ244"/>
      <c r="HUA244"/>
      <c r="HUB244"/>
      <c r="HUC244"/>
      <c r="HUD244"/>
      <c r="HUE244"/>
      <c r="HUF244"/>
      <c r="HUG244"/>
      <c r="HUH244"/>
      <c r="HUI244"/>
      <c r="HUJ244"/>
      <c r="HUK244"/>
      <c r="HUL244"/>
      <c r="HUM244"/>
      <c r="HUN244"/>
      <c r="HUO244"/>
      <c r="HUP244"/>
      <c r="HUQ244"/>
      <c r="HUR244"/>
      <c r="HUS244"/>
      <c r="HUT244"/>
      <c r="HUU244"/>
      <c r="HUV244"/>
      <c r="HUW244"/>
      <c r="HUX244"/>
      <c r="HUY244"/>
      <c r="HUZ244"/>
      <c r="HVA244"/>
      <c r="HVB244"/>
      <c r="HVC244"/>
      <c r="HVD244"/>
      <c r="HVE244"/>
      <c r="HVF244"/>
      <c r="HVG244"/>
      <c r="HVH244"/>
      <c r="HVI244"/>
      <c r="HVJ244"/>
      <c r="HVK244"/>
      <c r="HVL244"/>
      <c r="HVM244"/>
      <c r="HVN244"/>
      <c r="HVO244"/>
      <c r="HVP244"/>
      <c r="HVQ244"/>
      <c r="HVR244"/>
      <c r="HVS244"/>
      <c r="HVT244"/>
      <c r="HVU244"/>
      <c r="HVV244"/>
      <c r="HVW244"/>
      <c r="HVX244"/>
      <c r="HVY244"/>
      <c r="HVZ244"/>
      <c r="HWA244"/>
      <c r="HWB244"/>
      <c r="HWC244"/>
      <c r="HWD244"/>
      <c r="HWE244"/>
      <c r="HWF244"/>
      <c r="HWG244"/>
      <c r="HWH244"/>
      <c r="HWI244"/>
      <c r="HWJ244"/>
      <c r="HWK244"/>
      <c r="HWL244"/>
      <c r="HWM244"/>
      <c r="HWN244"/>
      <c r="HWO244"/>
      <c r="HWP244"/>
      <c r="HWQ244"/>
      <c r="HWR244"/>
      <c r="HWS244"/>
      <c r="HWT244"/>
      <c r="HWU244"/>
      <c r="HWV244"/>
      <c r="HWW244"/>
      <c r="HWX244"/>
      <c r="HWY244"/>
      <c r="HWZ244"/>
      <c r="HXA244"/>
      <c r="HXB244"/>
      <c r="HXC244"/>
      <c r="HXD244"/>
      <c r="HXE244"/>
      <c r="HXF244"/>
      <c r="HXG244"/>
      <c r="HXH244"/>
      <c r="HXI244"/>
      <c r="HXJ244"/>
      <c r="HXK244"/>
      <c r="HXL244"/>
      <c r="HXM244"/>
      <c r="HXN244"/>
      <c r="HXO244"/>
      <c r="HXP244"/>
      <c r="HXQ244"/>
      <c r="HXR244"/>
      <c r="HXS244"/>
      <c r="HXT244"/>
      <c r="HXU244"/>
      <c r="HXV244"/>
      <c r="HXW244"/>
      <c r="HXX244"/>
      <c r="HXY244"/>
      <c r="HXZ244"/>
      <c r="HYA244"/>
      <c r="HYB244"/>
      <c r="HYC244"/>
      <c r="HYD244"/>
      <c r="HYE244"/>
      <c r="HYF244"/>
      <c r="HYG244"/>
      <c r="HYH244"/>
      <c r="HYI244"/>
      <c r="HYJ244"/>
      <c r="HYK244"/>
      <c r="HYL244"/>
      <c r="HYM244"/>
      <c r="HYN244"/>
      <c r="HYO244"/>
      <c r="HYP244"/>
      <c r="HYQ244"/>
      <c r="HYR244"/>
      <c r="HYS244"/>
      <c r="HYT244"/>
      <c r="HYU244"/>
      <c r="HYV244"/>
      <c r="HYW244"/>
      <c r="HYX244"/>
      <c r="HYY244"/>
      <c r="HYZ244"/>
      <c r="HZA244"/>
      <c r="HZB244"/>
      <c r="HZC244"/>
      <c r="HZD244"/>
      <c r="HZE244"/>
      <c r="HZF244"/>
      <c r="HZG244"/>
      <c r="HZH244"/>
      <c r="HZI244"/>
      <c r="HZJ244"/>
      <c r="HZK244"/>
      <c r="HZL244"/>
      <c r="HZM244"/>
      <c r="HZN244"/>
      <c r="HZO244"/>
      <c r="HZP244"/>
      <c r="HZQ244"/>
      <c r="HZR244"/>
      <c r="HZS244"/>
      <c r="HZT244"/>
      <c r="HZU244"/>
      <c r="HZV244"/>
      <c r="HZW244"/>
      <c r="HZX244"/>
      <c r="HZY244"/>
      <c r="HZZ244"/>
      <c r="IAA244"/>
      <c r="IAB244"/>
      <c r="IAC244"/>
      <c r="IAD244"/>
      <c r="IAE244"/>
      <c r="IAF244"/>
      <c r="IAG244"/>
      <c r="IAH244"/>
      <c r="IAI244"/>
      <c r="IAJ244"/>
      <c r="IAK244"/>
      <c r="IAL244"/>
      <c r="IAM244"/>
      <c r="IAN244"/>
      <c r="IAO244"/>
      <c r="IAP244"/>
      <c r="IAQ244"/>
      <c r="IAR244"/>
      <c r="IAS244"/>
      <c r="IAT244"/>
      <c r="IAU244"/>
      <c r="IAV244"/>
      <c r="IAW244"/>
      <c r="IAX244"/>
      <c r="IAY244"/>
      <c r="IAZ244"/>
      <c r="IBA244"/>
      <c r="IBB244"/>
      <c r="IBC244"/>
      <c r="IBD244"/>
      <c r="IBE244"/>
      <c r="IBF244"/>
      <c r="IBG244"/>
      <c r="IBH244"/>
      <c r="IBI244"/>
      <c r="IBJ244"/>
      <c r="IBK244"/>
      <c r="IBL244"/>
      <c r="IBM244"/>
      <c r="IBN244"/>
      <c r="IBO244"/>
      <c r="IBP244"/>
      <c r="IBQ244"/>
      <c r="IBR244"/>
      <c r="IBS244"/>
      <c r="IBT244"/>
      <c r="IBU244"/>
      <c r="IBV244"/>
      <c r="IBW244"/>
      <c r="IBX244"/>
      <c r="IBY244"/>
      <c r="IBZ244"/>
      <c r="ICA244"/>
      <c r="ICB244"/>
      <c r="ICC244"/>
      <c r="ICD244"/>
      <c r="ICE244"/>
      <c r="ICF244"/>
      <c r="ICG244"/>
      <c r="ICH244"/>
      <c r="ICI244"/>
      <c r="ICJ244"/>
      <c r="ICK244"/>
      <c r="ICL244"/>
      <c r="ICM244"/>
      <c r="ICN244"/>
      <c r="ICO244"/>
      <c r="ICP244"/>
      <c r="ICQ244"/>
      <c r="ICR244"/>
      <c r="ICS244"/>
      <c r="ICT244"/>
      <c r="ICU244"/>
      <c r="ICV244"/>
      <c r="ICW244"/>
      <c r="ICX244"/>
      <c r="ICY244"/>
      <c r="ICZ244"/>
      <c r="IDA244"/>
      <c r="IDB244"/>
      <c r="IDC244"/>
      <c r="IDD244"/>
      <c r="IDE244"/>
      <c r="IDF244"/>
      <c r="IDG244"/>
      <c r="IDH244"/>
      <c r="IDI244"/>
      <c r="IDJ244"/>
      <c r="IDK244"/>
      <c r="IDL244"/>
      <c r="IDM244"/>
      <c r="IDN244"/>
      <c r="IDO244"/>
      <c r="IDP244"/>
      <c r="IDQ244"/>
      <c r="IDR244"/>
      <c r="IDS244"/>
      <c r="IDT244"/>
      <c r="IDU244"/>
      <c r="IDV244"/>
      <c r="IDW244"/>
      <c r="IDX244"/>
      <c r="IDY244"/>
      <c r="IDZ244"/>
      <c r="IEA244"/>
      <c r="IEB244"/>
      <c r="IEC244"/>
      <c r="IED244"/>
      <c r="IEE244"/>
      <c r="IEF244"/>
      <c r="IEG244"/>
      <c r="IEH244"/>
      <c r="IEI244"/>
      <c r="IEJ244"/>
      <c r="IEK244"/>
      <c r="IEL244"/>
      <c r="IEM244"/>
      <c r="IEN244"/>
      <c r="IEO244"/>
      <c r="IEP244"/>
      <c r="IEQ244"/>
      <c r="IER244"/>
      <c r="IES244"/>
      <c r="IET244"/>
      <c r="IEU244"/>
      <c r="IEV244"/>
      <c r="IEW244"/>
      <c r="IEX244"/>
      <c r="IEY244"/>
      <c r="IEZ244"/>
      <c r="IFA244"/>
      <c r="IFB244"/>
      <c r="IFC244"/>
      <c r="IFD244"/>
      <c r="IFE244"/>
      <c r="IFF244"/>
      <c r="IFG244"/>
      <c r="IFH244"/>
      <c r="IFI244"/>
      <c r="IFJ244"/>
      <c r="IFK244"/>
      <c r="IFL244"/>
      <c r="IFM244"/>
      <c r="IFN244"/>
      <c r="IFO244"/>
      <c r="IFP244"/>
      <c r="IFQ244"/>
      <c r="IFR244"/>
      <c r="IFS244"/>
      <c r="IFT244"/>
      <c r="IFU244"/>
      <c r="IFV244"/>
      <c r="IFW244"/>
      <c r="IFX244"/>
      <c r="IFY244"/>
      <c r="IFZ244"/>
      <c r="IGA244"/>
      <c r="IGB244"/>
      <c r="IGC244"/>
      <c r="IGD244"/>
      <c r="IGE244"/>
      <c r="IGF244"/>
      <c r="IGG244"/>
      <c r="IGH244"/>
      <c r="IGI244"/>
      <c r="IGJ244"/>
      <c r="IGK244"/>
      <c r="IGL244"/>
      <c r="IGM244"/>
      <c r="IGN244"/>
      <c r="IGO244"/>
      <c r="IGP244"/>
      <c r="IGQ244"/>
      <c r="IGR244"/>
      <c r="IGS244"/>
      <c r="IGT244"/>
      <c r="IGU244"/>
      <c r="IGV244"/>
      <c r="IGW244"/>
      <c r="IGX244"/>
      <c r="IGY244"/>
      <c r="IGZ244"/>
      <c r="IHA244"/>
      <c r="IHB244"/>
      <c r="IHC244"/>
      <c r="IHD244"/>
      <c r="IHE244"/>
      <c r="IHF244"/>
      <c r="IHG244"/>
      <c r="IHH244"/>
      <c r="IHI244"/>
      <c r="IHJ244"/>
      <c r="IHK244"/>
      <c r="IHL244"/>
      <c r="IHM244"/>
      <c r="IHN244"/>
      <c r="IHO244"/>
      <c r="IHP244"/>
      <c r="IHQ244"/>
      <c r="IHR244"/>
      <c r="IHS244"/>
      <c r="IHT244"/>
      <c r="IHU244"/>
      <c r="IHV244"/>
      <c r="IHW244"/>
      <c r="IHX244"/>
      <c r="IHY244"/>
      <c r="IHZ244"/>
      <c r="IIA244"/>
      <c r="IIB244"/>
      <c r="IIC244"/>
      <c r="IID244"/>
      <c r="IIE244"/>
      <c r="IIF244"/>
      <c r="IIG244"/>
      <c r="IIH244"/>
      <c r="III244"/>
      <c r="IIJ244"/>
      <c r="IIK244"/>
      <c r="IIL244"/>
      <c r="IIM244"/>
      <c r="IIN244"/>
      <c r="IIO244"/>
      <c r="IIP244"/>
      <c r="IIQ244"/>
      <c r="IIR244"/>
      <c r="IIS244"/>
      <c r="IIT244"/>
      <c r="IIU244"/>
      <c r="IIV244"/>
      <c r="IIW244"/>
      <c r="IIX244"/>
      <c r="IIY244"/>
      <c r="IIZ244"/>
      <c r="IJA244"/>
      <c r="IJB244"/>
      <c r="IJC244"/>
      <c r="IJD244"/>
      <c r="IJE244"/>
      <c r="IJF244"/>
      <c r="IJG244"/>
      <c r="IJH244"/>
      <c r="IJI244"/>
      <c r="IJJ244"/>
      <c r="IJK244"/>
      <c r="IJL244"/>
      <c r="IJM244"/>
      <c r="IJN244"/>
      <c r="IJO244"/>
      <c r="IJP244"/>
      <c r="IJQ244"/>
      <c r="IJR244"/>
      <c r="IJS244"/>
      <c r="IJT244"/>
      <c r="IJU244"/>
      <c r="IJV244"/>
      <c r="IJW244"/>
      <c r="IJX244"/>
      <c r="IJY244"/>
      <c r="IJZ244"/>
      <c r="IKA244"/>
      <c r="IKB244"/>
      <c r="IKC244"/>
      <c r="IKD244"/>
      <c r="IKE244"/>
      <c r="IKF244"/>
      <c r="IKG244"/>
      <c r="IKH244"/>
      <c r="IKI244"/>
      <c r="IKJ244"/>
      <c r="IKK244"/>
      <c r="IKL244"/>
      <c r="IKM244"/>
      <c r="IKN244"/>
      <c r="IKO244"/>
      <c r="IKP244"/>
      <c r="IKQ244"/>
      <c r="IKR244"/>
      <c r="IKS244"/>
      <c r="IKT244"/>
      <c r="IKU244"/>
      <c r="IKV244"/>
      <c r="IKW244"/>
      <c r="IKX244"/>
      <c r="IKY244"/>
      <c r="IKZ244"/>
      <c r="ILA244"/>
      <c r="ILB244"/>
      <c r="ILC244"/>
      <c r="ILD244"/>
      <c r="ILE244"/>
      <c r="ILF244"/>
      <c r="ILG244"/>
      <c r="ILH244"/>
      <c r="ILI244"/>
      <c r="ILJ244"/>
      <c r="ILK244"/>
      <c r="ILL244"/>
      <c r="ILM244"/>
      <c r="ILN244"/>
      <c r="ILO244"/>
      <c r="ILP244"/>
      <c r="ILQ244"/>
      <c r="ILR244"/>
      <c r="ILS244"/>
      <c r="ILT244"/>
      <c r="ILU244"/>
      <c r="ILV244"/>
      <c r="ILW244"/>
      <c r="ILX244"/>
      <c r="ILY244"/>
      <c r="ILZ244"/>
      <c r="IMA244"/>
      <c r="IMB244"/>
      <c r="IMC244"/>
      <c r="IMD244"/>
      <c r="IME244"/>
      <c r="IMF244"/>
      <c r="IMG244"/>
      <c r="IMH244"/>
      <c r="IMI244"/>
      <c r="IMJ244"/>
      <c r="IMK244"/>
      <c r="IML244"/>
      <c r="IMM244"/>
      <c r="IMN244"/>
      <c r="IMO244"/>
      <c r="IMP244"/>
      <c r="IMQ244"/>
      <c r="IMR244"/>
      <c r="IMS244"/>
      <c r="IMT244"/>
      <c r="IMU244"/>
      <c r="IMV244"/>
      <c r="IMW244"/>
      <c r="IMX244"/>
      <c r="IMY244"/>
      <c r="IMZ244"/>
      <c r="INA244"/>
      <c r="INB244"/>
      <c r="INC244"/>
      <c r="IND244"/>
      <c r="INE244"/>
      <c r="INF244"/>
      <c r="ING244"/>
      <c r="INH244"/>
      <c r="INI244"/>
      <c r="INJ244"/>
      <c r="INK244"/>
      <c r="INL244"/>
      <c r="INM244"/>
      <c r="INN244"/>
      <c r="INO244"/>
      <c r="INP244"/>
      <c r="INQ244"/>
      <c r="INR244"/>
      <c r="INS244"/>
      <c r="INT244"/>
      <c r="INU244"/>
      <c r="INV244"/>
      <c r="INW244"/>
      <c r="INX244"/>
      <c r="INY244"/>
      <c r="INZ244"/>
      <c r="IOA244"/>
      <c r="IOB244"/>
      <c r="IOC244"/>
      <c r="IOD244"/>
      <c r="IOE244"/>
      <c r="IOF244"/>
      <c r="IOG244"/>
      <c r="IOH244"/>
      <c r="IOI244"/>
      <c r="IOJ244"/>
      <c r="IOK244"/>
      <c r="IOL244"/>
      <c r="IOM244"/>
      <c r="ION244"/>
      <c r="IOO244"/>
      <c r="IOP244"/>
      <c r="IOQ244"/>
      <c r="IOR244"/>
      <c r="IOS244"/>
      <c r="IOT244"/>
      <c r="IOU244"/>
      <c r="IOV244"/>
      <c r="IOW244"/>
      <c r="IOX244"/>
      <c r="IOY244"/>
      <c r="IOZ244"/>
      <c r="IPA244"/>
      <c r="IPB244"/>
      <c r="IPC244"/>
      <c r="IPD244"/>
      <c r="IPE244"/>
      <c r="IPF244"/>
      <c r="IPG244"/>
      <c r="IPH244"/>
      <c r="IPI244"/>
      <c r="IPJ244"/>
      <c r="IPK244"/>
      <c r="IPL244"/>
      <c r="IPM244"/>
      <c r="IPN244"/>
      <c r="IPO244"/>
      <c r="IPP244"/>
      <c r="IPQ244"/>
      <c r="IPR244"/>
      <c r="IPS244"/>
      <c r="IPT244"/>
      <c r="IPU244"/>
      <c r="IPV244"/>
      <c r="IPW244"/>
      <c r="IPX244"/>
      <c r="IPY244"/>
      <c r="IPZ244"/>
      <c r="IQA244"/>
      <c r="IQB244"/>
      <c r="IQC244"/>
      <c r="IQD244"/>
      <c r="IQE244"/>
      <c r="IQF244"/>
      <c r="IQG244"/>
      <c r="IQH244"/>
      <c r="IQI244"/>
      <c r="IQJ244"/>
      <c r="IQK244"/>
      <c r="IQL244"/>
      <c r="IQM244"/>
      <c r="IQN244"/>
      <c r="IQO244"/>
      <c r="IQP244"/>
      <c r="IQQ244"/>
      <c r="IQR244"/>
      <c r="IQS244"/>
      <c r="IQT244"/>
      <c r="IQU244"/>
      <c r="IQV244"/>
      <c r="IQW244"/>
      <c r="IQX244"/>
      <c r="IQY244"/>
      <c r="IQZ244"/>
      <c r="IRA244"/>
      <c r="IRB244"/>
      <c r="IRC244"/>
      <c r="IRD244"/>
      <c r="IRE244"/>
      <c r="IRF244"/>
      <c r="IRG244"/>
      <c r="IRH244"/>
      <c r="IRI244"/>
      <c r="IRJ244"/>
      <c r="IRK244"/>
      <c r="IRL244"/>
      <c r="IRM244"/>
      <c r="IRN244"/>
      <c r="IRO244"/>
      <c r="IRP244"/>
      <c r="IRQ244"/>
      <c r="IRR244"/>
      <c r="IRS244"/>
      <c r="IRT244"/>
      <c r="IRU244"/>
      <c r="IRV244"/>
      <c r="IRW244"/>
      <c r="IRX244"/>
      <c r="IRY244"/>
      <c r="IRZ244"/>
      <c r="ISA244"/>
      <c r="ISB244"/>
      <c r="ISC244"/>
      <c r="ISD244"/>
      <c r="ISE244"/>
      <c r="ISF244"/>
      <c r="ISG244"/>
      <c r="ISH244"/>
      <c r="ISI244"/>
      <c r="ISJ244"/>
      <c r="ISK244"/>
      <c r="ISL244"/>
      <c r="ISM244"/>
      <c r="ISN244"/>
      <c r="ISO244"/>
      <c r="ISP244"/>
      <c r="ISQ244"/>
      <c r="ISR244"/>
      <c r="ISS244"/>
      <c r="IST244"/>
      <c r="ISU244"/>
      <c r="ISV244"/>
      <c r="ISW244"/>
      <c r="ISX244"/>
      <c r="ISY244"/>
      <c r="ISZ244"/>
      <c r="ITA244"/>
      <c r="ITB244"/>
      <c r="ITC244"/>
      <c r="ITD244"/>
      <c r="ITE244"/>
      <c r="ITF244"/>
      <c r="ITG244"/>
      <c r="ITH244"/>
      <c r="ITI244"/>
      <c r="ITJ244"/>
      <c r="ITK244"/>
      <c r="ITL244"/>
      <c r="ITM244"/>
      <c r="ITN244"/>
      <c r="ITO244"/>
      <c r="ITP244"/>
      <c r="ITQ244"/>
      <c r="ITR244"/>
      <c r="ITS244"/>
      <c r="ITT244"/>
      <c r="ITU244"/>
      <c r="ITV244"/>
      <c r="ITW244"/>
      <c r="ITX244"/>
      <c r="ITY244"/>
      <c r="ITZ244"/>
      <c r="IUA244"/>
      <c r="IUB244"/>
      <c r="IUC244"/>
      <c r="IUD244"/>
      <c r="IUE244"/>
      <c r="IUF244"/>
      <c r="IUG244"/>
      <c r="IUH244"/>
      <c r="IUI244"/>
      <c r="IUJ244"/>
      <c r="IUK244"/>
      <c r="IUL244"/>
      <c r="IUM244"/>
      <c r="IUN244"/>
      <c r="IUO244"/>
      <c r="IUP244"/>
      <c r="IUQ244"/>
      <c r="IUR244"/>
      <c r="IUS244"/>
      <c r="IUT244"/>
      <c r="IUU244"/>
      <c r="IUV244"/>
      <c r="IUW244"/>
      <c r="IUX244"/>
      <c r="IUY244"/>
      <c r="IUZ244"/>
      <c r="IVA244"/>
      <c r="IVB244"/>
      <c r="IVC244"/>
      <c r="IVD244"/>
      <c r="IVE244"/>
      <c r="IVF244"/>
      <c r="IVG244"/>
      <c r="IVH244"/>
      <c r="IVI244"/>
      <c r="IVJ244"/>
      <c r="IVK244"/>
      <c r="IVL244"/>
      <c r="IVM244"/>
      <c r="IVN244"/>
      <c r="IVO244"/>
      <c r="IVP244"/>
      <c r="IVQ244"/>
      <c r="IVR244"/>
      <c r="IVS244"/>
      <c r="IVT244"/>
      <c r="IVU244"/>
      <c r="IVV244"/>
      <c r="IVW244"/>
      <c r="IVX244"/>
      <c r="IVY244"/>
      <c r="IVZ244"/>
      <c r="IWA244"/>
      <c r="IWB244"/>
      <c r="IWC244"/>
      <c r="IWD244"/>
      <c r="IWE244"/>
      <c r="IWF244"/>
      <c r="IWG244"/>
      <c r="IWH244"/>
      <c r="IWI244"/>
      <c r="IWJ244"/>
      <c r="IWK244"/>
      <c r="IWL244"/>
      <c r="IWM244"/>
      <c r="IWN244"/>
      <c r="IWO244"/>
      <c r="IWP244"/>
      <c r="IWQ244"/>
      <c r="IWR244"/>
      <c r="IWS244"/>
      <c r="IWT244"/>
      <c r="IWU244"/>
      <c r="IWV244"/>
      <c r="IWW244"/>
      <c r="IWX244"/>
      <c r="IWY244"/>
      <c r="IWZ244"/>
      <c r="IXA244"/>
      <c r="IXB244"/>
      <c r="IXC244"/>
      <c r="IXD244"/>
      <c r="IXE244"/>
      <c r="IXF244"/>
      <c r="IXG244"/>
      <c r="IXH244"/>
      <c r="IXI244"/>
      <c r="IXJ244"/>
      <c r="IXK244"/>
      <c r="IXL244"/>
      <c r="IXM244"/>
      <c r="IXN244"/>
      <c r="IXO244"/>
      <c r="IXP244"/>
      <c r="IXQ244"/>
      <c r="IXR244"/>
      <c r="IXS244"/>
      <c r="IXT244"/>
      <c r="IXU244"/>
      <c r="IXV244"/>
      <c r="IXW244"/>
      <c r="IXX244"/>
      <c r="IXY244"/>
      <c r="IXZ244"/>
      <c r="IYA244"/>
      <c r="IYB244"/>
      <c r="IYC244"/>
      <c r="IYD244"/>
      <c r="IYE244"/>
      <c r="IYF244"/>
      <c r="IYG244"/>
      <c r="IYH244"/>
      <c r="IYI244"/>
      <c r="IYJ244"/>
      <c r="IYK244"/>
      <c r="IYL244"/>
      <c r="IYM244"/>
      <c r="IYN244"/>
      <c r="IYO244"/>
      <c r="IYP244"/>
      <c r="IYQ244"/>
      <c r="IYR244"/>
      <c r="IYS244"/>
      <c r="IYT244"/>
      <c r="IYU244"/>
      <c r="IYV244"/>
      <c r="IYW244"/>
      <c r="IYX244"/>
      <c r="IYY244"/>
      <c r="IYZ244"/>
      <c r="IZA244"/>
      <c r="IZB244"/>
      <c r="IZC244"/>
      <c r="IZD244"/>
      <c r="IZE244"/>
      <c r="IZF244"/>
      <c r="IZG244"/>
      <c r="IZH244"/>
      <c r="IZI244"/>
      <c r="IZJ244"/>
      <c r="IZK244"/>
      <c r="IZL244"/>
      <c r="IZM244"/>
      <c r="IZN244"/>
      <c r="IZO244"/>
      <c r="IZP244"/>
      <c r="IZQ244"/>
      <c r="IZR244"/>
      <c r="IZS244"/>
      <c r="IZT244"/>
      <c r="IZU244"/>
      <c r="IZV244"/>
      <c r="IZW244"/>
      <c r="IZX244"/>
      <c r="IZY244"/>
      <c r="IZZ244"/>
      <c r="JAA244"/>
      <c r="JAB244"/>
      <c r="JAC244"/>
      <c r="JAD244"/>
      <c r="JAE244"/>
      <c r="JAF244"/>
      <c r="JAG244"/>
      <c r="JAH244"/>
      <c r="JAI244"/>
      <c r="JAJ244"/>
      <c r="JAK244"/>
      <c r="JAL244"/>
      <c r="JAM244"/>
      <c r="JAN244"/>
      <c r="JAO244"/>
      <c r="JAP244"/>
      <c r="JAQ244"/>
      <c r="JAR244"/>
      <c r="JAS244"/>
      <c r="JAT244"/>
      <c r="JAU244"/>
      <c r="JAV244"/>
      <c r="JAW244"/>
      <c r="JAX244"/>
      <c r="JAY244"/>
      <c r="JAZ244"/>
      <c r="JBA244"/>
      <c r="JBB244"/>
      <c r="JBC244"/>
      <c r="JBD244"/>
      <c r="JBE244"/>
      <c r="JBF244"/>
      <c r="JBG244"/>
      <c r="JBH244"/>
      <c r="JBI244"/>
      <c r="JBJ244"/>
      <c r="JBK244"/>
      <c r="JBL244"/>
      <c r="JBM244"/>
      <c r="JBN244"/>
      <c r="JBO244"/>
      <c r="JBP244"/>
      <c r="JBQ244"/>
      <c r="JBR244"/>
      <c r="JBS244"/>
      <c r="JBT244"/>
      <c r="JBU244"/>
      <c r="JBV244"/>
      <c r="JBW244"/>
      <c r="JBX244"/>
      <c r="JBY244"/>
      <c r="JBZ244"/>
      <c r="JCA244"/>
      <c r="JCB244"/>
      <c r="JCC244"/>
      <c r="JCD244"/>
      <c r="JCE244"/>
      <c r="JCF244"/>
      <c r="JCG244"/>
      <c r="JCH244"/>
      <c r="JCI244"/>
      <c r="JCJ244"/>
      <c r="JCK244"/>
      <c r="JCL244"/>
      <c r="JCM244"/>
      <c r="JCN244"/>
      <c r="JCO244"/>
      <c r="JCP244"/>
      <c r="JCQ244"/>
      <c r="JCR244"/>
      <c r="JCS244"/>
      <c r="JCT244"/>
      <c r="JCU244"/>
      <c r="JCV244"/>
      <c r="JCW244"/>
      <c r="JCX244"/>
      <c r="JCY244"/>
      <c r="JCZ244"/>
      <c r="JDA244"/>
      <c r="JDB244"/>
      <c r="JDC244"/>
      <c r="JDD244"/>
      <c r="JDE244"/>
      <c r="JDF244"/>
      <c r="JDG244"/>
      <c r="JDH244"/>
      <c r="JDI244"/>
      <c r="JDJ244"/>
      <c r="JDK244"/>
      <c r="JDL244"/>
      <c r="JDM244"/>
      <c r="JDN244"/>
      <c r="JDO244"/>
      <c r="JDP244"/>
      <c r="JDQ244"/>
      <c r="JDR244"/>
      <c r="JDS244"/>
      <c r="JDT244"/>
      <c r="JDU244"/>
      <c r="JDV244"/>
      <c r="JDW244"/>
      <c r="JDX244"/>
      <c r="JDY244"/>
      <c r="JDZ244"/>
      <c r="JEA244"/>
      <c r="JEB244"/>
      <c r="JEC244"/>
      <c r="JED244"/>
      <c r="JEE244"/>
      <c r="JEF244"/>
      <c r="JEG244"/>
      <c r="JEH244"/>
      <c r="JEI244"/>
      <c r="JEJ244"/>
      <c r="JEK244"/>
      <c r="JEL244"/>
      <c r="JEM244"/>
      <c r="JEN244"/>
      <c r="JEO244"/>
      <c r="JEP244"/>
      <c r="JEQ244"/>
      <c r="JER244"/>
      <c r="JES244"/>
      <c r="JET244"/>
      <c r="JEU244"/>
      <c r="JEV244"/>
      <c r="JEW244"/>
      <c r="JEX244"/>
      <c r="JEY244"/>
      <c r="JEZ244"/>
      <c r="JFA244"/>
      <c r="JFB244"/>
      <c r="JFC244"/>
      <c r="JFD244"/>
      <c r="JFE244"/>
      <c r="JFF244"/>
      <c r="JFG244"/>
      <c r="JFH244"/>
      <c r="JFI244"/>
      <c r="JFJ244"/>
      <c r="JFK244"/>
      <c r="JFL244"/>
      <c r="JFM244"/>
      <c r="JFN244"/>
      <c r="JFO244"/>
      <c r="JFP244"/>
      <c r="JFQ244"/>
      <c r="JFR244"/>
      <c r="JFS244"/>
      <c r="JFT244"/>
      <c r="JFU244"/>
      <c r="JFV244"/>
      <c r="JFW244"/>
      <c r="JFX244"/>
      <c r="JFY244"/>
      <c r="JFZ244"/>
      <c r="JGA244"/>
      <c r="JGB244"/>
      <c r="JGC244"/>
      <c r="JGD244"/>
      <c r="JGE244"/>
      <c r="JGF244"/>
      <c r="JGG244"/>
      <c r="JGH244"/>
      <c r="JGI244"/>
      <c r="JGJ244"/>
      <c r="JGK244"/>
      <c r="JGL244"/>
      <c r="JGM244"/>
      <c r="JGN244"/>
      <c r="JGO244"/>
      <c r="JGP244"/>
      <c r="JGQ244"/>
      <c r="JGR244"/>
      <c r="JGS244"/>
      <c r="JGT244"/>
      <c r="JGU244"/>
      <c r="JGV244"/>
      <c r="JGW244"/>
      <c r="JGX244"/>
      <c r="JGY244"/>
      <c r="JGZ244"/>
      <c r="JHA244"/>
      <c r="JHB244"/>
      <c r="JHC244"/>
      <c r="JHD244"/>
      <c r="JHE244"/>
      <c r="JHF244"/>
      <c r="JHG244"/>
      <c r="JHH244"/>
      <c r="JHI244"/>
      <c r="JHJ244"/>
      <c r="JHK244"/>
      <c r="JHL244"/>
      <c r="JHM244"/>
      <c r="JHN244"/>
      <c r="JHO244"/>
      <c r="JHP244"/>
      <c r="JHQ244"/>
      <c r="JHR244"/>
      <c r="JHS244"/>
      <c r="JHT244"/>
      <c r="JHU244"/>
      <c r="JHV244"/>
      <c r="JHW244"/>
      <c r="JHX244"/>
      <c r="JHY244"/>
      <c r="JHZ244"/>
      <c r="JIA244"/>
      <c r="JIB244"/>
      <c r="JIC244"/>
      <c r="JID244"/>
      <c r="JIE244"/>
      <c r="JIF244"/>
      <c r="JIG244"/>
      <c r="JIH244"/>
      <c r="JII244"/>
      <c r="JIJ244"/>
      <c r="JIK244"/>
      <c r="JIL244"/>
      <c r="JIM244"/>
      <c r="JIN244"/>
      <c r="JIO244"/>
      <c r="JIP244"/>
      <c r="JIQ244"/>
      <c r="JIR244"/>
      <c r="JIS244"/>
      <c r="JIT244"/>
      <c r="JIU244"/>
      <c r="JIV244"/>
      <c r="JIW244"/>
      <c r="JIX244"/>
      <c r="JIY244"/>
      <c r="JIZ244"/>
      <c r="JJA244"/>
      <c r="JJB244"/>
      <c r="JJC244"/>
      <c r="JJD244"/>
      <c r="JJE244"/>
      <c r="JJF244"/>
      <c r="JJG244"/>
      <c r="JJH244"/>
      <c r="JJI244"/>
      <c r="JJJ244"/>
      <c r="JJK244"/>
      <c r="JJL244"/>
      <c r="JJM244"/>
      <c r="JJN244"/>
      <c r="JJO244"/>
      <c r="JJP244"/>
      <c r="JJQ244"/>
      <c r="JJR244"/>
      <c r="JJS244"/>
      <c r="JJT244"/>
      <c r="JJU244"/>
      <c r="JJV244"/>
      <c r="JJW244"/>
      <c r="JJX244"/>
      <c r="JJY244"/>
      <c r="JJZ244"/>
      <c r="JKA244"/>
      <c r="JKB244"/>
      <c r="JKC244"/>
      <c r="JKD244"/>
      <c r="JKE244"/>
      <c r="JKF244"/>
      <c r="JKG244"/>
      <c r="JKH244"/>
      <c r="JKI244"/>
      <c r="JKJ244"/>
      <c r="JKK244"/>
      <c r="JKL244"/>
      <c r="JKM244"/>
      <c r="JKN244"/>
      <c r="JKO244"/>
      <c r="JKP244"/>
      <c r="JKQ244"/>
      <c r="JKR244"/>
      <c r="JKS244"/>
      <c r="JKT244"/>
      <c r="JKU244"/>
      <c r="JKV244"/>
      <c r="JKW244"/>
      <c r="JKX244"/>
      <c r="JKY244"/>
      <c r="JKZ244"/>
      <c r="JLA244"/>
      <c r="JLB244"/>
      <c r="JLC244"/>
      <c r="JLD244"/>
      <c r="JLE244"/>
      <c r="JLF244"/>
      <c r="JLG244"/>
      <c r="JLH244"/>
      <c r="JLI244"/>
      <c r="JLJ244"/>
      <c r="JLK244"/>
      <c r="JLL244"/>
      <c r="JLM244"/>
      <c r="JLN244"/>
      <c r="JLO244"/>
      <c r="JLP244"/>
      <c r="JLQ244"/>
      <c r="JLR244"/>
      <c r="JLS244"/>
      <c r="JLT244"/>
      <c r="JLU244"/>
      <c r="JLV244"/>
      <c r="JLW244"/>
      <c r="JLX244"/>
      <c r="JLY244"/>
      <c r="JLZ244"/>
      <c r="JMA244"/>
      <c r="JMB244"/>
      <c r="JMC244"/>
      <c r="JMD244"/>
      <c r="JME244"/>
      <c r="JMF244"/>
      <c r="JMG244"/>
      <c r="JMH244"/>
      <c r="JMI244"/>
      <c r="JMJ244"/>
      <c r="JMK244"/>
      <c r="JML244"/>
      <c r="JMM244"/>
      <c r="JMN244"/>
      <c r="JMO244"/>
      <c r="JMP244"/>
      <c r="JMQ244"/>
      <c r="JMR244"/>
      <c r="JMS244"/>
      <c r="JMT244"/>
      <c r="JMU244"/>
      <c r="JMV244"/>
      <c r="JMW244"/>
      <c r="JMX244"/>
      <c r="JMY244"/>
      <c r="JMZ244"/>
      <c r="JNA244"/>
      <c r="JNB244"/>
      <c r="JNC244"/>
      <c r="JND244"/>
      <c r="JNE244"/>
      <c r="JNF244"/>
      <c r="JNG244"/>
      <c r="JNH244"/>
      <c r="JNI244"/>
      <c r="JNJ244"/>
      <c r="JNK244"/>
      <c r="JNL244"/>
      <c r="JNM244"/>
      <c r="JNN244"/>
      <c r="JNO244"/>
      <c r="JNP244"/>
      <c r="JNQ244"/>
      <c r="JNR244"/>
      <c r="JNS244"/>
      <c r="JNT244"/>
      <c r="JNU244"/>
      <c r="JNV244"/>
      <c r="JNW244"/>
      <c r="JNX244"/>
      <c r="JNY244"/>
      <c r="JNZ244"/>
      <c r="JOA244"/>
      <c r="JOB244"/>
      <c r="JOC244"/>
      <c r="JOD244"/>
      <c r="JOE244"/>
      <c r="JOF244"/>
      <c r="JOG244"/>
      <c r="JOH244"/>
      <c r="JOI244"/>
      <c r="JOJ244"/>
      <c r="JOK244"/>
      <c r="JOL244"/>
      <c r="JOM244"/>
      <c r="JON244"/>
      <c r="JOO244"/>
      <c r="JOP244"/>
      <c r="JOQ244"/>
      <c r="JOR244"/>
      <c r="JOS244"/>
      <c r="JOT244"/>
      <c r="JOU244"/>
      <c r="JOV244"/>
      <c r="JOW244"/>
      <c r="JOX244"/>
      <c r="JOY244"/>
      <c r="JOZ244"/>
      <c r="JPA244"/>
      <c r="JPB244"/>
      <c r="JPC244"/>
      <c r="JPD244"/>
      <c r="JPE244"/>
      <c r="JPF244"/>
      <c r="JPG244"/>
      <c r="JPH244"/>
      <c r="JPI244"/>
      <c r="JPJ244"/>
      <c r="JPK244"/>
      <c r="JPL244"/>
      <c r="JPM244"/>
      <c r="JPN244"/>
      <c r="JPO244"/>
      <c r="JPP244"/>
      <c r="JPQ244"/>
      <c r="JPR244"/>
      <c r="JPS244"/>
      <c r="JPT244"/>
      <c r="JPU244"/>
      <c r="JPV244"/>
      <c r="JPW244"/>
      <c r="JPX244"/>
      <c r="JPY244"/>
      <c r="JPZ244"/>
      <c r="JQA244"/>
      <c r="JQB244"/>
      <c r="JQC244"/>
      <c r="JQD244"/>
      <c r="JQE244"/>
      <c r="JQF244"/>
      <c r="JQG244"/>
      <c r="JQH244"/>
      <c r="JQI244"/>
      <c r="JQJ244"/>
      <c r="JQK244"/>
      <c r="JQL244"/>
      <c r="JQM244"/>
      <c r="JQN244"/>
      <c r="JQO244"/>
      <c r="JQP244"/>
      <c r="JQQ244"/>
      <c r="JQR244"/>
      <c r="JQS244"/>
      <c r="JQT244"/>
      <c r="JQU244"/>
      <c r="JQV244"/>
      <c r="JQW244"/>
      <c r="JQX244"/>
      <c r="JQY244"/>
      <c r="JQZ244"/>
      <c r="JRA244"/>
      <c r="JRB244"/>
      <c r="JRC244"/>
      <c r="JRD244"/>
      <c r="JRE244"/>
      <c r="JRF244"/>
      <c r="JRG244"/>
      <c r="JRH244"/>
      <c r="JRI244"/>
      <c r="JRJ244"/>
      <c r="JRK244"/>
      <c r="JRL244"/>
      <c r="JRM244"/>
      <c r="JRN244"/>
      <c r="JRO244"/>
      <c r="JRP244"/>
      <c r="JRQ244"/>
      <c r="JRR244"/>
      <c r="JRS244"/>
      <c r="JRT244"/>
      <c r="JRU244"/>
      <c r="JRV244"/>
      <c r="JRW244"/>
      <c r="JRX244"/>
      <c r="JRY244"/>
      <c r="JRZ244"/>
      <c r="JSA244"/>
      <c r="JSB244"/>
      <c r="JSC244"/>
      <c r="JSD244"/>
      <c r="JSE244"/>
      <c r="JSF244"/>
      <c r="JSG244"/>
      <c r="JSH244"/>
      <c r="JSI244"/>
      <c r="JSJ244"/>
      <c r="JSK244"/>
      <c r="JSL244"/>
      <c r="JSM244"/>
      <c r="JSN244"/>
      <c r="JSO244"/>
      <c r="JSP244"/>
      <c r="JSQ244"/>
      <c r="JSR244"/>
      <c r="JSS244"/>
      <c r="JST244"/>
      <c r="JSU244"/>
      <c r="JSV244"/>
      <c r="JSW244"/>
      <c r="JSX244"/>
      <c r="JSY244"/>
      <c r="JSZ244"/>
      <c r="JTA244"/>
      <c r="JTB244"/>
      <c r="JTC244"/>
      <c r="JTD244"/>
      <c r="JTE244"/>
      <c r="JTF244"/>
      <c r="JTG244"/>
      <c r="JTH244"/>
      <c r="JTI244"/>
      <c r="JTJ244"/>
      <c r="JTK244"/>
      <c r="JTL244"/>
      <c r="JTM244"/>
      <c r="JTN244"/>
      <c r="JTO244"/>
      <c r="JTP244"/>
      <c r="JTQ244"/>
      <c r="JTR244"/>
      <c r="JTS244"/>
      <c r="JTT244"/>
      <c r="JTU244"/>
      <c r="JTV244"/>
      <c r="JTW244"/>
      <c r="JTX244"/>
      <c r="JTY244"/>
      <c r="JTZ244"/>
      <c r="JUA244"/>
      <c r="JUB244"/>
      <c r="JUC244"/>
      <c r="JUD244"/>
      <c r="JUE244"/>
      <c r="JUF244"/>
      <c r="JUG244"/>
      <c r="JUH244"/>
      <c r="JUI244"/>
      <c r="JUJ244"/>
      <c r="JUK244"/>
      <c r="JUL244"/>
      <c r="JUM244"/>
      <c r="JUN244"/>
      <c r="JUO244"/>
      <c r="JUP244"/>
      <c r="JUQ244"/>
      <c r="JUR244"/>
      <c r="JUS244"/>
      <c r="JUT244"/>
      <c r="JUU244"/>
      <c r="JUV244"/>
      <c r="JUW244"/>
      <c r="JUX244"/>
      <c r="JUY244"/>
      <c r="JUZ244"/>
      <c r="JVA244"/>
      <c r="JVB244"/>
      <c r="JVC244"/>
      <c r="JVD244"/>
      <c r="JVE244"/>
      <c r="JVF244"/>
      <c r="JVG244"/>
      <c r="JVH244"/>
      <c r="JVI244"/>
      <c r="JVJ244"/>
      <c r="JVK244"/>
      <c r="JVL244"/>
      <c r="JVM244"/>
      <c r="JVN244"/>
      <c r="JVO244"/>
      <c r="JVP244"/>
      <c r="JVQ244"/>
      <c r="JVR244"/>
      <c r="JVS244"/>
      <c r="JVT244"/>
      <c r="JVU244"/>
      <c r="JVV244"/>
      <c r="JVW244"/>
      <c r="JVX244"/>
      <c r="JVY244"/>
      <c r="JVZ244"/>
      <c r="JWA244"/>
      <c r="JWB244"/>
      <c r="JWC244"/>
      <c r="JWD244"/>
      <c r="JWE244"/>
      <c r="JWF244"/>
      <c r="JWG244"/>
      <c r="JWH244"/>
      <c r="JWI244"/>
      <c r="JWJ244"/>
      <c r="JWK244"/>
      <c r="JWL244"/>
      <c r="JWM244"/>
      <c r="JWN244"/>
      <c r="JWO244"/>
      <c r="JWP244"/>
      <c r="JWQ244"/>
      <c r="JWR244"/>
      <c r="JWS244"/>
      <c r="JWT244"/>
      <c r="JWU244"/>
      <c r="JWV244"/>
      <c r="JWW244"/>
      <c r="JWX244"/>
      <c r="JWY244"/>
      <c r="JWZ244"/>
      <c r="JXA244"/>
      <c r="JXB244"/>
      <c r="JXC244"/>
      <c r="JXD244"/>
      <c r="JXE244"/>
      <c r="JXF244"/>
      <c r="JXG244"/>
      <c r="JXH244"/>
      <c r="JXI244"/>
      <c r="JXJ244"/>
      <c r="JXK244"/>
      <c r="JXL244"/>
      <c r="JXM244"/>
      <c r="JXN244"/>
      <c r="JXO244"/>
      <c r="JXP244"/>
      <c r="JXQ244"/>
      <c r="JXR244"/>
      <c r="JXS244"/>
      <c r="JXT244"/>
      <c r="JXU244"/>
      <c r="JXV244"/>
      <c r="JXW244"/>
      <c r="JXX244"/>
      <c r="JXY244"/>
      <c r="JXZ244"/>
      <c r="JYA244"/>
      <c r="JYB244"/>
      <c r="JYC244"/>
      <c r="JYD244"/>
      <c r="JYE244"/>
      <c r="JYF244"/>
      <c r="JYG244"/>
      <c r="JYH244"/>
      <c r="JYI244"/>
      <c r="JYJ244"/>
      <c r="JYK244"/>
      <c r="JYL244"/>
      <c r="JYM244"/>
      <c r="JYN244"/>
      <c r="JYO244"/>
      <c r="JYP244"/>
      <c r="JYQ244"/>
      <c r="JYR244"/>
      <c r="JYS244"/>
      <c r="JYT244"/>
      <c r="JYU244"/>
      <c r="JYV244"/>
      <c r="JYW244"/>
      <c r="JYX244"/>
      <c r="JYY244"/>
      <c r="JYZ244"/>
      <c r="JZA244"/>
      <c r="JZB244"/>
      <c r="JZC244"/>
      <c r="JZD244"/>
      <c r="JZE244"/>
      <c r="JZF244"/>
      <c r="JZG244"/>
      <c r="JZH244"/>
      <c r="JZI244"/>
      <c r="JZJ244"/>
      <c r="JZK244"/>
      <c r="JZL244"/>
      <c r="JZM244"/>
      <c r="JZN244"/>
      <c r="JZO244"/>
      <c r="JZP244"/>
      <c r="JZQ244"/>
      <c r="JZR244"/>
      <c r="JZS244"/>
      <c r="JZT244"/>
      <c r="JZU244"/>
      <c r="JZV244"/>
      <c r="JZW244"/>
      <c r="JZX244"/>
      <c r="JZY244"/>
      <c r="JZZ244"/>
      <c r="KAA244"/>
      <c r="KAB244"/>
      <c r="KAC244"/>
      <c r="KAD244"/>
      <c r="KAE244"/>
      <c r="KAF244"/>
      <c r="KAG244"/>
      <c r="KAH244"/>
      <c r="KAI244"/>
      <c r="KAJ244"/>
      <c r="KAK244"/>
      <c r="KAL244"/>
      <c r="KAM244"/>
      <c r="KAN244"/>
      <c r="KAO244"/>
      <c r="KAP244"/>
      <c r="KAQ244"/>
      <c r="KAR244"/>
      <c r="KAS244"/>
      <c r="KAT244"/>
      <c r="KAU244"/>
      <c r="KAV244"/>
      <c r="KAW244"/>
      <c r="KAX244"/>
      <c r="KAY244"/>
      <c r="KAZ244"/>
      <c r="KBA244"/>
      <c r="KBB244"/>
      <c r="KBC244"/>
      <c r="KBD244"/>
      <c r="KBE244"/>
      <c r="KBF244"/>
      <c r="KBG244"/>
      <c r="KBH244"/>
      <c r="KBI244"/>
      <c r="KBJ244"/>
      <c r="KBK244"/>
      <c r="KBL244"/>
      <c r="KBM244"/>
      <c r="KBN244"/>
      <c r="KBO244"/>
      <c r="KBP244"/>
      <c r="KBQ244"/>
      <c r="KBR244"/>
      <c r="KBS244"/>
      <c r="KBT244"/>
      <c r="KBU244"/>
      <c r="KBV244"/>
      <c r="KBW244"/>
      <c r="KBX244"/>
      <c r="KBY244"/>
      <c r="KBZ244"/>
      <c r="KCA244"/>
      <c r="KCB244"/>
      <c r="KCC244"/>
      <c r="KCD244"/>
      <c r="KCE244"/>
      <c r="KCF244"/>
      <c r="KCG244"/>
      <c r="KCH244"/>
      <c r="KCI244"/>
      <c r="KCJ244"/>
      <c r="KCK244"/>
      <c r="KCL244"/>
      <c r="KCM244"/>
      <c r="KCN244"/>
      <c r="KCO244"/>
      <c r="KCP244"/>
      <c r="KCQ244"/>
      <c r="KCR244"/>
      <c r="KCS244"/>
      <c r="KCT244"/>
      <c r="KCU244"/>
      <c r="KCV244"/>
      <c r="KCW244"/>
      <c r="KCX244"/>
      <c r="KCY244"/>
      <c r="KCZ244"/>
      <c r="KDA244"/>
      <c r="KDB244"/>
      <c r="KDC244"/>
      <c r="KDD244"/>
      <c r="KDE244"/>
      <c r="KDF244"/>
      <c r="KDG244"/>
      <c r="KDH244"/>
      <c r="KDI244"/>
      <c r="KDJ244"/>
      <c r="KDK244"/>
      <c r="KDL244"/>
      <c r="KDM244"/>
      <c r="KDN244"/>
      <c r="KDO244"/>
      <c r="KDP244"/>
      <c r="KDQ244"/>
      <c r="KDR244"/>
      <c r="KDS244"/>
      <c r="KDT244"/>
      <c r="KDU244"/>
      <c r="KDV244"/>
      <c r="KDW244"/>
      <c r="KDX244"/>
      <c r="KDY244"/>
      <c r="KDZ244"/>
      <c r="KEA244"/>
      <c r="KEB244"/>
      <c r="KEC244"/>
      <c r="KED244"/>
      <c r="KEE244"/>
      <c r="KEF244"/>
      <c r="KEG244"/>
      <c r="KEH244"/>
      <c r="KEI244"/>
      <c r="KEJ244"/>
      <c r="KEK244"/>
      <c r="KEL244"/>
      <c r="KEM244"/>
      <c r="KEN244"/>
      <c r="KEO244"/>
      <c r="KEP244"/>
      <c r="KEQ244"/>
      <c r="KER244"/>
      <c r="KES244"/>
      <c r="KET244"/>
      <c r="KEU244"/>
      <c r="KEV244"/>
      <c r="KEW244"/>
      <c r="KEX244"/>
      <c r="KEY244"/>
      <c r="KEZ244"/>
      <c r="KFA244"/>
      <c r="KFB244"/>
      <c r="KFC244"/>
      <c r="KFD244"/>
      <c r="KFE244"/>
      <c r="KFF244"/>
      <c r="KFG244"/>
      <c r="KFH244"/>
      <c r="KFI244"/>
      <c r="KFJ244"/>
      <c r="KFK244"/>
      <c r="KFL244"/>
      <c r="KFM244"/>
      <c r="KFN244"/>
      <c r="KFO244"/>
      <c r="KFP244"/>
      <c r="KFQ244"/>
      <c r="KFR244"/>
      <c r="KFS244"/>
      <c r="KFT244"/>
      <c r="KFU244"/>
      <c r="KFV244"/>
      <c r="KFW244"/>
      <c r="KFX244"/>
      <c r="KFY244"/>
      <c r="KFZ244"/>
      <c r="KGA244"/>
      <c r="KGB244"/>
      <c r="KGC244"/>
      <c r="KGD244"/>
      <c r="KGE244"/>
      <c r="KGF244"/>
      <c r="KGG244"/>
      <c r="KGH244"/>
      <c r="KGI244"/>
      <c r="KGJ244"/>
      <c r="KGK244"/>
      <c r="KGL244"/>
      <c r="KGM244"/>
      <c r="KGN244"/>
      <c r="KGO244"/>
      <c r="KGP244"/>
      <c r="KGQ244"/>
      <c r="KGR244"/>
      <c r="KGS244"/>
      <c r="KGT244"/>
      <c r="KGU244"/>
      <c r="KGV244"/>
      <c r="KGW244"/>
      <c r="KGX244"/>
      <c r="KGY244"/>
      <c r="KGZ244"/>
      <c r="KHA244"/>
      <c r="KHB244"/>
      <c r="KHC244"/>
      <c r="KHD244"/>
      <c r="KHE244"/>
      <c r="KHF244"/>
      <c r="KHG244"/>
      <c r="KHH244"/>
      <c r="KHI244"/>
      <c r="KHJ244"/>
      <c r="KHK244"/>
      <c r="KHL244"/>
      <c r="KHM244"/>
      <c r="KHN244"/>
      <c r="KHO244"/>
      <c r="KHP244"/>
      <c r="KHQ244"/>
      <c r="KHR244"/>
      <c r="KHS244"/>
      <c r="KHT244"/>
      <c r="KHU244"/>
      <c r="KHV244"/>
      <c r="KHW244"/>
      <c r="KHX244"/>
      <c r="KHY244"/>
      <c r="KHZ244"/>
      <c r="KIA244"/>
      <c r="KIB244"/>
      <c r="KIC244"/>
      <c r="KID244"/>
      <c r="KIE244"/>
      <c r="KIF244"/>
      <c r="KIG244"/>
      <c r="KIH244"/>
      <c r="KII244"/>
      <c r="KIJ244"/>
      <c r="KIK244"/>
      <c r="KIL244"/>
      <c r="KIM244"/>
      <c r="KIN244"/>
      <c r="KIO244"/>
      <c r="KIP244"/>
      <c r="KIQ244"/>
      <c r="KIR244"/>
      <c r="KIS244"/>
      <c r="KIT244"/>
      <c r="KIU244"/>
      <c r="KIV244"/>
      <c r="KIW244"/>
      <c r="KIX244"/>
      <c r="KIY244"/>
      <c r="KIZ244"/>
      <c r="KJA244"/>
      <c r="KJB244"/>
      <c r="KJC244"/>
      <c r="KJD244"/>
      <c r="KJE244"/>
      <c r="KJF244"/>
      <c r="KJG244"/>
      <c r="KJH244"/>
      <c r="KJI244"/>
      <c r="KJJ244"/>
      <c r="KJK244"/>
      <c r="KJL244"/>
      <c r="KJM244"/>
      <c r="KJN244"/>
      <c r="KJO244"/>
      <c r="KJP244"/>
      <c r="KJQ244"/>
      <c r="KJR244"/>
      <c r="KJS244"/>
      <c r="KJT244"/>
      <c r="KJU244"/>
      <c r="KJV244"/>
      <c r="KJW244"/>
      <c r="KJX244"/>
      <c r="KJY244"/>
      <c r="KJZ244"/>
      <c r="KKA244"/>
      <c r="KKB244"/>
      <c r="KKC244"/>
      <c r="KKD244"/>
      <c r="KKE244"/>
      <c r="KKF244"/>
      <c r="KKG244"/>
      <c r="KKH244"/>
      <c r="KKI244"/>
      <c r="KKJ244"/>
      <c r="KKK244"/>
      <c r="KKL244"/>
      <c r="KKM244"/>
      <c r="KKN244"/>
      <c r="KKO244"/>
      <c r="KKP244"/>
      <c r="KKQ244"/>
      <c r="KKR244"/>
      <c r="KKS244"/>
      <c r="KKT244"/>
      <c r="KKU244"/>
      <c r="KKV244"/>
      <c r="KKW244"/>
      <c r="KKX244"/>
      <c r="KKY244"/>
      <c r="KKZ244"/>
      <c r="KLA244"/>
      <c r="KLB244"/>
      <c r="KLC244"/>
      <c r="KLD244"/>
      <c r="KLE244"/>
      <c r="KLF244"/>
      <c r="KLG244"/>
      <c r="KLH244"/>
      <c r="KLI244"/>
      <c r="KLJ244"/>
      <c r="KLK244"/>
      <c r="KLL244"/>
      <c r="KLM244"/>
      <c r="KLN244"/>
      <c r="KLO244"/>
      <c r="KLP244"/>
      <c r="KLQ244"/>
      <c r="KLR244"/>
      <c r="KLS244"/>
      <c r="KLT244"/>
      <c r="KLU244"/>
      <c r="KLV244"/>
      <c r="KLW244"/>
      <c r="KLX244"/>
      <c r="KLY244"/>
      <c r="KLZ244"/>
      <c r="KMA244"/>
      <c r="KMB244"/>
      <c r="KMC244"/>
      <c r="KMD244"/>
      <c r="KME244"/>
      <c r="KMF244"/>
      <c r="KMG244"/>
      <c r="KMH244"/>
      <c r="KMI244"/>
      <c r="KMJ244"/>
      <c r="KMK244"/>
      <c r="KML244"/>
      <c r="KMM244"/>
      <c r="KMN244"/>
      <c r="KMO244"/>
      <c r="KMP244"/>
      <c r="KMQ244"/>
      <c r="KMR244"/>
      <c r="KMS244"/>
      <c r="KMT244"/>
      <c r="KMU244"/>
      <c r="KMV244"/>
      <c r="KMW244"/>
      <c r="KMX244"/>
      <c r="KMY244"/>
      <c r="KMZ244"/>
      <c r="KNA244"/>
      <c r="KNB244"/>
      <c r="KNC244"/>
      <c r="KND244"/>
      <c r="KNE244"/>
      <c r="KNF244"/>
      <c r="KNG244"/>
      <c r="KNH244"/>
      <c r="KNI244"/>
      <c r="KNJ244"/>
      <c r="KNK244"/>
      <c r="KNL244"/>
      <c r="KNM244"/>
      <c r="KNN244"/>
      <c r="KNO244"/>
      <c r="KNP244"/>
      <c r="KNQ244"/>
      <c r="KNR244"/>
      <c r="KNS244"/>
      <c r="KNT244"/>
      <c r="KNU244"/>
      <c r="KNV244"/>
      <c r="KNW244"/>
      <c r="KNX244"/>
      <c r="KNY244"/>
      <c r="KNZ244"/>
      <c r="KOA244"/>
      <c r="KOB244"/>
      <c r="KOC244"/>
      <c r="KOD244"/>
      <c r="KOE244"/>
      <c r="KOF244"/>
      <c r="KOG244"/>
      <c r="KOH244"/>
      <c r="KOI244"/>
      <c r="KOJ244"/>
      <c r="KOK244"/>
      <c r="KOL244"/>
      <c r="KOM244"/>
      <c r="KON244"/>
      <c r="KOO244"/>
      <c r="KOP244"/>
      <c r="KOQ244"/>
      <c r="KOR244"/>
      <c r="KOS244"/>
      <c r="KOT244"/>
      <c r="KOU244"/>
      <c r="KOV244"/>
      <c r="KOW244"/>
      <c r="KOX244"/>
      <c r="KOY244"/>
      <c r="KOZ244"/>
      <c r="KPA244"/>
      <c r="KPB244"/>
      <c r="KPC244"/>
      <c r="KPD244"/>
      <c r="KPE244"/>
      <c r="KPF244"/>
      <c r="KPG244"/>
      <c r="KPH244"/>
      <c r="KPI244"/>
      <c r="KPJ244"/>
      <c r="KPK244"/>
      <c r="KPL244"/>
      <c r="KPM244"/>
      <c r="KPN244"/>
      <c r="KPO244"/>
      <c r="KPP244"/>
      <c r="KPQ244"/>
      <c r="KPR244"/>
      <c r="KPS244"/>
      <c r="KPT244"/>
      <c r="KPU244"/>
      <c r="KPV244"/>
      <c r="KPW244"/>
      <c r="KPX244"/>
      <c r="KPY244"/>
      <c r="KPZ244"/>
      <c r="KQA244"/>
      <c r="KQB244"/>
      <c r="KQC244"/>
      <c r="KQD244"/>
      <c r="KQE244"/>
      <c r="KQF244"/>
      <c r="KQG244"/>
      <c r="KQH244"/>
      <c r="KQI244"/>
      <c r="KQJ244"/>
      <c r="KQK244"/>
      <c r="KQL244"/>
      <c r="KQM244"/>
      <c r="KQN244"/>
      <c r="KQO244"/>
      <c r="KQP244"/>
      <c r="KQQ244"/>
      <c r="KQR244"/>
      <c r="KQS244"/>
      <c r="KQT244"/>
      <c r="KQU244"/>
      <c r="KQV244"/>
      <c r="KQW244"/>
      <c r="KQX244"/>
      <c r="KQY244"/>
      <c r="KQZ244"/>
      <c r="KRA244"/>
      <c r="KRB244"/>
      <c r="KRC244"/>
      <c r="KRD244"/>
      <c r="KRE244"/>
      <c r="KRF244"/>
      <c r="KRG244"/>
      <c r="KRH244"/>
      <c r="KRI244"/>
      <c r="KRJ244"/>
      <c r="KRK244"/>
      <c r="KRL244"/>
      <c r="KRM244"/>
      <c r="KRN244"/>
      <c r="KRO244"/>
      <c r="KRP244"/>
      <c r="KRQ244"/>
      <c r="KRR244"/>
      <c r="KRS244"/>
      <c r="KRT244"/>
      <c r="KRU244"/>
      <c r="KRV244"/>
      <c r="KRW244"/>
      <c r="KRX244"/>
      <c r="KRY244"/>
      <c r="KRZ244"/>
      <c r="KSA244"/>
      <c r="KSB244"/>
      <c r="KSC244"/>
      <c r="KSD244"/>
      <c r="KSE244"/>
      <c r="KSF244"/>
      <c r="KSG244"/>
      <c r="KSH244"/>
      <c r="KSI244"/>
      <c r="KSJ244"/>
      <c r="KSK244"/>
      <c r="KSL244"/>
      <c r="KSM244"/>
      <c r="KSN244"/>
      <c r="KSO244"/>
      <c r="KSP244"/>
      <c r="KSQ244"/>
      <c r="KSR244"/>
      <c r="KSS244"/>
      <c r="KST244"/>
      <c r="KSU244"/>
      <c r="KSV244"/>
      <c r="KSW244"/>
      <c r="KSX244"/>
      <c r="KSY244"/>
      <c r="KSZ244"/>
      <c r="KTA244"/>
      <c r="KTB244"/>
      <c r="KTC244"/>
      <c r="KTD244"/>
      <c r="KTE244"/>
      <c r="KTF244"/>
      <c r="KTG244"/>
      <c r="KTH244"/>
      <c r="KTI244"/>
      <c r="KTJ244"/>
      <c r="KTK244"/>
      <c r="KTL244"/>
      <c r="KTM244"/>
      <c r="KTN244"/>
      <c r="KTO244"/>
      <c r="KTP244"/>
      <c r="KTQ244"/>
      <c r="KTR244"/>
      <c r="KTS244"/>
      <c r="KTT244"/>
      <c r="KTU244"/>
      <c r="KTV244"/>
      <c r="KTW244"/>
      <c r="KTX244"/>
      <c r="KTY244"/>
      <c r="KTZ244"/>
      <c r="KUA244"/>
      <c r="KUB244"/>
      <c r="KUC244"/>
      <c r="KUD244"/>
      <c r="KUE244"/>
      <c r="KUF244"/>
      <c r="KUG244"/>
      <c r="KUH244"/>
      <c r="KUI244"/>
      <c r="KUJ244"/>
      <c r="KUK244"/>
      <c r="KUL244"/>
      <c r="KUM244"/>
      <c r="KUN244"/>
      <c r="KUO244"/>
      <c r="KUP244"/>
      <c r="KUQ244"/>
      <c r="KUR244"/>
      <c r="KUS244"/>
      <c r="KUT244"/>
      <c r="KUU244"/>
      <c r="KUV244"/>
      <c r="KUW244"/>
      <c r="KUX244"/>
      <c r="KUY244"/>
      <c r="KUZ244"/>
      <c r="KVA244"/>
      <c r="KVB244"/>
      <c r="KVC244"/>
      <c r="KVD244"/>
      <c r="KVE244"/>
      <c r="KVF244"/>
      <c r="KVG244"/>
      <c r="KVH244"/>
      <c r="KVI244"/>
      <c r="KVJ244"/>
      <c r="KVK244"/>
      <c r="KVL244"/>
      <c r="KVM244"/>
      <c r="KVN244"/>
      <c r="KVO244"/>
      <c r="KVP244"/>
      <c r="KVQ244"/>
      <c r="KVR244"/>
      <c r="KVS244"/>
      <c r="KVT244"/>
      <c r="KVU244"/>
      <c r="KVV244"/>
      <c r="KVW244"/>
      <c r="KVX244"/>
      <c r="KVY244"/>
      <c r="KVZ244"/>
      <c r="KWA244"/>
      <c r="KWB244"/>
      <c r="KWC244"/>
      <c r="KWD244"/>
      <c r="KWE244"/>
      <c r="KWF244"/>
      <c r="KWG244"/>
      <c r="KWH244"/>
      <c r="KWI244"/>
      <c r="KWJ244"/>
      <c r="KWK244"/>
      <c r="KWL244"/>
      <c r="KWM244"/>
      <c r="KWN244"/>
      <c r="KWO244"/>
      <c r="KWP244"/>
      <c r="KWQ244"/>
      <c r="KWR244"/>
      <c r="KWS244"/>
      <c r="KWT244"/>
      <c r="KWU244"/>
      <c r="KWV244"/>
      <c r="KWW244"/>
      <c r="KWX244"/>
      <c r="KWY244"/>
      <c r="KWZ244"/>
      <c r="KXA244"/>
      <c r="KXB244"/>
      <c r="KXC244"/>
      <c r="KXD244"/>
      <c r="KXE244"/>
      <c r="KXF244"/>
      <c r="KXG244"/>
      <c r="KXH244"/>
      <c r="KXI244"/>
      <c r="KXJ244"/>
      <c r="KXK244"/>
      <c r="KXL244"/>
      <c r="KXM244"/>
      <c r="KXN244"/>
      <c r="KXO244"/>
      <c r="KXP244"/>
      <c r="KXQ244"/>
      <c r="KXR244"/>
      <c r="KXS244"/>
      <c r="KXT244"/>
      <c r="KXU244"/>
      <c r="KXV244"/>
      <c r="KXW244"/>
      <c r="KXX244"/>
      <c r="KXY244"/>
      <c r="KXZ244"/>
      <c r="KYA244"/>
      <c r="KYB244"/>
      <c r="KYC244"/>
      <c r="KYD244"/>
      <c r="KYE244"/>
      <c r="KYF244"/>
      <c r="KYG244"/>
      <c r="KYH244"/>
      <c r="KYI244"/>
      <c r="KYJ244"/>
      <c r="KYK244"/>
      <c r="KYL244"/>
      <c r="KYM244"/>
      <c r="KYN244"/>
      <c r="KYO244"/>
      <c r="KYP244"/>
      <c r="KYQ244"/>
      <c r="KYR244"/>
      <c r="KYS244"/>
      <c r="KYT244"/>
      <c r="KYU244"/>
      <c r="KYV244"/>
      <c r="KYW244"/>
      <c r="KYX244"/>
      <c r="KYY244"/>
      <c r="KYZ244"/>
      <c r="KZA244"/>
      <c r="KZB244"/>
      <c r="KZC244"/>
      <c r="KZD244"/>
      <c r="KZE244"/>
      <c r="KZF244"/>
      <c r="KZG244"/>
      <c r="KZH244"/>
      <c r="KZI244"/>
      <c r="KZJ244"/>
      <c r="KZK244"/>
      <c r="KZL244"/>
      <c r="KZM244"/>
      <c r="KZN244"/>
      <c r="KZO244"/>
      <c r="KZP244"/>
      <c r="KZQ244"/>
      <c r="KZR244"/>
      <c r="KZS244"/>
      <c r="KZT244"/>
      <c r="KZU244"/>
      <c r="KZV244"/>
      <c r="KZW244"/>
      <c r="KZX244"/>
      <c r="KZY244"/>
      <c r="KZZ244"/>
      <c r="LAA244"/>
      <c r="LAB244"/>
      <c r="LAC244"/>
      <c r="LAD244"/>
      <c r="LAE244"/>
      <c r="LAF244"/>
      <c r="LAG244"/>
      <c r="LAH244"/>
      <c r="LAI244"/>
      <c r="LAJ244"/>
      <c r="LAK244"/>
      <c r="LAL244"/>
      <c r="LAM244"/>
      <c r="LAN244"/>
      <c r="LAO244"/>
      <c r="LAP244"/>
      <c r="LAQ244"/>
      <c r="LAR244"/>
      <c r="LAS244"/>
      <c r="LAT244"/>
      <c r="LAU244"/>
      <c r="LAV244"/>
      <c r="LAW244"/>
      <c r="LAX244"/>
      <c r="LAY244"/>
      <c r="LAZ244"/>
      <c r="LBA244"/>
      <c r="LBB244"/>
      <c r="LBC244"/>
      <c r="LBD244"/>
      <c r="LBE244"/>
      <c r="LBF244"/>
      <c r="LBG244"/>
      <c r="LBH244"/>
      <c r="LBI244"/>
      <c r="LBJ244"/>
      <c r="LBK244"/>
      <c r="LBL244"/>
      <c r="LBM244"/>
      <c r="LBN244"/>
      <c r="LBO244"/>
      <c r="LBP244"/>
      <c r="LBQ244"/>
      <c r="LBR244"/>
      <c r="LBS244"/>
      <c r="LBT244"/>
      <c r="LBU244"/>
      <c r="LBV244"/>
      <c r="LBW244"/>
      <c r="LBX244"/>
      <c r="LBY244"/>
      <c r="LBZ244"/>
      <c r="LCA244"/>
      <c r="LCB244"/>
      <c r="LCC244"/>
      <c r="LCD244"/>
      <c r="LCE244"/>
      <c r="LCF244"/>
      <c r="LCG244"/>
      <c r="LCH244"/>
      <c r="LCI244"/>
      <c r="LCJ244"/>
      <c r="LCK244"/>
      <c r="LCL244"/>
      <c r="LCM244"/>
      <c r="LCN244"/>
      <c r="LCO244"/>
      <c r="LCP244"/>
      <c r="LCQ244"/>
      <c r="LCR244"/>
      <c r="LCS244"/>
      <c r="LCT244"/>
      <c r="LCU244"/>
      <c r="LCV244"/>
      <c r="LCW244"/>
      <c r="LCX244"/>
      <c r="LCY244"/>
      <c r="LCZ244"/>
      <c r="LDA244"/>
      <c r="LDB244"/>
      <c r="LDC244"/>
      <c r="LDD244"/>
      <c r="LDE244"/>
      <c r="LDF244"/>
      <c r="LDG244"/>
      <c r="LDH244"/>
      <c r="LDI244"/>
      <c r="LDJ244"/>
      <c r="LDK244"/>
      <c r="LDL244"/>
      <c r="LDM244"/>
      <c r="LDN244"/>
      <c r="LDO244"/>
      <c r="LDP244"/>
      <c r="LDQ244"/>
      <c r="LDR244"/>
      <c r="LDS244"/>
      <c r="LDT244"/>
      <c r="LDU244"/>
      <c r="LDV244"/>
      <c r="LDW244"/>
      <c r="LDX244"/>
      <c r="LDY244"/>
      <c r="LDZ244"/>
      <c r="LEA244"/>
      <c r="LEB244"/>
      <c r="LEC244"/>
      <c r="LED244"/>
      <c r="LEE244"/>
      <c r="LEF244"/>
      <c r="LEG244"/>
      <c r="LEH244"/>
      <c r="LEI244"/>
      <c r="LEJ244"/>
      <c r="LEK244"/>
      <c r="LEL244"/>
      <c r="LEM244"/>
      <c r="LEN244"/>
      <c r="LEO244"/>
      <c r="LEP244"/>
      <c r="LEQ244"/>
      <c r="LER244"/>
      <c r="LES244"/>
      <c r="LET244"/>
      <c r="LEU244"/>
      <c r="LEV244"/>
      <c r="LEW244"/>
      <c r="LEX244"/>
      <c r="LEY244"/>
      <c r="LEZ244"/>
      <c r="LFA244"/>
      <c r="LFB244"/>
      <c r="LFC244"/>
      <c r="LFD244"/>
      <c r="LFE244"/>
      <c r="LFF244"/>
      <c r="LFG244"/>
      <c r="LFH244"/>
      <c r="LFI244"/>
      <c r="LFJ244"/>
      <c r="LFK244"/>
      <c r="LFL244"/>
      <c r="LFM244"/>
      <c r="LFN244"/>
      <c r="LFO244"/>
      <c r="LFP244"/>
      <c r="LFQ244"/>
      <c r="LFR244"/>
      <c r="LFS244"/>
      <c r="LFT244"/>
      <c r="LFU244"/>
      <c r="LFV244"/>
      <c r="LFW244"/>
      <c r="LFX244"/>
      <c r="LFY244"/>
      <c r="LFZ244"/>
      <c r="LGA244"/>
      <c r="LGB244"/>
      <c r="LGC244"/>
      <c r="LGD244"/>
      <c r="LGE244"/>
      <c r="LGF244"/>
      <c r="LGG244"/>
      <c r="LGH244"/>
      <c r="LGI244"/>
      <c r="LGJ244"/>
      <c r="LGK244"/>
      <c r="LGL244"/>
      <c r="LGM244"/>
      <c r="LGN244"/>
      <c r="LGO244"/>
      <c r="LGP244"/>
      <c r="LGQ244"/>
      <c r="LGR244"/>
      <c r="LGS244"/>
      <c r="LGT244"/>
      <c r="LGU244"/>
      <c r="LGV244"/>
      <c r="LGW244"/>
      <c r="LGX244"/>
      <c r="LGY244"/>
      <c r="LGZ244"/>
      <c r="LHA244"/>
      <c r="LHB244"/>
      <c r="LHC244"/>
      <c r="LHD244"/>
      <c r="LHE244"/>
      <c r="LHF244"/>
      <c r="LHG244"/>
      <c r="LHH244"/>
      <c r="LHI244"/>
      <c r="LHJ244"/>
      <c r="LHK244"/>
      <c r="LHL244"/>
      <c r="LHM244"/>
      <c r="LHN244"/>
      <c r="LHO244"/>
      <c r="LHP244"/>
      <c r="LHQ244"/>
      <c r="LHR244"/>
      <c r="LHS244"/>
      <c r="LHT244"/>
      <c r="LHU244"/>
      <c r="LHV244"/>
      <c r="LHW244"/>
      <c r="LHX244"/>
      <c r="LHY244"/>
      <c r="LHZ244"/>
      <c r="LIA244"/>
      <c r="LIB244"/>
      <c r="LIC244"/>
      <c r="LID244"/>
      <c r="LIE244"/>
      <c r="LIF244"/>
      <c r="LIG244"/>
      <c r="LIH244"/>
      <c r="LII244"/>
      <c r="LIJ244"/>
      <c r="LIK244"/>
      <c r="LIL244"/>
      <c r="LIM244"/>
      <c r="LIN244"/>
      <c r="LIO244"/>
      <c r="LIP244"/>
      <c r="LIQ244"/>
      <c r="LIR244"/>
      <c r="LIS244"/>
      <c r="LIT244"/>
      <c r="LIU244"/>
      <c r="LIV244"/>
      <c r="LIW244"/>
      <c r="LIX244"/>
      <c r="LIY244"/>
      <c r="LIZ244"/>
      <c r="LJA244"/>
      <c r="LJB244"/>
      <c r="LJC244"/>
      <c r="LJD244"/>
      <c r="LJE244"/>
      <c r="LJF244"/>
      <c r="LJG244"/>
      <c r="LJH244"/>
      <c r="LJI244"/>
      <c r="LJJ244"/>
      <c r="LJK244"/>
      <c r="LJL244"/>
      <c r="LJM244"/>
      <c r="LJN244"/>
      <c r="LJO244"/>
      <c r="LJP244"/>
      <c r="LJQ244"/>
      <c r="LJR244"/>
      <c r="LJS244"/>
      <c r="LJT244"/>
      <c r="LJU244"/>
      <c r="LJV244"/>
      <c r="LJW244"/>
      <c r="LJX244"/>
      <c r="LJY244"/>
      <c r="LJZ244"/>
      <c r="LKA244"/>
      <c r="LKB244"/>
      <c r="LKC244"/>
      <c r="LKD244"/>
      <c r="LKE244"/>
      <c r="LKF244"/>
      <c r="LKG244"/>
      <c r="LKH244"/>
      <c r="LKI244"/>
      <c r="LKJ244"/>
      <c r="LKK244"/>
      <c r="LKL244"/>
      <c r="LKM244"/>
      <c r="LKN244"/>
      <c r="LKO244"/>
      <c r="LKP244"/>
      <c r="LKQ244"/>
      <c r="LKR244"/>
      <c r="LKS244"/>
      <c r="LKT244"/>
      <c r="LKU244"/>
      <c r="LKV244"/>
      <c r="LKW244"/>
      <c r="LKX244"/>
      <c r="LKY244"/>
      <c r="LKZ244"/>
      <c r="LLA244"/>
      <c r="LLB244"/>
      <c r="LLC244"/>
      <c r="LLD244"/>
      <c r="LLE244"/>
      <c r="LLF244"/>
      <c r="LLG244"/>
      <c r="LLH244"/>
      <c r="LLI244"/>
      <c r="LLJ244"/>
      <c r="LLK244"/>
      <c r="LLL244"/>
      <c r="LLM244"/>
      <c r="LLN244"/>
      <c r="LLO244"/>
      <c r="LLP244"/>
      <c r="LLQ244"/>
      <c r="LLR244"/>
      <c r="LLS244"/>
      <c r="LLT244"/>
      <c r="LLU244"/>
      <c r="LLV244"/>
      <c r="LLW244"/>
      <c r="LLX244"/>
      <c r="LLY244"/>
      <c r="LLZ244"/>
      <c r="LMA244"/>
      <c r="LMB244"/>
      <c r="LMC244"/>
      <c r="LMD244"/>
      <c r="LME244"/>
      <c r="LMF244"/>
      <c r="LMG244"/>
      <c r="LMH244"/>
      <c r="LMI244"/>
      <c r="LMJ244"/>
      <c r="LMK244"/>
      <c r="LML244"/>
      <c r="LMM244"/>
      <c r="LMN244"/>
      <c r="LMO244"/>
      <c r="LMP244"/>
      <c r="LMQ244"/>
      <c r="LMR244"/>
      <c r="LMS244"/>
      <c r="LMT244"/>
      <c r="LMU244"/>
      <c r="LMV244"/>
      <c r="LMW244"/>
      <c r="LMX244"/>
      <c r="LMY244"/>
      <c r="LMZ244"/>
      <c r="LNA244"/>
      <c r="LNB244"/>
      <c r="LNC244"/>
      <c r="LND244"/>
      <c r="LNE244"/>
      <c r="LNF244"/>
      <c r="LNG244"/>
      <c r="LNH244"/>
      <c r="LNI244"/>
      <c r="LNJ244"/>
      <c r="LNK244"/>
      <c r="LNL244"/>
      <c r="LNM244"/>
      <c r="LNN244"/>
      <c r="LNO244"/>
      <c r="LNP244"/>
      <c r="LNQ244"/>
      <c r="LNR244"/>
      <c r="LNS244"/>
      <c r="LNT244"/>
      <c r="LNU244"/>
      <c r="LNV244"/>
      <c r="LNW244"/>
      <c r="LNX244"/>
      <c r="LNY244"/>
      <c r="LNZ244"/>
      <c r="LOA244"/>
      <c r="LOB244"/>
      <c r="LOC244"/>
      <c r="LOD244"/>
      <c r="LOE244"/>
      <c r="LOF244"/>
      <c r="LOG244"/>
      <c r="LOH244"/>
      <c r="LOI244"/>
      <c r="LOJ244"/>
      <c r="LOK244"/>
      <c r="LOL244"/>
      <c r="LOM244"/>
      <c r="LON244"/>
      <c r="LOO244"/>
      <c r="LOP244"/>
      <c r="LOQ244"/>
      <c r="LOR244"/>
      <c r="LOS244"/>
      <c r="LOT244"/>
      <c r="LOU244"/>
      <c r="LOV244"/>
      <c r="LOW244"/>
      <c r="LOX244"/>
      <c r="LOY244"/>
      <c r="LOZ244"/>
      <c r="LPA244"/>
      <c r="LPB244"/>
      <c r="LPC244"/>
      <c r="LPD244"/>
      <c r="LPE244"/>
      <c r="LPF244"/>
      <c r="LPG244"/>
      <c r="LPH244"/>
      <c r="LPI244"/>
      <c r="LPJ244"/>
      <c r="LPK244"/>
      <c r="LPL244"/>
      <c r="LPM244"/>
      <c r="LPN244"/>
      <c r="LPO244"/>
      <c r="LPP244"/>
      <c r="LPQ244"/>
      <c r="LPR244"/>
      <c r="LPS244"/>
      <c r="LPT244"/>
      <c r="LPU244"/>
      <c r="LPV244"/>
      <c r="LPW244"/>
      <c r="LPX244"/>
      <c r="LPY244"/>
      <c r="LPZ244"/>
      <c r="LQA244"/>
      <c r="LQB244"/>
      <c r="LQC244"/>
      <c r="LQD244"/>
      <c r="LQE244"/>
      <c r="LQF244"/>
      <c r="LQG244"/>
      <c r="LQH244"/>
      <c r="LQI244"/>
      <c r="LQJ244"/>
      <c r="LQK244"/>
      <c r="LQL244"/>
      <c r="LQM244"/>
      <c r="LQN244"/>
      <c r="LQO244"/>
      <c r="LQP244"/>
      <c r="LQQ244"/>
      <c r="LQR244"/>
      <c r="LQS244"/>
      <c r="LQT244"/>
      <c r="LQU244"/>
      <c r="LQV244"/>
      <c r="LQW244"/>
      <c r="LQX244"/>
      <c r="LQY244"/>
      <c r="LQZ244"/>
      <c r="LRA244"/>
      <c r="LRB244"/>
      <c r="LRC244"/>
      <c r="LRD244"/>
      <c r="LRE244"/>
      <c r="LRF244"/>
      <c r="LRG244"/>
      <c r="LRH244"/>
      <c r="LRI244"/>
      <c r="LRJ244"/>
      <c r="LRK244"/>
      <c r="LRL244"/>
      <c r="LRM244"/>
      <c r="LRN244"/>
      <c r="LRO244"/>
      <c r="LRP244"/>
      <c r="LRQ244"/>
      <c r="LRR244"/>
      <c r="LRS244"/>
      <c r="LRT244"/>
      <c r="LRU244"/>
      <c r="LRV244"/>
      <c r="LRW244"/>
      <c r="LRX244"/>
      <c r="LRY244"/>
      <c r="LRZ244"/>
      <c r="LSA244"/>
      <c r="LSB244"/>
      <c r="LSC244"/>
      <c r="LSD244"/>
      <c r="LSE244"/>
      <c r="LSF244"/>
      <c r="LSG244"/>
      <c r="LSH244"/>
      <c r="LSI244"/>
      <c r="LSJ244"/>
      <c r="LSK244"/>
      <c r="LSL244"/>
      <c r="LSM244"/>
      <c r="LSN244"/>
      <c r="LSO244"/>
      <c r="LSP244"/>
      <c r="LSQ244"/>
      <c r="LSR244"/>
      <c r="LSS244"/>
      <c r="LST244"/>
      <c r="LSU244"/>
      <c r="LSV244"/>
      <c r="LSW244"/>
      <c r="LSX244"/>
      <c r="LSY244"/>
      <c r="LSZ244"/>
      <c r="LTA244"/>
      <c r="LTB244"/>
      <c r="LTC244"/>
      <c r="LTD244"/>
      <c r="LTE244"/>
      <c r="LTF244"/>
      <c r="LTG244"/>
      <c r="LTH244"/>
      <c r="LTI244"/>
      <c r="LTJ244"/>
      <c r="LTK244"/>
      <c r="LTL244"/>
      <c r="LTM244"/>
      <c r="LTN244"/>
      <c r="LTO244"/>
      <c r="LTP244"/>
      <c r="LTQ244"/>
      <c r="LTR244"/>
      <c r="LTS244"/>
      <c r="LTT244"/>
      <c r="LTU244"/>
      <c r="LTV244"/>
      <c r="LTW244"/>
      <c r="LTX244"/>
      <c r="LTY244"/>
      <c r="LTZ244"/>
      <c r="LUA244"/>
      <c r="LUB244"/>
      <c r="LUC244"/>
      <c r="LUD244"/>
      <c r="LUE244"/>
      <c r="LUF244"/>
      <c r="LUG244"/>
      <c r="LUH244"/>
      <c r="LUI244"/>
      <c r="LUJ244"/>
      <c r="LUK244"/>
      <c r="LUL244"/>
      <c r="LUM244"/>
      <c r="LUN244"/>
      <c r="LUO244"/>
      <c r="LUP244"/>
      <c r="LUQ244"/>
      <c r="LUR244"/>
      <c r="LUS244"/>
      <c r="LUT244"/>
      <c r="LUU244"/>
      <c r="LUV244"/>
      <c r="LUW244"/>
      <c r="LUX244"/>
      <c r="LUY244"/>
      <c r="LUZ244"/>
      <c r="LVA244"/>
      <c r="LVB244"/>
      <c r="LVC244"/>
      <c r="LVD244"/>
      <c r="LVE244"/>
      <c r="LVF244"/>
      <c r="LVG244"/>
      <c r="LVH244"/>
      <c r="LVI244"/>
      <c r="LVJ244"/>
      <c r="LVK244"/>
      <c r="LVL244"/>
      <c r="LVM244"/>
      <c r="LVN244"/>
      <c r="LVO244"/>
      <c r="LVP244"/>
      <c r="LVQ244"/>
      <c r="LVR244"/>
      <c r="LVS244"/>
      <c r="LVT244"/>
      <c r="LVU244"/>
      <c r="LVV244"/>
      <c r="LVW244"/>
      <c r="LVX244"/>
      <c r="LVY244"/>
      <c r="LVZ244"/>
      <c r="LWA244"/>
      <c r="LWB244"/>
      <c r="LWC244"/>
      <c r="LWD244"/>
      <c r="LWE244"/>
      <c r="LWF244"/>
      <c r="LWG244"/>
      <c r="LWH244"/>
      <c r="LWI244"/>
      <c r="LWJ244"/>
      <c r="LWK244"/>
      <c r="LWL244"/>
      <c r="LWM244"/>
      <c r="LWN244"/>
      <c r="LWO244"/>
      <c r="LWP244"/>
      <c r="LWQ244"/>
      <c r="LWR244"/>
      <c r="LWS244"/>
      <c r="LWT244"/>
      <c r="LWU244"/>
      <c r="LWV244"/>
      <c r="LWW244"/>
      <c r="LWX244"/>
      <c r="LWY244"/>
      <c r="LWZ244"/>
      <c r="LXA244"/>
      <c r="LXB244"/>
      <c r="LXC244"/>
      <c r="LXD244"/>
      <c r="LXE244"/>
      <c r="LXF244"/>
      <c r="LXG244"/>
      <c r="LXH244"/>
      <c r="LXI244"/>
      <c r="LXJ244"/>
      <c r="LXK244"/>
      <c r="LXL244"/>
      <c r="LXM244"/>
      <c r="LXN244"/>
      <c r="LXO244"/>
      <c r="LXP244"/>
      <c r="LXQ244"/>
      <c r="LXR244"/>
      <c r="LXS244"/>
      <c r="LXT244"/>
      <c r="LXU244"/>
      <c r="LXV244"/>
      <c r="LXW244"/>
      <c r="LXX244"/>
      <c r="LXY244"/>
      <c r="LXZ244"/>
      <c r="LYA244"/>
      <c r="LYB244"/>
      <c r="LYC244"/>
      <c r="LYD244"/>
      <c r="LYE244"/>
      <c r="LYF244"/>
      <c r="LYG244"/>
      <c r="LYH244"/>
      <c r="LYI244"/>
      <c r="LYJ244"/>
      <c r="LYK244"/>
      <c r="LYL244"/>
      <c r="LYM244"/>
      <c r="LYN244"/>
      <c r="LYO244"/>
      <c r="LYP244"/>
      <c r="LYQ244"/>
      <c r="LYR244"/>
      <c r="LYS244"/>
      <c r="LYT244"/>
      <c r="LYU244"/>
      <c r="LYV244"/>
      <c r="LYW244"/>
      <c r="LYX244"/>
      <c r="LYY244"/>
      <c r="LYZ244"/>
      <c r="LZA244"/>
      <c r="LZB244"/>
      <c r="LZC244"/>
      <c r="LZD244"/>
      <c r="LZE244"/>
      <c r="LZF244"/>
      <c r="LZG244"/>
      <c r="LZH244"/>
      <c r="LZI244"/>
      <c r="LZJ244"/>
      <c r="LZK244"/>
      <c r="LZL244"/>
      <c r="LZM244"/>
      <c r="LZN244"/>
      <c r="LZO244"/>
      <c r="LZP244"/>
      <c r="LZQ244"/>
      <c r="LZR244"/>
      <c r="LZS244"/>
      <c r="LZT244"/>
      <c r="LZU244"/>
      <c r="LZV244"/>
      <c r="LZW244"/>
      <c r="LZX244"/>
      <c r="LZY244"/>
      <c r="LZZ244"/>
      <c r="MAA244"/>
      <c r="MAB244"/>
      <c r="MAC244"/>
      <c r="MAD244"/>
      <c r="MAE244"/>
      <c r="MAF244"/>
      <c r="MAG244"/>
      <c r="MAH244"/>
      <c r="MAI244"/>
      <c r="MAJ244"/>
      <c r="MAK244"/>
      <c r="MAL244"/>
      <c r="MAM244"/>
      <c r="MAN244"/>
      <c r="MAO244"/>
      <c r="MAP244"/>
      <c r="MAQ244"/>
      <c r="MAR244"/>
      <c r="MAS244"/>
      <c r="MAT244"/>
      <c r="MAU244"/>
      <c r="MAV244"/>
      <c r="MAW244"/>
      <c r="MAX244"/>
      <c r="MAY244"/>
      <c r="MAZ244"/>
      <c r="MBA244"/>
      <c r="MBB244"/>
      <c r="MBC244"/>
      <c r="MBD244"/>
      <c r="MBE244"/>
      <c r="MBF244"/>
      <c r="MBG244"/>
      <c r="MBH244"/>
      <c r="MBI244"/>
      <c r="MBJ244"/>
      <c r="MBK244"/>
      <c r="MBL244"/>
      <c r="MBM244"/>
      <c r="MBN244"/>
      <c r="MBO244"/>
      <c r="MBP244"/>
      <c r="MBQ244"/>
      <c r="MBR244"/>
      <c r="MBS244"/>
      <c r="MBT244"/>
      <c r="MBU244"/>
      <c r="MBV244"/>
      <c r="MBW244"/>
      <c r="MBX244"/>
      <c r="MBY244"/>
      <c r="MBZ244"/>
      <c r="MCA244"/>
      <c r="MCB244"/>
      <c r="MCC244"/>
      <c r="MCD244"/>
      <c r="MCE244"/>
      <c r="MCF244"/>
      <c r="MCG244"/>
      <c r="MCH244"/>
      <c r="MCI244"/>
      <c r="MCJ244"/>
      <c r="MCK244"/>
      <c r="MCL244"/>
      <c r="MCM244"/>
      <c r="MCN244"/>
      <c r="MCO244"/>
      <c r="MCP244"/>
      <c r="MCQ244"/>
      <c r="MCR244"/>
      <c r="MCS244"/>
      <c r="MCT244"/>
      <c r="MCU244"/>
      <c r="MCV244"/>
      <c r="MCW244"/>
      <c r="MCX244"/>
      <c r="MCY244"/>
      <c r="MCZ244"/>
      <c r="MDA244"/>
      <c r="MDB244"/>
      <c r="MDC244"/>
      <c r="MDD244"/>
      <c r="MDE244"/>
      <c r="MDF244"/>
      <c r="MDG244"/>
      <c r="MDH244"/>
      <c r="MDI244"/>
      <c r="MDJ244"/>
      <c r="MDK244"/>
      <c r="MDL244"/>
      <c r="MDM244"/>
      <c r="MDN244"/>
      <c r="MDO244"/>
      <c r="MDP244"/>
      <c r="MDQ244"/>
      <c r="MDR244"/>
      <c r="MDS244"/>
      <c r="MDT244"/>
      <c r="MDU244"/>
      <c r="MDV244"/>
      <c r="MDW244"/>
      <c r="MDX244"/>
      <c r="MDY244"/>
      <c r="MDZ244"/>
      <c r="MEA244"/>
      <c r="MEB244"/>
      <c r="MEC244"/>
      <c r="MED244"/>
      <c r="MEE244"/>
      <c r="MEF244"/>
      <c r="MEG244"/>
      <c r="MEH244"/>
      <c r="MEI244"/>
      <c r="MEJ244"/>
      <c r="MEK244"/>
      <c r="MEL244"/>
      <c r="MEM244"/>
      <c r="MEN244"/>
      <c r="MEO244"/>
      <c r="MEP244"/>
      <c r="MEQ244"/>
      <c r="MER244"/>
      <c r="MES244"/>
      <c r="MET244"/>
      <c r="MEU244"/>
      <c r="MEV244"/>
      <c r="MEW244"/>
      <c r="MEX244"/>
      <c r="MEY244"/>
      <c r="MEZ244"/>
      <c r="MFA244"/>
      <c r="MFB244"/>
      <c r="MFC244"/>
      <c r="MFD244"/>
      <c r="MFE244"/>
      <c r="MFF244"/>
      <c r="MFG244"/>
      <c r="MFH244"/>
      <c r="MFI244"/>
      <c r="MFJ244"/>
      <c r="MFK244"/>
      <c r="MFL244"/>
      <c r="MFM244"/>
      <c r="MFN244"/>
      <c r="MFO244"/>
      <c r="MFP244"/>
      <c r="MFQ244"/>
      <c r="MFR244"/>
      <c r="MFS244"/>
      <c r="MFT244"/>
      <c r="MFU244"/>
      <c r="MFV244"/>
      <c r="MFW244"/>
      <c r="MFX244"/>
      <c r="MFY244"/>
      <c r="MFZ244"/>
      <c r="MGA244"/>
      <c r="MGB244"/>
      <c r="MGC244"/>
      <c r="MGD244"/>
      <c r="MGE244"/>
      <c r="MGF244"/>
      <c r="MGG244"/>
      <c r="MGH244"/>
      <c r="MGI244"/>
      <c r="MGJ244"/>
      <c r="MGK244"/>
      <c r="MGL244"/>
      <c r="MGM244"/>
      <c r="MGN244"/>
      <c r="MGO244"/>
      <c r="MGP244"/>
      <c r="MGQ244"/>
      <c r="MGR244"/>
      <c r="MGS244"/>
      <c r="MGT244"/>
      <c r="MGU244"/>
      <c r="MGV244"/>
      <c r="MGW244"/>
      <c r="MGX244"/>
      <c r="MGY244"/>
      <c r="MGZ244"/>
      <c r="MHA244"/>
      <c r="MHB244"/>
      <c r="MHC244"/>
      <c r="MHD244"/>
      <c r="MHE244"/>
      <c r="MHF244"/>
      <c r="MHG244"/>
      <c r="MHH244"/>
      <c r="MHI244"/>
      <c r="MHJ244"/>
      <c r="MHK244"/>
      <c r="MHL244"/>
      <c r="MHM244"/>
      <c r="MHN244"/>
      <c r="MHO244"/>
      <c r="MHP244"/>
      <c r="MHQ244"/>
      <c r="MHR244"/>
      <c r="MHS244"/>
      <c r="MHT244"/>
      <c r="MHU244"/>
      <c r="MHV244"/>
      <c r="MHW244"/>
      <c r="MHX244"/>
      <c r="MHY244"/>
      <c r="MHZ244"/>
      <c r="MIA244"/>
      <c r="MIB244"/>
      <c r="MIC244"/>
      <c r="MID244"/>
      <c r="MIE244"/>
      <c r="MIF244"/>
      <c r="MIG244"/>
      <c r="MIH244"/>
      <c r="MII244"/>
      <c r="MIJ244"/>
      <c r="MIK244"/>
      <c r="MIL244"/>
      <c r="MIM244"/>
      <c r="MIN244"/>
      <c r="MIO244"/>
      <c r="MIP244"/>
      <c r="MIQ244"/>
      <c r="MIR244"/>
      <c r="MIS244"/>
      <c r="MIT244"/>
      <c r="MIU244"/>
      <c r="MIV244"/>
      <c r="MIW244"/>
      <c r="MIX244"/>
      <c r="MIY244"/>
      <c r="MIZ244"/>
      <c r="MJA244"/>
      <c r="MJB244"/>
      <c r="MJC244"/>
      <c r="MJD244"/>
      <c r="MJE244"/>
      <c r="MJF244"/>
      <c r="MJG244"/>
      <c r="MJH244"/>
      <c r="MJI244"/>
      <c r="MJJ244"/>
      <c r="MJK244"/>
      <c r="MJL244"/>
      <c r="MJM244"/>
      <c r="MJN244"/>
      <c r="MJO244"/>
      <c r="MJP244"/>
      <c r="MJQ244"/>
      <c r="MJR244"/>
      <c r="MJS244"/>
      <c r="MJT244"/>
      <c r="MJU244"/>
      <c r="MJV244"/>
      <c r="MJW244"/>
      <c r="MJX244"/>
      <c r="MJY244"/>
      <c r="MJZ244"/>
      <c r="MKA244"/>
      <c r="MKB244"/>
      <c r="MKC244"/>
      <c r="MKD244"/>
      <c r="MKE244"/>
      <c r="MKF244"/>
      <c r="MKG244"/>
      <c r="MKH244"/>
      <c r="MKI244"/>
      <c r="MKJ244"/>
      <c r="MKK244"/>
      <c r="MKL244"/>
      <c r="MKM244"/>
      <c r="MKN244"/>
      <c r="MKO244"/>
      <c r="MKP244"/>
      <c r="MKQ244"/>
      <c r="MKR244"/>
      <c r="MKS244"/>
      <c r="MKT244"/>
      <c r="MKU244"/>
      <c r="MKV244"/>
      <c r="MKW244"/>
      <c r="MKX244"/>
      <c r="MKY244"/>
      <c r="MKZ244"/>
      <c r="MLA244"/>
      <c r="MLB244"/>
      <c r="MLC244"/>
      <c r="MLD244"/>
      <c r="MLE244"/>
      <c r="MLF244"/>
      <c r="MLG244"/>
      <c r="MLH244"/>
      <c r="MLI244"/>
      <c r="MLJ244"/>
      <c r="MLK244"/>
      <c r="MLL244"/>
      <c r="MLM244"/>
      <c r="MLN244"/>
      <c r="MLO244"/>
      <c r="MLP244"/>
      <c r="MLQ244"/>
      <c r="MLR244"/>
      <c r="MLS244"/>
      <c r="MLT244"/>
      <c r="MLU244"/>
      <c r="MLV244"/>
      <c r="MLW244"/>
      <c r="MLX244"/>
      <c r="MLY244"/>
      <c r="MLZ244"/>
      <c r="MMA244"/>
      <c r="MMB244"/>
      <c r="MMC244"/>
      <c r="MMD244"/>
      <c r="MME244"/>
      <c r="MMF244"/>
      <c r="MMG244"/>
      <c r="MMH244"/>
      <c r="MMI244"/>
      <c r="MMJ244"/>
      <c r="MMK244"/>
      <c r="MML244"/>
      <c r="MMM244"/>
      <c r="MMN244"/>
      <c r="MMO244"/>
      <c r="MMP244"/>
      <c r="MMQ244"/>
      <c r="MMR244"/>
      <c r="MMS244"/>
      <c r="MMT244"/>
      <c r="MMU244"/>
      <c r="MMV244"/>
      <c r="MMW244"/>
      <c r="MMX244"/>
      <c r="MMY244"/>
      <c r="MMZ244"/>
      <c r="MNA244"/>
      <c r="MNB244"/>
      <c r="MNC244"/>
      <c r="MND244"/>
      <c r="MNE244"/>
      <c r="MNF244"/>
      <c r="MNG244"/>
      <c r="MNH244"/>
      <c r="MNI244"/>
      <c r="MNJ244"/>
      <c r="MNK244"/>
      <c r="MNL244"/>
      <c r="MNM244"/>
      <c r="MNN244"/>
      <c r="MNO244"/>
      <c r="MNP244"/>
      <c r="MNQ244"/>
      <c r="MNR244"/>
      <c r="MNS244"/>
      <c r="MNT244"/>
      <c r="MNU244"/>
      <c r="MNV244"/>
      <c r="MNW244"/>
      <c r="MNX244"/>
      <c r="MNY244"/>
      <c r="MNZ244"/>
      <c r="MOA244"/>
      <c r="MOB244"/>
      <c r="MOC244"/>
      <c r="MOD244"/>
      <c r="MOE244"/>
      <c r="MOF244"/>
      <c r="MOG244"/>
      <c r="MOH244"/>
      <c r="MOI244"/>
      <c r="MOJ244"/>
      <c r="MOK244"/>
      <c r="MOL244"/>
      <c r="MOM244"/>
      <c r="MON244"/>
      <c r="MOO244"/>
      <c r="MOP244"/>
      <c r="MOQ244"/>
      <c r="MOR244"/>
      <c r="MOS244"/>
      <c r="MOT244"/>
      <c r="MOU244"/>
      <c r="MOV244"/>
      <c r="MOW244"/>
      <c r="MOX244"/>
      <c r="MOY244"/>
      <c r="MOZ244"/>
      <c r="MPA244"/>
      <c r="MPB244"/>
      <c r="MPC244"/>
      <c r="MPD244"/>
      <c r="MPE244"/>
      <c r="MPF244"/>
      <c r="MPG244"/>
      <c r="MPH244"/>
      <c r="MPI244"/>
      <c r="MPJ244"/>
      <c r="MPK244"/>
      <c r="MPL244"/>
      <c r="MPM244"/>
      <c r="MPN244"/>
      <c r="MPO244"/>
      <c r="MPP244"/>
      <c r="MPQ244"/>
      <c r="MPR244"/>
      <c r="MPS244"/>
      <c r="MPT244"/>
      <c r="MPU244"/>
      <c r="MPV244"/>
      <c r="MPW244"/>
      <c r="MPX244"/>
      <c r="MPY244"/>
      <c r="MPZ244"/>
      <c r="MQA244"/>
      <c r="MQB244"/>
      <c r="MQC244"/>
      <c r="MQD244"/>
      <c r="MQE244"/>
      <c r="MQF244"/>
      <c r="MQG244"/>
      <c r="MQH244"/>
      <c r="MQI244"/>
      <c r="MQJ244"/>
      <c r="MQK244"/>
      <c r="MQL244"/>
      <c r="MQM244"/>
      <c r="MQN244"/>
      <c r="MQO244"/>
      <c r="MQP244"/>
      <c r="MQQ244"/>
      <c r="MQR244"/>
      <c r="MQS244"/>
      <c r="MQT244"/>
      <c r="MQU244"/>
      <c r="MQV244"/>
      <c r="MQW244"/>
      <c r="MQX244"/>
      <c r="MQY244"/>
      <c r="MQZ244"/>
      <c r="MRA244"/>
      <c r="MRB244"/>
      <c r="MRC244"/>
      <c r="MRD244"/>
      <c r="MRE244"/>
      <c r="MRF244"/>
      <c r="MRG244"/>
      <c r="MRH244"/>
      <c r="MRI244"/>
      <c r="MRJ244"/>
      <c r="MRK244"/>
      <c r="MRL244"/>
      <c r="MRM244"/>
      <c r="MRN244"/>
      <c r="MRO244"/>
      <c r="MRP244"/>
      <c r="MRQ244"/>
      <c r="MRR244"/>
      <c r="MRS244"/>
      <c r="MRT244"/>
      <c r="MRU244"/>
      <c r="MRV244"/>
      <c r="MRW244"/>
      <c r="MRX244"/>
      <c r="MRY244"/>
      <c r="MRZ244"/>
      <c r="MSA244"/>
      <c r="MSB244"/>
      <c r="MSC244"/>
      <c r="MSD244"/>
      <c r="MSE244"/>
      <c r="MSF244"/>
      <c r="MSG244"/>
      <c r="MSH244"/>
      <c r="MSI244"/>
      <c r="MSJ244"/>
      <c r="MSK244"/>
      <c r="MSL244"/>
      <c r="MSM244"/>
      <c r="MSN244"/>
      <c r="MSO244"/>
      <c r="MSP244"/>
      <c r="MSQ244"/>
      <c r="MSR244"/>
      <c r="MSS244"/>
      <c r="MST244"/>
      <c r="MSU244"/>
      <c r="MSV244"/>
      <c r="MSW244"/>
      <c r="MSX244"/>
      <c r="MSY244"/>
      <c r="MSZ244"/>
      <c r="MTA244"/>
      <c r="MTB244"/>
      <c r="MTC244"/>
      <c r="MTD244"/>
      <c r="MTE244"/>
      <c r="MTF244"/>
      <c r="MTG244"/>
      <c r="MTH244"/>
      <c r="MTI244"/>
      <c r="MTJ244"/>
      <c r="MTK244"/>
      <c r="MTL244"/>
      <c r="MTM244"/>
      <c r="MTN244"/>
      <c r="MTO244"/>
      <c r="MTP244"/>
      <c r="MTQ244"/>
      <c r="MTR244"/>
      <c r="MTS244"/>
      <c r="MTT244"/>
      <c r="MTU244"/>
      <c r="MTV244"/>
      <c r="MTW244"/>
      <c r="MTX244"/>
      <c r="MTY244"/>
      <c r="MTZ244"/>
      <c r="MUA244"/>
      <c r="MUB244"/>
      <c r="MUC244"/>
      <c r="MUD244"/>
      <c r="MUE244"/>
      <c r="MUF244"/>
      <c r="MUG244"/>
      <c r="MUH244"/>
      <c r="MUI244"/>
      <c r="MUJ244"/>
      <c r="MUK244"/>
      <c r="MUL244"/>
      <c r="MUM244"/>
      <c r="MUN244"/>
      <c r="MUO244"/>
      <c r="MUP244"/>
      <c r="MUQ244"/>
      <c r="MUR244"/>
      <c r="MUS244"/>
      <c r="MUT244"/>
      <c r="MUU244"/>
      <c r="MUV244"/>
      <c r="MUW244"/>
      <c r="MUX244"/>
      <c r="MUY244"/>
      <c r="MUZ244"/>
      <c r="MVA244"/>
      <c r="MVB244"/>
      <c r="MVC244"/>
      <c r="MVD244"/>
      <c r="MVE244"/>
      <c r="MVF244"/>
      <c r="MVG244"/>
      <c r="MVH244"/>
      <c r="MVI244"/>
      <c r="MVJ244"/>
      <c r="MVK244"/>
      <c r="MVL244"/>
      <c r="MVM244"/>
      <c r="MVN244"/>
      <c r="MVO244"/>
      <c r="MVP244"/>
      <c r="MVQ244"/>
      <c r="MVR244"/>
      <c r="MVS244"/>
      <c r="MVT244"/>
      <c r="MVU244"/>
      <c r="MVV244"/>
      <c r="MVW244"/>
      <c r="MVX244"/>
      <c r="MVY244"/>
      <c r="MVZ244"/>
      <c r="MWA244"/>
      <c r="MWB244"/>
      <c r="MWC244"/>
      <c r="MWD244"/>
      <c r="MWE244"/>
      <c r="MWF244"/>
      <c r="MWG244"/>
      <c r="MWH244"/>
      <c r="MWI244"/>
      <c r="MWJ244"/>
      <c r="MWK244"/>
      <c r="MWL244"/>
      <c r="MWM244"/>
      <c r="MWN244"/>
      <c r="MWO244"/>
      <c r="MWP244"/>
      <c r="MWQ244"/>
      <c r="MWR244"/>
      <c r="MWS244"/>
      <c r="MWT244"/>
      <c r="MWU244"/>
      <c r="MWV244"/>
      <c r="MWW244"/>
      <c r="MWX244"/>
      <c r="MWY244"/>
      <c r="MWZ244"/>
      <c r="MXA244"/>
      <c r="MXB244"/>
      <c r="MXC244"/>
      <c r="MXD244"/>
      <c r="MXE244"/>
      <c r="MXF244"/>
      <c r="MXG244"/>
      <c r="MXH244"/>
      <c r="MXI244"/>
      <c r="MXJ244"/>
      <c r="MXK244"/>
      <c r="MXL244"/>
      <c r="MXM244"/>
      <c r="MXN244"/>
      <c r="MXO244"/>
      <c r="MXP244"/>
      <c r="MXQ244"/>
      <c r="MXR244"/>
      <c r="MXS244"/>
      <c r="MXT244"/>
      <c r="MXU244"/>
      <c r="MXV244"/>
      <c r="MXW244"/>
      <c r="MXX244"/>
      <c r="MXY244"/>
      <c r="MXZ244"/>
      <c r="MYA244"/>
      <c r="MYB244"/>
      <c r="MYC244"/>
      <c r="MYD244"/>
      <c r="MYE244"/>
      <c r="MYF244"/>
      <c r="MYG244"/>
      <c r="MYH244"/>
      <c r="MYI244"/>
      <c r="MYJ244"/>
      <c r="MYK244"/>
      <c r="MYL244"/>
      <c r="MYM244"/>
      <c r="MYN244"/>
      <c r="MYO244"/>
      <c r="MYP244"/>
      <c r="MYQ244"/>
      <c r="MYR244"/>
      <c r="MYS244"/>
      <c r="MYT244"/>
      <c r="MYU244"/>
      <c r="MYV244"/>
      <c r="MYW244"/>
      <c r="MYX244"/>
      <c r="MYY244"/>
      <c r="MYZ244"/>
      <c r="MZA244"/>
      <c r="MZB244"/>
      <c r="MZC244"/>
      <c r="MZD244"/>
      <c r="MZE244"/>
      <c r="MZF244"/>
      <c r="MZG244"/>
      <c r="MZH244"/>
      <c r="MZI244"/>
      <c r="MZJ244"/>
      <c r="MZK244"/>
      <c r="MZL244"/>
      <c r="MZM244"/>
      <c r="MZN244"/>
      <c r="MZO244"/>
      <c r="MZP244"/>
      <c r="MZQ244"/>
      <c r="MZR244"/>
      <c r="MZS244"/>
      <c r="MZT244"/>
      <c r="MZU244"/>
      <c r="MZV244"/>
      <c r="MZW244"/>
      <c r="MZX244"/>
      <c r="MZY244"/>
      <c r="MZZ244"/>
      <c r="NAA244"/>
      <c r="NAB244"/>
      <c r="NAC244"/>
      <c r="NAD244"/>
      <c r="NAE244"/>
      <c r="NAF244"/>
      <c r="NAG244"/>
      <c r="NAH244"/>
      <c r="NAI244"/>
      <c r="NAJ244"/>
      <c r="NAK244"/>
      <c r="NAL244"/>
      <c r="NAM244"/>
      <c r="NAN244"/>
      <c r="NAO244"/>
      <c r="NAP244"/>
      <c r="NAQ244"/>
      <c r="NAR244"/>
      <c r="NAS244"/>
      <c r="NAT244"/>
      <c r="NAU244"/>
      <c r="NAV244"/>
      <c r="NAW244"/>
      <c r="NAX244"/>
      <c r="NAY244"/>
      <c r="NAZ244"/>
      <c r="NBA244"/>
      <c r="NBB244"/>
      <c r="NBC244"/>
      <c r="NBD244"/>
      <c r="NBE244"/>
      <c r="NBF244"/>
      <c r="NBG244"/>
      <c r="NBH244"/>
      <c r="NBI244"/>
      <c r="NBJ244"/>
      <c r="NBK244"/>
      <c r="NBL244"/>
      <c r="NBM244"/>
      <c r="NBN244"/>
      <c r="NBO244"/>
      <c r="NBP244"/>
      <c r="NBQ244"/>
      <c r="NBR244"/>
      <c r="NBS244"/>
      <c r="NBT244"/>
      <c r="NBU244"/>
      <c r="NBV244"/>
      <c r="NBW244"/>
      <c r="NBX244"/>
      <c r="NBY244"/>
      <c r="NBZ244"/>
      <c r="NCA244"/>
      <c r="NCB244"/>
      <c r="NCC244"/>
      <c r="NCD244"/>
      <c r="NCE244"/>
      <c r="NCF244"/>
      <c r="NCG244"/>
      <c r="NCH244"/>
      <c r="NCI244"/>
      <c r="NCJ244"/>
      <c r="NCK244"/>
      <c r="NCL244"/>
      <c r="NCM244"/>
      <c r="NCN244"/>
      <c r="NCO244"/>
      <c r="NCP244"/>
      <c r="NCQ244"/>
      <c r="NCR244"/>
      <c r="NCS244"/>
      <c r="NCT244"/>
      <c r="NCU244"/>
      <c r="NCV244"/>
      <c r="NCW244"/>
      <c r="NCX244"/>
      <c r="NCY244"/>
      <c r="NCZ244"/>
      <c r="NDA244"/>
      <c r="NDB244"/>
      <c r="NDC244"/>
      <c r="NDD244"/>
      <c r="NDE244"/>
      <c r="NDF244"/>
      <c r="NDG244"/>
      <c r="NDH244"/>
      <c r="NDI244"/>
      <c r="NDJ244"/>
      <c r="NDK244"/>
      <c r="NDL244"/>
      <c r="NDM244"/>
      <c r="NDN244"/>
      <c r="NDO244"/>
      <c r="NDP244"/>
      <c r="NDQ244"/>
      <c r="NDR244"/>
      <c r="NDS244"/>
      <c r="NDT244"/>
      <c r="NDU244"/>
      <c r="NDV244"/>
      <c r="NDW244"/>
      <c r="NDX244"/>
      <c r="NDY244"/>
      <c r="NDZ244"/>
      <c r="NEA244"/>
      <c r="NEB244"/>
      <c r="NEC244"/>
      <c r="NED244"/>
      <c r="NEE244"/>
      <c r="NEF244"/>
      <c r="NEG244"/>
      <c r="NEH244"/>
      <c r="NEI244"/>
      <c r="NEJ244"/>
      <c r="NEK244"/>
      <c r="NEL244"/>
      <c r="NEM244"/>
      <c r="NEN244"/>
      <c r="NEO244"/>
      <c r="NEP244"/>
      <c r="NEQ244"/>
      <c r="NER244"/>
      <c r="NES244"/>
      <c r="NET244"/>
      <c r="NEU244"/>
      <c r="NEV244"/>
      <c r="NEW244"/>
      <c r="NEX244"/>
      <c r="NEY244"/>
      <c r="NEZ244"/>
      <c r="NFA244"/>
      <c r="NFB244"/>
      <c r="NFC244"/>
      <c r="NFD244"/>
      <c r="NFE244"/>
      <c r="NFF244"/>
      <c r="NFG244"/>
      <c r="NFH244"/>
      <c r="NFI244"/>
      <c r="NFJ244"/>
      <c r="NFK244"/>
      <c r="NFL244"/>
      <c r="NFM244"/>
      <c r="NFN244"/>
      <c r="NFO244"/>
      <c r="NFP244"/>
      <c r="NFQ244"/>
      <c r="NFR244"/>
      <c r="NFS244"/>
      <c r="NFT244"/>
      <c r="NFU244"/>
      <c r="NFV244"/>
      <c r="NFW244"/>
      <c r="NFX244"/>
      <c r="NFY244"/>
      <c r="NFZ244"/>
      <c r="NGA244"/>
      <c r="NGB244"/>
      <c r="NGC244"/>
      <c r="NGD244"/>
      <c r="NGE244"/>
      <c r="NGF244"/>
      <c r="NGG244"/>
      <c r="NGH244"/>
      <c r="NGI244"/>
      <c r="NGJ244"/>
      <c r="NGK244"/>
      <c r="NGL244"/>
      <c r="NGM244"/>
      <c r="NGN244"/>
      <c r="NGO244"/>
      <c r="NGP244"/>
      <c r="NGQ244"/>
      <c r="NGR244"/>
      <c r="NGS244"/>
      <c r="NGT244"/>
      <c r="NGU244"/>
      <c r="NGV244"/>
      <c r="NGW244"/>
      <c r="NGX244"/>
      <c r="NGY244"/>
      <c r="NGZ244"/>
      <c r="NHA244"/>
      <c r="NHB244"/>
      <c r="NHC244"/>
      <c r="NHD244"/>
      <c r="NHE244"/>
      <c r="NHF244"/>
      <c r="NHG244"/>
      <c r="NHH244"/>
      <c r="NHI244"/>
      <c r="NHJ244"/>
      <c r="NHK244"/>
      <c r="NHL244"/>
      <c r="NHM244"/>
      <c r="NHN244"/>
      <c r="NHO244"/>
      <c r="NHP244"/>
      <c r="NHQ244"/>
      <c r="NHR244"/>
      <c r="NHS244"/>
      <c r="NHT244"/>
      <c r="NHU244"/>
      <c r="NHV244"/>
      <c r="NHW244"/>
      <c r="NHX244"/>
      <c r="NHY244"/>
      <c r="NHZ244"/>
      <c r="NIA244"/>
      <c r="NIB244"/>
      <c r="NIC244"/>
      <c r="NID244"/>
      <c r="NIE244"/>
      <c r="NIF244"/>
      <c r="NIG244"/>
      <c r="NIH244"/>
      <c r="NII244"/>
      <c r="NIJ244"/>
      <c r="NIK244"/>
      <c r="NIL244"/>
      <c r="NIM244"/>
      <c r="NIN244"/>
      <c r="NIO244"/>
      <c r="NIP244"/>
      <c r="NIQ244"/>
      <c r="NIR244"/>
      <c r="NIS244"/>
      <c r="NIT244"/>
      <c r="NIU244"/>
      <c r="NIV244"/>
      <c r="NIW244"/>
      <c r="NIX244"/>
      <c r="NIY244"/>
      <c r="NIZ244"/>
      <c r="NJA244"/>
      <c r="NJB244"/>
      <c r="NJC244"/>
      <c r="NJD244"/>
      <c r="NJE244"/>
      <c r="NJF244"/>
      <c r="NJG244"/>
      <c r="NJH244"/>
      <c r="NJI244"/>
      <c r="NJJ244"/>
      <c r="NJK244"/>
      <c r="NJL244"/>
      <c r="NJM244"/>
      <c r="NJN244"/>
      <c r="NJO244"/>
      <c r="NJP244"/>
      <c r="NJQ244"/>
      <c r="NJR244"/>
      <c r="NJS244"/>
      <c r="NJT244"/>
      <c r="NJU244"/>
      <c r="NJV244"/>
      <c r="NJW244"/>
      <c r="NJX244"/>
      <c r="NJY244"/>
      <c r="NJZ244"/>
      <c r="NKA244"/>
      <c r="NKB244"/>
      <c r="NKC244"/>
      <c r="NKD244"/>
      <c r="NKE244"/>
      <c r="NKF244"/>
      <c r="NKG244"/>
      <c r="NKH244"/>
      <c r="NKI244"/>
      <c r="NKJ244"/>
      <c r="NKK244"/>
      <c r="NKL244"/>
      <c r="NKM244"/>
      <c r="NKN244"/>
      <c r="NKO244"/>
      <c r="NKP244"/>
      <c r="NKQ244"/>
      <c r="NKR244"/>
      <c r="NKS244"/>
      <c r="NKT244"/>
      <c r="NKU244"/>
      <c r="NKV244"/>
      <c r="NKW244"/>
      <c r="NKX244"/>
      <c r="NKY244"/>
      <c r="NKZ244"/>
      <c r="NLA244"/>
      <c r="NLB244"/>
      <c r="NLC244"/>
      <c r="NLD244"/>
      <c r="NLE244"/>
      <c r="NLF244"/>
      <c r="NLG244"/>
      <c r="NLH244"/>
      <c r="NLI244"/>
      <c r="NLJ244"/>
      <c r="NLK244"/>
      <c r="NLL244"/>
      <c r="NLM244"/>
      <c r="NLN244"/>
      <c r="NLO244"/>
      <c r="NLP244"/>
      <c r="NLQ244"/>
      <c r="NLR244"/>
      <c r="NLS244"/>
      <c r="NLT244"/>
      <c r="NLU244"/>
      <c r="NLV244"/>
      <c r="NLW244"/>
      <c r="NLX244"/>
      <c r="NLY244"/>
      <c r="NLZ244"/>
      <c r="NMA244"/>
      <c r="NMB244"/>
      <c r="NMC244"/>
      <c r="NMD244"/>
      <c r="NME244"/>
      <c r="NMF244"/>
      <c r="NMG244"/>
      <c r="NMH244"/>
      <c r="NMI244"/>
      <c r="NMJ244"/>
      <c r="NMK244"/>
      <c r="NML244"/>
      <c r="NMM244"/>
      <c r="NMN244"/>
      <c r="NMO244"/>
      <c r="NMP244"/>
      <c r="NMQ244"/>
      <c r="NMR244"/>
      <c r="NMS244"/>
      <c r="NMT244"/>
      <c r="NMU244"/>
      <c r="NMV244"/>
      <c r="NMW244"/>
      <c r="NMX244"/>
      <c r="NMY244"/>
      <c r="NMZ244"/>
      <c r="NNA244"/>
      <c r="NNB244"/>
      <c r="NNC244"/>
      <c r="NND244"/>
      <c r="NNE244"/>
      <c r="NNF244"/>
      <c r="NNG244"/>
      <c r="NNH244"/>
      <c r="NNI244"/>
      <c r="NNJ244"/>
      <c r="NNK244"/>
      <c r="NNL244"/>
      <c r="NNM244"/>
      <c r="NNN244"/>
      <c r="NNO244"/>
      <c r="NNP244"/>
      <c r="NNQ244"/>
      <c r="NNR244"/>
      <c r="NNS244"/>
      <c r="NNT244"/>
      <c r="NNU244"/>
      <c r="NNV244"/>
      <c r="NNW244"/>
      <c r="NNX244"/>
      <c r="NNY244"/>
      <c r="NNZ244"/>
      <c r="NOA244"/>
      <c r="NOB244"/>
      <c r="NOC244"/>
      <c r="NOD244"/>
      <c r="NOE244"/>
      <c r="NOF244"/>
      <c r="NOG244"/>
      <c r="NOH244"/>
      <c r="NOI244"/>
      <c r="NOJ244"/>
      <c r="NOK244"/>
      <c r="NOL244"/>
      <c r="NOM244"/>
      <c r="NON244"/>
      <c r="NOO244"/>
      <c r="NOP244"/>
      <c r="NOQ244"/>
      <c r="NOR244"/>
      <c r="NOS244"/>
      <c r="NOT244"/>
      <c r="NOU244"/>
      <c r="NOV244"/>
      <c r="NOW244"/>
      <c r="NOX244"/>
      <c r="NOY244"/>
      <c r="NOZ244"/>
      <c r="NPA244"/>
      <c r="NPB244"/>
      <c r="NPC244"/>
      <c r="NPD244"/>
      <c r="NPE244"/>
      <c r="NPF244"/>
      <c r="NPG244"/>
      <c r="NPH244"/>
      <c r="NPI244"/>
      <c r="NPJ244"/>
      <c r="NPK244"/>
      <c r="NPL244"/>
      <c r="NPM244"/>
      <c r="NPN244"/>
      <c r="NPO244"/>
      <c r="NPP244"/>
      <c r="NPQ244"/>
      <c r="NPR244"/>
      <c r="NPS244"/>
      <c r="NPT244"/>
      <c r="NPU244"/>
      <c r="NPV244"/>
      <c r="NPW244"/>
      <c r="NPX244"/>
      <c r="NPY244"/>
      <c r="NPZ244"/>
      <c r="NQA244"/>
      <c r="NQB244"/>
      <c r="NQC244"/>
      <c r="NQD244"/>
      <c r="NQE244"/>
      <c r="NQF244"/>
      <c r="NQG244"/>
      <c r="NQH244"/>
      <c r="NQI244"/>
      <c r="NQJ244"/>
      <c r="NQK244"/>
      <c r="NQL244"/>
      <c r="NQM244"/>
      <c r="NQN244"/>
      <c r="NQO244"/>
      <c r="NQP244"/>
      <c r="NQQ244"/>
      <c r="NQR244"/>
      <c r="NQS244"/>
      <c r="NQT244"/>
      <c r="NQU244"/>
      <c r="NQV244"/>
      <c r="NQW244"/>
      <c r="NQX244"/>
      <c r="NQY244"/>
      <c r="NQZ244"/>
      <c r="NRA244"/>
      <c r="NRB244"/>
      <c r="NRC244"/>
      <c r="NRD244"/>
      <c r="NRE244"/>
      <c r="NRF244"/>
      <c r="NRG244"/>
      <c r="NRH244"/>
      <c r="NRI244"/>
      <c r="NRJ244"/>
      <c r="NRK244"/>
      <c r="NRL244"/>
      <c r="NRM244"/>
      <c r="NRN244"/>
      <c r="NRO244"/>
      <c r="NRP244"/>
      <c r="NRQ244"/>
      <c r="NRR244"/>
      <c r="NRS244"/>
      <c r="NRT244"/>
      <c r="NRU244"/>
      <c r="NRV244"/>
      <c r="NRW244"/>
      <c r="NRX244"/>
      <c r="NRY244"/>
      <c r="NRZ244"/>
      <c r="NSA244"/>
      <c r="NSB244"/>
      <c r="NSC244"/>
      <c r="NSD244"/>
      <c r="NSE244"/>
      <c r="NSF244"/>
      <c r="NSG244"/>
      <c r="NSH244"/>
      <c r="NSI244"/>
      <c r="NSJ244"/>
      <c r="NSK244"/>
      <c r="NSL244"/>
      <c r="NSM244"/>
      <c r="NSN244"/>
      <c r="NSO244"/>
      <c r="NSP244"/>
      <c r="NSQ244"/>
      <c r="NSR244"/>
      <c r="NSS244"/>
      <c r="NST244"/>
      <c r="NSU244"/>
      <c r="NSV244"/>
      <c r="NSW244"/>
      <c r="NSX244"/>
      <c r="NSY244"/>
      <c r="NSZ244"/>
      <c r="NTA244"/>
      <c r="NTB244"/>
      <c r="NTC244"/>
      <c r="NTD244"/>
      <c r="NTE244"/>
      <c r="NTF244"/>
      <c r="NTG244"/>
      <c r="NTH244"/>
      <c r="NTI244"/>
      <c r="NTJ244"/>
      <c r="NTK244"/>
      <c r="NTL244"/>
      <c r="NTM244"/>
      <c r="NTN244"/>
      <c r="NTO244"/>
      <c r="NTP244"/>
      <c r="NTQ244"/>
      <c r="NTR244"/>
      <c r="NTS244"/>
      <c r="NTT244"/>
      <c r="NTU244"/>
      <c r="NTV244"/>
      <c r="NTW244"/>
      <c r="NTX244"/>
      <c r="NTY244"/>
      <c r="NTZ244"/>
      <c r="NUA244"/>
      <c r="NUB244"/>
      <c r="NUC244"/>
      <c r="NUD244"/>
      <c r="NUE244"/>
      <c r="NUF244"/>
      <c r="NUG244"/>
      <c r="NUH244"/>
      <c r="NUI244"/>
      <c r="NUJ244"/>
      <c r="NUK244"/>
      <c r="NUL244"/>
      <c r="NUM244"/>
      <c r="NUN244"/>
      <c r="NUO244"/>
      <c r="NUP244"/>
      <c r="NUQ244"/>
      <c r="NUR244"/>
      <c r="NUS244"/>
      <c r="NUT244"/>
      <c r="NUU244"/>
      <c r="NUV244"/>
      <c r="NUW244"/>
      <c r="NUX244"/>
      <c r="NUY244"/>
      <c r="NUZ244"/>
      <c r="NVA244"/>
      <c r="NVB244"/>
      <c r="NVC244"/>
      <c r="NVD244"/>
      <c r="NVE244"/>
      <c r="NVF244"/>
      <c r="NVG244"/>
      <c r="NVH244"/>
      <c r="NVI244"/>
      <c r="NVJ244"/>
      <c r="NVK244"/>
      <c r="NVL244"/>
      <c r="NVM244"/>
      <c r="NVN244"/>
      <c r="NVO244"/>
      <c r="NVP244"/>
      <c r="NVQ244"/>
      <c r="NVR244"/>
      <c r="NVS244"/>
      <c r="NVT244"/>
      <c r="NVU244"/>
      <c r="NVV244"/>
      <c r="NVW244"/>
      <c r="NVX244"/>
      <c r="NVY244"/>
      <c r="NVZ244"/>
      <c r="NWA244"/>
      <c r="NWB244"/>
      <c r="NWC244"/>
      <c r="NWD244"/>
      <c r="NWE244"/>
      <c r="NWF244"/>
      <c r="NWG244"/>
      <c r="NWH244"/>
      <c r="NWI244"/>
      <c r="NWJ244"/>
      <c r="NWK244"/>
      <c r="NWL244"/>
      <c r="NWM244"/>
      <c r="NWN244"/>
      <c r="NWO244"/>
      <c r="NWP244"/>
      <c r="NWQ244"/>
      <c r="NWR244"/>
      <c r="NWS244"/>
      <c r="NWT244"/>
      <c r="NWU244"/>
      <c r="NWV244"/>
      <c r="NWW244"/>
      <c r="NWX244"/>
      <c r="NWY244"/>
      <c r="NWZ244"/>
      <c r="NXA244"/>
      <c r="NXB244"/>
      <c r="NXC244"/>
      <c r="NXD244"/>
      <c r="NXE244"/>
      <c r="NXF244"/>
      <c r="NXG244"/>
      <c r="NXH244"/>
      <c r="NXI244"/>
      <c r="NXJ244"/>
      <c r="NXK244"/>
      <c r="NXL244"/>
      <c r="NXM244"/>
      <c r="NXN244"/>
      <c r="NXO244"/>
      <c r="NXP244"/>
      <c r="NXQ244"/>
      <c r="NXR244"/>
      <c r="NXS244"/>
      <c r="NXT244"/>
      <c r="NXU244"/>
      <c r="NXV244"/>
      <c r="NXW244"/>
      <c r="NXX244"/>
      <c r="NXY244"/>
      <c r="NXZ244"/>
      <c r="NYA244"/>
      <c r="NYB244"/>
      <c r="NYC244"/>
      <c r="NYD244"/>
      <c r="NYE244"/>
      <c r="NYF244"/>
      <c r="NYG244"/>
      <c r="NYH244"/>
      <c r="NYI244"/>
      <c r="NYJ244"/>
      <c r="NYK244"/>
      <c r="NYL244"/>
      <c r="NYM244"/>
      <c r="NYN244"/>
      <c r="NYO244"/>
      <c r="NYP244"/>
      <c r="NYQ244"/>
      <c r="NYR244"/>
      <c r="NYS244"/>
      <c r="NYT244"/>
      <c r="NYU244"/>
      <c r="NYV244"/>
      <c r="NYW244"/>
      <c r="NYX244"/>
      <c r="NYY244"/>
      <c r="NYZ244"/>
      <c r="NZA244"/>
      <c r="NZB244"/>
      <c r="NZC244"/>
      <c r="NZD244"/>
      <c r="NZE244"/>
      <c r="NZF244"/>
      <c r="NZG244"/>
      <c r="NZH244"/>
      <c r="NZI244"/>
      <c r="NZJ244"/>
      <c r="NZK244"/>
      <c r="NZL244"/>
      <c r="NZM244"/>
      <c r="NZN244"/>
      <c r="NZO244"/>
      <c r="NZP244"/>
      <c r="NZQ244"/>
      <c r="NZR244"/>
      <c r="NZS244"/>
      <c r="NZT244"/>
      <c r="NZU244"/>
      <c r="NZV244"/>
      <c r="NZW244"/>
      <c r="NZX244"/>
      <c r="NZY244"/>
      <c r="NZZ244"/>
      <c r="OAA244"/>
      <c r="OAB244"/>
      <c r="OAC244"/>
      <c r="OAD244"/>
      <c r="OAE244"/>
      <c r="OAF244"/>
      <c r="OAG244"/>
      <c r="OAH244"/>
      <c r="OAI244"/>
      <c r="OAJ244"/>
      <c r="OAK244"/>
      <c r="OAL244"/>
      <c r="OAM244"/>
      <c r="OAN244"/>
      <c r="OAO244"/>
      <c r="OAP244"/>
      <c r="OAQ244"/>
      <c r="OAR244"/>
      <c r="OAS244"/>
      <c r="OAT244"/>
      <c r="OAU244"/>
      <c r="OAV244"/>
      <c r="OAW244"/>
      <c r="OAX244"/>
      <c r="OAY244"/>
      <c r="OAZ244"/>
      <c r="OBA244"/>
      <c r="OBB244"/>
      <c r="OBC244"/>
      <c r="OBD244"/>
      <c r="OBE244"/>
      <c r="OBF244"/>
      <c r="OBG244"/>
      <c r="OBH244"/>
      <c r="OBI244"/>
      <c r="OBJ244"/>
      <c r="OBK244"/>
      <c r="OBL244"/>
      <c r="OBM244"/>
      <c r="OBN244"/>
      <c r="OBO244"/>
      <c r="OBP244"/>
      <c r="OBQ244"/>
      <c r="OBR244"/>
      <c r="OBS244"/>
      <c r="OBT244"/>
      <c r="OBU244"/>
      <c r="OBV244"/>
      <c r="OBW244"/>
      <c r="OBX244"/>
      <c r="OBY244"/>
      <c r="OBZ244"/>
      <c r="OCA244"/>
      <c r="OCB244"/>
      <c r="OCC244"/>
      <c r="OCD244"/>
      <c r="OCE244"/>
      <c r="OCF244"/>
      <c r="OCG244"/>
      <c r="OCH244"/>
      <c r="OCI244"/>
      <c r="OCJ244"/>
      <c r="OCK244"/>
      <c r="OCL244"/>
      <c r="OCM244"/>
      <c r="OCN244"/>
      <c r="OCO244"/>
      <c r="OCP244"/>
      <c r="OCQ244"/>
      <c r="OCR244"/>
      <c r="OCS244"/>
      <c r="OCT244"/>
      <c r="OCU244"/>
      <c r="OCV244"/>
      <c r="OCW244"/>
      <c r="OCX244"/>
      <c r="OCY244"/>
      <c r="OCZ244"/>
      <c r="ODA244"/>
      <c r="ODB244"/>
      <c r="ODC244"/>
      <c r="ODD244"/>
      <c r="ODE244"/>
      <c r="ODF244"/>
      <c r="ODG244"/>
      <c r="ODH244"/>
      <c r="ODI244"/>
      <c r="ODJ244"/>
      <c r="ODK244"/>
      <c r="ODL244"/>
      <c r="ODM244"/>
      <c r="ODN244"/>
      <c r="ODO244"/>
      <c r="ODP244"/>
      <c r="ODQ244"/>
      <c r="ODR244"/>
      <c r="ODS244"/>
      <c r="ODT244"/>
      <c r="ODU244"/>
      <c r="ODV244"/>
      <c r="ODW244"/>
      <c r="ODX244"/>
      <c r="ODY244"/>
      <c r="ODZ244"/>
      <c r="OEA244"/>
      <c r="OEB244"/>
      <c r="OEC244"/>
      <c r="OED244"/>
      <c r="OEE244"/>
      <c r="OEF244"/>
      <c r="OEG244"/>
      <c r="OEH244"/>
      <c r="OEI244"/>
      <c r="OEJ244"/>
      <c r="OEK244"/>
      <c r="OEL244"/>
      <c r="OEM244"/>
      <c r="OEN244"/>
      <c r="OEO244"/>
      <c r="OEP244"/>
      <c r="OEQ244"/>
      <c r="OER244"/>
      <c r="OES244"/>
      <c r="OET244"/>
      <c r="OEU244"/>
      <c r="OEV244"/>
      <c r="OEW244"/>
      <c r="OEX244"/>
      <c r="OEY244"/>
      <c r="OEZ244"/>
      <c r="OFA244"/>
      <c r="OFB244"/>
      <c r="OFC244"/>
      <c r="OFD244"/>
      <c r="OFE244"/>
      <c r="OFF244"/>
      <c r="OFG244"/>
      <c r="OFH244"/>
      <c r="OFI244"/>
      <c r="OFJ244"/>
      <c r="OFK244"/>
      <c r="OFL244"/>
      <c r="OFM244"/>
      <c r="OFN244"/>
      <c r="OFO244"/>
      <c r="OFP244"/>
      <c r="OFQ244"/>
      <c r="OFR244"/>
      <c r="OFS244"/>
      <c r="OFT244"/>
      <c r="OFU244"/>
      <c r="OFV244"/>
      <c r="OFW244"/>
      <c r="OFX244"/>
      <c r="OFY244"/>
      <c r="OFZ244"/>
      <c r="OGA244"/>
      <c r="OGB244"/>
      <c r="OGC244"/>
      <c r="OGD244"/>
      <c r="OGE244"/>
      <c r="OGF244"/>
      <c r="OGG244"/>
      <c r="OGH244"/>
      <c r="OGI244"/>
      <c r="OGJ244"/>
      <c r="OGK244"/>
      <c r="OGL244"/>
      <c r="OGM244"/>
      <c r="OGN244"/>
      <c r="OGO244"/>
      <c r="OGP244"/>
      <c r="OGQ244"/>
      <c r="OGR244"/>
      <c r="OGS244"/>
      <c r="OGT244"/>
      <c r="OGU244"/>
      <c r="OGV244"/>
      <c r="OGW244"/>
      <c r="OGX244"/>
      <c r="OGY244"/>
      <c r="OGZ244"/>
      <c r="OHA244"/>
      <c r="OHB244"/>
      <c r="OHC244"/>
      <c r="OHD244"/>
      <c r="OHE244"/>
      <c r="OHF244"/>
      <c r="OHG244"/>
      <c r="OHH244"/>
      <c r="OHI244"/>
      <c r="OHJ244"/>
      <c r="OHK244"/>
      <c r="OHL244"/>
      <c r="OHM244"/>
      <c r="OHN244"/>
      <c r="OHO244"/>
      <c r="OHP244"/>
      <c r="OHQ244"/>
      <c r="OHR244"/>
      <c r="OHS244"/>
      <c r="OHT244"/>
      <c r="OHU244"/>
      <c r="OHV244"/>
      <c r="OHW244"/>
      <c r="OHX244"/>
      <c r="OHY244"/>
      <c r="OHZ244"/>
      <c r="OIA244"/>
      <c r="OIB244"/>
      <c r="OIC244"/>
      <c r="OID244"/>
      <c r="OIE244"/>
      <c r="OIF244"/>
      <c r="OIG244"/>
      <c r="OIH244"/>
      <c r="OII244"/>
      <c r="OIJ244"/>
      <c r="OIK244"/>
      <c r="OIL244"/>
      <c r="OIM244"/>
      <c r="OIN244"/>
      <c r="OIO244"/>
      <c r="OIP244"/>
      <c r="OIQ244"/>
      <c r="OIR244"/>
      <c r="OIS244"/>
      <c r="OIT244"/>
      <c r="OIU244"/>
      <c r="OIV244"/>
      <c r="OIW244"/>
      <c r="OIX244"/>
      <c r="OIY244"/>
      <c r="OIZ244"/>
      <c r="OJA244"/>
      <c r="OJB244"/>
      <c r="OJC244"/>
      <c r="OJD244"/>
      <c r="OJE244"/>
      <c r="OJF244"/>
      <c r="OJG244"/>
      <c r="OJH244"/>
      <c r="OJI244"/>
      <c r="OJJ244"/>
      <c r="OJK244"/>
      <c r="OJL244"/>
      <c r="OJM244"/>
      <c r="OJN244"/>
      <c r="OJO244"/>
      <c r="OJP244"/>
      <c r="OJQ244"/>
      <c r="OJR244"/>
      <c r="OJS244"/>
      <c r="OJT244"/>
      <c r="OJU244"/>
      <c r="OJV244"/>
      <c r="OJW244"/>
      <c r="OJX244"/>
      <c r="OJY244"/>
      <c r="OJZ244"/>
      <c r="OKA244"/>
      <c r="OKB244"/>
      <c r="OKC244"/>
      <c r="OKD244"/>
      <c r="OKE244"/>
      <c r="OKF244"/>
      <c r="OKG244"/>
      <c r="OKH244"/>
      <c r="OKI244"/>
      <c r="OKJ244"/>
      <c r="OKK244"/>
      <c r="OKL244"/>
      <c r="OKM244"/>
      <c r="OKN244"/>
      <c r="OKO244"/>
      <c r="OKP244"/>
      <c r="OKQ244"/>
      <c r="OKR244"/>
      <c r="OKS244"/>
      <c r="OKT244"/>
      <c r="OKU244"/>
      <c r="OKV244"/>
      <c r="OKW244"/>
      <c r="OKX244"/>
      <c r="OKY244"/>
      <c r="OKZ244"/>
      <c r="OLA244"/>
      <c r="OLB244"/>
      <c r="OLC244"/>
      <c r="OLD244"/>
      <c r="OLE244"/>
      <c r="OLF244"/>
      <c r="OLG244"/>
      <c r="OLH244"/>
      <c r="OLI244"/>
      <c r="OLJ244"/>
      <c r="OLK244"/>
      <c r="OLL244"/>
      <c r="OLM244"/>
      <c r="OLN244"/>
      <c r="OLO244"/>
      <c r="OLP244"/>
      <c r="OLQ244"/>
      <c r="OLR244"/>
      <c r="OLS244"/>
      <c r="OLT244"/>
      <c r="OLU244"/>
      <c r="OLV244"/>
      <c r="OLW244"/>
      <c r="OLX244"/>
      <c r="OLY244"/>
      <c r="OLZ244"/>
      <c r="OMA244"/>
      <c r="OMB244"/>
      <c r="OMC244"/>
      <c r="OMD244"/>
      <c r="OME244"/>
      <c r="OMF244"/>
      <c r="OMG244"/>
      <c r="OMH244"/>
      <c r="OMI244"/>
      <c r="OMJ244"/>
      <c r="OMK244"/>
      <c r="OML244"/>
      <c r="OMM244"/>
      <c r="OMN244"/>
      <c r="OMO244"/>
      <c r="OMP244"/>
      <c r="OMQ244"/>
      <c r="OMR244"/>
      <c r="OMS244"/>
      <c r="OMT244"/>
      <c r="OMU244"/>
      <c r="OMV244"/>
      <c r="OMW244"/>
      <c r="OMX244"/>
      <c r="OMY244"/>
      <c r="OMZ244"/>
      <c r="ONA244"/>
      <c r="ONB244"/>
      <c r="ONC244"/>
      <c r="OND244"/>
      <c r="ONE244"/>
      <c r="ONF244"/>
      <c r="ONG244"/>
      <c r="ONH244"/>
      <c r="ONI244"/>
      <c r="ONJ244"/>
      <c r="ONK244"/>
      <c r="ONL244"/>
      <c r="ONM244"/>
      <c r="ONN244"/>
      <c r="ONO244"/>
      <c r="ONP244"/>
      <c r="ONQ244"/>
      <c r="ONR244"/>
      <c r="ONS244"/>
      <c r="ONT244"/>
      <c r="ONU244"/>
      <c r="ONV244"/>
      <c r="ONW244"/>
      <c r="ONX244"/>
      <c r="ONY244"/>
      <c r="ONZ244"/>
      <c r="OOA244"/>
      <c r="OOB244"/>
      <c r="OOC244"/>
      <c r="OOD244"/>
      <c r="OOE244"/>
      <c r="OOF244"/>
      <c r="OOG244"/>
      <c r="OOH244"/>
      <c r="OOI244"/>
      <c r="OOJ244"/>
      <c r="OOK244"/>
      <c r="OOL244"/>
      <c r="OOM244"/>
      <c r="OON244"/>
      <c r="OOO244"/>
      <c r="OOP244"/>
      <c r="OOQ244"/>
      <c r="OOR244"/>
      <c r="OOS244"/>
      <c r="OOT244"/>
      <c r="OOU244"/>
      <c r="OOV244"/>
      <c r="OOW244"/>
      <c r="OOX244"/>
      <c r="OOY244"/>
      <c r="OOZ244"/>
      <c r="OPA244"/>
      <c r="OPB244"/>
      <c r="OPC244"/>
      <c r="OPD244"/>
      <c r="OPE244"/>
      <c r="OPF244"/>
      <c r="OPG244"/>
      <c r="OPH244"/>
      <c r="OPI244"/>
      <c r="OPJ244"/>
      <c r="OPK244"/>
      <c r="OPL244"/>
      <c r="OPM244"/>
      <c r="OPN244"/>
      <c r="OPO244"/>
      <c r="OPP244"/>
      <c r="OPQ244"/>
      <c r="OPR244"/>
      <c r="OPS244"/>
      <c r="OPT244"/>
      <c r="OPU244"/>
      <c r="OPV244"/>
      <c r="OPW244"/>
      <c r="OPX244"/>
      <c r="OPY244"/>
      <c r="OPZ244"/>
      <c r="OQA244"/>
      <c r="OQB244"/>
      <c r="OQC244"/>
      <c r="OQD244"/>
      <c r="OQE244"/>
      <c r="OQF244"/>
      <c r="OQG244"/>
      <c r="OQH244"/>
      <c r="OQI244"/>
      <c r="OQJ244"/>
      <c r="OQK244"/>
      <c r="OQL244"/>
      <c r="OQM244"/>
      <c r="OQN244"/>
      <c r="OQO244"/>
      <c r="OQP244"/>
      <c r="OQQ244"/>
      <c r="OQR244"/>
      <c r="OQS244"/>
      <c r="OQT244"/>
      <c r="OQU244"/>
      <c r="OQV244"/>
      <c r="OQW244"/>
      <c r="OQX244"/>
      <c r="OQY244"/>
      <c r="OQZ244"/>
      <c r="ORA244"/>
      <c r="ORB244"/>
      <c r="ORC244"/>
      <c r="ORD244"/>
      <c r="ORE244"/>
      <c r="ORF244"/>
      <c r="ORG244"/>
      <c r="ORH244"/>
      <c r="ORI244"/>
      <c r="ORJ244"/>
      <c r="ORK244"/>
      <c r="ORL244"/>
      <c r="ORM244"/>
      <c r="ORN244"/>
      <c r="ORO244"/>
      <c r="ORP244"/>
      <c r="ORQ244"/>
      <c r="ORR244"/>
      <c r="ORS244"/>
      <c r="ORT244"/>
      <c r="ORU244"/>
      <c r="ORV244"/>
      <c r="ORW244"/>
      <c r="ORX244"/>
      <c r="ORY244"/>
      <c r="ORZ244"/>
      <c r="OSA244"/>
      <c r="OSB244"/>
      <c r="OSC244"/>
      <c r="OSD244"/>
      <c r="OSE244"/>
      <c r="OSF244"/>
      <c r="OSG244"/>
      <c r="OSH244"/>
      <c r="OSI244"/>
      <c r="OSJ244"/>
      <c r="OSK244"/>
      <c r="OSL244"/>
      <c r="OSM244"/>
      <c r="OSN244"/>
      <c r="OSO244"/>
      <c r="OSP244"/>
      <c r="OSQ244"/>
      <c r="OSR244"/>
      <c r="OSS244"/>
      <c r="OST244"/>
      <c r="OSU244"/>
      <c r="OSV244"/>
      <c r="OSW244"/>
      <c r="OSX244"/>
      <c r="OSY244"/>
      <c r="OSZ244"/>
      <c r="OTA244"/>
      <c r="OTB244"/>
      <c r="OTC244"/>
      <c r="OTD244"/>
      <c r="OTE244"/>
      <c r="OTF244"/>
      <c r="OTG244"/>
      <c r="OTH244"/>
      <c r="OTI244"/>
      <c r="OTJ244"/>
      <c r="OTK244"/>
      <c r="OTL244"/>
      <c r="OTM244"/>
      <c r="OTN244"/>
      <c r="OTO244"/>
      <c r="OTP244"/>
      <c r="OTQ244"/>
      <c r="OTR244"/>
      <c r="OTS244"/>
      <c r="OTT244"/>
      <c r="OTU244"/>
      <c r="OTV244"/>
      <c r="OTW244"/>
      <c r="OTX244"/>
      <c r="OTY244"/>
      <c r="OTZ244"/>
      <c r="OUA244"/>
      <c r="OUB244"/>
      <c r="OUC244"/>
      <c r="OUD244"/>
      <c r="OUE244"/>
      <c r="OUF244"/>
      <c r="OUG244"/>
      <c r="OUH244"/>
      <c r="OUI244"/>
      <c r="OUJ244"/>
      <c r="OUK244"/>
      <c r="OUL244"/>
      <c r="OUM244"/>
      <c r="OUN244"/>
      <c r="OUO244"/>
      <c r="OUP244"/>
      <c r="OUQ244"/>
      <c r="OUR244"/>
      <c r="OUS244"/>
      <c r="OUT244"/>
      <c r="OUU244"/>
      <c r="OUV244"/>
      <c r="OUW244"/>
      <c r="OUX244"/>
      <c r="OUY244"/>
      <c r="OUZ244"/>
      <c r="OVA244"/>
      <c r="OVB244"/>
      <c r="OVC244"/>
      <c r="OVD244"/>
      <c r="OVE244"/>
      <c r="OVF244"/>
      <c r="OVG244"/>
      <c r="OVH244"/>
      <c r="OVI244"/>
      <c r="OVJ244"/>
      <c r="OVK244"/>
      <c r="OVL244"/>
      <c r="OVM244"/>
      <c r="OVN244"/>
      <c r="OVO244"/>
      <c r="OVP244"/>
      <c r="OVQ244"/>
      <c r="OVR244"/>
      <c r="OVS244"/>
      <c r="OVT244"/>
      <c r="OVU244"/>
      <c r="OVV244"/>
      <c r="OVW244"/>
      <c r="OVX244"/>
      <c r="OVY244"/>
      <c r="OVZ244"/>
      <c r="OWA244"/>
      <c r="OWB244"/>
      <c r="OWC244"/>
      <c r="OWD244"/>
      <c r="OWE244"/>
      <c r="OWF244"/>
      <c r="OWG244"/>
      <c r="OWH244"/>
      <c r="OWI244"/>
      <c r="OWJ244"/>
      <c r="OWK244"/>
      <c r="OWL244"/>
      <c r="OWM244"/>
      <c r="OWN244"/>
      <c r="OWO244"/>
      <c r="OWP244"/>
      <c r="OWQ244"/>
      <c r="OWR244"/>
      <c r="OWS244"/>
      <c r="OWT244"/>
      <c r="OWU244"/>
      <c r="OWV244"/>
      <c r="OWW244"/>
      <c r="OWX244"/>
      <c r="OWY244"/>
      <c r="OWZ244"/>
      <c r="OXA244"/>
      <c r="OXB244"/>
      <c r="OXC244"/>
      <c r="OXD244"/>
      <c r="OXE244"/>
      <c r="OXF244"/>
      <c r="OXG244"/>
      <c r="OXH244"/>
      <c r="OXI244"/>
      <c r="OXJ244"/>
      <c r="OXK244"/>
      <c r="OXL244"/>
      <c r="OXM244"/>
      <c r="OXN244"/>
      <c r="OXO244"/>
      <c r="OXP244"/>
      <c r="OXQ244"/>
      <c r="OXR244"/>
      <c r="OXS244"/>
      <c r="OXT244"/>
      <c r="OXU244"/>
      <c r="OXV244"/>
      <c r="OXW244"/>
      <c r="OXX244"/>
      <c r="OXY244"/>
      <c r="OXZ244"/>
      <c r="OYA244"/>
      <c r="OYB244"/>
      <c r="OYC244"/>
      <c r="OYD244"/>
      <c r="OYE244"/>
      <c r="OYF244"/>
      <c r="OYG244"/>
      <c r="OYH244"/>
      <c r="OYI244"/>
      <c r="OYJ244"/>
      <c r="OYK244"/>
      <c r="OYL244"/>
      <c r="OYM244"/>
      <c r="OYN244"/>
      <c r="OYO244"/>
      <c r="OYP244"/>
      <c r="OYQ244"/>
      <c r="OYR244"/>
      <c r="OYS244"/>
      <c r="OYT244"/>
      <c r="OYU244"/>
      <c r="OYV244"/>
      <c r="OYW244"/>
      <c r="OYX244"/>
      <c r="OYY244"/>
      <c r="OYZ244"/>
      <c r="OZA244"/>
      <c r="OZB244"/>
      <c r="OZC244"/>
      <c r="OZD244"/>
      <c r="OZE244"/>
      <c r="OZF244"/>
      <c r="OZG244"/>
      <c r="OZH244"/>
      <c r="OZI244"/>
      <c r="OZJ244"/>
      <c r="OZK244"/>
      <c r="OZL244"/>
      <c r="OZM244"/>
      <c r="OZN244"/>
      <c r="OZO244"/>
      <c r="OZP244"/>
      <c r="OZQ244"/>
      <c r="OZR244"/>
      <c r="OZS244"/>
      <c r="OZT244"/>
      <c r="OZU244"/>
      <c r="OZV244"/>
      <c r="OZW244"/>
      <c r="OZX244"/>
      <c r="OZY244"/>
      <c r="OZZ244"/>
      <c r="PAA244"/>
      <c r="PAB244"/>
      <c r="PAC244"/>
      <c r="PAD244"/>
      <c r="PAE244"/>
      <c r="PAF244"/>
      <c r="PAG244"/>
      <c r="PAH244"/>
      <c r="PAI244"/>
      <c r="PAJ244"/>
      <c r="PAK244"/>
      <c r="PAL244"/>
      <c r="PAM244"/>
      <c r="PAN244"/>
      <c r="PAO244"/>
      <c r="PAP244"/>
      <c r="PAQ244"/>
      <c r="PAR244"/>
      <c r="PAS244"/>
      <c r="PAT244"/>
      <c r="PAU244"/>
      <c r="PAV244"/>
      <c r="PAW244"/>
      <c r="PAX244"/>
      <c r="PAY244"/>
      <c r="PAZ244"/>
      <c r="PBA244"/>
      <c r="PBB244"/>
      <c r="PBC244"/>
      <c r="PBD244"/>
      <c r="PBE244"/>
      <c r="PBF244"/>
      <c r="PBG244"/>
      <c r="PBH244"/>
      <c r="PBI244"/>
      <c r="PBJ244"/>
      <c r="PBK244"/>
      <c r="PBL244"/>
      <c r="PBM244"/>
      <c r="PBN244"/>
      <c r="PBO244"/>
      <c r="PBP244"/>
      <c r="PBQ244"/>
      <c r="PBR244"/>
      <c r="PBS244"/>
      <c r="PBT244"/>
      <c r="PBU244"/>
      <c r="PBV244"/>
      <c r="PBW244"/>
      <c r="PBX244"/>
      <c r="PBY244"/>
      <c r="PBZ244"/>
      <c r="PCA244"/>
      <c r="PCB244"/>
      <c r="PCC244"/>
      <c r="PCD244"/>
      <c r="PCE244"/>
      <c r="PCF244"/>
      <c r="PCG244"/>
      <c r="PCH244"/>
      <c r="PCI244"/>
      <c r="PCJ244"/>
      <c r="PCK244"/>
      <c r="PCL244"/>
      <c r="PCM244"/>
      <c r="PCN244"/>
      <c r="PCO244"/>
      <c r="PCP244"/>
      <c r="PCQ244"/>
      <c r="PCR244"/>
      <c r="PCS244"/>
      <c r="PCT244"/>
      <c r="PCU244"/>
      <c r="PCV244"/>
      <c r="PCW244"/>
      <c r="PCX244"/>
      <c r="PCY244"/>
      <c r="PCZ244"/>
      <c r="PDA244"/>
      <c r="PDB244"/>
      <c r="PDC244"/>
      <c r="PDD244"/>
      <c r="PDE244"/>
      <c r="PDF244"/>
      <c r="PDG244"/>
      <c r="PDH244"/>
      <c r="PDI244"/>
      <c r="PDJ244"/>
      <c r="PDK244"/>
      <c r="PDL244"/>
      <c r="PDM244"/>
      <c r="PDN244"/>
      <c r="PDO244"/>
      <c r="PDP244"/>
      <c r="PDQ244"/>
      <c r="PDR244"/>
      <c r="PDS244"/>
      <c r="PDT244"/>
      <c r="PDU244"/>
      <c r="PDV244"/>
      <c r="PDW244"/>
      <c r="PDX244"/>
      <c r="PDY244"/>
      <c r="PDZ244"/>
      <c r="PEA244"/>
      <c r="PEB244"/>
      <c r="PEC244"/>
      <c r="PED244"/>
      <c r="PEE244"/>
      <c r="PEF244"/>
      <c r="PEG244"/>
      <c r="PEH244"/>
      <c r="PEI244"/>
      <c r="PEJ244"/>
      <c r="PEK244"/>
      <c r="PEL244"/>
      <c r="PEM244"/>
      <c r="PEN244"/>
      <c r="PEO244"/>
      <c r="PEP244"/>
      <c r="PEQ244"/>
      <c r="PER244"/>
      <c r="PES244"/>
      <c r="PET244"/>
      <c r="PEU244"/>
      <c r="PEV244"/>
      <c r="PEW244"/>
      <c r="PEX244"/>
      <c r="PEY244"/>
      <c r="PEZ244"/>
      <c r="PFA244"/>
      <c r="PFB244"/>
      <c r="PFC244"/>
      <c r="PFD244"/>
      <c r="PFE244"/>
      <c r="PFF244"/>
      <c r="PFG244"/>
      <c r="PFH244"/>
      <c r="PFI244"/>
      <c r="PFJ244"/>
      <c r="PFK244"/>
      <c r="PFL244"/>
      <c r="PFM244"/>
      <c r="PFN244"/>
      <c r="PFO244"/>
      <c r="PFP244"/>
      <c r="PFQ244"/>
      <c r="PFR244"/>
      <c r="PFS244"/>
      <c r="PFT244"/>
      <c r="PFU244"/>
      <c r="PFV244"/>
      <c r="PFW244"/>
      <c r="PFX244"/>
      <c r="PFY244"/>
      <c r="PFZ244"/>
      <c r="PGA244"/>
      <c r="PGB244"/>
      <c r="PGC244"/>
      <c r="PGD244"/>
      <c r="PGE244"/>
      <c r="PGF244"/>
      <c r="PGG244"/>
      <c r="PGH244"/>
      <c r="PGI244"/>
      <c r="PGJ244"/>
      <c r="PGK244"/>
      <c r="PGL244"/>
      <c r="PGM244"/>
      <c r="PGN244"/>
      <c r="PGO244"/>
      <c r="PGP244"/>
      <c r="PGQ244"/>
      <c r="PGR244"/>
      <c r="PGS244"/>
      <c r="PGT244"/>
      <c r="PGU244"/>
      <c r="PGV244"/>
      <c r="PGW244"/>
      <c r="PGX244"/>
      <c r="PGY244"/>
      <c r="PGZ244"/>
      <c r="PHA244"/>
      <c r="PHB244"/>
      <c r="PHC244"/>
      <c r="PHD244"/>
      <c r="PHE244"/>
      <c r="PHF244"/>
      <c r="PHG244"/>
      <c r="PHH244"/>
      <c r="PHI244"/>
      <c r="PHJ244"/>
      <c r="PHK244"/>
      <c r="PHL244"/>
      <c r="PHM244"/>
      <c r="PHN244"/>
      <c r="PHO244"/>
      <c r="PHP244"/>
      <c r="PHQ244"/>
      <c r="PHR244"/>
      <c r="PHS244"/>
      <c r="PHT244"/>
      <c r="PHU244"/>
      <c r="PHV244"/>
      <c r="PHW244"/>
      <c r="PHX244"/>
      <c r="PHY244"/>
      <c r="PHZ244"/>
      <c r="PIA244"/>
      <c r="PIB244"/>
      <c r="PIC244"/>
      <c r="PID244"/>
      <c r="PIE244"/>
      <c r="PIF244"/>
      <c r="PIG244"/>
      <c r="PIH244"/>
      <c r="PII244"/>
      <c r="PIJ244"/>
      <c r="PIK244"/>
      <c r="PIL244"/>
      <c r="PIM244"/>
      <c r="PIN244"/>
      <c r="PIO244"/>
      <c r="PIP244"/>
      <c r="PIQ244"/>
      <c r="PIR244"/>
      <c r="PIS244"/>
      <c r="PIT244"/>
      <c r="PIU244"/>
      <c r="PIV244"/>
      <c r="PIW244"/>
      <c r="PIX244"/>
      <c r="PIY244"/>
      <c r="PIZ244"/>
      <c r="PJA244"/>
      <c r="PJB244"/>
      <c r="PJC244"/>
      <c r="PJD244"/>
      <c r="PJE244"/>
      <c r="PJF244"/>
      <c r="PJG244"/>
      <c r="PJH244"/>
      <c r="PJI244"/>
      <c r="PJJ244"/>
      <c r="PJK244"/>
      <c r="PJL244"/>
      <c r="PJM244"/>
      <c r="PJN244"/>
      <c r="PJO244"/>
      <c r="PJP244"/>
      <c r="PJQ244"/>
      <c r="PJR244"/>
      <c r="PJS244"/>
      <c r="PJT244"/>
      <c r="PJU244"/>
      <c r="PJV244"/>
      <c r="PJW244"/>
      <c r="PJX244"/>
      <c r="PJY244"/>
      <c r="PJZ244"/>
      <c r="PKA244"/>
      <c r="PKB244"/>
      <c r="PKC244"/>
      <c r="PKD244"/>
      <c r="PKE244"/>
      <c r="PKF244"/>
      <c r="PKG244"/>
      <c r="PKH244"/>
      <c r="PKI244"/>
      <c r="PKJ244"/>
      <c r="PKK244"/>
      <c r="PKL244"/>
      <c r="PKM244"/>
      <c r="PKN244"/>
      <c r="PKO244"/>
      <c r="PKP244"/>
      <c r="PKQ244"/>
      <c r="PKR244"/>
      <c r="PKS244"/>
      <c r="PKT244"/>
      <c r="PKU244"/>
      <c r="PKV244"/>
      <c r="PKW244"/>
      <c r="PKX244"/>
      <c r="PKY244"/>
      <c r="PKZ244"/>
      <c r="PLA244"/>
      <c r="PLB244"/>
      <c r="PLC244"/>
      <c r="PLD244"/>
      <c r="PLE244"/>
      <c r="PLF244"/>
      <c r="PLG244"/>
      <c r="PLH244"/>
      <c r="PLI244"/>
      <c r="PLJ244"/>
      <c r="PLK244"/>
      <c r="PLL244"/>
      <c r="PLM244"/>
      <c r="PLN244"/>
      <c r="PLO244"/>
      <c r="PLP244"/>
      <c r="PLQ244"/>
      <c r="PLR244"/>
      <c r="PLS244"/>
      <c r="PLT244"/>
      <c r="PLU244"/>
      <c r="PLV244"/>
      <c r="PLW244"/>
      <c r="PLX244"/>
      <c r="PLY244"/>
      <c r="PLZ244"/>
      <c r="PMA244"/>
      <c r="PMB244"/>
      <c r="PMC244"/>
      <c r="PMD244"/>
      <c r="PME244"/>
      <c r="PMF244"/>
      <c r="PMG244"/>
      <c r="PMH244"/>
      <c r="PMI244"/>
      <c r="PMJ244"/>
      <c r="PMK244"/>
      <c r="PML244"/>
      <c r="PMM244"/>
      <c r="PMN244"/>
      <c r="PMO244"/>
      <c r="PMP244"/>
      <c r="PMQ244"/>
      <c r="PMR244"/>
      <c r="PMS244"/>
      <c r="PMT244"/>
      <c r="PMU244"/>
      <c r="PMV244"/>
      <c r="PMW244"/>
      <c r="PMX244"/>
      <c r="PMY244"/>
      <c r="PMZ244"/>
      <c r="PNA244"/>
      <c r="PNB244"/>
      <c r="PNC244"/>
      <c r="PND244"/>
      <c r="PNE244"/>
      <c r="PNF244"/>
      <c r="PNG244"/>
      <c r="PNH244"/>
      <c r="PNI244"/>
      <c r="PNJ244"/>
      <c r="PNK244"/>
      <c r="PNL244"/>
      <c r="PNM244"/>
      <c r="PNN244"/>
      <c r="PNO244"/>
      <c r="PNP244"/>
      <c r="PNQ244"/>
      <c r="PNR244"/>
      <c r="PNS244"/>
      <c r="PNT244"/>
      <c r="PNU244"/>
      <c r="PNV244"/>
      <c r="PNW244"/>
      <c r="PNX244"/>
      <c r="PNY244"/>
      <c r="PNZ244"/>
      <c r="POA244"/>
      <c r="POB244"/>
      <c r="POC244"/>
      <c r="POD244"/>
      <c r="POE244"/>
      <c r="POF244"/>
      <c r="POG244"/>
      <c r="POH244"/>
      <c r="POI244"/>
      <c r="POJ244"/>
      <c r="POK244"/>
      <c r="POL244"/>
      <c r="POM244"/>
      <c r="PON244"/>
      <c r="POO244"/>
      <c r="POP244"/>
      <c r="POQ244"/>
      <c r="POR244"/>
      <c r="POS244"/>
      <c r="POT244"/>
      <c r="POU244"/>
      <c r="POV244"/>
      <c r="POW244"/>
      <c r="POX244"/>
      <c r="POY244"/>
      <c r="POZ244"/>
      <c r="PPA244"/>
      <c r="PPB244"/>
      <c r="PPC244"/>
      <c r="PPD244"/>
      <c r="PPE244"/>
      <c r="PPF244"/>
      <c r="PPG244"/>
      <c r="PPH244"/>
      <c r="PPI244"/>
      <c r="PPJ244"/>
      <c r="PPK244"/>
      <c r="PPL244"/>
      <c r="PPM244"/>
      <c r="PPN244"/>
      <c r="PPO244"/>
      <c r="PPP244"/>
      <c r="PPQ244"/>
      <c r="PPR244"/>
      <c r="PPS244"/>
      <c r="PPT244"/>
      <c r="PPU244"/>
      <c r="PPV244"/>
      <c r="PPW244"/>
      <c r="PPX244"/>
      <c r="PPY244"/>
      <c r="PPZ244"/>
      <c r="PQA244"/>
      <c r="PQB244"/>
      <c r="PQC244"/>
      <c r="PQD244"/>
      <c r="PQE244"/>
      <c r="PQF244"/>
      <c r="PQG244"/>
      <c r="PQH244"/>
      <c r="PQI244"/>
      <c r="PQJ244"/>
      <c r="PQK244"/>
      <c r="PQL244"/>
      <c r="PQM244"/>
      <c r="PQN244"/>
      <c r="PQO244"/>
      <c r="PQP244"/>
      <c r="PQQ244"/>
      <c r="PQR244"/>
      <c r="PQS244"/>
      <c r="PQT244"/>
      <c r="PQU244"/>
      <c r="PQV244"/>
      <c r="PQW244"/>
      <c r="PQX244"/>
      <c r="PQY244"/>
      <c r="PQZ244"/>
      <c r="PRA244"/>
      <c r="PRB244"/>
      <c r="PRC244"/>
      <c r="PRD244"/>
      <c r="PRE244"/>
      <c r="PRF244"/>
      <c r="PRG244"/>
      <c r="PRH244"/>
      <c r="PRI244"/>
      <c r="PRJ244"/>
      <c r="PRK244"/>
      <c r="PRL244"/>
      <c r="PRM244"/>
      <c r="PRN244"/>
      <c r="PRO244"/>
      <c r="PRP244"/>
      <c r="PRQ244"/>
      <c r="PRR244"/>
      <c r="PRS244"/>
      <c r="PRT244"/>
      <c r="PRU244"/>
      <c r="PRV244"/>
      <c r="PRW244"/>
      <c r="PRX244"/>
      <c r="PRY244"/>
      <c r="PRZ244"/>
      <c r="PSA244"/>
      <c r="PSB244"/>
      <c r="PSC244"/>
      <c r="PSD244"/>
      <c r="PSE244"/>
      <c r="PSF244"/>
      <c r="PSG244"/>
      <c r="PSH244"/>
      <c r="PSI244"/>
      <c r="PSJ244"/>
      <c r="PSK244"/>
      <c r="PSL244"/>
      <c r="PSM244"/>
      <c r="PSN244"/>
      <c r="PSO244"/>
      <c r="PSP244"/>
      <c r="PSQ244"/>
      <c r="PSR244"/>
      <c r="PSS244"/>
      <c r="PST244"/>
      <c r="PSU244"/>
      <c r="PSV244"/>
      <c r="PSW244"/>
      <c r="PSX244"/>
      <c r="PSY244"/>
      <c r="PSZ244"/>
      <c r="PTA244"/>
      <c r="PTB244"/>
      <c r="PTC244"/>
      <c r="PTD244"/>
      <c r="PTE244"/>
      <c r="PTF244"/>
      <c r="PTG244"/>
      <c r="PTH244"/>
      <c r="PTI244"/>
      <c r="PTJ244"/>
      <c r="PTK244"/>
      <c r="PTL244"/>
      <c r="PTM244"/>
      <c r="PTN244"/>
      <c r="PTO244"/>
      <c r="PTP244"/>
      <c r="PTQ244"/>
      <c r="PTR244"/>
      <c r="PTS244"/>
      <c r="PTT244"/>
      <c r="PTU244"/>
      <c r="PTV244"/>
      <c r="PTW244"/>
      <c r="PTX244"/>
      <c r="PTY244"/>
      <c r="PTZ244"/>
      <c r="PUA244"/>
      <c r="PUB244"/>
      <c r="PUC244"/>
      <c r="PUD244"/>
      <c r="PUE244"/>
      <c r="PUF244"/>
      <c r="PUG244"/>
      <c r="PUH244"/>
      <c r="PUI244"/>
      <c r="PUJ244"/>
      <c r="PUK244"/>
      <c r="PUL244"/>
      <c r="PUM244"/>
      <c r="PUN244"/>
      <c r="PUO244"/>
      <c r="PUP244"/>
      <c r="PUQ244"/>
      <c r="PUR244"/>
      <c r="PUS244"/>
      <c r="PUT244"/>
      <c r="PUU244"/>
      <c r="PUV244"/>
      <c r="PUW244"/>
      <c r="PUX244"/>
      <c r="PUY244"/>
      <c r="PUZ244"/>
      <c r="PVA244"/>
      <c r="PVB244"/>
      <c r="PVC244"/>
      <c r="PVD244"/>
      <c r="PVE244"/>
      <c r="PVF244"/>
      <c r="PVG244"/>
      <c r="PVH244"/>
      <c r="PVI244"/>
      <c r="PVJ244"/>
      <c r="PVK244"/>
      <c r="PVL244"/>
      <c r="PVM244"/>
      <c r="PVN244"/>
      <c r="PVO244"/>
      <c r="PVP244"/>
      <c r="PVQ244"/>
      <c r="PVR244"/>
      <c r="PVS244"/>
      <c r="PVT244"/>
      <c r="PVU244"/>
      <c r="PVV244"/>
      <c r="PVW244"/>
      <c r="PVX244"/>
      <c r="PVY244"/>
      <c r="PVZ244"/>
      <c r="PWA244"/>
      <c r="PWB244"/>
      <c r="PWC244"/>
      <c r="PWD244"/>
      <c r="PWE244"/>
      <c r="PWF244"/>
      <c r="PWG244"/>
      <c r="PWH244"/>
      <c r="PWI244"/>
      <c r="PWJ244"/>
      <c r="PWK244"/>
      <c r="PWL244"/>
      <c r="PWM244"/>
      <c r="PWN244"/>
      <c r="PWO244"/>
      <c r="PWP244"/>
      <c r="PWQ244"/>
      <c r="PWR244"/>
      <c r="PWS244"/>
      <c r="PWT244"/>
      <c r="PWU244"/>
      <c r="PWV244"/>
      <c r="PWW244"/>
      <c r="PWX244"/>
      <c r="PWY244"/>
      <c r="PWZ244"/>
      <c r="PXA244"/>
      <c r="PXB244"/>
      <c r="PXC244"/>
      <c r="PXD244"/>
      <c r="PXE244"/>
      <c r="PXF244"/>
      <c r="PXG244"/>
      <c r="PXH244"/>
      <c r="PXI244"/>
      <c r="PXJ244"/>
      <c r="PXK244"/>
      <c r="PXL244"/>
      <c r="PXM244"/>
      <c r="PXN244"/>
      <c r="PXO244"/>
      <c r="PXP244"/>
      <c r="PXQ244"/>
      <c r="PXR244"/>
      <c r="PXS244"/>
      <c r="PXT244"/>
      <c r="PXU244"/>
      <c r="PXV244"/>
      <c r="PXW244"/>
      <c r="PXX244"/>
      <c r="PXY244"/>
      <c r="PXZ244"/>
      <c r="PYA244"/>
      <c r="PYB244"/>
      <c r="PYC244"/>
      <c r="PYD244"/>
      <c r="PYE244"/>
      <c r="PYF244"/>
      <c r="PYG244"/>
      <c r="PYH244"/>
      <c r="PYI244"/>
      <c r="PYJ244"/>
      <c r="PYK244"/>
      <c r="PYL244"/>
      <c r="PYM244"/>
      <c r="PYN244"/>
      <c r="PYO244"/>
      <c r="PYP244"/>
      <c r="PYQ244"/>
      <c r="PYR244"/>
      <c r="PYS244"/>
      <c r="PYT244"/>
      <c r="PYU244"/>
      <c r="PYV244"/>
      <c r="PYW244"/>
      <c r="PYX244"/>
      <c r="PYY244"/>
      <c r="PYZ244"/>
      <c r="PZA244"/>
      <c r="PZB244"/>
      <c r="PZC244"/>
      <c r="PZD244"/>
      <c r="PZE244"/>
      <c r="PZF244"/>
      <c r="PZG244"/>
      <c r="PZH244"/>
      <c r="PZI244"/>
      <c r="PZJ244"/>
      <c r="PZK244"/>
      <c r="PZL244"/>
      <c r="PZM244"/>
      <c r="PZN244"/>
      <c r="PZO244"/>
      <c r="PZP244"/>
      <c r="PZQ244"/>
      <c r="PZR244"/>
      <c r="PZS244"/>
      <c r="PZT244"/>
      <c r="PZU244"/>
      <c r="PZV244"/>
      <c r="PZW244"/>
      <c r="PZX244"/>
      <c r="PZY244"/>
      <c r="PZZ244"/>
      <c r="QAA244"/>
      <c r="QAB244"/>
      <c r="QAC244"/>
      <c r="QAD244"/>
      <c r="QAE244"/>
      <c r="QAF244"/>
      <c r="QAG244"/>
      <c r="QAH244"/>
      <c r="QAI244"/>
      <c r="QAJ244"/>
      <c r="QAK244"/>
      <c r="QAL244"/>
      <c r="QAM244"/>
      <c r="QAN244"/>
      <c r="QAO244"/>
      <c r="QAP244"/>
      <c r="QAQ244"/>
      <c r="QAR244"/>
      <c r="QAS244"/>
      <c r="QAT244"/>
      <c r="QAU244"/>
      <c r="QAV244"/>
      <c r="QAW244"/>
      <c r="QAX244"/>
      <c r="QAY244"/>
      <c r="QAZ244"/>
      <c r="QBA244"/>
      <c r="QBB244"/>
      <c r="QBC244"/>
      <c r="QBD244"/>
      <c r="QBE244"/>
      <c r="QBF244"/>
      <c r="QBG244"/>
      <c r="QBH244"/>
      <c r="QBI244"/>
      <c r="QBJ244"/>
      <c r="QBK244"/>
      <c r="QBL244"/>
      <c r="QBM244"/>
      <c r="QBN244"/>
      <c r="QBO244"/>
      <c r="QBP244"/>
      <c r="QBQ244"/>
      <c r="QBR244"/>
      <c r="QBS244"/>
      <c r="QBT244"/>
      <c r="QBU244"/>
      <c r="QBV244"/>
      <c r="QBW244"/>
      <c r="QBX244"/>
      <c r="QBY244"/>
      <c r="QBZ244"/>
      <c r="QCA244"/>
      <c r="QCB244"/>
      <c r="QCC244"/>
      <c r="QCD244"/>
      <c r="QCE244"/>
      <c r="QCF244"/>
      <c r="QCG244"/>
      <c r="QCH244"/>
      <c r="QCI244"/>
      <c r="QCJ244"/>
      <c r="QCK244"/>
      <c r="QCL244"/>
      <c r="QCM244"/>
      <c r="QCN244"/>
      <c r="QCO244"/>
      <c r="QCP244"/>
      <c r="QCQ244"/>
      <c r="QCR244"/>
      <c r="QCS244"/>
      <c r="QCT244"/>
      <c r="QCU244"/>
      <c r="QCV244"/>
      <c r="QCW244"/>
      <c r="QCX244"/>
      <c r="QCY244"/>
      <c r="QCZ244"/>
      <c r="QDA244"/>
      <c r="QDB244"/>
      <c r="QDC244"/>
      <c r="QDD244"/>
      <c r="QDE244"/>
      <c r="QDF244"/>
      <c r="QDG244"/>
      <c r="QDH244"/>
      <c r="QDI244"/>
      <c r="QDJ244"/>
      <c r="QDK244"/>
      <c r="QDL244"/>
      <c r="QDM244"/>
      <c r="QDN244"/>
      <c r="QDO244"/>
      <c r="QDP244"/>
      <c r="QDQ244"/>
      <c r="QDR244"/>
      <c r="QDS244"/>
      <c r="QDT244"/>
      <c r="QDU244"/>
      <c r="QDV244"/>
      <c r="QDW244"/>
      <c r="QDX244"/>
      <c r="QDY244"/>
      <c r="QDZ244"/>
      <c r="QEA244"/>
      <c r="QEB244"/>
      <c r="QEC244"/>
      <c r="QED244"/>
      <c r="QEE244"/>
      <c r="QEF244"/>
      <c r="QEG244"/>
      <c r="QEH244"/>
      <c r="QEI244"/>
      <c r="QEJ244"/>
      <c r="QEK244"/>
      <c r="QEL244"/>
      <c r="QEM244"/>
      <c r="QEN244"/>
      <c r="QEO244"/>
      <c r="QEP244"/>
      <c r="QEQ244"/>
      <c r="QER244"/>
      <c r="QES244"/>
      <c r="QET244"/>
      <c r="QEU244"/>
      <c r="QEV244"/>
      <c r="QEW244"/>
      <c r="QEX244"/>
      <c r="QEY244"/>
      <c r="QEZ244"/>
      <c r="QFA244"/>
      <c r="QFB244"/>
      <c r="QFC244"/>
      <c r="QFD244"/>
      <c r="QFE244"/>
      <c r="QFF244"/>
      <c r="QFG244"/>
      <c r="QFH244"/>
      <c r="QFI244"/>
      <c r="QFJ244"/>
      <c r="QFK244"/>
      <c r="QFL244"/>
      <c r="QFM244"/>
      <c r="QFN244"/>
      <c r="QFO244"/>
      <c r="QFP244"/>
      <c r="QFQ244"/>
      <c r="QFR244"/>
      <c r="QFS244"/>
      <c r="QFT244"/>
      <c r="QFU244"/>
      <c r="QFV244"/>
      <c r="QFW244"/>
      <c r="QFX244"/>
      <c r="QFY244"/>
      <c r="QFZ244"/>
      <c r="QGA244"/>
      <c r="QGB244"/>
      <c r="QGC244"/>
      <c r="QGD244"/>
      <c r="QGE244"/>
      <c r="QGF244"/>
      <c r="QGG244"/>
      <c r="QGH244"/>
      <c r="QGI244"/>
      <c r="QGJ244"/>
      <c r="QGK244"/>
      <c r="QGL244"/>
      <c r="QGM244"/>
      <c r="QGN244"/>
      <c r="QGO244"/>
      <c r="QGP244"/>
      <c r="QGQ244"/>
      <c r="QGR244"/>
      <c r="QGS244"/>
      <c r="QGT244"/>
      <c r="QGU244"/>
      <c r="QGV244"/>
      <c r="QGW244"/>
      <c r="QGX244"/>
      <c r="QGY244"/>
      <c r="QGZ244"/>
      <c r="QHA244"/>
      <c r="QHB244"/>
      <c r="QHC244"/>
      <c r="QHD244"/>
      <c r="QHE244"/>
      <c r="QHF244"/>
      <c r="QHG244"/>
      <c r="QHH244"/>
      <c r="QHI244"/>
      <c r="QHJ244"/>
      <c r="QHK244"/>
      <c r="QHL244"/>
      <c r="QHM244"/>
      <c r="QHN244"/>
      <c r="QHO244"/>
      <c r="QHP244"/>
      <c r="QHQ244"/>
      <c r="QHR244"/>
      <c r="QHS244"/>
      <c r="QHT244"/>
      <c r="QHU244"/>
      <c r="QHV244"/>
      <c r="QHW244"/>
      <c r="QHX244"/>
      <c r="QHY244"/>
      <c r="QHZ244"/>
      <c r="QIA244"/>
      <c r="QIB244"/>
      <c r="QIC244"/>
      <c r="QID244"/>
      <c r="QIE244"/>
      <c r="QIF244"/>
      <c r="QIG244"/>
      <c r="QIH244"/>
      <c r="QII244"/>
      <c r="QIJ244"/>
      <c r="QIK244"/>
      <c r="QIL244"/>
      <c r="QIM244"/>
      <c r="QIN244"/>
      <c r="QIO244"/>
      <c r="QIP244"/>
      <c r="QIQ244"/>
      <c r="QIR244"/>
      <c r="QIS244"/>
      <c r="QIT244"/>
      <c r="QIU244"/>
      <c r="QIV244"/>
      <c r="QIW244"/>
      <c r="QIX244"/>
      <c r="QIY244"/>
      <c r="QIZ244"/>
      <c r="QJA244"/>
      <c r="QJB244"/>
      <c r="QJC244"/>
      <c r="QJD244"/>
      <c r="QJE244"/>
      <c r="QJF244"/>
      <c r="QJG244"/>
      <c r="QJH244"/>
      <c r="QJI244"/>
      <c r="QJJ244"/>
      <c r="QJK244"/>
      <c r="QJL244"/>
      <c r="QJM244"/>
      <c r="QJN244"/>
      <c r="QJO244"/>
      <c r="QJP244"/>
      <c r="QJQ244"/>
      <c r="QJR244"/>
      <c r="QJS244"/>
      <c r="QJT244"/>
      <c r="QJU244"/>
      <c r="QJV244"/>
      <c r="QJW244"/>
      <c r="QJX244"/>
      <c r="QJY244"/>
      <c r="QJZ244"/>
      <c r="QKA244"/>
      <c r="QKB244"/>
      <c r="QKC244"/>
      <c r="QKD244"/>
      <c r="QKE244"/>
      <c r="QKF244"/>
      <c r="QKG244"/>
      <c r="QKH244"/>
      <c r="QKI244"/>
      <c r="QKJ244"/>
      <c r="QKK244"/>
      <c r="QKL244"/>
      <c r="QKM244"/>
      <c r="QKN244"/>
      <c r="QKO244"/>
      <c r="QKP244"/>
      <c r="QKQ244"/>
      <c r="QKR244"/>
      <c r="QKS244"/>
      <c r="QKT244"/>
      <c r="QKU244"/>
      <c r="QKV244"/>
      <c r="QKW244"/>
      <c r="QKX244"/>
      <c r="QKY244"/>
      <c r="QKZ244"/>
      <c r="QLA244"/>
      <c r="QLB244"/>
      <c r="QLC244"/>
      <c r="QLD244"/>
      <c r="QLE244"/>
      <c r="QLF244"/>
      <c r="QLG244"/>
      <c r="QLH244"/>
      <c r="QLI244"/>
      <c r="QLJ244"/>
      <c r="QLK244"/>
      <c r="QLL244"/>
      <c r="QLM244"/>
      <c r="QLN244"/>
      <c r="QLO244"/>
      <c r="QLP244"/>
      <c r="QLQ244"/>
      <c r="QLR244"/>
      <c r="QLS244"/>
      <c r="QLT244"/>
      <c r="QLU244"/>
      <c r="QLV244"/>
      <c r="QLW244"/>
      <c r="QLX244"/>
      <c r="QLY244"/>
      <c r="QLZ244"/>
      <c r="QMA244"/>
      <c r="QMB244"/>
      <c r="QMC244"/>
      <c r="QMD244"/>
      <c r="QME244"/>
      <c r="QMF244"/>
      <c r="QMG244"/>
      <c r="QMH244"/>
      <c r="QMI244"/>
      <c r="QMJ244"/>
      <c r="QMK244"/>
      <c r="QML244"/>
      <c r="QMM244"/>
      <c r="QMN244"/>
      <c r="QMO244"/>
      <c r="QMP244"/>
      <c r="QMQ244"/>
      <c r="QMR244"/>
      <c r="QMS244"/>
      <c r="QMT244"/>
      <c r="QMU244"/>
      <c r="QMV244"/>
      <c r="QMW244"/>
      <c r="QMX244"/>
      <c r="QMY244"/>
      <c r="QMZ244"/>
      <c r="QNA244"/>
      <c r="QNB244"/>
      <c r="QNC244"/>
      <c r="QND244"/>
      <c r="QNE244"/>
      <c r="QNF244"/>
      <c r="QNG244"/>
      <c r="QNH244"/>
      <c r="QNI244"/>
      <c r="QNJ244"/>
      <c r="QNK244"/>
      <c r="QNL244"/>
      <c r="QNM244"/>
      <c r="QNN244"/>
      <c r="QNO244"/>
      <c r="QNP244"/>
      <c r="QNQ244"/>
      <c r="QNR244"/>
      <c r="QNS244"/>
      <c r="QNT244"/>
      <c r="QNU244"/>
      <c r="QNV244"/>
      <c r="QNW244"/>
      <c r="QNX244"/>
      <c r="QNY244"/>
      <c r="QNZ244"/>
      <c r="QOA244"/>
      <c r="QOB244"/>
      <c r="QOC244"/>
      <c r="QOD244"/>
      <c r="QOE244"/>
      <c r="QOF244"/>
      <c r="QOG244"/>
      <c r="QOH244"/>
      <c r="QOI244"/>
      <c r="QOJ244"/>
      <c r="QOK244"/>
      <c r="QOL244"/>
      <c r="QOM244"/>
      <c r="QON244"/>
      <c r="QOO244"/>
      <c r="QOP244"/>
      <c r="QOQ244"/>
      <c r="QOR244"/>
      <c r="QOS244"/>
      <c r="QOT244"/>
      <c r="QOU244"/>
      <c r="QOV244"/>
      <c r="QOW244"/>
      <c r="QOX244"/>
      <c r="QOY244"/>
      <c r="QOZ244"/>
      <c r="QPA244"/>
      <c r="QPB244"/>
      <c r="QPC244"/>
      <c r="QPD244"/>
      <c r="QPE244"/>
      <c r="QPF244"/>
      <c r="QPG244"/>
      <c r="QPH244"/>
      <c r="QPI244"/>
      <c r="QPJ244"/>
      <c r="QPK244"/>
      <c r="QPL244"/>
      <c r="QPM244"/>
      <c r="QPN244"/>
      <c r="QPO244"/>
      <c r="QPP244"/>
      <c r="QPQ244"/>
      <c r="QPR244"/>
      <c r="QPS244"/>
      <c r="QPT244"/>
      <c r="QPU244"/>
      <c r="QPV244"/>
      <c r="QPW244"/>
      <c r="QPX244"/>
      <c r="QPY244"/>
      <c r="QPZ244"/>
      <c r="QQA244"/>
      <c r="QQB244"/>
      <c r="QQC244"/>
      <c r="QQD244"/>
      <c r="QQE244"/>
      <c r="QQF244"/>
      <c r="QQG244"/>
      <c r="QQH244"/>
      <c r="QQI244"/>
      <c r="QQJ244"/>
      <c r="QQK244"/>
      <c r="QQL244"/>
      <c r="QQM244"/>
      <c r="QQN244"/>
      <c r="QQO244"/>
      <c r="QQP244"/>
      <c r="QQQ244"/>
      <c r="QQR244"/>
      <c r="QQS244"/>
      <c r="QQT244"/>
      <c r="QQU244"/>
      <c r="QQV244"/>
      <c r="QQW244"/>
      <c r="QQX244"/>
      <c r="QQY244"/>
      <c r="QQZ244"/>
      <c r="QRA244"/>
      <c r="QRB244"/>
      <c r="QRC244"/>
      <c r="QRD244"/>
      <c r="QRE244"/>
      <c r="QRF244"/>
      <c r="QRG244"/>
      <c r="QRH244"/>
      <c r="QRI244"/>
      <c r="QRJ244"/>
      <c r="QRK244"/>
      <c r="QRL244"/>
      <c r="QRM244"/>
      <c r="QRN244"/>
      <c r="QRO244"/>
      <c r="QRP244"/>
      <c r="QRQ244"/>
      <c r="QRR244"/>
      <c r="QRS244"/>
      <c r="QRT244"/>
      <c r="QRU244"/>
      <c r="QRV244"/>
      <c r="QRW244"/>
      <c r="QRX244"/>
      <c r="QRY244"/>
      <c r="QRZ244"/>
      <c r="QSA244"/>
      <c r="QSB244"/>
      <c r="QSC244"/>
      <c r="QSD244"/>
      <c r="QSE244"/>
      <c r="QSF244"/>
      <c r="QSG244"/>
      <c r="QSH244"/>
      <c r="QSI244"/>
      <c r="QSJ244"/>
      <c r="QSK244"/>
      <c r="QSL244"/>
      <c r="QSM244"/>
      <c r="QSN244"/>
      <c r="QSO244"/>
      <c r="QSP244"/>
      <c r="QSQ244"/>
      <c r="QSR244"/>
      <c r="QSS244"/>
      <c r="QST244"/>
      <c r="QSU244"/>
      <c r="QSV244"/>
      <c r="QSW244"/>
      <c r="QSX244"/>
      <c r="QSY244"/>
      <c r="QSZ244"/>
      <c r="QTA244"/>
      <c r="QTB244"/>
      <c r="QTC244"/>
      <c r="QTD244"/>
      <c r="QTE244"/>
      <c r="QTF244"/>
      <c r="QTG244"/>
      <c r="QTH244"/>
      <c r="QTI244"/>
      <c r="QTJ244"/>
      <c r="QTK244"/>
      <c r="QTL244"/>
      <c r="QTM244"/>
      <c r="QTN244"/>
      <c r="QTO244"/>
      <c r="QTP244"/>
      <c r="QTQ244"/>
      <c r="QTR244"/>
      <c r="QTS244"/>
      <c r="QTT244"/>
      <c r="QTU244"/>
      <c r="QTV244"/>
      <c r="QTW244"/>
      <c r="QTX244"/>
      <c r="QTY244"/>
      <c r="QTZ244"/>
      <c r="QUA244"/>
      <c r="QUB244"/>
      <c r="QUC244"/>
      <c r="QUD244"/>
      <c r="QUE244"/>
      <c r="QUF244"/>
      <c r="QUG244"/>
      <c r="QUH244"/>
      <c r="QUI244"/>
      <c r="QUJ244"/>
      <c r="QUK244"/>
      <c r="QUL244"/>
      <c r="QUM244"/>
      <c r="QUN244"/>
      <c r="QUO244"/>
      <c r="QUP244"/>
      <c r="QUQ244"/>
      <c r="QUR244"/>
      <c r="QUS244"/>
      <c r="QUT244"/>
      <c r="QUU244"/>
      <c r="QUV244"/>
      <c r="QUW244"/>
      <c r="QUX244"/>
      <c r="QUY244"/>
      <c r="QUZ244"/>
      <c r="QVA244"/>
      <c r="QVB244"/>
      <c r="QVC244"/>
      <c r="QVD244"/>
      <c r="QVE244"/>
      <c r="QVF244"/>
      <c r="QVG244"/>
      <c r="QVH244"/>
      <c r="QVI244"/>
      <c r="QVJ244"/>
      <c r="QVK244"/>
      <c r="QVL244"/>
      <c r="QVM244"/>
      <c r="QVN244"/>
      <c r="QVO244"/>
      <c r="QVP244"/>
      <c r="QVQ244"/>
      <c r="QVR244"/>
      <c r="QVS244"/>
      <c r="QVT244"/>
      <c r="QVU244"/>
      <c r="QVV244"/>
      <c r="QVW244"/>
      <c r="QVX244"/>
      <c r="QVY244"/>
      <c r="QVZ244"/>
      <c r="QWA244"/>
      <c r="QWB244"/>
      <c r="QWC244"/>
      <c r="QWD244"/>
      <c r="QWE244"/>
      <c r="QWF244"/>
      <c r="QWG244"/>
      <c r="QWH244"/>
      <c r="QWI244"/>
      <c r="QWJ244"/>
      <c r="QWK244"/>
      <c r="QWL244"/>
      <c r="QWM244"/>
      <c r="QWN244"/>
      <c r="QWO244"/>
      <c r="QWP244"/>
      <c r="QWQ244"/>
      <c r="QWR244"/>
      <c r="QWS244"/>
      <c r="QWT244"/>
      <c r="QWU244"/>
      <c r="QWV244"/>
      <c r="QWW244"/>
      <c r="QWX244"/>
      <c r="QWY244"/>
      <c r="QWZ244"/>
      <c r="QXA244"/>
      <c r="QXB244"/>
      <c r="QXC244"/>
      <c r="QXD244"/>
      <c r="QXE244"/>
      <c r="QXF244"/>
      <c r="QXG244"/>
      <c r="QXH244"/>
      <c r="QXI244"/>
      <c r="QXJ244"/>
      <c r="QXK244"/>
      <c r="QXL244"/>
      <c r="QXM244"/>
      <c r="QXN244"/>
      <c r="QXO244"/>
      <c r="QXP244"/>
      <c r="QXQ244"/>
      <c r="QXR244"/>
      <c r="QXS244"/>
      <c r="QXT244"/>
      <c r="QXU244"/>
      <c r="QXV244"/>
      <c r="QXW244"/>
      <c r="QXX244"/>
      <c r="QXY244"/>
      <c r="QXZ244"/>
      <c r="QYA244"/>
      <c r="QYB244"/>
      <c r="QYC244"/>
      <c r="QYD244"/>
      <c r="QYE244"/>
      <c r="QYF244"/>
      <c r="QYG244"/>
      <c r="QYH244"/>
      <c r="QYI244"/>
      <c r="QYJ244"/>
      <c r="QYK244"/>
      <c r="QYL244"/>
      <c r="QYM244"/>
      <c r="QYN244"/>
      <c r="QYO244"/>
      <c r="QYP244"/>
      <c r="QYQ244"/>
      <c r="QYR244"/>
      <c r="QYS244"/>
      <c r="QYT244"/>
      <c r="QYU244"/>
      <c r="QYV244"/>
      <c r="QYW244"/>
      <c r="QYX244"/>
      <c r="QYY244"/>
      <c r="QYZ244"/>
      <c r="QZA244"/>
      <c r="QZB244"/>
      <c r="QZC244"/>
      <c r="QZD244"/>
      <c r="QZE244"/>
      <c r="QZF244"/>
      <c r="QZG244"/>
      <c r="QZH244"/>
      <c r="QZI244"/>
      <c r="QZJ244"/>
      <c r="QZK244"/>
      <c r="QZL244"/>
      <c r="QZM244"/>
      <c r="QZN244"/>
      <c r="QZO244"/>
      <c r="QZP244"/>
      <c r="QZQ244"/>
      <c r="QZR244"/>
      <c r="QZS244"/>
      <c r="QZT244"/>
      <c r="QZU244"/>
      <c r="QZV244"/>
      <c r="QZW244"/>
      <c r="QZX244"/>
      <c r="QZY244"/>
      <c r="QZZ244"/>
      <c r="RAA244"/>
      <c r="RAB244"/>
      <c r="RAC244"/>
      <c r="RAD244"/>
      <c r="RAE244"/>
      <c r="RAF244"/>
      <c r="RAG244"/>
      <c r="RAH244"/>
      <c r="RAI244"/>
      <c r="RAJ244"/>
      <c r="RAK244"/>
      <c r="RAL244"/>
      <c r="RAM244"/>
      <c r="RAN244"/>
      <c r="RAO244"/>
      <c r="RAP244"/>
      <c r="RAQ244"/>
      <c r="RAR244"/>
      <c r="RAS244"/>
      <c r="RAT244"/>
      <c r="RAU244"/>
      <c r="RAV244"/>
      <c r="RAW244"/>
      <c r="RAX244"/>
      <c r="RAY244"/>
      <c r="RAZ244"/>
      <c r="RBA244"/>
      <c r="RBB244"/>
      <c r="RBC244"/>
      <c r="RBD244"/>
      <c r="RBE244"/>
      <c r="RBF244"/>
      <c r="RBG244"/>
      <c r="RBH244"/>
      <c r="RBI244"/>
      <c r="RBJ244"/>
      <c r="RBK244"/>
      <c r="RBL244"/>
      <c r="RBM244"/>
      <c r="RBN244"/>
      <c r="RBO244"/>
      <c r="RBP244"/>
      <c r="RBQ244"/>
      <c r="RBR244"/>
      <c r="RBS244"/>
      <c r="RBT244"/>
      <c r="RBU244"/>
      <c r="RBV244"/>
      <c r="RBW244"/>
      <c r="RBX244"/>
      <c r="RBY244"/>
      <c r="RBZ244"/>
      <c r="RCA244"/>
      <c r="RCB244"/>
      <c r="RCC244"/>
      <c r="RCD244"/>
      <c r="RCE244"/>
      <c r="RCF244"/>
      <c r="RCG244"/>
      <c r="RCH244"/>
      <c r="RCI244"/>
      <c r="RCJ244"/>
      <c r="RCK244"/>
      <c r="RCL244"/>
      <c r="RCM244"/>
      <c r="RCN244"/>
      <c r="RCO244"/>
      <c r="RCP244"/>
      <c r="RCQ244"/>
      <c r="RCR244"/>
      <c r="RCS244"/>
      <c r="RCT244"/>
      <c r="RCU244"/>
      <c r="RCV244"/>
      <c r="RCW244"/>
      <c r="RCX244"/>
      <c r="RCY244"/>
      <c r="RCZ244"/>
      <c r="RDA244"/>
      <c r="RDB244"/>
      <c r="RDC244"/>
      <c r="RDD244"/>
      <c r="RDE244"/>
      <c r="RDF244"/>
      <c r="RDG244"/>
      <c r="RDH244"/>
      <c r="RDI244"/>
      <c r="RDJ244"/>
      <c r="RDK244"/>
      <c r="RDL244"/>
      <c r="RDM244"/>
      <c r="RDN244"/>
      <c r="RDO244"/>
      <c r="RDP244"/>
      <c r="RDQ244"/>
      <c r="RDR244"/>
      <c r="RDS244"/>
      <c r="RDT244"/>
      <c r="RDU244"/>
      <c r="RDV244"/>
      <c r="RDW244"/>
      <c r="RDX244"/>
      <c r="RDY244"/>
      <c r="RDZ244"/>
      <c r="REA244"/>
      <c r="REB244"/>
      <c r="REC244"/>
      <c r="RED244"/>
      <c r="REE244"/>
      <c r="REF244"/>
      <c r="REG244"/>
      <c r="REH244"/>
      <c r="REI244"/>
      <c r="REJ244"/>
      <c r="REK244"/>
      <c r="REL244"/>
      <c r="REM244"/>
      <c r="REN244"/>
      <c r="REO244"/>
      <c r="REP244"/>
      <c r="REQ244"/>
      <c r="RER244"/>
      <c r="RES244"/>
      <c r="RET244"/>
      <c r="REU244"/>
      <c r="REV244"/>
      <c r="REW244"/>
      <c r="REX244"/>
      <c r="REY244"/>
      <c r="REZ244"/>
      <c r="RFA244"/>
      <c r="RFB244"/>
      <c r="RFC244"/>
      <c r="RFD244"/>
      <c r="RFE244"/>
      <c r="RFF244"/>
      <c r="RFG244"/>
      <c r="RFH244"/>
      <c r="RFI244"/>
      <c r="RFJ244"/>
      <c r="RFK244"/>
      <c r="RFL244"/>
      <c r="RFM244"/>
      <c r="RFN244"/>
      <c r="RFO244"/>
      <c r="RFP244"/>
      <c r="RFQ244"/>
      <c r="RFR244"/>
      <c r="RFS244"/>
      <c r="RFT244"/>
      <c r="RFU244"/>
      <c r="RFV244"/>
      <c r="RFW244"/>
      <c r="RFX244"/>
      <c r="RFY244"/>
      <c r="RFZ244"/>
      <c r="RGA244"/>
      <c r="RGB244"/>
      <c r="RGC244"/>
      <c r="RGD244"/>
      <c r="RGE244"/>
      <c r="RGF244"/>
      <c r="RGG244"/>
      <c r="RGH244"/>
      <c r="RGI244"/>
      <c r="RGJ244"/>
      <c r="RGK244"/>
      <c r="RGL244"/>
      <c r="RGM244"/>
      <c r="RGN244"/>
      <c r="RGO244"/>
      <c r="RGP244"/>
      <c r="RGQ244"/>
      <c r="RGR244"/>
      <c r="RGS244"/>
      <c r="RGT244"/>
      <c r="RGU244"/>
      <c r="RGV244"/>
      <c r="RGW244"/>
      <c r="RGX244"/>
      <c r="RGY244"/>
      <c r="RGZ244"/>
      <c r="RHA244"/>
      <c r="RHB244"/>
      <c r="RHC244"/>
      <c r="RHD244"/>
      <c r="RHE244"/>
      <c r="RHF244"/>
      <c r="RHG244"/>
      <c r="RHH244"/>
      <c r="RHI244"/>
      <c r="RHJ244"/>
      <c r="RHK244"/>
      <c r="RHL244"/>
      <c r="RHM244"/>
      <c r="RHN244"/>
      <c r="RHO244"/>
      <c r="RHP244"/>
      <c r="RHQ244"/>
      <c r="RHR244"/>
      <c r="RHS244"/>
      <c r="RHT244"/>
      <c r="RHU244"/>
      <c r="RHV244"/>
      <c r="RHW244"/>
      <c r="RHX244"/>
      <c r="RHY244"/>
      <c r="RHZ244"/>
      <c r="RIA244"/>
      <c r="RIB244"/>
      <c r="RIC244"/>
      <c r="RID244"/>
      <c r="RIE244"/>
      <c r="RIF244"/>
      <c r="RIG244"/>
      <c r="RIH244"/>
      <c r="RII244"/>
      <c r="RIJ244"/>
      <c r="RIK244"/>
      <c r="RIL244"/>
      <c r="RIM244"/>
      <c r="RIN244"/>
      <c r="RIO244"/>
      <c r="RIP244"/>
      <c r="RIQ244"/>
      <c r="RIR244"/>
      <c r="RIS244"/>
      <c r="RIT244"/>
      <c r="RIU244"/>
      <c r="RIV244"/>
      <c r="RIW244"/>
      <c r="RIX244"/>
      <c r="RIY244"/>
      <c r="RIZ244"/>
      <c r="RJA244"/>
      <c r="RJB244"/>
      <c r="RJC244"/>
      <c r="RJD244"/>
      <c r="RJE244"/>
      <c r="RJF244"/>
      <c r="RJG244"/>
      <c r="RJH244"/>
      <c r="RJI244"/>
      <c r="RJJ244"/>
      <c r="RJK244"/>
      <c r="RJL244"/>
      <c r="RJM244"/>
      <c r="RJN244"/>
      <c r="RJO244"/>
      <c r="RJP244"/>
      <c r="RJQ244"/>
      <c r="RJR244"/>
      <c r="RJS244"/>
      <c r="RJT244"/>
      <c r="RJU244"/>
      <c r="RJV244"/>
      <c r="RJW244"/>
      <c r="RJX244"/>
      <c r="RJY244"/>
      <c r="RJZ244"/>
      <c r="RKA244"/>
      <c r="RKB244"/>
      <c r="RKC244"/>
      <c r="RKD244"/>
      <c r="RKE244"/>
      <c r="RKF244"/>
      <c r="RKG244"/>
      <c r="RKH244"/>
      <c r="RKI244"/>
      <c r="RKJ244"/>
      <c r="RKK244"/>
      <c r="RKL244"/>
      <c r="RKM244"/>
      <c r="RKN244"/>
      <c r="RKO244"/>
      <c r="RKP244"/>
      <c r="RKQ244"/>
      <c r="RKR244"/>
      <c r="RKS244"/>
      <c r="RKT244"/>
      <c r="RKU244"/>
      <c r="RKV244"/>
      <c r="RKW244"/>
      <c r="RKX244"/>
      <c r="RKY244"/>
      <c r="RKZ244"/>
      <c r="RLA244"/>
      <c r="RLB244"/>
      <c r="RLC244"/>
      <c r="RLD244"/>
      <c r="RLE244"/>
      <c r="RLF244"/>
      <c r="RLG244"/>
      <c r="RLH244"/>
      <c r="RLI244"/>
      <c r="RLJ244"/>
      <c r="RLK244"/>
      <c r="RLL244"/>
      <c r="RLM244"/>
      <c r="RLN244"/>
      <c r="RLO244"/>
      <c r="RLP244"/>
      <c r="RLQ244"/>
      <c r="RLR244"/>
      <c r="RLS244"/>
      <c r="RLT244"/>
      <c r="RLU244"/>
      <c r="RLV244"/>
      <c r="RLW244"/>
      <c r="RLX244"/>
      <c r="RLY244"/>
      <c r="RLZ244"/>
      <c r="RMA244"/>
      <c r="RMB244"/>
      <c r="RMC244"/>
      <c r="RMD244"/>
      <c r="RME244"/>
      <c r="RMF244"/>
      <c r="RMG244"/>
      <c r="RMH244"/>
      <c r="RMI244"/>
      <c r="RMJ244"/>
      <c r="RMK244"/>
      <c r="RML244"/>
      <c r="RMM244"/>
      <c r="RMN244"/>
      <c r="RMO244"/>
      <c r="RMP244"/>
      <c r="RMQ244"/>
      <c r="RMR244"/>
      <c r="RMS244"/>
      <c r="RMT244"/>
      <c r="RMU244"/>
      <c r="RMV244"/>
      <c r="RMW244"/>
      <c r="RMX244"/>
      <c r="RMY244"/>
      <c r="RMZ244"/>
      <c r="RNA244"/>
      <c r="RNB244"/>
      <c r="RNC244"/>
      <c r="RND244"/>
      <c r="RNE244"/>
      <c r="RNF244"/>
      <c r="RNG244"/>
      <c r="RNH244"/>
      <c r="RNI244"/>
      <c r="RNJ244"/>
      <c r="RNK244"/>
      <c r="RNL244"/>
      <c r="RNM244"/>
      <c r="RNN244"/>
      <c r="RNO244"/>
      <c r="RNP244"/>
      <c r="RNQ244"/>
      <c r="RNR244"/>
      <c r="RNS244"/>
      <c r="RNT244"/>
      <c r="RNU244"/>
      <c r="RNV244"/>
      <c r="RNW244"/>
      <c r="RNX244"/>
      <c r="RNY244"/>
      <c r="RNZ244"/>
      <c r="ROA244"/>
      <c r="ROB244"/>
      <c r="ROC244"/>
      <c r="ROD244"/>
      <c r="ROE244"/>
      <c r="ROF244"/>
      <c r="ROG244"/>
      <c r="ROH244"/>
      <c r="ROI244"/>
      <c r="ROJ244"/>
      <c r="ROK244"/>
      <c r="ROL244"/>
      <c r="ROM244"/>
      <c r="RON244"/>
      <c r="ROO244"/>
      <c r="ROP244"/>
      <c r="ROQ244"/>
      <c r="ROR244"/>
      <c r="ROS244"/>
      <c r="ROT244"/>
      <c r="ROU244"/>
      <c r="ROV244"/>
      <c r="ROW244"/>
      <c r="ROX244"/>
      <c r="ROY244"/>
      <c r="ROZ244"/>
      <c r="RPA244"/>
      <c r="RPB244"/>
      <c r="RPC244"/>
      <c r="RPD244"/>
      <c r="RPE244"/>
      <c r="RPF244"/>
      <c r="RPG244"/>
      <c r="RPH244"/>
      <c r="RPI244"/>
      <c r="RPJ244"/>
      <c r="RPK244"/>
      <c r="RPL244"/>
      <c r="RPM244"/>
      <c r="RPN244"/>
      <c r="RPO244"/>
      <c r="RPP244"/>
      <c r="RPQ244"/>
      <c r="RPR244"/>
      <c r="RPS244"/>
      <c r="RPT244"/>
      <c r="RPU244"/>
      <c r="RPV244"/>
      <c r="RPW244"/>
      <c r="RPX244"/>
      <c r="RPY244"/>
      <c r="RPZ244"/>
      <c r="RQA244"/>
      <c r="RQB244"/>
      <c r="RQC244"/>
      <c r="RQD244"/>
      <c r="RQE244"/>
      <c r="RQF244"/>
      <c r="RQG244"/>
      <c r="RQH244"/>
      <c r="RQI244"/>
      <c r="RQJ244"/>
      <c r="RQK244"/>
      <c r="RQL244"/>
      <c r="RQM244"/>
      <c r="RQN244"/>
      <c r="RQO244"/>
      <c r="RQP244"/>
      <c r="RQQ244"/>
      <c r="RQR244"/>
      <c r="RQS244"/>
      <c r="RQT244"/>
      <c r="RQU244"/>
      <c r="RQV244"/>
      <c r="RQW244"/>
      <c r="RQX244"/>
      <c r="RQY244"/>
      <c r="RQZ244"/>
      <c r="RRA244"/>
      <c r="RRB244"/>
      <c r="RRC244"/>
      <c r="RRD244"/>
      <c r="RRE244"/>
      <c r="RRF244"/>
      <c r="RRG244"/>
      <c r="RRH244"/>
      <c r="RRI244"/>
      <c r="RRJ244"/>
      <c r="RRK244"/>
      <c r="RRL244"/>
      <c r="RRM244"/>
      <c r="RRN244"/>
      <c r="RRO244"/>
      <c r="RRP244"/>
      <c r="RRQ244"/>
      <c r="RRR244"/>
      <c r="RRS244"/>
      <c r="RRT244"/>
      <c r="RRU244"/>
      <c r="RRV244"/>
      <c r="RRW244"/>
      <c r="RRX244"/>
      <c r="RRY244"/>
      <c r="RRZ244"/>
      <c r="RSA244"/>
      <c r="RSB244"/>
      <c r="RSC244"/>
      <c r="RSD244"/>
      <c r="RSE244"/>
      <c r="RSF244"/>
      <c r="RSG244"/>
      <c r="RSH244"/>
      <c r="RSI244"/>
      <c r="RSJ244"/>
      <c r="RSK244"/>
      <c r="RSL244"/>
      <c r="RSM244"/>
      <c r="RSN244"/>
      <c r="RSO244"/>
      <c r="RSP244"/>
      <c r="RSQ244"/>
      <c r="RSR244"/>
      <c r="RSS244"/>
      <c r="RST244"/>
      <c r="RSU244"/>
      <c r="RSV244"/>
      <c r="RSW244"/>
      <c r="RSX244"/>
      <c r="RSY244"/>
      <c r="RSZ244"/>
      <c r="RTA244"/>
      <c r="RTB244"/>
      <c r="RTC244"/>
      <c r="RTD244"/>
      <c r="RTE244"/>
      <c r="RTF244"/>
      <c r="RTG244"/>
      <c r="RTH244"/>
      <c r="RTI244"/>
      <c r="RTJ244"/>
      <c r="RTK244"/>
      <c r="RTL244"/>
      <c r="RTM244"/>
      <c r="RTN244"/>
      <c r="RTO244"/>
      <c r="RTP244"/>
      <c r="RTQ244"/>
      <c r="RTR244"/>
      <c r="RTS244"/>
      <c r="RTT244"/>
      <c r="RTU244"/>
      <c r="RTV244"/>
      <c r="RTW244"/>
      <c r="RTX244"/>
      <c r="RTY244"/>
      <c r="RTZ244"/>
      <c r="RUA244"/>
      <c r="RUB244"/>
      <c r="RUC244"/>
      <c r="RUD244"/>
      <c r="RUE244"/>
      <c r="RUF244"/>
      <c r="RUG244"/>
      <c r="RUH244"/>
      <c r="RUI244"/>
      <c r="RUJ244"/>
      <c r="RUK244"/>
      <c r="RUL244"/>
      <c r="RUM244"/>
      <c r="RUN244"/>
      <c r="RUO244"/>
      <c r="RUP244"/>
      <c r="RUQ244"/>
      <c r="RUR244"/>
      <c r="RUS244"/>
      <c r="RUT244"/>
      <c r="RUU244"/>
      <c r="RUV244"/>
      <c r="RUW244"/>
      <c r="RUX244"/>
      <c r="RUY244"/>
      <c r="RUZ244"/>
      <c r="RVA244"/>
      <c r="RVB244"/>
      <c r="RVC244"/>
      <c r="RVD244"/>
      <c r="RVE244"/>
      <c r="RVF244"/>
      <c r="RVG244"/>
      <c r="RVH244"/>
      <c r="RVI244"/>
      <c r="RVJ244"/>
      <c r="RVK244"/>
      <c r="RVL244"/>
      <c r="RVM244"/>
      <c r="RVN244"/>
      <c r="RVO244"/>
      <c r="RVP244"/>
      <c r="RVQ244"/>
      <c r="RVR244"/>
      <c r="RVS244"/>
      <c r="RVT244"/>
      <c r="RVU244"/>
      <c r="RVV244"/>
      <c r="RVW244"/>
      <c r="RVX244"/>
      <c r="RVY244"/>
      <c r="RVZ244"/>
      <c r="RWA244"/>
      <c r="RWB244"/>
      <c r="RWC244"/>
      <c r="RWD244"/>
      <c r="RWE244"/>
      <c r="RWF244"/>
      <c r="RWG244"/>
      <c r="RWH244"/>
      <c r="RWI244"/>
      <c r="RWJ244"/>
      <c r="RWK244"/>
      <c r="RWL244"/>
      <c r="RWM244"/>
      <c r="RWN244"/>
      <c r="RWO244"/>
      <c r="RWP244"/>
      <c r="RWQ244"/>
      <c r="RWR244"/>
      <c r="RWS244"/>
      <c r="RWT244"/>
      <c r="RWU244"/>
      <c r="RWV244"/>
      <c r="RWW244"/>
      <c r="RWX244"/>
      <c r="RWY244"/>
      <c r="RWZ244"/>
      <c r="RXA244"/>
      <c r="RXB244"/>
      <c r="RXC244"/>
      <c r="RXD244"/>
      <c r="RXE244"/>
      <c r="RXF244"/>
      <c r="RXG244"/>
      <c r="RXH244"/>
      <c r="RXI244"/>
      <c r="RXJ244"/>
      <c r="RXK244"/>
      <c r="RXL244"/>
      <c r="RXM244"/>
      <c r="RXN244"/>
      <c r="RXO244"/>
      <c r="RXP244"/>
      <c r="RXQ244"/>
      <c r="RXR244"/>
      <c r="RXS244"/>
      <c r="RXT244"/>
      <c r="RXU244"/>
      <c r="RXV244"/>
      <c r="RXW244"/>
      <c r="RXX244"/>
      <c r="RXY244"/>
      <c r="RXZ244"/>
      <c r="RYA244"/>
      <c r="RYB244"/>
      <c r="RYC244"/>
      <c r="RYD244"/>
      <c r="RYE244"/>
      <c r="RYF244"/>
      <c r="RYG244"/>
      <c r="RYH244"/>
      <c r="RYI244"/>
      <c r="RYJ244"/>
      <c r="RYK244"/>
      <c r="RYL244"/>
      <c r="RYM244"/>
      <c r="RYN244"/>
      <c r="RYO244"/>
      <c r="RYP244"/>
      <c r="RYQ244"/>
      <c r="RYR244"/>
      <c r="RYS244"/>
      <c r="RYT244"/>
      <c r="RYU244"/>
      <c r="RYV244"/>
      <c r="RYW244"/>
      <c r="RYX244"/>
      <c r="RYY244"/>
      <c r="RYZ244"/>
      <c r="RZA244"/>
      <c r="RZB244"/>
      <c r="RZC244"/>
      <c r="RZD244"/>
      <c r="RZE244"/>
      <c r="RZF244"/>
      <c r="RZG244"/>
      <c r="RZH244"/>
      <c r="RZI244"/>
      <c r="RZJ244"/>
      <c r="RZK244"/>
      <c r="RZL244"/>
      <c r="RZM244"/>
      <c r="RZN244"/>
      <c r="RZO244"/>
      <c r="RZP244"/>
      <c r="RZQ244"/>
      <c r="RZR244"/>
      <c r="RZS244"/>
      <c r="RZT244"/>
      <c r="RZU244"/>
      <c r="RZV244"/>
      <c r="RZW244"/>
      <c r="RZX244"/>
      <c r="RZY244"/>
      <c r="RZZ244"/>
      <c r="SAA244"/>
      <c r="SAB244"/>
      <c r="SAC244"/>
      <c r="SAD244"/>
      <c r="SAE244"/>
      <c r="SAF244"/>
      <c r="SAG244"/>
      <c r="SAH244"/>
      <c r="SAI244"/>
      <c r="SAJ244"/>
      <c r="SAK244"/>
      <c r="SAL244"/>
      <c r="SAM244"/>
      <c r="SAN244"/>
      <c r="SAO244"/>
      <c r="SAP244"/>
      <c r="SAQ244"/>
      <c r="SAR244"/>
      <c r="SAS244"/>
      <c r="SAT244"/>
      <c r="SAU244"/>
      <c r="SAV244"/>
      <c r="SAW244"/>
      <c r="SAX244"/>
      <c r="SAY244"/>
      <c r="SAZ244"/>
      <c r="SBA244"/>
      <c r="SBB244"/>
      <c r="SBC244"/>
      <c r="SBD244"/>
      <c r="SBE244"/>
      <c r="SBF244"/>
      <c r="SBG244"/>
      <c r="SBH244"/>
      <c r="SBI244"/>
      <c r="SBJ244"/>
      <c r="SBK244"/>
      <c r="SBL244"/>
      <c r="SBM244"/>
      <c r="SBN244"/>
      <c r="SBO244"/>
      <c r="SBP244"/>
      <c r="SBQ244"/>
      <c r="SBR244"/>
      <c r="SBS244"/>
      <c r="SBT244"/>
      <c r="SBU244"/>
      <c r="SBV244"/>
      <c r="SBW244"/>
      <c r="SBX244"/>
      <c r="SBY244"/>
      <c r="SBZ244"/>
      <c r="SCA244"/>
      <c r="SCB244"/>
      <c r="SCC244"/>
      <c r="SCD244"/>
      <c r="SCE244"/>
      <c r="SCF244"/>
      <c r="SCG244"/>
      <c r="SCH244"/>
      <c r="SCI244"/>
      <c r="SCJ244"/>
      <c r="SCK244"/>
      <c r="SCL244"/>
      <c r="SCM244"/>
      <c r="SCN244"/>
      <c r="SCO244"/>
      <c r="SCP244"/>
      <c r="SCQ244"/>
      <c r="SCR244"/>
      <c r="SCS244"/>
      <c r="SCT244"/>
      <c r="SCU244"/>
      <c r="SCV244"/>
      <c r="SCW244"/>
      <c r="SCX244"/>
      <c r="SCY244"/>
      <c r="SCZ244"/>
      <c r="SDA244"/>
      <c r="SDB244"/>
      <c r="SDC244"/>
      <c r="SDD244"/>
      <c r="SDE244"/>
      <c r="SDF244"/>
      <c r="SDG244"/>
      <c r="SDH244"/>
      <c r="SDI244"/>
      <c r="SDJ244"/>
      <c r="SDK244"/>
      <c r="SDL244"/>
      <c r="SDM244"/>
      <c r="SDN244"/>
      <c r="SDO244"/>
      <c r="SDP244"/>
      <c r="SDQ244"/>
      <c r="SDR244"/>
      <c r="SDS244"/>
      <c r="SDT244"/>
      <c r="SDU244"/>
      <c r="SDV244"/>
      <c r="SDW244"/>
      <c r="SDX244"/>
      <c r="SDY244"/>
      <c r="SDZ244"/>
      <c r="SEA244"/>
      <c r="SEB244"/>
      <c r="SEC244"/>
      <c r="SED244"/>
      <c r="SEE244"/>
      <c r="SEF244"/>
      <c r="SEG244"/>
      <c r="SEH244"/>
      <c r="SEI244"/>
      <c r="SEJ244"/>
      <c r="SEK244"/>
      <c r="SEL244"/>
      <c r="SEM244"/>
      <c r="SEN244"/>
      <c r="SEO244"/>
      <c r="SEP244"/>
      <c r="SEQ244"/>
      <c r="SER244"/>
      <c r="SES244"/>
      <c r="SET244"/>
      <c r="SEU244"/>
      <c r="SEV244"/>
      <c r="SEW244"/>
      <c r="SEX244"/>
      <c r="SEY244"/>
      <c r="SEZ244"/>
      <c r="SFA244"/>
      <c r="SFB244"/>
      <c r="SFC244"/>
      <c r="SFD244"/>
      <c r="SFE244"/>
      <c r="SFF244"/>
      <c r="SFG244"/>
      <c r="SFH244"/>
      <c r="SFI244"/>
      <c r="SFJ244"/>
      <c r="SFK244"/>
      <c r="SFL244"/>
      <c r="SFM244"/>
      <c r="SFN244"/>
      <c r="SFO244"/>
      <c r="SFP244"/>
      <c r="SFQ244"/>
      <c r="SFR244"/>
      <c r="SFS244"/>
      <c r="SFT244"/>
      <c r="SFU244"/>
      <c r="SFV244"/>
      <c r="SFW244"/>
      <c r="SFX244"/>
      <c r="SFY244"/>
      <c r="SFZ244"/>
      <c r="SGA244"/>
      <c r="SGB244"/>
      <c r="SGC244"/>
      <c r="SGD244"/>
      <c r="SGE244"/>
      <c r="SGF244"/>
      <c r="SGG244"/>
      <c r="SGH244"/>
      <c r="SGI244"/>
      <c r="SGJ244"/>
      <c r="SGK244"/>
      <c r="SGL244"/>
      <c r="SGM244"/>
      <c r="SGN244"/>
      <c r="SGO244"/>
      <c r="SGP244"/>
      <c r="SGQ244"/>
      <c r="SGR244"/>
      <c r="SGS244"/>
      <c r="SGT244"/>
      <c r="SGU244"/>
      <c r="SGV244"/>
      <c r="SGW244"/>
      <c r="SGX244"/>
      <c r="SGY244"/>
      <c r="SGZ244"/>
      <c r="SHA244"/>
      <c r="SHB244"/>
      <c r="SHC244"/>
      <c r="SHD244"/>
      <c r="SHE244"/>
      <c r="SHF244"/>
      <c r="SHG244"/>
      <c r="SHH244"/>
      <c r="SHI244"/>
      <c r="SHJ244"/>
      <c r="SHK244"/>
      <c r="SHL244"/>
      <c r="SHM244"/>
      <c r="SHN244"/>
      <c r="SHO244"/>
      <c r="SHP244"/>
      <c r="SHQ244"/>
      <c r="SHR244"/>
      <c r="SHS244"/>
      <c r="SHT244"/>
      <c r="SHU244"/>
      <c r="SHV244"/>
      <c r="SHW244"/>
      <c r="SHX244"/>
      <c r="SHY244"/>
      <c r="SHZ244"/>
      <c r="SIA244"/>
      <c r="SIB244"/>
      <c r="SIC244"/>
      <c r="SID244"/>
      <c r="SIE244"/>
      <c r="SIF244"/>
      <c r="SIG244"/>
      <c r="SIH244"/>
      <c r="SII244"/>
      <c r="SIJ244"/>
      <c r="SIK244"/>
      <c r="SIL244"/>
      <c r="SIM244"/>
      <c r="SIN244"/>
      <c r="SIO244"/>
      <c r="SIP244"/>
      <c r="SIQ244"/>
      <c r="SIR244"/>
      <c r="SIS244"/>
      <c r="SIT244"/>
      <c r="SIU244"/>
      <c r="SIV244"/>
      <c r="SIW244"/>
      <c r="SIX244"/>
      <c r="SIY244"/>
      <c r="SIZ244"/>
      <c r="SJA244"/>
      <c r="SJB244"/>
      <c r="SJC244"/>
      <c r="SJD244"/>
      <c r="SJE244"/>
      <c r="SJF244"/>
      <c r="SJG244"/>
      <c r="SJH244"/>
      <c r="SJI244"/>
      <c r="SJJ244"/>
      <c r="SJK244"/>
      <c r="SJL244"/>
      <c r="SJM244"/>
      <c r="SJN244"/>
      <c r="SJO244"/>
      <c r="SJP244"/>
      <c r="SJQ244"/>
      <c r="SJR244"/>
      <c r="SJS244"/>
      <c r="SJT244"/>
      <c r="SJU244"/>
      <c r="SJV244"/>
      <c r="SJW244"/>
      <c r="SJX244"/>
      <c r="SJY244"/>
      <c r="SJZ244"/>
      <c r="SKA244"/>
      <c r="SKB244"/>
      <c r="SKC244"/>
      <c r="SKD244"/>
      <c r="SKE244"/>
      <c r="SKF244"/>
      <c r="SKG244"/>
      <c r="SKH244"/>
      <c r="SKI244"/>
      <c r="SKJ244"/>
      <c r="SKK244"/>
      <c r="SKL244"/>
      <c r="SKM244"/>
      <c r="SKN244"/>
      <c r="SKO244"/>
      <c r="SKP244"/>
      <c r="SKQ244"/>
      <c r="SKR244"/>
      <c r="SKS244"/>
      <c r="SKT244"/>
      <c r="SKU244"/>
      <c r="SKV244"/>
      <c r="SKW244"/>
      <c r="SKX244"/>
      <c r="SKY244"/>
      <c r="SKZ244"/>
      <c r="SLA244"/>
      <c r="SLB244"/>
      <c r="SLC244"/>
      <c r="SLD244"/>
      <c r="SLE244"/>
      <c r="SLF244"/>
      <c r="SLG244"/>
      <c r="SLH244"/>
      <c r="SLI244"/>
      <c r="SLJ244"/>
      <c r="SLK244"/>
      <c r="SLL244"/>
      <c r="SLM244"/>
      <c r="SLN244"/>
      <c r="SLO244"/>
      <c r="SLP244"/>
      <c r="SLQ244"/>
      <c r="SLR244"/>
      <c r="SLS244"/>
      <c r="SLT244"/>
      <c r="SLU244"/>
      <c r="SLV244"/>
      <c r="SLW244"/>
      <c r="SLX244"/>
      <c r="SLY244"/>
      <c r="SLZ244"/>
      <c r="SMA244"/>
      <c r="SMB244"/>
      <c r="SMC244"/>
      <c r="SMD244"/>
      <c r="SME244"/>
      <c r="SMF244"/>
      <c r="SMG244"/>
      <c r="SMH244"/>
      <c r="SMI244"/>
      <c r="SMJ244"/>
      <c r="SMK244"/>
      <c r="SML244"/>
      <c r="SMM244"/>
      <c r="SMN244"/>
      <c r="SMO244"/>
      <c r="SMP244"/>
      <c r="SMQ244"/>
      <c r="SMR244"/>
      <c r="SMS244"/>
      <c r="SMT244"/>
      <c r="SMU244"/>
      <c r="SMV244"/>
      <c r="SMW244"/>
      <c r="SMX244"/>
      <c r="SMY244"/>
      <c r="SMZ244"/>
      <c r="SNA244"/>
      <c r="SNB244"/>
      <c r="SNC244"/>
      <c r="SND244"/>
      <c r="SNE244"/>
      <c r="SNF244"/>
      <c r="SNG244"/>
      <c r="SNH244"/>
      <c r="SNI244"/>
      <c r="SNJ244"/>
      <c r="SNK244"/>
      <c r="SNL244"/>
      <c r="SNM244"/>
      <c r="SNN244"/>
      <c r="SNO244"/>
      <c r="SNP244"/>
      <c r="SNQ244"/>
      <c r="SNR244"/>
      <c r="SNS244"/>
      <c r="SNT244"/>
      <c r="SNU244"/>
      <c r="SNV244"/>
      <c r="SNW244"/>
      <c r="SNX244"/>
      <c r="SNY244"/>
      <c r="SNZ244"/>
      <c r="SOA244"/>
      <c r="SOB244"/>
      <c r="SOC244"/>
      <c r="SOD244"/>
      <c r="SOE244"/>
      <c r="SOF244"/>
      <c r="SOG244"/>
      <c r="SOH244"/>
      <c r="SOI244"/>
      <c r="SOJ244"/>
      <c r="SOK244"/>
      <c r="SOL244"/>
      <c r="SOM244"/>
      <c r="SON244"/>
      <c r="SOO244"/>
      <c r="SOP244"/>
      <c r="SOQ244"/>
      <c r="SOR244"/>
      <c r="SOS244"/>
      <c r="SOT244"/>
      <c r="SOU244"/>
      <c r="SOV244"/>
      <c r="SOW244"/>
      <c r="SOX244"/>
      <c r="SOY244"/>
      <c r="SOZ244"/>
      <c r="SPA244"/>
      <c r="SPB244"/>
      <c r="SPC244"/>
      <c r="SPD244"/>
      <c r="SPE244"/>
      <c r="SPF244"/>
      <c r="SPG244"/>
      <c r="SPH244"/>
      <c r="SPI244"/>
      <c r="SPJ244"/>
      <c r="SPK244"/>
      <c r="SPL244"/>
      <c r="SPM244"/>
      <c r="SPN244"/>
      <c r="SPO244"/>
      <c r="SPP244"/>
      <c r="SPQ244"/>
      <c r="SPR244"/>
      <c r="SPS244"/>
      <c r="SPT244"/>
      <c r="SPU244"/>
      <c r="SPV244"/>
      <c r="SPW244"/>
      <c r="SPX244"/>
      <c r="SPY244"/>
      <c r="SPZ244"/>
      <c r="SQA244"/>
      <c r="SQB244"/>
      <c r="SQC244"/>
      <c r="SQD244"/>
      <c r="SQE244"/>
      <c r="SQF244"/>
      <c r="SQG244"/>
      <c r="SQH244"/>
      <c r="SQI244"/>
      <c r="SQJ244"/>
      <c r="SQK244"/>
      <c r="SQL244"/>
      <c r="SQM244"/>
      <c r="SQN244"/>
      <c r="SQO244"/>
      <c r="SQP244"/>
      <c r="SQQ244"/>
      <c r="SQR244"/>
      <c r="SQS244"/>
      <c r="SQT244"/>
      <c r="SQU244"/>
      <c r="SQV244"/>
      <c r="SQW244"/>
      <c r="SQX244"/>
      <c r="SQY244"/>
      <c r="SQZ244"/>
      <c r="SRA244"/>
      <c r="SRB244"/>
      <c r="SRC244"/>
      <c r="SRD244"/>
      <c r="SRE244"/>
      <c r="SRF244"/>
      <c r="SRG244"/>
      <c r="SRH244"/>
      <c r="SRI244"/>
      <c r="SRJ244"/>
      <c r="SRK244"/>
      <c r="SRL244"/>
      <c r="SRM244"/>
      <c r="SRN244"/>
      <c r="SRO244"/>
      <c r="SRP244"/>
      <c r="SRQ244"/>
      <c r="SRR244"/>
      <c r="SRS244"/>
      <c r="SRT244"/>
      <c r="SRU244"/>
      <c r="SRV244"/>
      <c r="SRW244"/>
      <c r="SRX244"/>
      <c r="SRY244"/>
      <c r="SRZ244"/>
      <c r="SSA244"/>
      <c r="SSB244"/>
      <c r="SSC244"/>
      <c r="SSD244"/>
      <c r="SSE244"/>
      <c r="SSF244"/>
      <c r="SSG244"/>
      <c r="SSH244"/>
      <c r="SSI244"/>
      <c r="SSJ244"/>
      <c r="SSK244"/>
      <c r="SSL244"/>
      <c r="SSM244"/>
      <c r="SSN244"/>
      <c r="SSO244"/>
      <c r="SSP244"/>
      <c r="SSQ244"/>
      <c r="SSR244"/>
      <c r="SSS244"/>
      <c r="SST244"/>
      <c r="SSU244"/>
      <c r="SSV244"/>
      <c r="SSW244"/>
      <c r="SSX244"/>
      <c r="SSY244"/>
      <c r="SSZ244"/>
      <c r="STA244"/>
      <c r="STB244"/>
      <c r="STC244"/>
      <c r="STD244"/>
      <c r="STE244"/>
      <c r="STF244"/>
      <c r="STG244"/>
      <c r="STH244"/>
      <c r="STI244"/>
      <c r="STJ244"/>
      <c r="STK244"/>
      <c r="STL244"/>
      <c r="STM244"/>
      <c r="STN244"/>
      <c r="STO244"/>
      <c r="STP244"/>
      <c r="STQ244"/>
      <c r="STR244"/>
      <c r="STS244"/>
      <c r="STT244"/>
      <c r="STU244"/>
      <c r="STV244"/>
      <c r="STW244"/>
      <c r="STX244"/>
      <c r="STY244"/>
      <c r="STZ244"/>
      <c r="SUA244"/>
      <c r="SUB244"/>
      <c r="SUC244"/>
      <c r="SUD244"/>
      <c r="SUE244"/>
      <c r="SUF244"/>
      <c r="SUG244"/>
      <c r="SUH244"/>
      <c r="SUI244"/>
      <c r="SUJ244"/>
      <c r="SUK244"/>
      <c r="SUL244"/>
      <c r="SUM244"/>
      <c r="SUN244"/>
      <c r="SUO244"/>
      <c r="SUP244"/>
      <c r="SUQ244"/>
      <c r="SUR244"/>
      <c r="SUS244"/>
      <c r="SUT244"/>
      <c r="SUU244"/>
      <c r="SUV244"/>
      <c r="SUW244"/>
      <c r="SUX244"/>
      <c r="SUY244"/>
      <c r="SUZ244"/>
      <c r="SVA244"/>
      <c r="SVB244"/>
      <c r="SVC244"/>
      <c r="SVD244"/>
      <c r="SVE244"/>
      <c r="SVF244"/>
      <c r="SVG244"/>
      <c r="SVH244"/>
      <c r="SVI244"/>
      <c r="SVJ244"/>
      <c r="SVK244"/>
      <c r="SVL244"/>
      <c r="SVM244"/>
      <c r="SVN244"/>
      <c r="SVO244"/>
      <c r="SVP244"/>
      <c r="SVQ244"/>
      <c r="SVR244"/>
      <c r="SVS244"/>
      <c r="SVT244"/>
      <c r="SVU244"/>
      <c r="SVV244"/>
      <c r="SVW244"/>
      <c r="SVX244"/>
      <c r="SVY244"/>
      <c r="SVZ244"/>
      <c r="SWA244"/>
      <c r="SWB244"/>
      <c r="SWC244"/>
      <c r="SWD244"/>
      <c r="SWE244"/>
      <c r="SWF244"/>
      <c r="SWG244"/>
      <c r="SWH244"/>
      <c r="SWI244"/>
      <c r="SWJ244"/>
      <c r="SWK244"/>
      <c r="SWL244"/>
      <c r="SWM244"/>
      <c r="SWN244"/>
      <c r="SWO244"/>
      <c r="SWP244"/>
      <c r="SWQ244"/>
      <c r="SWR244"/>
      <c r="SWS244"/>
      <c r="SWT244"/>
      <c r="SWU244"/>
      <c r="SWV244"/>
      <c r="SWW244"/>
      <c r="SWX244"/>
      <c r="SWY244"/>
      <c r="SWZ244"/>
      <c r="SXA244"/>
      <c r="SXB244"/>
      <c r="SXC244"/>
      <c r="SXD244"/>
      <c r="SXE244"/>
      <c r="SXF244"/>
      <c r="SXG244"/>
      <c r="SXH244"/>
      <c r="SXI244"/>
      <c r="SXJ244"/>
      <c r="SXK244"/>
      <c r="SXL244"/>
      <c r="SXM244"/>
      <c r="SXN244"/>
      <c r="SXO244"/>
      <c r="SXP244"/>
      <c r="SXQ244"/>
      <c r="SXR244"/>
      <c r="SXS244"/>
      <c r="SXT244"/>
      <c r="SXU244"/>
      <c r="SXV244"/>
      <c r="SXW244"/>
      <c r="SXX244"/>
      <c r="SXY244"/>
      <c r="SXZ244"/>
      <c r="SYA244"/>
      <c r="SYB244"/>
      <c r="SYC244"/>
      <c r="SYD244"/>
      <c r="SYE244"/>
      <c r="SYF244"/>
      <c r="SYG244"/>
      <c r="SYH244"/>
      <c r="SYI244"/>
      <c r="SYJ244"/>
      <c r="SYK244"/>
      <c r="SYL244"/>
      <c r="SYM244"/>
      <c r="SYN244"/>
      <c r="SYO244"/>
      <c r="SYP244"/>
      <c r="SYQ244"/>
      <c r="SYR244"/>
      <c r="SYS244"/>
      <c r="SYT244"/>
      <c r="SYU244"/>
      <c r="SYV244"/>
      <c r="SYW244"/>
      <c r="SYX244"/>
      <c r="SYY244"/>
      <c r="SYZ244"/>
      <c r="SZA244"/>
      <c r="SZB244"/>
      <c r="SZC244"/>
      <c r="SZD244"/>
      <c r="SZE244"/>
      <c r="SZF244"/>
      <c r="SZG244"/>
      <c r="SZH244"/>
      <c r="SZI244"/>
      <c r="SZJ244"/>
      <c r="SZK244"/>
      <c r="SZL244"/>
      <c r="SZM244"/>
      <c r="SZN244"/>
      <c r="SZO244"/>
      <c r="SZP244"/>
      <c r="SZQ244"/>
      <c r="SZR244"/>
      <c r="SZS244"/>
      <c r="SZT244"/>
      <c r="SZU244"/>
      <c r="SZV244"/>
      <c r="SZW244"/>
      <c r="SZX244"/>
      <c r="SZY244"/>
      <c r="SZZ244"/>
      <c r="TAA244"/>
      <c r="TAB244"/>
      <c r="TAC244"/>
      <c r="TAD244"/>
      <c r="TAE244"/>
      <c r="TAF244"/>
      <c r="TAG244"/>
      <c r="TAH244"/>
      <c r="TAI244"/>
      <c r="TAJ244"/>
      <c r="TAK244"/>
      <c r="TAL244"/>
      <c r="TAM244"/>
      <c r="TAN244"/>
      <c r="TAO244"/>
      <c r="TAP244"/>
      <c r="TAQ244"/>
      <c r="TAR244"/>
      <c r="TAS244"/>
      <c r="TAT244"/>
      <c r="TAU244"/>
      <c r="TAV244"/>
      <c r="TAW244"/>
      <c r="TAX244"/>
      <c r="TAY244"/>
      <c r="TAZ244"/>
      <c r="TBA244"/>
      <c r="TBB244"/>
      <c r="TBC244"/>
      <c r="TBD244"/>
      <c r="TBE244"/>
      <c r="TBF244"/>
      <c r="TBG244"/>
      <c r="TBH244"/>
      <c r="TBI244"/>
      <c r="TBJ244"/>
      <c r="TBK244"/>
      <c r="TBL244"/>
      <c r="TBM244"/>
      <c r="TBN244"/>
      <c r="TBO244"/>
      <c r="TBP244"/>
      <c r="TBQ244"/>
      <c r="TBR244"/>
      <c r="TBS244"/>
      <c r="TBT244"/>
      <c r="TBU244"/>
      <c r="TBV244"/>
      <c r="TBW244"/>
      <c r="TBX244"/>
      <c r="TBY244"/>
      <c r="TBZ244"/>
      <c r="TCA244"/>
      <c r="TCB244"/>
      <c r="TCC244"/>
      <c r="TCD244"/>
      <c r="TCE244"/>
      <c r="TCF244"/>
      <c r="TCG244"/>
      <c r="TCH244"/>
      <c r="TCI244"/>
      <c r="TCJ244"/>
      <c r="TCK244"/>
      <c r="TCL244"/>
      <c r="TCM244"/>
      <c r="TCN244"/>
      <c r="TCO244"/>
      <c r="TCP244"/>
      <c r="TCQ244"/>
      <c r="TCR244"/>
      <c r="TCS244"/>
      <c r="TCT244"/>
      <c r="TCU244"/>
      <c r="TCV244"/>
      <c r="TCW244"/>
      <c r="TCX244"/>
      <c r="TCY244"/>
      <c r="TCZ244"/>
      <c r="TDA244"/>
      <c r="TDB244"/>
      <c r="TDC244"/>
      <c r="TDD244"/>
      <c r="TDE244"/>
      <c r="TDF244"/>
      <c r="TDG244"/>
      <c r="TDH244"/>
      <c r="TDI244"/>
      <c r="TDJ244"/>
      <c r="TDK244"/>
      <c r="TDL244"/>
      <c r="TDM244"/>
      <c r="TDN244"/>
      <c r="TDO244"/>
      <c r="TDP244"/>
      <c r="TDQ244"/>
      <c r="TDR244"/>
      <c r="TDS244"/>
      <c r="TDT244"/>
      <c r="TDU244"/>
      <c r="TDV244"/>
      <c r="TDW244"/>
      <c r="TDX244"/>
      <c r="TDY244"/>
      <c r="TDZ244"/>
      <c r="TEA244"/>
      <c r="TEB244"/>
      <c r="TEC244"/>
      <c r="TED244"/>
      <c r="TEE244"/>
      <c r="TEF244"/>
      <c r="TEG244"/>
      <c r="TEH244"/>
      <c r="TEI244"/>
      <c r="TEJ244"/>
      <c r="TEK244"/>
      <c r="TEL244"/>
      <c r="TEM244"/>
      <c r="TEN244"/>
      <c r="TEO244"/>
      <c r="TEP244"/>
      <c r="TEQ244"/>
      <c r="TER244"/>
      <c r="TES244"/>
      <c r="TET244"/>
      <c r="TEU244"/>
      <c r="TEV244"/>
      <c r="TEW244"/>
      <c r="TEX244"/>
      <c r="TEY244"/>
      <c r="TEZ244"/>
      <c r="TFA244"/>
      <c r="TFB244"/>
      <c r="TFC244"/>
      <c r="TFD244"/>
      <c r="TFE244"/>
      <c r="TFF244"/>
      <c r="TFG244"/>
      <c r="TFH244"/>
      <c r="TFI244"/>
      <c r="TFJ244"/>
      <c r="TFK244"/>
      <c r="TFL244"/>
      <c r="TFM244"/>
      <c r="TFN244"/>
      <c r="TFO244"/>
      <c r="TFP244"/>
      <c r="TFQ244"/>
      <c r="TFR244"/>
      <c r="TFS244"/>
      <c r="TFT244"/>
      <c r="TFU244"/>
      <c r="TFV244"/>
      <c r="TFW244"/>
      <c r="TFX244"/>
      <c r="TFY244"/>
      <c r="TFZ244"/>
      <c r="TGA244"/>
      <c r="TGB244"/>
      <c r="TGC244"/>
      <c r="TGD244"/>
      <c r="TGE244"/>
      <c r="TGF244"/>
      <c r="TGG244"/>
      <c r="TGH244"/>
      <c r="TGI244"/>
      <c r="TGJ244"/>
      <c r="TGK244"/>
      <c r="TGL244"/>
      <c r="TGM244"/>
      <c r="TGN244"/>
      <c r="TGO244"/>
      <c r="TGP244"/>
      <c r="TGQ244"/>
      <c r="TGR244"/>
      <c r="TGS244"/>
      <c r="TGT244"/>
      <c r="TGU244"/>
      <c r="TGV244"/>
      <c r="TGW244"/>
      <c r="TGX244"/>
      <c r="TGY244"/>
      <c r="TGZ244"/>
      <c r="THA244"/>
      <c r="THB244"/>
      <c r="THC244"/>
      <c r="THD244"/>
      <c r="THE244"/>
      <c r="THF244"/>
      <c r="THG244"/>
      <c r="THH244"/>
      <c r="THI244"/>
      <c r="THJ244"/>
      <c r="THK244"/>
      <c r="THL244"/>
      <c r="THM244"/>
      <c r="THN244"/>
      <c r="THO244"/>
      <c r="THP244"/>
      <c r="THQ244"/>
      <c r="THR244"/>
      <c r="THS244"/>
      <c r="THT244"/>
      <c r="THU244"/>
      <c r="THV244"/>
      <c r="THW244"/>
      <c r="THX244"/>
      <c r="THY244"/>
      <c r="THZ244"/>
      <c r="TIA244"/>
      <c r="TIB244"/>
      <c r="TIC244"/>
      <c r="TID244"/>
      <c r="TIE244"/>
      <c r="TIF244"/>
      <c r="TIG244"/>
      <c r="TIH244"/>
      <c r="TII244"/>
      <c r="TIJ244"/>
      <c r="TIK244"/>
      <c r="TIL244"/>
      <c r="TIM244"/>
      <c r="TIN244"/>
      <c r="TIO244"/>
      <c r="TIP244"/>
      <c r="TIQ244"/>
      <c r="TIR244"/>
      <c r="TIS244"/>
      <c r="TIT244"/>
      <c r="TIU244"/>
      <c r="TIV244"/>
      <c r="TIW244"/>
      <c r="TIX244"/>
      <c r="TIY244"/>
      <c r="TIZ244"/>
      <c r="TJA244"/>
      <c r="TJB244"/>
      <c r="TJC244"/>
      <c r="TJD244"/>
      <c r="TJE244"/>
      <c r="TJF244"/>
      <c r="TJG244"/>
      <c r="TJH244"/>
      <c r="TJI244"/>
      <c r="TJJ244"/>
      <c r="TJK244"/>
      <c r="TJL244"/>
      <c r="TJM244"/>
      <c r="TJN244"/>
      <c r="TJO244"/>
      <c r="TJP244"/>
      <c r="TJQ244"/>
      <c r="TJR244"/>
      <c r="TJS244"/>
      <c r="TJT244"/>
      <c r="TJU244"/>
      <c r="TJV244"/>
      <c r="TJW244"/>
      <c r="TJX244"/>
      <c r="TJY244"/>
      <c r="TJZ244"/>
      <c r="TKA244"/>
      <c r="TKB244"/>
      <c r="TKC244"/>
      <c r="TKD244"/>
      <c r="TKE244"/>
      <c r="TKF244"/>
      <c r="TKG244"/>
      <c r="TKH244"/>
      <c r="TKI244"/>
      <c r="TKJ244"/>
      <c r="TKK244"/>
      <c r="TKL244"/>
      <c r="TKM244"/>
      <c r="TKN244"/>
      <c r="TKO244"/>
      <c r="TKP244"/>
      <c r="TKQ244"/>
      <c r="TKR244"/>
      <c r="TKS244"/>
      <c r="TKT244"/>
      <c r="TKU244"/>
      <c r="TKV244"/>
      <c r="TKW244"/>
      <c r="TKX244"/>
      <c r="TKY244"/>
      <c r="TKZ244"/>
      <c r="TLA244"/>
      <c r="TLB244"/>
      <c r="TLC244"/>
      <c r="TLD244"/>
      <c r="TLE244"/>
      <c r="TLF244"/>
      <c r="TLG244"/>
      <c r="TLH244"/>
      <c r="TLI244"/>
      <c r="TLJ244"/>
      <c r="TLK244"/>
      <c r="TLL244"/>
      <c r="TLM244"/>
      <c r="TLN244"/>
      <c r="TLO244"/>
      <c r="TLP244"/>
      <c r="TLQ244"/>
      <c r="TLR244"/>
      <c r="TLS244"/>
      <c r="TLT244"/>
      <c r="TLU244"/>
      <c r="TLV244"/>
      <c r="TLW244"/>
      <c r="TLX244"/>
      <c r="TLY244"/>
      <c r="TLZ244"/>
      <c r="TMA244"/>
      <c r="TMB244"/>
      <c r="TMC244"/>
      <c r="TMD244"/>
      <c r="TME244"/>
      <c r="TMF244"/>
      <c r="TMG244"/>
      <c r="TMH244"/>
      <c r="TMI244"/>
      <c r="TMJ244"/>
      <c r="TMK244"/>
      <c r="TML244"/>
      <c r="TMM244"/>
      <c r="TMN244"/>
      <c r="TMO244"/>
      <c r="TMP244"/>
      <c r="TMQ244"/>
      <c r="TMR244"/>
      <c r="TMS244"/>
      <c r="TMT244"/>
      <c r="TMU244"/>
      <c r="TMV244"/>
      <c r="TMW244"/>
      <c r="TMX244"/>
      <c r="TMY244"/>
      <c r="TMZ244"/>
      <c r="TNA244"/>
      <c r="TNB244"/>
      <c r="TNC244"/>
      <c r="TND244"/>
      <c r="TNE244"/>
      <c r="TNF244"/>
      <c r="TNG244"/>
      <c r="TNH244"/>
      <c r="TNI244"/>
      <c r="TNJ244"/>
      <c r="TNK244"/>
      <c r="TNL244"/>
      <c r="TNM244"/>
      <c r="TNN244"/>
      <c r="TNO244"/>
      <c r="TNP244"/>
      <c r="TNQ244"/>
      <c r="TNR244"/>
      <c r="TNS244"/>
      <c r="TNT244"/>
      <c r="TNU244"/>
      <c r="TNV244"/>
      <c r="TNW244"/>
      <c r="TNX244"/>
      <c r="TNY244"/>
      <c r="TNZ244"/>
      <c r="TOA244"/>
      <c r="TOB244"/>
      <c r="TOC244"/>
      <c r="TOD244"/>
      <c r="TOE244"/>
      <c r="TOF244"/>
      <c r="TOG244"/>
      <c r="TOH244"/>
      <c r="TOI244"/>
      <c r="TOJ244"/>
      <c r="TOK244"/>
      <c r="TOL244"/>
      <c r="TOM244"/>
      <c r="TON244"/>
      <c r="TOO244"/>
      <c r="TOP244"/>
      <c r="TOQ244"/>
      <c r="TOR244"/>
      <c r="TOS244"/>
      <c r="TOT244"/>
      <c r="TOU244"/>
      <c r="TOV244"/>
      <c r="TOW244"/>
      <c r="TOX244"/>
      <c r="TOY244"/>
      <c r="TOZ244"/>
      <c r="TPA244"/>
      <c r="TPB244"/>
      <c r="TPC244"/>
      <c r="TPD244"/>
      <c r="TPE244"/>
      <c r="TPF244"/>
      <c r="TPG244"/>
      <c r="TPH244"/>
      <c r="TPI244"/>
      <c r="TPJ244"/>
      <c r="TPK244"/>
      <c r="TPL244"/>
      <c r="TPM244"/>
      <c r="TPN244"/>
      <c r="TPO244"/>
      <c r="TPP244"/>
      <c r="TPQ244"/>
      <c r="TPR244"/>
      <c r="TPS244"/>
      <c r="TPT244"/>
      <c r="TPU244"/>
      <c r="TPV244"/>
      <c r="TPW244"/>
      <c r="TPX244"/>
      <c r="TPY244"/>
      <c r="TPZ244"/>
      <c r="TQA244"/>
      <c r="TQB244"/>
      <c r="TQC244"/>
      <c r="TQD244"/>
      <c r="TQE244"/>
      <c r="TQF244"/>
      <c r="TQG244"/>
      <c r="TQH244"/>
      <c r="TQI244"/>
      <c r="TQJ244"/>
      <c r="TQK244"/>
      <c r="TQL244"/>
      <c r="TQM244"/>
      <c r="TQN244"/>
      <c r="TQO244"/>
      <c r="TQP244"/>
      <c r="TQQ244"/>
      <c r="TQR244"/>
      <c r="TQS244"/>
      <c r="TQT244"/>
      <c r="TQU244"/>
      <c r="TQV244"/>
      <c r="TQW244"/>
      <c r="TQX244"/>
      <c r="TQY244"/>
      <c r="TQZ244"/>
      <c r="TRA244"/>
      <c r="TRB244"/>
      <c r="TRC244"/>
      <c r="TRD244"/>
      <c r="TRE244"/>
      <c r="TRF244"/>
      <c r="TRG244"/>
      <c r="TRH244"/>
      <c r="TRI244"/>
      <c r="TRJ244"/>
      <c r="TRK244"/>
      <c r="TRL244"/>
      <c r="TRM244"/>
      <c r="TRN244"/>
      <c r="TRO244"/>
      <c r="TRP244"/>
      <c r="TRQ244"/>
      <c r="TRR244"/>
      <c r="TRS244"/>
      <c r="TRT244"/>
      <c r="TRU244"/>
      <c r="TRV244"/>
      <c r="TRW244"/>
      <c r="TRX244"/>
      <c r="TRY244"/>
      <c r="TRZ244"/>
      <c r="TSA244"/>
      <c r="TSB244"/>
      <c r="TSC244"/>
      <c r="TSD244"/>
      <c r="TSE244"/>
      <c r="TSF244"/>
      <c r="TSG244"/>
      <c r="TSH244"/>
      <c r="TSI244"/>
      <c r="TSJ244"/>
      <c r="TSK244"/>
      <c r="TSL244"/>
      <c r="TSM244"/>
      <c r="TSN244"/>
      <c r="TSO244"/>
      <c r="TSP244"/>
      <c r="TSQ244"/>
      <c r="TSR244"/>
      <c r="TSS244"/>
      <c r="TST244"/>
      <c r="TSU244"/>
      <c r="TSV244"/>
      <c r="TSW244"/>
      <c r="TSX244"/>
      <c r="TSY244"/>
      <c r="TSZ244"/>
      <c r="TTA244"/>
      <c r="TTB244"/>
      <c r="TTC244"/>
      <c r="TTD244"/>
      <c r="TTE244"/>
      <c r="TTF244"/>
      <c r="TTG244"/>
      <c r="TTH244"/>
      <c r="TTI244"/>
      <c r="TTJ244"/>
      <c r="TTK244"/>
      <c r="TTL244"/>
      <c r="TTM244"/>
      <c r="TTN244"/>
      <c r="TTO244"/>
      <c r="TTP244"/>
      <c r="TTQ244"/>
      <c r="TTR244"/>
      <c r="TTS244"/>
      <c r="TTT244"/>
      <c r="TTU244"/>
      <c r="TTV244"/>
      <c r="TTW244"/>
      <c r="TTX244"/>
      <c r="TTY244"/>
      <c r="TTZ244"/>
      <c r="TUA244"/>
      <c r="TUB244"/>
      <c r="TUC244"/>
      <c r="TUD244"/>
      <c r="TUE244"/>
      <c r="TUF244"/>
      <c r="TUG244"/>
      <c r="TUH244"/>
      <c r="TUI244"/>
      <c r="TUJ244"/>
      <c r="TUK244"/>
      <c r="TUL244"/>
      <c r="TUM244"/>
      <c r="TUN244"/>
      <c r="TUO244"/>
      <c r="TUP244"/>
      <c r="TUQ244"/>
      <c r="TUR244"/>
      <c r="TUS244"/>
      <c r="TUT244"/>
      <c r="TUU244"/>
      <c r="TUV244"/>
      <c r="TUW244"/>
      <c r="TUX244"/>
      <c r="TUY244"/>
      <c r="TUZ244"/>
      <c r="TVA244"/>
      <c r="TVB244"/>
      <c r="TVC244"/>
      <c r="TVD244"/>
      <c r="TVE244"/>
      <c r="TVF244"/>
      <c r="TVG244"/>
      <c r="TVH244"/>
      <c r="TVI244"/>
      <c r="TVJ244"/>
      <c r="TVK244"/>
      <c r="TVL244"/>
      <c r="TVM244"/>
      <c r="TVN244"/>
      <c r="TVO244"/>
      <c r="TVP244"/>
      <c r="TVQ244"/>
      <c r="TVR244"/>
      <c r="TVS244"/>
      <c r="TVT244"/>
      <c r="TVU244"/>
      <c r="TVV244"/>
      <c r="TVW244"/>
      <c r="TVX244"/>
      <c r="TVY244"/>
      <c r="TVZ244"/>
      <c r="TWA244"/>
      <c r="TWB244"/>
      <c r="TWC244"/>
      <c r="TWD244"/>
      <c r="TWE244"/>
      <c r="TWF244"/>
      <c r="TWG244"/>
      <c r="TWH244"/>
      <c r="TWI244"/>
      <c r="TWJ244"/>
      <c r="TWK244"/>
      <c r="TWL244"/>
      <c r="TWM244"/>
      <c r="TWN244"/>
      <c r="TWO244"/>
      <c r="TWP244"/>
      <c r="TWQ244"/>
      <c r="TWR244"/>
      <c r="TWS244"/>
      <c r="TWT244"/>
      <c r="TWU244"/>
      <c r="TWV244"/>
      <c r="TWW244"/>
      <c r="TWX244"/>
      <c r="TWY244"/>
      <c r="TWZ244"/>
      <c r="TXA244"/>
      <c r="TXB244"/>
      <c r="TXC244"/>
      <c r="TXD244"/>
      <c r="TXE244"/>
      <c r="TXF244"/>
      <c r="TXG244"/>
      <c r="TXH244"/>
      <c r="TXI244"/>
      <c r="TXJ244"/>
      <c r="TXK244"/>
      <c r="TXL244"/>
      <c r="TXM244"/>
      <c r="TXN244"/>
      <c r="TXO244"/>
      <c r="TXP244"/>
      <c r="TXQ244"/>
      <c r="TXR244"/>
      <c r="TXS244"/>
      <c r="TXT244"/>
      <c r="TXU244"/>
      <c r="TXV244"/>
      <c r="TXW244"/>
      <c r="TXX244"/>
      <c r="TXY244"/>
      <c r="TXZ244"/>
      <c r="TYA244"/>
      <c r="TYB244"/>
      <c r="TYC244"/>
      <c r="TYD244"/>
      <c r="TYE244"/>
      <c r="TYF244"/>
      <c r="TYG244"/>
      <c r="TYH244"/>
      <c r="TYI244"/>
      <c r="TYJ244"/>
      <c r="TYK244"/>
      <c r="TYL244"/>
      <c r="TYM244"/>
      <c r="TYN244"/>
      <c r="TYO244"/>
      <c r="TYP244"/>
      <c r="TYQ244"/>
      <c r="TYR244"/>
      <c r="TYS244"/>
      <c r="TYT244"/>
      <c r="TYU244"/>
      <c r="TYV244"/>
      <c r="TYW244"/>
      <c r="TYX244"/>
      <c r="TYY244"/>
      <c r="TYZ244"/>
      <c r="TZA244"/>
      <c r="TZB244"/>
      <c r="TZC244"/>
      <c r="TZD244"/>
      <c r="TZE244"/>
      <c r="TZF244"/>
      <c r="TZG244"/>
      <c r="TZH244"/>
      <c r="TZI244"/>
      <c r="TZJ244"/>
      <c r="TZK244"/>
      <c r="TZL244"/>
      <c r="TZM244"/>
      <c r="TZN244"/>
      <c r="TZO244"/>
      <c r="TZP244"/>
      <c r="TZQ244"/>
      <c r="TZR244"/>
      <c r="TZS244"/>
      <c r="TZT244"/>
      <c r="TZU244"/>
      <c r="TZV244"/>
      <c r="TZW244"/>
      <c r="TZX244"/>
      <c r="TZY244"/>
      <c r="TZZ244"/>
      <c r="UAA244"/>
      <c r="UAB244"/>
      <c r="UAC244"/>
      <c r="UAD244"/>
      <c r="UAE244"/>
      <c r="UAF244"/>
      <c r="UAG244"/>
      <c r="UAH244"/>
      <c r="UAI244"/>
      <c r="UAJ244"/>
      <c r="UAK244"/>
      <c r="UAL244"/>
      <c r="UAM244"/>
      <c r="UAN244"/>
      <c r="UAO244"/>
      <c r="UAP244"/>
      <c r="UAQ244"/>
      <c r="UAR244"/>
      <c r="UAS244"/>
      <c r="UAT244"/>
      <c r="UAU244"/>
      <c r="UAV244"/>
      <c r="UAW244"/>
      <c r="UAX244"/>
      <c r="UAY244"/>
      <c r="UAZ244"/>
      <c r="UBA244"/>
      <c r="UBB244"/>
      <c r="UBC244"/>
      <c r="UBD244"/>
      <c r="UBE244"/>
      <c r="UBF244"/>
      <c r="UBG244"/>
      <c r="UBH244"/>
      <c r="UBI244"/>
      <c r="UBJ244"/>
      <c r="UBK244"/>
      <c r="UBL244"/>
      <c r="UBM244"/>
      <c r="UBN244"/>
      <c r="UBO244"/>
      <c r="UBP244"/>
      <c r="UBQ244"/>
      <c r="UBR244"/>
      <c r="UBS244"/>
      <c r="UBT244"/>
      <c r="UBU244"/>
      <c r="UBV244"/>
      <c r="UBW244"/>
      <c r="UBX244"/>
      <c r="UBY244"/>
      <c r="UBZ244"/>
      <c r="UCA244"/>
      <c r="UCB244"/>
      <c r="UCC244"/>
      <c r="UCD244"/>
      <c r="UCE244"/>
      <c r="UCF244"/>
      <c r="UCG244"/>
      <c r="UCH244"/>
      <c r="UCI244"/>
      <c r="UCJ244"/>
      <c r="UCK244"/>
      <c r="UCL244"/>
      <c r="UCM244"/>
      <c r="UCN244"/>
      <c r="UCO244"/>
      <c r="UCP244"/>
      <c r="UCQ244"/>
      <c r="UCR244"/>
      <c r="UCS244"/>
      <c r="UCT244"/>
      <c r="UCU244"/>
      <c r="UCV244"/>
      <c r="UCW244"/>
      <c r="UCX244"/>
      <c r="UCY244"/>
      <c r="UCZ244"/>
      <c r="UDA244"/>
      <c r="UDB244"/>
      <c r="UDC244"/>
      <c r="UDD244"/>
      <c r="UDE244"/>
      <c r="UDF244"/>
      <c r="UDG244"/>
      <c r="UDH244"/>
      <c r="UDI244"/>
      <c r="UDJ244"/>
      <c r="UDK244"/>
      <c r="UDL244"/>
      <c r="UDM244"/>
      <c r="UDN244"/>
      <c r="UDO244"/>
      <c r="UDP244"/>
      <c r="UDQ244"/>
      <c r="UDR244"/>
      <c r="UDS244"/>
      <c r="UDT244"/>
      <c r="UDU244"/>
      <c r="UDV244"/>
      <c r="UDW244"/>
      <c r="UDX244"/>
      <c r="UDY244"/>
      <c r="UDZ244"/>
      <c r="UEA244"/>
      <c r="UEB244"/>
      <c r="UEC244"/>
      <c r="UED244"/>
      <c r="UEE244"/>
      <c r="UEF244"/>
      <c r="UEG244"/>
      <c r="UEH244"/>
      <c r="UEI244"/>
      <c r="UEJ244"/>
      <c r="UEK244"/>
      <c r="UEL244"/>
      <c r="UEM244"/>
      <c r="UEN244"/>
      <c r="UEO244"/>
      <c r="UEP244"/>
      <c r="UEQ244"/>
      <c r="UER244"/>
      <c r="UES244"/>
      <c r="UET244"/>
      <c r="UEU244"/>
      <c r="UEV244"/>
      <c r="UEW244"/>
      <c r="UEX244"/>
      <c r="UEY244"/>
      <c r="UEZ244"/>
      <c r="UFA244"/>
      <c r="UFB244"/>
      <c r="UFC244"/>
      <c r="UFD244"/>
      <c r="UFE244"/>
      <c r="UFF244"/>
      <c r="UFG244"/>
      <c r="UFH244"/>
      <c r="UFI244"/>
      <c r="UFJ244"/>
      <c r="UFK244"/>
      <c r="UFL244"/>
      <c r="UFM244"/>
      <c r="UFN244"/>
      <c r="UFO244"/>
      <c r="UFP244"/>
      <c r="UFQ244"/>
      <c r="UFR244"/>
      <c r="UFS244"/>
      <c r="UFT244"/>
      <c r="UFU244"/>
      <c r="UFV244"/>
      <c r="UFW244"/>
      <c r="UFX244"/>
      <c r="UFY244"/>
      <c r="UFZ244"/>
      <c r="UGA244"/>
      <c r="UGB244"/>
      <c r="UGC244"/>
      <c r="UGD244"/>
      <c r="UGE244"/>
      <c r="UGF244"/>
      <c r="UGG244"/>
      <c r="UGH244"/>
      <c r="UGI244"/>
      <c r="UGJ244"/>
      <c r="UGK244"/>
      <c r="UGL244"/>
      <c r="UGM244"/>
      <c r="UGN244"/>
      <c r="UGO244"/>
      <c r="UGP244"/>
      <c r="UGQ244"/>
      <c r="UGR244"/>
      <c r="UGS244"/>
      <c r="UGT244"/>
      <c r="UGU244"/>
      <c r="UGV244"/>
      <c r="UGW244"/>
      <c r="UGX244"/>
      <c r="UGY244"/>
      <c r="UGZ244"/>
      <c r="UHA244"/>
      <c r="UHB244"/>
      <c r="UHC244"/>
      <c r="UHD244"/>
      <c r="UHE244"/>
      <c r="UHF244"/>
      <c r="UHG244"/>
      <c r="UHH244"/>
      <c r="UHI244"/>
      <c r="UHJ244"/>
      <c r="UHK244"/>
      <c r="UHL244"/>
      <c r="UHM244"/>
      <c r="UHN244"/>
      <c r="UHO244"/>
      <c r="UHP244"/>
      <c r="UHQ244"/>
      <c r="UHR244"/>
      <c r="UHS244"/>
      <c r="UHT244"/>
      <c r="UHU244"/>
      <c r="UHV244"/>
      <c r="UHW244"/>
      <c r="UHX244"/>
      <c r="UHY244"/>
      <c r="UHZ244"/>
      <c r="UIA244"/>
      <c r="UIB244"/>
      <c r="UIC244"/>
      <c r="UID244"/>
      <c r="UIE244"/>
      <c r="UIF244"/>
      <c r="UIG244"/>
      <c r="UIH244"/>
      <c r="UII244"/>
      <c r="UIJ244"/>
      <c r="UIK244"/>
      <c r="UIL244"/>
      <c r="UIM244"/>
      <c r="UIN244"/>
      <c r="UIO244"/>
      <c r="UIP244"/>
      <c r="UIQ244"/>
      <c r="UIR244"/>
      <c r="UIS244"/>
      <c r="UIT244"/>
      <c r="UIU244"/>
      <c r="UIV244"/>
      <c r="UIW244"/>
      <c r="UIX244"/>
      <c r="UIY244"/>
      <c r="UIZ244"/>
      <c r="UJA244"/>
      <c r="UJB244"/>
      <c r="UJC244"/>
      <c r="UJD244"/>
      <c r="UJE244"/>
      <c r="UJF244"/>
      <c r="UJG244"/>
      <c r="UJH244"/>
      <c r="UJI244"/>
      <c r="UJJ244"/>
      <c r="UJK244"/>
      <c r="UJL244"/>
      <c r="UJM244"/>
      <c r="UJN244"/>
      <c r="UJO244"/>
      <c r="UJP244"/>
      <c r="UJQ244"/>
      <c r="UJR244"/>
      <c r="UJS244"/>
      <c r="UJT244"/>
      <c r="UJU244"/>
      <c r="UJV244"/>
      <c r="UJW244"/>
      <c r="UJX244"/>
      <c r="UJY244"/>
      <c r="UJZ244"/>
      <c r="UKA244"/>
      <c r="UKB244"/>
      <c r="UKC244"/>
      <c r="UKD244"/>
      <c r="UKE244"/>
      <c r="UKF244"/>
      <c r="UKG244"/>
      <c r="UKH244"/>
      <c r="UKI244"/>
      <c r="UKJ244"/>
      <c r="UKK244"/>
      <c r="UKL244"/>
      <c r="UKM244"/>
      <c r="UKN244"/>
      <c r="UKO244"/>
      <c r="UKP244"/>
      <c r="UKQ244"/>
      <c r="UKR244"/>
      <c r="UKS244"/>
      <c r="UKT244"/>
      <c r="UKU244"/>
      <c r="UKV244"/>
      <c r="UKW244"/>
      <c r="UKX244"/>
      <c r="UKY244"/>
      <c r="UKZ244"/>
      <c r="ULA244"/>
      <c r="ULB244"/>
      <c r="ULC244"/>
      <c r="ULD244"/>
      <c r="ULE244"/>
      <c r="ULF244"/>
      <c r="ULG244"/>
      <c r="ULH244"/>
      <c r="ULI244"/>
      <c r="ULJ244"/>
      <c r="ULK244"/>
      <c r="ULL244"/>
      <c r="ULM244"/>
      <c r="ULN244"/>
      <c r="ULO244"/>
      <c r="ULP244"/>
      <c r="ULQ244"/>
      <c r="ULR244"/>
      <c r="ULS244"/>
      <c r="ULT244"/>
      <c r="ULU244"/>
      <c r="ULV244"/>
      <c r="ULW244"/>
      <c r="ULX244"/>
      <c r="ULY244"/>
      <c r="ULZ244"/>
      <c r="UMA244"/>
      <c r="UMB244"/>
      <c r="UMC244"/>
      <c r="UMD244"/>
      <c r="UME244"/>
      <c r="UMF244"/>
      <c r="UMG244"/>
      <c r="UMH244"/>
      <c r="UMI244"/>
      <c r="UMJ244"/>
      <c r="UMK244"/>
      <c r="UML244"/>
      <c r="UMM244"/>
      <c r="UMN244"/>
      <c r="UMO244"/>
      <c r="UMP244"/>
      <c r="UMQ244"/>
      <c r="UMR244"/>
      <c r="UMS244"/>
      <c r="UMT244"/>
      <c r="UMU244"/>
      <c r="UMV244"/>
      <c r="UMW244"/>
      <c r="UMX244"/>
      <c r="UMY244"/>
      <c r="UMZ244"/>
      <c r="UNA244"/>
      <c r="UNB244"/>
      <c r="UNC244"/>
      <c r="UND244"/>
      <c r="UNE244"/>
      <c r="UNF244"/>
      <c r="UNG244"/>
      <c r="UNH244"/>
      <c r="UNI244"/>
      <c r="UNJ244"/>
      <c r="UNK244"/>
      <c r="UNL244"/>
      <c r="UNM244"/>
      <c r="UNN244"/>
      <c r="UNO244"/>
      <c r="UNP244"/>
      <c r="UNQ244"/>
      <c r="UNR244"/>
      <c r="UNS244"/>
      <c r="UNT244"/>
      <c r="UNU244"/>
      <c r="UNV244"/>
      <c r="UNW244"/>
      <c r="UNX244"/>
      <c r="UNY244"/>
      <c r="UNZ244"/>
      <c r="UOA244"/>
      <c r="UOB244"/>
      <c r="UOC244"/>
      <c r="UOD244"/>
      <c r="UOE244"/>
      <c r="UOF244"/>
      <c r="UOG244"/>
      <c r="UOH244"/>
      <c r="UOI244"/>
      <c r="UOJ244"/>
      <c r="UOK244"/>
      <c r="UOL244"/>
      <c r="UOM244"/>
      <c r="UON244"/>
      <c r="UOO244"/>
      <c r="UOP244"/>
      <c r="UOQ244"/>
      <c r="UOR244"/>
      <c r="UOS244"/>
      <c r="UOT244"/>
      <c r="UOU244"/>
      <c r="UOV244"/>
      <c r="UOW244"/>
      <c r="UOX244"/>
      <c r="UOY244"/>
      <c r="UOZ244"/>
      <c r="UPA244"/>
      <c r="UPB244"/>
      <c r="UPC244"/>
      <c r="UPD244"/>
      <c r="UPE244"/>
      <c r="UPF244"/>
      <c r="UPG244"/>
      <c r="UPH244"/>
      <c r="UPI244"/>
      <c r="UPJ244"/>
      <c r="UPK244"/>
      <c r="UPL244"/>
      <c r="UPM244"/>
      <c r="UPN244"/>
      <c r="UPO244"/>
      <c r="UPP244"/>
      <c r="UPQ244"/>
      <c r="UPR244"/>
      <c r="UPS244"/>
      <c r="UPT244"/>
      <c r="UPU244"/>
      <c r="UPV244"/>
      <c r="UPW244"/>
      <c r="UPX244"/>
      <c r="UPY244"/>
      <c r="UPZ244"/>
      <c r="UQA244"/>
      <c r="UQB244"/>
      <c r="UQC244"/>
      <c r="UQD244"/>
      <c r="UQE244"/>
      <c r="UQF244"/>
      <c r="UQG244"/>
      <c r="UQH244"/>
      <c r="UQI244"/>
      <c r="UQJ244"/>
      <c r="UQK244"/>
      <c r="UQL244"/>
      <c r="UQM244"/>
      <c r="UQN244"/>
      <c r="UQO244"/>
      <c r="UQP244"/>
      <c r="UQQ244"/>
      <c r="UQR244"/>
      <c r="UQS244"/>
      <c r="UQT244"/>
      <c r="UQU244"/>
      <c r="UQV244"/>
      <c r="UQW244"/>
      <c r="UQX244"/>
      <c r="UQY244"/>
      <c r="UQZ244"/>
      <c r="URA244"/>
      <c r="URB244"/>
      <c r="URC244"/>
      <c r="URD244"/>
      <c r="URE244"/>
      <c r="URF244"/>
      <c r="URG244"/>
      <c r="URH244"/>
      <c r="URI244"/>
      <c r="URJ244"/>
      <c r="URK244"/>
      <c r="URL244"/>
      <c r="URM244"/>
      <c r="URN244"/>
      <c r="URO244"/>
      <c r="URP244"/>
      <c r="URQ244"/>
      <c r="URR244"/>
      <c r="URS244"/>
      <c r="URT244"/>
      <c r="URU244"/>
      <c r="URV244"/>
      <c r="URW244"/>
      <c r="URX244"/>
      <c r="URY244"/>
      <c r="URZ244"/>
      <c r="USA244"/>
      <c r="USB244"/>
      <c r="USC244"/>
      <c r="USD244"/>
      <c r="USE244"/>
      <c r="USF244"/>
      <c r="USG244"/>
      <c r="USH244"/>
      <c r="USI244"/>
      <c r="USJ244"/>
      <c r="USK244"/>
      <c r="USL244"/>
      <c r="USM244"/>
      <c r="USN244"/>
      <c r="USO244"/>
      <c r="USP244"/>
      <c r="USQ244"/>
      <c r="USR244"/>
      <c r="USS244"/>
      <c r="UST244"/>
      <c r="USU244"/>
      <c r="USV244"/>
      <c r="USW244"/>
      <c r="USX244"/>
      <c r="USY244"/>
      <c r="USZ244"/>
      <c r="UTA244"/>
      <c r="UTB244"/>
      <c r="UTC244"/>
      <c r="UTD244"/>
      <c r="UTE244"/>
      <c r="UTF244"/>
      <c r="UTG244"/>
      <c r="UTH244"/>
      <c r="UTI244"/>
      <c r="UTJ244"/>
      <c r="UTK244"/>
      <c r="UTL244"/>
      <c r="UTM244"/>
      <c r="UTN244"/>
      <c r="UTO244"/>
      <c r="UTP244"/>
      <c r="UTQ244"/>
      <c r="UTR244"/>
      <c r="UTS244"/>
      <c r="UTT244"/>
      <c r="UTU244"/>
      <c r="UTV244"/>
      <c r="UTW244"/>
      <c r="UTX244"/>
      <c r="UTY244"/>
      <c r="UTZ244"/>
      <c r="UUA244"/>
      <c r="UUB244"/>
      <c r="UUC244"/>
      <c r="UUD244"/>
      <c r="UUE244"/>
      <c r="UUF244"/>
      <c r="UUG244"/>
      <c r="UUH244"/>
      <c r="UUI244"/>
      <c r="UUJ244"/>
      <c r="UUK244"/>
      <c r="UUL244"/>
      <c r="UUM244"/>
      <c r="UUN244"/>
      <c r="UUO244"/>
      <c r="UUP244"/>
      <c r="UUQ244"/>
      <c r="UUR244"/>
      <c r="UUS244"/>
      <c r="UUT244"/>
      <c r="UUU244"/>
      <c r="UUV244"/>
      <c r="UUW244"/>
      <c r="UUX244"/>
      <c r="UUY244"/>
      <c r="UUZ244"/>
      <c r="UVA244"/>
      <c r="UVB244"/>
      <c r="UVC244"/>
      <c r="UVD244"/>
      <c r="UVE244"/>
      <c r="UVF244"/>
      <c r="UVG244"/>
      <c r="UVH244"/>
      <c r="UVI244"/>
      <c r="UVJ244"/>
      <c r="UVK244"/>
      <c r="UVL244"/>
      <c r="UVM244"/>
      <c r="UVN244"/>
      <c r="UVO244"/>
      <c r="UVP244"/>
      <c r="UVQ244"/>
      <c r="UVR244"/>
      <c r="UVS244"/>
      <c r="UVT244"/>
      <c r="UVU244"/>
      <c r="UVV244"/>
      <c r="UVW244"/>
      <c r="UVX244"/>
      <c r="UVY244"/>
      <c r="UVZ244"/>
      <c r="UWA244"/>
      <c r="UWB244"/>
      <c r="UWC244"/>
      <c r="UWD244"/>
      <c r="UWE244"/>
      <c r="UWF244"/>
      <c r="UWG244"/>
      <c r="UWH244"/>
      <c r="UWI244"/>
      <c r="UWJ244"/>
      <c r="UWK244"/>
      <c r="UWL244"/>
      <c r="UWM244"/>
      <c r="UWN244"/>
      <c r="UWO244"/>
      <c r="UWP244"/>
      <c r="UWQ244"/>
      <c r="UWR244"/>
      <c r="UWS244"/>
      <c r="UWT244"/>
      <c r="UWU244"/>
      <c r="UWV244"/>
      <c r="UWW244"/>
      <c r="UWX244"/>
      <c r="UWY244"/>
      <c r="UWZ244"/>
      <c r="UXA244"/>
      <c r="UXB244"/>
      <c r="UXC244"/>
      <c r="UXD244"/>
      <c r="UXE244"/>
      <c r="UXF244"/>
      <c r="UXG244"/>
      <c r="UXH244"/>
      <c r="UXI244"/>
      <c r="UXJ244"/>
      <c r="UXK244"/>
      <c r="UXL244"/>
      <c r="UXM244"/>
      <c r="UXN244"/>
      <c r="UXO244"/>
      <c r="UXP244"/>
      <c r="UXQ244"/>
      <c r="UXR244"/>
      <c r="UXS244"/>
      <c r="UXT244"/>
      <c r="UXU244"/>
      <c r="UXV244"/>
      <c r="UXW244"/>
      <c r="UXX244"/>
      <c r="UXY244"/>
      <c r="UXZ244"/>
      <c r="UYA244"/>
      <c r="UYB244"/>
      <c r="UYC244"/>
      <c r="UYD244"/>
      <c r="UYE244"/>
      <c r="UYF244"/>
      <c r="UYG244"/>
      <c r="UYH244"/>
      <c r="UYI244"/>
      <c r="UYJ244"/>
      <c r="UYK244"/>
      <c r="UYL244"/>
      <c r="UYM244"/>
      <c r="UYN244"/>
      <c r="UYO244"/>
      <c r="UYP244"/>
      <c r="UYQ244"/>
      <c r="UYR244"/>
      <c r="UYS244"/>
      <c r="UYT244"/>
      <c r="UYU244"/>
      <c r="UYV244"/>
      <c r="UYW244"/>
      <c r="UYX244"/>
      <c r="UYY244"/>
      <c r="UYZ244"/>
      <c r="UZA244"/>
      <c r="UZB244"/>
      <c r="UZC244"/>
      <c r="UZD244"/>
      <c r="UZE244"/>
      <c r="UZF244"/>
      <c r="UZG244"/>
      <c r="UZH244"/>
      <c r="UZI244"/>
      <c r="UZJ244"/>
      <c r="UZK244"/>
      <c r="UZL244"/>
      <c r="UZM244"/>
      <c r="UZN244"/>
      <c r="UZO244"/>
      <c r="UZP244"/>
      <c r="UZQ244"/>
      <c r="UZR244"/>
      <c r="UZS244"/>
      <c r="UZT244"/>
      <c r="UZU244"/>
      <c r="UZV244"/>
      <c r="UZW244"/>
      <c r="UZX244"/>
      <c r="UZY244"/>
      <c r="UZZ244"/>
      <c r="VAA244"/>
      <c r="VAB244"/>
      <c r="VAC244"/>
      <c r="VAD244"/>
      <c r="VAE244"/>
      <c r="VAF244"/>
      <c r="VAG244"/>
      <c r="VAH244"/>
      <c r="VAI244"/>
      <c r="VAJ244"/>
      <c r="VAK244"/>
      <c r="VAL244"/>
      <c r="VAM244"/>
      <c r="VAN244"/>
      <c r="VAO244"/>
      <c r="VAP244"/>
      <c r="VAQ244"/>
      <c r="VAR244"/>
      <c r="VAS244"/>
      <c r="VAT244"/>
      <c r="VAU244"/>
      <c r="VAV244"/>
      <c r="VAW244"/>
      <c r="VAX244"/>
      <c r="VAY244"/>
      <c r="VAZ244"/>
      <c r="VBA244"/>
      <c r="VBB244"/>
      <c r="VBC244"/>
      <c r="VBD244"/>
      <c r="VBE244"/>
      <c r="VBF244"/>
      <c r="VBG244"/>
      <c r="VBH244"/>
      <c r="VBI244"/>
      <c r="VBJ244"/>
      <c r="VBK244"/>
      <c r="VBL244"/>
      <c r="VBM244"/>
      <c r="VBN244"/>
      <c r="VBO244"/>
      <c r="VBP244"/>
      <c r="VBQ244"/>
      <c r="VBR244"/>
      <c r="VBS244"/>
      <c r="VBT244"/>
      <c r="VBU244"/>
      <c r="VBV244"/>
      <c r="VBW244"/>
      <c r="VBX244"/>
      <c r="VBY244"/>
      <c r="VBZ244"/>
      <c r="VCA244"/>
      <c r="VCB244"/>
      <c r="VCC244"/>
      <c r="VCD244"/>
      <c r="VCE244"/>
      <c r="VCF244"/>
      <c r="VCG244"/>
      <c r="VCH244"/>
      <c r="VCI244"/>
      <c r="VCJ244"/>
      <c r="VCK244"/>
      <c r="VCL244"/>
      <c r="VCM244"/>
      <c r="VCN244"/>
      <c r="VCO244"/>
      <c r="VCP244"/>
      <c r="VCQ244"/>
      <c r="VCR244"/>
      <c r="VCS244"/>
      <c r="VCT244"/>
      <c r="VCU244"/>
      <c r="VCV244"/>
      <c r="VCW244"/>
      <c r="VCX244"/>
      <c r="VCY244"/>
      <c r="VCZ244"/>
      <c r="VDA244"/>
      <c r="VDB244"/>
      <c r="VDC244"/>
      <c r="VDD244"/>
      <c r="VDE244"/>
      <c r="VDF244"/>
      <c r="VDG244"/>
      <c r="VDH244"/>
      <c r="VDI244"/>
      <c r="VDJ244"/>
      <c r="VDK244"/>
      <c r="VDL244"/>
      <c r="VDM244"/>
      <c r="VDN244"/>
      <c r="VDO244"/>
      <c r="VDP244"/>
      <c r="VDQ244"/>
      <c r="VDR244"/>
      <c r="VDS244"/>
      <c r="VDT244"/>
      <c r="VDU244"/>
      <c r="VDV244"/>
      <c r="VDW244"/>
      <c r="VDX244"/>
      <c r="VDY244"/>
      <c r="VDZ244"/>
      <c r="VEA244"/>
      <c r="VEB244"/>
      <c r="VEC244"/>
      <c r="VED244"/>
      <c r="VEE244"/>
      <c r="VEF244"/>
      <c r="VEG244"/>
      <c r="VEH244"/>
      <c r="VEI244"/>
      <c r="VEJ244"/>
      <c r="VEK244"/>
      <c r="VEL244"/>
      <c r="VEM244"/>
      <c r="VEN244"/>
      <c r="VEO244"/>
      <c r="VEP244"/>
      <c r="VEQ244"/>
      <c r="VER244"/>
      <c r="VES244"/>
      <c r="VET244"/>
      <c r="VEU244"/>
      <c r="VEV244"/>
      <c r="VEW244"/>
      <c r="VEX244"/>
      <c r="VEY244"/>
      <c r="VEZ244"/>
      <c r="VFA244"/>
      <c r="VFB244"/>
      <c r="VFC244"/>
      <c r="VFD244"/>
      <c r="VFE244"/>
      <c r="VFF244"/>
      <c r="VFG244"/>
      <c r="VFH244"/>
      <c r="VFI244"/>
      <c r="VFJ244"/>
      <c r="VFK244"/>
      <c r="VFL244"/>
      <c r="VFM244"/>
      <c r="VFN244"/>
      <c r="VFO244"/>
      <c r="VFP244"/>
      <c r="VFQ244"/>
      <c r="VFR244"/>
      <c r="VFS244"/>
      <c r="VFT244"/>
      <c r="VFU244"/>
      <c r="VFV244"/>
      <c r="VFW244"/>
      <c r="VFX244"/>
      <c r="VFY244"/>
      <c r="VFZ244"/>
      <c r="VGA244"/>
      <c r="VGB244"/>
      <c r="VGC244"/>
      <c r="VGD244"/>
      <c r="VGE244"/>
      <c r="VGF244"/>
      <c r="VGG244"/>
      <c r="VGH244"/>
      <c r="VGI244"/>
      <c r="VGJ244"/>
      <c r="VGK244"/>
      <c r="VGL244"/>
      <c r="VGM244"/>
      <c r="VGN244"/>
      <c r="VGO244"/>
      <c r="VGP244"/>
      <c r="VGQ244"/>
      <c r="VGR244"/>
      <c r="VGS244"/>
      <c r="VGT244"/>
      <c r="VGU244"/>
      <c r="VGV244"/>
      <c r="VGW244"/>
      <c r="VGX244"/>
      <c r="VGY244"/>
      <c r="VGZ244"/>
      <c r="VHA244"/>
      <c r="VHB244"/>
      <c r="VHC244"/>
      <c r="VHD244"/>
      <c r="VHE244"/>
      <c r="VHF244"/>
      <c r="VHG244"/>
      <c r="VHH244"/>
      <c r="VHI244"/>
      <c r="VHJ244"/>
      <c r="VHK244"/>
      <c r="VHL244"/>
      <c r="VHM244"/>
      <c r="VHN244"/>
      <c r="VHO244"/>
      <c r="VHP244"/>
      <c r="VHQ244"/>
      <c r="VHR244"/>
      <c r="VHS244"/>
      <c r="VHT244"/>
      <c r="VHU244"/>
      <c r="VHV244"/>
      <c r="VHW244"/>
      <c r="VHX244"/>
      <c r="VHY244"/>
      <c r="VHZ244"/>
      <c r="VIA244"/>
      <c r="VIB244"/>
      <c r="VIC244"/>
      <c r="VID244"/>
      <c r="VIE244"/>
      <c r="VIF244"/>
      <c r="VIG244"/>
      <c r="VIH244"/>
      <c r="VII244"/>
      <c r="VIJ244"/>
      <c r="VIK244"/>
      <c r="VIL244"/>
      <c r="VIM244"/>
      <c r="VIN244"/>
      <c r="VIO244"/>
      <c r="VIP244"/>
      <c r="VIQ244"/>
      <c r="VIR244"/>
      <c r="VIS244"/>
      <c r="VIT244"/>
      <c r="VIU244"/>
      <c r="VIV244"/>
      <c r="VIW244"/>
      <c r="VIX244"/>
      <c r="VIY244"/>
      <c r="VIZ244"/>
      <c r="VJA244"/>
      <c r="VJB244"/>
      <c r="VJC244"/>
      <c r="VJD244"/>
      <c r="VJE244"/>
      <c r="VJF244"/>
      <c r="VJG244"/>
      <c r="VJH244"/>
      <c r="VJI244"/>
      <c r="VJJ244"/>
      <c r="VJK244"/>
      <c r="VJL244"/>
      <c r="VJM244"/>
      <c r="VJN244"/>
      <c r="VJO244"/>
      <c r="VJP244"/>
      <c r="VJQ244"/>
      <c r="VJR244"/>
      <c r="VJS244"/>
      <c r="VJT244"/>
      <c r="VJU244"/>
      <c r="VJV244"/>
      <c r="VJW244"/>
      <c r="VJX244"/>
      <c r="VJY244"/>
      <c r="VJZ244"/>
      <c r="VKA244"/>
      <c r="VKB244"/>
      <c r="VKC244"/>
      <c r="VKD244"/>
      <c r="VKE244"/>
      <c r="VKF244"/>
      <c r="VKG244"/>
      <c r="VKH244"/>
      <c r="VKI244"/>
      <c r="VKJ244"/>
      <c r="VKK244"/>
      <c r="VKL244"/>
      <c r="VKM244"/>
      <c r="VKN244"/>
      <c r="VKO244"/>
      <c r="VKP244"/>
      <c r="VKQ244"/>
      <c r="VKR244"/>
      <c r="VKS244"/>
      <c r="VKT244"/>
      <c r="VKU244"/>
      <c r="VKV244"/>
      <c r="VKW244"/>
      <c r="VKX244"/>
      <c r="VKY244"/>
      <c r="VKZ244"/>
      <c r="VLA244"/>
      <c r="VLB244"/>
      <c r="VLC244"/>
      <c r="VLD244"/>
      <c r="VLE244"/>
      <c r="VLF244"/>
      <c r="VLG244"/>
      <c r="VLH244"/>
      <c r="VLI244"/>
      <c r="VLJ244"/>
      <c r="VLK244"/>
      <c r="VLL244"/>
      <c r="VLM244"/>
      <c r="VLN244"/>
      <c r="VLO244"/>
      <c r="VLP244"/>
      <c r="VLQ244"/>
      <c r="VLR244"/>
      <c r="VLS244"/>
      <c r="VLT244"/>
      <c r="VLU244"/>
      <c r="VLV244"/>
      <c r="VLW244"/>
      <c r="VLX244"/>
      <c r="VLY244"/>
      <c r="VLZ244"/>
      <c r="VMA244"/>
      <c r="VMB244"/>
      <c r="VMC244"/>
      <c r="VMD244"/>
      <c r="VME244"/>
      <c r="VMF244"/>
      <c r="VMG244"/>
      <c r="VMH244"/>
      <c r="VMI244"/>
      <c r="VMJ244"/>
      <c r="VMK244"/>
      <c r="VML244"/>
      <c r="VMM244"/>
      <c r="VMN244"/>
      <c r="VMO244"/>
      <c r="VMP244"/>
      <c r="VMQ244"/>
      <c r="VMR244"/>
      <c r="VMS244"/>
      <c r="VMT244"/>
      <c r="VMU244"/>
      <c r="VMV244"/>
      <c r="VMW244"/>
      <c r="VMX244"/>
      <c r="VMY244"/>
      <c r="VMZ244"/>
      <c r="VNA244"/>
      <c r="VNB244"/>
      <c r="VNC244"/>
      <c r="VND244"/>
      <c r="VNE244"/>
      <c r="VNF244"/>
      <c r="VNG244"/>
      <c r="VNH244"/>
      <c r="VNI244"/>
      <c r="VNJ244"/>
      <c r="VNK244"/>
      <c r="VNL244"/>
      <c r="VNM244"/>
      <c r="VNN244"/>
      <c r="VNO244"/>
      <c r="VNP244"/>
      <c r="VNQ244"/>
      <c r="VNR244"/>
      <c r="VNS244"/>
      <c r="VNT244"/>
      <c r="VNU244"/>
      <c r="VNV244"/>
      <c r="VNW244"/>
      <c r="VNX244"/>
      <c r="VNY244"/>
      <c r="VNZ244"/>
      <c r="VOA244"/>
      <c r="VOB244"/>
      <c r="VOC244"/>
      <c r="VOD244"/>
      <c r="VOE244"/>
      <c r="VOF244"/>
      <c r="VOG244"/>
      <c r="VOH244"/>
      <c r="VOI244"/>
      <c r="VOJ244"/>
      <c r="VOK244"/>
      <c r="VOL244"/>
      <c r="VOM244"/>
      <c r="VON244"/>
      <c r="VOO244"/>
      <c r="VOP244"/>
      <c r="VOQ244"/>
      <c r="VOR244"/>
      <c r="VOS244"/>
      <c r="VOT244"/>
      <c r="VOU244"/>
      <c r="VOV244"/>
      <c r="VOW244"/>
      <c r="VOX244"/>
      <c r="VOY244"/>
      <c r="VOZ244"/>
      <c r="VPA244"/>
      <c r="VPB244"/>
      <c r="VPC244"/>
      <c r="VPD244"/>
      <c r="VPE244"/>
      <c r="VPF244"/>
      <c r="VPG244"/>
      <c r="VPH244"/>
      <c r="VPI244"/>
      <c r="VPJ244"/>
      <c r="VPK244"/>
      <c r="VPL244"/>
      <c r="VPM244"/>
      <c r="VPN244"/>
      <c r="VPO244"/>
      <c r="VPP244"/>
      <c r="VPQ244"/>
      <c r="VPR244"/>
      <c r="VPS244"/>
      <c r="VPT244"/>
      <c r="VPU244"/>
      <c r="VPV244"/>
      <c r="VPW244"/>
      <c r="VPX244"/>
      <c r="VPY244"/>
      <c r="VPZ244"/>
      <c r="VQA244"/>
      <c r="VQB244"/>
      <c r="VQC244"/>
      <c r="VQD244"/>
      <c r="VQE244"/>
      <c r="VQF244"/>
      <c r="VQG244"/>
      <c r="VQH244"/>
      <c r="VQI244"/>
      <c r="VQJ244"/>
      <c r="VQK244"/>
      <c r="VQL244"/>
      <c r="VQM244"/>
      <c r="VQN244"/>
      <c r="VQO244"/>
      <c r="VQP244"/>
      <c r="VQQ244"/>
      <c r="VQR244"/>
      <c r="VQS244"/>
      <c r="VQT244"/>
      <c r="VQU244"/>
      <c r="VQV244"/>
      <c r="VQW244"/>
      <c r="VQX244"/>
      <c r="VQY244"/>
      <c r="VQZ244"/>
      <c r="VRA244"/>
      <c r="VRB244"/>
      <c r="VRC244"/>
      <c r="VRD244"/>
      <c r="VRE244"/>
      <c r="VRF244"/>
      <c r="VRG244"/>
      <c r="VRH244"/>
      <c r="VRI244"/>
      <c r="VRJ244"/>
      <c r="VRK244"/>
      <c r="VRL244"/>
      <c r="VRM244"/>
      <c r="VRN244"/>
      <c r="VRO244"/>
      <c r="VRP244"/>
      <c r="VRQ244"/>
      <c r="VRR244"/>
      <c r="VRS244"/>
      <c r="VRT244"/>
      <c r="VRU244"/>
      <c r="VRV244"/>
      <c r="VRW244"/>
      <c r="VRX244"/>
      <c r="VRY244"/>
      <c r="VRZ244"/>
      <c r="VSA244"/>
      <c r="VSB244"/>
      <c r="VSC244"/>
      <c r="VSD244"/>
      <c r="VSE244"/>
      <c r="VSF244"/>
      <c r="VSG244"/>
      <c r="VSH244"/>
      <c r="VSI244"/>
      <c r="VSJ244"/>
      <c r="VSK244"/>
      <c r="VSL244"/>
      <c r="VSM244"/>
      <c r="VSN244"/>
      <c r="VSO244"/>
      <c r="VSP244"/>
      <c r="VSQ244"/>
      <c r="VSR244"/>
      <c r="VSS244"/>
      <c r="VST244"/>
      <c r="VSU244"/>
      <c r="VSV244"/>
      <c r="VSW244"/>
      <c r="VSX244"/>
      <c r="VSY244"/>
      <c r="VSZ244"/>
      <c r="VTA244"/>
      <c r="VTB244"/>
      <c r="VTC244"/>
      <c r="VTD244"/>
      <c r="VTE244"/>
      <c r="VTF244"/>
      <c r="VTG244"/>
      <c r="VTH244"/>
      <c r="VTI244"/>
      <c r="VTJ244"/>
      <c r="VTK244"/>
      <c r="VTL244"/>
      <c r="VTM244"/>
      <c r="VTN244"/>
      <c r="VTO244"/>
      <c r="VTP244"/>
      <c r="VTQ244"/>
      <c r="VTR244"/>
      <c r="VTS244"/>
      <c r="VTT244"/>
      <c r="VTU244"/>
      <c r="VTV244"/>
      <c r="VTW244"/>
      <c r="VTX244"/>
      <c r="VTY244"/>
      <c r="VTZ244"/>
      <c r="VUA244"/>
      <c r="VUB244"/>
      <c r="VUC244"/>
      <c r="VUD244"/>
      <c r="VUE244"/>
      <c r="VUF244"/>
      <c r="VUG244"/>
      <c r="VUH244"/>
      <c r="VUI244"/>
      <c r="VUJ244"/>
      <c r="VUK244"/>
      <c r="VUL244"/>
      <c r="VUM244"/>
      <c r="VUN244"/>
      <c r="VUO244"/>
      <c r="VUP244"/>
      <c r="VUQ244"/>
      <c r="VUR244"/>
      <c r="VUS244"/>
      <c r="VUT244"/>
      <c r="VUU244"/>
      <c r="VUV244"/>
      <c r="VUW244"/>
      <c r="VUX244"/>
      <c r="VUY244"/>
      <c r="VUZ244"/>
      <c r="VVA244"/>
      <c r="VVB244"/>
      <c r="VVC244"/>
      <c r="VVD244"/>
      <c r="VVE244"/>
      <c r="VVF244"/>
      <c r="VVG244"/>
      <c r="VVH244"/>
      <c r="VVI244"/>
      <c r="VVJ244"/>
      <c r="VVK244"/>
      <c r="VVL244"/>
      <c r="VVM244"/>
      <c r="VVN244"/>
      <c r="VVO244"/>
      <c r="VVP244"/>
      <c r="VVQ244"/>
      <c r="VVR244"/>
      <c r="VVS244"/>
      <c r="VVT244"/>
      <c r="VVU244"/>
      <c r="VVV244"/>
      <c r="VVW244"/>
      <c r="VVX244"/>
      <c r="VVY244"/>
      <c r="VVZ244"/>
      <c r="VWA244"/>
      <c r="VWB244"/>
      <c r="VWC244"/>
      <c r="VWD244"/>
      <c r="VWE244"/>
      <c r="VWF244"/>
      <c r="VWG244"/>
      <c r="VWH244"/>
      <c r="VWI244"/>
      <c r="VWJ244"/>
      <c r="VWK244"/>
      <c r="VWL244"/>
      <c r="VWM244"/>
      <c r="VWN244"/>
      <c r="VWO244"/>
      <c r="VWP244"/>
      <c r="VWQ244"/>
      <c r="VWR244"/>
      <c r="VWS244"/>
      <c r="VWT244"/>
      <c r="VWU244"/>
      <c r="VWV244"/>
      <c r="VWW244"/>
      <c r="VWX244"/>
      <c r="VWY244"/>
      <c r="VWZ244"/>
      <c r="VXA244"/>
      <c r="VXB244"/>
      <c r="VXC244"/>
      <c r="VXD244"/>
      <c r="VXE244"/>
      <c r="VXF244"/>
      <c r="VXG244"/>
      <c r="VXH244"/>
      <c r="VXI244"/>
      <c r="VXJ244"/>
      <c r="VXK244"/>
      <c r="VXL244"/>
      <c r="VXM244"/>
      <c r="VXN244"/>
      <c r="VXO244"/>
      <c r="VXP244"/>
      <c r="VXQ244"/>
      <c r="VXR244"/>
      <c r="VXS244"/>
      <c r="VXT244"/>
      <c r="VXU244"/>
      <c r="VXV244"/>
      <c r="VXW244"/>
      <c r="VXX244"/>
      <c r="VXY244"/>
      <c r="VXZ244"/>
      <c r="VYA244"/>
      <c r="VYB244"/>
      <c r="VYC244"/>
      <c r="VYD244"/>
      <c r="VYE244"/>
      <c r="VYF244"/>
      <c r="VYG244"/>
      <c r="VYH244"/>
      <c r="VYI244"/>
      <c r="VYJ244"/>
      <c r="VYK244"/>
      <c r="VYL244"/>
      <c r="VYM244"/>
      <c r="VYN244"/>
      <c r="VYO244"/>
      <c r="VYP244"/>
      <c r="VYQ244"/>
      <c r="VYR244"/>
      <c r="VYS244"/>
      <c r="VYT244"/>
      <c r="VYU244"/>
      <c r="VYV244"/>
      <c r="VYW244"/>
      <c r="VYX244"/>
      <c r="VYY244"/>
      <c r="VYZ244"/>
      <c r="VZA244"/>
      <c r="VZB244"/>
      <c r="VZC244"/>
      <c r="VZD244"/>
      <c r="VZE244"/>
      <c r="VZF244"/>
      <c r="VZG244"/>
      <c r="VZH244"/>
      <c r="VZI244"/>
      <c r="VZJ244"/>
      <c r="VZK244"/>
      <c r="VZL244"/>
      <c r="VZM244"/>
      <c r="VZN244"/>
      <c r="VZO244"/>
      <c r="VZP244"/>
      <c r="VZQ244"/>
      <c r="VZR244"/>
      <c r="VZS244"/>
      <c r="VZT244"/>
      <c r="VZU244"/>
      <c r="VZV244"/>
      <c r="VZW244"/>
      <c r="VZX244"/>
      <c r="VZY244"/>
      <c r="VZZ244"/>
      <c r="WAA244"/>
      <c r="WAB244"/>
      <c r="WAC244"/>
      <c r="WAD244"/>
      <c r="WAE244"/>
      <c r="WAF244"/>
      <c r="WAG244"/>
      <c r="WAH244"/>
      <c r="WAI244"/>
      <c r="WAJ244"/>
      <c r="WAK244"/>
      <c r="WAL244"/>
      <c r="WAM244"/>
      <c r="WAN244"/>
      <c r="WAO244"/>
      <c r="WAP244"/>
      <c r="WAQ244"/>
      <c r="WAR244"/>
      <c r="WAS244"/>
      <c r="WAT244"/>
      <c r="WAU244"/>
      <c r="WAV244"/>
      <c r="WAW244"/>
      <c r="WAX244"/>
      <c r="WAY244"/>
      <c r="WAZ244"/>
      <c r="WBA244"/>
      <c r="WBB244"/>
      <c r="WBC244"/>
      <c r="WBD244"/>
      <c r="WBE244"/>
      <c r="WBF244"/>
      <c r="WBG244"/>
      <c r="WBH244"/>
      <c r="WBI244"/>
      <c r="WBJ244"/>
      <c r="WBK244"/>
      <c r="WBL244"/>
      <c r="WBM244"/>
      <c r="WBN244"/>
      <c r="WBO244"/>
      <c r="WBP244"/>
      <c r="WBQ244"/>
      <c r="WBR244"/>
      <c r="WBS244"/>
      <c r="WBT244"/>
      <c r="WBU244"/>
      <c r="WBV244"/>
      <c r="WBW244"/>
      <c r="WBX244"/>
      <c r="WBY244"/>
      <c r="WBZ244"/>
      <c r="WCA244"/>
      <c r="WCB244"/>
      <c r="WCC244"/>
      <c r="WCD244"/>
      <c r="WCE244"/>
      <c r="WCF244"/>
      <c r="WCG244"/>
      <c r="WCH244"/>
      <c r="WCI244"/>
      <c r="WCJ244"/>
      <c r="WCK244"/>
      <c r="WCL244"/>
      <c r="WCM244"/>
      <c r="WCN244"/>
      <c r="WCO244"/>
      <c r="WCP244"/>
      <c r="WCQ244"/>
      <c r="WCR244"/>
      <c r="WCS244"/>
      <c r="WCT244"/>
      <c r="WCU244"/>
      <c r="WCV244"/>
      <c r="WCW244"/>
      <c r="WCX244"/>
      <c r="WCY244"/>
      <c r="WCZ244"/>
      <c r="WDA244"/>
      <c r="WDB244"/>
      <c r="WDC244"/>
      <c r="WDD244"/>
      <c r="WDE244"/>
      <c r="WDF244"/>
      <c r="WDG244"/>
      <c r="WDH244"/>
      <c r="WDI244"/>
      <c r="WDJ244"/>
      <c r="WDK244"/>
      <c r="WDL244"/>
      <c r="WDM244"/>
      <c r="WDN244"/>
      <c r="WDO244"/>
      <c r="WDP244"/>
      <c r="WDQ244"/>
      <c r="WDR244"/>
      <c r="WDS244"/>
      <c r="WDT244"/>
      <c r="WDU244"/>
      <c r="WDV244"/>
      <c r="WDW244"/>
      <c r="WDX244"/>
      <c r="WDY244"/>
      <c r="WDZ244"/>
      <c r="WEA244"/>
      <c r="WEB244"/>
      <c r="WEC244"/>
      <c r="WED244"/>
      <c r="WEE244"/>
      <c r="WEF244"/>
      <c r="WEG244"/>
      <c r="WEH244"/>
      <c r="WEI244"/>
      <c r="WEJ244"/>
      <c r="WEK244"/>
      <c r="WEL244"/>
      <c r="WEM244"/>
      <c r="WEN244"/>
      <c r="WEO244"/>
      <c r="WEP244"/>
      <c r="WEQ244"/>
      <c r="WER244"/>
      <c r="WES244"/>
      <c r="WET244"/>
      <c r="WEU244"/>
      <c r="WEV244"/>
      <c r="WEW244"/>
      <c r="WEX244"/>
      <c r="WEY244"/>
      <c r="WEZ244"/>
      <c r="WFA244"/>
      <c r="WFB244"/>
      <c r="WFC244"/>
      <c r="WFD244"/>
      <c r="WFE244"/>
      <c r="WFF244"/>
      <c r="WFG244"/>
      <c r="WFH244"/>
      <c r="WFI244"/>
      <c r="WFJ244"/>
      <c r="WFK244"/>
      <c r="WFL244"/>
      <c r="WFM244"/>
      <c r="WFN244"/>
      <c r="WFO244"/>
      <c r="WFP244"/>
      <c r="WFQ244"/>
      <c r="WFR244"/>
      <c r="WFS244"/>
      <c r="WFT244"/>
      <c r="WFU244"/>
      <c r="WFV244"/>
      <c r="WFW244"/>
      <c r="WFX244"/>
      <c r="WFY244"/>
      <c r="WFZ244"/>
      <c r="WGA244"/>
      <c r="WGB244"/>
      <c r="WGC244"/>
      <c r="WGD244"/>
      <c r="WGE244"/>
      <c r="WGF244"/>
      <c r="WGG244"/>
      <c r="WGH244"/>
      <c r="WGI244"/>
      <c r="WGJ244"/>
      <c r="WGK244"/>
      <c r="WGL244"/>
      <c r="WGM244"/>
      <c r="WGN244"/>
      <c r="WGO244"/>
      <c r="WGP244"/>
      <c r="WGQ244"/>
      <c r="WGR244"/>
      <c r="WGS244"/>
      <c r="WGT244"/>
      <c r="WGU244"/>
      <c r="WGV244"/>
      <c r="WGW244"/>
      <c r="WGX244"/>
      <c r="WGY244"/>
      <c r="WGZ244"/>
      <c r="WHA244"/>
      <c r="WHB244"/>
      <c r="WHC244"/>
      <c r="WHD244"/>
      <c r="WHE244"/>
      <c r="WHF244"/>
      <c r="WHG244"/>
      <c r="WHH244"/>
      <c r="WHI244"/>
      <c r="WHJ244"/>
      <c r="WHK244"/>
      <c r="WHL244"/>
      <c r="WHM244"/>
      <c r="WHN244"/>
      <c r="WHO244"/>
      <c r="WHP244"/>
      <c r="WHQ244"/>
      <c r="WHR244"/>
      <c r="WHS244"/>
      <c r="WHT244"/>
      <c r="WHU244"/>
      <c r="WHV244"/>
      <c r="WHW244"/>
      <c r="WHX244"/>
      <c r="WHY244"/>
      <c r="WHZ244"/>
      <c r="WIA244"/>
      <c r="WIB244"/>
      <c r="WIC244"/>
      <c r="WID244"/>
      <c r="WIE244"/>
      <c r="WIF244"/>
      <c r="WIG244"/>
      <c r="WIH244"/>
      <c r="WII244"/>
      <c r="WIJ244"/>
      <c r="WIK244"/>
      <c r="WIL244"/>
      <c r="WIM244"/>
      <c r="WIN244"/>
      <c r="WIO244"/>
      <c r="WIP244"/>
      <c r="WIQ244"/>
      <c r="WIR244"/>
      <c r="WIS244"/>
      <c r="WIT244"/>
      <c r="WIU244"/>
      <c r="WIV244"/>
      <c r="WIW244"/>
      <c r="WIX244"/>
      <c r="WIY244"/>
      <c r="WIZ244"/>
      <c r="WJA244"/>
      <c r="WJB244"/>
      <c r="WJC244"/>
      <c r="WJD244"/>
      <c r="WJE244"/>
      <c r="WJF244"/>
      <c r="WJG244"/>
      <c r="WJH244"/>
      <c r="WJI244"/>
      <c r="WJJ244"/>
      <c r="WJK244"/>
      <c r="WJL244"/>
      <c r="WJM244"/>
      <c r="WJN244"/>
      <c r="WJO244"/>
      <c r="WJP244"/>
      <c r="WJQ244"/>
      <c r="WJR244"/>
      <c r="WJS244"/>
      <c r="WJT244"/>
      <c r="WJU244"/>
      <c r="WJV244"/>
      <c r="WJW244"/>
      <c r="WJX244"/>
      <c r="WJY244"/>
      <c r="WJZ244"/>
      <c r="WKA244"/>
      <c r="WKB244"/>
      <c r="WKC244"/>
      <c r="WKD244"/>
      <c r="WKE244"/>
      <c r="WKF244"/>
      <c r="WKG244"/>
      <c r="WKH244"/>
      <c r="WKI244"/>
      <c r="WKJ244"/>
      <c r="WKK244"/>
      <c r="WKL244"/>
      <c r="WKM244"/>
      <c r="WKN244"/>
      <c r="WKO244"/>
      <c r="WKP244"/>
      <c r="WKQ244"/>
      <c r="WKR244"/>
      <c r="WKS244"/>
      <c r="WKT244"/>
      <c r="WKU244"/>
      <c r="WKV244"/>
      <c r="WKW244"/>
      <c r="WKX244"/>
      <c r="WKY244"/>
      <c r="WKZ244"/>
      <c r="WLA244"/>
      <c r="WLB244"/>
      <c r="WLC244"/>
      <c r="WLD244"/>
      <c r="WLE244"/>
      <c r="WLF244"/>
      <c r="WLG244"/>
      <c r="WLH244"/>
      <c r="WLI244"/>
      <c r="WLJ244"/>
      <c r="WLK244"/>
      <c r="WLL244"/>
      <c r="WLM244"/>
      <c r="WLN244"/>
      <c r="WLO244"/>
      <c r="WLP244"/>
      <c r="WLQ244"/>
      <c r="WLR244"/>
      <c r="WLS244"/>
      <c r="WLT244"/>
      <c r="WLU244"/>
      <c r="WLV244"/>
      <c r="WLW244"/>
      <c r="WLX244"/>
      <c r="WLY244"/>
      <c r="WLZ244"/>
      <c r="WMA244"/>
      <c r="WMB244"/>
      <c r="WMC244"/>
      <c r="WMD244"/>
      <c r="WME244"/>
      <c r="WMF244"/>
      <c r="WMG244"/>
      <c r="WMH244"/>
      <c r="WMI244"/>
      <c r="WMJ244"/>
      <c r="WMK244"/>
      <c r="WML244"/>
      <c r="WMM244"/>
      <c r="WMN244"/>
      <c r="WMO244"/>
      <c r="WMP244"/>
      <c r="WMQ244"/>
      <c r="WMR244"/>
      <c r="WMS244"/>
      <c r="WMT244"/>
      <c r="WMU244"/>
      <c r="WMV244"/>
      <c r="WMW244"/>
      <c r="WMX244"/>
      <c r="WMY244"/>
      <c r="WMZ244"/>
      <c r="WNA244"/>
      <c r="WNB244"/>
      <c r="WNC244"/>
      <c r="WND244"/>
      <c r="WNE244"/>
      <c r="WNF244"/>
      <c r="WNG244"/>
      <c r="WNH244"/>
      <c r="WNI244"/>
      <c r="WNJ244"/>
      <c r="WNK244"/>
      <c r="WNL244"/>
      <c r="WNM244"/>
      <c r="WNN244"/>
      <c r="WNO244"/>
      <c r="WNP244"/>
      <c r="WNQ244"/>
      <c r="WNR244"/>
      <c r="WNS244"/>
      <c r="WNT244"/>
      <c r="WNU244"/>
      <c r="WNV244"/>
      <c r="WNW244"/>
      <c r="WNX244"/>
      <c r="WNY244"/>
      <c r="WNZ244"/>
      <c r="WOA244"/>
      <c r="WOB244"/>
      <c r="WOC244"/>
      <c r="WOD244"/>
      <c r="WOE244"/>
      <c r="WOF244"/>
      <c r="WOG244"/>
      <c r="WOH244"/>
      <c r="WOI244"/>
      <c r="WOJ244"/>
      <c r="WOK244"/>
      <c r="WOL244"/>
      <c r="WOM244"/>
      <c r="WON244"/>
      <c r="WOO244"/>
      <c r="WOP244"/>
      <c r="WOQ244"/>
      <c r="WOR244"/>
      <c r="WOS244"/>
      <c r="WOT244"/>
      <c r="WOU244"/>
      <c r="WOV244"/>
      <c r="WOW244"/>
      <c r="WOX244"/>
      <c r="WOY244"/>
      <c r="WOZ244"/>
      <c r="WPA244"/>
      <c r="WPB244"/>
      <c r="WPC244"/>
      <c r="WPD244"/>
      <c r="WPE244"/>
      <c r="WPF244"/>
      <c r="WPG244"/>
      <c r="WPH244"/>
      <c r="WPI244"/>
      <c r="WPJ244"/>
      <c r="WPK244"/>
      <c r="WPL244"/>
      <c r="WPM244"/>
      <c r="WPN244"/>
      <c r="WPO244"/>
      <c r="WPP244"/>
      <c r="WPQ244"/>
      <c r="WPR244"/>
      <c r="WPS244"/>
      <c r="WPT244"/>
      <c r="WPU244"/>
      <c r="WPV244"/>
      <c r="WPW244"/>
      <c r="WPX244"/>
      <c r="WPY244"/>
      <c r="WPZ244"/>
      <c r="WQA244"/>
      <c r="WQB244"/>
      <c r="WQC244"/>
      <c r="WQD244"/>
      <c r="WQE244"/>
      <c r="WQF244"/>
      <c r="WQG244"/>
      <c r="WQH244"/>
      <c r="WQI244"/>
      <c r="WQJ244"/>
      <c r="WQK244"/>
      <c r="WQL244"/>
      <c r="WQM244"/>
      <c r="WQN244"/>
      <c r="WQO244"/>
      <c r="WQP244"/>
      <c r="WQQ244"/>
      <c r="WQR244"/>
      <c r="WQS244"/>
      <c r="WQT244"/>
      <c r="WQU244"/>
      <c r="WQV244"/>
      <c r="WQW244"/>
      <c r="WQX244"/>
      <c r="WQY244"/>
      <c r="WQZ244"/>
      <c r="WRA244"/>
      <c r="WRB244"/>
      <c r="WRC244"/>
      <c r="WRD244"/>
      <c r="WRE244"/>
      <c r="WRF244"/>
      <c r="WRG244"/>
      <c r="WRH244"/>
      <c r="WRI244"/>
      <c r="WRJ244"/>
      <c r="WRK244"/>
      <c r="WRL244"/>
      <c r="WRM244"/>
      <c r="WRN244"/>
      <c r="WRO244"/>
      <c r="WRP244"/>
      <c r="WRQ244"/>
      <c r="WRR244"/>
      <c r="WRS244"/>
      <c r="WRT244"/>
      <c r="WRU244"/>
      <c r="WRV244"/>
      <c r="WRW244"/>
      <c r="WRX244"/>
      <c r="WRY244"/>
      <c r="WRZ244"/>
      <c r="WSA244"/>
      <c r="WSB244"/>
      <c r="WSC244"/>
      <c r="WSD244"/>
      <c r="WSE244"/>
      <c r="WSF244"/>
      <c r="WSG244"/>
      <c r="WSH244"/>
      <c r="WSI244"/>
      <c r="WSJ244"/>
      <c r="WSK244"/>
      <c r="WSL244"/>
      <c r="WSM244"/>
      <c r="WSN244"/>
      <c r="WSO244"/>
      <c r="WSP244"/>
      <c r="WSQ244"/>
      <c r="WSR244"/>
      <c r="WSS244"/>
      <c r="WST244"/>
      <c r="WSU244"/>
      <c r="WSV244"/>
      <c r="WSW244"/>
      <c r="WSX244"/>
      <c r="WSY244"/>
      <c r="WSZ244"/>
      <c r="WTA244"/>
      <c r="WTB244"/>
      <c r="WTC244"/>
      <c r="WTD244"/>
      <c r="WTE244"/>
      <c r="WTF244"/>
      <c r="WTG244"/>
      <c r="WTH244"/>
      <c r="WTI244"/>
      <c r="WTJ244"/>
      <c r="WTK244"/>
      <c r="WTL244"/>
      <c r="WTM244"/>
      <c r="WTN244"/>
      <c r="WTO244"/>
      <c r="WTP244"/>
      <c r="WTQ244"/>
      <c r="WTR244"/>
      <c r="WTS244"/>
      <c r="WTT244"/>
      <c r="WTU244"/>
      <c r="WTV244"/>
      <c r="WTW244"/>
      <c r="WTX244"/>
      <c r="WTY244"/>
      <c r="WTZ244"/>
      <c r="WUA244"/>
      <c r="WUB244"/>
      <c r="WUC244"/>
      <c r="WUD244"/>
      <c r="WUE244"/>
      <c r="WUF244"/>
      <c r="WUG244"/>
      <c r="WUH244"/>
      <c r="WUI244"/>
      <c r="WUJ244"/>
      <c r="WUK244"/>
      <c r="WUL244"/>
      <c r="WUM244"/>
      <c r="WUN244"/>
      <c r="WUO244"/>
      <c r="WUP244"/>
      <c r="WUQ244"/>
      <c r="WUR244"/>
      <c r="WUS244"/>
      <c r="WUT244"/>
      <c r="WUU244"/>
      <c r="WUV244"/>
      <c r="WUW244"/>
      <c r="WUX244"/>
      <c r="WUY244"/>
      <c r="WUZ244"/>
      <c r="WVA244"/>
      <c r="WVB244"/>
      <c r="WVC244"/>
      <c r="WVD244"/>
      <c r="WVE244"/>
      <c r="WVF244"/>
      <c r="WVG244"/>
      <c r="WVH244"/>
      <c r="WVI244"/>
      <c r="WVJ244"/>
      <c r="WVK244"/>
      <c r="WVL244"/>
      <c r="WVM244"/>
      <c r="WVN244"/>
      <c r="WVO244"/>
      <c r="WVP244"/>
      <c r="WVQ244"/>
      <c r="WVR244"/>
      <c r="WVS244"/>
      <c r="WVT244"/>
      <c r="WVU244"/>
      <c r="WVV244"/>
      <c r="WVW244"/>
      <c r="WVX244"/>
      <c r="WVY244"/>
      <c r="WVZ244"/>
      <c r="WWA244"/>
      <c r="WWB244"/>
      <c r="WWC244"/>
      <c r="WWD244"/>
      <c r="WWE244"/>
      <c r="WWF244"/>
      <c r="WWG244"/>
      <c r="WWH244"/>
      <c r="WWI244"/>
      <c r="WWJ244"/>
      <c r="WWK244"/>
      <c r="WWL244"/>
      <c r="WWM244"/>
      <c r="WWN244"/>
      <c r="WWO244"/>
      <c r="WWP244"/>
      <c r="WWQ244"/>
      <c r="WWR244"/>
      <c r="WWS244"/>
      <c r="WWT244"/>
      <c r="WWU244"/>
      <c r="WWV244"/>
      <c r="WWW244"/>
      <c r="WWX244"/>
      <c r="WWY244"/>
      <c r="WWZ244"/>
      <c r="WXA244"/>
      <c r="WXB244"/>
      <c r="WXC244"/>
      <c r="WXD244"/>
      <c r="WXE244"/>
      <c r="WXF244"/>
      <c r="WXG244"/>
      <c r="WXH244"/>
      <c r="WXI244"/>
      <c r="WXJ244"/>
      <c r="WXK244"/>
      <c r="WXL244"/>
      <c r="WXM244"/>
      <c r="WXN244"/>
      <c r="WXO244"/>
      <c r="WXP244"/>
      <c r="WXQ244"/>
      <c r="WXR244"/>
      <c r="WXS244"/>
      <c r="WXT244"/>
      <c r="WXU244"/>
      <c r="WXV244"/>
      <c r="WXW244"/>
      <c r="WXX244"/>
      <c r="WXY244"/>
      <c r="WXZ244"/>
      <c r="WYA244"/>
      <c r="WYB244"/>
      <c r="WYC244"/>
      <c r="WYD244"/>
      <c r="WYE244"/>
      <c r="WYF244"/>
      <c r="WYG244"/>
      <c r="WYH244"/>
      <c r="WYI244"/>
      <c r="WYJ244"/>
      <c r="WYK244"/>
      <c r="WYL244"/>
      <c r="WYM244"/>
      <c r="WYN244"/>
      <c r="WYO244"/>
      <c r="WYP244"/>
      <c r="WYQ244"/>
      <c r="WYR244"/>
      <c r="WYS244"/>
      <c r="WYT244"/>
      <c r="WYU244"/>
      <c r="WYV244"/>
      <c r="WYW244"/>
      <c r="WYX244"/>
      <c r="WYY244"/>
      <c r="WYZ244"/>
      <c r="WZA244"/>
      <c r="WZB244"/>
      <c r="WZC244"/>
      <c r="WZD244"/>
      <c r="WZE244"/>
      <c r="WZF244"/>
      <c r="WZG244"/>
      <c r="WZH244"/>
      <c r="WZI244"/>
      <c r="WZJ244"/>
      <c r="WZK244"/>
      <c r="WZL244"/>
      <c r="WZM244"/>
      <c r="WZN244"/>
      <c r="WZO244"/>
      <c r="WZP244"/>
      <c r="WZQ244"/>
      <c r="WZR244"/>
      <c r="WZS244"/>
      <c r="WZT244"/>
      <c r="WZU244"/>
      <c r="WZV244"/>
      <c r="WZW244"/>
      <c r="WZX244"/>
      <c r="WZY244"/>
      <c r="WZZ244"/>
      <c r="XAA244"/>
      <c r="XAB244"/>
      <c r="XAC244"/>
      <c r="XAD244"/>
      <c r="XAE244"/>
      <c r="XAF244"/>
      <c r="XAG244"/>
      <c r="XAH244"/>
      <c r="XAI244"/>
      <c r="XAJ244"/>
      <c r="XAK244"/>
      <c r="XAL244"/>
      <c r="XAM244"/>
      <c r="XAN244"/>
      <c r="XAO244"/>
      <c r="XAP244"/>
      <c r="XAQ244"/>
      <c r="XAR244"/>
      <c r="XAS244"/>
      <c r="XAT244"/>
      <c r="XAU244"/>
      <c r="XAV244"/>
      <c r="XAW244"/>
      <c r="XAX244"/>
      <c r="XAY244"/>
      <c r="XAZ244"/>
      <c r="XBA244"/>
      <c r="XBB244"/>
      <c r="XBC244"/>
      <c r="XBD244"/>
      <c r="XBE244"/>
      <c r="XBF244"/>
      <c r="XBG244"/>
      <c r="XBH244"/>
      <c r="XBI244"/>
      <c r="XBJ244"/>
      <c r="XBK244"/>
      <c r="XBL244"/>
      <c r="XBM244"/>
      <c r="XBN244"/>
      <c r="XBO244"/>
      <c r="XBP244"/>
      <c r="XBQ244"/>
      <c r="XBR244"/>
      <c r="XBS244"/>
      <c r="XBT244"/>
      <c r="XBU244"/>
      <c r="XBV244"/>
      <c r="XBW244"/>
      <c r="XBX244"/>
      <c r="XBY244"/>
      <c r="XBZ244"/>
      <c r="XCA244"/>
      <c r="XCB244"/>
      <c r="XCC244"/>
      <c r="XCD244"/>
      <c r="XCE244"/>
      <c r="XCF244"/>
      <c r="XCG244"/>
      <c r="XCH244"/>
      <c r="XCI244"/>
      <c r="XCJ244"/>
      <c r="XCK244"/>
      <c r="XCL244"/>
      <c r="XCM244"/>
      <c r="XCN244"/>
      <c r="XCO244"/>
      <c r="XCP244"/>
      <c r="XCQ244"/>
      <c r="XCR244"/>
      <c r="XCS244"/>
      <c r="XCT244"/>
      <c r="XCU244"/>
      <c r="XCV244"/>
      <c r="XCW244"/>
      <c r="XCX244"/>
      <c r="XCY244"/>
      <c r="XCZ244"/>
      <c r="XDA244"/>
      <c r="XDB244"/>
      <c r="XDC244"/>
      <c r="XDD244"/>
      <c r="XDE244"/>
      <c r="XDF244"/>
      <c r="XDG244"/>
      <c r="XDH244"/>
      <c r="XDI244"/>
      <c r="XDJ244"/>
      <c r="XDK244"/>
      <c r="XDL244"/>
      <c r="XDM244"/>
      <c r="XDN244"/>
      <c r="XDO244"/>
      <c r="XDP244"/>
      <c r="XDQ244"/>
      <c r="XDR244"/>
      <c r="XDS244"/>
      <c r="XDT244"/>
      <c r="XDU244"/>
      <c r="XDV244"/>
      <c r="XDW244"/>
      <c r="XDX244"/>
      <c r="XDY244"/>
      <c r="XDZ244"/>
      <c r="XEA244"/>
      <c r="XEB244"/>
      <c r="XEC244"/>
      <c r="XED244"/>
      <c r="XEE244"/>
      <c r="XEF244"/>
      <c r="XEG244"/>
      <c r="XEH244"/>
      <c r="XEI244"/>
      <c r="XEJ244"/>
      <c r="XEK244"/>
      <c r="XEL244"/>
      <c r="XEM244"/>
      <c r="XEN244"/>
      <c r="XEO244"/>
      <c r="XEP244"/>
      <c r="XEQ244"/>
      <c r="XER244"/>
      <c r="XES244"/>
      <c r="XET244"/>
      <c r="XEU244"/>
      <c r="XEV244"/>
      <c r="XEW244"/>
      <c r="XEX244"/>
      <c r="XEY244"/>
      <c r="XEZ244"/>
      <c r="XFA244"/>
      <c r="XFB244"/>
      <c r="XFC244"/>
      <c r="XFD244"/>
    </row>
    <row r="245" spans="2:16384" s="131" customFormat="1" x14ac:dyDescent="0.25">
      <c r="E245" s="175"/>
      <c r="F245" s="66" t="s">
        <v>49</v>
      </c>
      <c r="G245" s="139" t="s">
        <v>388</v>
      </c>
      <c r="H245" s="572"/>
      <c r="I245" s="572"/>
      <c r="J245" s="585">
        <f t="shared" ref="J245:AP245" si="52">J$78 * J215</f>
        <v>0</v>
      </c>
      <c r="K245" s="585">
        <f t="shared" si="52"/>
        <v>0</v>
      </c>
      <c r="L245" s="585">
        <f t="shared" si="52"/>
        <v>0</v>
      </c>
      <c r="M245" s="585">
        <f t="shared" si="52"/>
        <v>0</v>
      </c>
      <c r="N245" s="585">
        <f t="shared" si="52"/>
        <v>0</v>
      </c>
      <c r="O245" s="585">
        <f t="shared" si="52"/>
        <v>0</v>
      </c>
      <c r="P245" s="585">
        <f t="shared" si="52"/>
        <v>0</v>
      </c>
      <c r="Q245" s="585">
        <f t="shared" si="52"/>
        <v>0</v>
      </c>
      <c r="R245" s="585">
        <f t="shared" si="52"/>
        <v>0</v>
      </c>
      <c r="S245" s="585">
        <f t="shared" si="52"/>
        <v>0</v>
      </c>
      <c r="T245" s="585">
        <f t="shared" si="52"/>
        <v>0</v>
      </c>
      <c r="U245" s="585">
        <f t="shared" si="52"/>
        <v>0</v>
      </c>
      <c r="V245" s="585">
        <f t="shared" si="52"/>
        <v>0</v>
      </c>
      <c r="W245" s="585">
        <f t="shared" si="52"/>
        <v>0</v>
      </c>
      <c r="X245" s="585">
        <f t="shared" si="52"/>
        <v>0</v>
      </c>
      <c r="Y245" s="585">
        <f t="shared" si="52"/>
        <v>0</v>
      </c>
      <c r="Z245" s="585">
        <f t="shared" si="52"/>
        <v>0</v>
      </c>
      <c r="AA245" s="585">
        <f t="shared" si="52"/>
        <v>0</v>
      </c>
      <c r="AB245" s="585">
        <f t="shared" si="52"/>
        <v>0</v>
      </c>
      <c r="AC245" s="585">
        <f t="shared" si="52"/>
        <v>0</v>
      </c>
      <c r="AD245" s="585">
        <f t="shared" si="52"/>
        <v>0</v>
      </c>
      <c r="AE245" s="585">
        <f t="shared" si="52"/>
        <v>6.3458401136255423E-3</v>
      </c>
      <c r="AF245" s="585">
        <f t="shared" si="52"/>
        <v>0</v>
      </c>
      <c r="AG245" s="585">
        <f t="shared" si="52"/>
        <v>6.3458401136255423E-3</v>
      </c>
      <c r="AH245" s="585">
        <f t="shared" si="52"/>
        <v>0</v>
      </c>
      <c r="AI245" s="585">
        <f t="shared" si="52"/>
        <v>6.0952697510122302E-3</v>
      </c>
      <c r="AJ245" s="585">
        <f t="shared" si="52"/>
        <v>0</v>
      </c>
      <c r="AK245" s="585">
        <f t="shared" si="52"/>
        <v>6.0952697510122302E-3</v>
      </c>
      <c r="AL245" s="585">
        <f t="shared" si="52"/>
        <v>0</v>
      </c>
      <c r="AM245" s="585">
        <f t="shared" si="52"/>
        <v>0</v>
      </c>
      <c r="AN245" s="585">
        <f t="shared" si="52"/>
        <v>0</v>
      </c>
      <c r="AO245" s="585">
        <f t="shared" si="52"/>
        <v>0</v>
      </c>
      <c r="AP245" s="585">
        <f t="shared" si="52"/>
        <v>0</v>
      </c>
      <c r="AQ245" s="571"/>
      <c r="AR245" s="571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  <c r="FZ245"/>
      <c r="GA245"/>
      <c r="GB245"/>
      <c r="GC245"/>
      <c r="GD245"/>
      <c r="GE245"/>
      <c r="GF245"/>
      <c r="GG245"/>
      <c r="GH245"/>
      <c r="GI245"/>
      <c r="GJ245"/>
      <c r="GK245"/>
      <c r="GL245"/>
      <c r="GM245"/>
      <c r="GN245"/>
      <c r="GO245"/>
      <c r="GP245"/>
      <c r="GQ245"/>
      <c r="GR245"/>
      <c r="GS245"/>
      <c r="GT245"/>
      <c r="GU245"/>
      <c r="GV245"/>
      <c r="GW245"/>
      <c r="GX245"/>
      <c r="GY245"/>
      <c r="GZ245"/>
      <c r="HA245"/>
      <c r="HB245"/>
      <c r="HC245"/>
      <c r="HD245"/>
      <c r="HE245"/>
      <c r="HF245"/>
      <c r="HG245"/>
      <c r="HH245"/>
      <c r="HI245"/>
      <c r="HJ245"/>
      <c r="HK245"/>
      <c r="HL245"/>
      <c r="HM245"/>
      <c r="HN245"/>
      <c r="HO245"/>
      <c r="HP245"/>
      <c r="HQ245"/>
      <c r="HR245"/>
      <c r="HS245"/>
      <c r="HT245"/>
      <c r="HU245"/>
      <c r="HV245"/>
      <c r="HW245"/>
      <c r="HX245"/>
      <c r="HY245"/>
      <c r="HZ245"/>
      <c r="IA245"/>
      <c r="IB245"/>
      <c r="IC245"/>
      <c r="ID245"/>
      <c r="IE245"/>
      <c r="IF245"/>
      <c r="IG245"/>
      <c r="IH245"/>
      <c r="II245"/>
      <c r="IJ245"/>
      <c r="IK245"/>
      <c r="IL245"/>
      <c r="IM245"/>
      <c r="IN245"/>
      <c r="IO245"/>
      <c r="IP245"/>
      <c r="IQ245"/>
      <c r="IR245"/>
      <c r="IS245"/>
      <c r="IT245"/>
      <c r="IU245"/>
      <c r="IV245"/>
      <c r="IW245"/>
      <c r="IX245"/>
      <c r="IY245"/>
      <c r="IZ245"/>
      <c r="JA245"/>
      <c r="JB245"/>
      <c r="JC245"/>
      <c r="JD245"/>
      <c r="JE245"/>
      <c r="JF245"/>
      <c r="JG245"/>
      <c r="JH245"/>
      <c r="JI245"/>
      <c r="JJ245"/>
      <c r="JK245"/>
      <c r="JL245"/>
      <c r="JM245"/>
      <c r="JN245"/>
      <c r="JO245"/>
      <c r="JP245"/>
      <c r="JQ245"/>
      <c r="JR245"/>
      <c r="JS245"/>
      <c r="JT245"/>
      <c r="JU245"/>
      <c r="JV245"/>
      <c r="JW245"/>
      <c r="JX245"/>
      <c r="JY245"/>
      <c r="JZ245"/>
      <c r="KA245"/>
      <c r="KB245"/>
      <c r="KC245"/>
      <c r="KD245"/>
      <c r="KE245"/>
      <c r="KF245"/>
      <c r="KG245"/>
      <c r="KH245"/>
      <c r="KI245"/>
      <c r="KJ245"/>
      <c r="KK245"/>
      <c r="KL245"/>
      <c r="KM245"/>
      <c r="KN245"/>
      <c r="KO245"/>
      <c r="KP245"/>
      <c r="KQ245"/>
      <c r="KR245"/>
      <c r="KS245"/>
      <c r="KT245"/>
      <c r="KU245"/>
      <c r="KV245"/>
      <c r="KW245"/>
      <c r="KX245"/>
      <c r="KY245"/>
      <c r="KZ245"/>
      <c r="LA245"/>
      <c r="LB245"/>
      <c r="LC245"/>
      <c r="LD245"/>
      <c r="LE245"/>
      <c r="LF245"/>
      <c r="LG245"/>
      <c r="LH245"/>
      <c r="LI245"/>
      <c r="LJ245"/>
      <c r="LK245"/>
      <c r="LL245"/>
      <c r="LM245"/>
      <c r="LN245"/>
      <c r="LO245"/>
      <c r="LP245"/>
      <c r="LQ245"/>
      <c r="LR245"/>
      <c r="LS245"/>
      <c r="LT245"/>
      <c r="LU245"/>
      <c r="LV245"/>
      <c r="LW245"/>
      <c r="LX245"/>
      <c r="LY245"/>
      <c r="LZ245"/>
      <c r="MA245"/>
      <c r="MB245"/>
      <c r="MC245"/>
      <c r="MD245"/>
      <c r="ME245"/>
      <c r="MF245"/>
      <c r="MG245"/>
      <c r="MH245"/>
      <c r="MI245"/>
      <c r="MJ245"/>
      <c r="MK245"/>
      <c r="ML245"/>
      <c r="MM245"/>
      <c r="MN245"/>
      <c r="MO245"/>
      <c r="MP245"/>
      <c r="MQ245"/>
      <c r="MR245"/>
      <c r="MS245"/>
      <c r="MT245"/>
      <c r="MU245"/>
      <c r="MV245"/>
      <c r="MW245"/>
      <c r="MX245"/>
      <c r="MY245"/>
      <c r="MZ245"/>
      <c r="NA245"/>
      <c r="NB245"/>
      <c r="NC245"/>
      <c r="ND245"/>
      <c r="NE245"/>
      <c r="NF245"/>
      <c r="NG245"/>
      <c r="NH245"/>
      <c r="NI245"/>
      <c r="NJ245"/>
      <c r="NK245"/>
      <c r="NL245"/>
      <c r="NM245"/>
      <c r="NN245"/>
      <c r="NO245"/>
      <c r="NP245"/>
      <c r="NQ245"/>
      <c r="NR245"/>
      <c r="NS245"/>
      <c r="NT245"/>
      <c r="NU245"/>
      <c r="NV245"/>
      <c r="NW245"/>
      <c r="NX245"/>
      <c r="NY245"/>
      <c r="NZ245"/>
      <c r="OA245"/>
      <c r="OB245"/>
      <c r="OC245"/>
      <c r="OD245"/>
      <c r="OE245"/>
      <c r="OF245"/>
      <c r="OG245"/>
      <c r="OH245"/>
      <c r="OI245"/>
      <c r="OJ245"/>
      <c r="OK245"/>
      <c r="OL245"/>
      <c r="OM245"/>
      <c r="ON245"/>
      <c r="OO245"/>
      <c r="OP245"/>
      <c r="OQ245"/>
      <c r="OR245"/>
      <c r="OS245"/>
      <c r="OT245"/>
      <c r="OU245"/>
      <c r="OV245"/>
      <c r="OW245"/>
      <c r="OX245"/>
      <c r="OY245"/>
      <c r="OZ245"/>
      <c r="PA245"/>
      <c r="PB245"/>
      <c r="PC245"/>
      <c r="PD245"/>
      <c r="PE245"/>
      <c r="PF245"/>
      <c r="PG245"/>
      <c r="PH245"/>
      <c r="PI245"/>
      <c r="PJ245"/>
      <c r="PK245"/>
      <c r="PL245"/>
      <c r="PM245"/>
      <c r="PN245"/>
      <c r="PO245"/>
      <c r="PP245"/>
      <c r="PQ245"/>
      <c r="PR245"/>
      <c r="PS245"/>
      <c r="PT245"/>
      <c r="PU245"/>
      <c r="PV245"/>
      <c r="PW245"/>
      <c r="PX245"/>
      <c r="PY245"/>
      <c r="PZ245"/>
      <c r="QA245"/>
      <c r="QB245"/>
      <c r="QC245"/>
      <c r="QD245"/>
      <c r="QE245"/>
      <c r="QF245"/>
      <c r="QG245"/>
      <c r="QH245"/>
      <c r="QI245"/>
      <c r="QJ245"/>
      <c r="QK245"/>
      <c r="QL245"/>
      <c r="QM245"/>
      <c r="QN245"/>
      <c r="QO245"/>
      <c r="QP245"/>
      <c r="QQ245"/>
      <c r="QR245"/>
      <c r="QS245"/>
      <c r="QT245"/>
      <c r="QU245"/>
      <c r="QV245"/>
      <c r="QW245"/>
      <c r="QX245"/>
      <c r="QY245"/>
      <c r="QZ245"/>
      <c r="RA245"/>
      <c r="RB245"/>
      <c r="RC245"/>
      <c r="RD245"/>
      <c r="RE245"/>
      <c r="RF245"/>
      <c r="RG245"/>
      <c r="RH245"/>
      <c r="RI245"/>
      <c r="RJ245"/>
      <c r="RK245"/>
      <c r="RL245"/>
      <c r="RM245"/>
      <c r="RN245"/>
      <c r="RO245"/>
      <c r="RP245"/>
      <c r="RQ245"/>
      <c r="RR245"/>
      <c r="RS245"/>
      <c r="RT245"/>
      <c r="RU245"/>
      <c r="RV245"/>
      <c r="RW245"/>
      <c r="RX245"/>
      <c r="RY245"/>
      <c r="RZ245"/>
      <c r="SA245"/>
      <c r="SB245"/>
      <c r="SC245"/>
      <c r="SD245"/>
      <c r="SE245"/>
      <c r="SF245"/>
      <c r="SG245"/>
      <c r="SH245"/>
      <c r="SI245"/>
      <c r="SJ245"/>
      <c r="SK245"/>
      <c r="SL245"/>
      <c r="SM245"/>
      <c r="SN245"/>
      <c r="SO245"/>
      <c r="SP245"/>
      <c r="SQ245"/>
      <c r="SR245"/>
      <c r="SS245"/>
      <c r="ST245"/>
      <c r="SU245"/>
      <c r="SV245"/>
      <c r="SW245"/>
      <c r="SX245"/>
      <c r="SY245"/>
      <c r="SZ245"/>
      <c r="TA245"/>
      <c r="TB245"/>
      <c r="TC245"/>
      <c r="TD245"/>
      <c r="TE245"/>
      <c r="TF245"/>
      <c r="TG245"/>
      <c r="TH245"/>
      <c r="TI245"/>
      <c r="TJ245"/>
      <c r="TK245"/>
      <c r="TL245"/>
      <c r="TM245"/>
      <c r="TN245"/>
      <c r="TO245"/>
      <c r="TP245"/>
      <c r="TQ245"/>
      <c r="TR245"/>
      <c r="TS245"/>
      <c r="TT245"/>
      <c r="TU245"/>
      <c r="TV245"/>
      <c r="TW245"/>
      <c r="TX245"/>
      <c r="TY245"/>
      <c r="TZ245"/>
      <c r="UA245"/>
      <c r="UB245"/>
      <c r="UC245"/>
      <c r="UD245"/>
      <c r="UE245"/>
      <c r="UF245"/>
      <c r="UG245"/>
      <c r="UH245"/>
      <c r="UI245"/>
      <c r="UJ245"/>
      <c r="UK245"/>
      <c r="UL245"/>
      <c r="UM245"/>
      <c r="UN245"/>
      <c r="UO245"/>
      <c r="UP245"/>
      <c r="UQ245"/>
      <c r="UR245"/>
      <c r="US245"/>
      <c r="UT245"/>
      <c r="UU245"/>
      <c r="UV245"/>
      <c r="UW245"/>
      <c r="UX245"/>
      <c r="UY245"/>
      <c r="UZ245"/>
      <c r="VA245"/>
      <c r="VB245"/>
      <c r="VC245"/>
      <c r="VD245"/>
      <c r="VE245"/>
      <c r="VF245"/>
      <c r="VG245"/>
      <c r="VH245"/>
      <c r="VI245"/>
      <c r="VJ245"/>
      <c r="VK245"/>
      <c r="VL245"/>
      <c r="VM245"/>
      <c r="VN245"/>
      <c r="VO245"/>
      <c r="VP245"/>
      <c r="VQ245"/>
      <c r="VR245"/>
      <c r="VS245"/>
      <c r="VT245"/>
      <c r="VU245"/>
      <c r="VV245"/>
      <c r="VW245"/>
      <c r="VX245"/>
      <c r="VY245"/>
      <c r="VZ245"/>
      <c r="WA245"/>
      <c r="WB245"/>
      <c r="WC245"/>
      <c r="WD245"/>
      <c r="WE245"/>
      <c r="WF245"/>
      <c r="WG245"/>
      <c r="WH245"/>
      <c r="WI245"/>
      <c r="WJ245"/>
      <c r="WK245"/>
      <c r="WL245"/>
      <c r="WM245"/>
      <c r="WN245"/>
      <c r="WO245"/>
      <c r="WP245"/>
      <c r="WQ245"/>
      <c r="WR245"/>
      <c r="WS245"/>
      <c r="WT245"/>
      <c r="WU245"/>
      <c r="WV245"/>
      <c r="WW245"/>
      <c r="WX245"/>
      <c r="WY245"/>
      <c r="WZ245"/>
      <c r="XA245"/>
      <c r="XB245"/>
      <c r="XC245"/>
      <c r="XD245"/>
      <c r="XE245"/>
      <c r="XF245"/>
      <c r="XG245"/>
      <c r="XH245"/>
      <c r="XI245"/>
      <c r="XJ245"/>
      <c r="XK245"/>
      <c r="XL245"/>
      <c r="XM245"/>
      <c r="XN245"/>
      <c r="XO245"/>
      <c r="XP245"/>
      <c r="XQ245"/>
      <c r="XR245"/>
      <c r="XS245"/>
      <c r="XT245"/>
      <c r="XU245"/>
      <c r="XV245"/>
      <c r="XW245"/>
      <c r="XX245"/>
      <c r="XY245"/>
      <c r="XZ245"/>
      <c r="YA245"/>
      <c r="YB245"/>
      <c r="YC245"/>
      <c r="YD245"/>
      <c r="YE245"/>
      <c r="YF245"/>
      <c r="YG245"/>
      <c r="YH245"/>
      <c r="YI245"/>
      <c r="YJ245"/>
      <c r="YK245"/>
      <c r="YL245"/>
      <c r="YM245"/>
      <c r="YN245"/>
      <c r="YO245"/>
      <c r="YP245"/>
      <c r="YQ245"/>
      <c r="YR245"/>
      <c r="YS245"/>
      <c r="YT245"/>
      <c r="YU245"/>
      <c r="YV245"/>
      <c r="YW245"/>
      <c r="YX245"/>
      <c r="YY245"/>
      <c r="YZ245"/>
      <c r="ZA245"/>
      <c r="ZB245"/>
      <c r="ZC245"/>
      <c r="ZD245"/>
      <c r="ZE245"/>
      <c r="ZF245"/>
      <c r="ZG245"/>
      <c r="ZH245"/>
      <c r="ZI245"/>
      <c r="ZJ245"/>
      <c r="ZK245"/>
      <c r="ZL245"/>
      <c r="ZM245"/>
      <c r="ZN245"/>
      <c r="ZO245"/>
      <c r="ZP245"/>
      <c r="ZQ245"/>
      <c r="ZR245"/>
      <c r="ZS245"/>
      <c r="ZT245"/>
      <c r="ZU245"/>
      <c r="ZV245"/>
      <c r="ZW245"/>
      <c r="ZX245"/>
      <c r="ZY245"/>
      <c r="ZZ245"/>
      <c r="AAA245"/>
      <c r="AAB245"/>
      <c r="AAC245"/>
      <c r="AAD245"/>
      <c r="AAE245"/>
      <c r="AAF245"/>
      <c r="AAG245"/>
      <c r="AAH245"/>
      <c r="AAI245"/>
      <c r="AAJ245"/>
      <c r="AAK245"/>
      <c r="AAL245"/>
      <c r="AAM245"/>
      <c r="AAN245"/>
      <c r="AAO245"/>
      <c r="AAP245"/>
      <c r="AAQ245"/>
      <c r="AAR245"/>
      <c r="AAS245"/>
      <c r="AAT245"/>
      <c r="AAU245"/>
      <c r="AAV245"/>
      <c r="AAW245"/>
      <c r="AAX245"/>
      <c r="AAY245"/>
      <c r="AAZ245"/>
      <c r="ABA245"/>
      <c r="ABB245"/>
      <c r="ABC245"/>
      <c r="ABD245"/>
      <c r="ABE245"/>
      <c r="ABF245"/>
      <c r="ABG245"/>
      <c r="ABH245"/>
      <c r="ABI245"/>
      <c r="ABJ245"/>
      <c r="ABK245"/>
      <c r="ABL245"/>
      <c r="ABM245"/>
      <c r="ABN245"/>
      <c r="ABO245"/>
      <c r="ABP245"/>
      <c r="ABQ245"/>
      <c r="ABR245"/>
      <c r="ABS245"/>
      <c r="ABT245"/>
      <c r="ABU245"/>
      <c r="ABV245"/>
      <c r="ABW245"/>
      <c r="ABX245"/>
      <c r="ABY245"/>
      <c r="ABZ245"/>
      <c r="ACA245"/>
      <c r="ACB245"/>
      <c r="ACC245"/>
      <c r="ACD245"/>
      <c r="ACE245"/>
      <c r="ACF245"/>
      <c r="ACG245"/>
      <c r="ACH245"/>
      <c r="ACI245"/>
      <c r="ACJ245"/>
      <c r="ACK245"/>
      <c r="ACL245"/>
      <c r="ACM245"/>
      <c r="ACN245"/>
      <c r="ACO245"/>
      <c r="ACP245"/>
      <c r="ACQ245"/>
      <c r="ACR245"/>
      <c r="ACS245"/>
      <c r="ACT245"/>
      <c r="ACU245"/>
      <c r="ACV245"/>
      <c r="ACW245"/>
      <c r="ACX245"/>
      <c r="ACY245"/>
      <c r="ACZ245"/>
      <c r="ADA245"/>
      <c r="ADB245"/>
      <c r="ADC245"/>
      <c r="ADD245"/>
      <c r="ADE245"/>
      <c r="ADF245"/>
      <c r="ADG245"/>
      <c r="ADH245"/>
      <c r="ADI245"/>
      <c r="ADJ245"/>
      <c r="ADK245"/>
      <c r="ADL245"/>
      <c r="ADM245"/>
      <c r="ADN245"/>
      <c r="ADO245"/>
      <c r="ADP245"/>
      <c r="ADQ245"/>
      <c r="ADR245"/>
      <c r="ADS245"/>
      <c r="ADT245"/>
      <c r="ADU245"/>
      <c r="ADV245"/>
      <c r="ADW245"/>
      <c r="ADX245"/>
      <c r="ADY245"/>
      <c r="ADZ245"/>
      <c r="AEA245"/>
      <c r="AEB245"/>
      <c r="AEC245"/>
      <c r="AED245"/>
      <c r="AEE245"/>
      <c r="AEF245"/>
      <c r="AEG245"/>
      <c r="AEH245"/>
      <c r="AEI245"/>
      <c r="AEJ245"/>
      <c r="AEK245"/>
      <c r="AEL245"/>
      <c r="AEM245"/>
      <c r="AEN245"/>
      <c r="AEO245"/>
      <c r="AEP245"/>
      <c r="AEQ245"/>
      <c r="AER245"/>
      <c r="AES245"/>
      <c r="AET245"/>
      <c r="AEU245"/>
      <c r="AEV245"/>
      <c r="AEW245"/>
      <c r="AEX245"/>
      <c r="AEY245"/>
      <c r="AEZ245"/>
      <c r="AFA245"/>
      <c r="AFB245"/>
      <c r="AFC245"/>
      <c r="AFD245"/>
      <c r="AFE245"/>
      <c r="AFF245"/>
      <c r="AFG245"/>
      <c r="AFH245"/>
      <c r="AFI245"/>
      <c r="AFJ245"/>
      <c r="AFK245"/>
      <c r="AFL245"/>
      <c r="AFM245"/>
      <c r="AFN245"/>
      <c r="AFO245"/>
      <c r="AFP245"/>
      <c r="AFQ245"/>
      <c r="AFR245"/>
      <c r="AFS245"/>
      <c r="AFT245"/>
      <c r="AFU245"/>
      <c r="AFV245"/>
      <c r="AFW245"/>
      <c r="AFX245"/>
      <c r="AFY245"/>
      <c r="AFZ245"/>
      <c r="AGA245"/>
      <c r="AGB245"/>
      <c r="AGC245"/>
      <c r="AGD245"/>
      <c r="AGE245"/>
      <c r="AGF245"/>
      <c r="AGG245"/>
      <c r="AGH245"/>
      <c r="AGI245"/>
      <c r="AGJ245"/>
      <c r="AGK245"/>
      <c r="AGL245"/>
      <c r="AGM245"/>
      <c r="AGN245"/>
      <c r="AGO245"/>
      <c r="AGP245"/>
      <c r="AGQ245"/>
      <c r="AGR245"/>
      <c r="AGS245"/>
      <c r="AGT245"/>
      <c r="AGU245"/>
      <c r="AGV245"/>
      <c r="AGW245"/>
      <c r="AGX245"/>
      <c r="AGY245"/>
      <c r="AGZ245"/>
      <c r="AHA245"/>
      <c r="AHB245"/>
      <c r="AHC245"/>
      <c r="AHD245"/>
      <c r="AHE245"/>
      <c r="AHF245"/>
      <c r="AHG245"/>
      <c r="AHH245"/>
      <c r="AHI245"/>
      <c r="AHJ245"/>
      <c r="AHK245"/>
      <c r="AHL245"/>
      <c r="AHM245"/>
      <c r="AHN245"/>
      <c r="AHO245"/>
      <c r="AHP245"/>
      <c r="AHQ245"/>
      <c r="AHR245"/>
      <c r="AHS245"/>
      <c r="AHT245"/>
      <c r="AHU245"/>
      <c r="AHV245"/>
      <c r="AHW245"/>
      <c r="AHX245"/>
      <c r="AHY245"/>
      <c r="AHZ245"/>
      <c r="AIA245"/>
      <c r="AIB245"/>
      <c r="AIC245"/>
      <c r="AID245"/>
      <c r="AIE245"/>
      <c r="AIF245"/>
      <c r="AIG245"/>
      <c r="AIH245"/>
      <c r="AII245"/>
      <c r="AIJ245"/>
      <c r="AIK245"/>
      <c r="AIL245"/>
      <c r="AIM245"/>
      <c r="AIN245"/>
      <c r="AIO245"/>
      <c r="AIP245"/>
      <c r="AIQ245"/>
      <c r="AIR245"/>
      <c r="AIS245"/>
      <c r="AIT245"/>
      <c r="AIU245"/>
      <c r="AIV245"/>
      <c r="AIW245"/>
      <c r="AIX245"/>
      <c r="AIY245"/>
      <c r="AIZ245"/>
      <c r="AJA245"/>
      <c r="AJB245"/>
      <c r="AJC245"/>
      <c r="AJD245"/>
      <c r="AJE245"/>
      <c r="AJF245"/>
      <c r="AJG245"/>
      <c r="AJH245"/>
      <c r="AJI245"/>
      <c r="AJJ245"/>
      <c r="AJK245"/>
      <c r="AJL245"/>
      <c r="AJM245"/>
      <c r="AJN245"/>
      <c r="AJO245"/>
      <c r="AJP245"/>
      <c r="AJQ245"/>
      <c r="AJR245"/>
      <c r="AJS245"/>
      <c r="AJT245"/>
      <c r="AJU245"/>
      <c r="AJV245"/>
      <c r="AJW245"/>
      <c r="AJX245"/>
      <c r="AJY245"/>
      <c r="AJZ245"/>
      <c r="AKA245"/>
      <c r="AKB245"/>
      <c r="AKC245"/>
      <c r="AKD245"/>
      <c r="AKE245"/>
      <c r="AKF245"/>
      <c r="AKG245"/>
      <c r="AKH245"/>
      <c r="AKI245"/>
      <c r="AKJ245"/>
      <c r="AKK245"/>
      <c r="AKL245"/>
      <c r="AKM245"/>
      <c r="AKN245"/>
      <c r="AKO245"/>
      <c r="AKP245"/>
      <c r="AKQ245"/>
      <c r="AKR245"/>
      <c r="AKS245"/>
      <c r="AKT245"/>
      <c r="AKU245"/>
      <c r="AKV245"/>
      <c r="AKW245"/>
      <c r="AKX245"/>
      <c r="AKY245"/>
      <c r="AKZ245"/>
      <c r="ALA245"/>
      <c r="ALB245"/>
      <c r="ALC245"/>
      <c r="ALD245"/>
      <c r="ALE245"/>
      <c r="ALF245"/>
      <c r="ALG245"/>
      <c r="ALH245"/>
      <c r="ALI245"/>
      <c r="ALJ245"/>
      <c r="ALK245"/>
      <c r="ALL245"/>
      <c r="ALM245"/>
      <c r="ALN245"/>
      <c r="ALO245"/>
      <c r="ALP245"/>
      <c r="ALQ245"/>
      <c r="ALR245"/>
      <c r="ALS245"/>
      <c r="ALT245"/>
      <c r="ALU245"/>
      <c r="ALV245"/>
      <c r="ALW245"/>
      <c r="ALX245"/>
      <c r="ALY245"/>
      <c r="ALZ245"/>
      <c r="AMA245"/>
      <c r="AMB245"/>
      <c r="AMC245"/>
      <c r="AMD245"/>
      <c r="AME245"/>
      <c r="AMF245"/>
      <c r="AMG245"/>
      <c r="AMH245"/>
      <c r="AMI245"/>
      <c r="AMJ245"/>
      <c r="AMK245"/>
      <c r="AML245"/>
      <c r="AMM245"/>
      <c r="AMN245"/>
      <c r="AMO245"/>
      <c r="AMP245"/>
      <c r="AMQ245"/>
      <c r="AMR245"/>
      <c r="AMS245"/>
      <c r="AMT245"/>
      <c r="AMU245"/>
      <c r="AMV245"/>
      <c r="AMW245"/>
      <c r="AMX245"/>
      <c r="AMY245"/>
      <c r="AMZ245"/>
      <c r="ANA245"/>
      <c r="ANB245"/>
      <c r="ANC245"/>
      <c r="AND245"/>
      <c r="ANE245"/>
      <c r="ANF245"/>
      <c r="ANG245"/>
      <c r="ANH245"/>
      <c r="ANI245"/>
      <c r="ANJ245"/>
      <c r="ANK245"/>
      <c r="ANL245"/>
      <c r="ANM245"/>
      <c r="ANN245"/>
      <c r="ANO245"/>
      <c r="ANP245"/>
      <c r="ANQ245"/>
      <c r="ANR245"/>
      <c r="ANS245"/>
      <c r="ANT245"/>
      <c r="ANU245"/>
      <c r="ANV245"/>
      <c r="ANW245"/>
      <c r="ANX245"/>
      <c r="ANY245"/>
      <c r="ANZ245"/>
      <c r="AOA245"/>
      <c r="AOB245"/>
      <c r="AOC245"/>
      <c r="AOD245"/>
      <c r="AOE245"/>
      <c r="AOF245"/>
      <c r="AOG245"/>
      <c r="AOH245"/>
      <c r="AOI245"/>
      <c r="AOJ245"/>
      <c r="AOK245"/>
      <c r="AOL245"/>
      <c r="AOM245"/>
      <c r="AON245"/>
      <c r="AOO245"/>
      <c r="AOP245"/>
      <c r="AOQ245"/>
      <c r="AOR245"/>
      <c r="AOS245"/>
      <c r="AOT245"/>
      <c r="AOU245"/>
      <c r="AOV245"/>
      <c r="AOW245"/>
      <c r="AOX245"/>
      <c r="AOY245"/>
      <c r="AOZ245"/>
      <c r="APA245"/>
      <c r="APB245"/>
      <c r="APC245"/>
      <c r="APD245"/>
      <c r="APE245"/>
      <c r="APF245"/>
      <c r="APG245"/>
      <c r="APH245"/>
      <c r="API245"/>
      <c r="APJ245"/>
      <c r="APK245"/>
      <c r="APL245"/>
      <c r="APM245"/>
      <c r="APN245"/>
      <c r="APO245"/>
      <c r="APP245"/>
      <c r="APQ245"/>
      <c r="APR245"/>
      <c r="APS245"/>
      <c r="APT245"/>
      <c r="APU245"/>
      <c r="APV245"/>
      <c r="APW245"/>
      <c r="APX245"/>
      <c r="APY245"/>
      <c r="APZ245"/>
      <c r="AQA245"/>
      <c r="AQB245"/>
      <c r="AQC245"/>
      <c r="AQD245"/>
      <c r="AQE245"/>
      <c r="AQF245"/>
      <c r="AQG245"/>
      <c r="AQH245"/>
      <c r="AQI245"/>
      <c r="AQJ245"/>
      <c r="AQK245"/>
      <c r="AQL245"/>
      <c r="AQM245"/>
      <c r="AQN245"/>
      <c r="AQO245"/>
      <c r="AQP245"/>
      <c r="AQQ245"/>
      <c r="AQR245"/>
      <c r="AQS245"/>
      <c r="AQT245"/>
      <c r="AQU245"/>
      <c r="AQV245"/>
      <c r="AQW245"/>
      <c r="AQX245"/>
      <c r="AQY245"/>
      <c r="AQZ245"/>
      <c r="ARA245"/>
      <c r="ARB245"/>
      <c r="ARC245"/>
      <c r="ARD245"/>
      <c r="ARE245"/>
      <c r="ARF245"/>
      <c r="ARG245"/>
      <c r="ARH245"/>
      <c r="ARI245"/>
      <c r="ARJ245"/>
      <c r="ARK245"/>
      <c r="ARL245"/>
      <c r="ARM245"/>
      <c r="ARN245"/>
      <c r="ARO245"/>
      <c r="ARP245"/>
      <c r="ARQ245"/>
      <c r="ARR245"/>
      <c r="ARS245"/>
      <c r="ART245"/>
      <c r="ARU245"/>
      <c r="ARV245"/>
      <c r="ARW245"/>
      <c r="ARX245"/>
      <c r="ARY245"/>
      <c r="ARZ245"/>
      <c r="ASA245"/>
      <c r="ASB245"/>
      <c r="ASC245"/>
      <c r="ASD245"/>
      <c r="ASE245"/>
      <c r="ASF245"/>
      <c r="ASG245"/>
      <c r="ASH245"/>
      <c r="ASI245"/>
      <c r="ASJ245"/>
      <c r="ASK245"/>
      <c r="ASL245"/>
      <c r="ASM245"/>
      <c r="ASN245"/>
      <c r="ASO245"/>
      <c r="ASP245"/>
      <c r="ASQ245"/>
      <c r="ASR245"/>
      <c r="ASS245"/>
      <c r="AST245"/>
      <c r="ASU245"/>
      <c r="ASV245"/>
      <c r="ASW245"/>
      <c r="ASX245"/>
      <c r="ASY245"/>
      <c r="ASZ245"/>
      <c r="ATA245"/>
      <c r="ATB245"/>
      <c r="ATC245"/>
      <c r="ATD245"/>
      <c r="ATE245"/>
      <c r="ATF245"/>
      <c r="ATG245"/>
      <c r="ATH245"/>
      <c r="ATI245"/>
      <c r="ATJ245"/>
      <c r="ATK245"/>
      <c r="ATL245"/>
      <c r="ATM245"/>
      <c r="ATN245"/>
      <c r="ATO245"/>
      <c r="ATP245"/>
      <c r="ATQ245"/>
      <c r="ATR245"/>
      <c r="ATS245"/>
      <c r="ATT245"/>
      <c r="ATU245"/>
      <c r="ATV245"/>
      <c r="ATW245"/>
      <c r="ATX245"/>
      <c r="ATY245"/>
      <c r="ATZ245"/>
      <c r="AUA245"/>
      <c r="AUB245"/>
      <c r="AUC245"/>
      <c r="AUD245"/>
      <c r="AUE245"/>
      <c r="AUF245"/>
      <c r="AUG245"/>
      <c r="AUH245"/>
      <c r="AUI245"/>
      <c r="AUJ245"/>
      <c r="AUK245"/>
      <c r="AUL245"/>
      <c r="AUM245"/>
      <c r="AUN245"/>
      <c r="AUO245"/>
      <c r="AUP245"/>
      <c r="AUQ245"/>
      <c r="AUR245"/>
      <c r="AUS245"/>
      <c r="AUT245"/>
      <c r="AUU245"/>
      <c r="AUV245"/>
      <c r="AUW245"/>
      <c r="AUX245"/>
      <c r="AUY245"/>
      <c r="AUZ245"/>
      <c r="AVA245"/>
      <c r="AVB245"/>
      <c r="AVC245"/>
      <c r="AVD245"/>
      <c r="AVE245"/>
      <c r="AVF245"/>
      <c r="AVG245"/>
      <c r="AVH245"/>
      <c r="AVI245"/>
      <c r="AVJ245"/>
      <c r="AVK245"/>
      <c r="AVL245"/>
      <c r="AVM245"/>
      <c r="AVN245"/>
      <c r="AVO245"/>
      <c r="AVP245"/>
      <c r="AVQ245"/>
      <c r="AVR245"/>
      <c r="AVS245"/>
      <c r="AVT245"/>
      <c r="AVU245"/>
      <c r="AVV245"/>
      <c r="AVW245"/>
      <c r="AVX245"/>
      <c r="AVY245"/>
      <c r="AVZ245"/>
      <c r="AWA245"/>
      <c r="AWB245"/>
      <c r="AWC245"/>
      <c r="AWD245"/>
      <c r="AWE245"/>
      <c r="AWF245"/>
      <c r="AWG245"/>
      <c r="AWH245"/>
      <c r="AWI245"/>
      <c r="AWJ245"/>
      <c r="AWK245"/>
      <c r="AWL245"/>
      <c r="AWM245"/>
      <c r="AWN245"/>
      <c r="AWO245"/>
      <c r="AWP245"/>
      <c r="AWQ245"/>
      <c r="AWR245"/>
      <c r="AWS245"/>
      <c r="AWT245"/>
      <c r="AWU245"/>
      <c r="AWV245"/>
      <c r="AWW245"/>
      <c r="AWX245"/>
      <c r="AWY245"/>
      <c r="AWZ245"/>
      <c r="AXA245"/>
      <c r="AXB245"/>
      <c r="AXC245"/>
      <c r="AXD245"/>
      <c r="AXE245"/>
      <c r="AXF245"/>
      <c r="AXG245"/>
      <c r="AXH245"/>
      <c r="AXI245"/>
      <c r="AXJ245"/>
      <c r="AXK245"/>
      <c r="AXL245"/>
      <c r="AXM245"/>
      <c r="AXN245"/>
      <c r="AXO245"/>
      <c r="AXP245"/>
      <c r="AXQ245"/>
      <c r="AXR245"/>
      <c r="AXS245"/>
      <c r="AXT245"/>
      <c r="AXU245"/>
      <c r="AXV245"/>
      <c r="AXW245"/>
      <c r="AXX245"/>
      <c r="AXY245"/>
      <c r="AXZ245"/>
      <c r="AYA245"/>
      <c r="AYB245"/>
      <c r="AYC245"/>
      <c r="AYD245"/>
      <c r="AYE245"/>
      <c r="AYF245"/>
      <c r="AYG245"/>
      <c r="AYH245"/>
      <c r="AYI245"/>
      <c r="AYJ245"/>
      <c r="AYK245"/>
      <c r="AYL245"/>
      <c r="AYM245"/>
      <c r="AYN245"/>
      <c r="AYO245"/>
      <c r="AYP245"/>
      <c r="AYQ245"/>
      <c r="AYR245"/>
      <c r="AYS245"/>
      <c r="AYT245"/>
      <c r="AYU245"/>
      <c r="AYV245"/>
      <c r="AYW245"/>
      <c r="AYX245"/>
      <c r="AYY245"/>
      <c r="AYZ245"/>
      <c r="AZA245"/>
      <c r="AZB245"/>
      <c r="AZC245"/>
      <c r="AZD245"/>
      <c r="AZE245"/>
      <c r="AZF245"/>
      <c r="AZG245"/>
      <c r="AZH245"/>
      <c r="AZI245"/>
      <c r="AZJ245"/>
      <c r="AZK245"/>
      <c r="AZL245"/>
      <c r="AZM245"/>
      <c r="AZN245"/>
      <c r="AZO245"/>
      <c r="AZP245"/>
      <c r="AZQ245"/>
      <c r="AZR245"/>
      <c r="AZS245"/>
      <c r="AZT245"/>
      <c r="AZU245"/>
      <c r="AZV245"/>
      <c r="AZW245"/>
      <c r="AZX245"/>
      <c r="AZY245"/>
      <c r="AZZ245"/>
      <c r="BAA245"/>
      <c r="BAB245"/>
      <c r="BAC245"/>
      <c r="BAD245"/>
      <c r="BAE245"/>
      <c r="BAF245"/>
      <c r="BAG245"/>
      <c r="BAH245"/>
      <c r="BAI245"/>
      <c r="BAJ245"/>
      <c r="BAK245"/>
      <c r="BAL245"/>
      <c r="BAM245"/>
      <c r="BAN245"/>
      <c r="BAO245"/>
      <c r="BAP245"/>
      <c r="BAQ245"/>
      <c r="BAR245"/>
      <c r="BAS245"/>
      <c r="BAT245"/>
      <c r="BAU245"/>
      <c r="BAV245"/>
      <c r="BAW245"/>
      <c r="BAX245"/>
      <c r="BAY245"/>
      <c r="BAZ245"/>
      <c r="BBA245"/>
      <c r="BBB245"/>
      <c r="BBC245"/>
      <c r="BBD245"/>
      <c r="BBE245"/>
      <c r="BBF245"/>
      <c r="BBG245"/>
      <c r="BBH245"/>
      <c r="BBI245"/>
      <c r="BBJ245"/>
      <c r="BBK245"/>
      <c r="BBL245"/>
      <c r="BBM245"/>
      <c r="BBN245"/>
      <c r="BBO245"/>
      <c r="BBP245"/>
      <c r="BBQ245"/>
      <c r="BBR245"/>
      <c r="BBS245"/>
      <c r="BBT245"/>
      <c r="BBU245"/>
      <c r="BBV245"/>
      <c r="BBW245"/>
      <c r="BBX245"/>
      <c r="BBY245"/>
      <c r="BBZ245"/>
      <c r="BCA245"/>
      <c r="BCB245"/>
      <c r="BCC245"/>
      <c r="BCD245"/>
      <c r="BCE245"/>
      <c r="BCF245"/>
      <c r="BCG245"/>
      <c r="BCH245"/>
      <c r="BCI245"/>
      <c r="BCJ245"/>
      <c r="BCK245"/>
      <c r="BCL245"/>
      <c r="BCM245"/>
      <c r="BCN245"/>
      <c r="BCO245"/>
      <c r="BCP245"/>
      <c r="BCQ245"/>
      <c r="BCR245"/>
      <c r="BCS245"/>
      <c r="BCT245"/>
      <c r="BCU245"/>
      <c r="BCV245"/>
      <c r="BCW245"/>
      <c r="BCX245"/>
      <c r="BCY245"/>
      <c r="BCZ245"/>
      <c r="BDA245"/>
      <c r="BDB245"/>
      <c r="BDC245"/>
      <c r="BDD245"/>
      <c r="BDE245"/>
      <c r="BDF245"/>
      <c r="BDG245"/>
      <c r="BDH245"/>
      <c r="BDI245"/>
      <c r="BDJ245"/>
      <c r="BDK245"/>
      <c r="BDL245"/>
      <c r="BDM245"/>
      <c r="BDN245"/>
      <c r="BDO245"/>
      <c r="BDP245"/>
      <c r="BDQ245"/>
      <c r="BDR245"/>
      <c r="BDS245"/>
      <c r="BDT245"/>
      <c r="BDU245"/>
      <c r="BDV245"/>
      <c r="BDW245"/>
      <c r="BDX245"/>
      <c r="BDY245"/>
      <c r="BDZ245"/>
      <c r="BEA245"/>
      <c r="BEB245"/>
      <c r="BEC245"/>
      <c r="BED245"/>
      <c r="BEE245"/>
      <c r="BEF245"/>
      <c r="BEG245"/>
      <c r="BEH245"/>
      <c r="BEI245"/>
      <c r="BEJ245"/>
      <c r="BEK245"/>
      <c r="BEL245"/>
      <c r="BEM245"/>
      <c r="BEN245"/>
      <c r="BEO245"/>
      <c r="BEP245"/>
      <c r="BEQ245"/>
      <c r="BER245"/>
      <c r="BES245"/>
      <c r="BET245"/>
      <c r="BEU245"/>
      <c r="BEV245"/>
      <c r="BEW245"/>
      <c r="BEX245"/>
      <c r="BEY245"/>
      <c r="BEZ245"/>
      <c r="BFA245"/>
      <c r="BFB245"/>
      <c r="BFC245"/>
      <c r="BFD245"/>
      <c r="BFE245"/>
      <c r="BFF245"/>
      <c r="BFG245"/>
      <c r="BFH245"/>
      <c r="BFI245"/>
      <c r="BFJ245"/>
      <c r="BFK245"/>
      <c r="BFL245"/>
      <c r="BFM245"/>
      <c r="BFN245"/>
      <c r="BFO245"/>
      <c r="BFP245"/>
      <c r="BFQ245"/>
      <c r="BFR245"/>
      <c r="BFS245"/>
      <c r="BFT245"/>
      <c r="BFU245"/>
      <c r="BFV245"/>
      <c r="BFW245"/>
      <c r="BFX245"/>
      <c r="BFY245"/>
      <c r="BFZ245"/>
      <c r="BGA245"/>
      <c r="BGB245"/>
      <c r="BGC245"/>
      <c r="BGD245"/>
      <c r="BGE245"/>
      <c r="BGF245"/>
      <c r="BGG245"/>
      <c r="BGH245"/>
      <c r="BGI245"/>
      <c r="BGJ245"/>
      <c r="BGK245"/>
      <c r="BGL245"/>
      <c r="BGM245"/>
      <c r="BGN245"/>
      <c r="BGO245"/>
      <c r="BGP245"/>
      <c r="BGQ245"/>
      <c r="BGR245"/>
      <c r="BGS245"/>
      <c r="BGT245"/>
      <c r="BGU245"/>
      <c r="BGV245"/>
      <c r="BGW245"/>
      <c r="BGX245"/>
      <c r="BGY245"/>
      <c r="BGZ245"/>
      <c r="BHA245"/>
      <c r="BHB245"/>
      <c r="BHC245"/>
      <c r="BHD245"/>
      <c r="BHE245"/>
      <c r="BHF245"/>
      <c r="BHG245"/>
      <c r="BHH245"/>
      <c r="BHI245"/>
      <c r="BHJ245"/>
      <c r="BHK245"/>
      <c r="BHL245"/>
      <c r="BHM245"/>
      <c r="BHN245"/>
      <c r="BHO245"/>
      <c r="BHP245"/>
      <c r="BHQ245"/>
      <c r="BHR245"/>
      <c r="BHS245"/>
      <c r="BHT245"/>
      <c r="BHU245"/>
      <c r="BHV245"/>
      <c r="BHW245"/>
      <c r="BHX245"/>
      <c r="BHY245"/>
      <c r="BHZ245"/>
      <c r="BIA245"/>
      <c r="BIB245"/>
      <c r="BIC245"/>
      <c r="BID245"/>
      <c r="BIE245"/>
      <c r="BIF245"/>
      <c r="BIG245"/>
      <c r="BIH245"/>
      <c r="BII245"/>
      <c r="BIJ245"/>
      <c r="BIK245"/>
      <c r="BIL245"/>
      <c r="BIM245"/>
      <c r="BIN245"/>
      <c r="BIO245"/>
      <c r="BIP245"/>
      <c r="BIQ245"/>
      <c r="BIR245"/>
      <c r="BIS245"/>
      <c r="BIT245"/>
      <c r="BIU245"/>
      <c r="BIV245"/>
      <c r="BIW245"/>
      <c r="BIX245"/>
      <c r="BIY245"/>
      <c r="BIZ245"/>
      <c r="BJA245"/>
      <c r="BJB245"/>
      <c r="BJC245"/>
      <c r="BJD245"/>
      <c r="BJE245"/>
      <c r="BJF245"/>
      <c r="BJG245"/>
      <c r="BJH245"/>
      <c r="BJI245"/>
      <c r="BJJ245"/>
      <c r="BJK245"/>
      <c r="BJL245"/>
      <c r="BJM245"/>
      <c r="BJN245"/>
      <c r="BJO245"/>
      <c r="BJP245"/>
      <c r="BJQ245"/>
      <c r="BJR245"/>
      <c r="BJS245"/>
      <c r="BJT245"/>
      <c r="BJU245"/>
      <c r="BJV245"/>
      <c r="BJW245"/>
      <c r="BJX245"/>
      <c r="BJY245"/>
      <c r="BJZ245"/>
      <c r="BKA245"/>
      <c r="BKB245"/>
      <c r="BKC245"/>
      <c r="BKD245"/>
      <c r="BKE245"/>
      <c r="BKF245"/>
      <c r="BKG245"/>
      <c r="BKH245"/>
      <c r="BKI245"/>
      <c r="BKJ245"/>
      <c r="BKK245"/>
      <c r="BKL245"/>
      <c r="BKM245"/>
      <c r="BKN245"/>
      <c r="BKO245"/>
      <c r="BKP245"/>
      <c r="BKQ245"/>
      <c r="BKR245"/>
      <c r="BKS245"/>
      <c r="BKT245"/>
      <c r="BKU245"/>
      <c r="BKV245"/>
      <c r="BKW245"/>
      <c r="BKX245"/>
      <c r="BKY245"/>
      <c r="BKZ245"/>
      <c r="BLA245"/>
      <c r="BLB245"/>
      <c r="BLC245"/>
      <c r="BLD245"/>
      <c r="BLE245"/>
      <c r="BLF245"/>
      <c r="BLG245"/>
      <c r="BLH245"/>
      <c r="BLI245"/>
      <c r="BLJ245"/>
      <c r="BLK245"/>
      <c r="BLL245"/>
      <c r="BLM245"/>
      <c r="BLN245"/>
      <c r="BLO245"/>
      <c r="BLP245"/>
      <c r="BLQ245"/>
      <c r="BLR245"/>
      <c r="BLS245"/>
      <c r="BLT245"/>
      <c r="BLU245"/>
      <c r="BLV245"/>
      <c r="BLW245"/>
      <c r="BLX245"/>
      <c r="BLY245"/>
      <c r="BLZ245"/>
      <c r="BMA245"/>
      <c r="BMB245"/>
      <c r="BMC245"/>
      <c r="BMD245"/>
      <c r="BME245"/>
      <c r="BMF245"/>
      <c r="BMG245"/>
      <c r="BMH245"/>
      <c r="BMI245"/>
      <c r="BMJ245"/>
      <c r="BMK245"/>
      <c r="BML245"/>
      <c r="BMM245"/>
      <c r="BMN245"/>
      <c r="BMO245"/>
      <c r="BMP245"/>
      <c r="BMQ245"/>
      <c r="BMR245"/>
      <c r="BMS245"/>
      <c r="BMT245"/>
      <c r="BMU245"/>
      <c r="BMV245"/>
      <c r="BMW245"/>
      <c r="BMX245"/>
      <c r="BMY245"/>
      <c r="BMZ245"/>
      <c r="BNA245"/>
      <c r="BNB245"/>
      <c r="BNC245"/>
      <c r="BND245"/>
      <c r="BNE245"/>
      <c r="BNF245"/>
      <c r="BNG245"/>
      <c r="BNH245"/>
      <c r="BNI245"/>
      <c r="BNJ245"/>
      <c r="BNK245"/>
      <c r="BNL245"/>
      <c r="BNM245"/>
      <c r="BNN245"/>
      <c r="BNO245"/>
      <c r="BNP245"/>
      <c r="BNQ245"/>
      <c r="BNR245"/>
      <c r="BNS245"/>
      <c r="BNT245"/>
      <c r="BNU245"/>
      <c r="BNV245"/>
      <c r="BNW245"/>
      <c r="BNX245"/>
      <c r="BNY245"/>
      <c r="BNZ245"/>
      <c r="BOA245"/>
      <c r="BOB245"/>
      <c r="BOC245"/>
      <c r="BOD245"/>
      <c r="BOE245"/>
      <c r="BOF245"/>
      <c r="BOG245"/>
      <c r="BOH245"/>
      <c r="BOI245"/>
      <c r="BOJ245"/>
      <c r="BOK245"/>
      <c r="BOL245"/>
      <c r="BOM245"/>
      <c r="BON245"/>
      <c r="BOO245"/>
      <c r="BOP245"/>
      <c r="BOQ245"/>
      <c r="BOR245"/>
      <c r="BOS245"/>
      <c r="BOT245"/>
      <c r="BOU245"/>
      <c r="BOV245"/>
      <c r="BOW245"/>
      <c r="BOX245"/>
      <c r="BOY245"/>
      <c r="BOZ245"/>
      <c r="BPA245"/>
      <c r="BPB245"/>
      <c r="BPC245"/>
      <c r="BPD245"/>
      <c r="BPE245"/>
      <c r="BPF245"/>
      <c r="BPG245"/>
      <c r="BPH245"/>
      <c r="BPI245"/>
      <c r="BPJ245"/>
      <c r="BPK245"/>
      <c r="BPL245"/>
      <c r="BPM245"/>
      <c r="BPN245"/>
      <c r="BPO245"/>
      <c r="BPP245"/>
      <c r="BPQ245"/>
      <c r="BPR245"/>
      <c r="BPS245"/>
      <c r="BPT245"/>
      <c r="BPU245"/>
      <c r="BPV245"/>
      <c r="BPW245"/>
      <c r="BPX245"/>
      <c r="BPY245"/>
      <c r="BPZ245"/>
      <c r="BQA245"/>
      <c r="BQB245"/>
      <c r="BQC245"/>
      <c r="BQD245"/>
      <c r="BQE245"/>
      <c r="BQF245"/>
      <c r="BQG245"/>
      <c r="BQH245"/>
      <c r="BQI245"/>
      <c r="BQJ245"/>
      <c r="BQK245"/>
      <c r="BQL245"/>
      <c r="BQM245"/>
      <c r="BQN245"/>
      <c r="BQO245"/>
      <c r="BQP245"/>
      <c r="BQQ245"/>
      <c r="BQR245"/>
      <c r="BQS245"/>
      <c r="BQT245"/>
      <c r="BQU245"/>
      <c r="BQV245"/>
      <c r="BQW245"/>
      <c r="BQX245"/>
      <c r="BQY245"/>
      <c r="BQZ245"/>
      <c r="BRA245"/>
      <c r="BRB245"/>
      <c r="BRC245"/>
      <c r="BRD245"/>
      <c r="BRE245"/>
      <c r="BRF245"/>
      <c r="BRG245"/>
      <c r="BRH245"/>
      <c r="BRI245"/>
      <c r="BRJ245"/>
      <c r="BRK245"/>
      <c r="BRL245"/>
      <c r="BRM245"/>
      <c r="BRN245"/>
      <c r="BRO245"/>
      <c r="BRP245"/>
      <c r="BRQ245"/>
      <c r="BRR245"/>
      <c r="BRS245"/>
      <c r="BRT245"/>
      <c r="BRU245"/>
      <c r="BRV245"/>
      <c r="BRW245"/>
      <c r="BRX245"/>
      <c r="BRY245"/>
      <c r="BRZ245"/>
      <c r="BSA245"/>
      <c r="BSB245"/>
      <c r="BSC245"/>
      <c r="BSD245"/>
      <c r="BSE245"/>
      <c r="BSF245"/>
      <c r="BSG245"/>
      <c r="BSH245"/>
      <c r="BSI245"/>
      <c r="BSJ245"/>
      <c r="BSK245"/>
      <c r="BSL245"/>
      <c r="BSM245"/>
      <c r="BSN245"/>
      <c r="BSO245"/>
      <c r="BSP245"/>
      <c r="BSQ245"/>
      <c r="BSR245"/>
      <c r="BSS245"/>
      <c r="BST245"/>
      <c r="BSU245"/>
      <c r="BSV245"/>
      <c r="BSW245"/>
      <c r="BSX245"/>
      <c r="BSY245"/>
      <c r="BSZ245"/>
      <c r="BTA245"/>
      <c r="BTB245"/>
      <c r="BTC245"/>
      <c r="BTD245"/>
      <c r="BTE245"/>
      <c r="BTF245"/>
      <c r="BTG245"/>
      <c r="BTH245"/>
      <c r="BTI245"/>
      <c r="BTJ245"/>
      <c r="BTK245"/>
      <c r="BTL245"/>
      <c r="BTM245"/>
      <c r="BTN245"/>
      <c r="BTO245"/>
      <c r="BTP245"/>
      <c r="BTQ245"/>
      <c r="BTR245"/>
      <c r="BTS245"/>
      <c r="BTT245"/>
      <c r="BTU245"/>
      <c r="BTV245"/>
      <c r="BTW245"/>
      <c r="BTX245"/>
      <c r="BTY245"/>
      <c r="BTZ245"/>
      <c r="BUA245"/>
      <c r="BUB245"/>
      <c r="BUC245"/>
      <c r="BUD245"/>
      <c r="BUE245"/>
      <c r="BUF245"/>
      <c r="BUG245"/>
      <c r="BUH245"/>
      <c r="BUI245"/>
      <c r="BUJ245"/>
      <c r="BUK245"/>
      <c r="BUL245"/>
      <c r="BUM245"/>
      <c r="BUN245"/>
      <c r="BUO245"/>
      <c r="BUP245"/>
      <c r="BUQ245"/>
      <c r="BUR245"/>
      <c r="BUS245"/>
      <c r="BUT245"/>
      <c r="BUU245"/>
      <c r="BUV245"/>
      <c r="BUW245"/>
      <c r="BUX245"/>
      <c r="BUY245"/>
      <c r="BUZ245"/>
      <c r="BVA245"/>
      <c r="BVB245"/>
      <c r="BVC245"/>
      <c r="BVD245"/>
      <c r="BVE245"/>
      <c r="BVF245"/>
      <c r="BVG245"/>
      <c r="BVH245"/>
      <c r="BVI245"/>
      <c r="BVJ245"/>
      <c r="BVK245"/>
      <c r="BVL245"/>
      <c r="BVM245"/>
      <c r="BVN245"/>
      <c r="BVO245"/>
      <c r="BVP245"/>
      <c r="BVQ245"/>
      <c r="BVR245"/>
      <c r="BVS245"/>
      <c r="BVT245"/>
      <c r="BVU245"/>
      <c r="BVV245"/>
      <c r="BVW245"/>
      <c r="BVX245"/>
      <c r="BVY245"/>
      <c r="BVZ245"/>
      <c r="BWA245"/>
      <c r="BWB245"/>
      <c r="BWC245"/>
      <c r="BWD245"/>
      <c r="BWE245"/>
      <c r="BWF245"/>
      <c r="BWG245"/>
      <c r="BWH245"/>
      <c r="BWI245"/>
      <c r="BWJ245"/>
      <c r="BWK245"/>
      <c r="BWL245"/>
      <c r="BWM245"/>
      <c r="BWN245"/>
      <c r="BWO245"/>
      <c r="BWP245"/>
      <c r="BWQ245"/>
      <c r="BWR245"/>
      <c r="BWS245"/>
      <c r="BWT245"/>
      <c r="BWU245"/>
      <c r="BWV245"/>
      <c r="BWW245"/>
      <c r="BWX245"/>
      <c r="BWY245"/>
      <c r="BWZ245"/>
      <c r="BXA245"/>
      <c r="BXB245"/>
      <c r="BXC245"/>
      <c r="BXD245"/>
      <c r="BXE245"/>
      <c r="BXF245"/>
      <c r="BXG245"/>
      <c r="BXH245"/>
      <c r="BXI245"/>
      <c r="BXJ245"/>
      <c r="BXK245"/>
      <c r="BXL245"/>
      <c r="BXM245"/>
      <c r="BXN245"/>
      <c r="BXO245"/>
      <c r="BXP245"/>
      <c r="BXQ245"/>
      <c r="BXR245"/>
      <c r="BXS245"/>
      <c r="BXT245"/>
      <c r="BXU245"/>
      <c r="BXV245"/>
      <c r="BXW245"/>
      <c r="BXX245"/>
      <c r="BXY245"/>
      <c r="BXZ245"/>
      <c r="BYA245"/>
      <c r="BYB245"/>
      <c r="BYC245"/>
      <c r="BYD245"/>
      <c r="BYE245"/>
      <c r="BYF245"/>
      <c r="BYG245"/>
      <c r="BYH245"/>
      <c r="BYI245"/>
      <c r="BYJ245"/>
      <c r="BYK245"/>
      <c r="BYL245"/>
      <c r="BYM245"/>
      <c r="BYN245"/>
      <c r="BYO245"/>
      <c r="BYP245"/>
      <c r="BYQ245"/>
      <c r="BYR245"/>
      <c r="BYS245"/>
      <c r="BYT245"/>
      <c r="BYU245"/>
      <c r="BYV245"/>
      <c r="BYW245"/>
      <c r="BYX245"/>
      <c r="BYY245"/>
      <c r="BYZ245"/>
      <c r="BZA245"/>
      <c r="BZB245"/>
      <c r="BZC245"/>
      <c r="BZD245"/>
      <c r="BZE245"/>
      <c r="BZF245"/>
      <c r="BZG245"/>
      <c r="BZH245"/>
      <c r="BZI245"/>
      <c r="BZJ245"/>
      <c r="BZK245"/>
      <c r="BZL245"/>
      <c r="BZM245"/>
      <c r="BZN245"/>
      <c r="BZO245"/>
      <c r="BZP245"/>
      <c r="BZQ245"/>
      <c r="BZR245"/>
      <c r="BZS245"/>
      <c r="BZT245"/>
      <c r="BZU245"/>
      <c r="BZV245"/>
      <c r="BZW245"/>
      <c r="BZX245"/>
      <c r="BZY245"/>
      <c r="BZZ245"/>
      <c r="CAA245"/>
      <c r="CAB245"/>
      <c r="CAC245"/>
      <c r="CAD245"/>
      <c r="CAE245"/>
      <c r="CAF245"/>
      <c r="CAG245"/>
      <c r="CAH245"/>
      <c r="CAI245"/>
      <c r="CAJ245"/>
      <c r="CAK245"/>
      <c r="CAL245"/>
      <c r="CAM245"/>
      <c r="CAN245"/>
      <c r="CAO245"/>
      <c r="CAP245"/>
      <c r="CAQ245"/>
      <c r="CAR245"/>
      <c r="CAS245"/>
      <c r="CAT245"/>
      <c r="CAU245"/>
      <c r="CAV245"/>
      <c r="CAW245"/>
      <c r="CAX245"/>
      <c r="CAY245"/>
      <c r="CAZ245"/>
      <c r="CBA245"/>
      <c r="CBB245"/>
      <c r="CBC245"/>
      <c r="CBD245"/>
      <c r="CBE245"/>
      <c r="CBF245"/>
      <c r="CBG245"/>
      <c r="CBH245"/>
      <c r="CBI245"/>
      <c r="CBJ245"/>
      <c r="CBK245"/>
      <c r="CBL245"/>
      <c r="CBM245"/>
      <c r="CBN245"/>
      <c r="CBO245"/>
      <c r="CBP245"/>
      <c r="CBQ245"/>
      <c r="CBR245"/>
      <c r="CBS245"/>
      <c r="CBT245"/>
      <c r="CBU245"/>
      <c r="CBV245"/>
      <c r="CBW245"/>
      <c r="CBX245"/>
      <c r="CBY245"/>
      <c r="CBZ245"/>
      <c r="CCA245"/>
      <c r="CCB245"/>
      <c r="CCC245"/>
      <c r="CCD245"/>
      <c r="CCE245"/>
      <c r="CCF245"/>
      <c r="CCG245"/>
      <c r="CCH245"/>
      <c r="CCI245"/>
      <c r="CCJ245"/>
      <c r="CCK245"/>
      <c r="CCL245"/>
      <c r="CCM245"/>
      <c r="CCN245"/>
      <c r="CCO245"/>
      <c r="CCP245"/>
      <c r="CCQ245"/>
      <c r="CCR245"/>
      <c r="CCS245"/>
      <c r="CCT245"/>
      <c r="CCU245"/>
      <c r="CCV245"/>
      <c r="CCW245"/>
      <c r="CCX245"/>
      <c r="CCY245"/>
      <c r="CCZ245"/>
      <c r="CDA245"/>
      <c r="CDB245"/>
      <c r="CDC245"/>
      <c r="CDD245"/>
      <c r="CDE245"/>
      <c r="CDF245"/>
      <c r="CDG245"/>
      <c r="CDH245"/>
      <c r="CDI245"/>
      <c r="CDJ245"/>
      <c r="CDK245"/>
      <c r="CDL245"/>
      <c r="CDM245"/>
      <c r="CDN245"/>
      <c r="CDO245"/>
      <c r="CDP245"/>
      <c r="CDQ245"/>
      <c r="CDR245"/>
      <c r="CDS245"/>
      <c r="CDT245"/>
      <c r="CDU245"/>
      <c r="CDV245"/>
      <c r="CDW245"/>
      <c r="CDX245"/>
      <c r="CDY245"/>
      <c r="CDZ245"/>
      <c r="CEA245"/>
      <c r="CEB245"/>
      <c r="CEC245"/>
      <c r="CED245"/>
      <c r="CEE245"/>
      <c r="CEF245"/>
      <c r="CEG245"/>
      <c r="CEH245"/>
      <c r="CEI245"/>
      <c r="CEJ245"/>
      <c r="CEK245"/>
      <c r="CEL245"/>
      <c r="CEM245"/>
      <c r="CEN245"/>
      <c r="CEO245"/>
      <c r="CEP245"/>
      <c r="CEQ245"/>
      <c r="CER245"/>
      <c r="CES245"/>
      <c r="CET245"/>
      <c r="CEU245"/>
      <c r="CEV245"/>
      <c r="CEW245"/>
      <c r="CEX245"/>
      <c r="CEY245"/>
      <c r="CEZ245"/>
      <c r="CFA245"/>
      <c r="CFB245"/>
      <c r="CFC245"/>
      <c r="CFD245"/>
      <c r="CFE245"/>
      <c r="CFF245"/>
      <c r="CFG245"/>
      <c r="CFH245"/>
      <c r="CFI245"/>
      <c r="CFJ245"/>
      <c r="CFK245"/>
      <c r="CFL245"/>
      <c r="CFM245"/>
      <c r="CFN245"/>
      <c r="CFO245"/>
      <c r="CFP245"/>
      <c r="CFQ245"/>
      <c r="CFR245"/>
      <c r="CFS245"/>
      <c r="CFT245"/>
      <c r="CFU245"/>
      <c r="CFV245"/>
      <c r="CFW245"/>
      <c r="CFX245"/>
      <c r="CFY245"/>
      <c r="CFZ245"/>
      <c r="CGA245"/>
      <c r="CGB245"/>
      <c r="CGC245"/>
      <c r="CGD245"/>
      <c r="CGE245"/>
      <c r="CGF245"/>
      <c r="CGG245"/>
      <c r="CGH245"/>
      <c r="CGI245"/>
      <c r="CGJ245"/>
      <c r="CGK245"/>
      <c r="CGL245"/>
      <c r="CGM245"/>
      <c r="CGN245"/>
      <c r="CGO245"/>
      <c r="CGP245"/>
      <c r="CGQ245"/>
      <c r="CGR245"/>
      <c r="CGS245"/>
      <c r="CGT245"/>
      <c r="CGU245"/>
      <c r="CGV245"/>
      <c r="CGW245"/>
      <c r="CGX245"/>
      <c r="CGY245"/>
      <c r="CGZ245"/>
      <c r="CHA245"/>
      <c r="CHB245"/>
      <c r="CHC245"/>
      <c r="CHD245"/>
      <c r="CHE245"/>
      <c r="CHF245"/>
      <c r="CHG245"/>
      <c r="CHH245"/>
      <c r="CHI245"/>
      <c r="CHJ245"/>
      <c r="CHK245"/>
      <c r="CHL245"/>
      <c r="CHM245"/>
      <c r="CHN245"/>
      <c r="CHO245"/>
      <c r="CHP245"/>
      <c r="CHQ245"/>
      <c r="CHR245"/>
      <c r="CHS245"/>
      <c r="CHT245"/>
      <c r="CHU245"/>
      <c r="CHV245"/>
      <c r="CHW245"/>
      <c r="CHX245"/>
      <c r="CHY245"/>
      <c r="CHZ245"/>
      <c r="CIA245"/>
      <c r="CIB245"/>
      <c r="CIC245"/>
      <c r="CID245"/>
      <c r="CIE245"/>
      <c r="CIF245"/>
      <c r="CIG245"/>
      <c r="CIH245"/>
      <c r="CII245"/>
      <c r="CIJ245"/>
      <c r="CIK245"/>
      <c r="CIL245"/>
      <c r="CIM245"/>
      <c r="CIN245"/>
      <c r="CIO245"/>
      <c r="CIP245"/>
      <c r="CIQ245"/>
      <c r="CIR245"/>
      <c r="CIS245"/>
      <c r="CIT245"/>
      <c r="CIU245"/>
      <c r="CIV245"/>
      <c r="CIW245"/>
      <c r="CIX245"/>
      <c r="CIY245"/>
      <c r="CIZ245"/>
      <c r="CJA245"/>
      <c r="CJB245"/>
      <c r="CJC245"/>
      <c r="CJD245"/>
      <c r="CJE245"/>
      <c r="CJF245"/>
      <c r="CJG245"/>
      <c r="CJH245"/>
      <c r="CJI245"/>
      <c r="CJJ245"/>
      <c r="CJK245"/>
      <c r="CJL245"/>
      <c r="CJM245"/>
      <c r="CJN245"/>
      <c r="CJO245"/>
      <c r="CJP245"/>
      <c r="CJQ245"/>
      <c r="CJR245"/>
      <c r="CJS245"/>
      <c r="CJT245"/>
      <c r="CJU245"/>
      <c r="CJV245"/>
      <c r="CJW245"/>
      <c r="CJX245"/>
      <c r="CJY245"/>
      <c r="CJZ245"/>
      <c r="CKA245"/>
      <c r="CKB245"/>
      <c r="CKC245"/>
      <c r="CKD245"/>
      <c r="CKE245"/>
      <c r="CKF245"/>
      <c r="CKG245"/>
      <c r="CKH245"/>
      <c r="CKI245"/>
      <c r="CKJ245"/>
      <c r="CKK245"/>
      <c r="CKL245"/>
      <c r="CKM245"/>
      <c r="CKN245"/>
      <c r="CKO245"/>
      <c r="CKP245"/>
      <c r="CKQ245"/>
      <c r="CKR245"/>
      <c r="CKS245"/>
      <c r="CKT245"/>
      <c r="CKU245"/>
      <c r="CKV245"/>
      <c r="CKW245"/>
      <c r="CKX245"/>
      <c r="CKY245"/>
      <c r="CKZ245"/>
      <c r="CLA245"/>
      <c r="CLB245"/>
      <c r="CLC245"/>
      <c r="CLD245"/>
      <c r="CLE245"/>
      <c r="CLF245"/>
      <c r="CLG245"/>
      <c r="CLH245"/>
      <c r="CLI245"/>
      <c r="CLJ245"/>
      <c r="CLK245"/>
      <c r="CLL245"/>
      <c r="CLM245"/>
      <c r="CLN245"/>
      <c r="CLO245"/>
      <c r="CLP245"/>
      <c r="CLQ245"/>
      <c r="CLR245"/>
      <c r="CLS245"/>
      <c r="CLT245"/>
      <c r="CLU245"/>
      <c r="CLV245"/>
      <c r="CLW245"/>
      <c r="CLX245"/>
      <c r="CLY245"/>
      <c r="CLZ245"/>
      <c r="CMA245"/>
      <c r="CMB245"/>
      <c r="CMC245"/>
      <c r="CMD245"/>
      <c r="CME245"/>
      <c r="CMF245"/>
      <c r="CMG245"/>
      <c r="CMH245"/>
      <c r="CMI245"/>
      <c r="CMJ245"/>
      <c r="CMK245"/>
      <c r="CML245"/>
      <c r="CMM245"/>
      <c r="CMN245"/>
      <c r="CMO245"/>
      <c r="CMP245"/>
      <c r="CMQ245"/>
      <c r="CMR245"/>
      <c r="CMS245"/>
      <c r="CMT245"/>
      <c r="CMU245"/>
      <c r="CMV245"/>
      <c r="CMW245"/>
      <c r="CMX245"/>
      <c r="CMY245"/>
      <c r="CMZ245"/>
      <c r="CNA245"/>
      <c r="CNB245"/>
      <c r="CNC245"/>
      <c r="CND245"/>
      <c r="CNE245"/>
      <c r="CNF245"/>
      <c r="CNG245"/>
      <c r="CNH245"/>
      <c r="CNI245"/>
      <c r="CNJ245"/>
      <c r="CNK245"/>
      <c r="CNL245"/>
      <c r="CNM245"/>
      <c r="CNN245"/>
      <c r="CNO245"/>
      <c r="CNP245"/>
      <c r="CNQ245"/>
      <c r="CNR245"/>
      <c r="CNS245"/>
      <c r="CNT245"/>
      <c r="CNU245"/>
      <c r="CNV245"/>
      <c r="CNW245"/>
      <c r="CNX245"/>
      <c r="CNY245"/>
      <c r="CNZ245"/>
      <c r="COA245"/>
      <c r="COB245"/>
      <c r="COC245"/>
      <c r="COD245"/>
      <c r="COE245"/>
      <c r="COF245"/>
      <c r="COG245"/>
      <c r="COH245"/>
      <c r="COI245"/>
      <c r="COJ245"/>
      <c r="COK245"/>
      <c r="COL245"/>
      <c r="COM245"/>
      <c r="CON245"/>
      <c r="COO245"/>
      <c r="COP245"/>
      <c r="COQ245"/>
      <c r="COR245"/>
      <c r="COS245"/>
      <c r="COT245"/>
      <c r="COU245"/>
      <c r="COV245"/>
      <c r="COW245"/>
      <c r="COX245"/>
      <c r="COY245"/>
      <c r="COZ245"/>
      <c r="CPA245"/>
      <c r="CPB245"/>
      <c r="CPC245"/>
      <c r="CPD245"/>
      <c r="CPE245"/>
      <c r="CPF245"/>
      <c r="CPG245"/>
      <c r="CPH245"/>
      <c r="CPI245"/>
      <c r="CPJ245"/>
      <c r="CPK245"/>
      <c r="CPL245"/>
      <c r="CPM245"/>
      <c r="CPN245"/>
      <c r="CPO245"/>
      <c r="CPP245"/>
      <c r="CPQ245"/>
      <c r="CPR245"/>
      <c r="CPS245"/>
      <c r="CPT245"/>
      <c r="CPU245"/>
      <c r="CPV245"/>
      <c r="CPW245"/>
      <c r="CPX245"/>
      <c r="CPY245"/>
      <c r="CPZ245"/>
      <c r="CQA245"/>
      <c r="CQB245"/>
      <c r="CQC245"/>
      <c r="CQD245"/>
      <c r="CQE245"/>
      <c r="CQF245"/>
      <c r="CQG245"/>
      <c r="CQH245"/>
      <c r="CQI245"/>
      <c r="CQJ245"/>
      <c r="CQK245"/>
      <c r="CQL245"/>
      <c r="CQM245"/>
      <c r="CQN245"/>
      <c r="CQO245"/>
      <c r="CQP245"/>
      <c r="CQQ245"/>
      <c r="CQR245"/>
      <c r="CQS245"/>
      <c r="CQT245"/>
      <c r="CQU245"/>
      <c r="CQV245"/>
      <c r="CQW245"/>
      <c r="CQX245"/>
      <c r="CQY245"/>
      <c r="CQZ245"/>
      <c r="CRA245"/>
      <c r="CRB245"/>
      <c r="CRC245"/>
      <c r="CRD245"/>
      <c r="CRE245"/>
      <c r="CRF245"/>
      <c r="CRG245"/>
      <c r="CRH245"/>
      <c r="CRI245"/>
      <c r="CRJ245"/>
      <c r="CRK245"/>
      <c r="CRL245"/>
      <c r="CRM245"/>
      <c r="CRN245"/>
      <c r="CRO245"/>
      <c r="CRP245"/>
      <c r="CRQ245"/>
      <c r="CRR245"/>
      <c r="CRS245"/>
      <c r="CRT245"/>
      <c r="CRU245"/>
      <c r="CRV245"/>
      <c r="CRW245"/>
      <c r="CRX245"/>
      <c r="CRY245"/>
      <c r="CRZ245"/>
      <c r="CSA245"/>
      <c r="CSB245"/>
      <c r="CSC245"/>
      <c r="CSD245"/>
      <c r="CSE245"/>
      <c r="CSF245"/>
      <c r="CSG245"/>
      <c r="CSH245"/>
      <c r="CSI245"/>
      <c r="CSJ245"/>
      <c r="CSK245"/>
      <c r="CSL245"/>
      <c r="CSM245"/>
      <c r="CSN245"/>
      <c r="CSO245"/>
      <c r="CSP245"/>
      <c r="CSQ245"/>
      <c r="CSR245"/>
      <c r="CSS245"/>
      <c r="CST245"/>
      <c r="CSU245"/>
      <c r="CSV245"/>
      <c r="CSW245"/>
      <c r="CSX245"/>
      <c r="CSY245"/>
      <c r="CSZ245"/>
      <c r="CTA245"/>
      <c r="CTB245"/>
      <c r="CTC245"/>
      <c r="CTD245"/>
      <c r="CTE245"/>
      <c r="CTF245"/>
      <c r="CTG245"/>
      <c r="CTH245"/>
      <c r="CTI245"/>
      <c r="CTJ245"/>
      <c r="CTK245"/>
      <c r="CTL245"/>
      <c r="CTM245"/>
      <c r="CTN245"/>
      <c r="CTO245"/>
      <c r="CTP245"/>
      <c r="CTQ245"/>
      <c r="CTR245"/>
      <c r="CTS245"/>
      <c r="CTT245"/>
      <c r="CTU245"/>
      <c r="CTV245"/>
      <c r="CTW245"/>
      <c r="CTX245"/>
      <c r="CTY245"/>
      <c r="CTZ245"/>
      <c r="CUA245"/>
      <c r="CUB245"/>
      <c r="CUC245"/>
      <c r="CUD245"/>
      <c r="CUE245"/>
      <c r="CUF245"/>
      <c r="CUG245"/>
      <c r="CUH245"/>
      <c r="CUI245"/>
      <c r="CUJ245"/>
      <c r="CUK245"/>
      <c r="CUL245"/>
      <c r="CUM245"/>
      <c r="CUN245"/>
      <c r="CUO245"/>
      <c r="CUP245"/>
      <c r="CUQ245"/>
      <c r="CUR245"/>
      <c r="CUS245"/>
      <c r="CUT245"/>
      <c r="CUU245"/>
      <c r="CUV245"/>
      <c r="CUW245"/>
      <c r="CUX245"/>
      <c r="CUY245"/>
      <c r="CUZ245"/>
      <c r="CVA245"/>
      <c r="CVB245"/>
      <c r="CVC245"/>
      <c r="CVD245"/>
      <c r="CVE245"/>
      <c r="CVF245"/>
      <c r="CVG245"/>
      <c r="CVH245"/>
      <c r="CVI245"/>
      <c r="CVJ245"/>
      <c r="CVK245"/>
      <c r="CVL245"/>
      <c r="CVM245"/>
      <c r="CVN245"/>
      <c r="CVO245"/>
      <c r="CVP245"/>
      <c r="CVQ245"/>
      <c r="CVR245"/>
      <c r="CVS245"/>
      <c r="CVT245"/>
      <c r="CVU245"/>
      <c r="CVV245"/>
      <c r="CVW245"/>
      <c r="CVX245"/>
      <c r="CVY245"/>
      <c r="CVZ245"/>
      <c r="CWA245"/>
      <c r="CWB245"/>
      <c r="CWC245"/>
      <c r="CWD245"/>
      <c r="CWE245"/>
      <c r="CWF245"/>
      <c r="CWG245"/>
      <c r="CWH245"/>
      <c r="CWI245"/>
      <c r="CWJ245"/>
      <c r="CWK245"/>
      <c r="CWL245"/>
      <c r="CWM245"/>
      <c r="CWN245"/>
      <c r="CWO245"/>
      <c r="CWP245"/>
      <c r="CWQ245"/>
      <c r="CWR245"/>
      <c r="CWS245"/>
      <c r="CWT245"/>
      <c r="CWU245"/>
      <c r="CWV245"/>
      <c r="CWW245"/>
      <c r="CWX245"/>
      <c r="CWY245"/>
      <c r="CWZ245"/>
      <c r="CXA245"/>
      <c r="CXB245"/>
      <c r="CXC245"/>
      <c r="CXD245"/>
      <c r="CXE245"/>
      <c r="CXF245"/>
      <c r="CXG245"/>
      <c r="CXH245"/>
      <c r="CXI245"/>
      <c r="CXJ245"/>
      <c r="CXK245"/>
      <c r="CXL245"/>
      <c r="CXM245"/>
      <c r="CXN245"/>
      <c r="CXO245"/>
      <c r="CXP245"/>
      <c r="CXQ245"/>
      <c r="CXR245"/>
      <c r="CXS245"/>
      <c r="CXT245"/>
      <c r="CXU245"/>
      <c r="CXV245"/>
      <c r="CXW245"/>
      <c r="CXX245"/>
      <c r="CXY245"/>
      <c r="CXZ245"/>
      <c r="CYA245"/>
      <c r="CYB245"/>
      <c r="CYC245"/>
      <c r="CYD245"/>
      <c r="CYE245"/>
      <c r="CYF245"/>
      <c r="CYG245"/>
      <c r="CYH245"/>
      <c r="CYI245"/>
      <c r="CYJ245"/>
      <c r="CYK245"/>
      <c r="CYL245"/>
      <c r="CYM245"/>
      <c r="CYN245"/>
      <c r="CYO245"/>
      <c r="CYP245"/>
      <c r="CYQ245"/>
      <c r="CYR245"/>
      <c r="CYS245"/>
      <c r="CYT245"/>
      <c r="CYU245"/>
      <c r="CYV245"/>
      <c r="CYW245"/>
      <c r="CYX245"/>
      <c r="CYY245"/>
      <c r="CYZ245"/>
      <c r="CZA245"/>
      <c r="CZB245"/>
      <c r="CZC245"/>
      <c r="CZD245"/>
      <c r="CZE245"/>
      <c r="CZF245"/>
      <c r="CZG245"/>
      <c r="CZH245"/>
      <c r="CZI245"/>
      <c r="CZJ245"/>
      <c r="CZK245"/>
      <c r="CZL245"/>
      <c r="CZM245"/>
      <c r="CZN245"/>
      <c r="CZO245"/>
      <c r="CZP245"/>
      <c r="CZQ245"/>
      <c r="CZR245"/>
      <c r="CZS245"/>
      <c r="CZT245"/>
      <c r="CZU245"/>
      <c r="CZV245"/>
      <c r="CZW245"/>
      <c r="CZX245"/>
      <c r="CZY245"/>
      <c r="CZZ245"/>
      <c r="DAA245"/>
      <c r="DAB245"/>
      <c r="DAC245"/>
      <c r="DAD245"/>
      <c r="DAE245"/>
      <c r="DAF245"/>
      <c r="DAG245"/>
      <c r="DAH245"/>
      <c r="DAI245"/>
      <c r="DAJ245"/>
      <c r="DAK245"/>
      <c r="DAL245"/>
      <c r="DAM245"/>
      <c r="DAN245"/>
      <c r="DAO245"/>
      <c r="DAP245"/>
      <c r="DAQ245"/>
      <c r="DAR245"/>
      <c r="DAS245"/>
      <c r="DAT245"/>
      <c r="DAU245"/>
      <c r="DAV245"/>
      <c r="DAW245"/>
      <c r="DAX245"/>
      <c r="DAY245"/>
      <c r="DAZ245"/>
      <c r="DBA245"/>
      <c r="DBB245"/>
      <c r="DBC245"/>
      <c r="DBD245"/>
      <c r="DBE245"/>
      <c r="DBF245"/>
      <c r="DBG245"/>
      <c r="DBH245"/>
      <c r="DBI245"/>
      <c r="DBJ245"/>
      <c r="DBK245"/>
      <c r="DBL245"/>
      <c r="DBM245"/>
      <c r="DBN245"/>
      <c r="DBO245"/>
      <c r="DBP245"/>
      <c r="DBQ245"/>
      <c r="DBR245"/>
      <c r="DBS245"/>
      <c r="DBT245"/>
      <c r="DBU245"/>
      <c r="DBV245"/>
      <c r="DBW245"/>
      <c r="DBX245"/>
      <c r="DBY245"/>
      <c r="DBZ245"/>
      <c r="DCA245"/>
      <c r="DCB245"/>
      <c r="DCC245"/>
      <c r="DCD245"/>
      <c r="DCE245"/>
      <c r="DCF245"/>
      <c r="DCG245"/>
      <c r="DCH245"/>
      <c r="DCI245"/>
      <c r="DCJ245"/>
      <c r="DCK245"/>
      <c r="DCL245"/>
      <c r="DCM245"/>
      <c r="DCN245"/>
      <c r="DCO245"/>
      <c r="DCP245"/>
      <c r="DCQ245"/>
      <c r="DCR245"/>
      <c r="DCS245"/>
      <c r="DCT245"/>
      <c r="DCU245"/>
      <c r="DCV245"/>
      <c r="DCW245"/>
      <c r="DCX245"/>
      <c r="DCY245"/>
      <c r="DCZ245"/>
      <c r="DDA245"/>
      <c r="DDB245"/>
      <c r="DDC245"/>
      <c r="DDD245"/>
      <c r="DDE245"/>
      <c r="DDF245"/>
      <c r="DDG245"/>
      <c r="DDH245"/>
      <c r="DDI245"/>
      <c r="DDJ245"/>
      <c r="DDK245"/>
      <c r="DDL245"/>
      <c r="DDM245"/>
      <c r="DDN245"/>
      <c r="DDO245"/>
      <c r="DDP245"/>
      <c r="DDQ245"/>
      <c r="DDR245"/>
      <c r="DDS245"/>
      <c r="DDT245"/>
      <c r="DDU245"/>
      <c r="DDV245"/>
      <c r="DDW245"/>
      <c r="DDX245"/>
      <c r="DDY245"/>
      <c r="DDZ245"/>
      <c r="DEA245"/>
      <c r="DEB245"/>
      <c r="DEC245"/>
      <c r="DED245"/>
      <c r="DEE245"/>
      <c r="DEF245"/>
      <c r="DEG245"/>
      <c r="DEH245"/>
      <c r="DEI245"/>
      <c r="DEJ245"/>
      <c r="DEK245"/>
      <c r="DEL245"/>
      <c r="DEM245"/>
      <c r="DEN245"/>
      <c r="DEO245"/>
      <c r="DEP245"/>
      <c r="DEQ245"/>
      <c r="DER245"/>
      <c r="DES245"/>
      <c r="DET245"/>
      <c r="DEU245"/>
      <c r="DEV245"/>
      <c r="DEW245"/>
      <c r="DEX245"/>
      <c r="DEY245"/>
      <c r="DEZ245"/>
      <c r="DFA245"/>
      <c r="DFB245"/>
      <c r="DFC245"/>
      <c r="DFD245"/>
      <c r="DFE245"/>
      <c r="DFF245"/>
      <c r="DFG245"/>
      <c r="DFH245"/>
      <c r="DFI245"/>
      <c r="DFJ245"/>
      <c r="DFK245"/>
      <c r="DFL245"/>
      <c r="DFM245"/>
      <c r="DFN245"/>
      <c r="DFO245"/>
      <c r="DFP245"/>
      <c r="DFQ245"/>
      <c r="DFR245"/>
      <c r="DFS245"/>
      <c r="DFT245"/>
      <c r="DFU245"/>
      <c r="DFV245"/>
      <c r="DFW245"/>
      <c r="DFX245"/>
      <c r="DFY245"/>
      <c r="DFZ245"/>
      <c r="DGA245"/>
      <c r="DGB245"/>
      <c r="DGC245"/>
      <c r="DGD245"/>
      <c r="DGE245"/>
      <c r="DGF245"/>
      <c r="DGG245"/>
      <c r="DGH245"/>
      <c r="DGI245"/>
      <c r="DGJ245"/>
      <c r="DGK245"/>
      <c r="DGL245"/>
      <c r="DGM245"/>
      <c r="DGN245"/>
      <c r="DGO245"/>
      <c r="DGP245"/>
      <c r="DGQ245"/>
      <c r="DGR245"/>
      <c r="DGS245"/>
      <c r="DGT245"/>
      <c r="DGU245"/>
      <c r="DGV245"/>
      <c r="DGW245"/>
      <c r="DGX245"/>
      <c r="DGY245"/>
      <c r="DGZ245"/>
      <c r="DHA245"/>
      <c r="DHB245"/>
      <c r="DHC245"/>
      <c r="DHD245"/>
      <c r="DHE245"/>
      <c r="DHF245"/>
      <c r="DHG245"/>
      <c r="DHH245"/>
      <c r="DHI245"/>
      <c r="DHJ245"/>
      <c r="DHK245"/>
      <c r="DHL245"/>
      <c r="DHM245"/>
      <c r="DHN245"/>
      <c r="DHO245"/>
      <c r="DHP245"/>
      <c r="DHQ245"/>
      <c r="DHR245"/>
      <c r="DHS245"/>
      <c r="DHT245"/>
      <c r="DHU245"/>
      <c r="DHV245"/>
      <c r="DHW245"/>
      <c r="DHX245"/>
      <c r="DHY245"/>
      <c r="DHZ245"/>
      <c r="DIA245"/>
      <c r="DIB245"/>
      <c r="DIC245"/>
      <c r="DID245"/>
      <c r="DIE245"/>
      <c r="DIF245"/>
      <c r="DIG245"/>
      <c r="DIH245"/>
      <c r="DII245"/>
      <c r="DIJ245"/>
      <c r="DIK245"/>
      <c r="DIL245"/>
      <c r="DIM245"/>
      <c r="DIN245"/>
      <c r="DIO245"/>
      <c r="DIP245"/>
      <c r="DIQ245"/>
      <c r="DIR245"/>
      <c r="DIS245"/>
      <c r="DIT245"/>
      <c r="DIU245"/>
      <c r="DIV245"/>
      <c r="DIW245"/>
      <c r="DIX245"/>
      <c r="DIY245"/>
      <c r="DIZ245"/>
      <c r="DJA245"/>
      <c r="DJB245"/>
      <c r="DJC245"/>
      <c r="DJD245"/>
      <c r="DJE245"/>
      <c r="DJF245"/>
      <c r="DJG245"/>
      <c r="DJH245"/>
      <c r="DJI245"/>
      <c r="DJJ245"/>
      <c r="DJK245"/>
      <c r="DJL245"/>
      <c r="DJM245"/>
      <c r="DJN245"/>
      <c r="DJO245"/>
      <c r="DJP245"/>
      <c r="DJQ245"/>
      <c r="DJR245"/>
      <c r="DJS245"/>
      <c r="DJT245"/>
      <c r="DJU245"/>
      <c r="DJV245"/>
      <c r="DJW245"/>
      <c r="DJX245"/>
      <c r="DJY245"/>
      <c r="DJZ245"/>
      <c r="DKA245"/>
      <c r="DKB245"/>
      <c r="DKC245"/>
      <c r="DKD245"/>
      <c r="DKE245"/>
      <c r="DKF245"/>
      <c r="DKG245"/>
      <c r="DKH245"/>
      <c r="DKI245"/>
      <c r="DKJ245"/>
      <c r="DKK245"/>
      <c r="DKL245"/>
      <c r="DKM245"/>
      <c r="DKN245"/>
      <c r="DKO245"/>
      <c r="DKP245"/>
      <c r="DKQ245"/>
      <c r="DKR245"/>
      <c r="DKS245"/>
      <c r="DKT245"/>
      <c r="DKU245"/>
      <c r="DKV245"/>
      <c r="DKW245"/>
      <c r="DKX245"/>
      <c r="DKY245"/>
      <c r="DKZ245"/>
      <c r="DLA245"/>
      <c r="DLB245"/>
      <c r="DLC245"/>
      <c r="DLD245"/>
      <c r="DLE245"/>
      <c r="DLF245"/>
      <c r="DLG245"/>
      <c r="DLH245"/>
      <c r="DLI245"/>
      <c r="DLJ245"/>
      <c r="DLK245"/>
      <c r="DLL245"/>
      <c r="DLM245"/>
      <c r="DLN245"/>
      <c r="DLO245"/>
      <c r="DLP245"/>
      <c r="DLQ245"/>
      <c r="DLR245"/>
      <c r="DLS245"/>
      <c r="DLT245"/>
      <c r="DLU245"/>
      <c r="DLV245"/>
      <c r="DLW245"/>
      <c r="DLX245"/>
      <c r="DLY245"/>
      <c r="DLZ245"/>
      <c r="DMA245"/>
      <c r="DMB245"/>
      <c r="DMC245"/>
      <c r="DMD245"/>
      <c r="DME245"/>
      <c r="DMF245"/>
      <c r="DMG245"/>
      <c r="DMH245"/>
      <c r="DMI245"/>
      <c r="DMJ245"/>
      <c r="DMK245"/>
      <c r="DML245"/>
      <c r="DMM245"/>
      <c r="DMN245"/>
      <c r="DMO245"/>
      <c r="DMP245"/>
      <c r="DMQ245"/>
      <c r="DMR245"/>
      <c r="DMS245"/>
      <c r="DMT245"/>
      <c r="DMU245"/>
      <c r="DMV245"/>
      <c r="DMW245"/>
      <c r="DMX245"/>
      <c r="DMY245"/>
      <c r="DMZ245"/>
      <c r="DNA245"/>
      <c r="DNB245"/>
      <c r="DNC245"/>
      <c r="DND245"/>
      <c r="DNE245"/>
      <c r="DNF245"/>
      <c r="DNG245"/>
      <c r="DNH245"/>
      <c r="DNI245"/>
      <c r="DNJ245"/>
      <c r="DNK245"/>
      <c r="DNL245"/>
      <c r="DNM245"/>
      <c r="DNN245"/>
      <c r="DNO245"/>
      <c r="DNP245"/>
      <c r="DNQ245"/>
      <c r="DNR245"/>
      <c r="DNS245"/>
      <c r="DNT245"/>
      <c r="DNU245"/>
      <c r="DNV245"/>
      <c r="DNW245"/>
      <c r="DNX245"/>
      <c r="DNY245"/>
      <c r="DNZ245"/>
      <c r="DOA245"/>
      <c r="DOB245"/>
      <c r="DOC245"/>
      <c r="DOD245"/>
      <c r="DOE245"/>
      <c r="DOF245"/>
      <c r="DOG245"/>
      <c r="DOH245"/>
      <c r="DOI245"/>
      <c r="DOJ245"/>
      <c r="DOK245"/>
      <c r="DOL245"/>
      <c r="DOM245"/>
      <c r="DON245"/>
      <c r="DOO245"/>
      <c r="DOP245"/>
      <c r="DOQ245"/>
      <c r="DOR245"/>
      <c r="DOS245"/>
      <c r="DOT245"/>
      <c r="DOU245"/>
      <c r="DOV245"/>
      <c r="DOW245"/>
      <c r="DOX245"/>
      <c r="DOY245"/>
      <c r="DOZ245"/>
      <c r="DPA245"/>
      <c r="DPB245"/>
      <c r="DPC245"/>
      <c r="DPD245"/>
      <c r="DPE245"/>
      <c r="DPF245"/>
      <c r="DPG245"/>
      <c r="DPH245"/>
      <c r="DPI245"/>
      <c r="DPJ245"/>
      <c r="DPK245"/>
      <c r="DPL245"/>
      <c r="DPM245"/>
      <c r="DPN245"/>
      <c r="DPO245"/>
      <c r="DPP245"/>
      <c r="DPQ245"/>
      <c r="DPR245"/>
      <c r="DPS245"/>
      <c r="DPT245"/>
      <c r="DPU245"/>
      <c r="DPV245"/>
      <c r="DPW245"/>
      <c r="DPX245"/>
      <c r="DPY245"/>
      <c r="DPZ245"/>
      <c r="DQA245"/>
      <c r="DQB245"/>
      <c r="DQC245"/>
      <c r="DQD245"/>
      <c r="DQE245"/>
      <c r="DQF245"/>
      <c r="DQG245"/>
      <c r="DQH245"/>
      <c r="DQI245"/>
      <c r="DQJ245"/>
      <c r="DQK245"/>
      <c r="DQL245"/>
      <c r="DQM245"/>
      <c r="DQN245"/>
      <c r="DQO245"/>
      <c r="DQP245"/>
      <c r="DQQ245"/>
      <c r="DQR245"/>
      <c r="DQS245"/>
      <c r="DQT245"/>
      <c r="DQU245"/>
      <c r="DQV245"/>
      <c r="DQW245"/>
      <c r="DQX245"/>
      <c r="DQY245"/>
      <c r="DQZ245"/>
      <c r="DRA245"/>
      <c r="DRB245"/>
      <c r="DRC245"/>
      <c r="DRD245"/>
      <c r="DRE245"/>
      <c r="DRF245"/>
      <c r="DRG245"/>
      <c r="DRH245"/>
      <c r="DRI245"/>
      <c r="DRJ245"/>
      <c r="DRK245"/>
      <c r="DRL245"/>
      <c r="DRM245"/>
      <c r="DRN245"/>
      <c r="DRO245"/>
      <c r="DRP245"/>
      <c r="DRQ245"/>
      <c r="DRR245"/>
      <c r="DRS245"/>
      <c r="DRT245"/>
      <c r="DRU245"/>
      <c r="DRV245"/>
      <c r="DRW245"/>
      <c r="DRX245"/>
      <c r="DRY245"/>
      <c r="DRZ245"/>
      <c r="DSA245"/>
      <c r="DSB245"/>
      <c r="DSC245"/>
      <c r="DSD245"/>
      <c r="DSE245"/>
      <c r="DSF245"/>
      <c r="DSG245"/>
      <c r="DSH245"/>
      <c r="DSI245"/>
      <c r="DSJ245"/>
      <c r="DSK245"/>
      <c r="DSL245"/>
      <c r="DSM245"/>
      <c r="DSN245"/>
      <c r="DSO245"/>
      <c r="DSP245"/>
      <c r="DSQ245"/>
      <c r="DSR245"/>
      <c r="DSS245"/>
      <c r="DST245"/>
      <c r="DSU245"/>
      <c r="DSV245"/>
      <c r="DSW245"/>
      <c r="DSX245"/>
      <c r="DSY245"/>
      <c r="DSZ245"/>
      <c r="DTA245"/>
      <c r="DTB245"/>
      <c r="DTC245"/>
      <c r="DTD245"/>
      <c r="DTE245"/>
      <c r="DTF245"/>
      <c r="DTG245"/>
      <c r="DTH245"/>
      <c r="DTI245"/>
      <c r="DTJ245"/>
      <c r="DTK245"/>
      <c r="DTL245"/>
      <c r="DTM245"/>
      <c r="DTN245"/>
      <c r="DTO245"/>
      <c r="DTP245"/>
      <c r="DTQ245"/>
      <c r="DTR245"/>
      <c r="DTS245"/>
      <c r="DTT245"/>
      <c r="DTU245"/>
      <c r="DTV245"/>
      <c r="DTW245"/>
      <c r="DTX245"/>
      <c r="DTY245"/>
      <c r="DTZ245"/>
      <c r="DUA245"/>
      <c r="DUB245"/>
      <c r="DUC245"/>
      <c r="DUD245"/>
      <c r="DUE245"/>
      <c r="DUF245"/>
      <c r="DUG245"/>
      <c r="DUH245"/>
      <c r="DUI245"/>
      <c r="DUJ245"/>
      <c r="DUK245"/>
      <c r="DUL245"/>
      <c r="DUM245"/>
      <c r="DUN245"/>
      <c r="DUO245"/>
      <c r="DUP245"/>
      <c r="DUQ245"/>
      <c r="DUR245"/>
      <c r="DUS245"/>
      <c r="DUT245"/>
      <c r="DUU245"/>
      <c r="DUV245"/>
      <c r="DUW245"/>
      <c r="DUX245"/>
      <c r="DUY245"/>
      <c r="DUZ245"/>
      <c r="DVA245"/>
      <c r="DVB245"/>
      <c r="DVC245"/>
      <c r="DVD245"/>
      <c r="DVE245"/>
      <c r="DVF245"/>
      <c r="DVG245"/>
      <c r="DVH245"/>
      <c r="DVI245"/>
      <c r="DVJ245"/>
      <c r="DVK245"/>
      <c r="DVL245"/>
      <c r="DVM245"/>
      <c r="DVN245"/>
      <c r="DVO245"/>
      <c r="DVP245"/>
      <c r="DVQ245"/>
      <c r="DVR245"/>
      <c r="DVS245"/>
      <c r="DVT245"/>
      <c r="DVU245"/>
      <c r="DVV245"/>
      <c r="DVW245"/>
      <c r="DVX245"/>
      <c r="DVY245"/>
      <c r="DVZ245"/>
      <c r="DWA245"/>
      <c r="DWB245"/>
      <c r="DWC245"/>
      <c r="DWD245"/>
      <c r="DWE245"/>
      <c r="DWF245"/>
      <c r="DWG245"/>
      <c r="DWH245"/>
      <c r="DWI245"/>
      <c r="DWJ245"/>
      <c r="DWK245"/>
      <c r="DWL245"/>
      <c r="DWM245"/>
      <c r="DWN245"/>
      <c r="DWO245"/>
      <c r="DWP245"/>
      <c r="DWQ245"/>
      <c r="DWR245"/>
      <c r="DWS245"/>
      <c r="DWT245"/>
      <c r="DWU245"/>
      <c r="DWV245"/>
      <c r="DWW245"/>
      <c r="DWX245"/>
      <c r="DWY245"/>
      <c r="DWZ245"/>
      <c r="DXA245"/>
      <c r="DXB245"/>
      <c r="DXC245"/>
      <c r="DXD245"/>
      <c r="DXE245"/>
      <c r="DXF245"/>
      <c r="DXG245"/>
      <c r="DXH245"/>
      <c r="DXI245"/>
      <c r="DXJ245"/>
      <c r="DXK245"/>
      <c r="DXL245"/>
      <c r="DXM245"/>
      <c r="DXN245"/>
      <c r="DXO245"/>
      <c r="DXP245"/>
      <c r="DXQ245"/>
      <c r="DXR245"/>
      <c r="DXS245"/>
      <c r="DXT245"/>
      <c r="DXU245"/>
      <c r="DXV245"/>
      <c r="DXW245"/>
      <c r="DXX245"/>
      <c r="DXY245"/>
      <c r="DXZ245"/>
      <c r="DYA245"/>
      <c r="DYB245"/>
      <c r="DYC245"/>
      <c r="DYD245"/>
      <c r="DYE245"/>
      <c r="DYF245"/>
      <c r="DYG245"/>
      <c r="DYH245"/>
      <c r="DYI245"/>
      <c r="DYJ245"/>
      <c r="DYK245"/>
      <c r="DYL245"/>
      <c r="DYM245"/>
      <c r="DYN245"/>
      <c r="DYO245"/>
      <c r="DYP245"/>
      <c r="DYQ245"/>
      <c r="DYR245"/>
      <c r="DYS245"/>
      <c r="DYT245"/>
      <c r="DYU245"/>
      <c r="DYV245"/>
      <c r="DYW245"/>
      <c r="DYX245"/>
      <c r="DYY245"/>
      <c r="DYZ245"/>
      <c r="DZA245"/>
      <c r="DZB245"/>
      <c r="DZC245"/>
      <c r="DZD245"/>
      <c r="DZE245"/>
      <c r="DZF245"/>
      <c r="DZG245"/>
      <c r="DZH245"/>
      <c r="DZI245"/>
      <c r="DZJ245"/>
      <c r="DZK245"/>
      <c r="DZL245"/>
      <c r="DZM245"/>
      <c r="DZN245"/>
      <c r="DZO245"/>
      <c r="DZP245"/>
      <c r="DZQ245"/>
      <c r="DZR245"/>
      <c r="DZS245"/>
      <c r="DZT245"/>
      <c r="DZU245"/>
      <c r="DZV245"/>
      <c r="DZW245"/>
      <c r="DZX245"/>
      <c r="DZY245"/>
      <c r="DZZ245"/>
      <c r="EAA245"/>
      <c r="EAB245"/>
      <c r="EAC245"/>
      <c r="EAD245"/>
      <c r="EAE245"/>
      <c r="EAF245"/>
      <c r="EAG245"/>
      <c r="EAH245"/>
      <c r="EAI245"/>
      <c r="EAJ245"/>
      <c r="EAK245"/>
      <c r="EAL245"/>
      <c r="EAM245"/>
      <c r="EAN245"/>
      <c r="EAO245"/>
      <c r="EAP245"/>
      <c r="EAQ245"/>
      <c r="EAR245"/>
      <c r="EAS245"/>
      <c r="EAT245"/>
      <c r="EAU245"/>
      <c r="EAV245"/>
      <c r="EAW245"/>
      <c r="EAX245"/>
      <c r="EAY245"/>
      <c r="EAZ245"/>
      <c r="EBA245"/>
      <c r="EBB245"/>
      <c r="EBC245"/>
      <c r="EBD245"/>
      <c r="EBE245"/>
      <c r="EBF245"/>
      <c r="EBG245"/>
      <c r="EBH245"/>
      <c r="EBI245"/>
      <c r="EBJ245"/>
      <c r="EBK245"/>
      <c r="EBL245"/>
      <c r="EBM245"/>
      <c r="EBN245"/>
      <c r="EBO245"/>
      <c r="EBP245"/>
      <c r="EBQ245"/>
      <c r="EBR245"/>
      <c r="EBS245"/>
      <c r="EBT245"/>
      <c r="EBU245"/>
      <c r="EBV245"/>
      <c r="EBW245"/>
      <c r="EBX245"/>
      <c r="EBY245"/>
      <c r="EBZ245"/>
      <c r="ECA245"/>
      <c r="ECB245"/>
      <c r="ECC245"/>
      <c r="ECD245"/>
      <c r="ECE245"/>
      <c r="ECF245"/>
      <c r="ECG245"/>
      <c r="ECH245"/>
      <c r="ECI245"/>
      <c r="ECJ245"/>
      <c r="ECK245"/>
      <c r="ECL245"/>
      <c r="ECM245"/>
      <c r="ECN245"/>
      <c r="ECO245"/>
      <c r="ECP245"/>
      <c r="ECQ245"/>
      <c r="ECR245"/>
      <c r="ECS245"/>
      <c r="ECT245"/>
      <c r="ECU245"/>
      <c r="ECV245"/>
      <c r="ECW245"/>
      <c r="ECX245"/>
      <c r="ECY245"/>
      <c r="ECZ245"/>
      <c r="EDA245"/>
      <c r="EDB245"/>
      <c r="EDC245"/>
      <c r="EDD245"/>
      <c r="EDE245"/>
      <c r="EDF245"/>
      <c r="EDG245"/>
      <c r="EDH245"/>
      <c r="EDI245"/>
      <c r="EDJ245"/>
      <c r="EDK245"/>
      <c r="EDL245"/>
      <c r="EDM245"/>
      <c r="EDN245"/>
      <c r="EDO245"/>
      <c r="EDP245"/>
      <c r="EDQ245"/>
      <c r="EDR245"/>
      <c r="EDS245"/>
      <c r="EDT245"/>
      <c r="EDU245"/>
      <c r="EDV245"/>
      <c r="EDW245"/>
      <c r="EDX245"/>
      <c r="EDY245"/>
      <c r="EDZ245"/>
      <c r="EEA245"/>
      <c r="EEB245"/>
      <c r="EEC245"/>
      <c r="EED245"/>
      <c r="EEE245"/>
      <c r="EEF245"/>
      <c r="EEG245"/>
      <c r="EEH245"/>
      <c r="EEI245"/>
      <c r="EEJ245"/>
      <c r="EEK245"/>
      <c r="EEL245"/>
      <c r="EEM245"/>
      <c r="EEN245"/>
      <c r="EEO245"/>
      <c r="EEP245"/>
      <c r="EEQ245"/>
      <c r="EER245"/>
      <c r="EES245"/>
      <c r="EET245"/>
      <c r="EEU245"/>
      <c r="EEV245"/>
      <c r="EEW245"/>
      <c r="EEX245"/>
      <c r="EEY245"/>
      <c r="EEZ245"/>
      <c r="EFA245"/>
      <c r="EFB245"/>
      <c r="EFC245"/>
      <c r="EFD245"/>
      <c r="EFE245"/>
      <c r="EFF245"/>
      <c r="EFG245"/>
      <c r="EFH245"/>
      <c r="EFI245"/>
      <c r="EFJ245"/>
      <c r="EFK245"/>
      <c r="EFL245"/>
      <c r="EFM245"/>
      <c r="EFN245"/>
      <c r="EFO245"/>
      <c r="EFP245"/>
      <c r="EFQ245"/>
      <c r="EFR245"/>
      <c r="EFS245"/>
      <c r="EFT245"/>
      <c r="EFU245"/>
      <c r="EFV245"/>
      <c r="EFW245"/>
      <c r="EFX245"/>
      <c r="EFY245"/>
      <c r="EFZ245"/>
      <c r="EGA245"/>
      <c r="EGB245"/>
      <c r="EGC245"/>
      <c r="EGD245"/>
      <c r="EGE245"/>
      <c r="EGF245"/>
      <c r="EGG245"/>
      <c r="EGH245"/>
      <c r="EGI245"/>
      <c r="EGJ245"/>
      <c r="EGK245"/>
      <c r="EGL245"/>
      <c r="EGM245"/>
      <c r="EGN245"/>
      <c r="EGO245"/>
      <c r="EGP245"/>
      <c r="EGQ245"/>
      <c r="EGR245"/>
      <c r="EGS245"/>
      <c r="EGT245"/>
      <c r="EGU245"/>
      <c r="EGV245"/>
      <c r="EGW245"/>
      <c r="EGX245"/>
      <c r="EGY245"/>
      <c r="EGZ245"/>
      <c r="EHA245"/>
      <c r="EHB245"/>
      <c r="EHC245"/>
      <c r="EHD245"/>
      <c r="EHE245"/>
      <c r="EHF245"/>
      <c r="EHG245"/>
      <c r="EHH245"/>
      <c r="EHI245"/>
      <c r="EHJ245"/>
      <c r="EHK245"/>
      <c r="EHL245"/>
      <c r="EHM245"/>
      <c r="EHN245"/>
      <c r="EHO245"/>
      <c r="EHP245"/>
      <c r="EHQ245"/>
      <c r="EHR245"/>
      <c r="EHS245"/>
      <c r="EHT245"/>
      <c r="EHU245"/>
      <c r="EHV245"/>
      <c r="EHW245"/>
      <c r="EHX245"/>
      <c r="EHY245"/>
      <c r="EHZ245"/>
      <c r="EIA245"/>
      <c r="EIB245"/>
      <c r="EIC245"/>
      <c r="EID245"/>
      <c r="EIE245"/>
      <c r="EIF245"/>
      <c r="EIG245"/>
      <c r="EIH245"/>
      <c r="EII245"/>
      <c r="EIJ245"/>
      <c r="EIK245"/>
      <c r="EIL245"/>
      <c r="EIM245"/>
      <c r="EIN245"/>
      <c r="EIO245"/>
      <c r="EIP245"/>
      <c r="EIQ245"/>
      <c r="EIR245"/>
      <c r="EIS245"/>
      <c r="EIT245"/>
      <c r="EIU245"/>
      <c r="EIV245"/>
      <c r="EIW245"/>
      <c r="EIX245"/>
      <c r="EIY245"/>
      <c r="EIZ245"/>
      <c r="EJA245"/>
      <c r="EJB245"/>
      <c r="EJC245"/>
      <c r="EJD245"/>
      <c r="EJE245"/>
      <c r="EJF245"/>
      <c r="EJG245"/>
      <c r="EJH245"/>
      <c r="EJI245"/>
      <c r="EJJ245"/>
      <c r="EJK245"/>
      <c r="EJL245"/>
      <c r="EJM245"/>
      <c r="EJN245"/>
      <c r="EJO245"/>
      <c r="EJP245"/>
      <c r="EJQ245"/>
      <c r="EJR245"/>
      <c r="EJS245"/>
      <c r="EJT245"/>
      <c r="EJU245"/>
      <c r="EJV245"/>
      <c r="EJW245"/>
      <c r="EJX245"/>
      <c r="EJY245"/>
      <c r="EJZ245"/>
      <c r="EKA245"/>
      <c r="EKB245"/>
      <c r="EKC245"/>
      <c r="EKD245"/>
      <c r="EKE245"/>
      <c r="EKF245"/>
      <c r="EKG245"/>
      <c r="EKH245"/>
      <c r="EKI245"/>
      <c r="EKJ245"/>
      <c r="EKK245"/>
      <c r="EKL245"/>
      <c r="EKM245"/>
      <c r="EKN245"/>
      <c r="EKO245"/>
      <c r="EKP245"/>
      <c r="EKQ245"/>
      <c r="EKR245"/>
      <c r="EKS245"/>
      <c r="EKT245"/>
      <c r="EKU245"/>
      <c r="EKV245"/>
      <c r="EKW245"/>
      <c r="EKX245"/>
      <c r="EKY245"/>
      <c r="EKZ245"/>
      <c r="ELA245"/>
      <c r="ELB245"/>
      <c r="ELC245"/>
      <c r="ELD245"/>
      <c r="ELE245"/>
      <c r="ELF245"/>
      <c r="ELG245"/>
      <c r="ELH245"/>
      <c r="ELI245"/>
      <c r="ELJ245"/>
      <c r="ELK245"/>
      <c r="ELL245"/>
      <c r="ELM245"/>
      <c r="ELN245"/>
      <c r="ELO245"/>
      <c r="ELP245"/>
      <c r="ELQ245"/>
      <c r="ELR245"/>
      <c r="ELS245"/>
      <c r="ELT245"/>
      <c r="ELU245"/>
      <c r="ELV245"/>
      <c r="ELW245"/>
      <c r="ELX245"/>
      <c r="ELY245"/>
      <c r="ELZ245"/>
      <c r="EMA245"/>
      <c r="EMB245"/>
      <c r="EMC245"/>
      <c r="EMD245"/>
      <c r="EME245"/>
      <c r="EMF245"/>
      <c r="EMG245"/>
      <c r="EMH245"/>
      <c r="EMI245"/>
      <c r="EMJ245"/>
      <c r="EMK245"/>
      <c r="EML245"/>
      <c r="EMM245"/>
      <c r="EMN245"/>
      <c r="EMO245"/>
      <c r="EMP245"/>
      <c r="EMQ245"/>
      <c r="EMR245"/>
      <c r="EMS245"/>
      <c r="EMT245"/>
      <c r="EMU245"/>
      <c r="EMV245"/>
      <c r="EMW245"/>
      <c r="EMX245"/>
      <c r="EMY245"/>
      <c r="EMZ245"/>
      <c r="ENA245"/>
      <c r="ENB245"/>
      <c r="ENC245"/>
      <c r="END245"/>
      <c r="ENE245"/>
      <c r="ENF245"/>
      <c r="ENG245"/>
      <c r="ENH245"/>
      <c r="ENI245"/>
      <c r="ENJ245"/>
      <c r="ENK245"/>
      <c r="ENL245"/>
      <c r="ENM245"/>
      <c r="ENN245"/>
      <c r="ENO245"/>
      <c r="ENP245"/>
      <c r="ENQ245"/>
      <c r="ENR245"/>
      <c r="ENS245"/>
      <c r="ENT245"/>
      <c r="ENU245"/>
      <c r="ENV245"/>
      <c r="ENW245"/>
      <c r="ENX245"/>
      <c r="ENY245"/>
      <c r="ENZ245"/>
      <c r="EOA245"/>
      <c r="EOB245"/>
      <c r="EOC245"/>
      <c r="EOD245"/>
      <c r="EOE245"/>
      <c r="EOF245"/>
      <c r="EOG245"/>
      <c r="EOH245"/>
      <c r="EOI245"/>
      <c r="EOJ245"/>
      <c r="EOK245"/>
      <c r="EOL245"/>
      <c r="EOM245"/>
      <c r="EON245"/>
      <c r="EOO245"/>
      <c r="EOP245"/>
      <c r="EOQ245"/>
      <c r="EOR245"/>
      <c r="EOS245"/>
      <c r="EOT245"/>
      <c r="EOU245"/>
      <c r="EOV245"/>
      <c r="EOW245"/>
      <c r="EOX245"/>
      <c r="EOY245"/>
      <c r="EOZ245"/>
      <c r="EPA245"/>
      <c r="EPB245"/>
      <c r="EPC245"/>
      <c r="EPD245"/>
      <c r="EPE245"/>
      <c r="EPF245"/>
      <c r="EPG245"/>
      <c r="EPH245"/>
      <c r="EPI245"/>
      <c r="EPJ245"/>
      <c r="EPK245"/>
      <c r="EPL245"/>
      <c r="EPM245"/>
      <c r="EPN245"/>
      <c r="EPO245"/>
      <c r="EPP245"/>
      <c r="EPQ245"/>
      <c r="EPR245"/>
      <c r="EPS245"/>
      <c r="EPT245"/>
      <c r="EPU245"/>
      <c r="EPV245"/>
      <c r="EPW245"/>
      <c r="EPX245"/>
      <c r="EPY245"/>
      <c r="EPZ245"/>
      <c r="EQA245"/>
      <c r="EQB245"/>
      <c r="EQC245"/>
      <c r="EQD245"/>
      <c r="EQE245"/>
      <c r="EQF245"/>
      <c r="EQG245"/>
      <c r="EQH245"/>
      <c r="EQI245"/>
      <c r="EQJ245"/>
      <c r="EQK245"/>
      <c r="EQL245"/>
      <c r="EQM245"/>
      <c r="EQN245"/>
      <c r="EQO245"/>
      <c r="EQP245"/>
      <c r="EQQ245"/>
      <c r="EQR245"/>
      <c r="EQS245"/>
      <c r="EQT245"/>
      <c r="EQU245"/>
      <c r="EQV245"/>
      <c r="EQW245"/>
      <c r="EQX245"/>
      <c r="EQY245"/>
      <c r="EQZ245"/>
      <c r="ERA245"/>
      <c r="ERB245"/>
      <c r="ERC245"/>
      <c r="ERD245"/>
      <c r="ERE245"/>
      <c r="ERF245"/>
      <c r="ERG245"/>
      <c r="ERH245"/>
      <c r="ERI245"/>
      <c r="ERJ245"/>
      <c r="ERK245"/>
      <c r="ERL245"/>
      <c r="ERM245"/>
      <c r="ERN245"/>
      <c r="ERO245"/>
      <c r="ERP245"/>
      <c r="ERQ245"/>
      <c r="ERR245"/>
      <c r="ERS245"/>
      <c r="ERT245"/>
      <c r="ERU245"/>
      <c r="ERV245"/>
      <c r="ERW245"/>
      <c r="ERX245"/>
      <c r="ERY245"/>
      <c r="ERZ245"/>
      <c r="ESA245"/>
      <c r="ESB245"/>
      <c r="ESC245"/>
      <c r="ESD245"/>
      <c r="ESE245"/>
      <c r="ESF245"/>
      <c r="ESG245"/>
      <c r="ESH245"/>
      <c r="ESI245"/>
      <c r="ESJ245"/>
      <c r="ESK245"/>
      <c r="ESL245"/>
      <c r="ESM245"/>
      <c r="ESN245"/>
      <c r="ESO245"/>
      <c r="ESP245"/>
      <c r="ESQ245"/>
      <c r="ESR245"/>
      <c r="ESS245"/>
      <c r="EST245"/>
      <c r="ESU245"/>
      <c r="ESV245"/>
      <c r="ESW245"/>
      <c r="ESX245"/>
      <c r="ESY245"/>
      <c r="ESZ245"/>
      <c r="ETA245"/>
      <c r="ETB245"/>
      <c r="ETC245"/>
      <c r="ETD245"/>
      <c r="ETE245"/>
      <c r="ETF245"/>
      <c r="ETG245"/>
      <c r="ETH245"/>
      <c r="ETI245"/>
      <c r="ETJ245"/>
      <c r="ETK245"/>
      <c r="ETL245"/>
      <c r="ETM245"/>
      <c r="ETN245"/>
      <c r="ETO245"/>
      <c r="ETP245"/>
      <c r="ETQ245"/>
      <c r="ETR245"/>
      <c r="ETS245"/>
      <c r="ETT245"/>
      <c r="ETU245"/>
      <c r="ETV245"/>
      <c r="ETW245"/>
      <c r="ETX245"/>
      <c r="ETY245"/>
      <c r="ETZ245"/>
      <c r="EUA245"/>
      <c r="EUB245"/>
      <c r="EUC245"/>
      <c r="EUD245"/>
      <c r="EUE245"/>
      <c r="EUF245"/>
      <c r="EUG245"/>
      <c r="EUH245"/>
      <c r="EUI245"/>
      <c r="EUJ245"/>
      <c r="EUK245"/>
      <c r="EUL245"/>
      <c r="EUM245"/>
      <c r="EUN245"/>
      <c r="EUO245"/>
      <c r="EUP245"/>
      <c r="EUQ245"/>
      <c r="EUR245"/>
      <c r="EUS245"/>
      <c r="EUT245"/>
      <c r="EUU245"/>
      <c r="EUV245"/>
      <c r="EUW245"/>
      <c r="EUX245"/>
      <c r="EUY245"/>
      <c r="EUZ245"/>
      <c r="EVA245"/>
      <c r="EVB245"/>
      <c r="EVC245"/>
      <c r="EVD245"/>
      <c r="EVE245"/>
      <c r="EVF245"/>
      <c r="EVG245"/>
      <c r="EVH245"/>
      <c r="EVI245"/>
      <c r="EVJ245"/>
      <c r="EVK245"/>
      <c r="EVL245"/>
      <c r="EVM245"/>
      <c r="EVN245"/>
      <c r="EVO245"/>
      <c r="EVP245"/>
      <c r="EVQ245"/>
      <c r="EVR245"/>
      <c r="EVS245"/>
      <c r="EVT245"/>
      <c r="EVU245"/>
      <c r="EVV245"/>
      <c r="EVW245"/>
      <c r="EVX245"/>
      <c r="EVY245"/>
      <c r="EVZ245"/>
      <c r="EWA245"/>
      <c r="EWB245"/>
      <c r="EWC245"/>
      <c r="EWD245"/>
      <c r="EWE245"/>
      <c r="EWF245"/>
      <c r="EWG245"/>
      <c r="EWH245"/>
      <c r="EWI245"/>
      <c r="EWJ245"/>
      <c r="EWK245"/>
      <c r="EWL245"/>
      <c r="EWM245"/>
      <c r="EWN245"/>
      <c r="EWO245"/>
      <c r="EWP245"/>
      <c r="EWQ245"/>
      <c r="EWR245"/>
      <c r="EWS245"/>
      <c r="EWT245"/>
      <c r="EWU245"/>
      <c r="EWV245"/>
      <c r="EWW245"/>
      <c r="EWX245"/>
      <c r="EWY245"/>
      <c r="EWZ245"/>
      <c r="EXA245"/>
      <c r="EXB245"/>
      <c r="EXC245"/>
      <c r="EXD245"/>
      <c r="EXE245"/>
      <c r="EXF245"/>
      <c r="EXG245"/>
      <c r="EXH245"/>
      <c r="EXI245"/>
      <c r="EXJ245"/>
      <c r="EXK245"/>
      <c r="EXL245"/>
      <c r="EXM245"/>
      <c r="EXN245"/>
      <c r="EXO245"/>
      <c r="EXP245"/>
      <c r="EXQ245"/>
      <c r="EXR245"/>
      <c r="EXS245"/>
      <c r="EXT245"/>
      <c r="EXU245"/>
      <c r="EXV245"/>
      <c r="EXW245"/>
      <c r="EXX245"/>
      <c r="EXY245"/>
      <c r="EXZ245"/>
      <c r="EYA245"/>
      <c r="EYB245"/>
      <c r="EYC245"/>
      <c r="EYD245"/>
      <c r="EYE245"/>
      <c r="EYF245"/>
      <c r="EYG245"/>
      <c r="EYH245"/>
      <c r="EYI245"/>
      <c r="EYJ245"/>
      <c r="EYK245"/>
      <c r="EYL245"/>
      <c r="EYM245"/>
      <c r="EYN245"/>
      <c r="EYO245"/>
      <c r="EYP245"/>
      <c r="EYQ245"/>
      <c r="EYR245"/>
      <c r="EYS245"/>
      <c r="EYT245"/>
      <c r="EYU245"/>
      <c r="EYV245"/>
      <c r="EYW245"/>
      <c r="EYX245"/>
      <c r="EYY245"/>
      <c r="EYZ245"/>
      <c r="EZA245"/>
      <c r="EZB245"/>
      <c r="EZC245"/>
      <c r="EZD245"/>
      <c r="EZE245"/>
      <c r="EZF245"/>
      <c r="EZG245"/>
      <c r="EZH245"/>
      <c r="EZI245"/>
      <c r="EZJ245"/>
      <c r="EZK245"/>
      <c r="EZL245"/>
      <c r="EZM245"/>
      <c r="EZN245"/>
      <c r="EZO245"/>
      <c r="EZP245"/>
      <c r="EZQ245"/>
      <c r="EZR245"/>
      <c r="EZS245"/>
      <c r="EZT245"/>
      <c r="EZU245"/>
      <c r="EZV245"/>
      <c r="EZW245"/>
      <c r="EZX245"/>
      <c r="EZY245"/>
      <c r="EZZ245"/>
      <c r="FAA245"/>
      <c r="FAB245"/>
      <c r="FAC245"/>
      <c r="FAD245"/>
      <c r="FAE245"/>
      <c r="FAF245"/>
      <c r="FAG245"/>
      <c r="FAH245"/>
      <c r="FAI245"/>
      <c r="FAJ245"/>
      <c r="FAK245"/>
      <c r="FAL245"/>
      <c r="FAM245"/>
      <c r="FAN245"/>
      <c r="FAO245"/>
      <c r="FAP245"/>
      <c r="FAQ245"/>
      <c r="FAR245"/>
      <c r="FAS245"/>
      <c r="FAT245"/>
      <c r="FAU245"/>
      <c r="FAV245"/>
      <c r="FAW245"/>
      <c r="FAX245"/>
      <c r="FAY245"/>
      <c r="FAZ245"/>
      <c r="FBA245"/>
      <c r="FBB245"/>
      <c r="FBC245"/>
      <c r="FBD245"/>
      <c r="FBE245"/>
      <c r="FBF245"/>
      <c r="FBG245"/>
      <c r="FBH245"/>
      <c r="FBI245"/>
      <c r="FBJ245"/>
      <c r="FBK245"/>
      <c r="FBL245"/>
      <c r="FBM245"/>
      <c r="FBN245"/>
      <c r="FBO245"/>
      <c r="FBP245"/>
      <c r="FBQ245"/>
      <c r="FBR245"/>
      <c r="FBS245"/>
      <c r="FBT245"/>
      <c r="FBU245"/>
      <c r="FBV245"/>
      <c r="FBW245"/>
      <c r="FBX245"/>
      <c r="FBY245"/>
      <c r="FBZ245"/>
      <c r="FCA245"/>
      <c r="FCB245"/>
      <c r="FCC245"/>
      <c r="FCD245"/>
      <c r="FCE245"/>
      <c r="FCF245"/>
      <c r="FCG245"/>
      <c r="FCH245"/>
      <c r="FCI245"/>
      <c r="FCJ245"/>
      <c r="FCK245"/>
      <c r="FCL245"/>
      <c r="FCM245"/>
      <c r="FCN245"/>
      <c r="FCO245"/>
      <c r="FCP245"/>
      <c r="FCQ245"/>
      <c r="FCR245"/>
      <c r="FCS245"/>
      <c r="FCT245"/>
      <c r="FCU245"/>
      <c r="FCV245"/>
      <c r="FCW245"/>
      <c r="FCX245"/>
      <c r="FCY245"/>
      <c r="FCZ245"/>
      <c r="FDA245"/>
      <c r="FDB245"/>
      <c r="FDC245"/>
      <c r="FDD245"/>
      <c r="FDE245"/>
      <c r="FDF245"/>
      <c r="FDG245"/>
      <c r="FDH245"/>
      <c r="FDI245"/>
      <c r="FDJ245"/>
      <c r="FDK245"/>
      <c r="FDL245"/>
      <c r="FDM245"/>
      <c r="FDN245"/>
      <c r="FDO245"/>
      <c r="FDP245"/>
      <c r="FDQ245"/>
      <c r="FDR245"/>
      <c r="FDS245"/>
      <c r="FDT245"/>
      <c r="FDU245"/>
      <c r="FDV245"/>
      <c r="FDW245"/>
      <c r="FDX245"/>
      <c r="FDY245"/>
      <c r="FDZ245"/>
      <c r="FEA245"/>
      <c r="FEB245"/>
      <c r="FEC245"/>
      <c r="FED245"/>
      <c r="FEE245"/>
      <c r="FEF245"/>
      <c r="FEG245"/>
      <c r="FEH245"/>
      <c r="FEI245"/>
      <c r="FEJ245"/>
      <c r="FEK245"/>
      <c r="FEL245"/>
      <c r="FEM245"/>
      <c r="FEN245"/>
      <c r="FEO245"/>
      <c r="FEP245"/>
      <c r="FEQ245"/>
      <c r="FER245"/>
      <c r="FES245"/>
      <c r="FET245"/>
      <c r="FEU245"/>
      <c r="FEV245"/>
      <c r="FEW245"/>
      <c r="FEX245"/>
      <c r="FEY245"/>
      <c r="FEZ245"/>
      <c r="FFA245"/>
      <c r="FFB245"/>
      <c r="FFC245"/>
      <c r="FFD245"/>
      <c r="FFE245"/>
      <c r="FFF245"/>
      <c r="FFG245"/>
      <c r="FFH245"/>
      <c r="FFI245"/>
      <c r="FFJ245"/>
      <c r="FFK245"/>
      <c r="FFL245"/>
      <c r="FFM245"/>
      <c r="FFN245"/>
      <c r="FFO245"/>
      <c r="FFP245"/>
      <c r="FFQ245"/>
      <c r="FFR245"/>
      <c r="FFS245"/>
      <c r="FFT245"/>
      <c r="FFU245"/>
      <c r="FFV245"/>
      <c r="FFW245"/>
      <c r="FFX245"/>
      <c r="FFY245"/>
      <c r="FFZ245"/>
      <c r="FGA245"/>
      <c r="FGB245"/>
      <c r="FGC245"/>
      <c r="FGD245"/>
      <c r="FGE245"/>
      <c r="FGF245"/>
      <c r="FGG245"/>
      <c r="FGH245"/>
      <c r="FGI245"/>
      <c r="FGJ245"/>
      <c r="FGK245"/>
      <c r="FGL245"/>
      <c r="FGM245"/>
      <c r="FGN245"/>
      <c r="FGO245"/>
      <c r="FGP245"/>
      <c r="FGQ245"/>
      <c r="FGR245"/>
      <c r="FGS245"/>
      <c r="FGT245"/>
      <c r="FGU245"/>
      <c r="FGV245"/>
      <c r="FGW245"/>
      <c r="FGX245"/>
      <c r="FGY245"/>
      <c r="FGZ245"/>
      <c r="FHA245"/>
      <c r="FHB245"/>
      <c r="FHC245"/>
      <c r="FHD245"/>
      <c r="FHE245"/>
      <c r="FHF245"/>
      <c r="FHG245"/>
      <c r="FHH245"/>
      <c r="FHI245"/>
      <c r="FHJ245"/>
      <c r="FHK245"/>
      <c r="FHL245"/>
      <c r="FHM245"/>
      <c r="FHN245"/>
      <c r="FHO245"/>
      <c r="FHP245"/>
      <c r="FHQ245"/>
      <c r="FHR245"/>
      <c r="FHS245"/>
      <c r="FHT245"/>
      <c r="FHU245"/>
      <c r="FHV245"/>
      <c r="FHW245"/>
      <c r="FHX245"/>
      <c r="FHY245"/>
      <c r="FHZ245"/>
      <c r="FIA245"/>
      <c r="FIB245"/>
      <c r="FIC245"/>
      <c r="FID245"/>
      <c r="FIE245"/>
      <c r="FIF245"/>
      <c r="FIG245"/>
      <c r="FIH245"/>
      <c r="FII245"/>
      <c r="FIJ245"/>
      <c r="FIK245"/>
      <c r="FIL245"/>
      <c r="FIM245"/>
      <c r="FIN245"/>
      <c r="FIO245"/>
      <c r="FIP245"/>
      <c r="FIQ245"/>
      <c r="FIR245"/>
      <c r="FIS245"/>
      <c r="FIT245"/>
      <c r="FIU245"/>
      <c r="FIV245"/>
      <c r="FIW245"/>
      <c r="FIX245"/>
      <c r="FIY245"/>
      <c r="FIZ245"/>
      <c r="FJA245"/>
      <c r="FJB245"/>
      <c r="FJC245"/>
      <c r="FJD245"/>
      <c r="FJE245"/>
      <c r="FJF245"/>
      <c r="FJG245"/>
      <c r="FJH245"/>
      <c r="FJI245"/>
      <c r="FJJ245"/>
      <c r="FJK245"/>
      <c r="FJL245"/>
      <c r="FJM245"/>
      <c r="FJN245"/>
      <c r="FJO245"/>
      <c r="FJP245"/>
      <c r="FJQ245"/>
      <c r="FJR245"/>
      <c r="FJS245"/>
      <c r="FJT245"/>
      <c r="FJU245"/>
      <c r="FJV245"/>
      <c r="FJW245"/>
      <c r="FJX245"/>
      <c r="FJY245"/>
      <c r="FJZ245"/>
      <c r="FKA245"/>
      <c r="FKB245"/>
      <c r="FKC245"/>
      <c r="FKD245"/>
      <c r="FKE245"/>
      <c r="FKF245"/>
      <c r="FKG245"/>
      <c r="FKH245"/>
      <c r="FKI245"/>
      <c r="FKJ245"/>
      <c r="FKK245"/>
      <c r="FKL245"/>
      <c r="FKM245"/>
      <c r="FKN245"/>
      <c r="FKO245"/>
      <c r="FKP245"/>
      <c r="FKQ245"/>
      <c r="FKR245"/>
      <c r="FKS245"/>
      <c r="FKT245"/>
      <c r="FKU245"/>
      <c r="FKV245"/>
      <c r="FKW245"/>
      <c r="FKX245"/>
      <c r="FKY245"/>
      <c r="FKZ245"/>
      <c r="FLA245"/>
      <c r="FLB245"/>
      <c r="FLC245"/>
      <c r="FLD245"/>
      <c r="FLE245"/>
      <c r="FLF245"/>
      <c r="FLG245"/>
      <c r="FLH245"/>
      <c r="FLI245"/>
      <c r="FLJ245"/>
      <c r="FLK245"/>
      <c r="FLL245"/>
      <c r="FLM245"/>
      <c r="FLN245"/>
      <c r="FLO245"/>
      <c r="FLP245"/>
      <c r="FLQ245"/>
      <c r="FLR245"/>
      <c r="FLS245"/>
      <c r="FLT245"/>
      <c r="FLU245"/>
      <c r="FLV245"/>
      <c r="FLW245"/>
      <c r="FLX245"/>
      <c r="FLY245"/>
      <c r="FLZ245"/>
      <c r="FMA245"/>
      <c r="FMB245"/>
      <c r="FMC245"/>
      <c r="FMD245"/>
      <c r="FME245"/>
      <c r="FMF245"/>
      <c r="FMG245"/>
      <c r="FMH245"/>
      <c r="FMI245"/>
      <c r="FMJ245"/>
      <c r="FMK245"/>
      <c r="FML245"/>
      <c r="FMM245"/>
      <c r="FMN245"/>
      <c r="FMO245"/>
      <c r="FMP245"/>
      <c r="FMQ245"/>
      <c r="FMR245"/>
      <c r="FMS245"/>
      <c r="FMT245"/>
      <c r="FMU245"/>
      <c r="FMV245"/>
      <c r="FMW245"/>
      <c r="FMX245"/>
      <c r="FMY245"/>
      <c r="FMZ245"/>
      <c r="FNA245"/>
      <c r="FNB245"/>
      <c r="FNC245"/>
      <c r="FND245"/>
      <c r="FNE245"/>
      <c r="FNF245"/>
      <c r="FNG245"/>
      <c r="FNH245"/>
      <c r="FNI245"/>
      <c r="FNJ245"/>
      <c r="FNK245"/>
      <c r="FNL245"/>
      <c r="FNM245"/>
      <c r="FNN245"/>
      <c r="FNO245"/>
      <c r="FNP245"/>
      <c r="FNQ245"/>
      <c r="FNR245"/>
      <c r="FNS245"/>
      <c r="FNT245"/>
      <c r="FNU245"/>
      <c r="FNV245"/>
      <c r="FNW245"/>
      <c r="FNX245"/>
      <c r="FNY245"/>
      <c r="FNZ245"/>
      <c r="FOA245"/>
      <c r="FOB245"/>
      <c r="FOC245"/>
      <c r="FOD245"/>
      <c r="FOE245"/>
      <c r="FOF245"/>
      <c r="FOG245"/>
      <c r="FOH245"/>
      <c r="FOI245"/>
      <c r="FOJ245"/>
      <c r="FOK245"/>
      <c r="FOL245"/>
      <c r="FOM245"/>
      <c r="FON245"/>
      <c r="FOO245"/>
      <c r="FOP245"/>
      <c r="FOQ245"/>
      <c r="FOR245"/>
      <c r="FOS245"/>
      <c r="FOT245"/>
      <c r="FOU245"/>
      <c r="FOV245"/>
      <c r="FOW245"/>
      <c r="FOX245"/>
      <c r="FOY245"/>
      <c r="FOZ245"/>
      <c r="FPA245"/>
      <c r="FPB245"/>
      <c r="FPC245"/>
      <c r="FPD245"/>
      <c r="FPE245"/>
      <c r="FPF245"/>
      <c r="FPG245"/>
      <c r="FPH245"/>
      <c r="FPI245"/>
      <c r="FPJ245"/>
      <c r="FPK245"/>
      <c r="FPL245"/>
      <c r="FPM245"/>
      <c r="FPN245"/>
      <c r="FPO245"/>
      <c r="FPP245"/>
      <c r="FPQ245"/>
      <c r="FPR245"/>
      <c r="FPS245"/>
      <c r="FPT245"/>
      <c r="FPU245"/>
      <c r="FPV245"/>
      <c r="FPW245"/>
      <c r="FPX245"/>
      <c r="FPY245"/>
      <c r="FPZ245"/>
      <c r="FQA245"/>
      <c r="FQB245"/>
      <c r="FQC245"/>
      <c r="FQD245"/>
      <c r="FQE245"/>
      <c r="FQF245"/>
      <c r="FQG245"/>
      <c r="FQH245"/>
      <c r="FQI245"/>
      <c r="FQJ245"/>
      <c r="FQK245"/>
      <c r="FQL245"/>
      <c r="FQM245"/>
      <c r="FQN245"/>
      <c r="FQO245"/>
      <c r="FQP245"/>
      <c r="FQQ245"/>
      <c r="FQR245"/>
      <c r="FQS245"/>
      <c r="FQT245"/>
      <c r="FQU245"/>
      <c r="FQV245"/>
      <c r="FQW245"/>
      <c r="FQX245"/>
      <c r="FQY245"/>
      <c r="FQZ245"/>
      <c r="FRA245"/>
      <c r="FRB245"/>
      <c r="FRC245"/>
      <c r="FRD245"/>
      <c r="FRE245"/>
      <c r="FRF245"/>
      <c r="FRG245"/>
      <c r="FRH245"/>
      <c r="FRI245"/>
      <c r="FRJ245"/>
      <c r="FRK245"/>
      <c r="FRL245"/>
      <c r="FRM245"/>
      <c r="FRN245"/>
      <c r="FRO245"/>
      <c r="FRP245"/>
      <c r="FRQ245"/>
      <c r="FRR245"/>
      <c r="FRS245"/>
      <c r="FRT245"/>
      <c r="FRU245"/>
      <c r="FRV245"/>
      <c r="FRW245"/>
      <c r="FRX245"/>
      <c r="FRY245"/>
      <c r="FRZ245"/>
      <c r="FSA245"/>
      <c r="FSB245"/>
      <c r="FSC245"/>
      <c r="FSD245"/>
      <c r="FSE245"/>
      <c r="FSF245"/>
      <c r="FSG245"/>
      <c r="FSH245"/>
      <c r="FSI245"/>
      <c r="FSJ245"/>
      <c r="FSK245"/>
      <c r="FSL245"/>
      <c r="FSM245"/>
      <c r="FSN245"/>
      <c r="FSO245"/>
      <c r="FSP245"/>
      <c r="FSQ245"/>
      <c r="FSR245"/>
      <c r="FSS245"/>
      <c r="FST245"/>
      <c r="FSU245"/>
      <c r="FSV245"/>
      <c r="FSW245"/>
      <c r="FSX245"/>
      <c r="FSY245"/>
      <c r="FSZ245"/>
      <c r="FTA245"/>
      <c r="FTB245"/>
      <c r="FTC245"/>
      <c r="FTD245"/>
      <c r="FTE245"/>
      <c r="FTF245"/>
      <c r="FTG245"/>
      <c r="FTH245"/>
      <c r="FTI245"/>
      <c r="FTJ245"/>
      <c r="FTK245"/>
      <c r="FTL245"/>
      <c r="FTM245"/>
      <c r="FTN245"/>
      <c r="FTO245"/>
      <c r="FTP245"/>
      <c r="FTQ245"/>
      <c r="FTR245"/>
      <c r="FTS245"/>
      <c r="FTT245"/>
      <c r="FTU245"/>
      <c r="FTV245"/>
      <c r="FTW245"/>
      <c r="FTX245"/>
      <c r="FTY245"/>
      <c r="FTZ245"/>
      <c r="FUA245"/>
      <c r="FUB245"/>
      <c r="FUC245"/>
      <c r="FUD245"/>
      <c r="FUE245"/>
      <c r="FUF245"/>
      <c r="FUG245"/>
      <c r="FUH245"/>
      <c r="FUI245"/>
      <c r="FUJ245"/>
      <c r="FUK245"/>
      <c r="FUL245"/>
      <c r="FUM245"/>
      <c r="FUN245"/>
      <c r="FUO245"/>
      <c r="FUP245"/>
      <c r="FUQ245"/>
      <c r="FUR245"/>
      <c r="FUS245"/>
      <c r="FUT245"/>
      <c r="FUU245"/>
      <c r="FUV245"/>
      <c r="FUW245"/>
      <c r="FUX245"/>
      <c r="FUY245"/>
      <c r="FUZ245"/>
      <c r="FVA245"/>
      <c r="FVB245"/>
      <c r="FVC245"/>
      <c r="FVD245"/>
      <c r="FVE245"/>
      <c r="FVF245"/>
      <c r="FVG245"/>
      <c r="FVH245"/>
      <c r="FVI245"/>
      <c r="FVJ245"/>
      <c r="FVK245"/>
      <c r="FVL245"/>
      <c r="FVM245"/>
      <c r="FVN245"/>
      <c r="FVO245"/>
      <c r="FVP245"/>
      <c r="FVQ245"/>
      <c r="FVR245"/>
      <c r="FVS245"/>
      <c r="FVT245"/>
      <c r="FVU245"/>
      <c r="FVV245"/>
      <c r="FVW245"/>
      <c r="FVX245"/>
      <c r="FVY245"/>
      <c r="FVZ245"/>
      <c r="FWA245"/>
      <c r="FWB245"/>
      <c r="FWC245"/>
      <c r="FWD245"/>
      <c r="FWE245"/>
      <c r="FWF245"/>
      <c r="FWG245"/>
      <c r="FWH245"/>
      <c r="FWI245"/>
      <c r="FWJ245"/>
      <c r="FWK245"/>
      <c r="FWL245"/>
      <c r="FWM245"/>
      <c r="FWN245"/>
      <c r="FWO245"/>
      <c r="FWP245"/>
      <c r="FWQ245"/>
      <c r="FWR245"/>
      <c r="FWS245"/>
      <c r="FWT245"/>
      <c r="FWU245"/>
      <c r="FWV245"/>
      <c r="FWW245"/>
      <c r="FWX245"/>
      <c r="FWY245"/>
      <c r="FWZ245"/>
      <c r="FXA245"/>
      <c r="FXB245"/>
      <c r="FXC245"/>
      <c r="FXD245"/>
      <c r="FXE245"/>
      <c r="FXF245"/>
      <c r="FXG245"/>
      <c r="FXH245"/>
      <c r="FXI245"/>
      <c r="FXJ245"/>
      <c r="FXK245"/>
      <c r="FXL245"/>
      <c r="FXM245"/>
      <c r="FXN245"/>
      <c r="FXO245"/>
      <c r="FXP245"/>
      <c r="FXQ245"/>
      <c r="FXR245"/>
      <c r="FXS245"/>
      <c r="FXT245"/>
      <c r="FXU245"/>
      <c r="FXV245"/>
      <c r="FXW245"/>
      <c r="FXX245"/>
      <c r="FXY245"/>
      <c r="FXZ245"/>
      <c r="FYA245"/>
      <c r="FYB245"/>
      <c r="FYC245"/>
      <c r="FYD245"/>
      <c r="FYE245"/>
      <c r="FYF245"/>
      <c r="FYG245"/>
      <c r="FYH245"/>
      <c r="FYI245"/>
      <c r="FYJ245"/>
      <c r="FYK245"/>
      <c r="FYL245"/>
      <c r="FYM245"/>
      <c r="FYN245"/>
      <c r="FYO245"/>
      <c r="FYP245"/>
      <c r="FYQ245"/>
      <c r="FYR245"/>
      <c r="FYS245"/>
      <c r="FYT245"/>
      <c r="FYU245"/>
      <c r="FYV245"/>
      <c r="FYW245"/>
      <c r="FYX245"/>
      <c r="FYY245"/>
      <c r="FYZ245"/>
      <c r="FZA245"/>
      <c r="FZB245"/>
      <c r="FZC245"/>
      <c r="FZD245"/>
      <c r="FZE245"/>
      <c r="FZF245"/>
      <c r="FZG245"/>
      <c r="FZH245"/>
      <c r="FZI245"/>
      <c r="FZJ245"/>
      <c r="FZK245"/>
      <c r="FZL245"/>
      <c r="FZM245"/>
      <c r="FZN245"/>
      <c r="FZO245"/>
      <c r="FZP245"/>
      <c r="FZQ245"/>
      <c r="FZR245"/>
      <c r="FZS245"/>
      <c r="FZT245"/>
      <c r="FZU245"/>
      <c r="FZV245"/>
      <c r="FZW245"/>
      <c r="FZX245"/>
      <c r="FZY245"/>
      <c r="FZZ245"/>
      <c r="GAA245"/>
      <c r="GAB245"/>
      <c r="GAC245"/>
      <c r="GAD245"/>
      <c r="GAE245"/>
      <c r="GAF245"/>
      <c r="GAG245"/>
      <c r="GAH245"/>
      <c r="GAI245"/>
      <c r="GAJ245"/>
      <c r="GAK245"/>
      <c r="GAL245"/>
      <c r="GAM245"/>
      <c r="GAN245"/>
      <c r="GAO245"/>
      <c r="GAP245"/>
      <c r="GAQ245"/>
      <c r="GAR245"/>
      <c r="GAS245"/>
      <c r="GAT245"/>
      <c r="GAU245"/>
      <c r="GAV245"/>
      <c r="GAW245"/>
      <c r="GAX245"/>
      <c r="GAY245"/>
      <c r="GAZ245"/>
      <c r="GBA245"/>
      <c r="GBB245"/>
      <c r="GBC245"/>
      <c r="GBD245"/>
      <c r="GBE245"/>
      <c r="GBF245"/>
      <c r="GBG245"/>
      <c r="GBH245"/>
      <c r="GBI245"/>
      <c r="GBJ245"/>
      <c r="GBK245"/>
      <c r="GBL245"/>
      <c r="GBM245"/>
      <c r="GBN245"/>
      <c r="GBO245"/>
      <c r="GBP245"/>
      <c r="GBQ245"/>
      <c r="GBR245"/>
      <c r="GBS245"/>
      <c r="GBT245"/>
      <c r="GBU245"/>
      <c r="GBV245"/>
      <c r="GBW245"/>
      <c r="GBX245"/>
      <c r="GBY245"/>
      <c r="GBZ245"/>
      <c r="GCA245"/>
      <c r="GCB245"/>
      <c r="GCC245"/>
      <c r="GCD245"/>
      <c r="GCE245"/>
      <c r="GCF245"/>
      <c r="GCG245"/>
      <c r="GCH245"/>
      <c r="GCI245"/>
      <c r="GCJ245"/>
      <c r="GCK245"/>
      <c r="GCL245"/>
      <c r="GCM245"/>
      <c r="GCN245"/>
      <c r="GCO245"/>
      <c r="GCP245"/>
      <c r="GCQ245"/>
      <c r="GCR245"/>
      <c r="GCS245"/>
      <c r="GCT245"/>
      <c r="GCU245"/>
      <c r="GCV245"/>
      <c r="GCW245"/>
      <c r="GCX245"/>
      <c r="GCY245"/>
      <c r="GCZ245"/>
      <c r="GDA245"/>
      <c r="GDB245"/>
      <c r="GDC245"/>
      <c r="GDD245"/>
      <c r="GDE245"/>
      <c r="GDF245"/>
      <c r="GDG245"/>
      <c r="GDH245"/>
      <c r="GDI245"/>
      <c r="GDJ245"/>
      <c r="GDK245"/>
      <c r="GDL245"/>
      <c r="GDM245"/>
      <c r="GDN245"/>
      <c r="GDO245"/>
      <c r="GDP245"/>
      <c r="GDQ245"/>
      <c r="GDR245"/>
      <c r="GDS245"/>
      <c r="GDT245"/>
      <c r="GDU245"/>
      <c r="GDV245"/>
      <c r="GDW245"/>
      <c r="GDX245"/>
      <c r="GDY245"/>
      <c r="GDZ245"/>
      <c r="GEA245"/>
      <c r="GEB245"/>
      <c r="GEC245"/>
      <c r="GED245"/>
      <c r="GEE245"/>
      <c r="GEF245"/>
      <c r="GEG245"/>
      <c r="GEH245"/>
      <c r="GEI245"/>
      <c r="GEJ245"/>
      <c r="GEK245"/>
      <c r="GEL245"/>
      <c r="GEM245"/>
      <c r="GEN245"/>
      <c r="GEO245"/>
      <c r="GEP245"/>
      <c r="GEQ245"/>
      <c r="GER245"/>
      <c r="GES245"/>
      <c r="GET245"/>
      <c r="GEU245"/>
      <c r="GEV245"/>
      <c r="GEW245"/>
      <c r="GEX245"/>
      <c r="GEY245"/>
      <c r="GEZ245"/>
      <c r="GFA245"/>
      <c r="GFB245"/>
      <c r="GFC245"/>
      <c r="GFD245"/>
      <c r="GFE245"/>
      <c r="GFF245"/>
      <c r="GFG245"/>
      <c r="GFH245"/>
      <c r="GFI245"/>
      <c r="GFJ245"/>
      <c r="GFK245"/>
      <c r="GFL245"/>
      <c r="GFM245"/>
      <c r="GFN245"/>
      <c r="GFO245"/>
      <c r="GFP245"/>
      <c r="GFQ245"/>
      <c r="GFR245"/>
      <c r="GFS245"/>
      <c r="GFT245"/>
      <c r="GFU245"/>
      <c r="GFV245"/>
      <c r="GFW245"/>
      <c r="GFX245"/>
      <c r="GFY245"/>
      <c r="GFZ245"/>
      <c r="GGA245"/>
      <c r="GGB245"/>
      <c r="GGC245"/>
      <c r="GGD245"/>
      <c r="GGE245"/>
      <c r="GGF245"/>
      <c r="GGG245"/>
      <c r="GGH245"/>
      <c r="GGI245"/>
      <c r="GGJ245"/>
      <c r="GGK245"/>
      <c r="GGL245"/>
      <c r="GGM245"/>
      <c r="GGN245"/>
      <c r="GGO245"/>
      <c r="GGP245"/>
      <c r="GGQ245"/>
      <c r="GGR245"/>
      <c r="GGS245"/>
      <c r="GGT245"/>
      <c r="GGU245"/>
      <c r="GGV245"/>
      <c r="GGW245"/>
      <c r="GGX245"/>
      <c r="GGY245"/>
      <c r="GGZ245"/>
      <c r="GHA245"/>
      <c r="GHB245"/>
      <c r="GHC245"/>
      <c r="GHD245"/>
      <c r="GHE245"/>
      <c r="GHF245"/>
      <c r="GHG245"/>
      <c r="GHH245"/>
      <c r="GHI245"/>
      <c r="GHJ245"/>
      <c r="GHK245"/>
      <c r="GHL245"/>
      <c r="GHM245"/>
      <c r="GHN245"/>
      <c r="GHO245"/>
      <c r="GHP245"/>
      <c r="GHQ245"/>
      <c r="GHR245"/>
      <c r="GHS245"/>
      <c r="GHT245"/>
      <c r="GHU245"/>
      <c r="GHV245"/>
      <c r="GHW245"/>
      <c r="GHX245"/>
      <c r="GHY245"/>
      <c r="GHZ245"/>
      <c r="GIA245"/>
      <c r="GIB245"/>
      <c r="GIC245"/>
      <c r="GID245"/>
      <c r="GIE245"/>
      <c r="GIF245"/>
      <c r="GIG245"/>
      <c r="GIH245"/>
      <c r="GII245"/>
      <c r="GIJ245"/>
      <c r="GIK245"/>
      <c r="GIL245"/>
      <c r="GIM245"/>
      <c r="GIN245"/>
      <c r="GIO245"/>
      <c r="GIP245"/>
      <c r="GIQ245"/>
      <c r="GIR245"/>
      <c r="GIS245"/>
      <c r="GIT245"/>
      <c r="GIU245"/>
      <c r="GIV245"/>
      <c r="GIW245"/>
      <c r="GIX245"/>
      <c r="GIY245"/>
      <c r="GIZ245"/>
      <c r="GJA245"/>
      <c r="GJB245"/>
      <c r="GJC245"/>
      <c r="GJD245"/>
      <c r="GJE245"/>
      <c r="GJF245"/>
      <c r="GJG245"/>
      <c r="GJH245"/>
      <c r="GJI245"/>
      <c r="GJJ245"/>
      <c r="GJK245"/>
      <c r="GJL245"/>
      <c r="GJM245"/>
      <c r="GJN245"/>
      <c r="GJO245"/>
      <c r="GJP245"/>
      <c r="GJQ245"/>
      <c r="GJR245"/>
      <c r="GJS245"/>
      <c r="GJT245"/>
      <c r="GJU245"/>
      <c r="GJV245"/>
      <c r="GJW245"/>
      <c r="GJX245"/>
      <c r="GJY245"/>
      <c r="GJZ245"/>
      <c r="GKA245"/>
      <c r="GKB245"/>
      <c r="GKC245"/>
      <c r="GKD245"/>
      <c r="GKE245"/>
      <c r="GKF245"/>
      <c r="GKG245"/>
      <c r="GKH245"/>
      <c r="GKI245"/>
      <c r="GKJ245"/>
      <c r="GKK245"/>
      <c r="GKL245"/>
      <c r="GKM245"/>
      <c r="GKN245"/>
      <c r="GKO245"/>
      <c r="GKP245"/>
      <c r="GKQ245"/>
      <c r="GKR245"/>
      <c r="GKS245"/>
      <c r="GKT245"/>
      <c r="GKU245"/>
      <c r="GKV245"/>
      <c r="GKW245"/>
      <c r="GKX245"/>
      <c r="GKY245"/>
      <c r="GKZ245"/>
      <c r="GLA245"/>
      <c r="GLB245"/>
      <c r="GLC245"/>
      <c r="GLD245"/>
      <c r="GLE245"/>
      <c r="GLF245"/>
      <c r="GLG245"/>
      <c r="GLH245"/>
      <c r="GLI245"/>
      <c r="GLJ245"/>
      <c r="GLK245"/>
      <c r="GLL245"/>
      <c r="GLM245"/>
      <c r="GLN245"/>
      <c r="GLO245"/>
      <c r="GLP245"/>
      <c r="GLQ245"/>
      <c r="GLR245"/>
      <c r="GLS245"/>
      <c r="GLT245"/>
      <c r="GLU245"/>
      <c r="GLV245"/>
      <c r="GLW245"/>
      <c r="GLX245"/>
      <c r="GLY245"/>
      <c r="GLZ245"/>
      <c r="GMA245"/>
      <c r="GMB245"/>
      <c r="GMC245"/>
      <c r="GMD245"/>
      <c r="GME245"/>
      <c r="GMF245"/>
      <c r="GMG245"/>
      <c r="GMH245"/>
      <c r="GMI245"/>
      <c r="GMJ245"/>
      <c r="GMK245"/>
      <c r="GML245"/>
      <c r="GMM245"/>
      <c r="GMN245"/>
      <c r="GMO245"/>
      <c r="GMP245"/>
      <c r="GMQ245"/>
      <c r="GMR245"/>
      <c r="GMS245"/>
      <c r="GMT245"/>
      <c r="GMU245"/>
      <c r="GMV245"/>
      <c r="GMW245"/>
      <c r="GMX245"/>
      <c r="GMY245"/>
      <c r="GMZ245"/>
      <c r="GNA245"/>
      <c r="GNB245"/>
      <c r="GNC245"/>
      <c r="GND245"/>
      <c r="GNE245"/>
      <c r="GNF245"/>
      <c r="GNG245"/>
      <c r="GNH245"/>
      <c r="GNI245"/>
      <c r="GNJ245"/>
      <c r="GNK245"/>
      <c r="GNL245"/>
      <c r="GNM245"/>
      <c r="GNN245"/>
      <c r="GNO245"/>
      <c r="GNP245"/>
      <c r="GNQ245"/>
      <c r="GNR245"/>
      <c r="GNS245"/>
      <c r="GNT245"/>
      <c r="GNU245"/>
      <c r="GNV245"/>
      <c r="GNW245"/>
      <c r="GNX245"/>
      <c r="GNY245"/>
      <c r="GNZ245"/>
      <c r="GOA245"/>
      <c r="GOB245"/>
      <c r="GOC245"/>
      <c r="GOD245"/>
      <c r="GOE245"/>
      <c r="GOF245"/>
      <c r="GOG245"/>
      <c r="GOH245"/>
      <c r="GOI245"/>
      <c r="GOJ245"/>
      <c r="GOK245"/>
      <c r="GOL245"/>
      <c r="GOM245"/>
      <c r="GON245"/>
      <c r="GOO245"/>
      <c r="GOP245"/>
      <c r="GOQ245"/>
      <c r="GOR245"/>
      <c r="GOS245"/>
      <c r="GOT245"/>
      <c r="GOU245"/>
      <c r="GOV245"/>
      <c r="GOW245"/>
      <c r="GOX245"/>
      <c r="GOY245"/>
      <c r="GOZ245"/>
      <c r="GPA245"/>
      <c r="GPB245"/>
      <c r="GPC245"/>
      <c r="GPD245"/>
      <c r="GPE245"/>
      <c r="GPF245"/>
      <c r="GPG245"/>
      <c r="GPH245"/>
      <c r="GPI245"/>
      <c r="GPJ245"/>
      <c r="GPK245"/>
      <c r="GPL245"/>
      <c r="GPM245"/>
      <c r="GPN245"/>
      <c r="GPO245"/>
      <c r="GPP245"/>
      <c r="GPQ245"/>
      <c r="GPR245"/>
      <c r="GPS245"/>
      <c r="GPT245"/>
      <c r="GPU245"/>
      <c r="GPV245"/>
      <c r="GPW245"/>
      <c r="GPX245"/>
      <c r="GPY245"/>
      <c r="GPZ245"/>
      <c r="GQA245"/>
      <c r="GQB245"/>
      <c r="GQC245"/>
      <c r="GQD245"/>
      <c r="GQE245"/>
      <c r="GQF245"/>
      <c r="GQG245"/>
      <c r="GQH245"/>
      <c r="GQI245"/>
      <c r="GQJ245"/>
      <c r="GQK245"/>
      <c r="GQL245"/>
      <c r="GQM245"/>
      <c r="GQN245"/>
      <c r="GQO245"/>
      <c r="GQP245"/>
      <c r="GQQ245"/>
      <c r="GQR245"/>
      <c r="GQS245"/>
      <c r="GQT245"/>
      <c r="GQU245"/>
      <c r="GQV245"/>
      <c r="GQW245"/>
      <c r="GQX245"/>
      <c r="GQY245"/>
      <c r="GQZ245"/>
      <c r="GRA245"/>
      <c r="GRB245"/>
      <c r="GRC245"/>
      <c r="GRD245"/>
      <c r="GRE245"/>
      <c r="GRF245"/>
      <c r="GRG245"/>
      <c r="GRH245"/>
      <c r="GRI245"/>
      <c r="GRJ245"/>
      <c r="GRK245"/>
      <c r="GRL245"/>
      <c r="GRM245"/>
      <c r="GRN245"/>
      <c r="GRO245"/>
      <c r="GRP245"/>
      <c r="GRQ245"/>
      <c r="GRR245"/>
      <c r="GRS245"/>
      <c r="GRT245"/>
      <c r="GRU245"/>
      <c r="GRV245"/>
      <c r="GRW245"/>
      <c r="GRX245"/>
      <c r="GRY245"/>
      <c r="GRZ245"/>
      <c r="GSA245"/>
      <c r="GSB245"/>
      <c r="GSC245"/>
      <c r="GSD245"/>
      <c r="GSE245"/>
      <c r="GSF245"/>
      <c r="GSG245"/>
      <c r="GSH245"/>
      <c r="GSI245"/>
      <c r="GSJ245"/>
      <c r="GSK245"/>
      <c r="GSL245"/>
      <c r="GSM245"/>
      <c r="GSN245"/>
      <c r="GSO245"/>
      <c r="GSP245"/>
      <c r="GSQ245"/>
      <c r="GSR245"/>
      <c r="GSS245"/>
      <c r="GST245"/>
      <c r="GSU245"/>
      <c r="GSV245"/>
      <c r="GSW245"/>
      <c r="GSX245"/>
      <c r="GSY245"/>
      <c r="GSZ245"/>
      <c r="GTA245"/>
      <c r="GTB245"/>
      <c r="GTC245"/>
      <c r="GTD245"/>
      <c r="GTE245"/>
      <c r="GTF245"/>
      <c r="GTG245"/>
      <c r="GTH245"/>
      <c r="GTI245"/>
      <c r="GTJ245"/>
      <c r="GTK245"/>
      <c r="GTL245"/>
      <c r="GTM245"/>
      <c r="GTN245"/>
      <c r="GTO245"/>
      <c r="GTP245"/>
      <c r="GTQ245"/>
      <c r="GTR245"/>
      <c r="GTS245"/>
      <c r="GTT245"/>
      <c r="GTU245"/>
      <c r="GTV245"/>
      <c r="GTW245"/>
      <c r="GTX245"/>
      <c r="GTY245"/>
      <c r="GTZ245"/>
      <c r="GUA245"/>
      <c r="GUB245"/>
      <c r="GUC245"/>
      <c r="GUD245"/>
      <c r="GUE245"/>
      <c r="GUF245"/>
      <c r="GUG245"/>
      <c r="GUH245"/>
      <c r="GUI245"/>
      <c r="GUJ245"/>
      <c r="GUK245"/>
      <c r="GUL245"/>
      <c r="GUM245"/>
      <c r="GUN245"/>
      <c r="GUO245"/>
      <c r="GUP245"/>
      <c r="GUQ245"/>
      <c r="GUR245"/>
      <c r="GUS245"/>
      <c r="GUT245"/>
      <c r="GUU245"/>
      <c r="GUV245"/>
      <c r="GUW245"/>
      <c r="GUX245"/>
      <c r="GUY245"/>
      <c r="GUZ245"/>
      <c r="GVA245"/>
      <c r="GVB245"/>
      <c r="GVC245"/>
      <c r="GVD245"/>
      <c r="GVE245"/>
      <c r="GVF245"/>
      <c r="GVG245"/>
      <c r="GVH245"/>
      <c r="GVI245"/>
      <c r="GVJ245"/>
      <c r="GVK245"/>
      <c r="GVL245"/>
      <c r="GVM245"/>
      <c r="GVN245"/>
      <c r="GVO245"/>
      <c r="GVP245"/>
      <c r="GVQ245"/>
      <c r="GVR245"/>
      <c r="GVS245"/>
      <c r="GVT245"/>
      <c r="GVU245"/>
      <c r="GVV245"/>
      <c r="GVW245"/>
      <c r="GVX245"/>
      <c r="GVY245"/>
      <c r="GVZ245"/>
      <c r="GWA245"/>
      <c r="GWB245"/>
      <c r="GWC245"/>
      <c r="GWD245"/>
      <c r="GWE245"/>
      <c r="GWF245"/>
      <c r="GWG245"/>
      <c r="GWH245"/>
      <c r="GWI245"/>
      <c r="GWJ245"/>
      <c r="GWK245"/>
      <c r="GWL245"/>
      <c r="GWM245"/>
      <c r="GWN245"/>
      <c r="GWO245"/>
      <c r="GWP245"/>
      <c r="GWQ245"/>
      <c r="GWR245"/>
      <c r="GWS245"/>
      <c r="GWT245"/>
      <c r="GWU245"/>
      <c r="GWV245"/>
      <c r="GWW245"/>
      <c r="GWX245"/>
      <c r="GWY245"/>
      <c r="GWZ245"/>
      <c r="GXA245"/>
      <c r="GXB245"/>
      <c r="GXC245"/>
      <c r="GXD245"/>
      <c r="GXE245"/>
      <c r="GXF245"/>
      <c r="GXG245"/>
      <c r="GXH245"/>
      <c r="GXI245"/>
      <c r="GXJ245"/>
      <c r="GXK245"/>
      <c r="GXL245"/>
      <c r="GXM245"/>
      <c r="GXN245"/>
      <c r="GXO245"/>
      <c r="GXP245"/>
      <c r="GXQ245"/>
      <c r="GXR245"/>
      <c r="GXS245"/>
      <c r="GXT245"/>
      <c r="GXU245"/>
      <c r="GXV245"/>
      <c r="GXW245"/>
      <c r="GXX245"/>
      <c r="GXY245"/>
      <c r="GXZ245"/>
      <c r="GYA245"/>
      <c r="GYB245"/>
      <c r="GYC245"/>
      <c r="GYD245"/>
      <c r="GYE245"/>
      <c r="GYF245"/>
      <c r="GYG245"/>
      <c r="GYH245"/>
      <c r="GYI245"/>
      <c r="GYJ245"/>
      <c r="GYK245"/>
      <c r="GYL245"/>
      <c r="GYM245"/>
      <c r="GYN245"/>
      <c r="GYO245"/>
      <c r="GYP245"/>
      <c r="GYQ245"/>
      <c r="GYR245"/>
      <c r="GYS245"/>
      <c r="GYT245"/>
      <c r="GYU245"/>
      <c r="GYV245"/>
      <c r="GYW245"/>
      <c r="GYX245"/>
      <c r="GYY245"/>
      <c r="GYZ245"/>
      <c r="GZA245"/>
      <c r="GZB245"/>
      <c r="GZC245"/>
      <c r="GZD245"/>
      <c r="GZE245"/>
      <c r="GZF245"/>
      <c r="GZG245"/>
      <c r="GZH245"/>
      <c r="GZI245"/>
      <c r="GZJ245"/>
      <c r="GZK245"/>
      <c r="GZL245"/>
      <c r="GZM245"/>
      <c r="GZN245"/>
      <c r="GZO245"/>
      <c r="GZP245"/>
      <c r="GZQ245"/>
      <c r="GZR245"/>
      <c r="GZS245"/>
      <c r="GZT245"/>
      <c r="GZU245"/>
      <c r="GZV245"/>
      <c r="GZW245"/>
      <c r="GZX245"/>
      <c r="GZY245"/>
      <c r="GZZ245"/>
      <c r="HAA245"/>
      <c r="HAB245"/>
      <c r="HAC245"/>
      <c r="HAD245"/>
      <c r="HAE245"/>
      <c r="HAF245"/>
      <c r="HAG245"/>
      <c r="HAH245"/>
      <c r="HAI245"/>
      <c r="HAJ245"/>
      <c r="HAK245"/>
      <c r="HAL245"/>
      <c r="HAM245"/>
      <c r="HAN245"/>
      <c r="HAO245"/>
      <c r="HAP245"/>
      <c r="HAQ245"/>
      <c r="HAR245"/>
      <c r="HAS245"/>
      <c r="HAT245"/>
      <c r="HAU245"/>
      <c r="HAV245"/>
      <c r="HAW245"/>
      <c r="HAX245"/>
      <c r="HAY245"/>
      <c r="HAZ245"/>
      <c r="HBA245"/>
      <c r="HBB245"/>
      <c r="HBC245"/>
      <c r="HBD245"/>
      <c r="HBE245"/>
      <c r="HBF245"/>
      <c r="HBG245"/>
      <c r="HBH245"/>
      <c r="HBI245"/>
      <c r="HBJ245"/>
      <c r="HBK245"/>
      <c r="HBL245"/>
      <c r="HBM245"/>
      <c r="HBN245"/>
      <c r="HBO245"/>
      <c r="HBP245"/>
      <c r="HBQ245"/>
      <c r="HBR245"/>
      <c r="HBS245"/>
      <c r="HBT245"/>
      <c r="HBU245"/>
      <c r="HBV245"/>
      <c r="HBW245"/>
      <c r="HBX245"/>
      <c r="HBY245"/>
      <c r="HBZ245"/>
      <c r="HCA245"/>
      <c r="HCB245"/>
      <c r="HCC245"/>
      <c r="HCD245"/>
      <c r="HCE245"/>
      <c r="HCF245"/>
      <c r="HCG245"/>
      <c r="HCH245"/>
      <c r="HCI245"/>
      <c r="HCJ245"/>
      <c r="HCK245"/>
      <c r="HCL245"/>
      <c r="HCM245"/>
      <c r="HCN245"/>
      <c r="HCO245"/>
      <c r="HCP245"/>
      <c r="HCQ245"/>
      <c r="HCR245"/>
      <c r="HCS245"/>
      <c r="HCT245"/>
      <c r="HCU245"/>
      <c r="HCV245"/>
      <c r="HCW245"/>
      <c r="HCX245"/>
      <c r="HCY245"/>
      <c r="HCZ245"/>
      <c r="HDA245"/>
      <c r="HDB245"/>
      <c r="HDC245"/>
      <c r="HDD245"/>
      <c r="HDE245"/>
      <c r="HDF245"/>
      <c r="HDG245"/>
      <c r="HDH245"/>
      <c r="HDI245"/>
      <c r="HDJ245"/>
      <c r="HDK245"/>
      <c r="HDL245"/>
      <c r="HDM245"/>
      <c r="HDN245"/>
      <c r="HDO245"/>
      <c r="HDP245"/>
      <c r="HDQ245"/>
      <c r="HDR245"/>
      <c r="HDS245"/>
      <c r="HDT245"/>
      <c r="HDU245"/>
      <c r="HDV245"/>
      <c r="HDW245"/>
      <c r="HDX245"/>
      <c r="HDY245"/>
      <c r="HDZ245"/>
      <c r="HEA245"/>
      <c r="HEB245"/>
      <c r="HEC245"/>
      <c r="HED245"/>
      <c r="HEE245"/>
      <c r="HEF245"/>
      <c r="HEG245"/>
      <c r="HEH245"/>
      <c r="HEI245"/>
      <c r="HEJ245"/>
      <c r="HEK245"/>
      <c r="HEL245"/>
      <c r="HEM245"/>
      <c r="HEN245"/>
      <c r="HEO245"/>
      <c r="HEP245"/>
      <c r="HEQ245"/>
      <c r="HER245"/>
      <c r="HES245"/>
      <c r="HET245"/>
      <c r="HEU245"/>
      <c r="HEV245"/>
      <c r="HEW245"/>
      <c r="HEX245"/>
      <c r="HEY245"/>
      <c r="HEZ245"/>
      <c r="HFA245"/>
      <c r="HFB245"/>
      <c r="HFC245"/>
      <c r="HFD245"/>
      <c r="HFE245"/>
      <c r="HFF245"/>
      <c r="HFG245"/>
      <c r="HFH245"/>
      <c r="HFI245"/>
      <c r="HFJ245"/>
      <c r="HFK245"/>
      <c r="HFL245"/>
      <c r="HFM245"/>
      <c r="HFN245"/>
      <c r="HFO245"/>
      <c r="HFP245"/>
      <c r="HFQ245"/>
      <c r="HFR245"/>
      <c r="HFS245"/>
      <c r="HFT245"/>
      <c r="HFU245"/>
      <c r="HFV245"/>
      <c r="HFW245"/>
      <c r="HFX245"/>
      <c r="HFY245"/>
      <c r="HFZ245"/>
      <c r="HGA245"/>
      <c r="HGB245"/>
      <c r="HGC245"/>
      <c r="HGD245"/>
      <c r="HGE245"/>
      <c r="HGF245"/>
      <c r="HGG245"/>
      <c r="HGH245"/>
      <c r="HGI245"/>
      <c r="HGJ245"/>
      <c r="HGK245"/>
      <c r="HGL245"/>
      <c r="HGM245"/>
      <c r="HGN245"/>
      <c r="HGO245"/>
      <c r="HGP245"/>
      <c r="HGQ245"/>
      <c r="HGR245"/>
      <c r="HGS245"/>
      <c r="HGT245"/>
      <c r="HGU245"/>
      <c r="HGV245"/>
      <c r="HGW245"/>
      <c r="HGX245"/>
      <c r="HGY245"/>
      <c r="HGZ245"/>
      <c r="HHA245"/>
      <c r="HHB245"/>
      <c r="HHC245"/>
      <c r="HHD245"/>
      <c r="HHE245"/>
      <c r="HHF245"/>
      <c r="HHG245"/>
      <c r="HHH245"/>
      <c r="HHI245"/>
      <c r="HHJ245"/>
      <c r="HHK245"/>
      <c r="HHL245"/>
      <c r="HHM245"/>
      <c r="HHN245"/>
      <c r="HHO245"/>
      <c r="HHP245"/>
      <c r="HHQ245"/>
      <c r="HHR245"/>
      <c r="HHS245"/>
      <c r="HHT245"/>
      <c r="HHU245"/>
      <c r="HHV245"/>
      <c r="HHW245"/>
      <c r="HHX245"/>
      <c r="HHY245"/>
      <c r="HHZ245"/>
      <c r="HIA245"/>
      <c r="HIB245"/>
      <c r="HIC245"/>
      <c r="HID245"/>
      <c r="HIE245"/>
      <c r="HIF245"/>
      <c r="HIG245"/>
      <c r="HIH245"/>
      <c r="HII245"/>
      <c r="HIJ245"/>
      <c r="HIK245"/>
      <c r="HIL245"/>
      <c r="HIM245"/>
      <c r="HIN245"/>
      <c r="HIO245"/>
      <c r="HIP245"/>
      <c r="HIQ245"/>
      <c r="HIR245"/>
      <c r="HIS245"/>
      <c r="HIT245"/>
      <c r="HIU245"/>
      <c r="HIV245"/>
      <c r="HIW245"/>
      <c r="HIX245"/>
      <c r="HIY245"/>
      <c r="HIZ245"/>
      <c r="HJA245"/>
      <c r="HJB245"/>
      <c r="HJC245"/>
      <c r="HJD245"/>
      <c r="HJE245"/>
      <c r="HJF245"/>
      <c r="HJG245"/>
      <c r="HJH245"/>
      <c r="HJI245"/>
      <c r="HJJ245"/>
      <c r="HJK245"/>
      <c r="HJL245"/>
      <c r="HJM245"/>
      <c r="HJN245"/>
      <c r="HJO245"/>
      <c r="HJP245"/>
      <c r="HJQ245"/>
      <c r="HJR245"/>
      <c r="HJS245"/>
      <c r="HJT245"/>
      <c r="HJU245"/>
      <c r="HJV245"/>
      <c r="HJW245"/>
      <c r="HJX245"/>
      <c r="HJY245"/>
      <c r="HJZ245"/>
      <c r="HKA245"/>
      <c r="HKB245"/>
      <c r="HKC245"/>
      <c r="HKD245"/>
      <c r="HKE245"/>
      <c r="HKF245"/>
      <c r="HKG245"/>
      <c r="HKH245"/>
      <c r="HKI245"/>
      <c r="HKJ245"/>
      <c r="HKK245"/>
      <c r="HKL245"/>
      <c r="HKM245"/>
      <c r="HKN245"/>
      <c r="HKO245"/>
      <c r="HKP245"/>
      <c r="HKQ245"/>
      <c r="HKR245"/>
      <c r="HKS245"/>
      <c r="HKT245"/>
      <c r="HKU245"/>
      <c r="HKV245"/>
      <c r="HKW245"/>
      <c r="HKX245"/>
      <c r="HKY245"/>
      <c r="HKZ245"/>
      <c r="HLA245"/>
      <c r="HLB245"/>
      <c r="HLC245"/>
      <c r="HLD245"/>
      <c r="HLE245"/>
      <c r="HLF245"/>
      <c r="HLG245"/>
      <c r="HLH245"/>
      <c r="HLI245"/>
      <c r="HLJ245"/>
      <c r="HLK245"/>
      <c r="HLL245"/>
      <c r="HLM245"/>
      <c r="HLN245"/>
      <c r="HLO245"/>
      <c r="HLP245"/>
      <c r="HLQ245"/>
      <c r="HLR245"/>
      <c r="HLS245"/>
      <c r="HLT245"/>
      <c r="HLU245"/>
      <c r="HLV245"/>
      <c r="HLW245"/>
      <c r="HLX245"/>
      <c r="HLY245"/>
      <c r="HLZ245"/>
      <c r="HMA245"/>
      <c r="HMB245"/>
      <c r="HMC245"/>
      <c r="HMD245"/>
      <c r="HME245"/>
      <c r="HMF245"/>
      <c r="HMG245"/>
      <c r="HMH245"/>
      <c r="HMI245"/>
      <c r="HMJ245"/>
      <c r="HMK245"/>
      <c r="HML245"/>
      <c r="HMM245"/>
      <c r="HMN245"/>
      <c r="HMO245"/>
      <c r="HMP245"/>
      <c r="HMQ245"/>
      <c r="HMR245"/>
      <c r="HMS245"/>
      <c r="HMT245"/>
      <c r="HMU245"/>
      <c r="HMV245"/>
      <c r="HMW245"/>
      <c r="HMX245"/>
      <c r="HMY245"/>
      <c r="HMZ245"/>
      <c r="HNA245"/>
      <c r="HNB245"/>
      <c r="HNC245"/>
      <c r="HND245"/>
      <c r="HNE245"/>
      <c r="HNF245"/>
      <c r="HNG245"/>
      <c r="HNH245"/>
      <c r="HNI245"/>
      <c r="HNJ245"/>
      <c r="HNK245"/>
      <c r="HNL245"/>
      <c r="HNM245"/>
      <c r="HNN245"/>
      <c r="HNO245"/>
      <c r="HNP245"/>
      <c r="HNQ245"/>
      <c r="HNR245"/>
      <c r="HNS245"/>
      <c r="HNT245"/>
      <c r="HNU245"/>
      <c r="HNV245"/>
      <c r="HNW245"/>
      <c r="HNX245"/>
      <c r="HNY245"/>
      <c r="HNZ245"/>
      <c r="HOA245"/>
      <c r="HOB245"/>
      <c r="HOC245"/>
      <c r="HOD245"/>
      <c r="HOE245"/>
      <c r="HOF245"/>
      <c r="HOG245"/>
      <c r="HOH245"/>
      <c r="HOI245"/>
      <c r="HOJ245"/>
      <c r="HOK245"/>
      <c r="HOL245"/>
      <c r="HOM245"/>
      <c r="HON245"/>
      <c r="HOO245"/>
      <c r="HOP245"/>
      <c r="HOQ245"/>
      <c r="HOR245"/>
      <c r="HOS245"/>
      <c r="HOT245"/>
      <c r="HOU245"/>
      <c r="HOV245"/>
      <c r="HOW245"/>
      <c r="HOX245"/>
      <c r="HOY245"/>
      <c r="HOZ245"/>
      <c r="HPA245"/>
      <c r="HPB245"/>
      <c r="HPC245"/>
      <c r="HPD245"/>
      <c r="HPE245"/>
      <c r="HPF245"/>
      <c r="HPG245"/>
      <c r="HPH245"/>
      <c r="HPI245"/>
      <c r="HPJ245"/>
      <c r="HPK245"/>
      <c r="HPL245"/>
      <c r="HPM245"/>
      <c r="HPN245"/>
      <c r="HPO245"/>
      <c r="HPP245"/>
      <c r="HPQ245"/>
      <c r="HPR245"/>
      <c r="HPS245"/>
      <c r="HPT245"/>
      <c r="HPU245"/>
      <c r="HPV245"/>
      <c r="HPW245"/>
      <c r="HPX245"/>
      <c r="HPY245"/>
      <c r="HPZ245"/>
      <c r="HQA245"/>
      <c r="HQB245"/>
      <c r="HQC245"/>
      <c r="HQD245"/>
      <c r="HQE245"/>
      <c r="HQF245"/>
      <c r="HQG245"/>
      <c r="HQH245"/>
      <c r="HQI245"/>
      <c r="HQJ245"/>
      <c r="HQK245"/>
      <c r="HQL245"/>
      <c r="HQM245"/>
      <c r="HQN245"/>
      <c r="HQO245"/>
      <c r="HQP245"/>
      <c r="HQQ245"/>
      <c r="HQR245"/>
      <c r="HQS245"/>
      <c r="HQT245"/>
      <c r="HQU245"/>
      <c r="HQV245"/>
      <c r="HQW245"/>
      <c r="HQX245"/>
      <c r="HQY245"/>
      <c r="HQZ245"/>
      <c r="HRA245"/>
      <c r="HRB245"/>
      <c r="HRC245"/>
      <c r="HRD245"/>
      <c r="HRE245"/>
      <c r="HRF245"/>
      <c r="HRG245"/>
      <c r="HRH245"/>
      <c r="HRI245"/>
      <c r="HRJ245"/>
      <c r="HRK245"/>
      <c r="HRL245"/>
      <c r="HRM245"/>
      <c r="HRN245"/>
      <c r="HRO245"/>
      <c r="HRP245"/>
      <c r="HRQ245"/>
      <c r="HRR245"/>
      <c r="HRS245"/>
      <c r="HRT245"/>
      <c r="HRU245"/>
      <c r="HRV245"/>
      <c r="HRW245"/>
      <c r="HRX245"/>
      <c r="HRY245"/>
      <c r="HRZ245"/>
      <c r="HSA245"/>
      <c r="HSB245"/>
      <c r="HSC245"/>
      <c r="HSD245"/>
      <c r="HSE245"/>
      <c r="HSF245"/>
      <c r="HSG245"/>
      <c r="HSH245"/>
      <c r="HSI245"/>
      <c r="HSJ245"/>
      <c r="HSK245"/>
      <c r="HSL245"/>
      <c r="HSM245"/>
      <c r="HSN245"/>
      <c r="HSO245"/>
      <c r="HSP245"/>
      <c r="HSQ245"/>
      <c r="HSR245"/>
      <c r="HSS245"/>
      <c r="HST245"/>
      <c r="HSU245"/>
      <c r="HSV245"/>
      <c r="HSW245"/>
      <c r="HSX245"/>
      <c r="HSY245"/>
      <c r="HSZ245"/>
      <c r="HTA245"/>
      <c r="HTB245"/>
      <c r="HTC245"/>
      <c r="HTD245"/>
      <c r="HTE245"/>
      <c r="HTF245"/>
      <c r="HTG245"/>
      <c r="HTH245"/>
      <c r="HTI245"/>
      <c r="HTJ245"/>
      <c r="HTK245"/>
      <c r="HTL245"/>
      <c r="HTM245"/>
      <c r="HTN245"/>
      <c r="HTO245"/>
      <c r="HTP245"/>
      <c r="HTQ245"/>
      <c r="HTR245"/>
      <c r="HTS245"/>
      <c r="HTT245"/>
      <c r="HTU245"/>
      <c r="HTV245"/>
      <c r="HTW245"/>
      <c r="HTX245"/>
      <c r="HTY245"/>
      <c r="HTZ245"/>
      <c r="HUA245"/>
      <c r="HUB245"/>
      <c r="HUC245"/>
      <c r="HUD245"/>
      <c r="HUE245"/>
      <c r="HUF245"/>
      <c r="HUG245"/>
      <c r="HUH245"/>
      <c r="HUI245"/>
      <c r="HUJ245"/>
      <c r="HUK245"/>
      <c r="HUL245"/>
      <c r="HUM245"/>
      <c r="HUN245"/>
      <c r="HUO245"/>
      <c r="HUP245"/>
      <c r="HUQ245"/>
      <c r="HUR245"/>
      <c r="HUS245"/>
      <c r="HUT245"/>
      <c r="HUU245"/>
      <c r="HUV245"/>
      <c r="HUW245"/>
      <c r="HUX245"/>
      <c r="HUY245"/>
      <c r="HUZ245"/>
      <c r="HVA245"/>
      <c r="HVB245"/>
      <c r="HVC245"/>
      <c r="HVD245"/>
      <c r="HVE245"/>
      <c r="HVF245"/>
      <c r="HVG245"/>
      <c r="HVH245"/>
      <c r="HVI245"/>
      <c r="HVJ245"/>
      <c r="HVK245"/>
      <c r="HVL245"/>
      <c r="HVM245"/>
      <c r="HVN245"/>
      <c r="HVO245"/>
      <c r="HVP245"/>
      <c r="HVQ245"/>
      <c r="HVR245"/>
      <c r="HVS245"/>
      <c r="HVT245"/>
      <c r="HVU245"/>
      <c r="HVV245"/>
      <c r="HVW245"/>
      <c r="HVX245"/>
      <c r="HVY245"/>
      <c r="HVZ245"/>
      <c r="HWA245"/>
      <c r="HWB245"/>
      <c r="HWC245"/>
      <c r="HWD245"/>
      <c r="HWE245"/>
      <c r="HWF245"/>
      <c r="HWG245"/>
      <c r="HWH245"/>
      <c r="HWI245"/>
      <c r="HWJ245"/>
      <c r="HWK245"/>
      <c r="HWL245"/>
      <c r="HWM245"/>
      <c r="HWN245"/>
      <c r="HWO245"/>
      <c r="HWP245"/>
      <c r="HWQ245"/>
      <c r="HWR245"/>
      <c r="HWS245"/>
      <c r="HWT245"/>
      <c r="HWU245"/>
      <c r="HWV245"/>
      <c r="HWW245"/>
      <c r="HWX245"/>
      <c r="HWY245"/>
      <c r="HWZ245"/>
      <c r="HXA245"/>
      <c r="HXB245"/>
      <c r="HXC245"/>
      <c r="HXD245"/>
      <c r="HXE245"/>
      <c r="HXF245"/>
      <c r="HXG245"/>
      <c r="HXH245"/>
      <c r="HXI245"/>
      <c r="HXJ245"/>
      <c r="HXK245"/>
      <c r="HXL245"/>
      <c r="HXM245"/>
      <c r="HXN245"/>
      <c r="HXO245"/>
      <c r="HXP245"/>
      <c r="HXQ245"/>
      <c r="HXR245"/>
      <c r="HXS245"/>
      <c r="HXT245"/>
      <c r="HXU245"/>
      <c r="HXV245"/>
      <c r="HXW245"/>
      <c r="HXX245"/>
      <c r="HXY245"/>
      <c r="HXZ245"/>
      <c r="HYA245"/>
      <c r="HYB245"/>
      <c r="HYC245"/>
      <c r="HYD245"/>
      <c r="HYE245"/>
      <c r="HYF245"/>
      <c r="HYG245"/>
      <c r="HYH245"/>
      <c r="HYI245"/>
      <c r="HYJ245"/>
      <c r="HYK245"/>
      <c r="HYL245"/>
      <c r="HYM245"/>
      <c r="HYN245"/>
      <c r="HYO245"/>
      <c r="HYP245"/>
      <c r="HYQ245"/>
      <c r="HYR245"/>
      <c r="HYS245"/>
      <c r="HYT245"/>
      <c r="HYU245"/>
      <c r="HYV245"/>
      <c r="HYW245"/>
      <c r="HYX245"/>
      <c r="HYY245"/>
      <c r="HYZ245"/>
      <c r="HZA245"/>
      <c r="HZB245"/>
      <c r="HZC245"/>
      <c r="HZD245"/>
      <c r="HZE245"/>
      <c r="HZF245"/>
      <c r="HZG245"/>
      <c r="HZH245"/>
      <c r="HZI245"/>
      <c r="HZJ245"/>
      <c r="HZK245"/>
      <c r="HZL245"/>
      <c r="HZM245"/>
      <c r="HZN245"/>
      <c r="HZO245"/>
      <c r="HZP245"/>
      <c r="HZQ245"/>
      <c r="HZR245"/>
      <c r="HZS245"/>
      <c r="HZT245"/>
      <c r="HZU245"/>
      <c r="HZV245"/>
      <c r="HZW245"/>
      <c r="HZX245"/>
      <c r="HZY245"/>
      <c r="HZZ245"/>
      <c r="IAA245"/>
      <c r="IAB245"/>
      <c r="IAC245"/>
      <c r="IAD245"/>
      <c r="IAE245"/>
      <c r="IAF245"/>
      <c r="IAG245"/>
      <c r="IAH245"/>
      <c r="IAI245"/>
      <c r="IAJ245"/>
      <c r="IAK245"/>
      <c r="IAL245"/>
      <c r="IAM245"/>
      <c r="IAN245"/>
      <c r="IAO245"/>
      <c r="IAP245"/>
      <c r="IAQ245"/>
      <c r="IAR245"/>
      <c r="IAS245"/>
      <c r="IAT245"/>
      <c r="IAU245"/>
      <c r="IAV245"/>
      <c r="IAW245"/>
      <c r="IAX245"/>
      <c r="IAY245"/>
      <c r="IAZ245"/>
      <c r="IBA245"/>
      <c r="IBB245"/>
      <c r="IBC245"/>
      <c r="IBD245"/>
      <c r="IBE245"/>
      <c r="IBF245"/>
      <c r="IBG245"/>
      <c r="IBH245"/>
      <c r="IBI245"/>
      <c r="IBJ245"/>
      <c r="IBK245"/>
      <c r="IBL245"/>
      <c r="IBM245"/>
      <c r="IBN245"/>
      <c r="IBO245"/>
      <c r="IBP245"/>
      <c r="IBQ245"/>
      <c r="IBR245"/>
      <c r="IBS245"/>
      <c r="IBT245"/>
      <c r="IBU245"/>
      <c r="IBV245"/>
      <c r="IBW245"/>
      <c r="IBX245"/>
      <c r="IBY245"/>
      <c r="IBZ245"/>
      <c r="ICA245"/>
      <c r="ICB245"/>
      <c r="ICC245"/>
      <c r="ICD245"/>
      <c r="ICE245"/>
      <c r="ICF245"/>
      <c r="ICG245"/>
      <c r="ICH245"/>
      <c r="ICI245"/>
      <c r="ICJ245"/>
      <c r="ICK245"/>
      <c r="ICL245"/>
      <c r="ICM245"/>
      <c r="ICN245"/>
      <c r="ICO245"/>
      <c r="ICP245"/>
      <c r="ICQ245"/>
      <c r="ICR245"/>
      <c r="ICS245"/>
      <c r="ICT245"/>
      <c r="ICU245"/>
      <c r="ICV245"/>
      <c r="ICW245"/>
      <c r="ICX245"/>
      <c r="ICY245"/>
      <c r="ICZ245"/>
      <c r="IDA245"/>
      <c r="IDB245"/>
      <c r="IDC245"/>
      <c r="IDD245"/>
      <c r="IDE245"/>
      <c r="IDF245"/>
      <c r="IDG245"/>
      <c r="IDH245"/>
      <c r="IDI245"/>
      <c r="IDJ245"/>
      <c r="IDK245"/>
      <c r="IDL245"/>
      <c r="IDM245"/>
      <c r="IDN245"/>
      <c r="IDO245"/>
      <c r="IDP245"/>
      <c r="IDQ245"/>
      <c r="IDR245"/>
      <c r="IDS245"/>
      <c r="IDT245"/>
      <c r="IDU245"/>
      <c r="IDV245"/>
      <c r="IDW245"/>
      <c r="IDX245"/>
      <c r="IDY245"/>
      <c r="IDZ245"/>
      <c r="IEA245"/>
      <c r="IEB245"/>
      <c r="IEC245"/>
      <c r="IED245"/>
      <c r="IEE245"/>
      <c r="IEF245"/>
      <c r="IEG245"/>
      <c r="IEH245"/>
      <c r="IEI245"/>
      <c r="IEJ245"/>
      <c r="IEK245"/>
      <c r="IEL245"/>
      <c r="IEM245"/>
      <c r="IEN245"/>
      <c r="IEO245"/>
      <c r="IEP245"/>
      <c r="IEQ245"/>
      <c r="IER245"/>
      <c r="IES245"/>
      <c r="IET245"/>
      <c r="IEU245"/>
      <c r="IEV245"/>
      <c r="IEW245"/>
      <c r="IEX245"/>
      <c r="IEY245"/>
      <c r="IEZ245"/>
      <c r="IFA245"/>
      <c r="IFB245"/>
      <c r="IFC245"/>
      <c r="IFD245"/>
      <c r="IFE245"/>
      <c r="IFF245"/>
      <c r="IFG245"/>
      <c r="IFH245"/>
      <c r="IFI245"/>
      <c r="IFJ245"/>
      <c r="IFK245"/>
      <c r="IFL245"/>
      <c r="IFM245"/>
      <c r="IFN245"/>
      <c r="IFO245"/>
      <c r="IFP245"/>
      <c r="IFQ245"/>
      <c r="IFR245"/>
      <c r="IFS245"/>
      <c r="IFT245"/>
      <c r="IFU245"/>
      <c r="IFV245"/>
      <c r="IFW245"/>
      <c r="IFX245"/>
      <c r="IFY245"/>
      <c r="IFZ245"/>
      <c r="IGA245"/>
      <c r="IGB245"/>
      <c r="IGC245"/>
      <c r="IGD245"/>
      <c r="IGE245"/>
      <c r="IGF245"/>
      <c r="IGG245"/>
      <c r="IGH245"/>
      <c r="IGI245"/>
      <c r="IGJ245"/>
      <c r="IGK245"/>
      <c r="IGL245"/>
      <c r="IGM245"/>
      <c r="IGN245"/>
      <c r="IGO245"/>
      <c r="IGP245"/>
      <c r="IGQ245"/>
      <c r="IGR245"/>
      <c r="IGS245"/>
      <c r="IGT245"/>
      <c r="IGU245"/>
      <c r="IGV245"/>
      <c r="IGW245"/>
      <c r="IGX245"/>
      <c r="IGY245"/>
      <c r="IGZ245"/>
      <c r="IHA245"/>
      <c r="IHB245"/>
      <c r="IHC245"/>
      <c r="IHD245"/>
      <c r="IHE245"/>
      <c r="IHF245"/>
      <c r="IHG245"/>
      <c r="IHH245"/>
      <c r="IHI245"/>
      <c r="IHJ245"/>
      <c r="IHK245"/>
      <c r="IHL245"/>
      <c r="IHM245"/>
      <c r="IHN245"/>
      <c r="IHO245"/>
      <c r="IHP245"/>
      <c r="IHQ245"/>
      <c r="IHR245"/>
      <c r="IHS245"/>
      <c r="IHT245"/>
      <c r="IHU245"/>
      <c r="IHV245"/>
      <c r="IHW245"/>
      <c r="IHX245"/>
      <c r="IHY245"/>
      <c r="IHZ245"/>
      <c r="IIA245"/>
      <c r="IIB245"/>
      <c r="IIC245"/>
      <c r="IID245"/>
      <c r="IIE245"/>
      <c r="IIF245"/>
      <c r="IIG245"/>
      <c r="IIH245"/>
      <c r="III245"/>
      <c r="IIJ245"/>
      <c r="IIK245"/>
      <c r="IIL245"/>
      <c r="IIM245"/>
      <c r="IIN245"/>
      <c r="IIO245"/>
      <c r="IIP245"/>
      <c r="IIQ245"/>
      <c r="IIR245"/>
      <c r="IIS245"/>
      <c r="IIT245"/>
      <c r="IIU245"/>
      <c r="IIV245"/>
      <c r="IIW245"/>
      <c r="IIX245"/>
      <c r="IIY245"/>
      <c r="IIZ245"/>
      <c r="IJA245"/>
      <c r="IJB245"/>
      <c r="IJC245"/>
      <c r="IJD245"/>
      <c r="IJE245"/>
      <c r="IJF245"/>
      <c r="IJG245"/>
      <c r="IJH245"/>
      <c r="IJI245"/>
      <c r="IJJ245"/>
      <c r="IJK245"/>
      <c r="IJL245"/>
      <c r="IJM245"/>
      <c r="IJN245"/>
      <c r="IJO245"/>
      <c r="IJP245"/>
      <c r="IJQ245"/>
      <c r="IJR245"/>
      <c r="IJS245"/>
      <c r="IJT245"/>
      <c r="IJU245"/>
      <c r="IJV245"/>
      <c r="IJW245"/>
      <c r="IJX245"/>
      <c r="IJY245"/>
      <c r="IJZ245"/>
      <c r="IKA245"/>
      <c r="IKB245"/>
      <c r="IKC245"/>
      <c r="IKD245"/>
      <c r="IKE245"/>
      <c r="IKF245"/>
      <c r="IKG245"/>
      <c r="IKH245"/>
      <c r="IKI245"/>
      <c r="IKJ245"/>
      <c r="IKK245"/>
      <c r="IKL245"/>
      <c r="IKM245"/>
      <c r="IKN245"/>
      <c r="IKO245"/>
      <c r="IKP245"/>
      <c r="IKQ245"/>
      <c r="IKR245"/>
      <c r="IKS245"/>
      <c r="IKT245"/>
      <c r="IKU245"/>
      <c r="IKV245"/>
      <c r="IKW245"/>
      <c r="IKX245"/>
      <c r="IKY245"/>
      <c r="IKZ245"/>
      <c r="ILA245"/>
      <c r="ILB245"/>
      <c r="ILC245"/>
      <c r="ILD245"/>
      <c r="ILE245"/>
      <c r="ILF245"/>
      <c r="ILG245"/>
      <c r="ILH245"/>
      <c r="ILI245"/>
      <c r="ILJ245"/>
      <c r="ILK245"/>
      <c r="ILL245"/>
      <c r="ILM245"/>
      <c r="ILN245"/>
      <c r="ILO245"/>
      <c r="ILP245"/>
      <c r="ILQ245"/>
      <c r="ILR245"/>
      <c r="ILS245"/>
      <c r="ILT245"/>
      <c r="ILU245"/>
      <c r="ILV245"/>
      <c r="ILW245"/>
      <c r="ILX245"/>
      <c r="ILY245"/>
      <c r="ILZ245"/>
      <c r="IMA245"/>
      <c r="IMB245"/>
      <c r="IMC245"/>
      <c r="IMD245"/>
      <c r="IME245"/>
      <c r="IMF245"/>
      <c r="IMG245"/>
      <c r="IMH245"/>
      <c r="IMI245"/>
      <c r="IMJ245"/>
      <c r="IMK245"/>
      <c r="IML245"/>
      <c r="IMM245"/>
      <c r="IMN245"/>
      <c r="IMO245"/>
      <c r="IMP245"/>
      <c r="IMQ245"/>
      <c r="IMR245"/>
      <c r="IMS245"/>
      <c r="IMT245"/>
      <c r="IMU245"/>
      <c r="IMV245"/>
      <c r="IMW245"/>
      <c r="IMX245"/>
      <c r="IMY245"/>
      <c r="IMZ245"/>
      <c r="INA245"/>
      <c r="INB245"/>
      <c r="INC245"/>
      <c r="IND245"/>
      <c r="INE245"/>
      <c r="INF245"/>
      <c r="ING245"/>
      <c r="INH245"/>
      <c r="INI245"/>
      <c r="INJ245"/>
      <c r="INK245"/>
      <c r="INL245"/>
      <c r="INM245"/>
      <c r="INN245"/>
      <c r="INO245"/>
      <c r="INP245"/>
      <c r="INQ245"/>
      <c r="INR245"/>
      <c r="INS245"/>
      <c r="INT245"/>
      <c r="INU245"/>
      <c r="INV245"/>
      <c r="INW245"/>
      <c r="INX245"/>
      <c r="INY245"/>
      <c r="INZ245"/>
      <c r="IOA245"/>
      <c r="IOB245"/>
      <c r="IOC245"/>
      <c r="IOD245"/>
      <c r="IOE245"/>
      <c r="IOF245"/>
      <c r="IOG245"/>
      <c r="IOH245"/>
      <c r="IOI245"/>
      <c r="IOJ245"/>
      <c r="IOK245"/>
      <c r="IOL245"/>
      <c r="IOM245"/>
      <c r="ION245"/>
      <c r="IOO245"/>
      <c r="IOP245"/>
      <c r="IOQ245"/>
      <c r="IOR245"/>
      <c r="IOS245"/>
      <c r="IOT245"/>
      <c r="IOU245"/>
      <c r="IOV245"/>
      <c r="IOW245"/>
      <c r="IOX245"/>
      <c r="IOY245"/>
      <c r="IOZ245"/>
      <c r="IPA245"/>
      <c r="IPB245"/>
      <c r="IPC245"/>
      <c r="IPD245"/>
      <c r="IPE245"/>
      <c r="IPF245"/>
      <c r="IPG245"/>
      <c r="IPH245"/>
      <c r="IPI245"/>
      <c r="IPJ245"/>
      <c r="IPK245"/>
      <c r="IPL245"/>
      <c r="IPM245"/>
      <c r="IPN245"/>
      <c r="IPO245"/>
      <c r="IPP245"/>
      <c r="IPQ245"/>
      <c r="IPR245"/>
      <c r="IPS245"/>
      <c r="IPT245"/>
      <c r="IPU245"/>
      <c r="IPV245"/>
      <c r="IPW245"/>
      <c r="IPX245"/>
      <c r="IPY245"/>
      <c r="IPZ245"/>
      <c r="IQA245"/>
      <c r="IQB245"/>
      <c r="IQC245"/>
      <c r="IQD245"/>
      <c r="IQE245"/>
      <c r="IQF245"/>
      <c r="IQG245"/>
      <c r="IQH245"/>
      <c r="IQI245"/>
      <c r="IQJ245"/>
      <c r="IQK245"/>
      <c r="IQL245"/>
      <c r="IQM245"/>
      <c r="IQN245"/>
      <c r="IQO245"/>
      <c r="IQP245"/>
      <c r="IQQ245"/>
      <c r="IQR245"/>
      <c r="IQS245"/>
      <c r="IQT245"/>
      <c r="IQU245"/>
      <c r="IQV245"/>
      <c r="IQW245"/>
      <c r="IQX245"/>
      <c r="IQY245"/>
      <c r="IQZ245"/>
      <c r="IRA245"/>
      <c r="IRB245"/>
      <c r="IRC245"/>
      <c r="IRD245"/>
      <c r="IRE245"/>
      <c r="IRF245"/>
      <c r="IRG245"/>
      <c r="IRH245"/>
      <c r="IRI245"/>
      <c r="IRJ245"/>
      <c r="IRK245"/>
      <c r="IRL245"/>
      <c r="IRM245"/>
      <c r="IRN245"/>
      <c r="IRO245"/>
      <c r="IRP245"/>
      <c r="IRQ245"/>
      <c r="IRR245"/>
      <c r="IRS245"/>
      <c r="IRT245"/>
      <c r="IRU245"/>
      <c r="IRV245"/>
      <c r="IRW245"/>
      <c r="IRX245"/>
      <c r="IRY245"/>
      <c r="IRZ245"/>
      <c r="ISA245"/>
      <c r="ISB245"/>
      <c r="ISC245"/>
      <c r="ISD245"/>
      <c r="ISE245"/>
      <c r="ISF245"/>
      <c r="ISG245"/>
      <c r="ISH245"/>
      <c r="ISI245"/>
      <c r="ISJ245"/>
      <c r="ISK245"/>
      <c r="ISL245"/>
      <c r="ISM245"/>
      <c r="ISN245"/>
      <c r="ISO245"/>
      <c r="ISP245"/>
      <c r="ISQ245"/>
      <c r="ISR245"/>
      <c r="ISS245"/>
      <c r="IST245"/>
      <c r="ISU245"/>
      <c r="ISV245"/>
      <c r="ISW245"/>
      <c r="ISX245"/>
      <c r="ISY245"/>
      <c r="ISZ245"/>
      <c r="ITA245"/>
      <c r="ITB245"/>
      <c r="ITC245"/>
      <c r="ITD245"/>
      <c r="ITE245"/>
      <c r="ITF245"/>
      <c r="ITG245"/>
      <c r="ITH245"/>
      <c r="ITI245"/>
      <c r="ITJ245"/>
      <c r="ITK245"/>
      <c r="ITL245"/>
      <c r="ITM245"/>
      <c r="ITN245"/>
      <c r="ITO245"/>
      <c r="ITP245"/>
      <c r="ITQ245"/>
      <c r="ITR245"/>
      <c r="ITS245"/>
      <c r="ITT245"/>
      <c r="ITU245"/>
      <c r="ITV245"/>
      <c r="ITW245"/>
      <c r="ITX245"/>
      <c r="ITY245"/>
      <c r="ITZ245"/>
      <c r="IUA245"/>
      <c r="IUB245"/>
      <c r="IUC245"/>
      <c r="IUD245"/>
      <c r="IUE245"/>
      <c r="IUF245"/>
      <c r="IUG245"/>
      <c r="IUH245"/>
      <c r="IUI245"/>
      <c r="IUJ245"/>
      <c r="IUK245"/>
      <c r="IUL245"/>
      <c r="IUM245"/>
      <c r="IUN245"/>
      <c r="IUO245"/>
      <c r="IUP245"/>
      <c r="IUQ245"/>
      <c r="IUR245"/>
      <c r="IUS245"/>
      <c r="IUT245"/>
      <c r="IUU245"/>
      <c r="IUV245"/>
      <c r="IUW245"/>
      <c r="IUX245"/>
      <c r="IUY245"/>
      <c r="IUZ245"/>
      <c r="IVA245"/>
      <c r="IVB245"/>
      <c r="IVC245"/>
      <c r="IVD245"/>
      <c r="IVE245"/>
      <c r="IVF245"/>
      <c r="IVG245"/>
      <c r="IVH245"/>
      <c r="IVI245"/>
      <c r="IVJ245"/>
      <c r="IVK245"/>
      <c r="IVL245"/>
      <c r="IVM245"/>
      <c r="IVN245"/>
      <c r="IVO245"/>
      <c r="IVP245"/>
      <c r="IVQ245"/>
      <c r="IVR245"/>
      <c r="IVS245"/>
      <c r="IVT245"/>
      <c r="IVU245"/>
      <c r="IVV245"/>
      <c r="IVW245"/>
      <c r="IVX245"/>
      <c r="IVY245"/>
      <c r="IVZ245"/>
      <c r="IWA245"/>
      <c r="IWB245"/>
      <c r="IWC245"/>
      <c r="IWD245"/>
      <c r="IWE245"/>
      <c r="IWF245"/>
      <c r="IWG245"/>
      <c r="IWH245"/>
      <c r="IWI245"/>
      <c r="IWJ245"/>
      <c r="IWK245"/>
      <c r="IWL245"/>
      <c r="IWM245"/>
      <c r="IWN245"/>
      <c r="IWO245"/>
      <c r="IWP245"/>
      <c r="IWQ245"/>
      <c r="IWR245"/>
      <c r="IWS245"/>
      <c r="IWT245"/>
      <c r="IWU245"/>
      <c r="IWV245"/>
      <c r="IWW245"/>
      <c r="IWX245"/>
      <c r="IWY245"/>
      <c r="IWZ245"/>
      <c r="IXA245"/>
      <c r="IXB245"/>
      <c r="IXC245"/>
      <c r="IXD245"/>
      <c r="IXE245"/>
      <c r="IXF245"/>
      <c r="IXG245"/>
      <c r="IXH245"/>
      <c r="IXI245"/>
      <c r="IXJ245"/>
      <c r="IXK245"/>
      <c r="IXL245"/>
      <c r="IXM245"/>
      <c r="IXN245"/>
      <c r="IXO245"/>
      <c r="IXP245"/>
      <c r="IXQ245"/>
      <c r="IXR245"/>
      <c r="IXS245"/>
      <c r="IXT245"/>
      <c r="IXU245"/>
      <c r="IXV245"/>
      <c r="IXW245"/>
      <c r="IXX245"/>
      <c r="IXY245"/>
      <c r="IXZ245"/>
      <c r="IYA245"/>
      <c r="IYB245"/>
      <c r="IYC245"/>
      <c r="IYD245"/>
      <c r="IYE245"/>
      <c r="IYF245"/>
      <c r="IYG245"/>
      <c r="IYH245"/>
      <c r="IYI245"/>
      <c r="IYJ245"/>
      <c r="IYK245"/>
      <c r="IYL245"/>
      <c r="IYM245"/>
      <c r="IYN245"/>
      <c r="IYO245"/>
      <c r="IYP245"/>
      <c r="IYQ245"/>
      <c r="IYR245"/>
      <c r="IYS245"/>
      <c r="IYT245"/>
      <c r="IYU245"/>
      <c r="IYV245"/>
      <c r="IYW245"/>
      <c r="IYX245"/>
      <c r="IYY245"/>
      <c r="IYZ245"/>
      <c r="IZA245"/>
      <c r="IZB245"/>
      <c r="IZC245"/>
      <c r="IZD245"/>
      <c r="IZE245"/>
      <c r="IZF245"/>
      <c r="IZG245"/>
      <c r="IZH245"/>
      <c r="IZI245"/>
      <c r="IZJ245"/>
      <c r="IZK245"/>
      <c r="IZL245"/>
      <c r="IZM245"/>
      <c r="IZN245"/>
      <c r="IZO245"/>
      <c r="IZP245"/>
      <c r="IZQ245"/>
      <c r="IZR245"/>
      <c r="IZS245"/>
      <c r="IZT245"/>
      <c r="IZU245"/>
      <c r="IZV245"/>
      <c r="IZW245"/>
      <c r="IZX245"/>
      <c r="IZY245"/>
      <c r="IZZ245"/>
      <c r="JAA245"/>
      <c r="JAB245"/>
      <c r="JAC245"/>
      <c r="JAD245"/>
      <c r="JAE245"/>
      <c r="JAF245"/>
      <c r="JAG245"/>
      <c r="JAH245"/>
      <c r="JAI245"/>
      <c r="JAJ245"/>
      <c r="JAK245"/>
      <c r="JAL245"/>
      <c r="JAM245"/>
      <c r="JAN245"/>
      <c r="JAO245"/>
      <c r="JAP245"/>
      <c r="JAQ245"/>
      <c r="JAR245"/>
      <c r="JAS245"/>
      <c r="JAT245"/>
      <c r="JAU245"/>
      <c r="JAV245"/>
      <c r="JAW245"/>
      <c r="JAX245"/>
      <c r="JAY245"/>
      <c r="JAZ245"/>
      <c r="JBA245"/>
      <c r="JBB245"/>
      <c r="JBC245"/>
      <c r="JBD245"/>
      <c r="JBE245"/>
      <c r="JBF245"/>
      <c r="JBG245"/>
      <c r="JBH245"/>
      <c r="JBI245"/>
      <c r="JBJ245"/>
      <c r="JBK245"/>
      <c r="JBL245"/>
      <c r="JBM245"/>
      <c r="JBN245"/>
      <c r="JBO245"/>
      <c r="JBP245"/>
      <c r="JBQ245"/>
      <c r="JBR245"/>
      <c r="JBS245"/>
      <c r="JBT245"/>
      <c r="JBU245"/>
      <c r="JBV245"/>
      <c r="JBW245"/>
      <c r="JBX245"/>
      <c r="JBY245"/>
      <c r="JBZ245"/>
      <c r="JCA245"/>
      <c r="JCB245"/>
      <c r="JCC245"/>
      <c r="JCD245"/>
      <c r="JCE245"/>
      <c r="JCF245"/>
      <c r="JCG245"/>
      <c r="JCH245"/>
      <c r="JCI245"/>
      <c r="JCJ245"/>
      <c r="JCK245"/>
      <c r="JCL245"/>
      <c r="JCM245"/>
      <c r="JCN245"/>
      <c r="JCO245"/>
      <c r="JCP245"/>
      <c r="JCQ245"/>
      <c r="JCR245"/>
      <c r="JCS245"/>
      <c r="JCT245"/>
      <c r="JCU245"/>
      <c r="JCV245"/>
      <c r="JCW245"/>
      <c r="JCX245"/>
      <c r="JCY245"/>
      <c r="JCZ245"/>
      <c r="JDA245"/>
      <c r="JDB245"/>
      <c r="JDC245"/>
      <c r="JDD245"/>
      <c r="JDE245"/>
      <c r="JDF245"/>
      <c r="JDG245"/>
      <c r="JDH245"/>
      <c r="JDI245"/>
      <c r="JDJ245"/>
      <c r="JDK245"/>
      <c r="JDL245"/>
      <c r="JDM245"/>
      <c r="JDN245"/>
      <c r="JDO245"/>
      <c r="JDP245"/>
      <c r="JDQ245"/>
      <c r="JDR245"/>
      <c r="JDS245"/>
      <c r="JDT245"/>
      <c r="JDU245"/>
      <c r="JDV245"/>
      <c r="JDW245"/>
      <c r="JDX245"/>
      <c r="JDY245"/>
      <c r="JDZ245"/>
      <c r="JEA245"/>
      <c r="JEB245"/>
      <c r="JEC245"/>
      <c r="JED245"/>
      <c r="JEE245"/>
      <c r="JEF245"/>
      <c r="JEG245"/>
      <c r="JEH245"/>
      <c r="JEI245"/>
      <c r="JEJ245"/>
      <c r="JEK245"/>
      <c r="JEL245"/>
      <c r="JEM245"/>
      <c r="JEN245"/>
      <c r="JEO245"/>
      <c r="JEP245"/>
      <c r="JEQ245"/>
      <c r="JER245"/>
      <c r="JES245"/>
      <c r="JET245"/>
      <c r="JEU245"/>
      <c r="JEV245"/>
      <c r="JEW245"/>
      <c r="JEX245"/>
      <c r="JEY245"/>
      <c r="JEZ245"/>
      <c r="JFA245"/>
      <c r="JFB245"/>
      <c r="JFC245"/>
      <c r="JFD245"/>
      <c r="JFE245"/>
      <c r="JFF245"/>
      <c r="JFG245"/>
      <c r="JFH245"/>
      <c r="JFI245"/>
      <c r="JFJ245"/>
      <c r="JFK245"/>
      <c r="JFL245"/>
      <c r="JFM245"/>
      <c r="JFN245"/>
      <c r="JFO245"/>
      <c r="JFP245"/>
      <c r="JFQ245"/>
      <c r="JFR245"/>
      <c r="JFS245"/>
      <c r="JFT245"/>
      <c r="JFU245"/>
      <c r="JFV245"/>
      <c r="JFW245"/>
      <c r="JFX245"/>
      <c r="JFY245"/>
      <c r="JFZ245"/>
      <c r="JGA245"/>
      <c r="JGB245"/>
      <c r="JGC245"/>
      <c r="JGD245"/>
      <c r="JGE245"/>
      <c r="JGF245"/>
      <c r="JGG245"/>
      <c r="JGH245"/>
      <c r="JGI245"/>
      <c r="JGJ245"/>
      <c r="JGK245"/>
      <c r="JGL245"/>
      <c r="JGM245"/>
      <c r="JGN245"/>
      <c r="JGO245"/>
      <c r="JGP245"/>
      <c r="JGQ245"/>
      <c r="JGR245"/>
      <c r="JGS245"/>
      <c r="JGT245"/>
      <c r="JGU245"/>
      <c r="JGV245"/>
      <c r="JGW245"/>
      <c r="JGX245"/>
      <c r="JGY245"/>
      <c r="JGZ245"/>
      <c r="JHA245"/>
      <c r="JHB245"/>
      <c r="JHC245"/>
      <c r="JHD245"/>
      <c r="JHE245"/>
      <c r="JHF245"/>
      <c r="JHG245"/>
      <c r="JHH245"/>
      <c r="JHI245"/>
      <c r="JHJ245"/>
      <c r="JHK245"/>
      <c r="JHL245"/>
      <c r="JHM245"/>
      <c r="JHN245"/>
      <c r="JHO245"/>
      <c r="JHP245"/>
      <c r="JHQ245"/>
      <c r="JHR245"/>
      <c r="JHS245"/>
      <c r="JHT245"/>
      <c r="JHU245"/>
      <c r="JHV245"/>
      <c r="JHW245"/>
      <c r="JHX245"/>
      <c r="JHY245"/>
      <c r="JHZ245"/>
      <c r="JIA245"/>
      <c r="JIB245"/>
      <c r="JIC245"/>
      <c r="JID245"/>
      <c r="JIE245"/>
      <c r="JIF245"/>
      <c r="JIG245"/>
      <c r="JIH245"/>
      <c r="JII245"/>
      <c r="JIJ245"/>
      <c r="JIK245"/>
      <c r="JIL245"/>
      <c r="JIM245"/>
      <c r="JIN245"/>
      <c r="JIO245"/>
      <c r="JIP245"/>
      <c r="JIQ245"/>
      <c r="JIR245"/>
      <c r="JIS245"/>
      <c r="JIT245"/>
      <c r="JIU245"/>
      <c r="JIV245"/>
      <c r="JIW245"/>
      <c r="JIX245"/>
      <c r="JIY245"/>
      <c r="JIZ245"/>
      <c r="JJA245"/>
      <c r="JJB245"/>
      <c r="JJC245"/>
      <c r="JJD245"/>
      <c r="JJE245"/>
      <c r="JJF245"/>
      <c r="JJG245"/>
      <c r="JJH245"/>
      <c r="JJI245"/>
      <c r="JJJ245"/>
      <c r="JJK245"/>
      <c r="JJL245"/>
      <c r="JJM245"/>
      <c r="JJN245"/>
      <c r="JJO245"/>
      <c r="JJP245"/>
      <c r="JJQ245"/>
      <c r="JJR245"/>
      <c r="JJS245"/>
      <c r="JJT245"/>
      <c r="JJU245"/>
      <c r="JJV245"/>
      <c r="JJW245"/>
      <c r="JJX245"/>
      <c r="JJY245"/>
      <c r="JJZ245"/>
      <c r="JKA245"/>
      <c r="JKB245"/>
      <c r="JKC245"/>
      <c r="JKD245"/>
      <c r="JKE245"/>
      <c r="JKF245"/>
      <c r="JKG245"/>
      <c r="JKH245"/>
      <c r="JKI245"/>
      <c r="JKJ245"/>
      <c r="JKK245"/>
      <c r="JKL245"/>
      <c r="JKM245"/>
      <c r="JKN245"/>
      <c r="JKO245"/>
      <c r="JKP245"/>
      <c r="JKQ245"/>
      <c r="JKR245"/>
      <c r="JKS245"/>
      <c r="JKT245"/>
      <c r="JKU245"/>
      <c r="JKV245"/>
      <c r="JKW245"/>
      <c r="JKX245"/>
      <c r="JKY245"/>
      <c r="JKZ245"/>
      <c r="JLA245"/>
      <c r="JLB245"/>
      <c r="JLC245"/>
      <c r="JLD245"/>
      <c r="JLE245"/>
      <c r="JLF245"/>
      <c r="JLG245"/>
      <c r="JLH245"/>
      <c r="JLI245"/>
      <c r="JLJ245"/>
      <c r="JLK245"/>
      <c r="JLL245"/>
      <c r="JLM245"/>
      <c r="JLN245"/>
      <c r="JLO245"/>
      <c r="JLP245"/>
      <c r="JLQ245"/>
      <c r="JLR245"/>
      <c r="JLS245"/>
      <c r="JLT245"/>
      <c r="JLU245"/>
      <c r="JLV245"/>
      <c r="JLW245"/>
      <c r="JLX245"/>
      <c r="JLY245"/>
      <c r="JLZ245"/>
      <c r="JMA245"/>
      <c r="JMB245"/>
      <c r="JMC245"/>
      <c r="JMD245"/>
      <c r="JME245"/>
      <c r="JMF245"/>
      <c r="JMG245"/>
      <c r="JMH245"/>
      <c r="JMI245"/>
      <c r="JMJ245"/>
      <c r="JMK245"/>
      <c r="JML245"/>
      <c r="JMM245"/>
      <c r="JMN245"/>
      <c r="JMO245"/>
      <c r="JMP245"/>
      <c r="JMQ245"/>
      <c r="JMR245"/>
      <c r="JMS245"/>
      <c r="JMT245"/>
      <c r="JMU245"/>
      <c r="JMV245"/>
      <c r="JMW245"/>
      <c r="JMX245"/>
      <c r="JMY245"/>
      <c r="JMZ245"/>
      <c r="JNA245"/>
      <c r="JNB245"/>
      <c r="JNC245"/>
      <c r="JND245"/>
      <c r="JNE245"/>
      <c r="JNF245"/>
      <c r="JNG245"/>
      <c r="JNH245"/>
      <c r="JNI245"/>
      <c r="JNJ245"/>
      <c r="JNK245"/>
      <c r="JNL245"/>
      <c r="JNM245"/>
      <c r="JNN245"/>
      <c r="JNO245"/>
      <c r="JNP245"/>
      <c r="JNQ245"/>
      <c r="JNR245"/>
      <c r="JNS245"/>
      <c r="JNT245"/>
      <c r="JNU245"/>
      <c r="JNV245"/>
      <c r="JNW245"/>
      <c r="JNX245"/>
      <c r="JNY245"/>
      <c r="JNZ245"/>
      <c r="JOA245"/>
      <c r="JOB245"/>
      <c r="JOC245"/>
      <c r="JOD245"/>
      <c r="JOE245"/>
      <c r="JOF245"/>
      <c r="JOG245"/>
      <c r="JOH245"/>
      <c r="JOI245"/>
      <c r="JOJ245"/>
      <c r="JOK245"/>
      <c r="JOL245"/>
      <c r="JOM245"/>
      <c r="JON245"/>
      <c r="JOO245"/>
      <c r="JOP245"/>
      <c r="JOQ245"/>
      <c r="JOR245"/>
      <c r="JOS245"/>
      <c r="JOT245"/>
      <c r="JOU245"/>
      <c r="JOV245"/>
      <c r="JOW245"/>
      <c r="JOX245"/>
      <c r="JOY245"/>
      <c r="JOZ245"/>
      <c r="JPA245"/>
      <c r="JPB245"/>
      <c r="JPC245"/>
      <c r="JPD245"/>
      <c r="JPE245"/>
      <c r="JPF245"/>
      <c r="JPG245"/>
      <c r="JPH245"/>
      <c r="JPI245"/>
      <c r="JPJ245"/>
      <c r="JPK245"/>
      <c r="JPL245"/>
      <c r="JPM245"/>
      <c r="JPN245"/>
      <c r="JPO245"/>
      <c r="JPP245"/>
      <c r="JPQ245"/>
      <c r="JPR245"/>
      <c r="JPS245"/>
      <c r="JPT245"/>
      <c r="JPU245"/>
      <c r="JPV245"/>
      <c r="JPW245"/>
      <c r="JPX245"/>
      <c r="JPY245"/>
      <c r="JPZ245"/>
      <c r="JQA245"/>
      <c r="JQB245"/>
      <c r="JQC245"/>
      <c r="JQD245"/>
      <c r="JQE245"/>
      <c r="JQF245"/>
      <c r="JQG245"/>
      <c r="JQH245"/>
      <c r="JQI245"/>
      <c r="JQJ245"/>
      <c r="JQK245"/>
      <c r="JQL245"/>
      <c r="JQM245"/>
      <c r="JQN245"/>
      <c r="JQO245"/>
      <c r="JQP245"/>
      <c r="JQQ245"/>
      <c r="JQR245"/>
      <c r="JQS245"/>
      <c r="JQT245"/>
      <c r="JQU245"/>
      <c r="JQV245"/>
      <c r="JQW245"/>
      <c r="JQX245"/>
      <c r="JQY245"/>
      <c r="JQZ245"/>
      <c r="JRA245"/>
      <c r="JRB245"/>
      <c r="JRC245"/>
      <c r="JRD245"/>
      <c r="JRE245"/>
      <c r="JRF245"/>
      <c r="JRG245"/>
      <c r="JRH245"/>
      <c r="JRI245"/>
      <c r="JRJ245"/>
      <c r="JRK245"/>
      <c r="JRL245"/>
      <c r="JRM245"/>
      <c r="JRN245"/>
      <c r="JRO245"/>
      <c r="JRP245"/>
      <c r="JRQ245"/>
      <c r="JRR245"/>
      <c r="JRS245"/>
      <c r="JRT245"/>
      <c r="JRU245"/>
      <c r="JRV245"/>
      <c r="JRW245"/>
      <c r="JRX245"/>
      <c r="JRY245"/>
      <c r="JRZ245"/>
      <c r="JSA245"/>
      <c r="JSB245"/>
      <c r="JSC245"/>
      <c r="JSD245"/>
      <c r="JSE245"/>
      <c r="JSF245"/>
      <c r="JSG245"/>
      <c r="JSH245"/>
      <c r="JSI245"/>
      <c r="JSJ245"/>
      <c r="JSK245"/>
      <c r="JSL245"/>
      <c r="JSM245"/>
      <c r="JSN245"/>
      <c r="JSO245"/>
      <c r="JSP245"/>
      <c r="JSQ245"/>
      <c r="JSR245"/>
      <c r="JSS245"/>
      <c r="JST245"/>
      <c r="JSU245"/>
      <c r="JSV245"/>
      <c r="JSW245"/>
      <c r="JSX245"/>
      <c r="JSY245"/>
      <c r="JSZ245"/>
      <c r="JTA245"/>
      <c r="JTB245"/>
      <c r="JTC245"/>
      <c r="JTD245"/>
      <c r="JTE245"/>
      <c r="JTF245"/>
      <c r="JTG245"/>
      <c r="JTH245"/>
      <c r="JTI245"/>
      <c r="JTJ245"/>
      <c r="JTK245"/>
      <c r="JTL245"/>
      <c r="JTM245"/>
      <c r="JTN245"/>
      <c r="JTO245"/>
      <c r="JTP245"/>
      <c r="JTQ245"/>
      <c r="JTR245"/>
      <c r="JTS245"/>
      <c r="JTT245"/>
      <c r="JTU245"/>
      <c r="JTV245"/>
      <c r="JTW245"/>
      <c r="JTX245"/>
      <c r="JTY245"/>
      <c r="JTZ245"/>
      <c r="JUA245"/>
      <c r="JUB245"/>
      <c r="JUC245"/>
      <c r="JUD245"/>
      <c r="JUE245"/>
      <c r="JUF245"/>
      <c r="JUG245"/>
      <c r="JUH245"/>
      <c r="JUI245"/>
      <c r="JUJ245"/>
      <c r="JUK245"/>
      <c r="JUL245"/>
      <c r="JUM245"/>
      <c r="JUN245"/>
      <c r="JUO245"/>
      <c r="JUP245"/>
      <c r="JUQ245"/>
      <c r="JUR245"/>
      <c r="JUS245"/>
      <c r="JUT245"/>
      <c r="JUU245"/>
      <c r="JUV245"/>
      <c r="JUW245"/>
      <c r="JUX245"/>
      <c r="JUY245"/>
      <c r="JUZ245"/>
      <c r="JVA245"/>
      <c r="JVB245"/>
      <c r="JVC245"/>
      <c r="JVD245"/>
      <c r="JVE245"/>
      <c r="JVF245"/>
      <c r="JVG245"/>
      <c r="JVH245"/>
      <c r="JVI245"/>
      <c r="JVJ245"/>
      <c r="JVK245"/>
      <c r="JVL245"/>
      <c r="JVM245"/>
      <c r="JVN245"/>
      <c r="JVO245"/>
      <c r="JVP245"/>
      <c r="JVQ245"/>
      <c r="JVR245"/>
      <c r="JVS245"/>
      <c r="JVT245"/>
      <c r="JVU245"/>
      <c r="JVV245"/>
      <c r="JVW245"/>
      <c r="JVX245"/>
      <c r="JVY245"/>
      <c r="JVZ245"/>
      <c r="JWA245"/>
      <c r="JWB245"/>
      <c r="JWC245"/>
      <c r="JWD245"/>
      <c r="JWE245"/>
      <c r="JWF245"/>
      <c r="JWG245"/>
      <c r="JWH245"/>
      <c r="JWI245"/>
      <c r="JWJ245"/>
      <c r="JWK245"/>
      <c r="JWL245"/>
      <c r="JWM245"/>
      <c r="JWN245"/>
      <c r="JWO245"/>
      <c r="JWP245"/>
      <c r="JWQ245"/>
      <c r="JWR245"/>
      <c r="JWS245"/>
      <c r="JWT245"/>
      <c r="JWU245"/>
      <c r="JWV245"/>
      <c r="JWW245"/>
      <c r="JWX245"/>
      <c r="JWY245"/>
      <c r="JWZ245"/>
      <c r="JXA245"/>
      <c r="JXB245"/>
      <c r="JXC245"/>
      <c r="JXD245"/>
      <c r="JXE245"/>
      <c r="JXF245"/>
      <c r="JXG245"/>
      <c r="JXH245"/>
      <c r="JXI245"/>
      <c r="JXJ245"/>
      <c r="JXK245"/>
      <c r="JXL245"/>
      <c r="JXM245"/>
      <c r="JXN245"/>
      <c r="JXO245"/>
      <c r="JXP245"/>
      <c r="JXQ245"/>
      <c r="JXR245"/>
      <c r="JXS245"/>
      <c r="JXT245"/>
      <c r="JXU245"/>
      <c r="JXV245"/>
      <c r="JXW245"/>
      <c r="JXX245"/>
      <c r="JXY245"/>
      <c r="JXZ245"/>
      <c r="JYA245"/>
      <c r="JYB245"/>
      <c r="JYC245"/>
      <c r="JYD245"/>
      <c r="JYE245"/>
      <c r="JYF245"/>
      <c r="JYG245"/>
      <c r="JYH245"/>
      <c r="JYI245"/>
      <c r="JYJ245"/>
      <c r="JYK245"/>
      <c r="JYL245"/>
      <c r="JYM245"/>
      <c r="JYN245"/>
      <c r="JYO245"/>
      <c r="JYP245"/>
      <c r="JYQ245"/>
      <c r="JYR245"/>
      <c r="JYS245"/>
      <c r="JYT245"/>
      <c r="JYU245"/>
      <c r="JYV245"/>
      <c r="JYW245"/>
      <c r="JYX245"/>
      <c r="JYY245"/>
      <c r="JYZ245"/>
      <c r="JZA245"/>
      <c r="JZB245"/>
      <c r="JZC245"/>
      <c r="JZD245"/>
      <c r="JZE245"/>
      <c r="JZF245"/>
      <c r="JZG245"/>
      <c r="JZH245"/>
      <c r="JZI245"/>
      <c r="JZJ245"/>
      <c r="JZK245"/>
      <c r="JZL245"/>
      <c r="JZM245"/>
      <c r="JZN245"/>
      <c r="JZO245"/>
      <c r="JZP245"/>
      <c r="JZQ245"/>
      <c r="JZR245"/>
      <c r="JZS245"/>
      <c r="JZT245"/>
      <c r="JZU245"/>
      <c r="JZV245"/>
      <c r="JZW245"/>
      <c r="JZX245"/>
      <c r="JZY245"/>
      <c r="JZZ245"/>
      <c r="KAA245"/>
      <c r="KAB245"/>
      <c r="KAC245"/>
      <c r="KAD245"/>
      <c r="KAE245"/>
      <c r="KAF245"/>
      <c r="KAG245"/>
      <c r="KAH245"/>
      <c r="KAI245"/>
      <c r="KAJ245"/>
      <c r="KAK245"/>
      <c r="KAL245"/>
      <c r="KAM245"/>
      <c r="KAN245"/>
      <c r="KAO245"/>
      <c r="KAP245"/>
      <c r="KAQ245"/>
      <c r="KAR245"/>
      <c r="KAS245"/>
      <c r="KAT245"/>
      <c r="KAU245"/>
      <c r="KAV245"/>
      <c r="KAW245"/>
      <c r="KAX245"/>
      <c r="KAY245"/>
      <c r="KAZ245"/>
      <c r="KBA245"/>
      <c r="KBB245"/>
      <c r="KBC245"/>
      <c r="KBD245"/>
      <c r="KBE245"/>
      <c r="KBF245"/>
      <c r="KBG245"/>
      <c r="KBH245"/>
      <c r="KBI245"/>
      <c r="KBJ245"/>
      <c r="KBK245"/>
      <c r="KBL245"/>
      <c r="KBM245"/>
      <c r="KBN245"/>
      <c r="KBO245"/>
      <c r="KBP245"/>
      <c r="KBQ245"/>
      <c r="KBR245"/>
      <c r="KBS245"/>
      <c r="KBT245"/>
      <c r="KBU245"/>
      <c r="KBV245"/>
      <c r="KBW245"/>
      <c r="KBX245"/>
      <c r="KBY245"/>
      <c r="KBZ245"/>
      <c r="KCA245"/>
      <c r="KCB245"/>
      <c r="KCC245"/>
      <c r="KCD245"/>
      <c r="KCE245"/>
      <c r="KCF245"/>
      <c r="KCG245"/>
      <c r="KCH245"/>
      <c r="KCI245"/>
      <c r="KCJ245"/>
      <c r="KCK245"/>
      <c r="KCL245"/>
      <c r="KCM245"/>
      <c r="KCN245"/>
      <c r="KCO245"/>
      <c r="KCP245"/>
      <c r="KCQ245"/>
      <c r="KCR245"/>
      <c r="KCS245"/>
      <c r="KCT245"/>
      <c r="KCU245"/>
      <c r="KCV245"/>
      <c r="KCW245"/>
      <c r="KCX245"/>
      <c r="KCY245"/>
      <c r="KCZ245"/>
      <c r="KDA245"/>
      <c r="KDB245"/>
      <c r="KDC245"/>
      <c r="KDD245"/>
      <c r="KDE245"/>
      <c r="KDF245"/>
      <c r="KDG245"/>
      <c r="KDH245"/>
      <c r="KDI245"/>
      <c r="KDJ245"/>
      <c r="KDK245"/>
      <c r="KDL245"/>
      <c r="KDM245"/>
      <c r="KDN245"/>
      <c r="KDO245"/>
      <c r="KDP245"/>
      <c r="KDQ245"/>
      <c r="KDR245"/>
      <c r="KDS245"/>
      <c r="KDT245"/>
      <c r="KDU245"/>
      <c r="KDV245"/>
      <c r="KDW245"/>
      <c r="KDX245"/>
      <c r="KDY245"/>
      <c r="KDZ245"/>
      <c r="KEA245"/>
      <c r="KEB245"/>
      <c r="KEC245"/>
      <c r="KED245"/>
      <c r="KEE245"/>
      <c r="KEF245"/>
      <c r="KEG245"/>
      <c r="KEH245"/>
      <c r="KEI245"/>
      <c r="KEJ245"/>
      <c r="KEK245"/>
      <c r="KEL245"/>
      <c r="KEM245"/>
      <c r="KEN245"/>
      <c r="KEO245"/>
      <c r="KEP245"/>
      <c r="KEQ245"/>
      <c r="KER245"/>
      <c r="KES245"/>
      <c r="KET245"/>
      <c r="KEU245"/>
      <c r="KEV245"/>
      <c r="KEW245"/>
      <c r="KEX245"/>
      <c r="KEY245"/>
      <c r="KEZ245"/>
      <c r="KFA245"/>
      <c r="KFB245"/>
      <c r="KFC245"/>
      <c r="KFD245"/>
      <c r="KFE245"/>
      <c r="KFF245"/>
      <c r="KFG245"/>
      <c r="KFH245"/>
      <c r="KFI245"/>
      <c r="KFJ245"/>
      <c r="KFK245"/>
      <c r="KFL245"/>
      <c r="KFM245"/>
      <c r="KFN245"/>
      <c r="KFO245"/>
      <c r="KFP245"/>
      <c r="KFQ245"/>
      <c r="KFR245"/>
      <c r="KFS245"/>
      <c r="KFT245"/>
      <c r="KFU245"/>
      <c r="KFV245"/>
      <c r="KFW245"/>
      <c r="KFX245"/>
      <c r="KFY245"/>
      <c r="KFZ245"/>
      <c r="KGA245"/>
      <c r="KGB245"/>
      <c r="KGC245"/>
      <c r="KGD245"/>
      <c r="KGE245"/>
      <c r="KGF245"/>
      <c r="KGG245"/>
      <c r="KGH245"/>
      <c r="KGI245"/>
      <c r="KGJ245"/>
      <c r="KGK245"/>
      <c r="KGL245"/>
      <c r="KGM245"/>
      <c r="KGN245"/>
      <c r="KGO245"/>
      <c r="KGP245"/>
      <c r="KGQ245"/>
      <c r="KGR245"/>
      <c r="KGS245"/>
      <c r="KGT245"/>
      <c r="KGU245"/>
      <c r="KGV245"/>
      <c r="KGW245"/>
      <c r="KGX245"/>
      <c r="KGY245"/>
      <c r="KGZ245"/>
      <c r="KHA245"/>
      <c r="KHB245"/>
      <c r="KHC245"/>
      <c r="KHD245"/>
      <c r="KHE245"/>
      <c r="KHF245"/>
      <c r="KHG245"/>
      <c r="KHH245"/>
      <c r="KHI245"/>
      <c r="KHJ245"/>
      <c r="KHK245"/>
      <c r="KHL245"/>
      <c r="KHM245"/>
      <c r="KHN245"/>
      <c r="KHO245"/>
      <c r="KHP245"/>
      <c r="KHQ245"/>
      <c r="KHR245"/>
      <c r="KHS245"/>
      <c r="KHT245"/>
      <c r="KHU245"/>
      <c r="KHV245"/>
      <c r="KHW245"/>
      <c r="KHX245"/>
      <c r="KHY245"/>
      <c r="KHZ245"/>
      <c r="KIA245"/>
      <c r="KIB245"/>
      <c r="KIC245"/>
      <c r="KID245"/>
      <c r="KIE245"/>
      <c r="KIF245"/>
      <c r="KIG245"/>
      <c r="KIH245"/>
      <c r="KII245"/>
      <c r="KIJ245"/>
      <c r="KIK245"/>
      <c r="KIL245"/>
      <c r="KIM245"/>
      <c r="KIN245"/>
      <c r="KIO245"/>
      <c r="KIP245"/>
      <c r="KIQ245"/>
      <c r="KIR245"/>
      <c r="KIS245"/>
      <c r="KIT245"/>
      <c r="KIU245"/>
      <c r="KIV245"/>
      <c r="KIW245"/>
      <c r="KIX245"/>
      <c r="KIY245"/>
      <c r="KIZ245"/>
      <c r="KJA245"/>
      <c r="KJB245"/>
      <c r="KJC245"/>
      <c r="KJD245"/>
      <c r="KJE245"/>
      <c r="KJF245"/>
      <c r="KJG245"/>
      <c r="KJH245"/>
      <c r="KJI245"/>
      <c r="KJJ245"/>
      <c r="KJK245"/>
      <c r="KJL245"/>
      <c r="KJM245"/>
      <c r="KJN245"/>
      <c r="KJO245"/>
      <c r="KJP245"/>
      <c r="KJQ245"/>
      <c r="KJR245"/>
      <c r="KJS245"/>
      <c r="KJT245"/>
      <c r="KJU245"/>
      <c r="KJV245"/>
      <c r="KJW245"/>
      <c r="KJX245"/>
      <c r="KJY245"/>
      <c r="KJZ245"/>
      <c r="KKA245"/>
      <c r="KKB245"/>
      <c r="KKC245"/>
      <c r="KKD245"/>
      <c r="KKE245"/>
      <c r="KKF245"/>
      <c r="KKG245"/>
      <c r="KKH245"/>
      <c r="KKI245"/>
      <c r="KKJ245"/>
      <c r="KKK245"/>
      <c r="KKL245"/>
      <c r="KKM245"/>
      <c r="KKN245"/>
      <c r="KKO245"/>
      <c r="KKP245"/>
      <c r="KKQ245"/>
      <c r="KKR245"/>
      <c r="KKS245"/>
      <c r="KKT245"/>
      <c r="KKU245"/>
      <c r="KKV245"/>
      <c r="KKW245"/>
      <c r="KKX245"/>
      <c r="KKY245"/>
      <c r="KKZ245"/>
      <c r="KLA245"/>
      <c r="KLB245"/>
      <c r="KLC245"/>
      <c r="KLD245"/>
      <c r="KLE245"/>
      <c r="KLF245"/>
      <c r="KLG245"/>
      <c r="KLH245"/>
      <c r="KLI245"/>
      <c r="KLJ245"/>
      <c r="KLK245"/>
      <c r="KLL245"/>
      <c r="KLM245"/>
      <c r="KLN245"/>
      <c r="KLO245"/>
      <c r="KLP245"/>
      <c r="KLQ245"/>
      <c r="KLR245"/>
      <c r="KLS245"/>
      <c r="KLT245"/>
      <c r="KLU245"/>
      <c r="KLV245"/>
      <c r="KLW245"/>
      <c r="KLX245"/>
      <c r="KLY245"/>
      <c r="KLZ245"/>
      <c r="KMA245"/>
      <c r="KMB245"/>
      <c r="KMC245"/>
      <c r="KMD245"/>
      <c r="KME245"/>
      <c r="KMF245"/>
      <c r="KMG245"/>
      <c r="KMH245"/>
      <c r="KMI245"/>
      <c r="KMJ245"/>
      <c r="KMK245"/>
      <c r="KML245"/>
      <c r="KMM245"/>
      <c r="KMN245"/>
      <c r="KMO245"/>
      <c r="KMP245"/>
      <c r="KMQ245"/>
      <c r="KMR245"/>
      <c r="KMS245"/>
      <c r="KMT245"/>
      <c r="KMU245"/>
      <c r="KMV245"/>
      <c r="KMW245"/>
      <c r="KMX245"/>
      <c r="KMY245"/>
      <c r="KMZ245"/>
      <c r="KNA245"/>
      <c r="KNB245"/>
      <c r="KNC245"/>
      <c r="KND245"/>
      <c r="KNE245"/>
      <c r="KNF245"/>
      <c r="KNG245"/>
      <c r="KNH245"/>
      <c r="KNI245"/>
      <c r="KNJ245"/>
      <c r="KNK245"/>
      <c r="KNL245"/>
      <c r="KNM245"/>
      <c r="KNN245"/>
      <c r="KNO245"/>
      <c r="KNP245"/>
      <c r="KNQ245"/>
      <c r="KNR245"/>
      <c r="KNS245"/>
      <c r="KNT245"/>
      <c r="KNU245"/>
      <c r="KNV245"/>
      <c r="KNW245"/>
      <c r="KNX245"/>
      <c r="KNY245"/>
      <c r="KNZ245"/>
      <c r="KOA245"/>
      <c r="KOB245"/>
      <c r="KOC245"/>
      <c r="KOD245"/>
      <c r="KOE245"/>
      <c r="KOF245"/>
      <c r="KOG245"/>
      <c r="KOH245"/>
      <c r="KOI245"/>
      <c r="KOJ245"/>
      <c r="KOK245"/>
      <c r="KOL245"/>
      <c r="KOM245"/>
      <c r="KON245"/>
      <c r="KOO245"/>
      <c r="KOP245"/>
      <c r="KOQ245"/>
      <c r="KOR245"/>
      <c r="KOS245"/>
      <c r="KOT245"/>
      <c r="KOU245"/>
      <c r="KOV245"/>
      <c r="KOW245"/>
      <c r="KOX245"/>
      <c r="KOY245"/>
      <c r="KOZ245"/>
      <c r="KPA245"/>
      <c r="KPB245"/>
      <c r="KPC245"/>
      <c r="KPD245"/>
      <c r="KPE245"/>
      <c r="KPF245"/>
      <c r="KPG245"/>
      <c r="KPH245"/>
      <c r="KPI245"/>
      <c r="KPJ245"/>
      <c r="KPK245"/>
      <c r="KPL245"/>
      <c r="KPM245"/>
      <c r="KPN245"/>
      <c r="KPO245"/>
      <c r="KPP245"/>
      <c r="KPQ245"/>
      <c r="KPR245"/>
      <c r="KPS245"/>
      <c r="KPT245"/>
      <c r="KPU245"/>
      <c r="KPV245"/>
      <c r="KPW245"/>
      <c r="KPX245"/>
      <c r="KPY245"/>
      <c r="KPZ245"/>
      <c r="KQA245"/>
      <c r="KQB245"/>
      <c r="KQC245"/>
      <c r="KQD245"/>
      <c r="KQE245"/>
      <c r="KQF245"/>
      <c r="KQG245"/>
      <c r="KQH245"/>
      <c r="KQI245"/>
      <c r="KQJ245"/>
      <c r="KQK245"/>
      <c r="KQL245"/>
      <c r="KQM245"/>
      <c r="KQN245"/>
      <c r="KQO245"/>
      <c r="KQP245"/>
      <c r="KQQ245"/>
      <c r="KQR245"/>
      <c r="KQS245"/>
      <c r="KQT245"/>
      <c r="KQU245"/>
      <c r="KQV245"/>
      <c r="KQW245"/>
      <c r="KQX245"/>
      <c r="KQY245"/>
      <c r="KQZ245"/>
      <c r="KRA245"/>
      <c r="KRB245"/>
      <c r="KRC245"/>
      <c r="KRD245"/>
      <c r="KRE245"/>
      <c r="KRF245"/>
      <c r="KRG245"/>
      <c r="KRH245"/>
      <c r="KRI245"/>
      <c r="KRJ245"/>
      <c r="KRK245"/>
      <c r="KRL245"/>
      <c r="KRM245"/>
      <c r="KRN245"/>
      <c r="KRO245"/>
      <c r="KRP245"/>
      <c r="KRQ245"/>
      <c r="KRR245"/>
      <c r="KRS245"/>
      <c r="KRT245"/>
      <c r="KRU245"/>
      <c r="KRV245"/>
      <c r="KRW245"/>
      <c r="KRX245"/>
      <c r="KRY245"/>
      <c r="KRZ245"/>
      <c r="KSA245"/>
      <c r="KSB245"/>
      <c r="KSC245"/>
      <c r="KSD245"/>
      <c r="KSE245"/>
      <c r="KSF245"/>
      <c r="KSG245"/>
      <c r="KSH245"/>
      <c r="KSI245"/>
      <c r="KSJ245"/>
      <c r="KSK245"/>
      <c r="KSL245"/>
      <c r="KSM245"/>
      <c r="KSN245"/>
      <c r="KSO245"/>
      <c r="KSP245"/>
      <c r="KSQ245"/>
      <c r="KSR245"/>
      <c r="KSS245"/>
      <c r="KST245"/>
      <c r="KSU245"/>
      <c r="KSV245"/>
      <c r="KSW245"/>
      <c r="KSX245"/>
      <c r="KSY245"/>
      <c r="KSZ245"/>
      <c r="KTA245"/>
      <c r="KTB245"/>
      <c r="KTC245"/>
      <c r="KTD245"/>
      <c r="KTE245"/>
      <c r="KTF245"/>
      <c r="KTG245"/>
      <c r="KTH245"/>
      <c r="KTI245"/>
      <c r="KTJ245"/>
      <c r="KTK245"/>
      <c r="KTL245"/>
      <c r="KTM245"/>
      <c r="KTN245"/>
      <c r="KTO245"/>
      <c r="KTP245"/>
      <c r="KTQ245"/>
      <c r="KTR245"/>
      <c r="KTS245"/>
      <c r="KTT245"/>
      <c r="KTU245"/>
      <c r="KTV245"/>
      <c r="KTW245"/>
      <c r="KTX245"/>
      <c r="KTY245"/>
      <c r="KTZ245"/>
      <c r="KUA245"/>
      <c r="KUB245"/>
      <c r="KUC245"/>
      <c r="KUD245"/>
      <c r="KUE245"/>
      <c r="KUF245"/>
      <c r="KUG245"/>
      <c r="KUH245"/>
      <c r="KUI245"/>
      <c r="KUJ245"/>
      <c r="KUK245"/>
      <c r="KUL245"/>
      <c r="KUM245"/>
      <c r="KUN245"/>
      <c r="KUO245"/>
      <c r="KUP245"/>
      <c r="KUQ245"/>
      <c r="KUR245"/>
      <c r="KUS245"/>
      <c r="KUT245"/>
      <c r="KUU245"/>
      <c r="KUV245"/>
      <c r="KUW245"/>
      <c r="KUX245"/>
      <c r="KUY245"/>
      <c r="KUZ245"/>
      <c r="KVA245"/>
      <c r="KVB245"/>
      <c r="KVC245"/>
      <c r="KVD245"/>
      <c r="KVE245"/>
      <c r="KVF245"/>
      <c r="KVG245"/>
      <c r="KVH245"/>
      <c r="KVI245"/>
      <c r="KVJ245"/>
      <c r="KVK245"/>
      <c r="KVL245"/>
      <c r="KVM245"/>
      <c r="KVN245"/>
      <c r="KVO245"/>
      <c r="KVP245"/>
      <c r="KVQ245"/>
      <c r="KVR245"/>
      <c r="KVS245"/>
      <c r="KVT245"/>
      <c r="KVU245"/>
      <c r="KVV245"/>
      <c r="KVW245"/>
      <c r="KVX245"/>
      <c r="KVY245"/>
      <c r="KVZ245"/>
      <c r="KWA245"/>
      <c r="KWB245"/>
      <c r="KWC245"/>
      <c r="KWD245"/>
      <c r="KWE245"/>
      <c r="KWF245"/>
      <c r="KWG245"/>
      <c r="KWH245"/>
      <c r="KWI245"/>
      <c r="KWJ245"/>
      <c r="KWK245"/>
      <c r="KWL245"/>
      <c r="KWM245"/>
      <c r="KWN245"/>
      <c r="KWO245"/>
      <c r="KWP245"/>
      <c r="KWQ245"/>
      <c r="KWR245"/>
      <c r="KWS245"/>
      <c r="KWT245"/>
      <c r="KWU245"/>
      <c r="KWV245"/>
      <c r="KWW245"/>
      <c r="KWX245"/>
      <c r="KWY245"/>
      <c r="KWZ245"/>
      <c r="KXA245"/>
      <c r="KXB245"/>
      <c r="KXC245"/>
      <c r="KXD245"/>
      <c r="KXE245"/>
      <c r="KXF245"/>
      <c r="KXG245"/>
      <c r="KXH245"/>
      <c r="KXI245"/>
      <c r="KXJ245"/>
      <c r="KXK245"/>
      <c r="KXL245"/>
      <c r="KXM245"/>
      <c r="KXN245"/>
      <c r="KXO245"/>
      <c r="KXP245"/>
      <c r="KXQ245"/>
      <c r="KXR245"/>
      <c r="KXS245"/>
      <c r="KXT245"/>
      <c r="KXU245"/>
      <c r="KXV245"/>
      <c r="KXW245"/>
      <c r="KXX245"/>
      <c r="KXY245"/>
      <c r="KXZ245"/>
      <c r="KYA245"/>
      <c r="KYB245"/>
      <c r="KYC245"/>
      <c r="KYD245"/>
      <c r="KYE245"/>
      <c r="KYF245"/>
      <c r="KYG245"/>
      <c r="KYH245"/>
      <c r="KYI245"/>
      <c r="KYJ245"/>
      <c r="KYK245"/>
      <c r="KYL245"/>
      <c r="KYM245"/>
      <c r="KYN245"/>
      <c r="KYO245"/>
      <c r="KYP245"/>
      <c r="KYQ245"/>
      <c r="KYR245"/>
      <c r="KYS245"/>
      <c r="KYT245"/>
      <c r="KYU245"/>
      <c r="KYV245"/>
      <c r="KYW245"/>
      <c r="KYX245"/>
      <c r="KYY245"/>
      <c r="KYZ245"/>
      <c r="KZA245"/>
      <c r="KZB245"/>
      <c r="KZC245"/>
      <c r="KZD245"/>
      <c r="KZE245"/>
      <c r="KZF245"/>
      <c r="KZG245"/>
      <c r="KZH245"/>
      <c r="KZI245"/>
      <c r="KZJ245"/>
      <c r="KZK245"/>
      <c r="KZL245"/>
      <c r="KZM245"/>
      <c r="KZN245"/>
      <c r="KZO245"/>
      <c r="KZP245"/>
      <c r="KZQ245"/>
      <c r="KZR245"/>
      <c r="KZS245"/>
      <c r="KZT245"/>
      <c r="KZU245"/>
      <c r="KZV245"/>
      <c r="KZW245"/>
      <c r="KZX245"/>
      <c r="KZY245"/>
      <c r="KZZ245"/>
      <c r="LAA245"/>
      <c r="LAB245"/>
      <c r="LAC245"/>
      <c r="LAD245"/>
      <c r="LAE245"/>
      <c r="LAF245"/>
      <c r="LAG245"/>
      <c r="LAH245"/>
      <c r="LAI245"/>
      <c r="LAJ245"/>
      <c r="LAK245"/>
      <c r="LAL245"/>
      <c r="LAM245"/>
      <c r="LAN245"/>
      <c r="LAO245"/>
      <c r="LAP245"/>
      <c r="LAQ245"/>
      <c r="LAR245"/>
      <c r="LAS245"/>
      <c r="LAT245"/>
      <c r="LAU245"/>
      <c r="LAV245"/>
      <c r="LAW245"/>
      <c r="LAX245"/>
      <c r="LAY245"/>
      <c r="LAZ245"/>
      <c r="LBA245"/>
      <c r="LBB245"/>
      <c r="LBC245"/>
      <c r="LBD245"/>
      <c r="LBE245"/>
      <c r="LBF245"/>
      <c r="LBG245"/>
      <c r="LBH245"/>
      <c r="LBI245"/>
      <c r="LBJ245"/>
      <c r="LBK245"/>
      <c r="LBL245"/>
      <c r="LBM245"/>
      <c r="LBN245"/>
      <c r="LBO245"/>
      <c r="LBP245"/>
      <c r="LBQ245"/>
      <c r="LBR245"/>
      <c r="LBS245"/>
      <c r="LBT245"/>
      <c r="LBU245"/>
      <c r="LBV245"/>
      <c r="LBW245"/>
      <c r="LBX245"/>
      <c r="LBY245"/>
      <c r="LBZ245"/>
      <c r="LCA245"/>
      <c r="LCB245"/>
      <c r="LCC245"/>
      <c r="LCD245"/>
      <c r="LCE245"/>
      <c r="LCF245"/>
      <c r="LCG245"/>
      <c r="LCH245"/>
      <c r="LCI245"/>
      <c r="LCJ245"/>
      <c r="LCK245"/>
      <c r="LCL245"/>
      <c r="LCM245"/>
      <c r="LCN245"/>
      <c r="LCO245"/>
      <c r="LCP245"/>
      <c r="LCQ245"/>
      <c r="LCR245"/>
      <c r="LCS245"/>
      <c r="LCT245"/>
      <c r="LCU245"/>
      <c r="LCV245"/>
      <c r="LCW245"/>
      <c r="LCX245"/>
      <c r="LCY245"/>
      <c r="LCZ245"/>
      <c r="LDA245"/>
      <c r="LDB245"/>
      <c r="LDC245"/>
      <c r="LDD245"/>
      <c r="LDE245"/>
      <c r="LDF245"/>
      <c r="LDG245"/>
      <c r="LDH245"/>
      <c r="LDI245"/>
      <c r="LDJ245"/>
      <c r="LDK245"/>
      <c r="LDL245"/>
      <c r="LDM245"/>
      <c r="LDN245"/>
      <c r="LDO245"/>
      <c r="LDP245"/>
      <c r="LDQ245"/>
      <c r="LDR245"/>
      <c r="LDS245"/>
      <c r="LDT245"/>
      <c r="LDU245"/>
      <c r="LDV245"/>
      <c r="LDW245"/>
      <c r="LDX245"/>
      <c r="LDY245"/>
      <c r="LDZ245"/>
      <c r="LEA245"/>
      <c r="LEB245"/>
      <c r="LEC245"/>
      <c r="LED245"/>
      <c r="LEE245"/>
      <c r="LEF245"/>
      <c r="LEG245"/>
      <c r="LEH245"/>
      <c r="LEI245"/>
      <c r="LEJ245"/>
      <c r="LEK245"/>
      <c r="LEL245"/>
      <c r="LEM245"/>
      <c r="LEN245"/>
      <c r="LEO245"/>
      <c r="LEP245"/>
      <c r="LEQ245"/>
      <c r="LER245"/>
      <c r="LES245"/>
      <c r="LET245"/>
      <c r="LEU245"/>
      <c r="LEV245"/>
      <c r="LEW245"/>
      <c r="LEX245"/>
      <c r="LEY245"/>
      <c r="LEZ245"/>
      <c r="LFA245"/>
      <c r="LFB245"/>
      <c r="LFC245"/>
      <c r="LFD245"/>
      <c r="LFE245"/>
      <c r="LFF245"/>
      <c r="LFG245"/>
      <c r="LFH245"/>
      <c r="LFI245"/>
      <c r="LFJ245"/>
      <c r="LFK245"/>
      <c r="LFL245"/>
      <c r="LFM245"/>
      <c r="LFN245"/>
      <c r="LFO245"/>
      <c r="LFP245"/>
      <c r="LFQ245"/>
      <c r="LFR245"/>
      <c r="LFS245"/>
      <c r="LFT245"/>
      <c r="LFU245"/>
      <c r="LFV245"/>
      <c r="LFW245"/>
      <c r="LFX245"/>
      <c r="LFY245"/>
      <c r="LFZ245"/>
      <c r="LGA245"/>
      <c r="LGB245"/>
      <c r="LGC245"/>
      <c r="LGD245"/>
      <c r="LGE245"/>
      <c r="LGF245"/>
      <c r="LGG245"/>
      <c r="LGH245"/>
      <c r="LGI245"/>
      <c r="LGJ245"/>
      <c r="LGK245"/>
      <c r="LGL245"/>
      <c r="LGM245"/>
      <c r="LGN245"/>
      <c r="LGO245"/>
      <c r="LGP245"/>
      <c r="LGQ245"/>
      <c r="LGR245"/>
      <c r="LGS245"/>
      <c r="LGT245"/>
      <c r="LGU245"/>
      <c r="LGV245"/>
      <c r="LGW245"/>
      <c r="LGX245"/>
      <c r="LGY245"/>
      <c r="LGZ245"/>
      <c r="LHA245"/>
      <c r="LHB245"/>
      <c r="LHC245"/>
      <c r="LHD245"/>
      <c r="LHE245"/>
      <c r="LHF245"/>
      <c r="LHG245"/>
      <c r="LHH245"/>
      <c r="LHI245"/>
      <c r="LHJ245"/>
      <c r="LHK245"/>
      <c r="LHL245"/>
      <c r="LHM245"/>
      <c r="LHN245"/>
      <c r="LHO245"/>
      <c r="LHP245"/>
      <c r="LHQ245"/>
      <c r="LHR245"/>
      <c r="LHS245"/>
      <c r="LHT245"/>
      <c r="LHU245"/>
      <c r="LHV245"/>
      <c r="LHW245"/>
      <c r="LHX245"/>
      <c r="LHY245"/>
      <c r="LHZ245"/>
      <c r="LIA245"/>
      <c r="LIB245"/>
      <c r="LIC245"/>
      <c r="LID245"/>
      <c r="LIE245"/>
      <c r="LIF245"/>
      <c r="LIG245"/>
      <c r="LIH245"/>
      <c r="LII245"/>
      <c r="LIJ245"/>
      <c r="LIK245"/>
      <c r="LIL245"/>
      <c r="LIM245"/>
      <c r="LIN245"/>
      <c r="LIO245"/>
      <c r="LIP245"/>
      <c r="LIQ245"/>
      <c r="LIR245"/>
      <c r="LIS245"/>
      <c r="LIT245"/>
      <c r="LIU245"/>
      <c r="LIV245"/>
      <c r="LIW245"/>
      <c r="LIX245"/>
      <c r="LIY245"/>
      <c r="LIZ245"/>
      <c r="LJA245"/>
      <c r="LJB245"/>
      <c r="LJC245"/>
      <c r="LJD245"/>
      <c r="LJE245"/>
      <c r="LJF245"/>
      <c r="LJG245"/>
      <c r="LJH245"/>
      <c r="LJI245"/>
      <c r="LJJ245"/>
      <c r="LJK245"/>
      <c r="LJL245"/>
      <c r="LJM245"/>
      <c r="LJN245"/>
      <c r="LJO245"/>
      <c r="LJP245"/>
      <c r="LJQ245"/>
      <c r="LJR245"/>
      <c r="LJS245"/>
      <c r="LJT245"/>
      <c r="LJU245"/>
      <c r="LJV245"/>
      <c r="LJW245"/>
      <c r="LJX245"/>
      <c r="LJY245"/>
      <c r="LJZ245"/>
      <c r="LKA245"/>
      <c r="LKB245"/>
      <c r="LKC245"/>
      <c r="LKD245"/>
      <c r="LKE245"/>
      <c r="LKF245"/>
      <c r="LKG245"/>
      <c r="LKH245"/>
      <c r="LKI245"/>
      <c r="LKJ245"/>
      <c r="LKK245"/>
      <c r="LKL245"/>
      <c r="LKM245"/>
      <c r="LKN245"/>
      <c r="LKO245"/>
      <c r="LKP245"/>
      <c r="LKQ245"/>
      <c r="LKR245"/>
      <c r="LKS245"/>
      <c r="LKT245"/>
      <c r="LKU245"/>
      <c r="LKV245"/>
      <c r="LKW245"/>
      <c r="LKX245"/>
      <c r="LKY245"/>
      <c r="LKZ245"/>
      <c r="LLA245"/>
      <c r="LLB245"/>
      <c r="LLC245"/>
      <c r="LLD245"/>
      <c r="LLE245"/>
      <c r="LLF245"/>
      <c r="LLG245"/>
      <c r="LLH245"/>
      <c r="LLI245"/>
      <c r="LLJ245"/>
      <c r="LLK245"/>
      <c r="LLL245"/>
      <c r="LLM245"/>
      <c r="LLN245"/>
      <c r="LLO245"/>
      <c r="LLP245"/>
      <c r="LLQ245"/>
      <c r="LLR245"/>
      <c r="LLS245"/>
      <c r="LLT245"/>
      <c r="LLU245"/>
      <c r="LLV245"/>
      <c r="LLW245"/>
      <c r="LLX245"/>
      <c r="LLY245"/>
      <c r="LLZ245"/>
      <c r="LMA245"/>
      <c r="LMB245"/>
      <c r="LMC245"/>
      <c r="LMD245"/>
      <c r="LME245"/>
      <c r="LMF245"/>
      <c r="LMG245"/>
      <c r="LMH245"/>
      <c r="LMI245"/>
      <c r="LMJ245"/>
      <c r="LMK245"/>
      <c r="LML245"/>
      <c r="LMM245"/>
      <c r="LMN245"/>
      <c r="LMO245"/>
      <c r="LMP245"/>
      <c r="LMQ245"/>
      <c r="LMR245"/>
      <c r="LMS245"/>
      <c r="LMT245"/>
      <c r="LMU245"/>
      <c r="LMV245"/>
      <c r="LMW245"/>
      <c r="LMX245"/>
      <c r="LMY245"/>
      <c r="LMZ245"/>
      <c r="LNA245"/>
      <c r="LNB245"/>
      <c r="LNC245"/>
      <c r="LND245"/>
      <c r="LNE245"/>
      <c r="LNF245"/>
      <c r="LNG245"/>
      <c r="LNH245"/>
      <c r="LNI245"/>
      <c r="LNJ245"/>
      <c r="LNK245"/>
      <c r="LNL245"/>
      <c r="LNM245"/>
      <c r="LNN245"/>
      <c r="LNO245"/>
      <c r="LNP245"/>
      <c r="LNQ245"/>
      <c r="LNR245"/>
      <c r="LNS245"/>
      <c r="LNT245"/>
      <c r="LNU245"/>
      <c r="LNV245"/>
      <c r="LNW245"/>
      <c r="LNX245"/>
      <c r="LNY245"/>
      <c r="LNZ245"/>
      <c r="LOA245"/>
      <c r="LOB245"/>
      <c r="LOC245"/>
      <c r="LOD245"/>
      <c r="LOE245"/>
      <c r="LOF245"/>
      <c r="LOG245"/>
      <c r="LOH245"/>
      <c r="LOI245"/>
      <c r="LOJ245"/>
      <c r="LOK245"/>
      <c r="LOL245"/>
      <c r="LOM245"/>
      <c r="LON245"/>
      <c r="LOO245"/>
      <c r="LOP245"/>
      <c r="LOQ245"/>
      <c r="LOR245"/>
      <c r="LOS245"/>
      <c r="LOT245"/>
      <c r="LOU245"/>
      <c r="LOV245"/>
      <c r="LOW245"/>
      <c r="LOX245"/>
      <c r="LOY245"/>
      <c r="LOZ245"/>
      <c r="LPA245"/>
      <c r="LPB245"/>
      <c r="LPC245"/>
      <c r="LPD245"/>
      <c r="LPE245"/>
      <c r="LPF245"/>
      <c r="LPG245"/>
      <c r="LPH245"/>
      <c r="LPI245"/>
      <c r="LPJ245"/>
      <c r="LPK245"/>
      <c r="LPL245"/>
      <c r="LPM245"/>
      <c r="LPN245"/>
      <c r="LPO245"/>
      <c r="LPP245"/>
      <c r="LPQ245"/>
      <c r="LPR245"/>
      <c r="LPS245"/>
      <c r="LPT245"/>
      <c r="LPU245"/>
      <c r="LPV245"/>
      <c r="LPW245"/>
      <c r="LPX245"/>
      <c r="LPY245"/>
      <c r="LPZ245"/>
      <c r="LQA245"/>
      <c r="LQB245"/>
      <c r="LQC245"/>
      <c r="LQD245"/>
      <c r="LQE245"/>
      <c r="LQF245"/>
      <c r="LQG245"/>
      <c r="LQH245"/>
      <c r="LQI245"/>
      <c r="LQJ245"/>
      <c r="LQK245"/>
      <c r="LQL245"/>
      <c r="LQM245"/>
      <c r="LQN245"/>
      <c r="LQO245"/>
      <c r="LQP245"/>
      <c r="LQQ245"/>
      <c r="LQR245"/>
      <c r="LQS245"/>
      <c r="LQT245"/>
      <c r="LQU245"/>
      <c r="LQV245"/>
      <c r="LQW245"/>
      <c r="LQX245"/>
      <c r="LQY245"/>
      <c r="LQZ245"/>
      <c r="LRA245"/>
      <c r="LRB245"/>
      <c r="LRC245"/>
      <c r="LRD245"/>
      <c r="LRE245"/>
      <c r="LRF245"/>
      <c r="LRG245"/>
      <c r="LRH245"/>
      <c r="LRI245"/>
      <c r="LRJ245"/>
      <c r="LRK245"/>
      <c r="LRL245"/>
      <c r="LRM245"/>
      <c r="LRN245"/>
      <c r="LRO245"/>
      <c r="LRP245"/>
      <c r="LRQ245"/>
      <c r="LRR245"/>
      <c r="LRS245"/>
      <c r="LRT245"/>
      <c r="LRU245"/>
      <c r="LRV245"/>
      <c r="LRW245"/>
      <c r="LRX245"/>
      <c r="LRY245"/>
      <c r="LRZ245"/>
      <c r="LSA245"/>
      <c r="LSB245"/>
      <c r="LSC245"/>
      <c r="LSD245"/>
      <c r="LSE245"/>
      <c r="LSF245"/>
      <c r="LSG245"/>
      <c r="LSH245"/>
      <c r="LSI245"/>
      <c r="LSJ245"/>
      <c r="LSK245"/>
      <c r="LSL245"/>
      <c r="LSM245"/>
      <c r="LSN245"/>
      <c r="LSO245"/>
      <c r="LSP245"/>
      <c r="LSQ245"/>
      <c r="LSR245"/>
      <c r="LSS245"/>
      <c r="LST245"/>
      <c r="LSU245"/>
      <c r="LSV245"/>
      <c r="LSW245"/>
      <c r="LSX245"/>
      <c r="LSY245"/>
      <c r="LSZ245"/>
      <c r="LTA245"/>
      <c r="LTB245"/>
      <c r="LTC245"/>
      <c r="LTD245"/>
      <c r="LTE245"/>
      <c r="LTF245"/>
      <c r="LTG245"/>
      <c r="LTH245"/>
      <c r="LTI245"/>
      <c r="LTJ245"/>
      <c r="LTK245"/>
      <c r="LTL245"/>
      <c r="LTM245"/>
      <c r="LTN245"/>
      <c r="LTO245"/>
      <c r="LTP245"/>
      <c r="LTQ245"/>
      <c r="LTR245"/>
      <c r="LTS245"/>
      <c r="LTT245"/>
      <c r="LTU245"/>
      <c r="LTV245"/>
      <c r="LTW245"/>
      <c r="LTX245"/>
      <c r="LTY245"/>
      <c r="LTZ245"/>
      <c r="LUA245"/>
      <c r="LUB245"/>
      <c r="LUC245"/>
      <c r="LUD245"/>
      <c r="LUE245"/>
      <c r="LUF245"/>
      <c r="LUG245"/>
      <c r="LUH245"/>
      <c r="LUI245"/>
      <c r="LUJ245"/>
      <c r="LUK245"/>
      <c r="LUL245"/>
      <c r="LUM245"/>
      <c r="LUN245"/>
      <c r="LUO245"/>
      <c r="LUP245"/>
      <c r="LUQ245"/>
      <c r="LUR245"/>
      <c r="LUS245"/>
      <c r="LUT245"/>
      <c r="LUU245"/>
      <c r="LUV245"/>
      <c r="LUW245"/>
      <c r="LUX245"/>
      <c r="LUY245"/>
      <c r="LUZ245"/>
      <c r="LVA245"/>
      <c r="LVB245"/>
      <c r="LVC245"/>
      <c r="LVD245"/>
      <c r="LVE245"/>
      <c r="LVF245"/>
      <c r="LVG245"/>
      <c r="LVH245"/>
      <c r="LVI245"/>
      <c r="LVJ245"/>
      <c r="LVK245"/>
      <c r="LVL245"/>
      <c r="LVM245"/>
      <c r="LVN245"/>
      <c r="LVO245"/>
      <c r="LVP245"/>
      <c r="LVQ245"/>
      <c r="LVR245"/>
      <c r="LVS245"/>
      <c r="LVT245"/>
      <c r="LVU245"/>
      <c r="LVV245"/>
      <c r="LVW245"/>
      <c r="LVX245"/>
      <c r="LVY245"/>
      <c r="LVZ245"/>
      <c r="LWA245"/>
      <c r="LWB245"/>
      <c r="LWC245"/>
      <c r="LWD245"/>
      <c r="LWE245"/>
      <c r="LWF245"/>
      <c r="LWG245"/>
      <c r="LWH245"/>
      <c r="LWI245"/>
      <c r="LWJ245"/>
      <c r="LWK245"/>
      <c r="LWL245"/>
      <c r="LWM245"/>
      <c r="LWN245"/>
      <c r="LWO245"/>
      <c r="LWP245"/>
      <c r="LWQ245"/>
      <c r="LWR245"/>
      <c r="LWS245"/>
      <c r="LWT245"/>
      <c r="LWU245"/>
      <c r="LWV245"/>
      <c r="LWW245"/>
      <c r="LWX245"/>
      <c r="LWY245"/>
      <c r="LWZ245"/>
      <c r="LXA245"/>
      <c r="LXB245"/>
      <c r="LXC245"/>
      <c r="LXD245"/>
      <c r="LXE245"/>
      <c r="LXF245"/>
      <c r="LXG245"/>
      <c r="LXH245"/>
      <c r="LXI245"/>
      <c r="LXJ245"/>
      <c r="LXK245"/>
      <c r="LXL245"/>
      <c r="LXM245"/>
      <c r="LXN245"/>
      <c r="LXO245"/>
      <c r="LXP245"/>
      <c r="LXQ245"/>
      <c r="LXR245"/>
      <c r="LXS245"/>
      <c r="LXT245"/>
      <c r="LXU245"/>
      <c r="LXV245"/>
      <c r="LXW245"/>
      <c r="LXX245"/>
      <c r="LXY245"/>
      <c r="LXZ245"/>
      <c r="LYA245"/>
      <c r="LYB245"/>
      <c r="LYC245"/>
      <c r="LYD245"/>
      <c r="LYE245"/>
      <c r="LYF245"/>
      <c r="LYG245"/>
      <c r="LYH245"/>
      <c r="LYI245"/>
      <c r="LYJ245"/>
      <c r="LYK245"/>
      <c r="LYL245"/>
      <c r="LYM245"/>
      <c r="LYN245"/>
      <c r="LYO245"/>
      <c r="LYP245"/>
      <c r="LYQ245"/>
      <c r="LYR245"/>
      <c r="LYS245"/>
      <c r="LYT245"/>
      <c r="LYU245"/>
      <c r="LYV245"/>
      <c r="LYW245"/>
      <c r="LYX245"/>
      <c r="LYY245"/>
      <c r="LYZ245"/>
      <c r="LZA245"/>
      <c r="LZB245"/>
      <c r="LZC245"/>
      <c r="LZD245"/>
      <c r="LZE245"/>
      <c r="LZF245"/>
      <c r="LZG245"/>
      <c r="LZH245"/>
      <c r="LZI245"/>
      <c r="LZJ245"/>
      <c r="LZK245"/>
      <c r="LZL245"/>
      <c r="LZM245"/>
      <c r="LZN245"/>
      <c r="LZO245"/>
      <c r="LZP245"/>
      <c r="LZQ245"/>
      <c r="LZR245"/>
      <c r="LZS245"/>
      <c r="LZT245"/>
      <c r="LZU245"/>
      <c r="LZV245"/>
      <c r="LZW245"/>
      <c r="LZX245"/>
      <c r="LZY245"/>
      <c r="LZZ245"/>
      <c r="MAA245"/>
      <c r="MAB245"/>
      <c r="MAC245"/>
      <c r="MAD245"/>
      <c r="MAE245"/>
      <c r="MAF245"/>
      <c r="MAG245"/>
      <c r="MAH245"/>
      <c r="MAI245"/>
      <c r="MAJ245"/>
      <c r="MAK245"/>
      <c r="MAL245"/>
      <c r="MAM245"/>
      <c r="MAN245"/>
      <c r="MAO245"/>
      <c r="MAP245"/>
      <c r="MAQ245"/>
      <c r="MAR245"/>
      <c r="MAS245"/>
      <c r="MAT245"/>
      <c r="MAU245"/>
      <c r="MAV245"/>
      <c r="MAW245"/>
      <c r="MAX245"/>
      <c r="MAY245"/>
      <c r="MAZ245"/>
      <c r="MBA245"/>
      <c r="MBB245"/>
      <c r="MBC245"/>
      <c r="MBD245"/>
      <c r="MBE245"/>
      <c r="MBF245"/>
      <c r="MBG245"/>
      <c r="MBH245"/>
      <c r="MBI245"/>
      <c r="MBJ245"/>
      <c r="MBK245"/>
      <c r="MBL245"/>
      <c r="MBM245"/>
      <c r="MBN245"/>
      <c r="MBO245"/>
      <c r="MBP245"/>
      <c r="MBQ245"/>
      <c r="MBR245"/>
      <c r="MBS245"/>
      <c r="MBT245"/>
      <c r="MBU245"/>
      <c r="MBV245"/>
      <c r="MBW245"/>
      <c r="MBX245"/>
      <c r="MBY245"/>
      <c r="MBZ245"/>
      <c r="MCA245"/>
      <c r="MCB245"/>
      <c r="MCC245"/>
      <c r="MCD245"/>
      <c r="MCE245"/>
      <c r="MCF245"/>
      <c r="MCG245"/>
      <c r="MCH245"/>
      <c r="MCI245"/>
      <c r="MCJ245"/>
      <c r="MCK245"/>
      <c r="MCL245"/>
      <c r="MCM245"/>
      <c r="MCN245"/>
      <c r="MCO245"/>
      <c r="MCP245"/>
      <c r="MCQ245"/>
      <c r="MCR245"/>
      <c r="MCS245"/>
      <c r="MCT245"/>
      <c r="MCU245"/>
      <c r="MCV245"/>
      <c r="MCW245"/>
      <c r="MCX245"/>
      <c r="MCY245"/>
      <c r="MCZ245"/>
      <c r="MDA245"/>
      <c r="MDB245"/>
      <c r="MDC245"/>
      <c r="MDD245"/>
      <c r="MDE245"/>
      <c r="MDF245"/>
      <c r="MDG245"/>
      <c r="MDH245"/>
      <c r="MDI245"/>
      <c r="MDJ245"/>
      <c r="MDK245"/>
      <c r="MDL245"/>
      <c r="MDM245"/>
      <c r="MDN245"/>
      <c r="MDO245"/>
      <c r="MDP245"/>
      <c r="MDQ245"/>
      <c r="MDR245"/>
      <c r="MDS245"/>
      <c r="MDT245"/>
      <c r="MDU245"/>
      <c r="MDV245"/>
      <c r="MDW245"/>
      <c r="MDX245"/>
      <c r="MDY245"/>
      <c r="MDZ245"/>
      <c r="MEA245"/>
      <c r="MEB245"/>
      <c r="MEC245"/>
      <c r="MED245"/>
      <c r="MEE245"/>
      <c r="MEF245"/>
      <c r="MEG245"/>
      <c r="MEH245"/>
      <c r="MEI245"/>
      <c r="MEJ245"/>
      <c r="MEK245"/>
      <c r="MEL245"/>
      <c r="MEM245"/>
      <c r="MEN245"/>
      <c r="MEO245"/>
      <c r="MEP245"/>
      <c r="MEQ245"/>
      <c r="MER245"/>
      <c r="MES245"/>
      <c r="MET245"/>
      <c r="MEU245"/>
      <c r="MEV245"/>
      <c r="MEW245"/>
      <c r="MEX245"/>
      <c r="MEY245"/>
      <c r="MEZ245"/>
      <c r="MFA245"/>
      <c r="MFB245"/>
      <c r="MFC245"/>
      <c r="MFD245"/>
      <c r="MFE245"/>
      <c r="MFF245"/>
      <c r="MFG245"/>
      <c r="MFH245"/>
      <c r="MFI245"/>
      <c r="MFJ245"/>
      <c r="MFK245"/>
      <c r="MFL245"/>
      <c r="MFM245"/>
      <c r="MFN245"/>
      <c r="MFO245"/>
      <c r="MFP245"/>
      <c r="MFQ245"/>
      <c r="MFR245"/>
      <c r="MFS245"/>
      <c r="MFT245"/>
      <c r="MFU245"/>
      <c r="MFV245"/>
      <c r="MFW245"/>
      <c r="MFX245"/>
      <c r="MFY245"/>
      <c r="MFZ245"/>
      <c r="MGA245"/>
      <c r="MGB245"/>
      <c r="MGC245"/>
      <c r="MGD245"/>
      <c r="MGE245"/>
      <c r="MGF245"/>
      <c r="MGG245"/>
      <c r="MGH245"/>
      <c r="MGI245"/>
      <c r="MGJ245"/>
      <c r="MGK245"/>
      <c r="MGL245"/>
      <c r="MGM245"/>
      <c r="MGN245"/>
      <c r="MGO245"/>
      <c r="MGP245"/>
      <c r="MGQ245"/>
      <c r="MGR245"/>
      <c r="MGS245"/>
      <c r="MGT245"/>
      <c r="MGU245"/>
      <c r="MGV245"/>
      <c r="MGW245"/>
      <c r="MGX245"/>
      <c r="MGY245"/>
      <c r="MGZ245"/>
      <c r="MHA245"/>
      <c r="MHB245"/>
      <c r="MHC245"/>
      <c r="MHD245"/>
      <c r="MHE245"/>
      <c r="MHF245"/>
      <c r="MHG245"/>
      <c r="MHH245"/>
      <c r="MHI245"/>
      <c r="MHJ245"/>
      <c r="MHK245"/>
      <c r="MHL245"/>
      <c r="MHM245"/>
      <c r="MHN245"/>
      <c r="MHO245"/>
      <c r="MHP245"/>
      <c r="MHQ245"/>
      <c r="MHR245"/>
      <c r="MHS245"/>
      <c r="MHT245"/>
      <c r="MHU245"/>
      <c r="MHV245"/>
      <c r="MHW245"/>
      <c r="MHX245"/>
      <c r="MHY245"/>
      <c r="MHZ245"/>
      <c r="MIA245"/>
      <c r="MIB245"/>
      <c r="MIC245"/>
      <c r="MID245"/>
      <c r="MIE245"/>
      <c r="MIF245"/>
      <c r="MIG245"/>
      <c r="MIH245"/>
      <c r="MII245"/>
      <c r="MIJ245"/>
      <c r="MIK245"/>
      <c r="MIL245"/>
      <c r="MIM245"/>
      <c r="MIN245"/>
      <c r="MIO245"/>
      <c r="MIP245"/>
      <c r="MIQ245"/>
      <c r="MIR245"/>
      <c r="MIS245"/>
      <c r="MIT245"/>
      <c r="MIU245"/>
      <c r="MIV245"/>
      <c r="MIW245"/>
      <c r="MIX245"/>
      <c r="MIY245"/>
      <c r="MIZ245"/>
      <c r="MJA245"/>
      <c r="MJB245"/>
      <c r="MJC245"/>
      <c r="MJD245"/>
      <c r="MJE245"/>
      <c r="MJF245"/>
      <c r="MJG245"/>
      <c r="MJH245"/>
      <c r="MJI245"/>
      <c r="MJJ245"/>
      <c r="MJK245"/>
      <c r="MJL245"/>
      <c r="MJM245"/>
      <c r="MJN245"/>
      <c r="MJO245"/>
      <c r="MJP245"/>
      <c r="MJQ245"/>
      <c r="MJR245"/>
      <c r="MJS245"/>
      <c r="MJT245"/>
      <c r="MJU245"/>
      <c r="MJV245"/>
      <c r="MJW245"/>
      <c r="MJX245"/>
      <c r="MJY245"/>
      <c r="MJZ245"/>
      <c r="MKA245"/>
      <c r="MKB245"/>
      <c r="MKC245"/>
      <c r="MKD245"/>
      <c r="MKE245"/>
      <c r="MKF245"/>
      <c r="MKG245"/>
      <c r="MKH245"/>
      <c r="MKI245"/>
      <c r="MKJ245"/>
      <c r="MKK245"/>
      <c r="MKL245"/>
      <c r="MKM245"/>
      <c r="MKN245"/>
      <c r="MKO245"/>
      <c r="MKP245"/>
      <c r="MKQ245"/>
      <c r="MKR245"/>
      <c r="MKS245"/>
      <c r="MKT245"/>
      <c r="MKU245"/>
      <c r="MKV245"/>
      <c r="MKW245"/>
      <c r="MKX245"/>
      <c r="MKY245"/>
      <c r="MKZ245"/>
      <c r="MLA245"/>
      <c r="MLB245"/>
      <c r="MLC245"/>
      <c r="MLD245"/>
      <c r="MLE245"/>
      <c r="MLF245"/>
      <c r="MLG245"/>
      <c r="MLH245"/>
      <c r="MLI245"/>
      <c r="MLJ245"/>
      <c r="MLK245"/>
      <c r="MLL245"/>
      <c r="MLM245"/>
      <c r="MLN245"/>
      <c r="MLO245"/>
      <c r="MLP245"/>
      <c r="MLQ245"/>
      <c r="MLR245"/>
      <c r="MLS245"/>
      <c r="MLT245"/>
      <c r="MLU245"/>
      <c r="MLV245"/>
      <c r="MLW245"/>
      <c r="MLX245"/>
      <c r="MLY245"/>
      <c r="MLZ245"/>
      <c r="MMA245"/>
      <c r="MMB245"/>
      <c r="MMC245"/>
      <c r="MMD245"/>
      <c r="MME245"/>
      <c r="MMF245"/>
      <c r="MMG245"/>
      <c r="MMH245"/>
      <c r="MMI245"/>
      <c r="MMJ245"/>
      <c r="MMK245"/>
      <c r="MML245"/>
      <c r="MMM245"/>
      <c r="MMN245"/>
      <c r="MMO245"/>
      <c r="MMP245"/>
      <c r="MMQ245"/>
      <c r="MMR245"/>
      <c r="MMS245"/>
      <c r="MMT245"/>
      <c r="MMU245"/>
      <c r="MMV245"/>
      <c r="MMW245"/>
      <c r="MMX245"/>
      <c r="MMY245"/>
      <c r="MMZ245"/>
      <c r="MNA245"/>
      <c r="MNB245"/>
      <c r="MNC245"/>
      <c r="MND245"/>
      <c r="MNE245"/>
      <c r="MNF245"/>
      <c r="MNG245"/>
      <c r="MNH245"/>
      <c r="MNI245"/>
      <c r="MNJ245"/>
      <c r="MNK245"/>
      <c r="MNL245"/>
      <c r="MNM245"/>
      <c r="MNN245"/>
      <c r="MNO245"/>
      <c r="MNP245"/>
      <c r="MNQ245"/>
      <c r="MNR245"/>
      <c r="MNS245"/>
      <c r="MNT245"/>
      <c r="MNU245"/>
      <c r="MNV245"/>
      <c r="MNW245"/>
      <c r="MNX245"/>
      <c r="MNY245"/>
      <c r="MNZ245"/>
      <c r="MOA245"/>
      <c r="MOB245"/>
      <c r="MOC245"/>
      <c r="MOD245"/>
      <c r="MOE245"/>
      <c r="MOF245"/>
      <c r="MOG245"/>
      <c r="MOH245"/>
      <c r="MOI245"/>
      <c r="MOJ245"/>
      <c r="MOK245"/>
      <c r="MOL245"/>
      <c r="MOM245"/>
      <c r="MON245"/>
      <c r="MOO245"/>
      <c r="MOP245"/>
      <c r="MOQ245"/>
      <c r="MOR245"/>
      <c r="MOS245"/>
      <c r="MOT245"/>
      <c r="MOU245"/>
      <c r="MOV245"/>
      <c r="MOW245"/>
      <c r="MOX245"/>
      <c r="MOY245"/>
      <c r="MOZ245"/>
      <c r="MPA245"/>
      <c r="MPB245"/>
      <c r="MPC245"/>
      <c r="MPD245"/>
      <c r="MPE245"/>
      <c r="MPF245"/>
      <c r="MPG245"/>
      <c r="MPH245"/>
      <c r="MPI245"/>
      <c r="MPJ245"/>
      <c r="MPK245"/>
      <c r="MPL245"/>
      <c r="MPM245"/>
      <c r="MPN245"/>
      <c r="MPO245"/>
      <c r="MPP245"/>
      <c r="MPQ245"/>
      <c r="MPR245"/>
      <c r="MPS245"/>
      <c r="MPT245"/>
      <c r="MPU245"/>
      <c r="MPV245"/>
      <c r="MPW245"/>
      <c r="MPX245"/>
      <c r="MPY245"/>
      <c r="MPZ245"/>
      <c r="MQA245"/>
      <c r="MQB245"/>
      <c r="MQC245"/>
      <c r="MQD245"/>
      <c r="MQE245"/>
      <c r="MQF245"/>
      <c r="MQG245"/>
      <c r="MQH245"/>
      <c r="MQI245"/>
      <c r="MQJ245"/>
      <c r="MQK245"/>
      <c r="MQL245"/>
      <c r="MQM245"/>
      <c r="MQN245"/>
      <c r="MQO245"/>
      <c r="MQP245"/>
      <c r="MQQ245"/>
      <c r="MQR245"/>
      <c r="MQS245"/>
      <c r="MQT245"/>
      <c r="MQU245"/>
      <c r="MQV245"/>
      <c r="MQW245"/>
      <c r="MQX245"/>
      <c r="MQY245"/>
      <c r="MQZ245"/>
      <c r="MRA245"/>
      <c r="MRB245"/>
      <c r="MRC245"/>
      <c r="MRD245"/>
      <c r="MRE245"/>
      <c r="MRF245"/>
      <c r="MRG245"/>
      <c r="MRH245"/>
      <c r="MRI245"/>
      <c r="MRJ245"/>
      <c r="MRK245"/>
      <c r="MRL245"/>
      <c r="MRM245"/>
      <c r="MRN245"/>
      <c r="MRO245"/>
      <c r="MRP245"/>
      <c r="MRQ245"/>
      <c r="MRR245"/>
      <c r="MRS245"/>
      <c r="MRT245"/>
      <c r="MRU245"/>
      <c r="MRV245"/>
      <c r="MRW245"/>
      <c r="MRX245"/>
      <c r="MRY245"/>
      <c r="MRZ245"/>
      <c r="MSA245"/>
      <c r="MSB245"/>
      <c r="MSC245"/>
      <c r="MSD245"/>
      <c r="MSE245"/>
      <c r="MSF245"/>
      <c r="MSG245"/>
      <c r="MSH245"/>
      <c r="MSI245"/>
      <c r="MSJ245"/>
      <c r="MSK245"/>
      <c r="MSL245"/>
      <c r="MSM245"/>
      <c r="MSN245"/>
      <c r="MSO245"/>
      <c r="MSP245"/>
      <c r="MSQ245"/>
      <c r="MSR245"/>
      <c r="MSS245"/>
      <c r="MST245"/>
      <c r="MSU245"/>
      <c r="MSV245"/>
      <c r="MSW245"/>
      <c r="MSX245"/>
      <c r="MSY245"/>
      <c r="MSZ245"/>
      <c r="MTA245"/>
      <c r="MTB245"/>
      <c r="MTC245"/>
      <c r="MTD245"/>
      <c r="MTE245"/>
      <c r="MTF245"/>
      <c r="MTG245"/>
      <c r="MTH245"/>
      <c r="MTI245"/>
      <c r="MTJ245"/>
      <c r="MTK245"/>
      <c r="MTL245"/>
      <c r="MTM245"/>
      <c r="MTN245"/>
      <c r="MTO245"/>
      <c r="MTP245"/>
      <c r="MTQ245"/>
      <c r="MTR245"/>
      <c r="MTS245"/>
      <c r="MTT245"/>
      <c r="MTU245"/>
      <c r="MTV245"/>
      <c r="MTW245"/>
      <c r="MTX245"/>
      <c r="MTY245"/>
      <c r="MTZ245"/>
      <c r="MUA245"/>
      <c r="MUB245"/>
      <c r="MUC245"/>
      <c r="MUD245"/>
      <c r="MUE245"/>
      <c r="MUF245"/>
      <c r="MUG245"/>
      <c r="MUH245"/>
      <c r="MUI245"/>
      <c r="MUJ245"/>
      <c r="MUK245"/>
      <c r="MUL245"/>
      <c r="MUM245"/>
      <c r="MUN245"/>
      <c r="MUO245"/>
      <c r="MUP245"/>
      <c r="MUQ245"/>
      <c r="MUR245"/>
      <c r="MUS245"/>
      <c r="MUT245"/>
      <c r="MUU245"/>
      <c r="MUV245"/>
      <c r="MUW245"/>
      <c r="MUX245"/>
      <c r="MUY245"/>
      <c r="MUZ245"/>
      <c r="MVA245"/>
      <c r="MVB245"/>
      <c r="MVC245"/>
      <c r="MVD245"/>
      <c r="MVE245"/>
      <c r="MVF245"/>
      <c r="MVG245"/>
      <c r="MVH245"/>
      <c r="MVI245"/>
      <c r="MVJ245"/>
      <c r="MVK245"/>
      <c r="MVL245"/>
      <c r="MVM245"/>
      <c r="MVN245"/>
      <c r="MVO245"/>
      <c r="MVP245"/>
      <c r="MVQ245"/>
      <c r="MVR245"/>
      <c r="MVS245"/>
      <c r="MVT245"/>
      <c r="MVU245"/>
      <c r="MVV245"/>
      <c r="MVW245"/>
      <c r="MVX245"/>
      <c r="MVY245"/>
      <c r="MVZ245"/>
      <c r="MWA245"/>
      <c r="MWB245"/>
      <c r="MWC245"/>
      <c r="MWD245"/>
      <c r="MWE245"/>
      <c r="MWF245"/>
      <c r="MWG245"/>
      <c r="MWH245"/>
      <c r="MWI245"/>
      <c r="MWJ245"/>
      <c r="MWK245"/>
      <c r="MWL245"/>
      <c r="MWM245"/>
      <c r="MWN245"/>
      <c r="MWO245"/>
      <c r="MWP245"/>
      <c r="MWQ245"/>
      <c r="MWR245"/>
      <c r="MWS245"/>
      <c r="MWT245"/>
      <c r="MWU245"/>
      <c r="MWV245"/>
      <c r="MWW245"/>
      <c r="MWX245"/>
      <c r="MWY245"/>
      <c r="MWZ245"/>
      <c r="MXA245"/>
      <c r="MXB245"/>
      <c r="MXC245"/>
      <c r="MXD245"/>
      <c r="MXE245"/>
      <c r="MXF245"/>
      <c r="MXG245"/>
      <c r="MXH245"/>
      <c r="MXI245"/>
      <c r="MXJ245"/>
      <c r="MXK245"/>
      <c r="MXL245"/>
      <c r="MXM245"/>
      <c r="MXN245"/>
      <c r="MXO245"/>
      <c r="MXP245"/>
      <c r="MXQ245"/>
      <c r="MXR245"/>
      <c r="MXS245"/>
      <c r="MXT245"/>
      <c r="MXU245"/>
      <c r="MXV245"/>
      <c r="MXW245"/>
      <c r="MXX245"/>
      <c r="MXY245"/>
      <c r="MXZ245"/>
      <c r="MYA245"/>
      <c r="MYB245"/>
      <c r="MYC245"/>
      <c r="MYD245"/>
      <c r="MYE245"/>
      <c r="MYF245"/>
      <c r="MYG245"/>
      <c r="MYH245"/>
      <c r="MYI245"/>
      <c r="MYJ245"/>
      <c r="MYK245"/>
      <c r="MYL245"/>
      <c r="MYM245"/>
      <c r="MYN245"/>
      <c r="MYO245"/>
      <c r="MYP245"/>
      <c r="MYQ245"/>
      <c r="MYR245"/>
      <c r="MYS245"/>
      <c r="MYT245"/>
      <c r="MYU245"/>
      <c r="MYV245"/>
      <c r="MYW245"/>
      <c r="MYX245"/>
      <c r="MYY245"/>
      <c r="MYZ245"/>
      <c r="MZA245"/>
      <c r="MZB245"/>
      <c r="MZC245"/>
      <c r="MZD245"/>
      <c r="MZE245"/>
      <c r="MZF245"/>
      <c r="MZG245"/>
      <c r="MZH245"/>
      <c r="MZI245"/>
      <c r="MZJ245"/>
      <c r="MZK245"/>
      <c r="MZL245"/>
      <c r="MZM245"/>
      <c r="MZN245"/>
      <c r="MZO245"/>
      <c r="MZP245"/>
      <c r="MZQ245"/>
      <c r="MZR245"/>
      <c r="MZS245"/>
      <c r="MZT245"/>
      <c r="MZU245"/>
      <c r="MZV245"/>
      <c r="MZW245"/>
      <c r="MZX245"/>
      <c r="MZY245"/>
      <c r="MZZ245"/>
      <c r="NAA245"/>
      <c r="NAB245"/>
      <c r="NAC245"/>
      <c r="NAD245"/>
      <c r="NAE245"/>
      <c r="NAF245"/>
      <c r="NAG245"/>
      <c r="NAH245"/>
      <c r="NAI245"/>
      <c r="NAJ245"/>
      <c r="NAK245"/>
      <c r="NAL245"/>
      <c r="NAM245"/>
      <c r="NAN245"/>
      <c r="NAO245"/>
      <c r="NAP245"/>
      <c r="NAQ245"/>
      <c r="NAR245"/>
      <c r="NAS245"/>
      <c r="NAT245"/>
      <c r="NAU245"/>
      <c r="NAV245"/>
      <c r="NAW245"/>
      <c r="NAX245"/>
      <c r="NAY245"/>
      <c r="NAZ245"/>
      <c r="NBA245"/>
      <c r="NBB245"/>
      <c r="NBC245"/>
      <c r="NBD245"/>
      <c r="NBE245"/>
      <c r="NBF245"/>
      <c r="NBG245"/>
      <c r="NBH245"/>
      <c r="NBI245"/>
      <c r="NBJ245"/>
      <c r="NBK245"/>
      <c r="NBL245"/>
      <c r="NBM245"/>
      <c r="NBN245"/>
      <c r="NBO245"/>
      <c r="NBP245"/>
      <c r="NBQ245"/>
      <c r="NBR245"/>
      <c r="NBS245"/>
      <c r="NBT245"/>
      <c r="NBU245"/>
      <c r="NBV245"/>
      <c r="NBW245"/>
      <c r="NBX245"/>
      <c r="NBY245"/>
      <c r="NBZ245"/>
      <c r="NCA245"/>
      <c r="NCB245"/>
      <c r="NCC245"/>
      <c r="NCD245"/>
      <c r="NCE245"/>
      <c r="NCF245"/>
      <c r="NCG245"/>
      <c r="NCH245"/>
      <c r="NCI245"/>
      <c r="NCJ245"/>
      <c r="NCK245"/>
      <c r="NCL245"/>
      <c r="NCM245"/>
      <c r="NCN245"/>
      <c r="NCO245"/>
      <c r="NCP245"/>
      <c r="NCQ245"/>
      <c r="NCR245"/>
      <c r="NCS245"/>
      <c r="NCT245"/>
      <c r="NCU245"/>
      <c r="NCV245"/>
      <c r="NCW245"/>
      <c r="NCX245"/>
      <c r="NCY245"/>
      <c r="NCZ245"/>
      <c r="NDA245"/>
      <c r="NDB245"/>
      <c r="NDC245"/>
      <c r="NDD245"/>
      <c r="NDE245"/>
      <c r="NDF245"/>
      <c r="NDG245"/>
      <c r="NDH245"/>
      <c r="NDI245"/>
      <c r="NDJ245"/>
      <c r="NDK245"/>
      <c r="NDL245"/>
      <c r="NDM245"/>
      <c r="NDN245"/>
      <c r="NDO245"/>
      <c r="NDP245"/>
      <c r="NDQ245"/>
      <c r="NDR245"/>
      <c r="NDS245"/>
      <c r="NDT245"/>
      <c r="NDU245"/>
      <c r="NDV245"/>
      <c r="NDW245"/>
      <c r="NDX245"/>
      <c r="NDY245"/>
      <c r="NDZ245"/>
      <c r="NEA245"/>
      <c r="NEB245"/>
      <c r="NEC245"/>
      <c r="NED245"/>
      <c r="NEE245"/>
      <c r="NEF245"/>
      <c r="NEG245"/>
      <c r="NEH245"/>
      <c r="NEI245"/>
      <c r="NEJ245"/>
      <c r="NEK245"/>
      <c r="NEL245"/>
      <c r="NEM245"/>
      <c r="NEN245"/>
      <c r="NEO245"/>
      <c r="NEP245"/>
      <c r="NEQ245"/>
      <c r="NER245"/>
      <c r="NES245"/>
      <c r="NET245"/>
      <c r="NEU245"/>
      <c r="NEV245"/>
      <c r="NEW245"/>
      <c r="NEX245"/>
      <c r="NEY245"/>
      <c r="NEZ245"/>
      <c r="NFA245"/>
      <c r="NFB245"/>
      <c r="NFC245"/>
      <c r="NFD245"/>
      <c r="NFE245"/>
      <c r="NFF245"/>
      <c r="NFG245"/>
      <c r="NFH245"/>
      <c r="NFI245"/>
      <c r="NFJ245"/>
      <c r="NFK245"/>
      <c r="NFL245"/>
      <c r="NFM245"/>
      <c r="NFN245"/>
      <c r="NFO245"/>
      <c r="NFP245"/>
      <c r="NFQ245"/>
      <c r="NFR245"/>
      <c r="NFS245"/>
      <c r="NFT245"/>
      <c r="NFU245"/>
      <c r="NFV245"/>
      <c r="NFW245"/>
      <c r="NFX245"/>
      <c r="NFY245"/>
      <c r="NFZ245"/>
      <c r="NGA245"/>
      <c r="NGB245"/>
      <c r="NGC245"/>
      <c r="NGD245"/>
      <c r="NGE245"/>
      <c r="NGF245"/>
      <c r="NGG245"/>
      <c r="NGH245"/>
      <c r="NGI245"/>
      <c r="NGJ245"/>
      <c r="NGK245"/>
      <c r="NGL245"/>
      <c r="NGM245"/>
      <c r="NGN245"/>
      <c r="NGO245"/>
      <c r="NGP245"/>
      <c r="NGQ245"/>
      <c r="NGR245"/>
      <c r="NGS245"/>
      <c r="NGT245"/>
      <c r="NGU245"/>
      <c r="NGV245"/>
      <c r="NGW245"/>
      <c r="NGX245"/>
      <c r="NGY245"/>
      <c r="NGZ245"/>
      <c r="NHA245"/>
      <c r="NHB245"/>
      <c r="NHC245"/>
      <c r="NHD245"/>
      <c r="NHE245"/>
      <c r="NHF245"/>
      <c r="NHG245"/>
      <c r="NHH245"/>
      <c r="NHI245"/>
      <c r="NHJ245"/>
      <c r="NHK245"/>
      <c r="NHL245"/>
      <c r="NHM245"/>
      <c r="NHN245"/>
      <c r="NHO245"/>
      <c r="NHP245"/>
      <c r="NHQ245"/>
      <c r="NHR245"/>
      <c r="NHS245"/>
      <c r="NHT245"/>
      <c r="NHU245"/>
      <c r="NHV245"/>
      <c r="NHW245"/>
      <c r="NHX245"/>
      <c r="NHY245"/>
      <c r="NHZ245"/>
      <c r="NIA245"/>
      <c r="NIB245"/>
      <c r="NIC245"/>
      <c r="NID245"/>
      <c r="NIE245"/>
      <c r="NIF245"/>
      <c r="NIG245"/>
      <c r="NIH245"/>
      <c r="NII245"/>
      <c r="NIJ245"/>
      <c r="NIK245"/>
      <c r="NIL245"/>
      <c r="NIM245"/>
      <c r="NIN245"/>
      <c r="NIO245"/>
      <c r="NIP245"/>
      <c r="NIQ245"/>
      <c r="NIR245"/>
      <c r="NIS245"/>
      <c r="NIT245"/>
      <c r="NIU245"/>
      <c r="NIV245"/>
      <c r="NIW245"/>
      <c r="NIX245"/>
      <c r="NIY245"/>
      <c r="NIZ245"/>
      <c r="NJA245"/>
      <c r="NJB245"/>
      <c r="NJC245"/>
      <c r="NJD245"/>
      <c r="NJE245"/>
      <c r="NJF245"/>
      <c r="NJG245"/>
      <c r="NJH245"/>
      <c r="NJI245"/>
      <c r="NJJ245"/>
      <c r="NJK245"/>
      <c r="NJL245"/>
      <c r="NJM245"/>
      <c r="NJN245"/>
      <c r="NJO245"/>
      <c r="NJP245"/>
      <c r="NJQ245"/>
      <c r="NJR245"/>
      <c r="NJS245"/>
      <c r="NJT245"/>
      <c r="NJU245"/>
      <c r="NJV245"/>
      <c r="NJW245"/>
      <c r="NJX245"/>
      <c r="NJY245"/>
      <c r="NJZ245"/>
      <c r="NKA245"/>
      <c r="NKB245"/>
      <c r="NKC245"/>
      <c r="NKD245"/>
      <c r="NKE245"/>
      <c r="NKF245"/>
      <c r="NKG245"/>
      <c r="NKH245"/>
      <c r="NKI245"/>
      <c r="NKJ245"/>
      <c r="NKK245"/>
      <c r="NKL245"/>
      <c r="NKM245"/>
      <c r="NKN245"/>
      <c r="NKO245"/>
      <c r="NKP245"/>
      <c r="NKQ245"/>
      <c r="NKR245"/>
      <c r="NKS245"/>
      <c r="NKT245"/>
      <c r="NKU245"/>
      <c r="NKV245"/>
      <c r="NKW245"/>
      <c r="NKX245"/>
      <c r="NKY245"/>
      <c r="NKZ245"/>
      <c r="NLA245"/>
      <c r="NLB245"/>
      <c r="NLC245"/>
      <c r="NLD245"/>
      <c r="NLE245"/>
      <c r="NLF245"/>
      <c r="NLG245"/>
      <c r="NLH245"/>
      <c r="NLI245"/>
      <c r="NLJ245"/>
      <c r="NLK245"/>
      <c r="NLL245"/>
      <c r="NLM245"/>
      <c r="NLN245"/>
      <c r="NLO245"/>
      <c r="NLP245"/>
      <c r="NLQ245"/>
      <c r="NLR245"/>
      <c r="NLS245"/>
      <c r="NLT245"/>
      <c r="NLU245"/>
      <c r="NLV245"/>
      <c r="NLW245"/>
      <c r="NLX245"/>
      <c r="NLY245"/>
      <c r="NLZ245"/>
      <c r="NMA245"/>
      <c r="NMB245"/>
      <c r="NMC245"/>
      <c r="NMD245"/>
      <c r="NME245"/>
      <c r="NMF245"/>
      <c r="NMG245"/>
      <c r="NMH245"/>
      <c r="NMI245"/>
      <c r="NMJ245"/>
      <c r="NMK245"/>
      <c r="NML245"/>
      <c r="NMM245"/>
      <c r="NMN245"/>
      <c r="NMO245"/>
      <c r="NMP245"/>
      <c r="NMQ245"/>
      <c r="NMR245"/>
      <c r="NMS245"/>
      <c r="NMT245"/>
      <c r="NMU245"/>
      <c r="NMV245"/>
      <c r="NMW245"/>
      <c r="NMX245"/>
      <c r="NMY245"/>
      <c r="NMZ245"/>
      <c r="NNA245"/>
      <c r="NNB245"/>
      <c r="NNC245"/>
      <c r="NND245"/>
      <c r="NNE245"/>
      <c r="NNF245"/>
      <c r="NNG245"/>
      <c r="NNH245"/>
      <c r="NNI245"/>
      <c r="NNJ245"/>
      <c r="NNK245"/>
      <c r="NNL245"/>
      <c r="NNM245"/>
      <c r="NNN245"/>
      <c r="NNO245"/>
      <c r="NNP245"/>
      <c r="NNQ245"/>
      <c r="NNR245"/>
      <c r="NNS245"/>
      <c r="NNT245"/>
      <c r="NNU245"/>
      <c r="NNV245"/>
      <c r="NNW245"/>
      <c r="NNX245"/>
      <c r="NNY245"/>
      <c r="NNZ245"/>
      <c r="NOA245"/>
      <c r="NOB245"/>
      <c r="NOC245"/>
      <c r="NOD245"/>
      <c r="NOE245"/>
      <c r="NOF245"/>
      <c r="NOG245"/>
      <c r="NOH245"/>
      <c r="NOI245"/>
      <c r="NOJ245"/>
      <c r="NOK245"/>
      <c r="NOL245"/>
      <c r="NOM245"/>
      <c r="NON245"/>
      <c r="NOO245"/>
      <c r="NOP245"/>
      <c r="NOQ245"/>
      <c r="NOR245"/>
      <c r="NOS245"/>
      <c r="NOT245"/>
      <c r="NOU245"/>
      <c r="NOV245"/>
      <c r="NOW245"/>
      <c r="NOX245"/>
      <c r="NOY245"/>
      <c r="NOZ245"/>
      <c r="NPA245"/>
      <c r="NPB245"/>
      <c r="NPC245"/>
      <c r="NPD245"/>
      <c r="NPE245"/>
      <c r="NPF245"/>
      <c r="NPG245"/>
      <c r="NPH245"/>
      <c r="NPI245"/>
      <c r="NPJ245"/>
      <c r="NPK245"/>
      <c r="NPL245"/>
      <c r="NPM245"/>
      <c r="NPN245"/>
      <c r="NPO245"/>
      <c r="NPP245"/>
      <c r="NPQ245"/>
      <c r="NPR245"/>
      <c r="NPS245"/>
      <c r="NPT245"/>
      <c r="NPU245"/>
      <c r="NPV245"/>
      <c r="NPW245"/>
      <c r="NPX245"/>
      <c r="NPY245"/>
      <c r="NPZ245"/>
      <c r="NQA245"/>
      <c r="NQB245"/>
      <c r="NQC245"/>
      <c r="NQD245"/>
      <c r="NQE245"/>
      <c r="NQF245"/>
      <c r="NQG245"/>
      <c r="NQH245"/>
      <c r="NQI245"/>
      <c r="NQJ245"/>
      <c r="NQK245"/>
      <c r="NQL245"/>
      <c r="NQM245"/>
      <c r="NQN245"/>
      <c r="NQO245"/>
      <c r="NQP245"/>
      <c r="NQQ245"/>
      <c r="NQR245"/>
      <c r="NQS245"/>
      <c r="NQT245"/>
      <c r="NQU245"/>
      <c r="NQV245"/>
      <c r="NQW245"/>
      <c r="NQX245"/>
      <c r="NQY245"/>
      <c r="NQZ245"/>
      <c r="NRA245"/>
      <c r="NRB245"/>
      <c r="NRC245"/>
      <c r="NRD245"/>
      <c r="NRE245"/>
      <c r="NRF245"/>
      <c r="NRG245"/>
      <c r="NRH245"/>
      <c r="NRI245"/>
      <c r="NRJ245"/>
      <c r="NRK245"/>
      <c r="NRL245"/>
      <c r="NRM245"/>
      <c r="NRN245"/>
      <c r="NRO245"/>
      <c r="NRP245"/>
      <c r="NRQ245"/>
      <c r="NRR245"/>
      <c r="NRS245"/>
      <c r="NRT245"/>
      <c r="NRU245"/>
      <c r="NRV245"/>
      <c r="NRW245"/>
      <c r="NRX245"/>
      <c r="NRY245"/>
      <c r="NRZ245"/>
      <c r="NSA245"/>
      <c r="NSB245"/>
      <c r="NSC245"/>
      <c r="NSD245"/>
      <c r="NSE245"/>
      <c r="NSF245"/>
      <c r="NSG245"/>
      <c r="NSH245"/>
      <c r="NSI245"/>
      <c r="NSJ245"/>
      <c r="NSK245"/>
      <c r="NSL245"/>
      <c r="NSM245"/>
      <c r="NSN245"/>
      <c r="NSO245"/>
      <c r="NSP245"/>
      <c r="NSQ245"/>
      <c r="NSR245"/>
      <c r="NSS245"/>
      <c r="NST245"/>
      <c r="NSU245"/>
      <c r="NSV245"/>
      <c r="NSW245"/>
      <c r="NSX245"/>
      <c r="NSY245"/>
      <c r="NSZ245"/>
      <c r="NTA245"/>
      <c r="NTB245"/>
      <c r="NTC245"/>
      <c r="NTD245"/>
      <c r="NTE245"/>
      <c r="NTF245"/>
      <c r="NTG245"/>
      <c r="NTH245"/>
      <c r="NTI245"/>
      <c r="NTJ245"/>
      <c r="NTK245"/>
      <c r="NTL245"/>
      <c r="NTM245"/>
      <c r="NTN245"/>
      <c r="NTO245"/>
      <c r="NTP245"/>
      <c r="NTQ245"/>
      <c r="NTR245"/>
      <c r="NTS245"/>
      <c r="NTT245"/>
      <c r="NTU245"/>
      <c r="NTV245"/>
      <c r="NTW245"/>
      <c r="NTX245"/>
      <c r="NTY245"/>
      <c r="NTZ245"/>
      <c r="NUA245"/>
      <c r="NUB245"/>
      <c r="NUC245"/>
      <c r="NUD245"/>
      <c r="NUE245"/>
      <c r="NUF245"/>
      <c r="NUG245"/>
      <c r="NUH245"/>
      <c r="NUI245"/>
      <c r="NUJ245"/>
      <c r="NUK245"/>
      <c r="NUL245"/>
      <c r="NUM245"/>
      <c r="NUN245"/>
      <c r="NUO245"/>
      <c r="NUP245"/>
      <c r="NUQ245"/>
      <c r="NUR245"/>
      <c r="NUS245"/>
      <c r="NUT245"/>
      <c r="NUU245"/>
      <c r="NUV245"/>
      <c r="NUW245"/>
      <c r="NUX245"/>
      <c r="NUY245"/>
      <c r="NUZ245"/>
      <c r="NVA245"/>
      <c r="NVB245"/>
      <c r="NVC245"/>
      <c r="NVD245"/>
      <c r="NVE245"/>
      <c r="NVF245"/>
      <c r="NVG245"/>
      <c r="NVH245"/>
      <c r="NVI245"/>
      <c r="NVJ245"/>
      <c r="NVK245"/>
      <c r="NVL245"/>
      <c r="NVM245"/>
      <c r="NVN245"/>
      <c r="NVO245"/>
      <c r="NVP245"/>
      <c r="NVQ245"/>
      <c r="NVR245"/>
      <c r="NVS245"/>
      <c r="NVT245"/>
      <c r="NVU245"/>
      <c r="NVV245"/>
      <c r="NVW245"/>
      <c r="NVX245"/>
      <c r="NVY245"/>
      <c r="NVZ245"/>
      <c r="NWA245"/>
      <c r="NWB245"/>
      <c r="NWC245"/>
      <c r="NWD245"/>
      <c r="NWE245"/>
      <c r="NWF245"/>
      <c r="NWG245"/>
      <c r="NWH245"/>
      <c r="NWI245"/>
      <c r="NWJ245"/>
      <c r="NWK245"/>
      <c r="NWL245"/>
      <c r="NWM245"/>
      <c r="NWN245"/>
      <c r="NWO245"/>
      <c r="NWP245"/>
      <c r="NWQ245"/>
      <c r="NWR245"/>
      <c r="NWS245"/>
      <c r="NWT245"/>
      <c r="NWU245"/>
      <c r="NWV245"/>
      <c r="NWW245"/>
      <c r="NWX245"/>
      <c r="NWY245"/>
      <c r="NWZ245"/>
      <c r="NXA245"/>
      <c r="NXB245"/>
      <c r="NXC245"/>
      <c r="NXD245"/>
      <c r="NXE245"/>
      <c r="NXF245"/>
      <c r="NXG245"/>
      <c r="NXH245"/>
      <c r="NXI245"/>
      <c r="NXJ245"/>
      <c r="NXK245"/>
      <c r="NXL245"/>
      <c r="NXM245"/>
      <c r="NXN245"/>
      <c r="NXO245"/>
      <c r="NXP245"/>
      <c r="NXQ245"/>
      <c r="NXR245"/>
      <c r="NXS245"/>
      <c r="NXT245"/>
      <c r="NXU245"/>
      <c r="NXV245"/>
      <c r="NXW245"/>
      <c r="NXX245"/>
      <c r="NXY245"/>
      <c r="NXZ245"/>
      <c r="NYA245"/>
      <c r="NYB245"/>
      <c r="NYC245"/>
      <c r="NYD245"/>
      <c r="NYE245"/>
      <c r="NYF245"/>
      <c r="NYG245"/>
      <c r="NYH245"/>
      <c r="NYI245"/>
      <c r="NYJ245"/>
      <c r="NYK245"/>
      <c r="NYL245"/>
      <c r="NYM245"/>
      <c r="NYN245"/>
      <c r="NYO245"/>
      <c r="NYP245"/>
      <c r="NYQ245"/>
      <c r="NYR245"/>
      <c r="NYS245"/>
      <c r="NYT245"/>
      <c r="NYU245"/>
      <c r="NYV245"/>
      <c r="NYW245"/>
      <c r="NYX245"/>
      <c r="NYY245"/>
      <c r="NYZ245"/>
      <c r="NZA245"/>
      <c r="NZB245"/>
      <c r="NZC245"/>
      <c r="NZD245"/>
      <c r="NZE245"/>
      <c r="NZF245"/>
      <c r="NZG245"/>
      <c r="NZH245"/>
      <c r="NZI245"/>
      <c r="NZJ245"/>
      <c r="NZK245"/>
      <c r="NZL245"/>
      <c r="NZM245"/>
      <c r="NZN245"/>
      <c r="NZO245"/>
      <c r="NZP245"/>
      <c r="NZQ245"/>
      <c r="NZR245"/>
      <c r="NZS245"/>
      <c r="NZT245"/>
      <c r="NZU245"/>
      <c r="NZV245"/>
      <c r="NZW245"/>
      <c r="NZX245"/>
      <c r="NZY245"/>
      <c r="NZZ245"/>
      <c r="OAA245"/>
      <c r="OAB245"/>
      <c r="OAC245"/>
      <c r="OAD245"/>
      <c r="OAE245"/>
      <c r="OAF245"/>
      <c r="OAG245"/>
      <c r="OAH245"/>
      <c r="OAI245"/>
      <c r="OAJ245"/>
      <c r="OAK245"/>
      <c r="OAL245"/>
      <c r="OAM245"/>
      <c r="OAN245"/>
      <c r="OAO245"/>
      <c r="OAP245"/>
      <c r="OAQ245"/>
      <c r="OAR245"/>
      <c r="OAS245"/>
      <c r="OAT245"/>
      <c r="OAU245"/>
      <c r="OAV245"/>
      <c r="OAW245"/>
      <c r="OAX245"/>
      <c r="OAY245"/>
      <c r="OAZ245"/>
      <c r="OBA245"/>
      <c r="OBB245"/>
      <c r="OBC245"/>
      <c r="OBD245"/>
      <c r="OBE245"/>
      <c r="OBF245"/>
      <c r="OBG245"/>
      <c r="OBH245"/>
      <c r="OBI245"/>
      <c r="OBJ245"/>
      <c r="OBK245"/>
      <c r="OBL245"/>
      <c r="OBM245"/>
      <c r="OBN245"/>
      <c r="OBO245"/>
      <c r="OBP245"/>
      <c r="OBQ245"/>
      <c r="OBR245"/>
      <c r="OBS245"/>
      <c r="OBT245"/>
      <c r="OBU245"/>
      <c r="OBV245"/>
      <c r="OBW245"/>
      <c r="OBX245"/>
      <c r="OBY245"/>
      <c r="OBZ245"/>
      <c r="OCA245"/>
      <c r="OCB245"/>
      <c r="OCC245"/>
      <c r="OCD245"/>
      <c r="OCE245"/>
      <c r="OCF245"/>
      <c r="OCG245"/>
      <c r="OCH245"/>
      <c r="OCI245"/>
      <c r="OCJ245"/>
      <c r="OCK245"/>
      <c r="OCL245"/>
      <c r="OCM245"/>
      <c r="OCN245"/>
      <c r="OCO245"/>
      <c r="OCP245"/>
      <c r="OCQ245"/>
      <c r="OCR245"/>
      <c r="OCS245"/>
      <c r="OCT245"/>
      <c r="OCU245"/>
      <c r="OCV245"/>
      <c r="OCW245"/>
      <c r="OCX245"/>
      <c r="OCY245"/>
      <c r="OCZ245"/>
      <c r="ODA245"/>
      <c r="ODB245"/>
      <c r="ODC245"/>
      <c r="ODD245"/>
      <c r="ODE245"/>
      <c r="ODF245"/>
      <c r="ODG245"/>
      <c r="ODH245"/>
      <c r="ODI245"/>
      <c r="ODJ245"/>
      <c r="ODK245"/>
      <c r="ODL245"/>
      <c r="ODM245"/>
      <c r="ODN245"/>
      <c r="ODO245"/>
      <c r="ODP245"/>
      <c r="ODQ245"/>
      <c r="ODR245"/>
      <c r="ODS245"/>
      <c r="ODT245"/>
      <c r="ODU245"/>
      <c r="ODV245"/>
      <c r="ODW245"/>
      <c r="ODX245"/>
      <c r="ODY245"/>
      <c r="ODZ245"/>
      <c r="OEA245"/>
      <c r="OEB245"/>
      <c r="OEC245"/>
      <c r="OED245"/>
      <c r="OEE245"/>
      <c r="OEF245"/>
      <c r="OEG245"/>
      <c r="OEH245"/>
      <c r="OEI245"/>
      <c r="OEJ245"/>
      <c r="OEK245"/>
      <c r="OEL245"/>
      <c r="OEM245"/>
      <c r="OEN245"/>
      <c r="OEO245"/>
      <c r="OEP245"/>
      <c r="OEQ245"/>
      <c r="OER245"/>
      <c r="OES245"/>
      <c r="OET245"/>
      <c r="OEU245"/>
      <c r="OEV245"/>
      <c r="OEW245"/>
      <c r="OEX245"/>
      <c r="OEY245"/>
      <c r="OEZ245"/>
      <c r="OFA245"/>
      <c r="OFB245"/>
      <c r="OFC245"/>
      <c r="OFD245"/>
      <c r="OFE245"/>
      <c r="OFF245"/>
      <c r="OFG245"/>
      <c r="OFH245"/>
      <c r="OFI245"/>
      <c r="OFJ245"/>
      <c r="OFK245"/>
      <c r="OFL245"/>
      <c r="OFM245"/>
      <c r="OFN245"/>
      <c r="OFO245"/>
      <c r="OFP245"/>
      <c r="OFQ245"/>
      <c r="OFR245"/>
      <c r="OFS245"/>
      <c r="OFT245"/>
      <c r="OFU245"/>
      <c r="OFV245"/>
      <c r="OFW245"/>
      <c r="OFX245"/>
      <c r="OFY245"/>
      <c r="OFZ245"/>
      <c r="OGA245"/>
      <c r="OGB245"/>
      <c r="OGC245"/>
      <c r="OGD245"/>
      <c r="OGE245"/>
      <c r="OGF245"/>
      <c r="OGG245"/>
      <c r="OGH245"/>
      <c r="OGI245"/>
      <c r="OGJ245"/>
      <c r="OGK245"/>
      <c r="OGL245"/>
      <c r="OGM245"/>
      <c r="OGN245"/>
      <c r="OGO245"/>
      <c r="OGP245"/>
      <c r="OGQ245"/>
      <c r="OGR245"/>
      <c r="OGS245"/>
      <c r="OGT245"/>
      <c r="OGU245"/>
      <c r="OGV245"/>
      <c r="OGW245"/>
      <c r="OGX245"/>
      <c r="OGY245"/>
      <c r="OGZ245"/>
      <c r="OHA245"/>
      <c r="OHB245"/>
      <c r="OHC245"/>
      <c r="OHD245"/>
      <c r="OHE245"/>
      <c r="OHF245"/>
      <c r="OHG245"/>
      <c r="OHH245"/>
      <c r="OHI245"/>
      <c r="OHJ245"/>
      <c r="OHK245"/>
      <c r="OHL245"/>
      <c r="OHM245"/>
      <c r="OHN245"/>
      <c r="OHO245"/>
      <c r="OHP245"/>
      <c r="OHQ245"/>
      <c r="OHR245"/>
      <c r="OHS245"/>
      <c r="OHT245"/>
      <c r="OHU245"/>
      <c r="OHV245"/>
      <c r="OHW245"/>
      <c r="OHX245"/>
      <c r="OHY245"/>
      <c r="OHZ245"/>
      <c r="OIA245"/>
      <c r="OIB245"/>
      <c r="OIC245"/>
      <c r="OID245"/>
      <c r="OIE245"/>
      <c r="OIF245"/>
      <c r="OIG245"/>
      <c r="OIH245"/>
      <c r="OII245"/>
      <c r="OIJ245"/>
      <c r="OIK245"/>
      <c r="OIL245"/>
      <c r="OIM245"/>
      <c r="OIN245"/>
      <c r="OIO245"/>
      <c r="OIP245"/>
      <c r="OIQ245"/>
      <c r="OIR245"/>
      <c r="OIS245"/>
      <c r="OIT245"/>
      <c r="OIU245"/>
      <c r="OIV245"/>
      <c r="OIW245"/>
      <c r="OIX245"/>
      <c r="OIY245"/>
      <c r="OIZ245"/>
      <c r="OJA245"/>
      <c r="OJB245"/>
      <c r="OJC245"/>
      <c r="OJD245"/>
      <c r="OJE245"/>
      <c r="OJF245"/>
      <c r="OJG245"/>
      <c r="OJH245"/>
      <c r="OJI245"/>
      <c r="OJJ245"/>
      <c r="OJK245"/>
      <c r="OJL245"/>
      <c r="OJM245"/>
      <c r="OJN245"/>
      <c r="OJO245"/>
      <c r="OJP245"/>
      <c r="OJQ245"/>
      <c r="OJR245"/>
      <c r="OJS245"/>
      <c r="OJT245"/>
      <c r="OJU245"/>
      <c r="OJV245"/>
      <c r="OJW245"/>
      <c r="OJX245"/>
      <c r="OJY245"/>
      <c r="OJZ245"/>
      <c r="OKA245"/>
      <c r="OKB245"/>
      <c r="OKC245"/>
      <c r="OKD245"/>
      <c r="OKE245"/>
      <c r="OKF245"/>
      <c r="OKG245"/>
      <c r="OKH245"/>
      <c r="OKI245"/>
      <c r="OKJ245"/>
      <c r="OKK245"/>
      <c r="OKL245"/>
      <c r="OKM245"/>
      <c r="OKN245"/>
      <c r="OKO245"/>
      <c r="OKP245"/>
      <c r="OKQ245"/>
      <c r="OKR245"/>
      <c r="OKS245"/>
      <c r="OKT245"/>
      <c r="OKU245"/>
      <c r="OKV245"/>
      <c r="OKW245"/>
      <c r="OKX245"/>
      <c r="OKY245"/>
      <c r="OKZ245"/>
      <c r="OLA245"/>
      <c r="OLB245"/>
      <c r="OLC245"/>
      <c r="OLD245"/>
      <c r="OLE245"/>
      <c r="OLF245"/>
      <c r="OLG245"/>
      <c r="OLH245"/>
      <c r="OLI245"/>
      <c r="OLJ245"/>
      <c r="OLK245"/>
      <c r="OLL245"/>
      <c r="OLM245"/>
      <c r="OLN245"/>
      <c r="OLO245"/>
      <c r="OLP245"/>
      <c r="OLQ245"/>
      <c r="OLR245"/>
      <c r="OLS245"/>
      <c r="OLT245"/>
      <c r="OLU245"/>
      <c r="OLV245"/>
      <c r="OLW245"/>
      <c r="OLX245"/>
      <c r="OLY245"/>
      <c r="OLZ245"/>
      <c r="OMA245"/>
      <c r="OMB245"/>
      <c r="OMC245"/>
      <c r="OMD245"/>
      <c r="OME245"/>
      <c r="OMF245"/>
      <c r="OMG245"/>
      <c r="OMH245"/>
      <c r="OMI245"/>
      <c r="OMJ245"/>
      <c r="OMK245"/>
      <c r="OML245"/>
      <c r="OMM245"/>
      <c r="OMN245"/>
      <c r="OMO245"/>
      <c r="OMP245"/>
      <c r="OMQ245"/>
      <c r="OMR245"/>
      <c r="OMS245"/>
      <c r="OMT245"/>
      <c r="OMU245"/>
      <c r="OMV245"/>
      <c r="OMW245"/>
      <c r="OMX245"/>
      <c r="OMY245"/>
      <c r="OMZ245"/>
      <c r="ONA245"/>
      <c r="ONB245"/>
      <c r="ONC245"/>
      <c r="OND245"/>
      <c r="ONE245"/>
      <c r="ONF245"/>
      <c r="ONG245"/>
      <c r="ONH245"/>
      <c r="ONI245"/>
      <c r="ONJ245"/>
      <c r="ONK245"/>
      <c r="ONL245"/>
      <c r="ONM245"/>
      <c r="ONN245"/>
      <c r="ONO245"/>
      <c r="ONP245"/>
      <c r="ONQ245"/>
      <c r="ONR245"/>
      <c r="ONS245"/>
      <c r="ONT245"/>
      <c r="ONU245"/>
      <c r="ONV245"/>
      <c r="ONW245"/>
      <c r="ONX245"/>
      <c r="ONY245"/>
      <c r="ONZ245"/>
      <c r="OOA245"/>
      <c r="OOB245"/>
      <c r="OOC245"/>
      <c r="OOD245"/>
      <c r="OOE245"/>
      <c r="OOF245"/>
      <c r="OOG245"/>
      <c r="OOH245"/>
      <c r="OOI245"/>
      <c r="OOJ245"/>
      <c r="OOK245"/>
      <c r="OOL245"/>
      <c r="OOM245"/>
      <c r="OON245"/>
      <c r="OOO245"/>
      <c r="OOP245"/>
      <c r="OOQ245"/>
      <c r="OOR245"/>
      <c r="OOS245"/>
      <c r="OOT245"/>
      <c r="OOU245"/>
      <c r="OOV245"/>
      <c r="OOW245"/>
      <c r="OOX245"/>
      <c r="OOY245"/>
      <c r="OOZ245"/>
      <c r="OPA245"/>
      <c r="OPB245"/>
      <c r="OPC245"/>
      <c r="OPD245"/>
      <c r="OPE245"/>
      <c r="OPF245"/>
      <c r="OPG245"/>
      <c r="OPH245"/>
      <c r="OPI245"/>
      <c r="OPJ245"/>
      <c r="OPK245"/>
      <c r="OPL245"/>
      <c r="OPM245"/>
      <c r="OPN245"/>
      <c r="OPO245"/>
      <c r="OPP245"/>
      <c r="OPQ245"/>
      <c r="OPR245"/>
      <c r="OPS245"/>
      <c r="OPT245"/>
      <c r="OPU245"/>
      <c r="OPV245"/>
      <c r="OPW245"/>
      <c r="OPX245"/>
      <c r="OPY245"/>
      <c r="OPZ245"/>
      <c r="OQA245"/>
      <c r="OQB245"/>
      <c r="OQC245"/>
      <c r="OQD245"/>
      <c r="OQE245"/>
      <c r="OQF245"/>
      <c r="OQG245"/>
      <c r="OQH245"/>
      <c r="OQI245"/>
      <c r="OQJ245"/>
      <c r="OQK245"/>
      <c r="OQL245"/>
      <c r="OQM245"/>
      <c r="OQN245"/>
      <c r="OQO245"/>
      <c r="OQP245"/>
      <c r="OQQ245"/>
      <c r="OQR245"/>
      <c r="OQS245"/>
      <c r="OQT245"/>
      <c r="OQU245"/>
      <c r="OQV245"/>
      <c r="OQW245"/>
      <c r="OQX245"/>
      <c r="OQY245"/>
      <c r="OQZ245"/>
      <c r="ORA245"/>
      <c r="ORB245"/>
      <c r="ORC245"/>
      <c r="ORD245"/>
      <c r="ORE245"/>
      <c r="ORF245"/>
      <c r="ORG245"/>
      <c r="ORH245"/>
      <c r="ORI245"/>
      <c r="ORJ245"/>
      <c r="ORK245"/>
      <c r="ORL245"/>
      <c r="ORM245"/>
      <c r="ORN245"/>
      <c r="ORO245"/>
      <c r="ORP245"/>
      <c r="ORQ245"/>
      <c r="ORR245"/>
      <c r="ORS245"/>
      <c r="ORT245"/>
      <c r="ORU245"/>
      <c r="ORV245"/>
      <c r="ORW245"/>
      <c r="ORX245"/>
      <c r="ORY245"/>
      <c r="ORZ245"/>
      <c r="OSA245"/>
      <c r="OSB245"/>
      <c r="OSC245"/>
      <c r="OSD245"/>
      <c r="OSE245"/>
      <c r="OSF245"/>
      <c r="OSG245"/>
      <c r="OSH245"/>
      <c r="OSI245"/>
      <c r="OSJ245"/>
      <c r="OSK245"/>
      <c r="OSL245"/>
      <c r="OSM245"/>
      <c r="OSN245"/>
      <c r="OSO245"/>
      <c r="OSP245"/>
      <c r="OSQ245"/>
      <c r="OSR245"/>
      <c r="OSS245"/>
      <c r="OST245"/>
      <c r="OSU245"/>
      <c r="OSV245"/>
      <c r="OSW245"/>
      <c r="OSX245"/>
      <c r="OSY245"/>
      <c r="OSZ245"/>
      <c r="OTA245"/>
      <c r="OTB245"/>
      <c r="OTC245"/>
      <c r="OTD245"/>
      <c r="OTE245"/>
      <c r="OTF245"/>
      <c r="OTG245"/>
      <c r="OTH245"/>
      <c r="OTI245"/>
      <c r="OTJ245"/>
      <c r="OTK245"/>
      <c r="OTL245"/>
      <c r="OTM245"/>
      <c r="OTN245"/>
      <c r="OTO245"/>
      <c r="OTP245"/>
      <c r="OTQ245"/>
      <c r="OTR245"/>
      <c r="OTS245"/>
      <c r="OTT245"/>
      <c r="OTU245"/>
      <c r="OTV245"/>
      <c r="OTW245"/>
      <c r="OTX245"/>
      <c r="OTY245"/>
      <c r="OTZ245"/>
      <c r="OUA245"/>
      <c r="OUB245"/>
      <c r="OUC245"/>
      <c r="OUD245"/>
      <c r="OUE245"/>
      <c r="OUF245"/>
      <c r="OUG245"/>
      <c r="OUH245"/>
      <c r="OUI245"/>
      <c r="OUJ245"/>
      <c r="OUK245"/>
      <c r="OUL245"/>
      <c r="OUM245"/>
      <c r="OUN245"/>
      <c r="OUO245"/>
      <c r="OUP245"/>
      <c r="OUQ245"/>
      <c r="OUR245"/>
      <c r="OUS245"/>
      <c r="OUT245"/>
      <c r="OUU245"/>
      <c r="OUV245"/>
      <c r="OUW245"/>
      <c r="OUX245"/>
      <c r="OUY245"/>
      <c r="OUZ245"/>
      <c r="OVA245"/>
      <c r="OVB245"/>
      <c r="OVC245"/>
      <c r="OVD245"/>
      <c r="OVE245"/>
      <c r="OVF245"/>
      <c r="OVG245"/>
      <c r="OVH245"/>
      <c r="OVI245"/>
      <c r="OVJ245"/>
      <c r="OVK245"/>
      <c r="OVL245"/>
      <c r="OVM245"/>
      <c r="OVN245"/>
      <c r="OVO245"/>
      <c r="OVP245"/>
      <c r="OVQ245"/>
      <c r="OVR245"/>
      <c r="OVS245"/>
      <c r="OVT245"/>
      <c r="OVU245"/>
      <c r="OVV245"/>
      <c r="OVW245"/>
      <c r="OVX245"/>
      <c r="OVY245"/>
      <c r="OVZ245"/>
      <c r="OWA245"/>
      <c r="OWB245"/>
      <c r="OWC245"/>
      <c r="OWD245"/>
      <c r="OWE245"/>
      <c r="OWF245"/>
      <c r="OWG245"/>
      <c r="OWH245"/>
      <c r="OWI245"/>
      <c r="OWJ245"/>
      <c r="OWK245"/>
      <c r="OWL245"/>
      <c r="OWM245"/>
      <c r="OWN245"/>
      <c r="OWO245"/>
      <c r="OWP245"/>
      <c r="OWQ245"/>
      <c r="OWR245"/>
      <c r="OWS245"/>
      <c r="OWT245"/>
      <c r="OWU245"/>
      <c r="OWV245"/>
      <c r="OWW245"/>
      <c r="OWX245"/>
      <c r="OWY245"/>
      <c r="OWZ245"/>
      <c r="OXA245"/>
      <c r="OXB245"/>
      <c r="OXC245"/>
      <c r="OXD245"/>
      <c r="OXE245"/>
      <c r="OXF245"/>
      <c r="OXG245"/>
      <c r="OXH245"/>
      <c r="OXI245"/>
      <c r="OXJ245"/>
      <c r="OXK245"/>
      <c r="OXL245"/>
      <c r="OXM245"/>
      <c r="OXN245"/>
      <c r="OXO245"/>
      <c r="OXP245"/>
      <c r="OXQ245"/>
      <c r="OXR245"/>
      <c r="OXS245"/>
      <c r="OXT245"/>
      <c r="OXU245"/>
      <c r="OXV245"/>
      <c r="OXW245"/>
      <c r="OXX245"/>
      <c r="OXY245"/>
      <c r="OXZ245"/>
      <c r="OYA245"/>
      <c r="OYB245"/>
      <c r="OYC245"/>
      <c r="OYD245"/>
      <c r="OYE245"/>
      <c r="OYF245"/>
      <c r="OYG245"/>
      <c r="OYH245"/>
      <c r="OYI245"/>
      <c r="OYJ245"/>
      <c r="OYK245"/>
      <c r="OYL245"/>
      <c r="OYM245"/>
      <c r="OYN245"/>
      <c r="OYO245"/>
      <c r="OYP245"/>
      <c r="OYQ245"/>
      <c r="OYR245"/>
      <c r="OYS245"/>
      <c r="OYT245"/>
      <c r="OYU245"/>
      <c r="OYV245"/>
      <c r="OYW245"/>
      <c r="OYX245"/>
      <c r="OYY245"/>
      <c r="OYZ245"/>
      <c r="OZA245"/>
      <c r="OZB245"/>
      <c r="OZC245"/>
      <c r="OZD245"/>
      <c r="OZE245"/>
      <c r="OZF245"/>
      <c r="OZG245"/>
      <c r="OZH245"/>
      <c r="OZI245"/>
      <c r="OZJ245"/>
      <c r="OZK245"/>
      <c r="OZL245"/>
      <c r="OZM245"/>
      <c r="OZN245"/>
      <c r="OZO245"/>
      <c r="OZP245"/>
      <c r="OZQ245"/>
      <c r="OZR245"/>
      <c r="OZS245"/>
      <c r="OZT245"/>
      <c r="OZU245"/>
      <c r="OZV245"/>
      <c r="OZW245"/>
      <c r="OZX245"/>
      <c r="OZY245"/>
      <c r="OZZ245"/>
      <c r="PAA245"/>
      <c r="PAB245"/>
      <c r="PAC245"/>
      <c r="PAD245"/>
      <c r="PAE245"/>
      <c r="PAF245"/>
      <c r="PAG245"/>
      <c r="PAH245"/>
      <c r="PAI245"/>
      <c r="PAJ245"/>
      <c r="PAK245"/>
      <c r="PAL245"/>
      <c r="PAM245"/>
      <c r="PAN245"/>
      <c r="PAO245"/>
      <c r="PAP245"/>
      <c r="PAQ245"/>
      <c r="PAR245"/>
      <c r="PAS245"/>
      <c r="PAT245"/>
      <c r="PAU245"/>
      <c r="PAV245"/>
      <c r="PAW245"/>
      <c r="PAX245"/>
      <c r="PAY245"/>
      <c r="PAZ245"/>
      <c r="PBA245"/>
      <c r="PBB245"/>
      <c r="PBC245"/>
      <c r="PBD245"/>
      <c r="PBE245"/>
      <c r="PBF245"/>
      <c r="PBG245"/>
      <c r="PBH245"/>
      <c r="PBI245"/>
      <c r="PBJ245"/>
      <c r="PBK245"/>
      <c r="PBL245"/>
      <c r="PBM245"/>
      <c r="PBN245"/>
      <c r="PBO245"/>
      <c r="PBP245"/>
      <c r="PBQ245"/>
      <c r="PBR245"/>
      <c r="PBS245"/>
      <c r="PBT245"/>
      <c r="PBU245"/>
      <c r="PBV245"/>
      <c r="PBW245"/>
      <c r="PBX245"/>
      <c r="PBY245"/>
      <c r="PBZ245"/>
      <c r="PCA245"/>
      <c r="PCB245"/>
      <c r="PCC245"/>
      <c r="PCD245"/>
      <c r="PCE245"/>
      <c r="PCF245"/>
      <c r="PCG245"/>
      <c r="PCH245"/>
      <c r="PCI245"/>
      <c r="PCJ245"/>
      <c r="PCK245"/>
      <c r="PCL245"/>
      <c r="PCM245"/>
      <c r="PCN245"/>
      <c r="PCO245"/>
      <c r="PCP245"/>
      <c r="PCQ245"/>
      <c r="PCR245"/>
      <c r="PCS245"/>
      <c r="PCT245"/>
      <c r="PCU245"/>
      <c r="PCV245"/>
      <c r="PCW245"/>
      <c r="PCX245"/>
      <c r="PCY245"/>
      <c r="PCZ245"/>
      <c r="PDA245"/>
      <c r="PDB245"/>
      <c r="PDC245"/>
      <c r="PDD245"/>
      <c r="PDE245"/>
      <c r="PDF245"/>
      <c r="PDG245"/>
      <c r="PDH245"/>
      <c r="PDI245"/>
      <c r="PDJ245"/>
      <c r="PDK245"/>
      <c r="PDL245"/>
      <c r="PDM245"/>
      <c r="PDN245"/>
      <c r="PDO245"/>
      <c r="PDP245"/>
      <c r="PDQ245"/>
      <c r="PDR245"/>
      <c r="PDS245"/>
      <c r="PDT245"/>
      <c r="PDU245"/>
      <c r="PDV245"/>
      <c r="PDW245"/>
      <c r="PDX245"/>
      <c r="PDY245"/>
      <c r="PDZ245"/>
      <c r="PEA245"/>
      <c r="PEB245"/>
      <c r="PEC245"/>
      <c r="PED245"/>
      <c r="PEE245"/>
      <c r="PEF245"/>
      <c r="PEG245"/>
      <c r="PEH245"/>
      <c r="PEI245"/>
      <c r="PEJ245"/>
      <c r="PEK245"/>
      <c r="PEL245"/>
      <c r="PEM245"/>
      <c r="PEN245"/>
      <c r="PEO245"/>
      <c r="PEP245"/>
      <c r="PEQ245"/>
      <c r="PER245"/>
      <c r="PES245"/>
      <c r="PET245"/>
      <c r="PEU245"/>
      <c r="PEV245"/>
      <c r="PEW245"/>
      <c r="PEX245"/>
      <c r="PEY245"/>
      <c r="PEZ245"/>
      <c r="PFA245"/>
      <c r="PFB245"/>
      <c r="PFC245"/>
      <c r="PFD245"/>
      <c r="PFE245"/>
      <c r="PFF245"/>
      <c r="PFG245"/>
      <c r="PFH245"/>
      <c r="PFI245"/>
      <c r="PFJ245"/>
      <c r="PFK245"/>
      <c r="PFL245"/>
      <c r="PFM245"/>
      <c r="PFN245"/>
      <c r="PFO245"/>
      <c r="PFP245"/>
      <c r="PFQ245"/>
      <c r="PFR245"/>
      <c r="PFS245"/>
      <c r="PFT245"/>
      <c r="PFU245"/>
      <c r="PFV245"/>
      <c r="PFW245"/>
      <c r="PFX245"/>
      <c r="PFY245"/>
      <c r="PFZ245"/>
      <c r="PGA245"/>
      <c r="PGB245"/>
      <c r="PGC245"/>
      <c r="PGD245"/>
      <c r="PGE245"/>
      <c r="PGF245"/>
      <c r="PGG245"/>
      <c r="PGH245"/>
      <c r="PGI245"/>
      <c r="PGJ245"/>
      <c r="PGK245"/>
      <c r="PGL245"/>
      <c r="PGM245"/>
      <c r="PGN245"/>
      <c r="PGO245"/>
      <c r="PGP245"/>
      <c r="PGQ245"/>
      <c r="PGR245"/>
      <c r="PGS245"/>
      <c r="PGT245"/>
      <c r="PGU245"/>
      <c r="PGV245"/>
      <c r="PGW245"/>
      <c r="PGX245"/>
      <c r="PGY245"/>
      <c r="PGZ245"/>
      <c r="PHA245"/>
      <c r="PHB245"/>
      <c r="PHC245"/>
      <c r="PHD245"/>
      <c r="PHE245"/>
      <c r="PHF245"/>
      <c r="PHG245"/>
      <c r="PHH245"/>
      <c r="PHI245"/>
      <c r="PHJ245"/>
      <c r="PHK245"/>
      <c r="PHL245"/>
      <c r="PHM245"/>
      <c r="PHN245"/>
      <c r="PHO245"/>
      <c r="PHP245"/>
      <c r="PHQ245"/>
      <c r="PHR245"/>
      <c r="PHS245"/>
      <c r="PHT245"/>
      <c r="PHU245"/>
      <c r="PHV245"/>
      <c r="PHW245"/>
      <c r="PHX245"/>
      <c r="PHY245"/>
      <c r="PHZ245"/>
      <c r="PIA245"/>
      <c r="PIB245"/>
      <c r="PIC245"/>
      <c r="PID245"/>
      <c r="PIE245"/>
      <c r="PIF245"/>
      <c r="PIG245"/>
      <c r="PIH245"/>
      <c r="PII245"/>
      <c r="PIJ245"/>
      <c r="PIK245"/>
      <c r="PIL245"/>
      <c r="PIM245"/>
      <c r="PIN245"/>
      <c r="PIO245"/>
      <c r="PIP245"/>
      <c r="PIQ245"/>
      <c r="PIR245"/>
      <c r="PIS245"/>
      <c r="PIT245"/>
      <c r="PIU245"/>
      <c r="PIV245"/>
      <c r="PIW245"/>
      <c r="PIX245"/>
      <c r="PIY245"/>
      <c r="PIZ245"/>
      <c r="PJA245"/>
      <c r="PJB245"/>
      <c r="PJC245"/>
      <c r="PJD245"/>
      <c r="PJE245"/>
      <c r="PJF245"/>
      <c r="PJG245"/>
      <c r="PJH245"/>
      <c r="PJI245"/>
      <c r="PJJ245"/>
      <c r="PJK245"/>
      <c r="PJL245"/>
      <c r="PJM245"/>
      <c r="PJN245"/>
      <c r="PJO245"/>
      <c r="PJP245"/>
      <c r="PJQ245"/>
      <c r="PJR245"/>
      <c r="PJS245"/>
      <c r="PJT245"/>
      <c r="PJU245"/>
      <c r="PJV245"/>
      <c r="PJW245"/>
      <c r="PJX245"/>
      <c r="PJY245"/>
      <c r="PJZ245"/>
      <c r="PKA245"/>
      <c r="PKB245"/>
      <c r="PKC245"/>
      <c r="PKD245"/>
      <c r="PKE245"/>
      <c r="PKF245"/>
      <c r="PKG245"/>
      <c r="PKH245"/>
      <c r="PKI245"/>
      <c r="PKJ245"/>
      <c r="PKK245"/>
      <c r="PKL245"/>
      <c r="PKM245"/>
      <c r="PKN245"/>
      <c r="PKO245"/>
      <c r="PKP245"/>
      <c r="PKQ245"/>
      <c r="PKR245"/>
      <c r="PKS245"/>
      <c r="PKT245"/>
      <c r="PKU245"/>
      <c r="PKV245"/>
      <c r="PKW245"/>
      <c r="PKX245"/>
      <c r="PKY245"/>
      <c r="PKZ245"/>
      <c r="PLA245"/>
      <c r="PLB245"/>
      <c r="PLC245"/>
      <c r="PLD245"/>
      <c r="PLE245"/>
      <c r="PLF245"/>
      <c r="PLG245"/>
      <c r="PLH245"/>
      <c r="PLI245"/>
      <c r="PLJ245"/>
      <c r="PLK245"/>
      <c r="PLL245"/>
      <c r="PLM245"/>
      <c r="PLN245"/>
      <c r="PLO245"/>
      <c r="PLP245"/>
      <c r="PLQ245"/>
      <c r="PLR245"/>
      <c r="PLS245"/>
      <c r="PLT245"/>
      <c r="PLU245"/>
      <c r="PLV245"/>
      <c r="PLW245"/>
      <c r="PLX245"/>
      <c r="PLY245"/>
      <c r="PLZ245"/>
      <c r="PMA245"/>
      <c r="PMB245"/>
      <c r="PMC245"/>
      <c r="PMD245"/>
      <c r="PME245"/>
      <c r="PMF245"/>
      <c r="PMG245"/>
      <c r="PMH245"/>
      <c r="PMI245"/>
      <c r="PMJ245"/>
      <c r="PMK245"/>
      <c r="PML245"/>
      <c r="PMM245"/>
      <c r="PMN245"/>
      <c r="PMO245"/>
      <c r="PMP245"/>
      <c r="PMQ245"/>
      <c r="PMR245"/>
      <c r="PMS245"/>
      <c r="PMT245"/>
      <c r="PMU245"/>
      <c r="PMV245"/>
      <c r="PMW245"/>
      <c r="PMX245"/>
      <c r="PMY245"/>
      <c r="PMZ245"/>
      <c r="PNA245"/>
      <c r="PNB245"/>
      <c r="PNC245"/>
      <c r="PND245"/>
      <c r="PNE245"/>
      <c r="PNF245"/>
      <c r="PNG245"/>
      <c r="PNH245"/>
      <c r="PNI245"/>
      <c r="PNJ245"/>
      <c r="PNK245"/>
      <c r="PNL245"/>
      <c r="PNM245"/>
      <c r="PNN245"/>
      <c r="PNO245"/>
      <c r="PNP245"/>
      <c r="PNQ245"/>
      <c r="PNR245"/>
      <c r="PNS245"/>
      <c r="PNT245"/>
      <c r="PNU245"/>
      <c r="PNV245"/>
      <c r="PNW245"/>
      <c r="PNX245"/>
      <c r="PNY245"/>
      <c r="PNZ245"/>
      <c r="POA245"/>
      <c r="POB245"/>
      <c r="POC245"/>
      <c r="POD245"/>
      <c r="POE245"/>
      <c r="POF245"/>
      <c r="POG245"/>
      <c r="POH245"/>
      <c r="POI245"/>
      <c r="POJ245"/>
      <c r="POK245"/>
      <c r="POL245"/>
      <c r="POM245"/>
      <c r="PON245"/>
      <c r="POO245"/>
      <c r="POP245"/>
      <c r="POQ245"/>
      <c r="POR245"/>
      <c r="POS245"/>
      <c r="POT245"/>
      <c r="POU245"/>
      <c r="POV245"/>
      <c r="POW245"/>
      <c r="POX245"/>
      <c r="POY245"/>
      <c r="POZ245"/>
      <c r="PPA245"/>
      <c r="PPB245"/>
      <c r="PPC245"/>
      <c r="PPD245"/>
      <c r="PPE245"/>
      <c r="PPF245"/>
      <c r="PPG245"/>
      <c r="PPH245"/>
      <c r="PPI245"/>
      <c r="PPJ245"/>
      <c r="PPK245"/>
      <c r="PPL245"/>
      <c r="PPM245"/>
      <c r="PPN245"/>
      <c r="PPO245"/>
      <c r="PPP245"/>
      <c r="PPQ245"/>
      <c r="PPR245"/>
      <c r="PPS245"/>
      <c r="PPT245"/>
      <c r="PPU245"/>
      <c r="PPV245"/>
      <c r="PPW245"/>
      <c r="PPX245"/>
      <c r="PPY245"/>
      <c r="PPZ245"/>
      <c r="PQA245"/>
      <c r="PQB245"/>
      <c r="PQC245"/>
      <c r="PQD245"/>
      <c r="PQE245"/>
      <c r="PQF245"/>
      <c r="PQG245"/>
      <c r="PQH245"/>
      <c r="PQI245"/>
      <c r="PQJ245"/>
      <c r="PQK245"/>
      <c r="PQL245"/>
      <c r="PQM245"/>
      <c r="PQN245"/>
      <c r="PQO245"/>
      <c r="PQP245"/>
      <c r="PQQ245"/>
      <c r="PQR245"/>
      <c r="PQS245"/>
      <c r="PQT245"/>
      <c r="PQU245"/>
      <c r="PQV245"/>
      <c r="PQW245"/>
      <c r="PQX245"/>
      <c r="PQY245"/>
      <c r="PQZ245"/>
      <c r="PRA245"/>
      <c r="PRB245"/>
      <c r="PRC245"/>
      <c r="PRD245"/>
      <c r="PRE245"/>
      <c r="PRF245"/>
      <c r="PRG245"/>
      <c r="PRH245"/>
      <c r="PRI245"/>
      <c r="PRJ245"/>
      <c r="PRK245"/>
      <c r="PRL245"/>
      <c r="PRM245"/>
      <c r="PRN245"/>
      <c r="PRO245"/>
      <c r="PRP245"/>
      <c r="PRQ245"/>
      <c r="PRR245"/>
      <c r="PRS245"/>
      <c r="PRT245"/>
      <c r="PRU245"/>
      <c r="PRV245"/>
      <c r="PRW245"/>
      <c r="PRX245"/>
      <c r="PRY245"/>
      <c r="PRZ245"/>
      <c r="PSA245"/>
      <c r="PSB245"/>
      <c r="PSC245"/>
      <c r="PSD245"/>
      <c r="PSE245"/>
      <c r="PSF245"/>
      <c r="PSG245"/>
      <c r="PSH245"/>
      <c r="PSI245"/>
      <c r="PSJ245"/>
      <c r="PSK245"/>
      <c r="PSL245"/>
      <c r="PSM245"/>
      <c r="PSN245"/>
      <c r="PSO245"/>
      <c r="PSP245"/>
      <c r="PSQ245"/>
      <c r="PSR245"/>
      <c r="PSS245"/>
      <c r="PST245"/>
      <c r="PSU245"/>
      <c r="PSV245"/>
      <c r="PSW245"/>
      <c r="PSX245"/>
      <c r="PSY245"/>
      <c r="PSZ245"/>
      <c r="PTA245"/>
      <c r="PTB245"/>
      <c r="PTC245"/>
      <c r="PTD245"/>
      <c r="PTE245"/>
      <c r="PTF245"/>
      <c r="PTG245"/>
      <c r="PTH245"/>
      <c r="PTI245"/>
      <c r="PTJ245"/>
      <c r="PTK245"/>
      <c r="PTL245"/>
      <c r="PTM245"/>
      <c r="PTN245"/>
      <c r="PTO245"/>
      <c r="PTP245"/>
      <c r="PTQ245"/>
      <c r="PTR245"/>
      <c r="PTS245"/>
      <c r="PTT245"/>
      <c r="PTU245"/>
      <c r="PTV245"/>
      <c r="PTW245"/>
      <c r="PTX245"/>
      <c r="PTY245"/>
      <c r="PTZ245"/>
      <c r="PUA245"/>
      <c r="PUB245"/>
      <c r="PUC245"/>
      <c r="PUD245"/>
      <c r="PUE245"/>
      <c r="PUF245"/>
      <c r="PUG245"/>
      <c r="PUH245"/>
      <c r="PUI245"/>
      <c r="PUJ245"/>
      <c r="PUK245"/>
      <c r="PUL245"/>
      <c r="PUM245"/>
      <c r="PUN245"/>
      <c r="PUO245"/>
      <c r="PUP245"/>
      <c r="PUQ245"/>
      <c r="PUR245"/>
      <c r="PUS245"/>
      <c r="PUT245"/>
      <c r="PUU245"/>
      <c r="PUV245"/>
      <c r="PUW245"/>
      <c r="PUX245"/>
      <c r="PUY245"/>
      <c r="PUZ245"/>
      <c r="PVA245"/>
      <c r="PVB245"/>
      <c r="PVC245"/>
      <c r="PVD245"/>
      <c r="PVE245"/>
      <c r="PVF245"/>
      <c r="PVG245"/>
      <c r="PVH245"/>
      <c r="PVI245"/>
      <c r="PVJ245"/>
      <c r="PVK245"/>
      <c r="PVL245"/>
      <c r="PVM245"/>
      <c r="PVN245"/>
      <c r="PVO245"/>
      <c r="PVP245"/>
      <c r="PVQ245"/>
      <c r="PVR245"/>
      <c r="PVS245"/>
      <c r="PVT245"/>
      <c r="PVU245"/>
      <c r="PVV245"/>
      <c r="PVW245"/>
      <c r="PVX245"/>
      <c r="PVY245"/>
      <c r="PVZ245"/>
      <c r="PWA245"/>
      <c r="PWB245"/>
      <c r="PWC245"/>
      <c r="PWD245"/>
      <c r="PWE245"/>
      <c r="PWF245"/>
      <c r="PWG245"/>
      <c r="PWH245"/>
      <c r="PWI245"/>
      <c r="PWJ245"/>
      <c r="PWK245"/>
      <c r="PWL245"/>
      <c r="PWM245"/>
      <c r="PWN245"/>
      <c r="PWO245"/>
      <c r="PWP245"/>
      <c r="PWQ245"/>
      <c r="PWR245"/>
      <c r="PWS245"/>
      <c r="PWT245"/>
      <c r="PWU245"/>
      <c r="PWV245"/>
      <c r="PWW245"/>
      <c r="PWX245"/>
      <c r="PWY245"/>
      <c r="PWZ245"/>
      <c r="PXA245"/>
      <c r="PXB245"/>
      <c r="PXC245"/>
      <c r="PXD245"/>
      <c r="PXE245"/>
      <c r="PXF245"/>
      <c r="PXG245"/>
      <c r="PXH245"/>
      <c r="PXI245"/>
      <c r="PXJ245"/>
      <c r="PXK245"/>
      <c r="PXL245"/>
      <c r="PXM245"/>
      <c r="PXN245"/>
      <c r="PXO245"/>
      <c r="PXP245"/>
      <c r="PXQ245"/>
      <c r="PXR245"/>
      <c r="PXS245"/>
      <c r="PXT245"/>
      <c r="PXU245"/>
      <c r="PXV245"/>
      <c r="PXW245"/>
      <c r="PXX245"/>
      <c r="PXY245"/>
      <c r="PXZ245"/>
      <c r="PYA245"/>
      <c r="PYB245"/>
      <c r="PYC245"/>
      <c r="PYD245"/>
      <c r="PYE245"/>
      <c r="PYF245"/>
      <c r="PYG245"/>
      <c r="PYH245"/>
      <c r="PYI245"/>
      <c r="PYJ245"/>
      <c r="PYK245"/>
      <c r="PYL245"/>
      <c r="PYM245"/>
      <c r="PYN245"/>
      <c r="PYO245"/>
      <c r="PYP245"/>
      <c r="PYQ245"/>
      <c r="PYR245"/>
      <c r="PYS245"/>
      <c r="PYT245"/>
      <c r="PYU245"/>
      <c r="PYV245"/>
      <c r="PYW245"/>
      <c r="PYX245"/>
      <c r="PYY245"/>
      <c r="PYZ245"/>
      <c r="PZA245"/>
      <c r="PZB245"/>
      <c r="PZC245"/>
      <c r="PZD245"/>
      <c r="PZE245"/>
      <c r="PZF245"/>
      <c r="PZG245"/>
      <c r="PZH245"/>
      <c r="PZI245"/>
      <c r="PZJ245"/>
      <c r="PZK245"/>
      <c r="PZL245"/>
      <c r="PZM245"/>
      <c r="PZN245"/>
      <c r="PZO245"/>
      <c r="PZP245"/>
      <c r="PZQ245"/>
      <c r="PZR245"/>
      <c r="PZS245"/>
      <c r="PZT245"/>
      <c r="PZU245"/>
      <c r="PZV245"/>
      <c r="PZW245"/>
      <c r="PZX245"/>
      <c r="PZY245"/>
      <c r="PZZ245"/>
      <c r="QAA245"/>
      <c r="QAB245"/>
      <c r="QAC245"/>
      <c r="QAD245"/>
      <c r="QAE245"/>
      <c r="QAF245"/>
      <c r="QAG245"/>
      <c r="QAH245"/>
      <c r="QAI245"/>
      <c r="QAJ245"/>
      <c r="QAK245"/>
      <c r="QAL245"/>
      <c r="QAM245"/>
      <c r="QAN245"/>
      <c r="QAO245"/>
      <c r="QAP245"/>
      <c r="QAQ245"/>
      <c r="QAR245"/>
      <c r="QAS245"/>
      <c r="QAT245"/>
      <c r="QAU245"/>
      <c r="QAV245"/>
      <c r="QAW245"/>
      <c r="QAX245"/>
      <c r="QAY245"/>
      <c r="QAZ245"/>
      <c r="QBA245"/>
      <c r="QBB245"/>
      <c r="QBC245"/>
      <c r="QBD245"/>
      <c r="QBE245"/>
      <c r="QBF245"/>
      <c r="QBG245"/>
      <c r="QBH245"/>
      <c r="QBI245"/>
      <c r="QBJ245"/>
      <c r="QBK245"/>
      <c r="QBL245"/>
      <c r="QBM245"/>
      <c r="QBN245"/>
      <c r="QBO245"/>
      <c r="QBP245"/>
      <c r="QBQ245"/>
      <c r="QBR245"/>
      <c r="QBS245"/>
      <c r="QBT245"/>
      <c r="QBU245"/>
      <c r="QBV245"/>
      <c r="QBW245"/>
      <c r="QBX245"/>
      <c r="QBY245"/>
      <c r="QBZ245"/>
      <c r="QCA245"/>
      <c r="QCB245"/>
      <c r="QCC245"/>
      <c r="QCD245"/>
      <c r="QCE245"/>
      <c r="QCF245"/>
      <c r="QCG245"/>
      <c r="QCH245"/>
      <c r="QCI245"/>
      <c r="QCJ245"/>
      <c r="QCK245"/>
      <c r="QCL245"/>
      <c r="QCM245"/>
      <c r="QCN245"/>
      <c r="QCO245"/>
      <c r="QCP245"/>
      <c r="QCQ245"/>
      <c r="QCR245"/>
      <c r="QCS245"/>
      <c r="QCT245"/>
      <c r="QCU245"/>
      <c r="QCV245"/>
      <c r="QCW245"/>
      <c r="QCX245"/>
      <c r="QCY245"/>
      <c r="QCZ245"/>
      <c r="QDA245"/>
      <c r="QDB245"/>
      <c r="QDC245"/>
      <c r="QDD245"/>
      <c r="QDE245"/>
      <c r="QDF245"/>
      <c r="QDG245"/>
      <c r="QDH245"/>
      <c r="QDI245"/>
      <c r="QDJ245"/>
      <c r="QDK245"/>
      <c r="QDL245"/>
      <c r="QDM245"/>
      <c r="QDN245"/>
      <c r="QDO245"/>
      <c r="QDP245"/>
      <c r="QDQ245"/>
      <c r="QDR245"/>
      <c r="QDS245"/>
      <c r="QDT245"/>
      <c r="QDU245"/>
      <c r="QDV245"/>
      <c r="QDW245"/>
      <c r="QDX245"/>
      <c r="QDY245"/>
      <c r="QDZ245"/>
      <c r="QEA245"/>
      <c r="QEB245"/>
      <c r="QEC245"/>
      <c r="QED245"/>
      <c r="QEE245"/>
      <c r="QEF245"/>
      <c r="QEG245"/>
      <c r="QEH245"/>
      <c r="QEI245"/>
      <c r="QEJ245"/>
      <c r="QEK245"/>
      <c r="QEL245"/>
      <c r="QEM245"/>
      <c r="QEN245"/>
      <c r="QEO245"/>
      <c r="QEP245"/>
      <c r="QEQ245"/>
      <c r="QER245"/>
      <c r="QES245"/>
      <c r="QET245"/>
      <c r="QEU245"/>
      <c r="QEV245"/>
      <c r="QEW245"/>
      <c r="QEX245"/>
      <c r="QEY245"/>
      <c r="QEZ245"/>
      <c r="QFA245"/>
      <c r="QFB245"/>
      <c r="QFC245"/>
      <c r="QFD245"/>
      <c r="QFE245"/>
      <c r="QFF245"/>
      <c r="QFG245"/>
      <c r="QFH245"/>
      <c r="QFI245"/>
      <c r="QFJ245"/>
      <c r="QFK245"/>
      <c r="QFL245"/>
      <c r="QFM245"/>
      <c r="QFN245"/>
      <c r="QFO245"/>
      <c r="QFP245"/>
      <c r="QFQ245"/>
      <c r="QFR245"/>
      <c r="QFS245"/>
      <c r="QFT245"/>
      <c r="QFU245"/>
      <c r="QFV245"/>
      <c r="QFW245"/>
      <c r="QFX245"/>
      <c r="QFY245"/>
      <c r="QFZ245"/>
      <c r="QGA245"/>
      <c r="QGB245"/>
      <c r="QGC245"/>
      <c r="QGD245"/>
      <c r="QGE245"/>
      <c r="QGF245"/>
      <c r="QGG245"/>
      <c r="QGH245"/>
      <c r="QGI245"/>
      <c r="QGJ245"/>
      <c r="QGK245"/>
      <c r="QGL245"/>
      <c r="QGM245"/>
      <c r="QGN245"/>
      <c r="QGO245"/>
      <c r="QGP245"/>
      <c r="QGQ245"/>
      <c r="QGR245"/>
      <c r="QGS245"/>
      <c r="QGT245"/>
      <c r="QGU245"/>
      <c r="QGV245"/>
      <c r="QGW245"/>
      <c r="QGX245"/>
      <c r="QGY245"/>
      <c r="QGZ245"/>
      <c r="QHA245"/>
      <c r="QHB245"/>
      <c r="QHC245"/>
      <c r="QHD245"/>
      <c r="QHE245"/>
      <c r="QHF245"/>
      <c r="QHG245"/>
      <c r="QHH245"/>
      <c r="QHI245"/>
      <c r="QHJ245"/>
      <c r="QHK245"/>
      <c r="QHL245"/>
      <c r="QHM245"/>
      <c r="QHN245"/>
      <c r="QHO245"/>
      <c r="QHP245"/>
      <c r="QHQ245"/>
      <c r="QHR245"/>
      <c r="QHS245"/>
      <c r="QHT245"/>
      <c r="QHU245"/>
      <c r="QHV245"/>
      <c r="QHW245"/>
      <c r="QHX245"/>
      <c r="QHY245"/>
      <c r="QHZ245"/>
      <c r="QIA245"/>
      <c r="QIB245"/>
      <c r="QIC245"/>
      <c r="QID245"/>
      <c r="QIE245"/>
      <c r="QIF245"/>
      <c r="QIG245"/>
      <c r="QIH245"/>
      <c r="QII245"/>
      <c r="QIJ245"/>
      <c r="QIK245"/>
      <c r="QIL245"/>
      <c r="QIM245"/>
      <c r="QIN245"/>
      <c r="QIO245"/>
      <c r="QIP245"/>
      <c r="QIQ245"/>
      <c r="QIR245"/>
      <c r="QIS245"/>
      <c r="QIT245"/>
      <c r="QIU245"/>
      <c r="QIV245"/>
      <c r="QIW245"/>
      <c r="QIX245"/>
      <c r="QIY245"/>
      <c r="QIZ245"/>
      <c r="QJA245"/>
      <c r="QJB245"/>
      <c r="QJC245"/>
      <c r="QJD245"/>
      <c r="QJE245"/>
      <c r="QJF245"/>
      <c r="QJG245"/>
      <c r="QJH245"/>
      <c r="QJI245"/>
      <c r="QJJ245"/>
      <c r="QJK245"/>
      <c r="QJL245"/>
      <c r="QJM245"/>
      <c r="QJN245"/>
      <c r="QJO245"/>
      <c r="QJP245"/>
      <c r="QJQ245"/>
      <c r="QJR245"/>
      <c r="QJS245"/>
      <c r="QJT245"/>
      <c r="QJU245"/>
      <c r="QJV245"/>
      <c r="QJW245"/>
      <c r="QJX245"/>
      <c r="QJY245"/>
      <c r="QJZ245"/>
      <c r="QKA245"/>
      <c r="QKB245"/>
      <c r="QKC245"/>
      <c r="QKD245"/>
      <c r="QKE245"/>
      <c r="QKF245"/>
      <c r="QKG245"/>
      <c r="QKH245"/>
      <c r="QKI245"/>
      <c r="QKJ245"/>
      <c r="QKK245"/>
      <c r="QKL245"/>
      <c r="QKM245"/>
      <c r="QKN245"/>
      <c r="QKO245"/>
      <c r="QKP245"/>
      <c r="QKQ245"/>
      <c r="QKR245"/>
      <c r="QKS245"/>
      <c r="QKT245"/>
      <c r="QKU245"/>
      <c r="QKV245"/>
      <c r="QKW245"/>
      <c r="QKX245"/>
      <c r="QKY245"/>
      <c r="QKZ245"/>
      <c r="QLA245"/>
      <c r="QLB245"/>
      <c r="QLC245"/>
      <c r="QLD245"/>
      <c r="QLE245"/>
      <c r="QLF245"/>
      <c r="QLG245"/>
      <c r="QLH245"/>
      <c r="QLI245"/>
      <c r="QLJ245"/>
      <c r="QLK245"/>
      <c r="QLL245"/>
      <c r="QLM245"/>
      <c r="QLN245"/>
      <c r="QLO245"/>
      <c r="QLP245"/>
      <c r="QLQ245"/>
      <c r="QLR245"/>
      <c r="QLS245"/>
      <c r="QLT245"/>
      <c r="QLU245"/>
      <c r="QLV245"/>
      <c r="QLW245"/>
      <c r="QLX245"/>
      <c r="QLY245"/>
      <c r="QLZ245"/>
      <c r="QMA245"/>
      <c r="QMB245"/>
      <c r="QMC245"/>
      <c r="QMD245"/>
      <c r="QME245"/>
      <c r="QMF245"/>
      <c r="QMG245"/>
      <c r="QMH245"/>
      <c r="QMI245"/>
      <c r="QMJ245"/>
      <c r="QMK245"/>
      <c r="QML245"/>
      <c r="QMM245"/>
      <c r="QMN245"/>
      <c r="QMO245"/>
      <c r="QMP245"/>
      <c r="QMQ245"/>
      <c r="QMR245"/>
      <c r="QMS245"/>
      <c r="QMT245"/>
      <c r="QMU245"/>
      <c r="QMV245"/>
      <c r="QMW245"/>
      <c r="QMX245"/>
      <c r="QMY245"/>
      <c r="QMZ245"/>
      <c r="QNA245"/>
      <c r="QNB245"/>
      <c r="QNC245"/>
      <c r="QND245"/>
      <c r="QNE245"/>
      <c r="QNF245"/>
      <c r="QNG245"/>
      <c r="QNH245"/>
      <c r="QNI245"/>
      <c r="QNJ245"/>
      <c r="QNK245"/>
      <c r="QNL245"/>
      <c r="QNM245"/>
      <c r="QNN245"/>
      <c r="QNO245"/>
      <c r="QNP245"/>
      <c r="QNQ245"/>
      <c r="QNR245"/>
      <c r="QNS245"/>
      <c r="QNT245"/>
      <c r="QNU245"/>
      <c r="QNV245"/>
      <c r="QNW245"/>
      <c r="QNX245"/>
      <c r="QNY245"/>
      <c r="QNZ245"/>
      <c r="QOA245"/>
      <c r="QOB245"/>
      <c r="QOC245"/>
      <c r="QOD245"/>
      <c r="QOE245"/>
      <c r="QOF245"/>
      <c r="QOG245"/>
      <c r="QOH245"/>
      <c r="QOI245"/>
      <c r="QOJ245"/>
      <c r="QOK245"/>
      <c r="QOL245"/>
      <c r="QOM245"/>
      <c r="QON245"/>
      <c r="QOO245"/>
      <c r="QOP245"/>
      <c r="QOQ245"/>
      <c r="QOR245"/>
      <c r="QOS245"/>
      <c r="QOT245"/>
      <c r="QOU245"/>
      <c r="QOV245"/>
      <c r="QOW245"/>
      <c r="QOX245"/>
      <c r="QOY245"/>
      <c r="QOZ245"/>
      <c r="QPA245"/>
      <c r="QPB245"/>
      <c r="QPC245"/>
      <c r="QPD245"/>
      <c r="QPE245"/>
      <c r="QPF245"/>
      <c r="QPG245"/>
      <c r="QPH245"/>
      <c r="QPI245"/>
      <c r="QPJ245"/>
      <c r="QPK245"/>
      <c r="QPL245"/>
      <c r="QPM245"/>
      <c r="QPN245"/>
      <c r="QPO245"/>
      <c r="QPP245"/>
      <c r="QPQ245"/>
      <c r="QPR245"/>
      <c r="QPS245"/>
      <c r="QPT245"/>
      <c r="QPU245"/>
      <c r="QPV245"/>
      <c r="QPW245"/>
      <c r="QPX245"/>
      <c r="QPY245"/>
      <c r="QPZ245"/>
      <c r="QQA245"/>
      <c r="QQB245"/>
      <c r="QQC245"/>
      <c r="QQD245"/>
      <c r="QQE245"/>
      <c r="QQF245"/>
      <c r="QQG245"/>
      <c r="QQH245"/>
      <c r="QQI245"/>
      <c r="QQJ245"/>
      <c r="QQK245"/>
      <c r="QQL245"/>
      <c r="QQM245"/>
      <c r="QQN245"/>
      <c r="QQO245"/>
      <c r="QQP245"/>
      <c r="QQQ245"/>
      <c r="QQR245"/>
      <c r="QQS245"/>
      <c r="QQT245"/>
      <c r="QQU245"/>
      <c r="QQV245"/>
      <c r="QQW245"/>
      <c r="QQX245"/>
      <c r="QQY245"/>
      <c r="QQZ245"/>
      <c r="QRA245"/>
      <c r="QRB245"/>
      <c r="QRC245"/>
      <c r="QRD245"/>
      <c r="QRE245"/>
      <c r="QRF245"/>
      <c r="QRG245"/>
      <c r="QRH245"/>
      <c r="QRI245"/>
      <c r="QRJ245"/>
      <c r="QRK245"/>
      <c r="QRL245"/>
      <c r="QRM245"/>
      <c r="QRN245"/>
      <c r="QRO245"/>
      <c r="QRP245"/>
      <c r="QRQ245"/>
      <c r="QRR245"/>
      <c r="QRS245"/>
      <c r="QRT245"/>
      <c r="QRU245"/>
      <c r="QRV245"/>
      <c r="QRW245"/>
      <c r="QRX245"/>
      <c r="QRY245"/>
      <c r="QRZ245"/>
      <c r="QSA245"/>
      <c r="QSB245"/>
      <c r="QSC245"/>
      <c r="QSD245"/>
      <c r="QSE245"/>
      <c r="QSF245"/>
      <c r="QSG245"/>
      <c r="QSH245"/>
      <c r="QSI245"/>
      <c r="QSJ245"/>
      <c r="QSK245"/>
      <c r="QSL245"/>
      <c r="QSM245"/>
      <c r="QSN245"/>
      <c r="QSO245"/>
      <c r="QSP245"/>
      <c r="QSQ245"/>
      <c r="QSR245"/>
      <c r="QSS245"/>
      <c r="QST245"/>
      <c r="QSU245"/>
      <c r="QSV245"/>
      <c r="QSW245"/>
      <c r="QSX245"/>
      <c r="QSY245"/>
      <c r="QSZ245"/>
      <c r="QTA245"/>
      <c r="QTB245"/>
      <c r="QTC245"/>
      <c r="QTD245"/>
      <c r="QTE245"/>
      <c r="QTF245"/>
      <c r="QTG245"/>
      <c r="QTH245"/>
      <c r="QTI245"/>
      <c r="QTJ245"/>
      <c r="QTK245"/>
      <c r="QTL245"/>
      <c r="QTM245"/>
      <c r="QTN245"/>
      <c r="QTO245"/>
      <c r="QTP245"/>
      <c r="QTQ245"/>
      <c r="QTR245"/>
      <c r="QTS245"/>
      <c r="QTT245"/>
      <c r="QTU245"/>
      <c r="QTV245"/>
      <c r="QTW245"/>
      <c r="QTX245"/>
      <c r="QTY245"/>
      <c r="QTZ245"/>
      <c r="QUA245"/>
      <c r="QUB245"/>
      <c r="QUC245"/>
      <c r="QUD245"/>
      <c r="QUE245"/>
      <c r="QUF245"/>
      <c r="QUG245"/>
      <c r="QUH245"/>
      <c r="QUI245"/>
      <c r="QUJ245"/>
      <c r="QUK245"/>
      <c r="QUL245"/>
      <c r="QUM245"/>
      <c r="QUN245"/>
      <c r="QUO245"/>
      <c r="QUP245"/>
      <c r="QUQ245"/>
      <c r="QUR245"/>
      <c r="QUS245"/>
      <c r="QUT245"/>
      <c r="QUU245"/>
      <c r="QUV245"/>
      <c r="QUW245"/>
      <c r="QUX245"/>
      <c r="QUY245"/>
      <c r="QUZ245"/>
      <c r="QVA245"/>
      <c r="QVB245"/>
      <c r="QVC245"/>
      <c r="QVD245"/>
      <c r="QVE245"/>
      <c r="QVF245"/>
      <c r="QVG245"/>
      <c r="QVH245"/>
      <c r="QVI245"/>
      <c r="QVJ245"/>
      <c r="QVK245"/>
      <c r="QVL245"/>
      <c r="QVM245"/>
      <c r="QVN245"/>
      <c r="QVO245"/>
      <c r="QVP245"/>
      <c r="QVQ245"/>
      <c r="QVR245"/>
      <c r="QVS245"/>
      <c r="QVT245"/>
      <c r="QVU245"/>
      <c r="QVV245"/>
      <c r="QVW245"/>
      <c r="QVX245"/>
      <c r="QVY245"/>
      <c r="QVZ245"/>
      <c r="QWA245"/>
      <c r="QWB245"/>
      <c r="QWC245"/>
      <c r="QWD245"/>
      <c r="QWE245"/>
      <c r="QWF245"/>
      <c r="QWG245"/>
      <c r="QWH245"/>
      <c r="QWI245"/>
      <c r="QWJ245"/>
      <c r="QWK245"/>
      <c r="QWL245"/>
      <c r="QWM245"/>
      <c r="QWN245"/>
      <c r="QWO245"/>
      <c r="QWP245"/>
      <c r="QWQ245"/>
      <c r="QWR245"/>
      <c r="QWS245"/>
      <c r="QWT245"/>
      <c r="QWU245"/>
      <c r="QWV245"/>
      <c r="QWW245"/>
      <c r="QWX245"/>
      <c r="QWY245"/>
      <c r="QWZ245"/>
      <c r="QXA245"/>
      <c r="QXB245"/>
      <c r="QXC245"/>
      <c r="QXD245"/>
      <c r="QXE245"/>
      <c r="QXF245"/>
      <c r="QXG245"/>
      <c r="QXH245"/>
      <c r="QXI245"/>
      <c r="QXJ245"/>
      <c r="QXK245"/>
      <c r="QXL245"/>
      <c r="QXM245"/>
      <c r="QXN245"/>
      <c r="QXO245"/>
      <c r="QXP245"/>
      <c r="QXQ245"/>
      <c r="QXR245"/>
      <c r="QXS245"/>
      <c r="QXT245"/>
      <c r="QXU245"/>
      <c r="QXV245"/>
      <c r="QXW245"/>
      <c r="QXX245"/>
      <c r="QXY245"/>
      <c r="QXZ245"/>
      <c r="QYA245"/>
      <c r="QYB245"/>
      <c r="QYC245"/>
      <c r="QYD245"/>
      <c r="QYE245"/>
      <c r="QYF245"/>
      <c r="QYG245"/>
      <c r="QYH245"/>
      <c r="QYI245"/>
      <c r="QYJ245"/>
      <c r="QYK245"/>
      <c r="QYL245"/>
      <c r="QYM245"/>
      <c r="QYN245"/>
      <c r="QYO245"/>
      <c r="QYP245"/>
      <c r="QYQ245"/>
      <c r="QYR245"/>
      <c r="QYS245"/>
      <c r="QYT245"/>
      <c r="QYU245"/>
      <c r="QYV245"/>
      <c r="QYW245"/>
      <c r="QYX245"/>
      <c r="QYY245"/>
      <c r="QYZ245"/>
      <c r="QZA245"/>
      <c r="QZB245"/>
      <c r="QZC245"/>
      <c r="QZD245"/>
      <c r="QZE245"/>
      <c r="QZF245"/>
      <c r="QZG245"/>
      <c r="QZH245"/>
      <c r="QZI245"/>
      <c r="QZJ245"/>
      <c r="QZK245"/>
      <c r="QZL245"/>
      <c r="QZM245"/>
      <c r="QZN245"/>
      <c r="QZO245"/>
      <c r="QZP245"/>
      <c r="QZQ245"/>
      <c r="QZR245"/>
      <c r="QZS245"/>
      <c r="QZT245"/>
      <c r="QZU245"/>
      <c r="QZV245"/>
      <c r="QZW245"/>
      <c r="QZX245"/>
      <c r="QZY245"/>
      <c r="QZZ245"/>
      <c r="RAA245"/>
      <c r="RAB245"/>
      <c r="RAC245"/>
      <c r="RAD245"/>
      <c r="RAE245"/>
      <c r="RAF245"/>
      <c r="RAG245"/>
      <c r="RAH245"/>
      <c r="RAI245"/>
      <c r="RAJ245"/>
      <c r="RAK245"/>
      <c r="RAL245"/>
      <c r="RAM245"/>
      <c r="RAN245"/>
      <c r="RAO245"/>
      <c r="RAP245"/>
      <c r="RAQ245"/>
      <c r="RAR245"/>
      <c r="RAS245"/>
      <c r="RAT245"/>
      <c r="RAU245"/>
      <c r="RAV245"/>
      <c r="RAW245"/>
      <c r="RAX245"/>
      <c r="RAY245"/>
      <c r="RAZ245"/>
      <c r="RBA245"/>
      <c r="RBB245"/>
      <c r="RBC245"/>
      <c r="RBD245"/>
      <c r="RBE245"/>
      <c r="RBF245"/>
      <c r="RBG245"/>
      <c r="RBH245"/>
      <c r="RBI245"/>
      <c r="RBJ245"/>
      <c r="RBK245"/>
      <c r="RBL245"/>
      <c r="RBM245"/>
      <c r="RBN245"/>
      <c r="RBO245"/>
      <c r="RBP245"/>
      <c r="RBQ245"/>
      <c r="RBR245"/>
      <c r="RBS245"/>
      <c r="RBT245"/>
      <c r="RBU245"/>
      <c r="RBV245"/>
      <c r="RBW245"/>
      <c r="RBX245"/>
      <c r="RBY245"/>
      <c r="RBZ245"/>
      <c r="RCA245"/>
      <c r="RCB245"/>
      <c r="RCC245"/>
      <c r="RCD245"/>
      <c r="RCE245"/>
      <c r="RCF245"/>
      <c r="RCG245"/>
      <c r="RCH245"/>
      <c r="RCI245"/>
      <c r="RCJ245"/>
      <c r="RCK245"/>
      <c r="RCL245"/>
      <c r="RCM245"/>
      <c r="RCN245"/>
      <c r="RCO245"/>
      <c r="RCP245"/>
      <c r="RCQ245"/>
      <c r="RCR245"/>
      <c r="RCS245"/>
      <c r="RCT245"/>
      <c r="RCU245"/>
      <c r="RCV245"/>
      <c r="RCW245"/>
      <c r="RCX245"/>
      <c r="RCY245"/>
      <c r="RCZ245"/>
      <c r="RDA245"/>
      <c r="RDB245"/>
      <c r="RDC245"/>
      <c r="RDD245"/>
      <c r="RDE245"/>
      <c r="RDF245"/>
      <c r="RDG245"/>
      <c r="RDH245"/>
      <c r="RDI245"/>
      <c r="RDJ245"/>
      <c r="RDK245"/>
      <c r="RDL245"/>
      <c r="RDM245"/>
      <c r="RDN245"/>
      <c r="RDO245"/>
      <c r="RDP245"/>
      <c r="RDQ245"/>
      <c r="RDR245"/>
      <c r="RDS245"/>
      <c r="RDT245"/>
      <c r="RDU245"/>
      <c r="RDV245"/>
      <c r="RDW245"/>
      <c r="RDX245"/>
      <c r="RDY245"/>
      <c r="RDZ245"/>
      <c r="REA245"/>
      <c r="REB245"/>
      <c r="REC245"/>
      <c r="RED245"/>
      <c r="REE245"/>
      <c r="REF245"/>
      <c r="REG245"/>
      <c r="REH245"/>
      <c r="REI245"/>
      <c r="REJ245"/>
      <c r="REK245"/>
      <c r="REL245"/>
      <c r="REM245"/>
      <c r="REN245"/>
      <c r="REO245"/>
      <c r="REP245"/>
      <c r="REQ245"/>
      <c r="RER245"/>
      <c r="RES245"/>
      <c r="RET245"/>
      <c r="REU245"/>
      <c r="REV245"/>
      <c r="REW245"/>
      <c r="REX245"/>
      <c r="REY245"/>
      <c r="REZ245"/>
      <c r="RFA245"/>
      <c r="RFB245"/>
      <c r="RFC245"/>
      <c r="RFD245"/>
      <c r="RFE245"/>
      <c r="RFF245"/>
      <c r="RFG245"/>
      <c r="RFH245"/>
      <c r="RFI245"/>
      <c r="RFJ245"/>
      <c r="RFK245"/>
      <c r="RFL245"/>
      <c r="RFM245"/>
      <c r="RFN245"/>
      <c r="RFO245"/>
      <c r="RFP245"/>
      <c r="RFQ245"/>
      <c r="RFR245"/>
      <c r="RFS245"/>
      <c r="RFT245"/>
      <c r="RFU245"/>
      <c r="RFV245"/>
      <c r="RFW245"/>
      <c r="RFX245"/>
      <c r="RFY245"/>
      <c r="RFZ245"/>
      <c r="RGA245"/>
      <c r="RGB245"/>
      <c r="RGC245"/>
      <c r="RGD245"/>
      <c r="RGE245"/>
      <c r="RGF245"/>
      <c r="RGG245"/>
      <c r="RGH245"/>
      <c r="RGI245"/>
      <c r="RGJ245"/>
      <c r="RGK245"/>
      <c r="RGL245"/>
      <c r="RGM245"/>
      <c r="RGN245"/>
      <c r="RGO245"/>
      <c r="RGP245"/>
      <c r="RGQ245"/>
      <c r="RGR245"/>
      <c r="RGS245"/>
      <c r="RGT245"/>
      <c r="RGU245"/>
      <c r="RGV245"/>
      <c r="RGW245"/>
      <c r="RGX245"/>
      <c r="RGY245"/>
      <c r="RGZ245"/>
      <c r="RHA245"/>
      <c r="RHB245"/>
      <c r="RHC245"/>
      <c r="RHD245"/>
      <c r="RHE245"/>
      <c r="RHF245"/>
      <c r="RHG245"/>
      <c r="RHH245"/>
      <c r="RHI245"/>
      <c r="RHJ245"/>
      <c r="RHK245"/>
      <c r="RHL245"/>
      <c r="RHM245"/>
      <c r="RHN245"/>
      <c r="RHO245"/>
      <c r="RHP245"/>
      <c r="RHQ245"/>
      <c r="RHR245"/>
      <c r="RHS245"/>
      <c r="RHT245"/>
      <c r="RHU245"/>
      <c r="RHV245"/>
      <c r="RHW245"/>
      <c r="RHX245"/>
      <c r="RHY245"/>
      <c r="RHZ245"/>
      <c r="RIA245"/>
      <c r="RIB245"/>
      <c r="RIC245"/>
      <c r="RID245"/>
      <c r="RIE245"/>
      <c r="RIF245"/>
      <c r="RIG245"/>
      <c r="RIH245"/>
      <c r="RII245"/>
      <c r="RIJ245"/>
      <c r="RIK245"/>
      <c r="RIL245"/>
      <c r="RIM245"/>
      <c r="RIN245"/>
      <c r="RIO245"/>
      <c r="RIP245"/>
      <c r="RIQ245"/>
      <c r="RIR245"/>
      <c r="RIS245"/>
      <c r="RIT245"/>
      <c r="RIU245"/>
      <c r="RIV245"/>
      <c r="RIW245"/>
      <c r="RIX245"/>
      <c r="RIY245"/>
      <c r="RIZ245"/>
      <c r="RJA245"/>
      <c r="RJB245"/>
      <c r="RJC245"/>
      <c r="RJD245"/>
      <c r="RJE245"/>
      <c r="RJF245"/>
      <c r="RJG245"/>
      <c r="RJH245"/>
      <c r="RJI245"/>
      <c r="RJJ245"/>
      <c r="RJK245"/>
      <c r="RJL245"/>
      <c r="RJM245"/>
      <c r="RJN245"/>
      <c r="RJO245"/>
      <c r="RJP245"/>
      <c r="RJQ245"/>
      <c r="RJR245"/>
      <c r="RJS245"/>
      <c r="RJT245"/>
      <c r="RJU245"/>
      <c r="RJV245"/>
      <c r="RJW245"/>
      <c r="RJX245"/>
      <c r="RJY245"/>
      <c r="RJZ245"/>
      <c r="RKA245"/>
      <c r="RKB245"/>
      <c r="RKC245"/>
      <c r="RKD245"/>
      <c r="RKE245"/>
      <c r="RKF245"/>
      <c r="RKG245"/>
      <c r="RKH245"/>
      <c r="RKI245"/>
      <c r="RKJ245"/>
      <c r="RKK245"/>
      <c r="RKL245"/>
      <c r="RKM245"/>
      <c r="RKN245"/>
      <c r="RKO245"/>
      <c r="RKP245"/>
      <c r="RKQ245"/>
      <c r="RKR245"/>
      <c r="RKS245"/>
      <c r="RKT245"/>
      <c r="RKU245"/>
      <c r="RKV245"/>
      <c r="RKW245"/>
      <c r="RKX245"/>
      <c r="RKY245"/>
      <c r="RKZ245"/>
      <c r="RLA245"/>
      <c r="RLB245"/>
      <c r="RLC245"/>
      <c r="RLD245"/>
      <c r="RLE245"/>
      <c r="RLF245"/>
      <c r="RLG245"/>
      <c r="RLH245"/>
      <c r="RLI245"/>
      <c r="RLJ245"/>
      <c r="RLK245"/>
      <c r="RLL245"/>
      <c r="RLM245"/>
      <c r="RLN245"/>
      <c r="RLO245"/>
      <c r="RLP245"/>
      <c r="RLQ245"/>
      <c r="RLR245"/>
      <c r="RLS245"/>
      <c r="RLT245"/>
      <c r="RLU245"/>
      <c r="RLV245"/>
      <c r="RLW245"/>
      <c r="RLX245"/>
      <c r="RLY245"/>
      <c r="RLZ245"/>
      <c r="RMA245"/>
      <c r="RMB245"/>
      <c r="RMC245"/>
      <c r="RMD245"/>
      <c r="RME245"/>
      <c r="RMF245"/>
      <c r="RMG245"/>
      <c r="RMH245"/>
      <c r="RMI245"/>
      <c r="RMJ245"/>
      <c r="RMK245"/>
      <c r="RML245"/>
      <c r="RMM245"/>
      <c r="RMN245"/>
      <c r="RMO245"/>
      <c r="RMP245"/>
      <c r="RMQ245"/>
      <c r="RMR245"/>
      <c r="RMS245"/>
      <c r="RMT245"/>
      <c r="RMU245"/>
      <c r="RMV245"/>
      <c r="RMW245"/>
      <c r="RMX245"/>
      <c r="RMY245"/>
      <c r="RMZ245"/>
      <c r="RNA245"/>
      <c r="RNB245"/>
      <c r="RNC245"/>
      <c r="RND245"/>
      <c r="RNE245"/>
      <c r="RNF245"/>
      <c r="RNG245"/>
      <c r="RNH245"/>
      <c r="RNI245"/>
      <c r="RNJ245"/>
      <c r="RNK245"/>
      <c r="RNL245"/>
      <c r="RNM245"/>
      <c r="RNN245"/>
      <c r="RNO245"/>
      <c r="RNP245"/>
      <c r="RNQ245"/>
      <c r="RNR245"/>
      <c r="RNS245"/>
      <c r="RNT245"/>
      <c r="RNU245"/>
      <c r="RNV245"/>
      <c r="RNW245"/>
      <c r="RNX245"/>
      <c r="RNY245"/>
      <c r="RNZ245"/>
      <c r="ROA245"/>
      <c r="ROB245"/>
      <c r="ROC245"/>
      <c r="ROD245"/>
      <c r="ROE245"/>
      <c r="ROF245"/>
      <c r="ROG245"/>
      <c r="ROH245"/>
      <c r="ROI245"/>
      <c r="ROJ245"/>
      <c r="ROK245"/>
      <c r="ROL245"/>
      <c r="ROM245"/>
      <c r="RON245"/>
      <c r="ROO245"/>
      <c r="ROP245"/>
      <c r="ROQ245"/>
      <c r="ROR245"/>
      <c r="ROS245"/>
      <c r="ROT245"/>
      <c r="ROU245"/>
      <c r="ROV245"/>
      <c r="ROW245"/>
      <c r="ROX245"/>
      <c r="ROY245"/>
      <c r="ROZ245"/>
      <c r="RPA245"/>
      <c r="RPB245"/>
      <c r="RPC245"/>
      <c r="RPD245"/>
      <c r="RPE245"/>
      <c r="RPF245"/>
      <c r="RPG245"/>
      <c r="RPH245"/>
      <c r="RPI245"/>
      <c r="RPJ245"/>
      <c r="RPK245"/>
      <c r="RPL245"/>
      <c r="RPM245"/>
      <c r="RPN245"/>
      <c r="RPO245"/>
      <c r="RPP245"/>
      <c r="RPQ245"/>
      <c r="RPR245"/>
      <c r="RPS245"/>
      <c r="RPT245"/>
      <c r="RPU245"/>
      <c r="RPV245"/>
      <c r="RPW245"/>
      <c r="RPX245"/>
      <c r="RPY245"/>
      <c r="RPZ245"/>
      <c r="RQA245"/>
      <c r="RQB245"/>
      <c r="RQC245"/>
      <c r="RQD245"/>
      <c r="RQE245"/>
      <c r="RQF245"/>
      <c r="RQG245"/>
      <c r="RQH245"/>
      <c r="RQI245"/>
      <c r="RQJ245"/>
      <c r="RQK245"/>
      <c r="RQL245"/>
      <c r="RQM245"/>
      <c r="RQN245"/>
      <c r="RQO245"/>
      <c r="RQP245"/>
      <c r="RQQ245"/>
      <c r="RQR245"/>
      <c r="RQS245"/>
      <c r="RQT245"/>
      <c r="RQU245"/>
      <c r="RQV245"/>
      <c r="RQW245"/>
      <c r="RQX245"/>
      <c r="RQY245"/>
      <c r="RQZ245"/>
      <c r="RRA245"/>
      <c r="RRB245"/>
      <c r="RRC245"/>
      <c r="RRD245"/>
      <c r="RRE245"/>
      <c r="RRF245"/>
      <c r="RRG245"/>
      <c r="RRH245"/>
      <c r="RRI245"/>
      <c r="RRJ245"/>
      <c r="RRK245"/>
      <c r="RRL245"/>
      <c r="RRM245"/>
      <c r="RRN245"/>
      <c r="RRO245"/>
      <c r="RRP245"/>
      <c r="RRQ245"/>
      <c r="RRR245"/>
      <c r="RRS245"/>
      <c r="RRT245"/>
      <c r="RRU245"/>
      <c r="RRV245"/>
      <c r="RRW245"/>
      <c r="RRX245"/>
      <c r="RRY245"/>
      <c r="RRZ245"/>
      <c r="RSA245"/>
      <c r="RSB245"/>
      <c r="RSC245"/>
      <c r="RSD245"/>
      <c r="RSE245"/>
      <c r="RSF245"/>
      <c r="RSG245"/>
      <c r="RSH245"/>
      <c r="RSI245"/>
      <c r="RSJ245"/>
      <c r="RSK245"/>
      <c r="RSL245"/>
      <c r="RSM245"/>
      <c r="RSN245"/>
      <c r="RSO245"/>
      <c r="RSP245"/>
      <c r="RSQ245"/>
      <c r="RSR245"/>
      <c r="RSS245"/>
      <c r="RST245"/>
      <c r="RSU245"/>
      <c r="RSV245"/>
      <c r="RSW245"/>
      <c r="RSX245"/>
      <c r="RSY245"/>
      <c r="RSZ245"/>
      <c r="RTA245"/>
      <c r="RTB245"/>
      <c r="RTC245"/>
      <c r="RTD245"/>
      <c r="RTE245"/>
      <c r="RTF245"/>
      <c r="RTG245"/>
      <c r="RTH245"/>
      <c r="RTI245"/>
      <c r="RTJ245"/>
      <c r="RTK245"/>
      <c r="RTL245"/>
      <c r="RTM245"/>
      <c r="RTN245"/>
      <c r="RTO245"/>
      <c r="RTP245"/>
      <c r="RTQ245"/>
      <c r="RTR245"/>
      <c r="RTS245"/>
      <c r="RTT245"/>
      <c r="RTU245"/>
      <c r="RTV245"/>
      <c r="RTW245"/>
      <c r="RTX245"/>
      <c r="RTY245"/>
      <c r="RTZ245"/>
      <c r="RUA245"/>
      <c r="RUB245"/>
      <c r="RUC245"/>
      <c r="RUD245"/>
      <c r="RUE245"/>
      <c r="RUF245"/>
      <c r="RUG245"/>
      <c r="RUH245"/>
      <c r="RUI245"/>
      <c r="RUJ245"/>
      <c r="RUK245"/>
      <c r="RUL245"/>
      <c r="RUM245"/>
      <c r="RUN245"/>
      <c r="RUO245"/>
      <c r="RUP245"/>
      <c r="RUQ245"/>
      <c r="RUR245"/>
      <c r="RUS245"/>
      <c r="RUT245"/>
      <c r="RUU245"/>
      <c r="RUV245"/>
      <c r="RUW245"/>
      <c r="RUX245"/>
      <c r="RUY245"/>
      <c r="RUZ245"/>
      <c r="RVA245"/>
      <c r="RVB245"/>
      <c r="RVC245"/>
      <c r="RVD245"/>
      <c r="RVE245"/>
      <c r="RVF245"/>
      <c r="RVG245"/>
      <c r="RVH245"/>
      <c r="RVI245"/>
      <c r="RVJ245"/>
      <c r="RVK245"/>
      <c r="RVL245"/>
      <c r="RVM245"/>
      <c r="RVN245"/>
      <c r="RVO245"/>
      <c r="RVP245"/>
      <c r="RVQ245"/>
      <c r="RVR245"/>
      <c r="RVS245"/>
      <c r="RVT245"/>
      <c r="RVU245"/>
      <c r="RVV245"/>
      <c r="RVW245"/>
      <c r="RVX245"/>
      <c r="RVY245"/>
      <c r="RVZ245"/>
      <c r="RWA245"/>
      <c r="RWB245"/>
      <c r="RWC245"/>
      <c r="RWD245"/>
      <c r="RWE245"/>
      <c r="RWF245"/>
      <c r="RWG245"/>
      <c r="RWH245"/>
      <c r="RWI245"/>
      <c r="RWJ245"/>
      <c r="RWK245"/>
      <c r="RWL245"/>
      <c r="RWM245"/>
      <c r="RWN245"/>
      <c r="RWO245"/>
      <c r="RWP245"/>
      <c r="RWQ245"/>
      <c r="RWR245"/>
      <c r="RWS245"/>
      <c r="RWT245"/>
      <c r="RWU245"/>
      <c r="RWV245"/>
      <c r="RWW245"/>
      <c r="RWX245"/>
      <c r="RWY245"/>
      <c r="RWZ245"/>
      <c r="RXA245"/>
      <c r="RXB245"/>
      <c r="RXC245"/>
      <c r="RXD245"/>
      <c r="RXE245"/>
      <c r="RXF245"/>
      <c r="RXG245"/>
      <c r="RXH245"/>
      <c r="RXI245"/>
      <c r="RXJ245"/>
      <c r="RXK245"/>
      <c r="RXL245"/>
      <c r="RXM245"/>
      <c r="RXN245"/>
      <c r="RXO245"/>
      <c r="RXP245"/>
      <c r="RXQ245"/>
      <c r="RXR245"/>
      <c r="RXS245"/>
      <c r="RXT245"/>
      <c r="RXU245"/>
      <c r="RXV245"/>
      <c r="RXW245"/>
      <c r="RXX245"/>
      <c r="RXY245"/>
      <c r="RXZ245"/>
      <c r="RYA245"/>
      <c r="RYB245"/>
      <c r="RYC245"/>
      <c r="RYD245"/>
      <c r="RYE245"/>
      <c r="RYF245"/>
      <c r="RYG245"/>
      <c r="RYH245"/>
      <c r="RYI245"/>
      <c r="RYJ245"/>
      <c r="RYK245"/>
      <c r="RYL245"/>
      <c r="RYM245"/>
      <c r="RYN245"/>
      <c r="RYO245"/>
      <c r="RYP245"/>
      <c r="RYQ245"/>
      <c r="RYR245"/>
      <c r="RYS245"/>
      <c r="RYT245"/>
      <c r="RYU245"/>
      <c r="RYV245"/>
      <c r="RYW245"/>
      <c r="RYX245"/>
      <c r="RYY245"/>
      <c r="RYZ245"/>
      <c r="RZA245"/>
      <c r="RZB245"/>
      <c r="RZC245"/>
      <c r="RZD245"/>
      <c r="RZE245"/>
      <c r="RZF245"/>
      <c r="RZG245"/>
      <c r="RZH245"/>
      <c r="RZI245"/>
      <c r="RZJ245"/>
      <c r="RZK245"/>
      <c r="RZL245"/>
      <c r="RZM245"/>
      <c r="RZN245"/>
      <c r="RZO245"/>
      <c r="RZP245"/>
      <c r="RZQ245"/>
      <c r="RZR245"/>
      <c r="RZS245"/>
      <c r="RZT245"/>
      <c r="RZU245"/>
      <c r="RZV245"/>
      <c r="RZW245"/>
      <c r="RZX245"/>
      <c r="RZY245"/>
      <c r="RZZ245"/>
      <c r="SAA245"/>
      <c r="SAB245"/>
      <c r="SAC245"/>
      <c r="SAD245"/>
      <c r="SAE245"/>
      <c r="SAF245"/>
      <c r="SAG245"/>
      <c r="SAH245"/>
      <c r="SAI245"/>
      <c r="SAJ245"/>
      <c r="SAK245"/>
      <c r="SAL245"/>
      <c r="SAM245"/>
      <c r="SAN245"/>
      <c r="SAO245"/>
      <c r="SAP245"/>
      <c r="SAQ245"/>
      <c r="SAR245"/>
      <c r="SAS245"/>
      <c r="SAT245"/>
      <c r="SAU245"/>
      <c r="SAV245"/>
      <c r="SAW245"/>
      <c r="SAX245"/>
      <c r="SAY245"/>
      <c r="SAZ245"/>
      <c r="SBA245"/>
      <c r="SBB245"/>
      <c r="SBC245"/>
      <c r="SBD245"/>
      <c r="SBE245"/>
      <c r="SBF245"/>
      <c r="SBG245"/>
      <c r="SBH245"/>
      <c r="SBI245"/>
      <c r="SBJ245"/>
      <c r="SBK245"/>
      <c r="SBL245"/>
      <c r="SBM245"/>
      <c r="SBN245"/>
      <c r="SBO245"/>
      <c r="SBP245"/>
      <c r="SBQ245"/>
      <c r="SBR245"/>
      <c r="SBS245"/>
      <c r="SBT245"/>
      <c r="SBU245"/>
      <c r="SBV245"/>
      <c r="SBW245"/>
      <c r="SBX245"/>
      <c r="SBY245"/>
      <c r="SBZ245"/>
      <c r="SCA245"/>
      <c r="SCB245"/>
      <c r="SCC245"/>
      <c r="SCD245"/>
      <c r="SCE245"/>
      <c r="SCF245"/>
      <c r="SCG245"/>
      <c r="SCH245"/>
      <c r="SCI245"/>
      <c r="SCJ245"/>
      <c r="SCK245"/>
      <c r="SCL245"/>
      <c r="SCM245"/>
      <c r="SCN245"/>
      <c r="SCO245"/>
      <c r="SCP245"/>
      <c r="SCQ245"/>
      <c r="SCR245"/>
      <c r="SCS245"/>
      <c r="SCT245"/>
      <c r="SCU245"/>
      <c r="SCV245"/>
      <c r="SCW245"/>
      <c r="SCX245"/>
      <c r="SCY245"/>
      <c r="SCZ245"/>
      <c r="SDA245"/>
      <c r="SDB245"/>
      <c r="SDC245"/>
      <c r="SDD245"/>
      <c r="SDE245"/>
      <c r="SDF245"/>
      <c r="SDG245"/>
      <c r="SDH245"/>
      <c r="SDI245"/>
      <c r="SDJ245"/>
      <c r="SDK245"/>
      <c r="SDL245"/>
      <c r="SDM245"/>
      <c r="SDN245"/>
      <c r="SDO245"/>
      <c r="SDP245"/>
      <c r="SDQ245"/>
      <c r="SDR245"/>
      <c r="SDS245"/>
      <c r="SDT245"/>
      <c r="SDU245"/>
      <c r="SDV245"/>
      <c r="SDW245"/>
      <c r="SDX245"/>
      <c r="SDY245"/>
      <c r="SDZ245"/>
      <c r="SEA245"/>
      <c r="SEB245"/>
      <c r="SEC245"/>
      <c r="SED245"/>
      <c r="SEE245"/>
      <c r="SEF245"/>
      <c r="SEG245"/>
      <c r="SEH245"/>
      <c r="SEI245"/>
      <c r="SEJ245"/>
      <c r="SEK245"/>
      <c r="SEL245"/>
      <c r="SEM245"/>
      <c r="SEN245"/>
      <c r="SEO245"/>
      <c r="SEP245"/>
      <c r="SEQ245"/>
      <c r="SER245"/>
      <c r="SES245"/>
      <c r="SET245"/>
      <c r="SEU245"/>
      <c r="SEV245"/>
      <c r="SEW245"/>
      <c r="SEX245"/>
      <c r="SEY245"/>
      <c r="SEZ245"/>
      <c r="SFA245"/>
      <c r="SFB245"/>
      <c r="SFC245"/>
      <c r="SFD245"/>
      <c r="SFE245"/>
      <c r="SFF245"/>
      <c r="SFG245"/>
      <c r="SFH245"/>
      <c r="SFI245"/>
      <c r="SFJ245"/>
      <c r="SFK245"/>
      <c r="SFL245"/>
      <c r="SFM245"/>
      <c r="SFN245"/>
      <c r="SFO245"/>
      <c r="SFP245"/>
      <c r="SFQ245"/>
      <c r="SFR245"/>
      <c r="SFS245"/>
      <c r="SFT245"/>
      <c r="SFU245"/>
      <c r="SFV245"/>
      <c r="SFW245"/>
      <c r="SFX245"/>
      <c r="SFY245"/>
      <c r="SFZ245"/>
      <c r="SGA245"/>
      <c r="SGB245"/>
      <c r="SGC245"/>
      <c r="SGD245"/>
      <c r="SGE245"/>
      <c r="SGF245"/>
      <c r="SGG245"/>
      <c r="SGH245"/>
      <c r="SGI245"/>
      <c r="SGJ245"/>
      <c r="SGK245"/>
      <c r="SGL245"/>
      <c r="SGM245"/>
      <c r="SGN245"/>
      <c r="SGO245"/>
      <c r="SGP245"/>
      <c r="SGQ245"/>
      <c r="SGR245"/>
      <c r="SGS245"/>
      <c r="SGT245"/>
      <c r="SGU245"/>
      <c r="SGV245"/>
      <c r="SGW245"/>
      <c r="SGX245"/>
      <c r="SGY245"/>
      <c r="SGZ245"/>
      <c r="SHA245"/>
      <c r="SHB245"/>
      <c r="SHC245"/>
      <c r="SHD245"/>
      <c r="SHE245"/>
      <c r="SHF245"/>
      <c r="SHG245"/>
      <c r="SHH245"/>
      <c r="SHI245"/>
      <c r="SHJ245"/>
      <c r="SHK245"/>
      <c r="SHL245"/>
      <c r="SHM245"/>
      <c r="SHN245"/>
      <c r="SHO245"/>
      <c r="SHP245"/>
      <c r="SHQ245"/>
      <c r="SHR245"/>
      <c r="SHS245"/>
      <c r="SHT245"/>
      <c r="SHU245"/>
      <c r="SHV245"/>
      <c r="SHW245"/>
      <c r="SHX245"/>
      <c r="SHY245"/>
      <c r="SHZ245"/>
      <c r="SIA245"/>
      <c r="SIB245"/>
      <c r="SIC245"/>
      <c r="SID245"/>
      <c r="SIE245"/>
      <c r="SIF245"/>
      <c r="SIG245"/>
      <c r="SIH245"/>
      <c r="SII245"/>
      <c r="SIJ245"/>
      <c r="SIK245"/>
      <c r="SIL245"/>
      <c r="SIM245"/>
      <c r="SIN245"/>
      <c r="SIO245"/>
      <c r="SIP245"/>
      <c r="SIQ245"/>
      <c r="SIR245"/>
      <c r="SIS245"/>
      <c r="SIT245"/>
      <c r="SIU245"/>
      <c r="SIV245"/>
      <c r="SIW245"/>
      <c r="SIX245"/>
      <c r="SIY245"/>
      <c r="SIZ245"/>
      <c r="SJA245"/>
      <c r="SJB245"/>
      <c r="SJC245"/>
      <c r="SJD245"/>
      <c r="SJE245"/>
      <c r="SJF245"/>
      <c r="SJG245"/>
      <c r="SJH245"/>
      <c r="SJI245"/>
      <c r="SJJ245"/>
      <c r="SJK245"/>
      <c r="SJL245"/>
      <c r="SJM245"/>
      <c r="SJN245"/>
      <c r="SJO245"/>
      <c r="SJP245"/>
      <c r="SJQ245"/>
      <c r="SJR245"/>
      <c r="SJS245"/>
      <c r="SJT245"/>
      <c r="SJU245"/>
      <c r="SJV245"/>
      <c r="SJW245"/>
      <c r="SJX245"/>
      <c r="SJY245"/>
      <c r="SJZ245"/>
      <c r="SKA245"/>
      <c r="SKB245"/>
      <c r="SKC245"/>
      <c r="SKD245"/>
      <c r="SKE245"/>
      <c r="SKF245"/>
      <c r="SKG245"/>
      <c r="SKH245"/>
      <c r="SKI245"/>
      <c r="SKJ245"/>
      <c r="SKK245"/>
      <c r="SKL245"/>
      <c r="SKM245"/>
      <c r="SKN245"/>
      <c r="SKO245"/>
      <c r="SKP245"/>
      <c r="SKQ245"/>
      <c r="SKR245"/>
      <c r="SKS245"/>
      <c r="SKT245"/>
      <c r="SKU245"/>
      <c r="SKV245"/>
      <c r="SKW245"/>
      <c r="SKX245"/>
      <c r="SKY245"/>
      <c r="SKZ245"/>
      <c r="SLA245"/>
      <c r="SLB245"/>
      <c r="SLC245"/>
      <c r="SLD245"/>
      <c r="SLE245"/>
      <c r="SLF245"/>
      <c r="SLG245"/>
      <c r="SLH245"/>
      <c r="SLI245"/>
      <c r="SLJ245"/>
      <c r="SLK245"/>
      <c r="SLL245"/>
      <c r="SLM245"/>
      <c r="SLN245"/>
      <c r="SLO245"/>
      <c r="SLP245"/>
      <c r="SLQ245"/>
      <c r="SLR245"/>
      <c r="SLS245"/>
      <c r="SLT245"/>
      <c r="SLU245"/>
      <c r="SLV245"/>
      <c r="SLW245"/>
      <c r="SLX245"/>
      <c r="SLY245"/>
      <c r="SLZ245"/>
      <c r="SMA245"/>
      <c r="SMB245"/>
      <c r="SMC245"/>
      <c r="SMD245"/>
      <c r="SME245"/>
      <c r="SMF245"/>
      <c r="SMG245"/>
      <c r="SMH245"/>
      <c r="SMI245"/>
      <c r="SMJ245"/>
      <c r="SMK245"/>
      <c r="SML245"/>
      <c r="SMM245"/>
      <c r="SMN245"/>
      <c r="SMO245"/>
      <c r="SMP245"/>
      <c r="SMQ245"/>
      <c r="SMR245"/>
      <c r="SMS245"/>
      <c r="SMT245"/>
      <c r="SMU245"/>
      <c r="SMV245"/>
      <c r="SMW245"/>
      <c r="SMX245"/>
      <c r="SMY245"/>
      <c r="SMZ245"/>
      <c r="SNA245"/>
      <c r="SNB245"/>
      <c r="SNC245"/>
      <c r="SND245"/>
      <c r="SNE245"/>
      <c r="SNF245"/>
      <c r="SNG245"/>
      <c r="SNH245"/>
      <c r="SNI245"/>
      <c r="SNJ245"/>
      <c r="SNK245"/>
      <c r="SNL245"/>
      <c r="SNM245"/>
      <c r="SNN245"/>
      <c r="SNO245"/>
      <c r="SNP245"/>
      <c r="SNQ245"/>
      <c r="SNR245"/>
      <c r="SNS245"/>
      <c r="SNT245"/>
      <c r="SNU245"/>
      <c r="SNV245"/>
      <c r="SNW245"/>
      <c r="SNX245"/>
      <c r="SNY245"/>
      <c r="SNZ245"/>
      <c r="SOA245"/>
      <c r="SOB245"/>
      <c r="SOC245"/>
      <c r="SOD245"/>
      <c r="SOE245"/>
      <c r="SOF245"/>
      <c r="SOG245"/>
      <c r="SOH245"/>
      <c r="SOI245"/>
      <c r="SOJ245"/>
      <c r="SOK245"/>
      <c r="SOL245"/>
      <c r="SOM245"/>
      <c r="SON245"/>
      <c r="SOO245"/>
      <c r="SOP245"/>
      <c r="SOQ245"/>
      <c r="SOR245"/>
      <c r="SOS245"/>
      <c r="SOT245"/>
      <c r="SOU245"/>
      <c r="SOV245"/>
      <c r="SOW245"/>
      <c r="SOX245"/>
      <c r="SOY245"/>
      <c r="SOZ245"/>
      <c r="SPA245"/>
      <c r="SPB245"/>
      <c r="SPC245"/>
      <c r="SPD245"/>
      <c r="SPE245"/>
      <c r="SPF245"/>
      <c r="SPG245"/>
      <c r="SPH245"/>
      <c r="SPI245"/>
      <c r="SPJ245"/>
      <c r="SPK245"/>
      <c r="SPL245"/>
      <c r="SPM245"/>
      <c r="SPN245"/>
      <c r="SPO245"/>
      <c r="SPP245"/>
      <c r="SPQ245"/>
      <c r="SPR245"/>
      <c r="SPS245"/>
      <c r="SPT245"/>
      <c r="SPU245"/>
      <c r="SPV245"/>
      <c r="SPW245"/>
      <c r="SPX245"/>
      <c r="SPY245"/>
      <c r="SPZ245"/>
      <c r="SQA245"/>
      <c r="SQB245"/>
      <c r="SQC245"/>
      <c r="SQD245"/>
      <c r="SQE245"/>
      <c r="SQF245"/>
      <c r="SQG245"/>
      <c r="SQH245"/>
      <c r="SQI245"/>
      <c r="SQJ245"/>
      <c r="SQK245"/>
      <c r="SQL245"/>
      <c r="SQM245"/>
      <c r="SQN245"/>
      <c r="SQO245"/>
      <c r="SQP245"/>
      <c r="SQQ245"/>
      <c r="SQR245"/>
      <c r="SQS245"/>
      <c r="SQT245"/>
      <c r="SQU245"/>
      <c r="SQV245"/>
      <c r="SQW245"/>
      <c r="SQX245"/>
      <c r="SQY245"/>
      <c r="SQZ245"/>
      <c r="SRA245"/>
      <c r="SRB245"/>
      <c r="SRC245"/>
      <c r="SRD245"/>
      <c r="SRE245"/>
      <c r="SRF245"/>
      <c r="SRG245"/>
      <c r="SRH245"/>
      <c r="SRI245"/>
      <c r="SRJ245"/>
      <c r="SRK245"/>
      <c r="SRL245"/>
      <c r="SRM245"/>
      <c r="SRN245"/>
      <c r="SRO245"/>
      <c r="SRP245"/>
      <c r="SRQ245"/>
      <c r="SRR245"/>
      <c r="SRS245"/>
      <c r="SRT245"/>
      <c r="SRU245"/>
      <c r="SRV245"/>
      <c r="SRW245"/>
      <c r="SRX245"/>
      <c r="SRY245"/>
      <c r="SRZ245"/>
      <c r="SSA245"/>
      <c r="SSB245"/>
      <c r="SSC245"/>
      <c r="SSD245"/>
      <c r="SSE245"/>
      <c r="SSF245"/>
      <c r="SSG245"/>
      <c r="SSH245"/>
      <c r="SSI245"/>
      <c r="SSJ245"/>
      <c r="SSK245"/>
      <c r="SSL245"/>
      <c r="SSM245"/>
      <c r="SSN245"/>
      <c r="SSO245"/>
      <c r="SSP245"/>
      <c r="SSQ245"/>
      <c r="SSR245"/>
      <c r="SSS245"/>
      <c r="SST245"/>
      <c r="SSU245"/>
      <c r="SSV245"/>
      <c r="SSW245"/>
      <c r="SSX245"/>
      <c r="SSY245"/>
      <c r="SSZ245"/>
      <c r="STA245"/>
      <c r="STB245"/>
      <c r="STC245"/>
      <c r="STD245"/>
      <c r="STE245"/>
      <c r="STF245"/>
      <c r="STG245"/>
      <c r="STH245"/>
      <c r="STI245"/>
      <c r="STJ245"/>
      <c r="STK245"/>
      <c r="STL245"/>
      <c r="STM245"/>
      <c r="STN245"/>
      <c r="STO245"/>
      <c r="STP245"/>
      <c r="STQ245"/>
      <c r="STR245"/>
      <c r="STS245"/>
      <c r="STT245"/>
      <c r="STU245"/>
      <c r="STV245"/>
      <c r="STW245"/>
      <c r="STX245"/>
      <c r="STY245"/>
      <c r="STZ245"/>
      <c r="SUA245"/>
      <c r="SUB245"/>
      <c r="SUC245"/>
      <c r="SUD245"/>
      <c r="SUE245"/>
      <c r="SUF245"/>
      <c r="SUG245"/>
      <c r="SUH245"/>
      <c r="SUI245"/>
      <c r="SUJ245"/>
      <c r="SUK245"/>
      <c r="SUL245"/>
      <c r="SUM245"/>
      <c r="SUN245"/>
      <c r="SUO245"/>
      <c r="SUP245"/>
      <c r="SUQ245"/>
      <c r="SUR245"/>
      <c r="SUS245"/>
      <c r="SUT245"/>
      <c r="SUU245"/>
      <c r="SUV245"/>
      <c r="SUW245"/>
      <c r="SUX245"/>
      <c r="SUY245"/>
      <c r="SUZ245"/>
      <c r="SVA245"/>
      <c r="SVB245"/>
      <c r="SVC245"/>
      <c r="SVD245"/>
      <c r="SVE245"/>
      <c r="SVF245"/>
      <c r="SVG245"/>
      <c r="SVH245"/>
      <c r="SVI245"/>
      <c r="SVJ245"/>
      <c r="SVK245"/>
      <c r="SVL245"/>
      <c r="SVM245"/>
      <c r="SVN245"/>
      <c r="SVO245"/>
      <c r="SVP245"/>
      <c r="SVQ245"/>
      <c r="SVR245"/>
      <c r="SVS245"/>
      <c r="SVT245"/>
      <c r="SVU245"/>
      <c r="SVV245"/>
      <c r="SVW245"/>
      <c r="SVX245"/>
      <c r="SVY245"/>
      <c r="SVZ245"/>
      <c r="SWA245"/>
      <c r="SWB245"/>
      <c r="SWC245"/>
      <c r="SWD245"/>
      <c r="SWE245"/>
      <c r="SWF245"/>
      <c r="SWG245"/>
      <c r="SWH245"/>
      <c r="SWI245"/>
      <c r="SWJ245"/>
      <c r="SWK245"/>
      <c r="SWL245"/>
      <c r="SWM245"/>
      <c r="SWN245"/>
      <c r="SWO245"/>
      <c r="SWP245"/>
      <c r="SWQ245"/>
      <c r="SWR245"/>
      <c r="SWS245"/>
      <c r="SWT245"/>
      <c r="SWU245"/>
      <c r="SWV245"/>
      <c r="SWW245"/>
      <c r="SWX245"/>
      <c r="SWY245"/>
      <c r="SWZ245"/>
      <c r="SXA245"/>
      <c r="SXB245"/>
      <c r="SXC245"/>
      <c r="SXD245"/>
      <c r="SXE245"/>
      <c r="SXF245"/>
      <c r="SXG245"/>
      <c r="SXH245"/>
      <c r="SXI245"/>
      <c r="SXJ245"/>
      <c r="SXK245"/>
      <c r="SXL245"/>
      <c r="SXM245"/>
      <c r="SXN245"/>
      <c r="SXO245"/>
      <c r="SXP245"/>
      <c r="SXQ245"/>
      <c r="SXR245"/>
      <c r="SXS245"/>
      <c r="SXT245"/>
      <c r="SXU245"/>
      <c r="SXV245"/>
      <c r="SXW245"/>
      <c r="SXX245"/>
      <c r="SXY245"/>
      <c r="SXZ245"/>
      <c r="SYA245"/>
      <c r="SYB245"/>
      <c r="SYC245"/>
      <c r="SYD245"/>
      <c r="SYE245"/>
      <c r="SYF245"/>
      <c r="SYG245"/>
      <c r="SYH245"/>
      <c r="SYI245"/>
      <c r="SYJ245"/>
      <c r="SYK245"/>
      <c r="SYL245"/>
      <c r="SYM245"/>
      <c r="SYN245"/>
      <c r="SYO245"/>
      <c r="SYP245"/>
      <c r="SYQ245"/>
      <c r="SYR245"/>
      <c r="SYS245"/>
      <c r="SYT245"/>
      <c r="SYU245"/>
      <c r="SYV245"/>
      <c r="SYW245"/>
      <c r="SYX245"/>
      <c r="SYY245"/>
      <c r="SYZ245"/>
      <c r="SZA245"/>
      <c r="SZB245"/>
      <c r="SZC245"/>
      <c r="SZD245"/>
      <c r="SZE245"/>
      <c r="SZF245"/>
      <c r="SZG245"/>
      <c r="SZH245"/>
      <c r="SZI245"/>
      <c r="SZJ245"/>
      <c r="SZK245"/>
      <c r="SZL245"/>
      <c r="SZM245"/>
      <c r="SZN245"/>
      <c r="SZO245"/>
      <c r="SZP245"/>
      <c r="SZQ245"/>
      <c r="SZR245"/>
      <c r="SZS245"/>
      <c r="SZT245"/>
      <c r="SZU245"/>
      <c r="SZV245"/>
      <c r="SZW245"/>
      <c r="SZX245"/>
      <c r="SZY245"/>
      <c r="SZZ245"/>
      <c r="TAA245"/>
      <c r="TAB245"/>
      <c r="TAC245"/>
      <c r="TAD245"/>
      <c r="TAE245"/>
      <c r="TAF245"/>
      <c r="TAG245"/>
      <c r="TAH245"/>
      <c r="TAI245"/>
      <c r="TAJ245"/>
      <c r="TAK245"/>
      <c r="TAL245"/>
      <c r="TAM245"/>
      <c r="TAN245"/>
      <c r="TAO245"/>
      <c r="TAP245"/>
      <c r="TAQ245"/>
      <c r="TAR245"/>
      <c r="TAS245"/>
      <c r="TAT245"/>
      <c r="TAU245"/>
      <c r="TAV245"/>
      <c r="TAW245"/>
      <c r="TAX245"/>
      <c r="TAY245"/>
      <c r="TAZ245"/>
      <c r="TBA245"/>
      <c r="TBB245"/>
      <c r="TBC245"/>
      <c r="TBD245"/>
      <c r="TBE245"/>
      <c r="TBF245"/>
      <c r="TBG245"/>
      <c r="TBH245"/>
      <c r="TBI245"/>
      <c r="TBJ245"/>
      <c r="TBK245"/>
      <c r="TBL245"/>
      <c r="TBM245"/>
      <c r="TBN245"/>
      <c r="TBO245"/>
      <c r="TBP245"/>
      <c r="TBQ245"/>
      <c r="TBR245"/>
      <c r="TBS245"/>
      <c r="TBT245"/>
      <c r="TBU245"/>
      <c r="TBV245"/>
      <c r="TBW245"/>
      <c r="TBX245"/>
      <c r="TBY245"/>
      <c r="TBZ245"/>
      <c r="TCA245"/>
      <c r="TCB245"/>
      <c r="TCC245"/>
      <c r="TCD245"/>
      <c r="TCE245"/>
      <c r="TCF245"/>
      <c r="TCG245"/>
      <c r="TCH245"/>
      <c r="TCI245"/>
      <c r="TCJ245"/>
      <c r="TCK245"/>
      <c r="TCL245"/>
      <c r="TCM245"/>
      <c r="TCN245"/>
      <c r="TCO245"/>
      <c r="TCP245"/>
      <c r="TCQ245"/>
      <c r="TCR245"/>
      <c r="TCS245"/>
      <c r="TCT245"/>
      <c r="TCU245"/>
      <c r="TCV245"/>
      <c r="TCW245"/>
      <c r="TCX245"/>
      <c r="TCY245"/>
      <c r="TCZ245"/>
      <c r="TDA245"/>
      <c r="TDB245"/>
      <c r="TDC245"/>
      <c r="TDD245"/>
      <c r="TDE245"/>
      <c r="TDF245"/>
      <c r="TDG245"/>
      <c r="TDH245"/>
      <c r="TDI245"/>
      <c r="TDJ245"/>
      <c r="TDK245"/>
      <c r="TDL245"/>
      <c r="TDM245"/>
      <c r="TDN245"/>
      <c r="TDO245"/>
      <c r="TDP245"/>
      <c r="TDQ245"/>
      <c r="TDR245"/>
      <c r="TDS245"/>
      <c r="TDT245"/>
      <c r="TDU245"/>
      <c r="TDV245"/>
      <c r="TDW245"/>
      <c r="TDX245"/>
      <c r="TDY245"/>
      <c r="TDZ245"/>
      <c r="TEA245"/>
      <c r="TEB245"/>
      <c r="TEC245"/>
      <c r="TED245"/>
      <c r="TEE245"/>
      <c r="TEF245"/>
      <c r="TEG245"/>
      <c r="TEH245"/>
      <c r="TEI245"/>
      <c r="TEJ245"/>
      <c r="TEK245"/>
      <c r="TEL245"/>
      <c r="TEM245"/>
      <c r="TEN245"/>
      <c r="TEO245"/>
      <c r="TEP245"/>
      <c r="TEQ245"/>
      <c r="TER245"/>
      <c r="TES245"/>
      <c r="TET245"/>
      <c r="TEU245"/>
      <c r="TEV245"/>
      <c r="TEW245"/>
      <c r="TEX245"/>
      <c r="TEY245"/>
      <c r="TEZ245"/>
      <c r="TFA245"/>
      <c r="TFB245"/>
      <c r="TFC245"/>
      <c r="TFD245"/>
      <c r="TFE245"/>
      <c r="TFF245"/>
      <c r="TFG245"/>
      <c r="TFH245"/>
      <c r="TFI245"/>
      <c r="TFJ245"/>
      <c r="TFK245"/>
      <c r="TFL245"/>
      <c r="TFM245"/>
      <c r="TFN245"/>
      <c r="TFO245"/>
      <c r="TFP245"/>
      <c r="TFQ245"/>
      <c r="TFR245"/>
      <c r="TFS245"/>
      <c r="TFT245"/>
      <c r="TFU245"/>
      <c r="TFV245"/>
      <c r="TFW245"/>
      <c r="TFX245"/>
      <c r="TFY245"/>
      <c r="TFZ245"/>
      <c r="TGA245"/>
      <c r="TGB245"/>
      <c r="TGC245"/>
      <c r="TGD245"/>
      <c r="TGE245"/>
      <c r="TGF245"/>
      <c r="TGG245"/>
      <c r="TGH245"/>
      <c r="TGI245"/>
      <c r="TGJ245"/>
      <c r="TGK245"/>
      <c r="TGL245"/>
      <c r="TGM245"/>
      <c r="TGN245"/>
      <c r="TGO245"/>
      <c r="TGP245"/>
      <c r="TGQ245"/>
      <c r="TGR245"/>
      <c r="TGS245"/>
      <c r="TGT245"/>
      <c r="TGU245"/>
      <c r="TGV245"/>
      <c r="TGW245"/>
      <c r="TGX245"/>
      <c r="TGY245"/>
      <c r="TGZ245"/>
      <c r="THA245"/>
      <c r="THB245"/>
      <c r="THC245"/>
      <c r="THD245"/>
      <c r="THE245"/>
      <c r="THF245"/>
      <c r="THG245"/>
      <c r="THH245"/>
      <c r="THI245"/>
      <c r="THJ245"/>
      <c r="THK245"/>
      <c r="THL245"/>
      <c r="THM245"/>
      <c r="THN245"/>
      <c r="THO245"/>
      <c r="THP245"/>
      <c r="THQ245"/>
      <c r="THR245"/>
      <c r="THS245"/>
      <c r="THT245"/>
      <c r="THU245"/>
      <c r="THV245"/>
      <c r="THW245"/>
      <c r="THX245"/>
      <c r="THY245"/>
      <c r="THZ245"/>
      <c r="TIA245"/>
      <c r="TIB245"/>
      <c r="TIC245"/>
      <c r="TID245"/>
      <c r="TIE245"/>
      <c r="TIF245"/>
      <c r="TIG245"/>
      <c r="TIH245"/>
      <c r="TII245"/>
      <c r="TIJ245"/>
      <c r="TIK245"/>
      <c r="TIL245"/>
      <c r="TIM245"/>
      <c r="TIN245"/>
      <c r="TIO245"/>
      <c r="TIP245"/>
      <c r="TIQ245"/>
      <c r="TIR245"/>
      <c r="TIS245"/>
      <c r="TIT245"/>
      <c r="TIU245"/>
      <c r="TIV245"/>
      <c r="TIW245"/>
      <c r="TIX245"/>
      <c r="TIY245"/>
      <c r="TIZ245"/>
      <c r="TJA245"/>
      <c r="TJB245"/>
      <c r="TJC245"/>
      <c r="TJD245"/>
      <c r="TJE245"/>
      <c r="TJF245"/>
      <c r="TJG245"/>
      <c r="TJH245"/>
      <c r="TJI245"/>
      <c r="TJJ245"/>
      <c r="TJK245"/>
      <c r="TJL245"/>
      <c r="TJM245"/>
      <c r="TJN245"/>
      <c r="TJO245"/>
      <c r="TJP245"/>
      <c r="TJQ245"/>
      <c r="TJR245"/>
      <c r="TJS245"/>
      <c r="TJT245"/>
      <c r="TJU245"/>
      <c r="TJV245"/>
      <c r="TJW245"/>
      <c r="TJX245"/>
      <c r="TJY245"/>
      <c r="TJZ245"/>
      <c r="TKA245"/>
      <c r="TKB245"/>
      <c r="TKC245"/>
      <c r="TKD245"/>
      <c r="TKE245"/>
      <c r="TKF245"/>
      <c r="TKG245"/>
      <c r="TKH245"/>
      <c r="TKI245"/>
      <c r="TKJ245"/>
      <c r="TKK245"/>
      <c r="TKL245"/>
      <c r="TKM245"/>
      <c r="TKN245"/>
      <c r="TKO245"/>
      <c r="TKP245"/>
      <c r="TKQ245"/>
      <c r="TKR245"/>
      <c r="TKS245"/>
      <c r="TKT245"/>
      <c r="TKU245"/>
      <c r="TKV245"/>
      <c r="TKW245"/>
      <c r="TKX245"/>
      <c r="TKY245"/>
      <c r="TKZ245"/>
      <c r="TLA245"/>
      <c r="TLB245"/>
      <c r="TLC245"/>
      <c r="TLD245"/>
      <c r="TLE245"/>
      <c r="TLF245"/>
      <c r="TLG245"/>
      <c r="TLH245"/>
      <c r="TLI245"/>
      <c r="TLJ245"/>
      <c r="TLK245"/>
      <c r="TLL245"/>
      <c r="TLM245"/>
      <c r="TLN245"/>
      <c r="TLO245"/>
      <c r="TLP245"/>
      <c r="TLQ245"/>
      <c r="TLR245"/>
      <c r="TLS245"/>
      <c r="TLT245"/>
      <c r="TLU245"/>
      <c r="TLV245"/>
      <c r="TLW245"/>
      <c r="TLX245"/>
      <c r="TLY245"/>
      <c r="TLZ245"/>
      <c r="TMA245"/>
      <c r="TMB245"/>
      <c r="TMC245"/>
      <c r="TMD245"/>
      <c r="TME245"/>
      <c r="TMF245"/>
      <c r="TMG245"/>
      <c r="TMH245"/>
      <c r="TMI245"/>
      <c r="TMJ245"/>
      <c r="TMK245"/>
      <c r="TML245"/>
      <c r="TMM245"/>
      <c r="TMN245"/>
      <c r="TMO245"/>
      <c r="TMP245"/>
      <c r="TMQ245"/>
      <c r="TMR245"/>
      <c r="TMS245"/>
      <c r="TMT245"/>
      <c r="TMU245"/>
      <c r="TMV245"/>
      <c r="TMW245"/>
      <c r="TMX245"/>
      <c r="TMY245"/>
      <c r="TMZ245"/>
      <c r="TNA245"/>
      <c r="TNB245"/>
      <c r="TNC245"/>
      <c r="TND245"/>
      <c r="TNE245"/>
      <c r="TNF245"/>
      <c r="TNG245"/>
      <c r="TNH245"/>
      <c r="TNI245"/>
      <c r="TNJ245"/>
      <c r="TNK245"/>
      <c r="TNL245"/>
      <c r="TNM245"/>
      <c r="TNN245"/>
      <c r="TNO245"/>
      <c r="TNP245"/>
      <c r="TNQ245"/>
      <c r="TNR245"/>
      <c r="TNS245"/>
      <c r="TNT245"/>
      <c r="TNU245"/>
      <c r="TNV245"/>
      <c r="TNW245"/>
      <c r="TNX245"/>
      <c r="TNY245"/>
      <c r="TNZ245"/>
      <c r="TOA245"/>
      <c r="TOB245"/>
      <c r="TOC245"/>
      <c r="TOD245"/>
      <c r="TOE245"/>
      <c r="TOF245"/>
      <c r="TOG245"/>
      <c r="TOH245"/>
      <c r="TOI245"/>
      <c r="TOJ245"/>
      <c r="TOK245"/>
      <c r="TOL245"/>
      <c r="TOM245"/>
      <c r="TON245"/>
      <c r="TOO245"/>
      <c r="TOP245"/>
      <c r="TOQ245"/>
      <c r="TOR245"/>
      <c r="TOS245"/>
      <c r="TOT245"/>
      <c r="TOU245"/>
      <c r="TOV245"/>
      <c r="TOW245"/>
      <c r="TOX245"/>
      <c r="TOY245"/>
      <c r="TOZ245"/>
      <c r="TPA245"/>
      <c r="TPB245"/>
      <c r="TPC245"/>
      <c r="TPD245"/>
      <c r="TPE245"/>
      <c r="TPF245"/>
      <c r="TPG245"/>
      <c r="TPH245"/>
      <c r="TPI245"/>
      <c r="TPJ245"/>
      <c r="TPK245"/>
      <c r="TPL245"/>
      <c r="TPM245"/>
      <c r="TPN245"/>
      <c r="TPO245"/>
      <c r="TPP245"/>
      <c r="TPQ245"/>
      <c r="TPR245"/>
      <c r="TPS245"/>
      <c r="TPT245"/>
      <c r="TPU245"/>
      <c r="TPV245"/>
      <c r="TPW245"/>
      <c r="TPX245"/>
      <c r="TPY245"/>
      <c r="TPZ245"/>
      <c r="TQA245"/>
      <c r="TQB245"/>
      <c r="TQC245"/>
      <c r="TQD245"/>
      <c r="TQE245"/>
      <c r="TQF245"/>
      <c r="TQG245"/>
      <c r="TQH245"/>
      <c r="TQI245"/>
      <c r="TQJ245"/>
      <c r="TQK245"/>
      <c r="TQL245"/>
      <c r="TQM245"/>
      <c r="TQN245"/>
      <c r="TQO245"/>
      <c r="TQP245"/>
      <c r="TQQ245"/>
      <c r="TQR245"/>
      <c r="TQS245"/>
      <c r="TQT245"/>
      <c r="TQU245"/>
      <c r="TQV245"/>
      <c r="TQW245"/>
      <c r="TQX245"/>
      <c r="TQY245"/>
      <c r="TQZ245"/>
      <c r="TRA245"/>
      <c r="TRB245"/>
      <c r="TRC245"/>
      <c r="TRD245"/>
      <c r="TRE245"/>
      <c r="TRF245"/>
      <c r="TRG245"/>
      <c r="TRH245"/>
      <c r="TRI245"/>
      <c r="TRJ245"/>
      <c r="TRK245"/>
      <c r="TRL245"/>
      <c r="TRM245"/>
      <c r="TRN245"/>
      <c r="TRO245"/>
      <c r="TRP245"/>
      <c r="TRQ245"/>
      <c r="TRR245"/>
      <c r="TRS245"/>
      <c r="TRT245"/>
      <c r="TRU245"/>
      <c r="TRV245"/>
      <c r="TRW245"/>
      <c r="TRX245"/>
      <c r="TRY245"/>
      <c r="TRZ245"/>
      <c r="TSA245"/>
      <c r="TSB245"/>
      <c r="TSC245"/>
      <c r="TSD245"/>
      <c r="TSE245"/>
      <c r="TSF245"/>
      <c r="TSG245"/>
      <c r="TSH245"/>
      <c r="TSI245"/>
      <c r="TSJ245"/>
      <c r="TSK245"/>
      <c r="TSL245"/>
      <c r="TSM245"/>
      <c r="TSN245"/>
      <c r="TSO245"/>
      <c r="TSP245"/>
      <c r="TSQ245"/>
      <c r="TSR245"/>
      <c r="TSS245"/>
      <c r="TST245"/>
      <c r="TSU245"/>
      <c r="TSV245"/>
      <c r="TSW245"/>
      <c r="TSX245"/>
      <c r="TSY245"/>
      <c r="TSZ245"/>
      <c r="TTA245"/>
      <c r="TTB245"/>
      <c r="TTC245"/>
      <c r="TTD245"/>
      <c r="TTE245"/>
      <c r="TTF245"/>
      <c r="TTG245"/>
      <c r="TTH245"/>
      <c r="TTI245"/>
      <c r="TTJ245"/>
      <c r="TTK245"/>
      <c r="TTL245"/>
      <c r="TTM245"/>
      <c r="TTN245"/>
      <c r="TTO245"/>
      <c r="TTP245"/>
      <c r="TTQ245"/>
      <c r="TTR245"/>
      <c r="TTS245"/>
      <c r="TTT245"/>
      <c r="TTU245"/>
      <c r="TTV245"/>
      <c r="TTW245"/>
      <c r="TTX245"/>
      <c r="TTY245"/>
      <c r="TTZ245"/>
      <c r="TUA245"/>
      <c r="TUB245"/>
      <c r="TUC245"/>
      <c r="TUD245"/>
      <c r="TUE245"/>
      <c r="TUF245"/>
      <c r="TUG245"/>
      <c r="TUH245"/>
      <c r="TUI245"/>
      <c r="TUJ245"/>
      <c r="TUK245"/>
      <c r="TUL245"/>
      <c r="TUM245"/>
      <c r="TUN245"/>
      <c r="TUO245"/>
      <c r="TUP245"/>
      <c r="TUQ245"/>
      <c r="TUR245"/>
      <c r="TUS245"/>
      <c r="TUT245"/>
      <c r="TUU245"/>
      <c r="TUV245"/>
      <c r="TUW245"/>
      <c r="TUX245"/>
      <c r="TUY245"/>
      <c r="TUZ245"/>
      <c r="TVA245"/>
      <c r="TVB245"/>
      <c r="TVC245"/>
      <c r="TVD245"/>
      <c r="TVE245"/>
      <c r="TVF245"/>
      <c r="TVG245"/>
      <c r="TVH245"/>
      <c r="TVI245"/>
      <c r="TVJ245"/>
      <c r="TVK245"/>
      <c r="TVL245"/>
      <c r="TVM245"/>
      <c r="TVN245"/>
      <c r="TVO245"/>
      <c r="TVP245"/>
      <c r="TVQ245"/>
      <c r="TVR245"/>
      <c r="TVS245"/>
      <c r="TVT245"/>
      <c r="TVU245"/>
      <c r="TVV245"/>
      <c r="TVW245"/>
      <c r="TVX245"/>
      <c r="TVY245"/>
      <c r="TVZ245"/>
      <c r="TWA245"/>
      <c r="TWB245"/>
      <c r="TWC245"/>
      <c r="TWD245"/>
      <c r="TWE245"/>
      <c r="TWF245"/>
      <c r="TWG245"/>
      <c r="TWH245"/>
      <c r="TWI245"/>
      <c r="TWJ245"/>
      <c r="TWK245"/>
      <c r="TWL245"/>
      <c r="TWM245"/>
      <c r="TWN245"/>
      <c r="TWO245"/>
      <c r="TWP245"/>
      <c r="TWQ245"/>
      <c r="TWR245"/>
      <c r="TWS245"/>
      <c r="TWT245"/>
      <c r="TWU245"/>
      <c r="TWV245"/>
      <c r="TWW245"/>
      <c r="TWX245"/>
      <c r="TWY245"/>
      <c r="TWZ245"/>
      <c r="TXA245"/>
      <c r="TXB245"/>
      <c r="TXC245"/>
      <c r="TXD245"/>
      <c r="TXE245"/>
      <c r="TXF245"/>
      <c r="TXG245"/>
      <c r="TXH245"/>
      <c r="TXI245"/>
      <c r="TXJ245"/>
      <c r="TXK245"/>
      <c r="TXL245"/>
      <c r="TXM245"/>
      <c r="TXN245"/>
      <c r="TXO245"/>
      <c r="TXP245"/>
      <c r="TXQ245"/>
      <c r="TXR245"/>
      <c r="TXS245"/>
      <c r="TXT245"/>
      <c r="TXU245"/>
      <c r="TXV245"/>
      <c r="TXW245"/>
      <c r="TXX245"/>
      <c r="TXY245"/>
      <c r="TXZ245"/>
      <c r="TYA245"/>
      <c r="TYB245"/>
      <c r="TYC245"/>
      <c r="TYD245"/>
      <c r="TYE245"/>
      <c r="TYF245"/>
      <c r="TYG245"/>
      <c r="TYH245"/>
      <c r="TYI245"/>
      <c r="TYJ245"/>
      <c r="TYK245"/>
      <c r="TYL245"/>
      <c r="TYM245"/>
      <c r="TYN245"/>
      <c r="TYO245"/>
      <c r="TYP245"/>
      <c r="TYQ245"/>
      <c r="TYR245"/>
      <c r="TYS245"/>
      <c r="TYT245"/>
      <c r="TYU245"/>
      <c r="TYV245"/>
      <c r="TYW245"/>
      <c r="TYX245"/>
      <c r="TYY245"/>
      <c r="TYZ245"/>
      <c r="TZA245"/>
      <c r="TZB245"/>
      <c r="TZC245"/>
      <c r="TZD245"/>
      <c r="TZE245"/>
      <c r="TZF245"/>
      <c r="TZG245"/>
      <c r="TZH245"/>
      <c r="TZI245"/>
      <c r="TZJ245"/>
      <c r="TZK245"/>
      <c r="TZL245"/>
      <c r="TZM245"/>
      <c r="TZN245"/>
      <c r="TZO245"/>
      <c r="TZP245"/>
      <c r="TZQ245"/>
      <c r="TZR245"/>
      <c r="TZS245"/>
      <c r="TZT245"/>
      <c r="TZU245"/>
      <c r="TZV245"/>
      <c r="TZW245"/>
      <c r="TZX245"/>
      <c r="TZY245"/>
      <c r="TZZ245"/>
      <c r="UAA245"/>
      <c r="UAB245"/>
      <c r="UAC245"/>
      <c r="UAD245"/>
      <c r="UAE245"/>
      <c r="UAF245"/>
      <c r="UAG245"/>
      <c r="UAH245"/>
      <c r="UAI245"/>
      <c r="UAJ245"/>
      <c r="UAK245"/>
      <c r="UAL245"/>
      <c r="UAM245"/>
      <c r="UAN245"/>
      <c r="UAO245"/>
      <c r="UAP245"/>
      <c r="UAQ245"/>
      <c r="UAR245"/>
      <c r="UAS245"/>
      <c r="UAT245"/>
      <c r="UAU245"/>
      <c r="UAV245"/>
      <c r="UAW245"/>
      <c r="UAX245"/>
      <c r="UAY245"/>
      <c r="UAZ245"/>
      <c r="UBA245"/>
      <c r="UBB245"/>
      <c r="UBC245"/>
      <c r="UBD245"/>
      <c r="UBE245"/>
      <c r="UBF245"/>
      <c r="UBG245"/>
      <c r="UBH245"/>
      <c r="UBI245"/>
      <c r="UBJ245"/>
      <c r="UBK245"/>
      <c r="UBL245"/>
      <c r="UBM245"/>
      <c r="UBN245"/>
      <c r="UBO245"/>
      <c r="UBP245"/>
      <c r="UBQ245"/>
      <c r="UBR245"/>
      <c r="UBS245"/>
      <c r="UBT245"/>
      <c r="UBU245"/>
      <c r="UBV245"/>
      <c r="UBW245"/>
      <c r="UBX245"/>
      <c r="UBY245"/>
      <c r="UBZ245"/>
      <c r="UCA245"/>
      <c r="UCB245"/>
      <c r="UCC245"/>
      <c r="UCD245"/>
      <c r="UCE245"/>
      <c r="UCF245"/>
      <c r="UCG245"/>
      <c r="UCH245"/>
      <c r="UCI245"/>
      <c r="UCJ245"/>
      <c r="UCK245"/>
      <c r="UCL245"/>
      <c r="UCM245"/>
      <c r="UCN245"/>
      <c r="UCO245"/>
      <c r="UCP245"/>
      <c r="UCQ245"/>
      <c r="UCR245"/>
      <c r="UCS245"/>
      <c r="UCT245"/>
      <c r="UCU245"/>
      <c r="UCV245"/>
      <c r="UCW245"/>
      <c r="UCX245"/>
      <c r="UCY245"/>
      <c r="UCZ245"/>
      <c r="UDA245"/>
      <c r="UDB245"/>
      <c r="UDC245"/>
      <c r="UDD245"/>
      <c r="UDE245"/>
      <c r="UDF245"/>
      <c r="UDG245"/>
      <c r="UDH245"/>
      <c r="UDI245"/>
      <c r="UDJ245"/>
      <c r="UDK245"/>
      <c r="UDL245"/>
      <c r="UDM245"/>
      <c r="UDN245"/>
      <c r="UDO245"/>
      <c r="UDP245"/>
      <c r="UDQ245"/>
      <c r="UDR245"/>
      <c r="UDS245"/>
      <c r="UDT245"/>
      <c r="UDU245"/>
      <c r="UDV245"/>
      <c r="UDW245"/>
      <c r="UDX245"/>
      <c r="UDY245"/>
      <c r="UDZ245"/>
      <c r="UEA245"/>
      <c r="UEB245"/>
      <c r="UEC245"/>
      <c r="UED245"/>
      <c r="UEE245"/>
      <c r="UEF245"/>
      <c r="UEG245"/>
      <c r="UEH245"/>
      <c r="UEI245"/>
      <c r="UEJ245"/>
      <c r="UEK245"/>
      <c r="UEL245"/>
      <c r="UEM245"/>
      <c r="UEN245"/>
      <c r="UEO245"/>
      <c r="UEP245"/>
      <c r="UEQ245"/>
      <c r="UER245"/>
      <c r="UES245"/>
      <c r="UET245"/>
      <c r="UEU245"/>
      <c r="UEV245"/>
      <c r="UEW245"/>
      <c r="UEX245"/>
      <c r="UEY245"/>
      <c r="UEZ245"/>
      <c r="UFA245"/>
      <c r="UFB245"/>
      <c r="UFC245"/>
      <c r="UFD245"/>
      <c r="UFE245"/>
      <c r="UFF245"/>
      <c r="UFG245"/>
      <c r="UFH245"/>
      <c r="UFI245"/>
      <c r="UFJ245"/>
      <c r="UFK245"/>
      <c r="UFL245"/>
      <c r="UFM245"/>
      <c r="UFN245"/>
      <c r="UFO245"/>
      <c r="UFP245"/>
      <c r="UFQ245"/>
      <c r="UFR245"/>
      <c r="UFS245"/>
      <c r="UFT245"/>
      <c r="UFU245"/>
      <c r="UFV245"/>
      <c r="UFW245"/>
      <c r="UFX245"/>
      <c r="UFY245"/>
      <c r="UFZ245"/>
      <c r="UGA245"/>
      <c r="UGB245"/>
      <c r="UGC245"/>
      <c r="UGD245"/>
      <c r="UGE245"/>
      <c r="UGF245"/>
      <c r="UGG245"/>
      <c r="UGH245"/>
      <c r="UGI245"/>
      <c r="UGJ245"/>
      <c r="UGK245"/>
      <c r="UGL245"/>
      <c r="UGM245"/>
      <c r="UGN245"/>
      <c r="UGO245"/>
      <c r="UGP245"/>
      <c r="UGQ245"/>
      <c r="UGR245"/>
      <c r="UGS245"/>
      <c r="UGT245"/>
      <c r="UGU245"/>
      <c r="UGV245"/>
      <c r="UGW245"/>
      <c r="UGX245"/>
      <c r="UGY245"/>
      <c r="UGZ245"/>
      <c r="UHA245"/>
      <c r="UHB245"/>
      <c r="UHC245"/>
      <c r="UHD245"/>
      <c r="UHE245"/>
      <c r="UHF245"/>
      <c r="UHG245"/>
      <c r="UHH245"/>
      <c r="UHI245"/>
      <c r="UHJ245"/>
      <c r="UHK245"/>
      <c r="UHL245"/>
      <c r="UHM245"/>
      <c r="UHN245"/>
      <c r="UHO245"/>
      <c r="UHP245"/>
      <c r="UHQ245"/>
      <c r="UHR245"/>
      <c r="UHS245"/>
      <c r="UHT245"/>
      <c r="UHU245"/>
      <c r="UHV245"/>
      <c r="UHW245"/>
      <c r="UHX245"/>
      <c r="UHY245"/>
      <c r="UHZ245"/>
      <c r="UIA245"/>
      <c r="UIB245"/>
      <c r="UIC245"/>
      <c r="UID245"/>
      <c r="UIE245"/>
      <c r="UIF245"/>
      <c r="UIG245"/>
      <c r="UIH245"/>
      <c r="UII245"/>
      <c r="UIJ245"/>
      <c r="UIK245"/>
      <c r="UIL245"/>
      <c r="UIM245"/>
      <c r="UIN245"/>
      <c r="UIO245"/>
      <c r="UIP245"/>
      <c r="UIQ245"/>
      <c r="UIR245"/>
      <c r="UIS245"/>
      <c r="UIT245"/>
      <c r="UIU245"/>
      <c r="UIV245"/>
      <c r="UIW245"/>
      <c r="UIX245"/>
      <c r="UIY245"/>
      <c r="UIZ245"/>
      <c r="UJA245"/>
      <c r="UJB245"/>
      <c r="UJC245"/>
      <c r="UJD245"/>
      <c r="UJE245"/>
      <c r="UJF245"/>
      <c r="UJG245"/>
      <c r="UJH245"/>
      <c r="UJI245"/>
      <c r="UJJ245"/>
      <c r="UJK245"/>
      <c r="UJL245"/>
      <c r="UJM245"/>
      <c r="UJN245"/>
      <c r="UJO245"/>
      <c r="UJP245"/>
      <c r="UJQ245"/>
      <c r="UJR245"/>
      <c r="UJS245"/>
      <c r="UJT245"/>
      <c r="UJU245"/>
      <c r="UJV245"/>
      <c r="UJW245"/>
      <c r="UJX245"/>
      <c r="UJY245"/>
      <c r="UJZ245"/>
      <c r="UKA245"/>
      <c r="UKB245"/>
      <c r="UKC245"/>
      <c r="UKD245"/>
      <c r="UKE245"/>
      <c r="UKF245"/>
      <c r="UKG245"/>
      <c r="UKH245"/>
      <c r="UKI245"/>
      <c r="UKJ245"/>
      <c r="UKK245"/>
      <c r="UKL245"/>
      <c r="UKM245"/>
      <c r="UKN245"/>
      <c r="UKO245"/>
      <c r="UKP245"/>
      <c r="UKQ245"/>
      <c r="UKR245"/>
      <c r="UKS245"/>
      <c r="UKT245"/>
      <c r="UKU245"/>
      <c r="UKV245"/>
      <c r="UKW245"/>
      <c r="UKX245"/>
      <c r="UKY245"/>
      <c r="UKZ245"/>
      <c r="ULA245"/>
      <c r="ULB245"/>
      <c r="ULC245"/>
      <c r="ULD245"/>
      <c r="ULE245"/>
      <c r="ULF245"/>
      <c r="ULG245"/>
      <c r="ULH245"/>
      <c r="ULI245"/>
      <c r="ULJ245"/>
      <c r="ULK245"/>
      <c r="ULL245"/>
      <c r="ULM245"/>
      <c r="ULN245"/>
      <c r="ULO245"/>
      <c r="ULP245"/>
      <c r="ULQ245"/>
      <c r="ULR245"/>
      <c r="ULS245"/>
      <c r="ULT245"/>
      <c r="ULU245"/>
      <c r="ULV245"/>
      <c r="ULW245"/>
      <c r="ULX245"/>
      <c r="ULY245"/>
      <c r="ULZ245"/>
      <c r="UMA245"/>
      <c r="UMB245"/>
      <c r="UMC245"/>
      <c r="UMD245"/>
      <c r="UME245"/>
      <c r="UMF245"/>
      <c r="UMG245"/>
      <c r="UMH245"/>
      <c r="UMI245"/>
      <c r="UMJ245"/>
      <c r="UMK245"/>
      <c r="UML245"/>
      <c r="UMM245"/>
      <c r="UMN245"/>
      <c r="UMO245"/>
      <c r="UMP245"/>
      <c r="UMQ245"/>
      <c r="UMR245"/>
      <c r="UMS245"/>
      <c r="UMT245"/>
      <c r="UMU245"/>
      <c r="UMV245"/>
      <c r="UMW245"/>
      <c r="UMX245"/>
      <c r="UMY245"/>
      <c r="UMZ245"/>
      <c r="UNA245"/>
      <c r="UNB245"/>
      <c r="UNC245"/>
      <c r="UND245"/>
      <c r="UNE245"/>
      <c r="UNF245"/>
      <c r="UNG245"/>
      <c r="UNH245"/>
      <c r="UNI245"/>
      <c r="UNJ245"/>
      <c r="UNK245"/>
      <c r="UNL245"/>
      <c r="UNM245"/>
      <c r="UNN245"/>
      <c r="UNO245"/>
      <c r="UNP245"/>
      <c r="UNQ245"/>
      <c r="UNR245"/>
      <c r="UNS245"/>
      <c r="UNT245"/>
      <c r="UNU245"/>
      <c r="UNV245"/>
      <c r="UNW245"/>
      <c r="UNX245"/>
      <c r="UNY245"/>
      <c r="UNZ245"/>
      <c r="UOA245"/>
      <c r="UOB245"/>
      <c r="UOC245"/>
      <c r="UOD245"/>
      <c r="UOE245"/>
      <c r="UOF245"/>
      <c r="UOG245"/>
      <c r="UOH245"/>
      <c r="UOI245"/>
      <c r="UOJ245"/>
      <c r="UOK245"/>
      <c r="UOL245"/>
      <c r="UOM245"/>
      <c r="UON245"/>
      <c r="UOO245"/>
      <c r="UOP245"/>
      <c r="UOQ245"/>
      <c r="UOR245"/>
      <c r="UOS245"/>
      <c r="UOT245"/>
      <c r="UOU245"/>
      <c r="UOV245"/>
      <c r="UOW245"/>
      <c r="UOX245"/>
      <c r="UOY245"/>
      <c r="UOZ245"/>
      <c r="UPA245"/>
      <c r="UPB245"/>
      <c r="UPC245"/>
      <c r="UPD245"/>
      <c r="UPE245"/>
      <c r="UPF245"/>
      <c r="UPG245"/>
      <c r="UPH245"/>
      <c r="UPI245"/>
      <c r="UPJ245"/>
      <c r="UPK245"/>
      <c r="UPL245"/>
      <c r="UPM245"/>
      <c r="UPN245"/>
      <c r="UPO245"/>
      <c r="UPP245"/>
      <c r="UPQ245"/>
      <c r="UPR245"/>
      <c r="UPS245"/>
      <c r="UPT245"/>
      <c r="UPU245"/>
      <c r="UPV245"/>
      <c r="UPW245"/>
      <c r="UPX245"/>
      <c r="UPY245"/>
      <c r="UPZ245"/>
      <c r="UQA245"/>
      <c r="UQB245"/>
      <c r="UQC245"/>
      <c r="UQD245"/>
      <c r="UQE245"/>
      <c r="UQF245"/>
      <c r="UQG245"/>
      <c r="UQH245"/>
      <c r="UQI245"/>
      <c r="UQJ245"/>
      <c r="UQK245"/>
      <c r="UQL245"/>
      <c r="UQM245"/>
      <c r="UQN245"/>
      <c r="UQO245"/>
      <c r="UQP245"/>
      <c r="UQQ245"/>
      <c r="UQR245"/>
      <c r="UQS245"/>
      <c r="UQT245"/>
      <c r="UQU245"/>
      <c r="UQV245"/>
      <c r="UQW245"/>
      <c r="UQX245"/>
      <c r="UQY245"/>
      <c r="UQZ245"/>
      <c r="URA245"/>
      <c r="URB245"/>
      <c r="URC245"/>
      <c r="URD245"/>
      <c r="URE245"/>
      <c r="URF245"/>
      <c r="URG245"/>
      <c r="URH245"/>
      <c r="URI245"/>
      <c r="URJ245"/>
      <c r="URK245"/>
      <c r="URL245"/>
      <c r="URM245"/>
      <c r="URN245"/>
      <c r="URO245"/>
      <c r="URP245"/>
      <c r="URQ245"/>
      <c r="URR245"/>
      <c r="URS245"/>
      <c r="URT245"/>
      <c r="URU245"/>
      <c r="URV245"/>
      <c r="URW245"/>
      <c r="URX245"/>
      <c r="URY245"/>
      <c r="URZ245"/>
      <c r="USA245"/>
      <c r="USB245"/>
      <c r="USC245"/>
      <c r="USD245"/>
      <c r="USE245"/>
      <c r="USF245"/>
      <c r="USG245"/>
      <c r="USH245"/>
      <c r="USI245"/>
      <c r="USJ245"/>
      <c r="USK245"/>
      <c r="USL245"/>
      <c r="USM245"/>
      <c r="USN245"/>
      <c r="USO245"/>
      <c r="USP245"/>
      <c r="USQ245"/>
      <c r="USR245"/>
      <c r="USS245"/>
      <c r="UST245"/>
      <c r="USU245"/>
      <c r="USV245"/>
      <c r="USW245"/>
      <c r="USX245"/>
      <c r="USY245"/>
      <c r="USZ245"/>
      <c r="UTA245"/>
      <c r="UTB245"/>
      <c r="UTC245"/>
      <c r="UTD245"/>
      <c r="UTE245"/>
      <c r="UTF245"/>
      <c r="UTG245"/>
      <c r="UTH245"/>
      <c r="UTI245"/>
      <c r="UTJ245"/>
      <c r="UTK245"/>
      <c r="UTL245"/>
      <c r="UTM245"/>
      <c r="UTN245"/>
      <c r="UTO245"/>
      <c r="UTP245"/>
      <c r="UTQ245"/>
      <c r="UTR245"/>
      <c r="UTS245"/>
      <c r="UTT245"/>
      <c r="UTU245"/>
      <c r="UTV245"/>
      <c r="UTW245"/>
      <c r="UTX245"/>
      <c r="UTY245"/>
      <c r="UTZ245"/>
      <c r="UUA245"/>
      <c r="UUB245"/>
      <c r="UUC245"/>
      <c r="UUD245"/>
      <c r="UUE245"/>
      <c r="UUF245"/>
      <c r="UUG245"/>
      <c r="UUH245"/>
      <c r="UUI245"/>
      <c r="UUJ245"/>
      <c r="UUK245"/>
      <c r="UUL245"/>
      <c r="UUM245"/>
      <c r="UUN245"/>
      <c r="UUO245"/>
      <c r="UUP245"/>
      <c r="UUQ245"/>
      <c r="UUR245"/>
      <c r="UUS245"/>
      <c r="UUT245"/>
      <c r="UUU245"/>
      <c r="UUV245"/>
      <c r="UUW245"/>
      <c r="UUX245"/>
      <c r="UUY245"/>
      <c r="UUZ245"/>
      <c r="UVA245"/>
      <c r="UVB245"/>
      <c r="UVC245"/>
      <c r="UVD245"/>
      <c r="UVE245"/>
      <c r="UVF245"/>
      <c r="UVG245"/>
      <c r="UVH245"/>
      <c r="UVI245"/>
      <c r="UVJ245"/>
      <c r="UVK245"/>
      <c r="UVL245"/>
      <c r="UVM245"/>
      <c r="UVN245"/>
      <c r="UVO245"/>
      <c r="UVP245"/>
      <c r="UVQ245"/>
      <c r="UVR245"/>
      <c r="UVS245"/>
      <c r="UVT245"/>
      <c r="UVU245"/>
      <c r="UVV245"/>
      <c r="UVW245"/>
      <c r="UVX245"/>
      <c r="UVY245"/>
      <c r="UVZ245"/>
      <c r="UWA245"/>
      <c r="UWB245"/>
      <c r="UWC245"/>
      <c r="UWD245"/>
      <c r="UWE245"/>
      <c r="UWF245"/>
      <c r="UWG245"/>
      <c r="UWH245"/>
      <c r="UWI245"/>
      <c r="UWJ245"/>
      <c r="UWK245"/>
      <c r="UWL245"/>
      <c r="UWM245"/>
      <c r="UWN245"/>
      <c r="UWO245"/>
      <c r="UWP245"/>
      <c r="UWQ245"/>
      <c r="UWR245"/>
      <c r="UWS245"/>
      <c r="UWT245"/>
      <c r="UWU245"/>
      <c r="UWV245"/>
      <c r="UWW245"/>
      <c r="UWX245"/>
      <c r="UWY245"/>
      <c r="UWZ245"/>
      <c r="UXA245"/>
      <c r="UXB245"/>
      <c r="UXC245"/>
      <c r="UXD245"/>
      <c r="UXE245"/>
      <c r="UXF245"/>
      <c r="UXG245"/>
      <c r="UXH245"/>
      <c r="UXI245"/>
      <c r="UXJ245"/>
      <c r="UXK245"/>
      <c r="UXL245"/>
      <c r="UXM245"/>
      <c r="UXN245"/>
      <c r="UXO245"/>
      <c r="UXP245"/>
      <c r="UXQ245"/>
      <c r="UXR245"/>
      <c r="UXS245"/>
      <c r="UXT245"/>
      <c r="UXU245"/>
      <c r="UXV245"/>
      <c r="UXW245"/>
      <c r="UXX245"/>
      <c r="UXY245"/>
      <c r="UXZ245"/>
      <c r="UYA245"/>
      <c r="UYB245"/>
      <c r="UYC245"/>
      <c r="UYD245"/>
      <c r="UYE245"/>
      <c r="UYF245"/>
      <c r="UYG245"/>
      <c r="UYH245"/>
      <c r="UYI245"/>
      <c r="UYJ245"/>
      <c r="UYK245"/>
      <c r="UYL245"/>
      <c r="UYM245"/>
      <c r="UYN245"/>
      <c r="UYO245"/>
      <c r="UYP245"/>
      <c r="UYQ245"/>
      <c r="UYR245"/>
      <c r="UYS245"/>
      <c r="UYT245"/>
      <c r="UYU245"/>
      <c r="UYV245"/>
      <c r="UYW245"/>
      <c r="UYX245"/>
      <c r="UYY245"/>
      <c r="UYZ245"/>
      <c r="UZA245"/>
      <c r="UZB245"/>
      <c r="UZC245"/>
      <c r="UZD245"/>
      <c r="UZE245"/>
      <c r="UZF245"/>
      <c r="UZG245"/>
      <c r="UZH245"/>
      <c r="UZI245"/>
      <c r="UZJ245"/>
      <c r="UZK245"/>
      <c r="UZL245"/>
      <c r="UZM245"/>
      <c r="UZN245"/>
      <c r="UZO245"/>
      <c r="UZP245"/>
      <c r="UZQ245"/>
      <c r="UZR245"/>
      <c r="UZS245"/>
      <c r="UZT245"/>
      <c r="UZU245"/>
      <c r="UZV245"/>
      <c r="UZW245"/>
      <c r="UZX245"/>
      <c r="UZY245"/>
      <c r="UZZ245"/>
      <c r="VAA245"/>
      <c r="VAB245"/>
      <c r="VAC245"/>
      <c r="VAD245"/>
      <c r="VAE245"/>
      <c r="VAF245"/>
      <c r="VAG245"/>
      <c r="VAH245"/>
      <c r="VAI245"/>
      <c r="VAJ245"/>
      <c r="VAK245"/>
      <c r="VAL245"/>
      <c r="VAM245"/>
      <c r="VAN245"/>
      <c r="VAO245"/>
      <c r="VAP245"/>
      <c r="VAQ245"/>
      <c r="VAR245"/>
      <c r="VAS245"/>
      <c r="VAT245"/>
      <c r="VAU245"/>
      <c r="VAV245"/>
      <c r="VAW245"/>
      <c r="VAX245"/>
      <c r="VAY245"/>
      <c r="VAZ245"/>
      <c r="VBA245"/>
      <c r="VBB245"/>
      <c r="VBC245"/>
      <c r="VBD245"/>
      <c r="VBE245"/>
      <c r="VBF245"/>
      <c r="VBG245"/>
      <c r="VBH245"/>
      <c r="VBI245"/>
      <c r="VBJ245"/>
      <c r="VBK245"/>
      <c r="VBL245"/>
      <c r="VBM245"/>
      <c r="VBN245"/>
      <c r="VBO245"/>
      <c r="VBP245"/>
      <c r="VBQ245"/>
      <c r="VBR245"/>
      <c r="VBS245"/>
      <c r="VBT245"/>
      <c r="VBU245"/>
      <c r="VBV245"/>
      <c r="VBW245"/>
      <c r="VBX245"/>
      <c r="VBY245"/>
      <c r="VBZ245"/>
      <c r="VCA245"/>
      <c r="VCB245"/>
      <c r="VCC245"/>
      <c r="VCD245"/>
      <c r="VCE245"/>
      <c r="VCF245"/>
      <c r="VCG245"/>
      <c r="VCH245"/>
      <c r="VCI245"/>
      <c r="VCJ245"/>
      <c r="VCK245"/>
      <c r="VCL245"/>
      <c r="VCM245"/>
      <c r="VCN245"/>
      <c r="VCO245"/>
      <c r="VCP245"/>
      <c r="VCQ245"/>
      <c r="VCR245"/>
      <c r="VCS245"/>
      <c r="VCT245"/>
      <c r="VCU245"/>
      <c r="VCV245"/>
      <c r="VCW245"/>
      <c r="VCX245"/>
      <c r="VCY245"/>
      <c r="VCZ245"/>
      <c r="VDA245"/>
      <c r="VDB245"/>
      <c r="VDC245"/>
      <c r="VDD245"/>
      <c r="VDE245"/>
      <c r="VDF245"/>
      <c r="VDG245"/>
      <c r="VDH245"/>
      <c r="VDI245"/>
      <c r="VDJ245"/>
      <c r="VDK245"/>
      <c r="VDL245"/>
      <c r="VDM245"/>
      <c r="VDN245"/>
      <c r="VDO245"/>
      <c r="VDP245"/>
      <c r="VDQ245"/>
      <c r="VDR245"/>
      <c r="VDS245"/>
      <c r="VDT245"/>
      <c r="VDU245"/>
      <c r="VDV245"/>
      <c r="VDW245"/>
      <c r="VDX245"/>
      <c r="VDY245"/>
      <c r="VDZ245"/>
      <c r="VEA245"/>
      <c r="VEB245"/>
      <c r="VEC245"/>
      <c r="VED245"/>
      <c r="VEE245"/>
      <c r="VEF245"/>
      <c r="VEG245"/>
      <c r="VEH245"/>
      <c r="VEI245"/>
      <c r="VEJ245"/>
      <c r="VEK245"/>
      <c r="VEL245"/>
      <c r="VEM245"/>
      <c r="VEN245"/>
      <c r="VEO245"/>
      <c r="VEP245"/>
      <c r="VEQ245"/>
      <c r="VER245"/>
      <c r="VES245"/>
      <c r="VET245"/>
      <c r="VEU245"/>
      <c r="VEV245"/>
      <c r="VEW245"/>
      <c r="VEX245"/>
      <c r="VEY245"/>
      <c r="VEZ245"/>
      <c r="VFA245"/>
      <c r="VFB245"/>
      <c r="VFC245"/>
      <c r="VFD245"/>
      <c r="VFE245"/>
      <c r="VFF245"/>
      <c r="VFG245"/>
      <c r="VFH245"/>
      <c r="VFI245"/>
      <c r="VFJ245"/>
      <c r="VFK245"/>
      <c r="VFL245"/>
      <c r="VFM245"/>
      <c r="VFN245"/>
      <c r="VFO245"/>
      <c r="VFP245"/>
      <c r="VFQ245"/>
      <c r="VFR245"/>
      <c r="VFS245"/>
      <c r="VFT245"/>
      <c r="VFU245"/>
      <c r="VFV245"/>
      <c r="VFW245"/>
      <c r="VFX245"/>
      <c r="VFY245"/>
      <c r="VFZ245"/>
      <c r="VGA245"/>
      <c r="VGB245"/>
      <c r="VGC245"/>
      <c r="VGD245"/>
      <c r="VGE245"/>
      <c r="VGF245"/>
      <c r="VGG245"/>
      <c r="VGH245"/>
      <c r="VGI245"/>
      <c r="VGJ245"/>
      <c r="VGK245"/>
      <c r="VGL245"/>
      <c r="VGM245"/>
      <c r="VGN245"/>
      <c r="VGO245"/>
      <c r="VGP245"/>
      <c r="VGQ245"/>
      <c r="VGR245"/>
      <c r="VGS245"/>
      <c r="VGT245"/>
      <c r="VGU245"/>
      <c r="VGV245"/>
      <c r="VGW245"/>
      <c r="VGX245"/>
      <c r="VGY245"/>
      <c r="VGZ245"/>
      <c r="VHA245"/>
      <c r="VHB245"/>
      <c r="VHC245"/>
      <c r="VHD245"/>
      <c r="VHE245"/>
      <c r="VHF245"/>
      <c r="VHG245"/>
      <c r="VHH245"/>
      <c r="VHI245"/>
      <c r="VHJ245"/>
      <c r="VHK245"/>
      <c r="VHL245"/>
      <c r="VHM245"/>
      <c r="VHN245"/>
      <c r="VHO245"/>
      <c r="VHP245"/>
      <c r="VHQ245"/>
      <c r="VHR245"/>
      <c r="VHS245"/>
      <c r="VHT245"/>
      <c r="VHU245"/>
      <c r="VHV245"/>
      <c r="VHW245"/>
      <c r="VHX245"/>
      <c r="VHY245"/>
      <c r="VHZ245"/>
      <c r="VIA245"/>
      <c r="VIB245"/>
      <c r="VIC245"/>
      <c r="VID245"/>
      <c r="VIE245"/>
      <c r="VIF245"/>
      <c r="VIG245"/>
      <c r="VIH245"/>
      <c r="VII245"/>
      <c r="VIJ245"/>
      <c r="VIK245"/>
      <c r="VIL245"/>
      <c r="VIM245"/>
      <c r="VIN245"/>
      <c r="VIO245"/>
      <c r="VIP245"/>
      <c r="VIQ245"/>
      <c r="VIR245"/>
      <c r="VIS245"/>
      <c r="VIT245"/>
      <c r="VIU245"/>
      <c r="VIV245"/>
      <c r="VIW245"/>
      <c r="VIX245"/>
      <c r="VIY245"/>
      <c r="VIZ245"/>
      <c r="VJA245"/>
      <c r="VJB245"/>
      <c r="VJC245"/>
      <c r="VJD245"/>
      <c r="VJE245"/>
      <c r="VJF245"/>
      <c r="VJG245"/>
      <c r="VJH245"/>
      <c r="VJI245"/>
      <c r="VJJ245"/>
      <c r="VJK245"/>
      <c r="VJL245"/>
      <c r="VJM245"/>
      <c r="VJN245"/>
      <c r="VJO245"/>
      <c r="VJP245"/>
      <c r="VJQ245"/>
      <c r="VJR245"/>
      <c r="VJS245"/>
      <c r="VJT245"/>
      <c r="VJU245"/>
      <c r="VJV245"/>
      <c r="VJW245"/>
      <c r="VJX245"/>
      <c r="VJY245"/>
      <c r="VJZ245"/>
      <c r="VKA245"/>
      <c r="VKB245"/>
      <c r="VKC245"/>
      <c r="VKD245"/>
      <c r="VKE245"/>
      <c r="VKF245"/>
      <c r="VKG245"/>
      <c r="VKH245"/>
      <c r="VKI245"/>
      <c r="VKJ245"/>
      <c r="VKK245"/>
      <c r="VKL245"/>
      <c r="VKM245"/>
      <c r="VKN245"/>
      <c r="VKO245"/>
      <c r="VKP245"/>
      <c r="VKQ245"/>
      <c r="VKR245"/>
      <c r="VKS245"/>
      <c r="VKT245"/>
      <c r="VKU245"/>
      <c r="VKV245"/>
      <c r="VKW245"/>
      <c r="VKX245"/>
      <c r="VKY245"/>
      <c r="VKZ245"/>
      <c r="VLA245"/>
      <c r="VLB245"/>
      <c r="VLC245"/>
      <c r="VLD245"/>
      <c r="VLE245"/>
      <c r="VLF245"/>
      <c r="VLG245"/>
      <c r="VLH245"/>
      <c r="VLI245"/>
      <c r="VLJ245"/>
      <c r="VLK245"/>
      <c r="VLL245"/>
      <c r="VLM245"/>
      <c r="VLN245"/>
      <c r="VLO245"/>
      <c r="VLP245"/>
      <c r="VLQ245"/>
      <c r="VLR245"/>
      <c r="VLS245"/>
      <c r="VLT245"/>
      <c r="VLU245"/>
      <c r="VLV245"/>
      <c r="VLW245"/>
      <c r="VLX245"/>
      <c r="VLY245"/>
      <c r="VLZ245"/>
      <c r="VMA245"/>
      <c r="VMB245"/>
      <c r="VMC245"/>
      <c r="VMD245"/>
      <c r="VME245"/>
      <c r="VMF245"/>
      <c r="VMG245"/>
      <c r="VMH245"/>
      <c r="VMI245"/>
      <c r="VMJ245"/>
      <c r="VMK245"/>
      <c r="VML245"/>
      <c r="VMM245"/>
      <c r="VMN245"/>
      <c r="VMO245"/>
      <c r="VMP245"/>
      <c r="VMQ245"/>
      <c r="VMR245"/>
      <c r="VMS245"/>
      <c r="VMT245"/>
      <c r="VMU245"/>
      <c r="VMV245"/>
      <c r="VMW245"/>
      <c r="VMX245"/>
      <c r="VMY245"/>
      <c r="VMZ245"/>
      <c r="VNA245"/>
      <c r="VNB245"/>
      <c r="VNC245"/>
      <c r="VND245"/>
      <c r="VNE245"/>
      <c r="VNF245"/>
      <c r="VNG245"/>
      <c r="VNH245"/>
      <c r="VNI245"/>
      <c r="VNJ245"/>
      <c r="VNK245"/>
      <c r="VNL245"/>
      <c r="VNM245"/>
      <c r="VNN245"/>
      <c r="VNO245"/>
      <c r="VNP245"/>
      <c r="VNQ245"/>
      <c r="VNR245"/>
      <c r="VNS245"/>
      <c r="VNT245"/>
      <c r="VNU245"/>
      <c r="VNV245"/>
      <c r="VNW245"/>
      <c r="VNX245"/>
      <c r="VNY245"/>
      <c r="VNZ245"/>
      <c r="VOA245"/>
      <c r="VOB245"/>
      <c r="VOC245"/>
      <c r="VOD245"/>
      <c r="VOE245"/>
      <c r="VOF245"/>
      <c r="VOG245"/>
      <c r="VOH245"/>
      <c r="VOI245"/>
      <c r="VOJ245"/>
      <c r="VOK245"/>
      <c r="VOL245"/>
      <c r="VOM245"/>
      <c r="VON245"/>
      <c r="VOO245"/>
      <c r="VOP245"/>
      <c r="VOQ245"/>
      <c r="VOR245"/>
      <c r="VOS245"/>
      <c r="VOT245"/>
      <c r="VOU245"/>
      <c r="VOV245"/>
      <c r="VOW245"/>
      <c r="VOX245"/>
      <c r="VOY245"/>
      <c r="VOZ245"/>
      <c r="VPA245"/>
      <c r="VPB245"/>
      <c r="VPC245"/>
      <c r="VPD245"/>
      <c r="VPE245"/>
      <c r="VPF245"/>
      <c r="VPG245"/>
      <c r="VPH245"/>
      <c r="VPI245"/>
      <c r="VPJ245"/>
      <c r="VPK245"/>
      <c r="VPL245"/>
      <c r="VPM245"/>
      <c r="VPN245"/>
      <c r="VPO245"/>
      <c r="VPP245"/>
      <c r="VPQ245"/>
      <c r="VPR245"/>
      <c r="VPS245"/>
      <c r="VPT245"/>
      <c r="VPU245"/>
      <c r="VPV245"/>
      <c r="VPW245"/>
      <c r="VPX245"/>
      <c r="VPY245"/>
      <c r="VPZ245"/>
      <c r="VQA245"/>
      <c r="VQB245"/>
      <c r="VQC245"/>
      <c r="VQD245"/>
      <c r="VQE245"/>
      <c r="VQF245"/>
      <c r="VQG245"/>
      <c r="VQH245"/>
      <c r="VQI245"/>
      <c r="VQJ245"/>
      <c r="VQK245"/>
      <c r="VQL245"/>
      <c r="VQM245"/>
      <c r="VQN245"/>
      <c r="VQO245"/>
      <c r="VQP245"/>
      <c r="VQQ245"/>
      <c r="VQR245"/>
      <c r="VQS245"/>
      <c r="VQT245"/>
      <c r="VQU245"/>
      <c r="VQV245"/>
      <c r="VQW245"/>
      <c r="VQX245"/>
      <c r="VQY245"/>
      <c r="VQZ245"/>
      <c r="VRA245"/>
      <c r="VRB245"/>
      <c r="VRC245"/>
      <c r="VRD245"/>
      <c r="VRE245"/>
      <c r="VRF245"/>
      <c r="VRG245"/>
      <c r="VRH245"/>
      <c r="VRI245"/>
      <c r="VRJ245"/>
      <c r="VRK245"/>
      <c r="VRL245"/>
      <c r="VRM245"/>
      <c r="VRN245"/>
      <c r="VRO245"/>
      <c r="VRP245"/>
      <c r="VRQ245"/>
      <c r="VRR245"/>
      <c r="VRS245"/>
      <c r="VRT245"/>
      <c r="VRU245"/>
      <c r="VRV245"/>
      <c r="VRW245"/>
      <c r="VRX245"/>
      <c r="VRY245"/>
      <c r="VRZ245"/>
      <c r="VSA245"/>
      <c r="VSB245"/>
      <c r="VSC245"/>
      <c r="VSD245"/>
      <c r="VSE245"/>
      <c r="VSF245"/>
      <c r="VSG245"/>
      <c r="VSH245"/>
      <c r="VSI245"/>
      <c r="VSJ245"/>
      <c r="VSK245"/>
      <c r="VSL245"/>
      <c r="VSM245"/>
      <c r="VSN245"/>
      <c r="VSO245"/>
      <c r="VSP245"/>
      <c r="VSQ245"/>
      <c r="VSR245"/>
      <c r="VSS245"/>
      <c r="VST245"/>
      <c r="VSU245"/>
      <c r="VSV245"/>
      <c r="VSW245"/>
      <c r="VSX245"/>
      <c r="VSY245"/>
      <c r="VSZ245"/>
      <c r="VTA245"/>
      <c r="VTB245"/>
      <c r="VTC245"/>
      <c r="VTD245"/>
      <c r="VTE245"/>
      <c r="VTF245"/>
      <c r="VTG245"/>
      <c r="VTH245"/>
      <c r="VTI245"/>
      <c r="VTJ245"/>
      <c r="VTK245"/>
      <c r="VTL245"/>
      <c r="VTM245"/>
      <c r="VTN245"/>
      <c r="VTO245"/>
      <c r="VTP245"/>
      <c r="VTQ245"/>
      <c r="VTR245"/>
      <c r="VTS245"/>
      <c r="VTT245"/>
      <c r="VTU245"/>
      <c r="VTV245"/>
      <c r="VTW245"/>
      <c r="VTX245"/>
      <c r="VTY245"/>
      <c r="VTZ245"/>
      <c r="VUA245"/>
      <c r="VUB245"/>
      <c r="VUC245"/>
      <c r="VUD245"/>
      <c r="VUE245"/>
      <c r="VUF245"/>
      <c r="VUG245"/>
      <c r="VUH245"/>
      <c r="VUI245"/>
      <c r="VUJ245"/>
      <c r="VUK245"/>
      <c r="VUL245"/>
      <c r="VUM245"/>
      <c r="VUN245"/>
      <c r="VUO245"/>
      <c r="VUP245"/>
      <c r="VUQ245"/>
      <c r="VUR245"/>
      <c r="VUS245"/>
      <c r="VUT245"/>
      <c r="VUU245"/>
      <c r="VUV245"/>
      <c r="VUW245"/>
      <c r="VUX245"/>
      <c r="VUY245"/>
      <c r="VUZ245"/>
      <c r="VVA245"/>
      <c r="VVB245"/>
      <c r="VVC245"/>
      <c r="VVD245"/>
      <c r="VVE245"/>
      <c r="VVF245"/>
      <c r="VVG245"/>
      <c r="VVH245"/>
      <c r="VVI245"/>
      <c r="VVJ245"/>
      <c r="VVK245"/>
      <c r="VVL245"/>
      <c r="VVM245"/>
      <c r="VVN245"/>
      <c r="VVO245"/>
      <c r="VVP245"/>
      <c r="VVQ245"/>
      <c r="VVR245"/>
      <c r="VVS245"/>
      <c r="VVT245"/>
      <c r="VVU245"/>
      <c r="VVV245"/>
      <c r="VVW245"/>
      <c r="VVX245"/>
      <c r="VVY245"/>
      <c r="VVZ245"/>
      <c r="VWA245"/>
      <c r="VWB245"/>
      <c r="VWC245"/>
      <c r="VWD245"/>
      <c r="VWE245"/>
      <c r="VWF245"/>
      <c r="VWG245"/>
      <c r="VWH245"/>
      <c r="VWI245"/>
      <c r="VWJ245"/>
      <c r="VWK245"/>
      <c r="VWL245"/>
      <c r="VWM245"/>
      <c r="VWN245"/>
      <c r="VWO245"/>
      <c r="VWP245"/>
      <c r="VWQ245"/>
      <c r="VWR245"/>
      <c r="VWS245"/>
      <c r="VWT245"/>
      <c r="VWU245"/>
      <c r="VWV245"/>
      <c r="VWW245"/>
      <c r="VWX245"/>
      <c r="VWY245"/>
      <c r="VWZ245"/>
      <c r="VXA245"/>
      <c r="VXB245"/>
      <c r="VXC245"/>
      <c r="VXD245"/>
      <c r="VXE245"/>
      <c r="VXF245"/>
      <c r="VXG245"/>
      <c r="VXH245"/>
      <c r="VXI245"/>
      <c r="VXJ245"/>
      <c r="VXK245"/>
      <c r="VXL245"/>
      <c r="VXM245"/>
      <c r="VXN245"/>
      <c r="VXO245"/>
      <c r="VXP245"/>
      <c r="VXQ245"/>
      <c r="VXR245"/>
      <c r="VXS245"/>
      <c r="VXT245"/>
      <c r="VXU245"/>
      <c r="VXV245"/>
      <c r="VXW245"/>
      <c r="VXX245"/>
      <c r="VXY245"/>
      <c r="VXZ245"/>
      <c r="VYA245"/>
      <c r="VYB245"/>
      <c r="VYC245"/>
      <c r="VYD245"/>
      <c r="VYE245"/>
      <c r="VYF245"/>
      <c r="VYG245"/>
      <c r="VYH245"/>
      <c r="VYI245"/>
      <c r="VYJ245"/>
      <c r="VYK245"/>
      <c r="VYL245"/>
      <c r="VYM245"/>
      <c r="VYN245"/>
      <c r="VYO245"/>
      <c r="VYP245"/>
      <c r="VYQ245"/>
      <c r="VYR245"/>
      <c r="VYS245"/>
      <c r="VYT245"/>
      <c r="VYU245"/>
      <c r="VYV245"/>
      <c r="VYW245"/>
      <c r="VYX245"/>
      <c r="VYY245"/>
      <c r="VYZ245"/>
      <c r="VZA245"/>
      <c r="VZB245"/>
      <c r="VZC245"/>
      <c r="VZD245"/>
      <c r="VZE245"/>
      <c r="VZF245"/>
      <c r="VZG245"/>
      <c r="VZH245"/>
      <c r="VZI245"/>
      <c r="VZJ245"/>
      <c r="VZK245"/>
      <c r="VZL245"/>
      <c r="VZM245"/>
      <c r="VZN245"/>
      <c r="VZO245"/>
      <c r="VZP245"/>
      <c r="VZQ245"/>
      <c r="VZR245"/>
      <c r="VZS245"/>
      <c r="VZT245"/>
      <c r="VZU245"/>
      <c r="VZV245"/>
      <c r="VZW245"/>
      <c r="VZX245"/>
      <c r="VZY245"/>
      <c r="VZZ245"/>
      <c r="WAA245"/>
      <c r="WAB245"/>
      <c r="WAC245"/>
      <c r="WAD245"/>
      <c r="WAE245"/>
      <c r="WAF245"/>
      <c r="WAG245"/>
      <c r="WAH245"/>
      <c r="WAI245"/>
      <c r="WAJ245"/>
      <c r="WAK245"/>
      <c r="WAL245"/>
      <c r="WAM245"/>
      <c r="WAN245"/>
      <c r="WAO245"/>
      <c r="WAP245"/>
      <c r="WAQ245"/>
      <c r="WAR245"/>
      <c r="WAS245"/>
      <c r="WAT245"/>
      <c r="WAU245"/>
      <c r="WAV245"/>
      <c r="WAW245"/>
      <c r="WAX245"/>
      <c r="WAY245"/>
      <c r="WAZ245"/>
      <c r="WBA245"/>
      <c r="WBB245"/>
      <c r="WBC245"/>
      <c r="WBD245"/>
      <c r="WBE245"/>
      <c r="WBF245"/>
      <c r="WBG245"/>
      <c r="WBH245"/>
      <c r="WBI245"/>
      <c r="WBJ245"/>
      <c r="WBK245"/>
      <c r="WBL245"/>
      <c r="WBM245"/>
      <c r="WBN245"/>
      <c r="WBO245"/>
      <c r="WBP245"/>
      <c r="WBQ245"/>
      <c r="WBR245"/>
      <c r="WBS245"/>
      <c r="WBT245"/>
      <c r="WBU245"/>
      <c r="WBV245"/>
      <c r="WBW245"/>
      <c r="WBX245"/>
      <c r="WBY245"/>
      <c r="WBZ245"/>
      <c r="WCA245"/>
      <c r="WCB245"/>
      <c r="WCC245"/>
      <c r="WCD245"/>
      <c r="WCE245"/>
      <c r="WCF245"/>
      <c r="WCG245"/>
      <c r="WCH245"/>
      <c r="WCI245"/>
      <c r="WCJ245"/>
      <c r="WCK245"/>
      <c r="WCL245"/>
      <c r="WCM245"/>
      <c r="WCN245"/>
      <c r="WCO245"/>
      <c r="WCP245"/>
      <c r="WCQ245"/>
      <c r="WCR245"/>
      <c r="WCS245"/>
      <c r="WCT245"/>
      <c r="WCU245"/>
      <c r="WCV245"/>
      <c r="WCW245"/>
      <c r="WCX245"/>
      <c r="WCY245"/>
      <c r="WCZ245"/>
      <c r="WDA245"/>
      <c r="WDB245"/>
      <c r="WDC245"/>
      <c r="WDD245"/>
      <c r="WDE245"/>
      <c r="WDF245"/>
      <c r="WDG245"/>
      <c r="WDH245"/>
      <c r="WDI245"/>
      <c r="WDJ245"/>
      <c r="WDK245"/>
      <c r="WDL245"/>
      <c r="WDM245"/>
      <c r="WDN245"/>
      <c r="WDO245"/>
      <c r="WDP245"/>
      <c r="WDQ245"/>
      <c r="WDR245"/>
      <c r="WDS245"/>
      <c r="WDT245"/>
      <c r="WDU245"/>
      <c r="WDV245"/>
      <c r="WDW245"/>
      <c r="WDX245"/>
      <c r="WDY245"/>
      <c r="WDZ245"/>
      <c r="WEA245"/>
      <c r="WEB245"/>
      <c r="WEC245"/>
      <c r="WED245"/>
      <c r="WEE245"/>
      <c r="WEF245"/>
      <c r="WEG245"/>
      <c r="WEH245"/>
      <c r="WEI245"/>
      <c r="WEJ245"/>
      <c r="WEK245"/>
      <c r="WEL245"/>
      <c r="WEM245"/>
      <c r="WEN245"/>
      <c r="WEO245"/>
      <c r="WEP245"/>
      <c r="WEQ245"/>
      <c r="WER245"/>
      <c r="WES245"/>
      <c r="WET245"/>
      <c r="WEU245"/>
      <c r="WEV245"/>
      <c r="WEW245"/>
      <c r="WEX245"/>
      <c r="WEY245"/>
      <c r="WEZ245"/>
      <c r="WFA245"/>
      <c r="WFB245"/>
      <c r="WFC245"/>
      <c r="WFD245"/>
      <c r="WFE245"/>
      <c r="WFF245"/>
      <c r="WFG245"/>
      <c r="WFH245"/>
      <c r="WFI245"/>
      <c r="WFJ245"/>
      <c r="WFK245"/>
      <c r="WFL245"/>
      <c r="WFM245"/>
      <c r="WFN245"/>
      <c r="WFO245"/>
      <c r="WFP245"/>
      <c r="WFQ245"/>
      <c r="WFR245"/>
      <c r="WFS245"/>
      <c r="WFT245"/>
      <c r="WFU245"/>
      <c r="WFV245"/>
      <c r="WFW245"/>
      <c r="WFX245"/>
      <c r="WFY245"/>
      <c r="WFZ245"/>
      <c r="WGA245"/>
      <c r="WGB245"/>
      <c r="WGC245"/>
      <c r="WGD245"/>
      <c r="WGE245"/>
      <c r="WGF245"/>
      <c r="WGG245"/>
      <c r="WGH245"/>
      <c r="WGI245"/>
      <c r="WGJ245"/>
      <c r="WGK245"/>
      <c r="WGL245"/>
      <c r="WGM245"/>
      <c r="WGN245"/>
      <c r="WGO245"/>
      <c r="WGP245"/>
      <c r="WGQ245"/>
      <c r="WGR245"/>
      <c r="WGS245"/>
      <c r="WGT245"/>
      <c r="WGU245"/>
      <c r="WGV245"/>
      <c r="WGW245"/>
      <c r="WGX245"/>
      <c r="WGY245"/>
      <c r="WGZ245"/>
      <c r="WHA245"/>
      <c r="WHB245"/>
      <c r="WHC245"/>
      <c r="WHD245"/>
      <c r="WHE245"/>
      <c r="WHF245"/>
      <c r="WHG245"/>
      <c r="WHH245"/>
      <c r="WHI245"/>
      <c r="WHJ245"/>
      <c r="WHK245"/>
      <c r="WHL245"/>
      <c r="WHM245"/>
      <c r="WHN245"/>
      <c r="WHO245"/>
      <c r="WHP245"/>
      <c r="WHQ245"/>
      <c r="WHR245"/>
      <c r="WHS245"/>
      <c r="WHT245"/>
      <c r="WHU245"/>
      <c r="WHV245"/>
      <c r="WHW245"/>
      <c r="WHX245"/>
      <c r="WHY245"/>
      <c r="WHZ245"/>
      <c r="WIA245"/>
      <c r="WIB245"/>
      <c r="WIC245"/>
      <c r="WID245"/>
      <c r="WIE245"/>
      <c r="WIF245"/>
      <c r="WIG245"/>
      <c r="WIH245"/>
      <c r="WII245"/>
      <c r="WIJ245"/>
      <c r="WIK245"/>
      <c r="WIL245"/>
      <c r="WIM245"/>
      <c r="WIN245"/>
      <c r="WIO245"/>
      <c r="WIP245"/>
      <c r="WIQ245"/>
      <c r="WIR245"/>
      <c r="WIS245"/>
      <c r="WIT245"/>
      <c r="WIU245"/>
      <c r="WIV245"/>
      <c r="WIW245"/>
      <c r="WIX245"/>
      <c r="WIY245"/>
      <c r="WIZ245"/>
      <c r="WJA245"/>
      <c r="WJB245"/>
      <c r="WJC245"/>
      <c r="WJD245"/>
      <c r="WJE245"/>
      <c r="WJF245"/>
      <c r="WJG245"/>
      <c r="WJH245"/>
      <c r="WJI245"/>
      <c r="WJJ245"/>
      <c r="WJK245"/>
      <c r="WJL245"/>
      <c r="WJM245"/>
      <c r="WJN245"/>
      <c r="WJO245"/>
      <c r="WJP245"/>
      <c r="WJQ245"/>
      <c r="WJR245"/>
      <c r="WJS245"/>
      <c r="WJT245"/>
      <c r="WJU245"/>
      <c r="WJV245"/>
      <c r="WJW245"/>
      <c r="WJX245"/>
      <c r="WJY245"/>
      <c r="WJZ245"/>
      <c r="WKA245"/>
      <c r="WKB245"/>
      <c r="WKC245"/>
      <c r="WKD245"/>
      <c r="WKE245"/>
      <c r="WKF245"/>
      <c r="WKG245"/>
      <c r="WKH245"/>
      <c r="WKI245"/>
      <c r="WKJ245"/>
      <c r="WKK245"/>
      <c r="WKL245"/>
      <c r="WKM245"/>
      <c r="WKN245"/>
      <c r="WKO245"/>
      <c r="WKP245"/>
      <c r="WKQ245"/>
      <c r="WKR245"/>
      <c r="WKS245"/>
      <c r="WKT245"/>
      <c r="WKU245"/>
      <c r="WKV245"/>
      <c r="WKW245"/>
      <c r="WKX245"/>
      <c r="WKY245"/>
      <c r="WKZ245"/>
      <c r="WLA245"/>
      <c r="WLB245"/>
      <c r="WLC245"/>
      <c r="WLD245"/>
      <c r="WLE245"/>
      <c r="WLF245"/>
      <c r="WLG245"/>
      <c r="WLH245"/>
      <c r="WLI245"/>
      <c r="WLJ245"/>
      <c r="WLK245"/>
      <c r="WLL245"/>
      <c r="WLM245"/>
      <c r="WLN245"/>
      <c r="WLO245"/>
      <c r="WLP245"/>
      <c r="WLQ245"/>
      <c r="WLR245"/>
      <c r="WLS245"/>
      <c r="WLT245"/>
      <c r="WLU245"/>
      <c r="WLV245"/>
      <c r="WLW245"/>
      <c r="WLX245"/>
      <c r="WLY245"/>
      <c r="WLZ245"/>
      <c r="WMA245"/>
      <c r="WMB245"/>
      <c r="WMC245"/>
      <c r="WMD245"/>
      <c r="WME245"/>
      <c r="WMF245"/>
      <c r="WMG245"/>
      <c r="WMH245"/>
      <c r="WMI245"/>
      <c r="WMJ245"/>
      <c r="WMK245"/>
      <c r="WML245"/>
      <c r="WMM245"/>
      <c r="WMN245"/>
      <c r="WMO245"/>
      <c r="WMP245"/>
      <c r="WMQ245"/>
      <c r="WMR245"/>
      <c r="WMS245"/>
      <c r="WMT245"/>
      <c r="WMU245"/>
      <c r="WMV245"/>
      <c r="WMW245"/>
      <c r="WMX245"/>
      <c r="WMY245"/>
      <c r="WMZ245"/>
      <c r="WNA245"/>
      <c r="WNB245"/>
      <c r="WNC245"/>
      <c r="WND245"/>
      <c r="WNE245"/>
      <c r="WNF245"/>
      <c r="WNG245"/>
      <c r="WNH245"/>
      <c r="WNI245"/>
      <c r="WNJ245"/>
      <c r="WNK245"/>
      <c r="WNL245"/>
      <c r="WNM245"/>
      <c r="WNN245"/>
      <c r="WNO245"/>
      <c r="WNP245"/>
      <c r="WNQ245"/>
      <c r="WNR245"/>
      <c r="WNS245"/>
      <c r="WNT245"/>
      <c r="WNU245"/>
      <c r="WNV245"/>
      <c r="WNW245"/>
      <c r="WNX245"/>
      <c r="WNY245"/>
      <c r="WNZ245"/>
      <c r="WOA245"/>
      <c r="WOB245"/>
      <c r="WOC245"/>
      <c r="WOD245"/>
      <c r="WOE245"/>
      <c r="WOF245"/>
      <c r="WOG245"/>
      <c r="WOH245"/>
      <c r="WOI245"/>
      <c r="WOJ245"/>
      <c r="WOK245"/>
      <c r="WOL245"/>
      <c r="WOM245"/>
      <c r="WON245"/>
      <c r="WOO245"/>
      <c r="WOP245"/>
      <c r="WOQ245"/>
      <c r="WOR245"/>
      <c r="WOS245"/>
      <c r="WOT245"/>
      <c r="WOU245"/>
      <c r="WOV245"/>
      <c r="WOW245"/>
      <c r="WOX245"/>
      <c r="WOY245"/>
      <c r="WOZ245"/>
      <c r="WPA245"/>
      <c r="WPB245"/>
      <c r="WPC245"/>
      <c r="WPD245"/>
      <c r="WPE245"/>
      <c r="WPF245"/>
      <c r="WPG245"/>
      <c r="WPH245"/>
      <c r="WPI245"/>
      <c r="WPJ245"/>
      <c r="WPK245"/>
      <c r="WPL245"/>
      <c r="WPM245"/>
      <c r="WPN245"/>
      <c r="WPO245"/>
      <c r="WPP245"/>
      <c r="WPQ245"/>
      <c r="WPR245"/>
      <c r="WPS245"/>
      <c r="WPT245"/>
      <c r="WPU245"/>
      <c r="WPV245"/>
      <c r="WPW245"/>
      <c r="WPX245"/>
      <c r="WPY245"/>
      <c r="WPZ245"/>
      <c r="WQA245"/>
      <c r="WQB245"/>
      <c r="WQC245"/>
      <c r="WQD245"/>
      <c r="WQE245"/>
      <c r="WQF245"/>
      <c r="WQG245"/>
      <c r="WQH245"/>
      <c r="WQI245"/>
      <c r="WQJ245"/>
      <c r="WQK245"/>
      <c r="WQL245"/>
      <c r="WQM245"/>
      <c r="WQN245"/>
      <c r="WQO245"/>
      <c r="WQP245"/>
      <c r="WQQ245"/>
      <c r="WQR245"/>
      <c r="WQS245"/>
      <c r="WQT245"/>
      <c r="WQU245"/>
      <c r="WQV245"/>
      <c r="WQW245"/>
      <c r="WQX245"/>
      <c r="WQY245"/>
      <c r="WQZ245"/>
      <c r="WRA245"/>
      <c r="WRB245"/>
      <c r="WRC245"/>
      <c r="WRD245"/>
      <c r="WRE245"/>
      <c r="WRF245"/>
      <c r="WRG245"/>
      <c r="WRH245"/>
      <c r="WRI245"/>
      <c r="WRJ245"/>
      <c r="WRK245"/>
      <c r="WRL245"/>
      <c r="WRM245"/>
      <c r="WRN245"/>
      <c r="WRO245"/>
      <c r="WRP245"/>
      <c r="WRQ245"/>
      <c r="WRR245"/>
      <c r="WRS245"/>
      <c r="WRT245"/>
      <c r="WRU245"/>
      <c r="WRV245"/>
      <c r="WRW245"/>
      <c r="WRX245"/>
      <c r="WRY245"/>
      <c r="WRZ245"/>
      <c r="WSA245"/>
      <c r="WSB245"/>
      <c r="WSC245"/>
      <c r="WSD245"/>
      <c r="WSE245"/>
      <c r="WSF245"/>
      <c r="WSG245"/>
      <c r="WSH245"/>
      <c r="WSI245"/>
      <c r="WSJ245"/>
      <c r="WSK245"/>
      <c r="WSL245"/>
      <c r="WSM245"/>
      <c r="WSN245"/>
      <c r="WSO245"/>
      <c r="WSP245"/>
      <c r="WSQ245"/>
      <c r="WSR245"/>
      <c r="WSS245"/>
      <c r="WST245"/>
      <c r="WSU245"/>
      <c r="WSV245"/>
      <c r="WSW245"/>
      <c r="WSX245"/>
      <c r="WSY245"/>
      <c r="WSZ245"/>
      <c r="WTA245"/>
      <c r="WTB245"/>
      <c r="WTC245"/>
      <c r="WTD245"/>
      <c r="WTE245"/>
      <c r="WTF245"/>
      <c r="WTG245"/>
      <c r="WTH245"/>
      <c r="WTI245"/>
      <c r="WTJ245"/>
      <c r="WTK245"/>
      <c r="WTL245"/>
      <c r="WTM245"/>
      <c r="WTN245"/>
      <c r="WTO245"/>
      <c r="WTP245"/>
      <c r="WTQ245"/>
      <c r="WTR245"/>
      <c r="WTS245"/>
      <c r="WTT245"/>
      <c r="WTU245"/>
      <c r="WTV245"/>
      <c r="WTW245"/>
      <c r="WTX245"/>
      <c r="WTY245"/>
      <c r="WTZ245"/>
      <c r="WUA245"/>
      <c r="WUB245"/>
      <c r="WUC245"/>
      <c r="WUD245"/>
      <c r="WUE245"/>
      <c r="WUF245"/>
      <c r="WUG245"/>
      <c r="WUH245"/>
      <c r="WUI245"/>
      <c r="WUJ245"/>
      <c r="WUK245"/>
      <c r="WUL245"/>
      <c r="WUM245"/>
      <c r="WUN245"/>
      <c r="WUO245"/>
      <c r="WUP245"/>
      <c r="WUQ245"/>
      <c r="WUR245"/>
      <c r="WUS245"/>
      <c r="WUT245"/>
      <c r="WUU245"/>
      <c r="WUV245"/>
      <c r="WUW245"/>
      <c r="WUX245"/>
      <c r="WUY245"/>
      <c r="WUZ245"/>
      <c r="WVA245"/>
      <c r="WVB245"/>
      <c r="WVC245"/>
      <c r="WVD245"/>
      <c r="WVE245"/>
      <c r="WVF245"/>
      <c r="WVG245"/>
      <c r="WVH245"/>
      <c r="WVI245"/>
      <c r="WVJ245"/>
      <c r="WVK245"/>
      <c r="WVL245"/>
      <c r="WVM245"/>
      <c r="WVN245"/>
      <c r="WVO245"/>
      <c r="WVP245"/>
      <c r="WVQ245"/>
      <c r="WVR245"/>
      <c r="WVS245"/>
      <c r="WVT245"/>
      <c r="WVU245"/>
      <c r="WVV245"/>
      <c r="WVW245"/>
      <c r="WVX245"/>
      <c r="WVY245"/>
      <c r="WVZ245"/>
      <c r="WWA245"/>
      <c r="WWB245"/>
      <c r="WWC245"/>
      <c r="WWD245"/>
      <c r="WWE245"/>
      <c r="WWF245"/>
      <c r="WWG245"/>
      <c r="WWH245"/>
      <c r="WWI245"/>
      <c r="WWJ245"/>
      <c r="WWK245"/>
      <c r="WWL245"/>
      <c r="WWM245"/>
      <c r="WWN245"/>
      <c r="WWO245"/>
      <c r="WWP245"/>
      <c r="WWQ245"/>
      <c r="WWR245"/>
      <c r="WWS245"/>
      <c r="WWT245"/>
      <c r="WWU245"/>
      <c r="WWV245"/>
      <c r="WWW245"/>
      <c r="WWX245"/>
      <c r="WWY245"/>
      <c r="WWZ245"/>
      <c r="WXA245"/>
      <c r="WXB245"/>
      <c r="WXC245"/>
      <c r="WXD245"/>
      <c r="WXE245"/>
      <c r="WXF245"/>
      <c r="WXG245"/>
      <c r="WXH245"/>
      <c r="WXI245"/>
      <c r="WXJ245"/>
      <c r="WXK245"/>
      <c r="WXL245"/>
      <c r="WXM245"/>
      <c r="WXN245"/>
      <c r="WXO245"/>
      <c r="WXP245"/>
      <c r="WXQ245"/>
      <c r="WXR245"/>
      <c r="WXS245"/>
      <c r="WXT245"/>
      <c r="WXU245"/>
      <c r="WXV245"/>
      <c r="WXW245"/>
      <c r="WXX245"/>
      <c r="WXY245"/>
      <c r="WXZ245"/>
      <c r="WYA245"/>
      <c r="WYB245"/>
      <c r="WYC245"/>
      <c r="WYD245"/>
      <c r="WYE245"/>
      <c r="WYF245"/>
      <c r="WYG245"/>
      <c r="WYH245"/>
      <c r="WYI245"/>
      <c r="WYJ245"/>
      <c r="WYK245"/>
      <c r="WYL245"/>
      <c r="WYM245"/>
      <c r="WYN245"/>
      <c r="WYO245"/>
      <c r="WYP245"/>
      <c r="WYQ245"/>
      <c r="WYR245"/>
      <c r="WYS245"/>
      <c r="WYT245"/>
      <c r="WYU245"/>
      <c r="WYV245"/>
      <c r="WYW245"/>
      <c r="WYX245"/>
      <c r="WYY245"/>
      <c r="WYZ245"/>
      <c r="WZA245"/>
      <c r="WZB245"/>
      <c r="WZC245"/>
      <c r="WZD245"/>
      <c r="WZE245"/>
      <c r="WZF245"/>
      <c r="WZG245"/>
      <c r="WZH245"/>
      <c r="WZI245"/>
      <c r="WZJ245"/>
      <c r="WZK245"/>
      <c r="WZL245"/>
      <c r="WZM245"/>
      <c r="WZN245"/>
      <c r="WZO245"/>
      <c r="WZP245"/>
      <c r="WZQ245"/>
      <c r="WZR245"/>
      <c r="WZS245"/>
      <c r="WZT245"/>
      <c r="WZU245"/>
      <c r="WZV245"/>
      <c r="WZW245"/>
      <c r="WZX245"/>
      <c r="WZY245"/>
      <c r="WZZ245"/>
      <c r="XAA245"/>
      <c r="XAB245"/>
      <c r="XAC245"/>
      <c r="XAD245"/>
      <c r="XAE245"/>
      <c r="XAF245"/>
      <c r="XAG245"/>
      <c r="XAH245"/>
      <c r="XAI245"/>
      <c r="XAJ245"/>
      <c r="XAK245"/>
      <c r="XAL245"/>
      <c r="XAM245"/>
      <c r="XAN245"/>
      <c r="XAO245"/>
      <c r="XAP245"/>
      <c r="XAQ245"/>
      <c r="XAR245"/>
      <c r="XAS245"/>
      <c r="XAT245"/>
      <c r="XAU245"/>
      <c r="XAV245"/>
      <c r="XAW245"/>
      <c r="XAX245"/>
      <c r="XAY245"/>
      <c r="XAZ245"/>
      <c r="XBA245"/>
      <c r="XBB245"/>
      <c r="XBC245"/>
      <c r="XBD245"/>
      <c r="XBE245"/>
      <c r="XBF245"/>
      <c r="XBG245"/>
      <c r="XBH245"/>
      <c r="XBI245"/>
      <c r="XBJ245"/>
      <c r="XBK245"/>
      <c r="XBL245"/>
      <c r="XBM245"/>
      <c r="XBN245"/>
      <c r="XBO245"/>
      <c r="XBP245"/>
      <c r="XBQ245"/>
      <c r="XBR245"/>
      <c r="XBS245"/>
      <c r="XBT245"/>
      <c r="XBU245"/>
      <c r="XBV245"/>
      <c r="XBW245"/>
      <c r="XBX245"/>
      <c r="XBY245"/>
      <c r="XBZ245"/>
      <c r="XCA245"/>
      <c r="XCB245"/>
      <c r="XCC245"/>
      <c r="XCD245"/>
      <c r="XCE245"/>
      <c r="XCF245"/>
      <c r="XCG245"/>
      <c r="XCH245"/>
      <c r="XCI245"/>
      <c r="XCJ245"/>
      <c r="XCK245"/>
      <c r="XCL245"/>
      <c r="XCM245"/>
      <c r="XCN245"/>
      <c r="XCO245"/>
      <c r="XCP245"/>
      <c r="XCQ245"/>
      <c r="XCR245"/>
      <c r="XCS245"/>
      <c r="XCT245"/>
      <c r="XCU245"/>
      <c r="XCV245"/>
      <c r="XCW245"/>
      <c r="XCX245"/>
      <c r="XCY245"/>
      <c r="XCZ245"/>
      <c r="XDA245"/>
      <c r="XDB245"/>
      <c r="XDC245"/>
      <c r="XDD245"/>
      <c r="XDE245"/>
      <c r="XDF245"/>
      <c r="XDG245"/>
      <c r="XDH245"/>
      <c r="XDI245"/>
      <c r="XDJ245"/>
      <c r="XDK245"/>
      <c r="XDL245"/>
      <c r="XDM245"/>
      <c r="XDN245"/>
      <c r="XDO245"/>
      <c r="XDP245"/>
      <c r="XDQ245"/>
      <c r="XDR245"/>
      <c r="XDS245"/>
      <c r="XDT245"/>
      <c r="XDU245"/>
      <c r="XDV245"/>
      <c r="XDW245"/>
      <c r="XDX245"/>
      <c r="XDY245"/>
      <c r="XDZ245"/>
      <c r="XEA245"/>
      <c r="XEB245"/>
      <c r="XEC245"/>
      <c r="XED245"/>
      <c r="XEE245"/>
      <c r="XEF245"/>
      <c r="XEG245"/>
      <c r="XEH245"/>
      <c r="XEI245"/>
      <c r="XEJ245"/>
      <c r="XEK245"/>
      <c r="XEL245"/>
      <c r="XEM245"/>
      <c r="XEN245"/>
      <c r="XEO245"/>
      <c r="XEP245"/>
      <c r="XEQ245"/>
      <c r="XER245"/>
      <c r="XES245"/>
      <c r="XET245"/>
      <c r="XEU245"/>
      <c r="XEV245"/>
      <c r="XEW245"/>
      <c r="XEX245"/>
      <c r="XEY245"/>
      <c r="XEZ245"/>
      <c r="XFA245"/>
      <c r="XFB245"/>
      <c r="XFC245"/>
      <c r="XFD245"/>
    </row>
    <row r="246" spans="2:16384" s="131" customFormat="1" x14ac:dyDescent="0.25">
      <c r="E246" s="175"/>
      <c r="F246" s="66" t="s">
        <v>50</v>
      </c>
      <c r="G246" s="139" t="s">
        <v>388</v>
      </c>
      <c r="H246" s="572"/>
      <c r="I246" s="572"/>
      <c r="J246" s="585">
        <f t="shared" ref="J246:AP246" si="53">J$78 * J216</f>
        <v>0</v>
      </c>
      <c r="K246" s="585">
        <f t="shared" si="53"/>
        <v>0</v>
      </c>
      <c r="L246" s="585">
        <f t="shared" si="53"/>
        <v>0</v>
      </c>
      <c r="M246" s="585">
        <f t="shared" si="53"/>
        <v>0</v>
      </c>
      <c r="N246" s="585">
        <f t="shared" si="53"/>
        <v>0</v>
      </c>
      <c r="O246" s="585">
        <f t="shared" si="53"/>
        <v>0</v>
      </c>
      <c r="P246" s="585">
        <f t="shared" si="53"/>
        <v>0</v>
      </c>
      <c r="Q246" s="585">
        <f t="shared" si="53"/>
        <v>0</v>
      </c>
      <c r="R246" s="585">
        <f t="shared" si="53"/>
        <v>0</v>
      </c>
      <c r="S246" s="585">
        <f t="shared" si="53"/>
        <v>0</v>
      </c>
      <c r="T246" s="585">
        <f t="shared" si="53"/>
        <v>0</v>
      </c>
      <c r="U246" s="585">
        <f t="shared" si="53"/>
        <v>0</v>
      </c>
      <c r="V246" s="585">
        <f t="shared" si="53"/>
        <v>0</v>
      </c>
      <c r="W246" s="585">
        <f t="shared" si="53"/>
        <v>0</v>
      </c>
      <c r="X246" s="585">
        <f t="shared" si="53"/>
        <v>0</v>
      </c>
      <c r="Y246" s="585">
        <f t="shared" si="53"/>
        <v>0</v>
      </c>
      <c r="Z246" s="585">
        <f t="shared" si="53"/>
        <v>0</v>
      </c>
      <c r="AA246" s="585">
        <f t="shared" si="53"/>
        <v>0</v>
      </c>
      <c r="AB246" s="585">
        <f t="shared" si="53"/>
        <v>0</v>
      </c>
      <c r="AC246" s="585">
        <f t="shared" si="53"/>
        <v>0</v>
      </c>
      <c r="AD246" s="585">
        <f t="shared" si="53"/>
        <v>0</v>
      </c>
      <c r="AE246" s="585">
        <f t="shared" si="53"/>
        <v>1.1414134156635279E-2</v>
      </c>
      <c r="AF246" s="585">
        <f t="shared" si="53"/>
        <v>0</v>
      </c>
      <c r="AG246" s="585">
        <f t="shared" si="53"/>
        <v>1.1414134156635279E-2</v>
      </c>
      <c r="AH246" s="585">
        <f t="shared" si="53"/>
        <v>0</v>
      </c>
      <c r="AI246" s="585">
        <f t="shared" si="53"/>
        <v>0</v>
      </c>
      <c r="AJ246" s="585">
        <f t="shared" si="53"/>
        <v>0</v>
      </c>
      <c r="AK246" s="585">
        <f t="shared" si="53"/>
        <v>0</v>
      </c>
      <c r="AL246" s="585">
        <f t="shared" si="53"/>
        <v>0</v>
      </c>
      <c r="AM246" s="585">
        <f t="shared" si="53"/>
        <v>0</v>
      </c>
      <c r="AN246" s="585">
        <f t="shared" si="53"/>
        <v>0</v>
      </c>
      <c r="AO246" s="585">
        <f t="shared" si="53"/>
        <v>0</v>
      </c>
      <c r="AP246" s="585">
        <f t="shared" si="53"/>
        <v>0</v>
      </c>
      <c r="AQ246" s="571"/>
      <c r="AR246" s="571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  <c r="GB246"/>
      <c r="GC246"/>
      <c r="GD246"/>
      <c r="GE246"/>
      <c r="GF246"/>
      <c r="GG246"/>
      <c r="GH246"/>
      <c r="GI246"/>
      <c r="GJ246"/>
      <c r="GK246"/>
      <c r="GL246"/>
      <c r="GM246"/>
      <c r="GN246"/>
      <c r="GO246"/>
      <c r="GP246"/>
      <c r="GQ246"/>
      <c r="GR246"/>
      <c r="GS246"/>
      <c r="GT246"/>
      <c r="GU246"/>
      <c r="GV246"/>
      <c r="GW246"/>
      <c r="GX246"/>
      <c r="GY246"/>
      <c r="GZ246"/>
      <c r="HA246"/>
      <c r="HB246"/>
      <c r="HC246"/>
      <c r="HD246"/>
      <c r="HE246"/>
      <c r="HF246"/>
      <c r="HG246"/>
      <c r="HH246"/>
      <c r="HI246"/>
      <c r="HJ246"/>
      <c r="HK246"/>
      <c r="HL246"/>
      <c r="HM246"/>
      <c r="HN246"/>
      <c r="HO246"/>
      <c r="HP246"/>
      <c r="HQ246"/>
      <c r="HR246"/>
      <c r="HS246"/>
      <c r="HT246"/>
      <c r="HU246"/>
      <c r="HV246"/>
      <c r="HW246"/>
      <c r="HX246"/>
      <c r="HY246"/>
      <c r="HZ246"/>
      <c r="IA246"/>
      <c r="IB246"/>
      <c r="IC246"/>
      <c r="ID246"/>
      <c r="IE246"/>
      <c r="IF246"/>
      <c r="IG246"/>
      <c r="IH246"/>
      <c r="II246"/>
      <c r="IJ246"/>
      <c r="IK246"/>
      <c r="IL246"/>
      <c r="IM246"/>
      <c r="IN246"/>
      <c r="IO246"/>
      <c r="IP246"/>
      <c r="IQ246"/>
      <c r="IR246"/>
      <c r="IS246"/>
      <c r="IT246"/>
      <c r="IU246"/>
      <c r="IV246"/>
      <c r="IW246"/>
      <c r="IX246"/>
      <c r="IY246"/>
      <c r="IZ246"/>
      <c r="JA246"/>
      <c r="JB246"/>
      <c r="JC246"/>
      <c r="JD246"/>
      <c r="JE246"/>
      <c r="JF246"/>
      <c r="JG246"/>
      <c r="JH246"/>
      <c r="JI246"/>
      <c r="JJ246"/>
      <c r="JK246"/>
      <c r="JL246"/>
      <c r="JM246"/>
      <c r="JN246"/>
      <c r="JO246"/>
      <c r="JP246"/>
      <c r="JQ246"/>
      <c r="JR246"/>
      <c r="JS246"/>
      <c r="JT246"/>
      <c r="JU246"/>
      <c r="JV246"/>
      <c r="JW246"/>
      <c r="JX246"/>
      <c r="JY246"/>
      <c r="JZ246"/>
      <c r="KA246"/>
      <c r="KB246"/>
      <c r="KC246"/>
      <c r="KD246"/>
      <c r="KE246"/>
      <c r="KF246"/>
      <c r="KG246"/>
      <c r="KH246"/>
      <c r="KI246"/>
      <c r="KJ246"/>
      <c r="KK246"/>
      <c r="KL246"/>
      <c r="KM246"/>
      <c r="KN246"/>
      <c r="KO246"/>
      <c r="KP246"/>
      <c r="KQ246"/>
      <c r="KR246"/>
      <c r="KS246"/>
      <c r="KT246"/>
      <c r="KU246"/>
      <c r="KV246"/>
      <c r="KW246"/>
      <c r="KX246"/>
      <c r="KY246"/>
      <c r="KZ246"/>
      <c r="LA246"/>
      <c r="LB246"/>
      <c r="LC246"/>
      <c r="LD246"/>
      <c r="LE246"/>
      <c r="LF246"/>
      <c r="LG246"/>
      <c r="LH246"/>
      <c r="LI246"/>
      <c r="LJ246"/>
      <c r="LK246"/>
      <c r="LL246"/>
      <c r="LM246"/>
      <c r="LN246"/>
      <c r="LO246"/>
      <c r="LP246"/>
      <c r="LQ246"/>
      <c r="LR246"/>
      <c r="LS246"/>
      <c r="LT246"/>
      <c r="LU246"/>
      <c r="LV246"/>
      <c r="LW246"/>
      <c r="LX246"/>
      <c r="LY246"/>
      <c r="LZ246"/>
      <c r="MA246"/>
      <c r="MB246"/>
      <c r="MC246"/>
      <c r="MD246"/>
      <c r="ME246"/>
      <c r="MF246"/>
      <c r="MG246"/>
      <c r="MH246"/>
      <c r="MI246"/>
      <c r="MJ246"/>
      <c r="MK246"/>
      <c r="ML246"/>
      <c r="MM246"/>
      <c r="MN246"/>
      <c r="MO246"/>
      <c r="MP246"/>
      <c r="MQ246"/>
      <c r="MR246"/>
      <c r="MS246"/>
      <c r="MT246"/>
      <c r="MU246"/>
      <c r="MV246"/>
      <c r="MW246"/>
      <c r="MX246"/>
      <c r="MY246"/>
      <c r="MZ246"/>
      <c r="NA246"/>
      <c r="NB246"/>
      <c r="NC246"/>
      <c r="ND246"/>
      <c r="NE246"/>
      <c r="NF246"/>
      <c r="NG246"/>
      <c r="NH246"/>
      <c r="NI246"/>
      <c r="NJ246"/>
      <c r="NK246"/>
      <c r="NL246"/>
      <c r="NM246"/>
      <c r="NN246"/>
      <c r="NO246"/>
      <c r="NP246"/>
      <c r="NQ246"/>
      <c r="NR246"/>
      <c r="NS246"/>
      <c r="NT246"/>
      <c r="NU246"/>
      <c r="NV246"/>
      <c r="NW246"/>
      <c r="NX246"/>
      <c r="NY246"/>
      <c r="NZ246"/>
      <c r="OA246"/>
      <c r="OB246"/>
      <c r="OC246"/>
      <c r="OD246"/>
      <c r="OE246"/>
      <c r="OF246"/>
      <c r="OG246"/>
      <c r="OH246"/>
      <c r="OI246"/>
      <c r="OJ246"/>
      <c r="OK246"/>
      <c r="OL246"/>
      <c r="OM246"/>
      <c r="ON246"/>
      <c r="OO246"/>
      <c r="OP246"/>
      <c r="OQ246"/>
      <c r="OR246"/>
      <c r="OS246"/>
      <c r="OT246"/>
      <c r="OU246"/>
      <c r="OV246"/>
      <c r="OW246"/>
      <c r="OX246"/>
      <c r="OY246"/>
      <c r="OZ246"/>
      <c r="PA246"/>
      <c r="PB246"/>
      <c r="PC246"/>
      <c r="PD246"/>
      <c r="PE246"/>
      <c r="PF246"/>
      <c r="PG246"/>
      <c r="PH246"/>
      <c r="PI246"/>
      <c r="PJ246"/>
      <c r="PK246"/>
      <c r="PL246"/>
      <c r="PM246"/>
      <c r="PN246"/>
      <c r="PO246"/>
      <c r="PP246"/>
      <c r="PQ246"/>
      <c r="PR246"/>
      <c r="PS246"/>
      <c r="PT246"/>
      <c r="PU246"/>
      <c r="PV246"/>
      <c r="PW246"/>
      <c r="PX246"/>
      <c r="PY246"/>
      <c r="PZ246"/>
      <c r="QA246"/>
      <c r="QB246"/>
      <c r="QC246"/>
      <c r="QD246"/>
      <c r="QE246"/>
      <c r="QF246"/>
      <c r="QG246"/>
      <c r="QH246"/>
      <c r="QI246"/>
      <c r="QJ246"/>
      <c r="QK246"/>
      <c r="QL246"/>
      <c r="QM246"/>
      <c r="QN246"/>
      <c r="QO246"/>
      <c r="QP246"/>
      <c r="QQ246"/>
      <c r="QR246"/>
      <c r="QS246"/>
      <c r="QT246"/>
      <c r="QU246"/>
      <c r="QV246"/>
      <c r="QW246"/>
      <c r="QX246"/>
      <c r="QY246"/>
      <c r="QZ246"/>
      <c r="RA246"/>
      <c r="RB246"/>
      <c r="RC246"/>
      <c r="RD246"/>
      <c r="RE246"/>
      <c r="RF246"/>
      <c r="RG246"/>
      <c r="RH246"/>
      <c r="RI246"/>
      <c r="RJ246"/>
      <c r="RK246"/>
      <c r="RL246"/>
      <c r="RM246"/>
      <c r="RN246"/>
      <c r="RO246"/>
      <c r="RP246"/>
      <c r="RQ246"/>
      <c r="RR246"/>
      <c r="RS246"/>
      <c r="RT246"/>
      <c r="RU246"/>
      <c r="RV246"/>
      <c r="RW246"/>
      <c r="RX246"/>
      <c r="RY246"/>
      <c r="RZ246"/>
      <c r="SA246"/>
      <c r="SB246"/>
      <c r="SC246"/>
      <c r="SD246"/>
      <c r="SE246"/>
      <c r="SF246"/>
      <c r="SG246"/>
      <c r="SH246"/>
      <c r="SI246"/>
      <c r="SJ246"/>
      <c r="SK246"/>
      <c r="SL246"/>
      <c r="SM246"/>
      <c r="SN246"/>
      <c r="SO246"/>
      <c r="SP246"/>
      <c r="SQ246"/>
      <c r="SR246"/>
      <c r="SS246"/>
      <c r="ST246"/>
      <c r="SU246"/>
      <c r="SV246"/>
      <c r="SW246"/>
      <c r="SX246"/>
      <c r="SY246"/>
      <c r="SZ246"/>
      <c r="TA246"/>
      <c r="TB246"/>
      <c r="TC246"/>
      <c r="TD246"/>
      <c r="TE246"/>
      <c r="TF246"/>
      <c r="TG246"/>
      <c r="TH246"/>
      <c r="TI246"/>
      <c r="TJ246"/>
      <c r="TK246"/>
      <c r="TL246"/>
      <c r="TM246"/>
      <c r="TN246"/>
      <c r="TO246"/>
      <c r="TP246"/>
      <c r="TQ246"/>
      <c r="TR246"/>
      <c r="TS246"/>
      <c r="TT246"/>
      <c r="TU246"/>
      <c r="TV246"/>
      <c r="TW246"/>
      <c r="TX246"/>
      <c r="TY246"/>
      <c r="TZ246"/>
      <c r="UA246"/>
      <c r="UB246"/>
      <c r="UC246"/>
      <c r="UD246"/>
      <c r="UE246"/>
      <c r="UF246"/>
      <c r="UG246"/>
      <c r="UH246"/>
      <c r="UI246"/>
      <c r="UJ246"/>
      <c r="UK246"/>
      <c r="UL246"/>
      <c r="UM246"/>
      <c r="UN246"/>
      <c r="UO246"/>
      <c r="UP246"/>
      <c r="UQ246"/>
      <c r="UR246"/>
      <c r="US246"/>
      <c r="UT246"/>
      <c r="UU246"/>
      <c r="UV246"/>
      <c r="UW246"/>
      <c r="UX246"/>
      <c r="UY246"/>
      <c r="UZ246"/>
      <c r="VA246"/>
      <c r="VB246"/>
      <c r="VC246"/>
      <c r="VD246"/>
      <c r="VE246"/>
      <c r="VF246"/>
      <c r="VG246"/>
      <c r="VH246"/>
      <c r="VI246"/>
      <c r="VJ246"/>
      <c r="VK246"/>
      <c r="VL246"/>
      <c r="VM246"/>
      <c r="VN246"/>
      <c r="VO246"/>
      <c r="VP246"/>
      <c r="VQ246"/>
      <c r="VR246"/>
      <c r="VS246"/>
      <c r="VT246"/>
      <c r="VU246"/>
      <c r="VV246"/>
      <c r="VW246"/>
      <c r="VX246"/>
      <c r="VY246"/>
      <c r="VZ246"/>
      <c r="WA246"/>
      <c r="WB246"/>
      <c r="WC246"/>
      <c r="WD246"/>
      <c r="WE246"/>
      <c r="WF246"/>
      <c r="WG246"/>
      <c r="WH246"/>
      <c r="WI246"/>
      <c r="WJ246"/>
      <c r="WK246"/>
      <c r="WL246"/>
      <c r="WM246"/>
      <c r="WN246"/>
      <c r="WO246"/>
      <c r="WP246"/>
      <c r="WQ246"/>
      <c r="WR246"/>
      <c r="WS246"/>
      <c r="WT246"/>
      <c r="WU246"/>
      <c r="WV246"/>
      <c r="WW246"/>
      <c r="WX246"/>
      <c r="WY246"/>
      <c r="WZ246"/>
      <c r="XA246"/>
      <c r="XB246"/>
      <c r="XC246"/>
      <c r="XD246"/>
      <c r="XE246"/>
      <c r="XF246"/>
      <c r="XG246"/>
      <c r="XH246"/>
      <c r="XI246"/>
      <c r="XJ246"/>
      <c r="XK246"/>
      <c r="XL246"/>
      <c r="XM246"/>
      <c r="XN246"/>
      <c r="XO246"/>
      <c r="XP246"/>
      <c r="XQ246"/>
      <c r="XR246"/>
      <c r="XS246"/>
      <c r="XT246"/>
      <c r="XU246"/>
      <c r="XV246"/>
      <c r="XW246"/>
      <c r="XX246"/>
      <c r="XY246"/>
      <c r="XZ246"/>
      <c r="YA246"/>
      <c r="YB246"/>
      <c r="YC246"/>
      <c r="YD246"/>
      <c r="YE246"/>
      <c r="YF246"/>
      <c r="YG246"/>
      <c r="YH246"/>
      <c r="YI246"/>
      <c r="YJ246"/>
      <c r="YK246"/>
      <c r="YL246"/>
      <c r="YM246"/>
      <c r="YN246"/>
      <c r="YO246"/>
      <c r="YP246"/>
      <c r="YQ246"/>
      <c r="YR246"/>
      <c r="YS246"/>
      <c r="YT246"/>
      <c r="YU246"/>
      <c r="YV246"/>
      <c r="YW246"/>
      <c r="YX246"/>
      <c r="YY246"/>
      <c r="YZ246"/>
      <c r="ZA246"/>
      <c r="ZB246"/>
      <c r="ZC246"/>
      <c r="ZD246"/>
      <c r="ZE246"/>
      <c r="ZF246"/>
      <c r="ZG246"/>
      <c r="ZH246"/>
      <c r="ZI246"/>
      <c r="ZJ246"/>
      <c r="ZK246"/>
      <c r="ZL246"/>
      <c r="ZM246"/>
      <c r="ZN246"/>
      <c r="ZO246"/>
      <c r="ZP246"/>
      <c r="ZQ246"/>
      <c r="ZR246"/>
      <c r="ZS246"/>
      <c r="ZT246"/>
      <c r="ZU246"/>
      <c r="ZV246"/>
      <c r="ZW246"/>
      <c r="ZX246"/>
      <c r="ZY246"/>
      <c r="ZZ246"/>
      <c r="AAA246"/>
      <c r="AAB246"/>
      <c r="AAC246"/>
      <c r="AAD246"/>
      <c r="AAE246"/>
      <c r="AAF246"/>
      <c r="AAG246"/>
      <c r="AAH246"/>
      <c r="AAI246"/>
      <c r="AAJ246"/>
      <c r="AAK246"/>
      <c r="AAL246"/>
      <c r="AAM246"/>
      <c r="AAN246"/>
      <c r="AAO246"/>
      <c r="AAP246"/>
      <c r="AAQ246"/>
      <c r="AAR246"/>
      <c r="AAS246"/>
      <c r="AAT246"/>
      <c r="AAU246"/>
      <c r="AAV246"/>
      <c r="AAW246"/>
      <c r="AAX246"/>
      <c r="AAY246"/>
      <c r="AAZ246"/>
      <c r="ABA246"/>
      <c r="ABB246"/>
      <c r="ABC246"/>
      <c r="ABD246"/>
      <c r="ABE246"/>
      <c r="ABF246"/>
      <c r="ABG246"/>
      <c r="ABH246"/>
      <c r="ABI246"/>
      <c r="ABJ246"/>
      <c r="ABK246"/>
      <c r="ABL246"/>
      <c r="ABM246"/>
      <c r="ABN246"/>
      <c r="ABO246"/>
      <c r="ABP246"/>
      <c r="ABQ246"/>
      <c r="ABR246"/>
      <c r="ABS246"/>
      <c r="ABT246"/>
      <c r="ABU246"/>
      <c r="ABV246"/>
      <c r="ABW246"/>
      <c r="ABX246"/>
      <c r="ABY246"/>
      <c r="ABZ246"/>
      <c r="ACA246"/>
      <c r="ACB246"/>
      <c r="ACC246"/>
      <c r="ACD246"/>
      <c r="ACE246"/>
      <c r="ACF246"/>
      <c r="ACG246"/>
      <c r="ACH246"/>
      <c r="ACI246"/>
      <c r="ACJ246"/>
      <c r="ACK246"/>
      <c r="ACL246"/>
      <c r="ACM246"/>
      <c r="ACN246"/>
      <c r="ACO246"/>
      <c r="ACP246"/>
      <c r="ACQ246"/>
      <c r="ACR246"/>
      <c r="ACS246"/>
      <c r="ACT246"/>
      <c r="ACU246"/>
      <c r="ACV246"/>
      <c r="ACW246"/>
      <c r="ACX246"/>
      <c r="ACY246"/>
      <c r="ACZ246"/>
      <c r="ADA246"/>
      <c r="ADB246"/>
      <c r="ADC246"/>
      <c r="ADD246"/>
      <c r="ADE246"/>
      <c r="ADF246"/>
      <c r="ADG246"/>
      <c r="ADH246"/>
      <c r="ADI246"/>
      <c r="ADJ246"/>
      <c r="ADK246"/>
      <c r="ADL246"/>
      <c r="ADM246"/>
      <c r="ADN246"/>
      <c r="ADO246"/>
      <c r="ADP246"/>
      <c r="ADQ246"/>
      <c r="ADR246"/>
      <c r="ADS246"/>
      <c r="ADT246"/>
      <c r="ADU246"/>
      <c r="ADV246"/>
      <c r="ADW246"/>
      <c r="ADX246"/>
      <c r="ADY246"/>
      <c r="ADZ246"/>
      <c r="AEA246"/>
      <c r="AEB246"/>
      <c r="AEC246"/>
      <c r="AED246"/>
      <c r="AEE246"/>
      <c r="AEF246"/>
      <c r="AEG246"/>
      <c r="AEH246"/>
      <c r="AEI246"/>
      <c r="AEJ246"/>
      <c r="AEK246"/>
      <c r="AEL246"/>
      <c r="AEM246"/>
      <c r="AEN246"/>
      <c r="AEO246"/>
      <c r="AEP246"/>
      <c r="AEQ246"/>
      <c r="AER246"/>
      <c r="AES246"/>
      <c r="AET246"/>
      <c r="AEU246"/>
      <c r="AEV246"/>
      <c r="AEW246"/>
      <c r="AEX246"/>
      <c r="AEY246"/>
      <c r="AEZ246"/>
      <c r="AFA246"/>
      <c r="AFB246"/>
      <c r="AFC246"/>
      <c r="AFD246"/>
      <c r="AFE246"/>
      <c r="AFF246"/>
      <c r="AFG246"/>
      <c r="AFH246"/>
      <c r="AFI246"/>
      <c r="AFJ246"/>
      <c r="AFK246"/>
      <c r="AFL246"/>
      <c r="AFM246"/>
      <c r="AFN246"/>
      <c r="AFO246"/>
      <c r="AFP246"/>
      <c r="AFQ246"/>
      <c r="AFR246"/>
      <c r="AFS246"/>
      <c r="AFT246"/>
      <c r="AFU246"/>
      <c r="AFV246"/>
      <c r="AFW246"/>
      <c r="AFX246"/>
      <c r="AFY246"/>
      <c r="AFZ246"/>
      <c r="AGA246"/>
      <c r="AGB246"/>
      <c r="AGC246"/>
      <c r="AGD246"/>
      <c r="AGE246"/>
      <c r="AGF246"/>
      <c r="AGG246"/>
      <c r="AGH246"/>
      <c r="AGI246"/>
      <c r="AGJ246"/>
      <c r="AGK246"/>
      <c r="AGL246"/>
      <c r="AGM246"/>
      <c r="AGN246"/>
      <c r="AGO246"/>
      <c r="AGP246"/>
      <c r="AGQ246"/>
      <c r="AGR246"/>
      <c r="AGS246"/>
      <c r="AGT246"/>
      <c r="AGU246"/>
      <c r="AGV246"/>
      <c r="AGW246"/>
      <c r="AGX246"/>
      <c r="AGY246"/>
      <c r="AGZ246"/>
      <c r="AHA246"/>
      <c r="AHB246"/>
      <c r="AHC246"/>
      <c r="AHD246"/>
      <c r="AHE246"/>
      <c r="AHF246"/>
      <c r="AHG246"/>
      <c r="AHH246"/>
      <c r="AHI246"/>
      <c r="AHJ246"/>
      <c r="AHK246"/>
      <c r="AHL246"/>
      <c r="AHM246"/>
      <c r="AHN246"/>
      <c r="AHO246"/>
      <c r="AHP246"/>
      <c r="AHQ246"/>
      <c r="AHR246"/>
      <c r="AHS246"/>
      <c r="AHT246"/>
      <c r="AHU246"/>
      <c r="AHV246"/>
      <c r="AHW246"/>
      <c r="AHX246"/>
      <c r="AHY246"/>
      <c r="AHZ246"/>
      <c r="AIA246"/>
      <c r="AIB246"/>
      <c r="AIC246"/>
      <c r="AID246"/>
      <c r="AIE246"/>
      <c r="AIF246"/>
      <c r="AIG246"/>
      <c r="AIH246"/>
      <c r="AII246"/>
      <c r="AIJ246"/>
      <c r="AIK246"/>
      <c r="AIL246"/>
      <c r="AIM246"/>
      <c r="AIN246"/>
      <c r="AIO246"/>
      <c r="AIP246"/>
      <c r="AIQ246"/>
      <c r="AIR246"/>
      <c r="AIS246"/>
      <c r="AIT246"/>
      <c r="AIU246"/>
      <c r="AIV246"/>
      <c r="AIW246"/>
      <c r="AIX246"/>
      <c r="AIY246"/>
      <c r="AIZ246"/>
      <c r="AJA246"/>
      <c r="AJB246"/>
      <c r="AJC246"/>
      <c r="AJD246"/>
      <c r="AJE246"/>
      <c r="AJF246"/>
      <c r="AJG246"/>
      <c r="AJH246"/>
      <c r="AJI246"/>
      <c r="AJJ246"/>
      <c r="AJK246"/>
      <c r="AJL246"/>
      <c r="AJM246"/>
      <c r="AJN246"/>
      <c r="AJO246"/>
      <c r="AJP246"/>
      <c r="AJQ246"/>
      <c r="AJR246"/>
      <c r="AJS246"/>
      <c r="AJT246"/>
      <c r="AJU246"/>
      <c r="AJV246"/>
      <c r="AJW246"/>
      <c r="AJX246"/>
      <c r="AJY246"/>
      <c r="AJZ246"/>
      <c r="AKA246"/>
      <c r="AKB246"/>
      <c r="AKC246"/>
      <c r="AKD246"/>
      <c r="AKE246"/>
      <c r="AKF246"/>
      <c r="AKG246"/>
      <c r="AKH246"/>
      <c r="AKI246"/>
      <c r="AKJ246"/>
      <c r="AKK246"/>
      <c r="AKL246"/>
      <c r="AKM246"/>
      <c r="AKN246"/>
      <c r="AKO246"/>
      <c r="AKP246"/>
      <c r="AKQ246"/>
      <c r="AKR246"/>
      <c r="AKS246"/>
      <c r="AKT246"/>
      <c r="AKU246"/>
      <c r="AKV246"/>
      <c r="AKW246"/>
      <c r="AKX246"/>
      <c r="AKY246"/>
      <c r="AKZ246"/>
      <c r="ALA246"/>
      <c r="ALB246"/>
      <c r="ALC246"/>
      <c r="ALD246"/>
      <c r="ALE246"/>
      <c r="ALF246"/>
      <c r="ALG246"/>
      <c r="ALH246"/>
      <c r="ALI246"/>
      <c r="ALJ246"/>
      <c r="ALK246"/>
      <c r="ALL246"/>
      <c r="ALM246"/>
      <c r="ALN246"/>
      <c r="ALO246"/>
      <c r="ALP246"/>
      <c r="ALQ246"/>
      <c r="ALR246"/>
      <c r="ALS246"/>
      <c r="ALT246"/>
      <c r="ALU246"/>
      <c r="ALV246"/>
      <c r="ALW246"/>
      <c r="ALX246"/>
      <c r="ALY246"/>
      <c r="ALZ246"/>
      <c r="AMA246"/>
      <c r="AMB246"/>
      <c r="AMC246"/>
      <c r="AMD246"/>
      <c r="AME246"/>
      <c r="AMF246"/>
      <c r="AMG246"/>
      <c r="AMH246"/>
      <c r="AMI246"/>
      <c r="AMJ246"/>
      <c r="AMK246"/>
      <c r="AML246"/>
      <c r="AMM246"/>
      <c r="AMN246"/>
      <c r="AMO246"/>
      <c r="AMP246"/>
      <c r="AMQ246"/>
      <c r="AMR246"/>
      <c r="AMS246"/>
      <c r="AMT246"/>
      <c r="AMU246"/>
      <c r="AMV246"/>
      <c r="AMW246"/>
      <c r="AMX246"/>
      <c r="AMY246"/>
      <c r="AMZ246"/>
      <c r="ANA246"/>
      <c r="ANB246"/>
      <c r="ANC246"/>
      <c r="AND246"/>
      <c r="ANE246"/>
      <c r="ANF246"/>
      <c r="ANG246"/>
      <c r="ANH246"/>
      <c r="ANI246"/>
      <c r="ANJ246"/>
      <c r="ANK246"/>
      <c r="ANL246"/>
      <c r="ANM246"/>
      <c r="ANN246"/>
      <c r="ANO246"/>
      <c r="ANP246"/>
      <c r="ANQ246"/>
      <c r="ANR246"/>
      <c r="ANS246"/>
      <c r="ANT246"/>
      <c r="ANU246"/>
      <c r="ANV246"/>
      <c r="ANW246"/>
      <c r="ANX246"/>
      <c r="ANY246"/>
      <c r="ANZ246"/>
      <c r="AOA246"/>
      <c r="AOB246"/>
      <c r="AOC246"/>
      <c r="AOD246"/>
      <c r="AOE246"/>
      <c r="AOF246"/>
      <c r="AOG246"/>
      <c r="AOH246"/>
      <c r="AOI246"/>
      <c r="AOJ246"/>
      <c r="AOK246"/>
      <c r="AOL246"/>
      <c r="AOM246"/>
      <c r="AON246"/>
      <c r="AOO246"/>
      <c r="AOP246"/>
      <c r="AOQ246"/>
      <c r="AOR246"/>
      <c r="AOS246"/>
      <c r="AOT246"/>
      <c r="AOU246"/>
      <c r="AOV246"/>
      <c r="AOW246"/>
      <c r="AOX246"/>
      <c r="AOY246"/>
      <c r="AOZ246"/>
      <c r="APA246"/>
      <c r="APB246"/>
      <c r="APC246"/>
      <c r="APD246"/>
      <c r="APE246"/>
      <c r="APF246"/>
      <c r="APG246"/>
      <c r="APH246"/>
      <c r="API246"/>
      <c r="APJ246"/>
      <c r="APK246"/>
      <c r="APL246"/>
      <c r="APM246"/>
      <c r="APN246"/>
      <c r="APO246"/>
      <c r="APP246"/>
      <c r="APQ246"/>
      <c r="APR246"/>
      <c r="APS246"/>
      <c r="APT246"/>
      <c r="APU246"/>
      <c r="APV246"/>
      <c r="APW246"/>
      <c r="APX246"/>
      <c r="APY246"/>
      <c r="APZ246"/>
      <c r="AQA246"/>
      <c r="AQB246"/>
      <c r="AQC246"/>
      <c r="AQD246"/>
      <c r="AQE246"/>
      <c r="AQF246"/>
      <c r="AQG246"/>
      <c r="AQH246"/>
      <c r="AQI246"/>
      <c r="AQJ246"/>
      <c r="AQK246"/>
      <c r="AQL246"/>
      <c r="AQM246"/>
      <c r="AQN246"/>
      <c r="AQO246"/>
      <c r="AQP246"/>
      <c r="AQQ246"/>
      <c r="AQR246"/>
      <c r="AQS246"/>
      <c r="AQT246"/>
      <c r="AQU246"/>
      <c r="AQV246"/>
      <c r="AQW246"/>
      <c r="AQX246"/>
      <c r="AQY246"/>
      <c r="AQZ246"/>
      <c r="ARA246"/>
      <c r="ARB246"/>
      <c r="ARC246"/>
      <c r="ARD246"/>
      <c r="ARE246"/>
      <c r="ARF246"/>
      <c r="ARG246"/>
      <c r="ARH246"/>
      <c r="ARI246"/>
      <c r="ARJ246"/>
      <c r="ARK246"/>
      <c r="ARL246"/>
      <c r="ARM246"/>
      <c r="ARN246"/>
      <c r="ARO246"/>
      <c r="ARP246"/>
      <c r="ARQ246"/>
      <c r="ARR246"/>
      <c r="ARS246"/>
      <c r="ART246"/>
      <c r="ARU246"/>
      <c r="ARV246"/>
      <c r="ARW246"/>
      <c r="ARX246"/>
      <c r="ARY246"/>
      <c r="ARZ246"/>
      <c r="ASA246"/>
      <c r="ASB246"/>
      <c r="ASC246"/>
      <c r="ASD246"/>
      <c r="ASE246"/>
      <c r="ASF246"/>
      <c r="ASG246"/>
      <c r="ASH246"/>
      <c r="ASI246"/>
      <c r="ASJ246"/>
      <c r="ASK246"/>
      <c r="ASL246"/>
      <c r="ASM246"/>
      <c r="ASN246"/>
      <c r="ASO246"/>
      <c r="ASP246"/>
      <c r="ASQ246"/>
      <c r="ASR246"/>
      <c r="ASS246"/>
      <c r="AST246"/>
      <c r="ASU246"/>
      <c r="ASV246"/>
      <c r="ASW246"/>
      <c r="ASX246"/>
      <c r="ASY246"/>
      <c r="ASZ246"/>
      <c r="ATA246"/>
      <c r="ATB246"/>
      <c r="ATC246"/>
      <c r="ATD246"/>
      <c r="ATE246"/>
      <c r="ATF246"/>
      <c r="ATG246"/>
      <c r="ATH246"/>
      <c r="ATI246"/>
      <c r="ATJ246"/>
      <c r="ATK246"/>
      <c r="ATL246"/>
      <c r="ATM246"/>
      <c r="ATN246"/>
      <c r="ATO246"/>
      <c r="ATP246"/>
      <c r="ATQ246"/>
      <c r="ATR246"/>
      <c r="ATS246"/>
      <c r="ATT246"/>
      <c r="ATU246"/>
      <c r="ATV246"/>
      <c r="ATW246"/>
      <c r="ATX246"/>
      <c r="ATY246"/>
      <c r="ATZ246"/>
      <c r="AUA246"/>
      <c r="AUB246"/>
      <c r="AUC246"/>
      <c r="AUD246"/>
      <c r="AUE246"/>
      <c r="AUF246"/>
      <c r="AUG246"/>
      <c r="AUH246"/>
      <c r="AUI246"/>
      <c r="AUJ246"/>
      <c r="AUK246"/>
      <c r="AUL246"/>
      <c r="AUM246"/>
      <c r="AUN246"/>
      <c r="AUO246"/>
      <c r="AUP246"/>
      <c r="AUQ246"/>
      <c r="AUR246"/>
      <c r="AUS246"/>
      <c r="AUT246"/>
      <c r="AUU246"/>
      <c r="AUV246"/>
      <c r="AUW246"/>
      <c r="AUX246"/>
      <c r="AUY246"/>
      <c r="AUZ246"/>
      <c r="AVA246"/>
      <c r="AVB246"/>
      <c r="AVC246"/>
      <c r="AVD246"/>
      <c r="AVE246"/>
      <c r="AVF246"/>
      <c r="AVG246"/>
      <c r="AVH246"/>
      <c r="AVI246"/>
      <c r="AVJ246"/>
      <c r="AVK246"/>
      <c r="AVL246"/>
      <c r="AVM246"/>
      <c r="AVN246"/>
      <c r="AVO246"/>
      <c r="AVP246"/>
      <c r="AVQ246"/>
      <c r="AVR246"/>
      <c r="AVS246"/>
      <c r="AVT246"/>
      <c r="AVU246"/>
      <c r="AVV246"/>
      <c r="AVW246"/>
      <c r="AVX246"/>
      <c r="AVY246"/>
      <c r="AVZ246"/>
      <c r="AWA246"/>
      <c r="AWB246"/>
      <c r="AWC246"/>
      <c r="AWD246"/>
      <c r="AWE246"/>
      <c r="AWF246"/>
      <c r="AWG246"/>
      <c r="AWH246"/>
      <c r="AWI246"/>
      <c r="AWJ246"/>
      <c r="AWK246"/>
      <c r="AWL246"/>
      <c r="AWM246"/>
      <c r="AWN246"/>
      <c r="AWO246"/>
      <c r="AWP246"/>
      <c r="AWQ246"/>
      <c r="AWR246"/>
      <c r="AWS246"/>
      <c r="AWT246"/>
      <c r="AWU246"/>
      <c r="AWV246"/>
      <c r="AWW246"/>
      <c r="AWX246"/>
      <c r="AWY246"/>
      <c r="AWZ246"/>
      <c r="AXA246"/>
      <c r="AXB246"/>
      <c r="AXC246"/>
      <c r="AXD246"/>
      <c r="AXE246"/>
      <c r="AXF246"/>
      <c r="AXG246"/>
      <c r="AXH246"/>
      <c r="AXI246"/>
      <c r="AXJ246"/>
      <c r="AXK246"/>
      <c r="AXL246"/>
      <c r="AXM246"/>
      <c r="AXN246"/>
      <c r="AXO246"/>
      <c r="AXP246"/>
      <c r="AXQ246"/>
      <c r="AXR246"/>
      <c r="AXS246"/>
      <c r="AXT246"/>
      <c r="AXU246"/>
      <c r="AXV246"/>
      <c r="AXW246"/>
      <c r="AXX246"/>
      <c r="AXY246"/>
      <c r="AXZ246"/>
      <c r="AYA246"/>
      <c r="AYB246"/>
      <c r="AYC246"/>
      <c r="AYD246"/>
      <c r="AYE246"/>
      <c r="AYF246"/>
      <c r="AYG246"/>
      <c r="AYH246"/>
      <c r="AYI246"/>
      <c r="AYJ246"/>
      <c r="AYK246"/>
      <c r="AYL246"/>
      <c r="AYM246"/>
      <c r="AYN246"/>
      <c r="AYO246"/>
      <c r="AYP246"/>
      <c r="AYQ246"/>
      <c r="AYR246"/>
      <c r="AYS246"/>
      <c r="AYT246"/>
      <c r="AYU246"/>
      <c r="AYV246"/>
      <c r="AYW246"/>
      <c r="AYX246"/>
      <c r="AYY246"/>
      <c r="AYZ246"/>
      <c r="AZA246"/>
      <c r="AZB246"/>
      <c r="AZC246"/>
      <c r="AZD246"/>
      <c r="AZE246"/>
      <c r="AZF246"/>
      <c r="AZG246"/>
      <c r="AZH246"/>
      <c r="AZI246"/>
      <c r="AZJ246"/>
      <c r="AZK246"/>
      <c r="AZL246"/>
      <c r="AZM246"/>
      <c r="AZN246"/>
      <c r="AZO246"/>
      <c r="AZP246"/>
      <c r="AZQ246"/>
      <c r="AZR246"/>
      <c r="AZS246"/>
      <c r="AZT246"/>
      <c r="AZU246"/>
      <c r="AZV246"/>
      <c r="AZW246"/>
      <c r="AZX246"/>
      <c r="AZY246"/>
      <c r="AZZ246"/>
      <c r="BAA246"/>
      <c r="BAB246"/>
      <c r="BAC246"/>
      <c r="BAD246"/>
      <c r="BAE246"/>
      <c r="BAF246"/>
      <c r="BAG246"/>
      <c r="BAH246"/>
      <c r="BAI246"/>
      <c r="BAJ246"/>
      <c r="BAK246"/>
      <c r="BAL246"/>
      <c r="BAM246"/>
      <c r="BAN246"/>
      <c r="BAO246"/>
      <c r="BAP246"/>
      <c r="BAQ246"/>
      <c r="BAR246"/>
      <c r="BAS246"/>
      <c r="BAT246"/>
      <c r="BAU246"/>
      <c r="BAV246"/>
      <c r="BAW246"/>
      <c r="BAX246"/>
      <c r="BAY246"/>
      <c r="BAZ246"/>
      <c r="BBA246"/>
      <c r="BBB246"/>
      <c r="BBC246"/>
      <c r="BBD246"/>
      <c r="BBE246"/>
      <c r="BBF246"/>
      <c r="BBG246"/>
      <c r="BBH246"/>
      <c r="BBI246"/>
      <c r="BBJ246"/>
      <c r="BBK246"/>
      <c r="BBL246"/>
      <c r="BBM246"/>
      <c r="BBN246"/>
      <c r="BBO246"/>
      <c r="BBP246"/>
      <c r="BBQ246"/>
      <c r="BBR246"/>
      <c r="BBS246"/>
      <c r="BBT246"/>
      <c r="BBU246"/>
      <c r="BBV246"/>
      <c r="BBW246"/>
      <c r="BBX246"/>
      <c r="BBY246"/>
      <c r="BBZ246"/>
      <c r="BCA246"/>
      <c r="BCB246"/>
      <c r="BCC246"/>
      <c r="BCD246"/>
      <c r="BCE246"/>
      <c r="BCF246"/>
      <c r="BCG246"/>
      <c r="BCH246"/>
      <c r="BCI246"/>
      <c r="BCJ246"/>
      <c r="BCK246"/>
      <c r="BCL246"/>
      <c r="BCM246"/>
      <c r="BCN246"/>
      <c r="BCO246"/>
      <c r="BCP246"/>
      <c r="BCQ246"/>
      <c r="BCR246"/>
      <c r="BCS246"/>
      <c r="BCT246"/>
      <c r="BCU246"/>
      <c r="BCV246"/>
      <c r="BCW246"/>
      <c r="BCX246"/>
      <c r="BCY246"/>
      <c r="BCZ246"/>
      <c r="BDA246"/>
      <c r="BDB246"/>
      <c r="BDC246"/>
      <c r="BDD246"/>
      <c r="BDE246"/>
      <c r="BDF246"/>
      <c r="BDG246"/>
      <c r="BDH246"/>
      <c r="BDI246"/>
      <c r="BDJ246"/>
      <c r="BDK246"/>
      <c r="BDL246"/>
      <c r="BDM246"/>
      <c r="BDN246"/>
      <c r="BDO246"/>
      <c r="BDP246"/>
      <c r="BDQ246"/>
      <c r="BDR246"/>
      <c r="BDS246"/>
      <c r="BDT246"/>
      <c r="BDU246"/>
      <c r="BDV246"/>
      <c r="BDW246"/>
      <c r="BDX246"/>
      <c r="BDY246"/>
      <c r="BDZ246"/>
      <c r="BEA246"/>
      <c r="BEB246"/>
      <c r="BEC246"/>
      <c r="BED246"/>
      <c r="BEE246"/>
      <c r="BEF246"/>
      <c r="BEG246"/>
      <c r="BEH246"/>
      <c r="BEI246"/>
      <c r="BEJ246"/>
      <c r="BEK246"/>
      <c r="BEL246"/>
      <c r="BEM246"/>
      <c r="BEN246"/>
      <c r="BEO246"/>
      <c r="BEP246"/>
      <c r="BEQ246"/>
      <c r="BER246"/>
      <c r="BES246"/>
      <c r="BET246"/>
      <c r="BEU246"/>
      <c r="BEV246"/>
      <c r="BEW246"/>
      <c r="BEX246"/>
      <c r="BEY246"/>
      <c r="BEZ246"/>
      <c r="BFA246"/>
      <c r="BFB246"/>
      <c r="BFC246"/>
      <c r="BFD246"/>
      <c r="BFE246"/>
      <c r="BFF246"/>
      <c r="BFG246"/>
      <c r="BFH246"/>
      <c r="BFI246"/>
      <c r="BFJ246"/>
      <c r="BFK246"/>
      <c r="BFL246"/>
      <c r="BFM246"/>
      <c r="BFN246"/>
      <c r="BFO246"/>
      <c r="BFP246"/>
      <c r="BFQ246"/>
      <c r="BFR246"/>
      <c r="BFS246"/>
      <c r="BFT246"/>
      <c r="BFU246"/>
      <c r="BFV246"/>
      <c r="BFW246"/>
      <c r="BFX246"/>
      <c r="BFY246"/>
      <c r="BFZ246"/>
      <c r="BGA246"/>
      <c r="BGB246"/>
      <c r="BGC246"/>
      <c r="BGD246"/>
      <c r="BGE246"/>
      <c r="BGF246"/>
      <c r="BGG246"/>
      <c r="BGH246"/>
      <c r="BGI246"/>
      <c r="BGJ246"/>
      <c r="BGK246"/>
      <c r="BGL246"/>
      <c r="BGM246"/>
      <c r="BGN246"/>
      <c r="BGO246"/>
      <c r="BGP246"/>
      <c r="BGQ246"/>
      <c r="BGR246"/>
      <c r="BGS246"/>
      <c r="BGT246"/>
      <c r="BGU246"/>
      <c r="BGV246"/>
      <c r="BGW246"/>
      <c r="BGX246"/>
      <c r="BGY246"/>
      <c r="BGZ246"/>
      <c r="BHA246"/>
      <c r="BHB246"/>
      <c r="BHC246"/>
      <c r="BHD246"/>
      <c r="BHE246"/>
      <c r="BHF246"/>
      <c r="BHG246"/>
      <c r="BHH246"/>
      <c r="BHI246"/>
      <c r="BHJ246"/>
      <c r="BHK246"/>
      <c r="BHL246"/>
      <c r="BHM246"/>
      <c r="BHN246"/>
      <c r="BHO246"/>
      <c r="BHP246"/>
      <c r="BHQ246"/>
      <c r="BHR246"/>
      <c r="BHS246"/>
      <c r="BHT246"/>
      <c r="BHU246"/>
      <c r="BHV246"/>
      <c r="BHW246"/>
      <c r="BHX246"/>
      <c r="BHY246"/>
      <c r="BHZ246"/>
      <c r="BIA246"/>
      <c r="BIB246"/>
      <c r="BIC246"/>
      <c r="BID246"/>
      <c r="BIE246"/>
      <c r="BIF246"/>
      <c r="BIG246"/>
      <c r="BIH246"/>
      <c r="BII246"/>
      <c r="BIJ246"/>
      <c r="BIK246"/>
      <c r="BIL246"/>
      <c r="BIM246"/>
      <c r="BIN246"/>
      <c r="BIO246"/>
      <c r="BIP246"/>
      <c r="BIQ246"/>
      <c r="BIR246"/>
      <c r="BIS246"/>
      <c r="BIT246"/>
      <c r="BIU246"/>
      <c r="BIV246"/>
      <c r="BIW246"/>
      <c r="BIX246"/>
      <c r="BIY246"/>
      <c r="BIZ246"/>
      <c r="BJA246"/>
      <c r="BJB246"/>
      <c r="BJC246"/>
      <c r="BJD246"/>
      <c r="BJE246"/>
      <c r="BJF246"/>
      <c r="BJG246"/>
      <c r="BJH246"/>
      <c r="BJI246"/>
      <c r="BJJ246"/>
      <c r="BJK246"/>
      <c r="BJL246"/>
      <c r="BJM246"/>
      <c r="BJN246"/>
      <c r="BJO246"/>
      <c r="BJP246"/>
      <c r="BJQ246"/>
      <c r="BJR246"/>
      <c r="BJS246"/>
      <c r="BJT246"/>
      <c r="BJU246"/>
      <c r="BJV246"/>
      <c r="BJW246"/>
      <c r="BJX246"/>
      <c r="BJY246"/>
      <c r="BJZ246"/>
      <c r="BKA246"/>
      <c r="BKB246"/>
      <c r="BKC246"/>
      <c r="BKD246"/>
      <c r="BKE246"/>
      <c r="BKF246"/>
      <c r="BKG246"/>
      <c r="BKH246"/>
      <c r="BKI246"/>
      <c r="BKJ246"/>
      <c r="BKK246"/>
      <c r="BKL246"/>
      <c r="BKM246"/>
      <c r="BKN246"/>
      <c r="BKO246"/>
      <c r="BKP246"/>
      <c r="BKQ246"/>
      <c r="BKR246"/>
      <c r="BKS246"/>
      <c r="BKT246"/>
      <c r="BKU246"/>
      <c r="BKV246"/>
      <c r="BKW246"/>
      <c r="BKX246"/>
      <c r="BKY246"/>
      <c r="BKZ246"/>
      <c r="BLA246"/>
      <c r="BLB246"/>
      <c r="BLC246"/>
      <c r="BLD246"/>
      <c r="BLE246"/>
      <c r="BLF246"/>
      <c r="BLG246"/>
      <c r="BLH246"/>
      <c r="BLI246"/>
      <c r="BLJ246"/>
      <c r="BLK246"/>
      <c r="BLL246"/>
      <c r="BLM246"/>
      <c r="BLN246"/>
      <c r="BLO246"/>
      <c r="BLP246"/>
      <c r="BLQ246"/>
      <c r="BLR246"/>
      <c r="BLS246"/>
      <c r="BLT246"/>
      <c r="BLU246"/>
      <c r="BLV246"/>
      <c r="BLW246"/>
      <c r="BLX246"/>
      <c r="BLY246"/>
      <c r="BLZ246"/>
      <c r="BMA246"/>
      <c r="BMB246"/>
      <c r="BMC246"/>
      <c r="BMD246"/>
      <c r="BME246"/>
      <c r="BMF246"/>
      <c r="BMG246"/>
      <c r="BMH246"/>
      <c r="BMI246"/>
      <c r="BMJ246"/>
      <c r="BMK246"/>
      <c r="BML246"/>
      <c r="BMM246"/>
      <c r="BMN246"/>
      <c r="BMO246"/>
      <c r="BMP246"/>
      <c r="BMQ246"/>
      <c r="BMR246"/>
      <c r="BMS246"/>
      <c r="BMT246"/>
      <c r="BMU246"/>
      <c r="BMV246"/>
      <c r="BMW246"/>
      <c r="BMX246"/>
      <c r="BMY246"/>
      <c r="BMZ246"/>
      <c r="BNA246"/>
      <c r="BNB246"/>
      <c r="BNC246"/>
      <c r="BND246"/>
      <c r="BNE246"/>
      <c r="BNF246"/>
      <c r="BNG246"/>
      <c r="BNH246"/>
      <c r="BNI246"/>
      <c r="BNJ246"/>
      <c r="BNK246"/>
      <c r="BNL246"/>
      <c r="BNM246"/>
      <c r="BNN246"/>
      <c r="BNO246"/>
      <c r="BNP246"/>
      <c r="BNQ246"/>
      <c r="BNR246"/>
      <c r="BNS246"/>
      <c r="BNT246"/>
      <c r="BNU246"/>
      <c r="BNV246"/>
      <c r="BNW246"/>
      <c r="BNX246"/>
      <c r="BNY246"/>
      <c r="BNZ246"/>
      <c r="BOA246"/>
      <c r="BOB246"/>
      <c r="BOC246"/>
      <c r="BOD246"/>
      <c r="BOE246"/>
      <c r="BOF246"/>
      <c r="BOG246"/>
      <c r="BOH246"/>
      <c r="BOI246"/>
      <c r="BOJ246"/>
      <c r="BOK246"/>
      <c r="BOL246"/>
      <c r="BOM246"/>
      <c r="BON246"/>
      <c r="BOO246"/>
      <c r="BOP246"/>
      <c r="BOQ246"/>
      <c r="BOR246"/>
      <c r="BOS246"/>
      <c r="BOT246"/>
      <c r="BOU246"/>
      <c r="BOV246"/>
      <c r="BOW246"/>
      <c r="BOX246"/>
      <c r="BOY246"/>
      <c r="BOZ246"/>
      <c r="BPA246"/>
      <c r="BPB246"/>
      <c r="BPC246"/>
      <c r="BPD246"/>
      <c r="BPE246"/>
      <c r="BPF246"/>
      <c r="BPG246"/>
      <c r="BPH246"/>
      <c r="BPI246"/>
      <c r="BPJ246"/>
      <c r="BPK246"/>
      <c r="BPL246"/>
      <c r="BPM246"/>
      <c r="BPN246"/>
      <c r="BPO246"/>
      <c r="BPP246"/>
      <c r="BPQ246"/>
      <c r="BPR246"/>
      <c r="BPS246"/>
      <c r="BPT246"/>
      <c r="BPU246"/>
      <c r="BPV246"/>
      <c r="BPW246"/>
      <c r="BPX246"/>
      <c r="BPY246"/>
      <c r="BPZ246"/>
      <c r="BQA246"/>
      <c r="BQB246"/>
      <c r="BQC246"/>
      <c r="BQD246"/>
      <c r="BQE246"/>
      <c r="BQF246"/>
      <c r="BQG246"/>
      <c r="BQH246"/>
      <c r="BQI246"/>
      <c r="BQJ246"/>
      <c r="BQK246"/>
      <c r="BQL246"/>
      <c r="BQM246"/>
      <c r="BQN246"/>
      <c r="BQO246"/>
      <c r="BQP246"/>
      <c r="BQQ246"/>
      <c r="BQR246"/>
      <c r="BQS246"/>
      <c r="BQT246"/>
      <c r="BQU246"/>
      <c r="BQV246"/>
      <c r="BQW246"/>
      <c r="BQX246"/>
      <c r="BQY246"/>
      <c r="BQZ246"/>
      <c r="BRA246"/>
      <c r="BRB246"/>
      <c r="BRC246"/>
      <c r="BRD246"/>
      <c r="BRE246"/>
      <c r="BRF246"/>
      <c r="BRG246"/>
      <c r="BRH246"/>
      <c r="BRI246"/>
      <c r="BRJ246"/>
      <c r="BRK246"/>
      <c r="BRL246"/>
      <c r="BRM246"/>
      <c r="BRN246"/>
      <c r="BRO246"/>
      <c r="BRP246"/>
      <c r="BRQ246"/>
      <c r="BRR246"/>
      <c r="BRS246"/>
      <c r="BRT246"/>
      <c r="BRU246"/>
      <c r="BRV246"/>
      <c r="BRW246"/>
      <c r="BRX246"/>
      <c r="BRY246"/>
      <c r="BRZ246"/>
      <c r="BSA246"/>
      <c r="BSB246"/>
      <c r="BSC246"/>
      <c r="BSD246"/>
      <c r="BSE246"/>
      <c r="BSF246"/>
      <c r="BSG246"/>
      <c r="BSH246"/>
      <c r="BSI246"/>
      <c r="BSJ246"/>
      <c r="BSK246"/>
      <c r="BSL246"/>
      <c r="BSM246"/>
      <c r="BSN246"/>
      <c r="BSO246"/>
      <c r="BSP246"/>
      <c r="BSQ246"/>
      <c r="BSR246"/>
      <c r="BSS246"/>
      <c r="BST246"/>
      <c r="BSU246"/>
      <c r="BSV246"/>
      <c r="BSW246"/>
      <c r="BSX246"/>
      <c r="BSY246"/>
      <c r="BSZ246"/>
      <c r="BTA246"/>
      <c r="BTB246"/>
      <c r="BTC246"/>
      <c r="BTD246"/>
      <c r="BTE246"/>
      <c r="BTF246"/>
      <c r="BTG246"/>
      <c r="BTH246"/>
      <c r="BTI246"/>
      <c r="BTJ246"/>
      <c r="BTK246"/>
      <c r="BTL246"/>
      <c r="BTM246"/>
      <c r="BTN246"/>
      <c r="BTO246"/>
      <c r="BTP246"/>
      <c r="BTQ246"/>
      <c r="BTR246"/>
      <c r="BTS246"/>
      <c r="BTT246"/>
      <c r="BTU246"/>
      <c r="BTV246"/>
      <c r="BTW246"/>
      <c r="BTX246"/>
      <c r="BTY246"/>
      <c r="BTZ246"/>
      <c r="BUA246"/>
      <c r="BUB246"/>
      <c r="BUC246"/>
      <c r="BUD246"/>
      <c r="BUE246"/>
      <c r="BUF246"/>
      <c r="BUG246"/>
      <c r="BUH246"/>
      <c r="BUI246"/>
      <c r="BUJ246"/>
      <c r="BUK246"/>
      <c r="BUL246"/>
      <c r="BUM246"/>
      <c r="BUN246"/>
      <c r="BUO246"/>
      <c r="BUP246"/>
      <c r="BUQ246"/>
      <c r="BUR246"/>
      <c r="BUS246"/>
      <c r="BUT246"/>
      <c r="BUU246"/>
      <c r="BUV246"/>
      <c r="BUW246"/>
      <c r="BUX246"/>
      <c r="BUY246"/>
      <c r="BUZ246"/>
      <c r="BVA246"/>
      <c r="BVB246"/>
      <c r="BVC246"/>
      <c r="BVD246"/>
      <c r="BVE246"/>
      <c r="BVF246"/>
      <c r="BVG246"/>
      <c r="BVH246"/>
      <c r="BVI246"/>
      <c r="BVJ246"/>
      <c r="BVK246"/>
      <c r="BVL246"/>
      <c r="BVM246"/>
      <c r="BVN246"/>
      <c r="BVO246"/>
      <c r="BVP246"/>
      <c r="BVQ246"/>
      <c r="BVR246"/>
      <c r="BVS246"/>
      <c r="BVT246"/>
      <c r="BVU246"/>
      <c r="BVV246"/>
      <c r="BVW246"/>
      <c r="BVX246"/>
      <c r="BVY246"/>
      <c r="BVZ246"/>
      <c r="BWA246"/>
      <c r="BWB246"/>
      <c r="BWC246"/>
      <c r="BWD246"/>
      <c r="BWE246"/>
      <c r="BWF246"/>
      <c r="BWG246"/>
      <c r="BWH246"/>
      <c r="BWI246"/>
      <c r="BWJ246"/>
      <c r="BWK246"/>
      <c r="BWL246"/>
      <c r="BWM246"/>
      <c r="BWN246"/>
      <c r="BWO246"/>
      <c r="BWP246"/>
      <c r="BWQ246"/>
      <c r="BWR246"/>
      <c r="BWS246"/>
      <c r="BWT246"/>
      <c r="BWU246"/>
      <c r="BWV246"/>
      <c r="BWW246"/>
      <c r="BWX246"/>
      <c r="BWY246"/>
      <c r="BWZ246"/>
      <c r="BXA246"/>
      <c r="BXB246"/>
      <c r="BXC246"/>
      <c r="BXD246"/>
      <c r="BXE246"/>
      <c r="BXF246"/>
      <c r="BXG246"/>
      <c r="BXH246"/>
      <c r="BXI246"/>
      <c r="BXJ246"/>
      <c r="BXK246"/>
      <c r="BXL246"/>
      <c r="BXM246"/>
      <c r="BXN246"/>
      <c r="BXO246"/>
      <c r="BXP246"/>
      <c r="BXQ246"/>
      <c r="BXR246"/>
      <c r="BXS246"/>
      <c r="BXT246"/>
      <c r="BXU246"/>
      <c r="BXV246"/>
      <c r="BXW246"/>
      <c r="BXX246"/>
      <c r="BXY246"/>
      <c r="BXZ246"/>
      <c r="BYA246"/>
      <c r="BYB246"/>
      <c r="BYC246"/>
      <c r="BYD246"/>
      <c r="BYE246"/>
      <c r="BYF246"/>
      <c r="BYG246"/>
      <c r="BYH246"/>
      <c r="BYI246"/>
      <c r="BYJ246"/>
      <c r="BYK246"/>
      <c r="BYL246"/>
      <c r="BYM246"/>
      <c r="BYN246"/>
      <c r="BYO246"/>
      <c r="BYP246"/>
      <c r="BYQ246"/>
      <c r="BYR246"/>
      <c r="BYS246"/>
      <c r="BYT246"/>
      <c r="BYU246"/>
      <c r="BYV246"/>
      <c r="BYW246"/>
      <c r="BYX246"/>
      <c r="BYY246"/>
      <c r="BYZ246"/>
      <c r="BZA246"/>
      <c r="BZB246"/>
      <c r="BZC246"/>
      <c r="BZD246"/>
      <c r="BZE246"/>
      <c r="BZF246"/>
      <c r="BZG246"/>
      <c r="BZH246"/>
      <c r="BZI246"/>
      <c r="BZJ246"/>
      <c r="BZK246"/>
      <c r="BZL246"/>
      <c r="BZM246"/>
      <c r="BZN246"/>
      <c r="BZO246"/>
      <c r="BZP246"/>
      <c r="BZQ246"/>
      <c r="BZR246"/>
      <c r="BZS246"/>
      <c r="BZT246"/>
      <c r="BZU246"/>
      <c r="BZV246"/>
      <c r="BZW246"/>
      <c r="BZX246"/>
      <c r="BZY246"/>
      <c r="BZZ246"/>
      <c r="CAA246"/>
      <c r="CAB246"/>
      <c r="CAC246"/>
      <c r="CAD246"/>
      <c r="CAE246"/>
      <c r="CAF246"/>
      <c r="CAG246"/>
      <c r="CAH246"/>
      <c r="CAI246"/>
      <c r="CAJ246"/>
      <c r="CAK246"/>
      <c r="CAL246"/>
      <c r="CAM246"/>
      <c r="CAN246"/>
      <c r="CAO246"/>
      <c r="CAP246"/>
      <c r="CAQ246"/>
      <c r="CAR246"/>
      <c r="CAS246"/>
      <c r="CAT246"/>
      <c r="CAU246"/>
      <c r="CAV246"/>
      <c r="CAW246"/>
      <c r="CAX246"/>
      <c r="CAY246"/>
      <c r="CAZ246"/>
      <c r="CBA246"/>
      <c r="CBB246"/>
      <c r="CBC246"/>
      <c r="CBD246"/>
      <c r="CBE246"/>
      <c r="CBF246"/>
      <c r="CBG246"/>
      <c r="CBH246"/>
      <c r="CBI246"/>
      <c r="CBJ246"/>
      <c r="CBK246"/>
      <c r="CBL246"/>
      <c r="CBM246"/>
      <c r="CBN246"/>
      <c r="CBO246"/>
      <c r="CBP246"/>
      <c r="CBQ246"/>
      <c r="CBR246"/>
      <c r="CBS246"/>
      <c r="CBT246"/>
      <c r="CBU246"/>
      <c r="CBV246"/>
      <c r="CBW246"/>
      <c r="CBX246"/>
      <c r="CBY246"/>
      <c r="CBZ246"/>
      <c r="CCA246"/>
      <c r="CCB246"/>
      <c r="CCC246"/>
      <c r="CCD246"/>
      <c r="CCE246"/>
      <c r="CCF246"/>
      <c r="CCG246"/>
      <c r="CCH246"/>
      <c r="CCI246"/>
      <c r="CCJ246"/>
      <c r="CCK246"/>
      <c r="CCL246"/>
      <c r="CCM246"/>
      <c r="CCN246"/>
      <c r="CCO246"/>
      <c r="CCP246"/>
      <c r="CCQ246"/>
      <c r="CCR246"/>
      <c r="CCS246"/>
      <c r="CCT246"/>
      <c r="CCU246"/>
      <c r="CCV246"/>
      <c r="CCW246"/>
      <c r="CCX246"/>
      <c r="CCY246"/>
      <c r="CCZ246"/>
      <c r="CDA246"/>
      <c r="CDB246"/>
      <c r="CDC246"/>
      <c r="CDD246"/>
      <c r="CDE246"/>
      <c r="CDF246"/>
      <c r="CDG246"/>
      <c r="CDH246"/>
      <c r="CDI246"/>
      <c r="CDJ246"/>
      <c r="CDK246"/>
      <c r="CDL246"/>
      <c r="CDM246"/>
      <c r="CDN246"/>
      <c r="CDO246"/>
      <c r="CDP246"/>
      <c r="CDQ246"/>
      <c r="CDR246"/>
      <c r="CDS246"/>
      <c r="CDT246"/>
      <c r="CDU246"/>
      <c r="CDV246"/>
      <c r="CDW246"/>
      <c r="CDX246"/>
      <c r="CDY246"/>
      <c r="CDZ246"/>
      <c r="CEA246"/>
      <c r="CEB246"/>
      <c r="CEC246"/>
      <c r="CED246"/>
      <c r="CEE246"/>
      <c r="CEF246"/>
      <c r="CEG246"/>
      <c r="CEH246"/>
      <c r="CEI246"/>
      <c r="CEJ246"/>
      <c r="CEK246"/>
      <c r="CEL246"/>
      <c r="CEM246"/>
      <c r="CEN246"/>
      <c r="CEO246"/>
      <c r="CEP246"/>
      <c r="CEQ246"/>
      <c r="CER246"/>
      <c r="CES246"/>
      <c r="CET246"/>
      <c r="CEU246"/>
      <c r="CEV246"/>
      <c r="CEW246"/>
      <c r="CEX246"/>
      <c r="CEY246"/>
      <c r="CEZ246"/>
      <c r="CFA246"/>
      <c r="CFB246"/>
      <c r="CFC246"/>
      <c r="CFD246"/>
      <c r="CFE246"/>
      <c r="CFF246"/>
      <c r="CFG246"/>
      <c r="CFH246"/>
      <c r="CFI246"/>
      <c r="CFJ246"/>
      <c r="CFK246"/>
      <c r="CFL246"/>
      <c r="CFM246"/>
      <c r="CFN246"/>
      <c r="CFO246"/>
      <c r="CFP246"/>
      <c r="CFQ246"/>
      <c r="CFR246"/>
      <c r="CFS246"/>
      <c r="CFT246"/>
      <c r="CFU246"/>
      <c r="CFV246"/>
      <c r="CFW246"/>
      <c r="CFX246"/>
      <c r="CFY246"/>
      <c r="CFZ246"/>
      <c r="CGA246"/>
      <c r="CGB246"/>
      <c r="CGC246"/>
      <c r="CGD246"/>
      <c r="CGE246"/>
      <c r="CGF246"/>
      <c r="CGG246"/>
      <c r="CGH246"/>
      <c r="CGI246"/>
      <c r="CGJ246"/>
      <c r="CGK246"/>
      <c r="CGL246"/>
      <c r="CGM246"/>
      <c r="CGN246"/>
      <c r="CGO246"/>
      <c r="CGP246"/>
      <c r="CGQ246"/>
      <c r="CGR246"/>
      <c r="CGS246"/>
      <c r="CGT246"/>
      <c r="CGU246"/>
      <c r="CGV246"/>
      <c r="CGW246"/>
      <c r="CGX246"/>
      <c r="CGY246"/>
      <c r="CGZ246"/>
      <c r="CHA246"/>
      <c r="CHB246"/>
      <c r="CHC246"/>
      <c r="CHD246"/>
      <c r="CHE246"/>
      <c r="CHF246"/>
      <c r="CHG246"/>
      <c r="CHH246"/>
      <c r="CHI246"/>
      <c r="CHJ246"/>
      <c r="CHK246"/>
      <c r="CHL246"/>
      <c r="CHM246"/>
      <c r="CHN246"/>
      <c r="CHO246"/>
      <c r="CHP246"/>
      <c r="CHQ246"/>
      <c r="CHR246"/>
      <c r="CHS246"/>
      <c r="CHT246"/>
      <c r="CHU246"/>
      <c r="CHV246"/>
      <c r="CHW246"/>
      <c r="CHX246"/>
      <c r="CHY246"/>
      <c r="CHZ246"/>
      <c r="CIA246"/>
      <c r="CIB246"/>
      <c r="CIC246"/>
      <c r="CID246"/>
      <c r="CIE246"/>
      <c r="CIF246"/>
      <c r="CIG246"/>
      <c r="CIH246"/>
      <c r="CII246"/>
      <c r="CIJ246"/>
      <c r="CIK246"/>
      <c r="CIL246"/>
      <c r="CIM246"/>
      <c r="CIN246"/>
      <c r="CIO246"/>
      <c r="CIP246"/>
      <c r="CIQ246"/>
      <c r="CIR246"/>
      <c r="CIS246"/>
      <c r="CIT246"/>
      <c r="CIU246"/>
      <c r="CIV246"/>
      <c r="CIW246"/>
      <c r="CIX246"/>
      <c r="CIY246"/>
      <c r="CIZ246"/>
      <c r="CJA246"/>
      <c r="CJB246"/>
      <c r="CJC246"/>
      <c r="CJD246"/>
      <c r="CJE246"/>
      <c r="CJF246"/>
      <c r="CJG246"/>
      <c r="CJH246"/>
      <c r="CJI246"/>
      <c r="CJJ246"/>
      <c r="CJK246"/>
      <c r="CJL246"/>
      <c r="CJM246"/>
      <c r="CJN246"/>
      <c r="CJO246"/>
      <c r="CJP246"/>
      <c r="CJQ246"/>
      <c r="CJR246"/>
      <c r="CJS246"/>
      <c r="CJT246"/>
      <c r="CJU246"/>
      <c r="CJV246"/>
      <c r="CJW246"/>
      <c r="CJX246"/>
      <c r="CJY246"/>
      <c r="CJZ246"/>
      <c r="CKA246"/>
      <c r="CKB246"/>
      <c r="CKC246"/>
      <c r="CKD246"/>
      <c r="CKE246"/>
      <c r="CKF246"/>
      <c r="CKG246"/>
      <c r="CKH246"/>
      <c r="CKI246"/>
      <c r="CKJ246"/>
      <c r="CKK246"/>
      <c r="CKL246"/>
      <c r="CKM246"/>
      <c r="CKN246"/>
      <c r="CKO246"/>
      <c r="CKP246"/>
      <c r="CKQ246"/>
      <c r="CKR246"/>
      <c r="CKS246"/>
      <c r="CKT246"/>
      <c r="CKU246"/>
      <c r="CKV246"/>
      <c r="CKW246"/>
      <c r="CKX246"/>
      <c r="CKY246"/>
      <c r="CKZ246"/>
      <c r="CLA246"/>
      <c r="CLB246"/>
      <c r="CLC246"/>
      <c r="CLD246"/>
      <c r="CLE246"/>
      <c r="CLF246"/>
      <c r="CLG246"/>
      <c r="CLH246"/>
      <c r="CLI246"/>
      <c r="CLJ246"/>
      <c r="CLK246"/>
      <c r="CLL246"/>
      <c r="CLM246"/>
      <c r="CLN246"/>
      <c r="CLO246"/>
      <c r="CLP246"/>
      <c r="CLQ246"/>
      <c r="CLR246"/>
      <c r="CLS246"/>
      <c r="CLT246"/>
      <c r="CLU246"/>
      <c r="CLV246"/>
      <c r="CLW246"/>
      <c r="CLX246"/>
      <c r="CLY246"/>
      <c r="CLZ246"/>
      <c r="CMA246"/>
      <c r="CMB246"/>
      <c r="CMC246"/>
      <c r="CMD246"/>
      <c r="CME246"/>
      <c r="CMF246"/>
      <c r="CMG246"/>
      <c r="CMH246"/>
      <c r="CMI246"/>
      <c r="CMJ246"/>
      <c r="CMK246"/>
      <c r="CML246"/>
      <c r="CMM246"/>
      <c r="CMN246"/>
      <c r="CMO246"/>
      <c r="CMP246"/>
      <c r="CMQ246"/>
      <c r="CMR246"/>
      <c r="CMS246"/>
      <c r="CMT246"/>
      <c r="CMU246"/>
      <c r="CMV246"/>
      <c r="CMW246"/>
      <c r="CMX246"/>
      <c r="CMY246"/>
      <c r="CMZ246"/>
      <c r="CNA246"/>
      <c r="CNB246"/>
      <c r="CNC246"/>
      <c r="CND246"/>
      <c r="CNE246"/>
      <c r="CNF246"/>
      <c r="CNG246"/>
      <c r="CNH246"/>
      <c r="CNI246"/>
      <c r="CNJ246"/>
      <c r="CNK246"/>
      <c r="CNL246"/>
      <c r="CNM246"/>
      <c r="CNN246"/>
      <c r="CNO246"/>
      <c r="CNP246"/>
      <c r="CNQ246"/>
      <c r="CNR246"/>
      <c r="CNS246"/>
      <c r="CNT246"/>
      <c r="CNU246"/>
      <c r="CNV246"/>
      <c r="CNW246"/>
      <c r="CNX246"/>
      <c r="CNY246"/>
      <c r="CNZ246"/>
      <c r="COA246"/>
      <c r="COB246"/>
      <c r="COC246"/>
      <c r="COD246"/>
      <c r="COE246"/>
      <c r="COF246"/>
      <c r="COG246"/>
      <c r="COH246"/>
      <c r="COI246"/>
      <c r="COJ246"/>
      <c r="COK246"/>
      <c r="COL246"/>
      <c r="COM246"/>
      <c r="CON246"/>
      <c r="COO246"/>
      <c r="COP246"/>
      <c r="COQ246"/>
      <c r="COR246"/>
      <c r="COS246"/>
      <c r="COT246"/>
      <c r="COU246"/>
      <c r="COV246"/>
      <c r="COW246"/>
      <c r="COX246"/>
      <c r="COY246"/>
      <c r="COZ246"/>
      <c r="CPA246"/>
      <c r="CPB246"/>
      <c r="CPC246"/>
      <c r="CPD246"/>
      <c r="CPE246"/>
      <c r="CPF246"/>
      <c r="CPG246"/>
      <c r="CPH246"/>
      <c r="CPI246"/>
      <c r="CPJ246"/>
      <c r="CPK246"/>
      <c r="CPL246"/>
      <c r="CPM246"/>
      <c r="CPN246"/>
      <c r="CPO246"/>
      <c r="CPP246"/>
      <c r="CPQ246"/>
      <c r="CPR246"/>
      <c r="CPS246"/>
      <c r="CPT246"/>
      <c r="CPU246"/>
      <c r="CPV246"/>
      <c r="CPW246"/>
      <c r="CPX246"/>
      <c r="CPY246"/>
      <c r="CPZ246"/>
      <c r="CQA246"/>
      <c r="CQB246"/>
      <c r="CQC246"/>
      <c r="CQD246"/>
      <c r="CQE246"/>
      <c r="CQF246"/>
      <c r="CQG246"/>
      <c r="CQH246"/>
      <c r="CQI246"/>
      <c r="CQJ246"/>
      <c r="CQK246"/>
      <c r="CQL246"/>
      <c r="CQM246"/>
      <c r="CQN246"/>
      <c r="CQO246"/>
      <c r="CQP246"/>
      <c r="CQQ246"/>
      <c r="CQR246"/>
      <c r="CQS246"/>
      <c r="CQT246"/>
      <c r="CQU246"/>
      <c r="CQV246"/>
      <c r="CQW246"/>
      <c r="CQX246"/>
      <c r="CQY246"/>
      <c r="CQZ246"/>
      <c r="CRA246"/>
      <c r="CRB246"/>
      <c r="CRC246"/>
      <c r="CRD246"/>
      <c r="CRE246"/>
      <c r="CRF246"/>
      <c r="CRG246"/>
      <c r="CRH246"/>
      <c r="CRI246"/>
      <c r="CRJ246"/>
      <c r="CRK246"/>
      <c r="CRL246"/>
      <c r="CRM246"/>
      <c r="CRN246"/>
      <c r="CRO246"/>
      <c r="CRP246"/>
      <c r="CRQ246"/>
      <c r="CRR246"/>
      <c r="CRS246"/>
      <c r="CRT246"/>
      <c r="CRU246"/>
      <c r="CRV246"/>
      <c r="CRW246"/>
      <c r="CRX246"/>
      <c r="CRY246"/>
      <c r="CRZ246"/>
      <c r="CSA246"/>
      <c r="CSB246"/>
      <c r="CSC246"/>
      <c r="CSD246"/>
      <c r="CSE246"/>
      <c r="CSF246"/>
      <c r="CSG246"/>
      <c r="CSH246"/>
      <c r="CSI246"/>
      <c r="CSJ246"/>
      <c r="CSK246"/>
      <c r="CSL246"/>
      <c r="CSM246"/>
      <c r="CSN246"/>
      <c r="CSO246"/>
      <c r="CSP246"/>
      <c r="CSQ246"/>
      <c r="CSR246"/>
      <c r="CSS246"/>
      <c r="CST246"/>
      <c r="CSU246"/>
      <c r="CSV246"/>
      <c r="CSW246"/>
      <c r="CSX246"/>
      <c r="CSY246"/>
      <c r="CSZ246"/>
      <c r="CTA246"/>
      <c r="CTB246"/>
      <c r="CTC246"/>
      <c r="CTD246"/>
      <c r="CTE246"/>
      <c r="CTF246"/>
      <c r="CTG246"/>
      <c r="CTH246"/>
      <c r="CTI246"/>
      <c r="CTJ246"/>
      <c r="CTK246"/>
      <c r="CTL246"/>
      <c r="CTM246"/>
      <c r="CTN246"/>
      <c r="CTO246"/>
      <c r="CTP246"/>
      <c r="CTQ246"/>
      <c r="CTR246"/>
      <c r="CTS246"/>
      <c r="CTT246"/>
      <c r="CTU246"/>
      <c r="CTV246"/>
      <c r="CTW246"/>
      <c r="CTX246"/>
      <c r="CTY246"/>
      <c r="CTZ246"/>
      <c r="CUA246"/>
      <c r="CUB246"/>
      <c r="CUC246"/>
      <c r="CUD246"/>
      <c r="CUE246"/>
      <c r="CUF246"/>
      <c r="CUG246"/>
      <c r="CUH246"/>
      <c r="CUI246"/>
      <c r="CUJ246"/>
      <c r="CUK246"/>
      <c r="CUL246"/>
      <c r="CUM246"/>
      <c r="CUN246"/>
      <c r="CUO246"/>
      <c r="CUP246"/>
      <c r="CUQ246"/>
      <c r="CUR246"/>
      <c r="CUS246"/>
      <c r="CUT246"/>
      <c r="CUU246"/>
      <c r="CUV246"/>
      <c r="CUW246"/>
      <c r="CUX246"/>
      <c r="CUY246"/>
      <c r="CUZ246"/>
      <c r="CVA246"/>
      <c r="CVB246"/>
      <c r="CVC246"/>
      <c r="CVD246"/>
      <c r="CVE246"/>
      <c r="CVF246"/>
      <c r="CVG246"/>
      <c r="CVH246"/>
      <c r="CVI246"/>
      <c r="CVJ246"/>
      <c r="CVK246"/>
      <c r="CVL246"/>
      <c r="CVM246"/>
      <c r="CVN246"/>
      <c r="CVO246"/>
      <c r="CVP246"/>
      <c r="CVQ246"/>
      <c r="CVR246"/>
      <c r="CVS246"/>
      <c r="CVT246"/>
      <c r="CVU246"/>
      <c r="CVV246"/>
      <c r="CVW246"/>
      <c r="CVX246"/>
      <c r="CVY246"/>
      <c r="CVZ246"/>
      <c r="CWA246"/>
      <c r="CWB246"/>
      <c r="CWC246"/>
      <c r="CWD246"/>
      <c r="CWE246"/>
      <c r="CWF246"/>
      <c r="CWG246"/>
      <c r="CWH246"/>
      <c r="CWI246"/>
      <c r="CWJ246"/>
      <c r="CWK246"/>
      <c r="CWL246"/>
      <c r="CWM246"/>
      <c r="CWN246"/>
      <c r="CWO246"/>
      <c r="CWP246"/>
      <c r="CWQ246"/>
      <c r="CWR246"/>
      <c r="CWS246"/>
      <c r="CWT246"/>
      <c r="CWU246"/>
      <c r="CWV246"/>
      <c r="CWW246"/>
      <c r="CWX246"/>
      <c r="CWY246"/>
      <c r="CWZ246"/>
      <c r="CXA246"/>
      <c r="CXB246"/>
      <c r="CXC246"/>
      <c r="CXD246"/>
      <c r="CXE246"/>
      <c r="CXF246"/>
      <c r="CXG246"/>
      <c r="CXH246"/>
      <c r="CXI246"/>
      <c r="CXJ246"/>
      <c r="CXK246"/>
      <c r="CXL246"/>
      <c r="CXM246"/>
      <c r="CXN246"/>
      <c r="CXO246"/>
      <c r="CXP246"/>
      <c r="CXQ246"/>
      <c r="CXR246"/>
      <c r="CXS246"/>
      <c r="CXT246"/>
      <c r="CXU246"/>
      <c r="CXV246"/>
      <c r="CXW246"/>
      <c r="CXX246"/>
      <c r="CXY246"/>
      <c r="CXZ246"/>
      <c r="CYA246"/>
      <c r="CYB246"/>
      <c r="CYC246"/>
      <c r="CYD246"/>
      <c r="CYE246"/>
      <c r="CYF246"/>
      <c r="CYG246"/>
      <c r="CYH246"/>
      <c r="CYI246"/>
      <c r="CYJ246"/>
      <c r="CYK246"/>
      <c r="CYL246"/>
      <c r="CYM246"/>
      <c r="CYN246"/>
      <c r="CYO246"/>
      <c r="CYP246"/>
      <c r="CYQ246"/>
      <c r="CYR246"/>
      <c r="CYS246"/>
      <c r="CYT246"/>
      <c r="CYU246"/>
      <c r="CYV246"/>
      <c r="CYW246"/>
      <c r="CYX246"/>
      <c r="CYY246"/>
      <c r="CYZ246"/>
      <c r="CZA246"/>
      <c r="CZB246"/>
      <c r="CZC246"/>
      <c r="CZD246"/>
      <c r="CZE246"/>
      <c r="CZF246"/>
      <c r="CZG246"/>
      <c r="CZH246"/>
      <c r="CZI246"/>
      <c r="CZJ246"/>
      <c r="CZK246"/>
      <c r="CZL246"/>
      <c r="CZM246"/>
      <c r="CZN246"/>
      <c r="CZO246"/>
      <c r="CZP246"/>
      <c r="CZQ246"/>
      <c r="CZR246"/>
      <c r="CZS246"/>
      <c r="CZT246"/>
      <c r="CZU246"/>
      <c r="CZV246"/>
      <c r="CZW246"/>
      <c r="CZX246"/>
      <c r="CZY246"/>
      <c r="CZZ246"/>
      <c r="DAA246"/>
      <c r="DAB246"/>
      <c r="DAC246"/>
      <c r="DAD246"/>
      <c r="DAE246"/>
      <c r="DAF246"/>
      <c r="DAG246"/>
      <c r="DAH246"/>
      <c r="DAI246"/>
      <c r="DAJ246"/>
      <c r="DAK246"/>
      <c r="DAL246"/>
      <c r="DAM246"/>
      <c r="DAN246"/>
      <c r="DAO246"/>
      <c r="DAP246"/>
      <c r="DAQ246"/>
      <c r="DAR246"/>
      <c r="DAS246"/>
      <c r="DAT246"/>
      <c r="DAU246"/>
      <c r="DAV246"/>
      <c r="DAW246"/>
      <c r="DAX246"/>
      <c r="DAY246"/>
      <c r="DAZ246"/>
      <c r="DBA246"/>
      <c r="DBB246"/>
      <c r="DBC246"/>
      <c r="DBD246"/>
      <c r="DBE246"/>
      <c r="DBF246"/>
      <c r="DBG246"/>
      <c r="DBH246"/>
      <c r="DBI246"/>
      <c r="DBJ246"/>
      <c r="DBK246"/>
      <c r="DBL246"/>
      <c r="DBM246"/>
      <c r="DBN246"/>
      <c r="DBO246"/>
      <c r="DBP246"/>
      <c r="DBQ246"/>
      <c r="DBR246"/>
      <c r="DBS246"/>
      <c r="DBT246"/>
      <c r="DBU246"/>
      <c r="DBV246"/>
      <c r="DBW246"/>
      <c r="DBX246"/>
      <c r="DBY246"/>
      <c r="DBZ246"/>
      <c r="DCA246"/>
      <c r="DCB246"/>
      <c r="DCC246"/>
      <c r="DCD246"/>
      <c r="DCE246"/>
      <c r="DCF246"/>
      <c r="DCG246"/>
      <c r="DCH246"/>
      <c r="DCI246"/>
      <c r="DCJ246"/>
      <c r="DCK246"/>
      <c r="DCL246"/>
      <c r="DCM246"/>
      <c r="DCN246"/>
      <c r="DCO246"/>
      <c r="DCP246"/>
      <c r="DCQ246"/>
      <c r="DCR246"/>
      <c r="DCS246"/>
      <c r="DCT246"/>
      <c r="DCU246"/>
      <c r="DCV246"/>
      <c r="DCW246"/>
      <c r="DCX246"/>
      <c r="DCY246"/>
      <c r="DCZ246"/>
      <c r="DDA246"/>
      <c r="DDB246"/>
      <c r="DDC246"/>
      <c r="DDD246"/>
      <c r="DDE246"/>
      <c r="DDF246"/>
      <c r="DDG246"/>
      <c r="DDH246"/>
      <c r="DDI246"/>
      <c r="DDJ246"/>
      <c r="DDK246"/>
      <c r="DDL246"/>
      <c r="DDM246"/>
      <c r="DDN246"/>
      <c r="DDO246"/>
      <c r="DDP246"/>
      <c r="DDQ246"/>
      <c r="DDR246"/>
      <c r="DDS246"/>
      <c r="DDT246"/>
      <c r="DDU246"/>
      <c r="DDV246"/>
      <c r="DDW246"/>
      <c r="DDX246"/>
      <c r="DDY246"/>
      <c r="DDZ246"/>
      <c r="DEA246"/>
      <c r="DEB246"/>
      <c r="DEC246"/>
      <c r="DED246"/>
      <c r="DEE246"/>
      <c r="DEF246"/>
      <c r="DEG246"/>
      <c r="DEH246"/>
      <c r="DEI246"/>
      <c r="DEJ246"/>
      <c r="DEK246"/>
      <c r="DEL246"/>
      <c r="DEM246"/>
      <c r="DEN246"/>
      <c r="DEO246"/>
      <c r="DEP246"/>
      <c r="DEQ246"/>
      <c r="DER246"/>
      <c r="DES246"/>
      <c r="DET246"/>
      <c r="DEU246"/>
      <c r="DEV246"/>
      <c r="DEW246"/>
      <c r="DEX246"/>
      <c r="DEY246"/>
      <c r="DEZ246"/>
      <c r="DFA246"/>
      <c r="DFB246"/>
      <c r="DFC246"/>
      <c r="DFD246"/>
      <c r="DFE246"/>
      <c r="DFF246"/>
      <c r="DFG246"/>
      <c r="DFH246"/>
      <c r="DFI246"/>
      <c r="DFJ246"/>
      <c r="DFK246"/>
      <c r="DFL246"/>
      <c r="DFM246"/>
      <c r="DFN246"/>
      <c r="DFO246"/>
      <c r="DFP246"/>
      <c r="DFQ246"/>
      <c r="DFR246"/>
      <c r="DFS246"/>
      <c r="DFT246"/>
      <c r="DFU246"/>
      <c r="DFV246"/>
      <c r="DFW246"/>
      <c r="DFX246"/>
      <c r="DFY246"/>
      <c r="DFZ246"/>
      <c r="DGA246"/>
      <c r="DGB246"/>
      <c r="DGC246"/>
      <c r="DGD246"/>
      <c r="DGE246"/>
      <c r="DGF246"/>
      <c r="DGG246"/>
      <c r="DGH246"/>
      <c r="DGI246"/>
      <c r="DGJ246"/>
      <c r="DGK246"/>
      <c r="DGL246"/>
      <c r="DGM246"/>
      <c r="DGN246"/>
      <c r="DGO246"/>
      <c r="DGP246"/>
      <c r="DGQ246"/>
      <c r="DGR246"/>
      <c r="DGS246"/>
      <c r="DGT246"/>
      <c r="DGU246"/>
      <c r="DGV246"/>
      <c r="DGW246"/>
      <c r="DGX246"/>
      <c r="DGY246"/>
      <c r="DGZ246"/>
      <c r="DHA246"/>
      <c r="DHB246"/>
      <c r="DHC246"/>
      <c r="DHD246"/>
      <c r="DHE246"/>
      <c r="DHF246"/>
      <c r="DHG246"/>
      <c r="DHH246"/>
      <c r="DHI246"/>
      <c r="DHJ246"/>
      <c r="DHK246"/>
      <c r="DHL246"/>
      <c r="DHM246"/>
      <c r="DHN246"/>
      <c r="DHO246"/>
      <c r="DHP246"/>
      <c r="DHQ246"/>
      <c r="DHR246"/>
      <c r="DHS246"/>
      <c r="DHT246"/>
      <c r="DHU246"/>
      <c r="DHV246"/>
      <c r="DHW246"/>
      <c r="DHX246"/>
      <c r="DHY246"/>
      <c r="DHZ246"/>
      <c r="DIA246"/>
      <c r="DIB246"/>
      <c r="DIC246"/>
      <c r="DID246"/>
      <c r="DIE246"/>
      <c r="DIF246"/>
      <c r="DIG246"/>
      <c r="DIH246"/>
      <c r="DII246"/>
      <c r="DIJ246"/>
      <c r="DIK246"/>
      <c r="DIL246"/>
      <c r="DIM246"/>
      <c r="DIN246"/>
      <c r="DIO246"/>
      <c r="DIP246"/>
      <c r="DIQ246"/>
      <c r="DIR246"/>
      <c r="DIS246"/>
      <c r="DIT246"/>
      <c r="DIU246"/>
      <c r="DIV246"/>
      <c r="DIW246"/>
      <c r="DIX246"/>
      <c r="DIY246"/>
      <c r="DIZ246"/>
      <c r="DJA246"/>
      <c r="DJB246"/>
      <c r="DJC246"/>
      <c r="DJD246"/>
      <c r="DJE246"/>
      <c r="DJF246"/>
      <c r="DJG246"/>
      <c r="DJH246"/>
      <c r="DJI246"/>
      <c r="DJJ246"/>
      <c r="DJK246"/>
      <c r="DJL246"/>
      <c r="DJM246"/>
      <c r="DJN246"/>
      <c r="DJO246"/>
      <c r="DJP246"/>
      <c r="DJQ246"/>
      <c r="DJR246"/>
      <c r="DJS246"/>
      <c r="DJT246"/>
      <c r="DJU246"/>
      <c r="DJV246"/>
      <c r="DJW246"/>
      <c r="DJX246"/>
      <c r="DJY246"/>
      <c r="DJZ246"/>
      <c r="DKA246"/>
      <c r="DKB246"/>
      <c r="DKC246"/>
      <c r="DKD246"/>
      <c r="DKE246"/>
      <c r="DKF246"/>
      <c r="DKG246"/>
      <c r="DKH246"/>
      <c r="DKI246"/>
      <c r="DKJ246"/>
      <c r="DKK246"/>
      <c r="DKL246"/>
      <c r="DKM246"/>
      <c r="DKN246"/>
      <c r="DKO246"/>
      <c r="DKP246"/>
      <c r="DKQ246"/>
      <c r="DKR246"/>
      <c r="DKS246"/>
      <c r="DKT246"/>
      <c r="DKU246"/>
      <c r="DKV246"/>
      <c r="DKW246"/>
      <c r="DKX246"/>
      <c r="DKY246"/>
      <c r="DKZ246"/>
      <c r="DLA246"/>
      <c r="DLB246"/>
      <c r="DLC246"/>
      <c r="DLD246"/>
      <c r="DLE246"/>
      <c r="DLF246"/>
      <c r="DLG246"/>
      <c r="DLH246"/>
      <c r="DLI246"/>
      <c r="DLJ246"/>
      <c r="DLK246"/>
      <c r="DLL246"/>
      <c r="DLM246"/>
      <c r="DLN246"/>
      <c r="DLO246"/>
      <c r="DLP246"/>
      <c r="DLQ246"/>
      <c r="DLR246"/>
      <c r="DLS246"/>
      <c r="DLT246"/>
      <c r="DLU246"/>
      <c r="DLV246"/>
      <c r="DLW246"/>
      <c r="DLX246"/>
      <c r="DLY246"/>
      <c r="DLZ246"/>
      <c r="DMA246"/>
      <c r="DMB246"/>
      <c r="DMC246"/>
      <c r="DMD246"/>
      <c r="DME246"/>
      <c r="DMF246"/>
      <c r="DMG246"/>
      <c r="DMH246"/>
      <c r="DMI246"/>
      <c r="DMJ246"/>
      <c r="DMK246"/>
      <c r="DML246"/>
      <c r="DMM246"/>
      <c r="DMN246"/>
      <c r="DMO246"/>
      <c r="DMP246"/>
      <c r="DMQ246"/>
      <c r="DMR246"/>
      <c r="DMS246"/>
      <c r="DMT246"/>
      <c r="DMU246"/>
      <c r="DMV246"/>
      <c r="DMW246"/>
      <c r="DMX246"/>
      <c r="DMY246"/>
      <c r="DMZ246"/>
      <c r="DNA246"/>
      <c r="DNB246"/>
      <c r="DNC246"/>
      <c r="DND246"/>
      <c r="DNE246"/>
      <c r="DNF246"/>
      <c r="DNG246"/>
      <c r="DNH246"/>
      <c r="DNI246"/>
      <c r="DNJ246"/>
      <c r="DNK246"/>
      <c r="DNL246"/>
      <c r="DNM246"/>
      <c r="DNN246"/>
      <c r="DNO246"/>
      <c r="DNP246"/>
      <c r="DNQ246"/>
      <c r="DNR246"/>
      <c r="DNS246"/>
      <c r="DNT246"/>
      <c r="DNU246"/>
      <c r="DNV246"/>
      <c r="DNW246"/>
      <c r="DNX246"/>
      <c r="DNY246"/>
      <c r="DNZ246"/>
      <c r="DOA246"/>
      <c r="DOB246"/>
      <c r="DOC246"/>
      <c r="DOD246"/>
      <c r="DOE246"/>
      <c r="DOF246"/>
      <c r="DOG246"/>
      <c r="DOH246"/>
      <c r="DOI246"/>
      <c r="DOJ246"/>
      <c r="DOK246"/>
      <c r="DOL246"/>
      <c r="DOM246"/>
      <c r="DON246"/>
      <c r="DOO246"/>
      <c r="DOP246"/>
      <c r="DOQ246"/>
      <c r="DOR246"/>
      <c r="DOS246"/>
      <c r="DOT246"/>
      <c r="DOU246"/>
      <c r="DOV246"/>
      <c r="DOW246"/>
      <c r="DOX246"/>
      <c r="DOY246"/>
      <c r="DOZ246"/>
      <c r="DPA246"/>
      <c r="DPB246"/>
      <c r="DPC246"/>
      <c r="DPD246"/>
      <c r="DPE246"/>
      <c r="DPF246"/>
      <c r="DPG246"/>
      <c r="DPH246"/>
      <c r="DPI246"/>
      <c r="DPJ246"/>
      <c r="DPK246"/>
      <c r="DPL246"/>
      <c r="DPM246"/>
      <c r="DPN246"/>
      <c r="DPO246"/>
      <c r="DPP246"/>
      <c r="DPQ246"/>
      <c r="DPR246"/>
      <c r="DPS246"/>
      <c r="DPT246"/>
      <c r="DPU246"/>
      <c r="DPV246"/>
      <c r="DPW246"/>
      <c r="DPX246"/>
      <c r="DPY246"/>
      <c r="DPZ246"/>
      <c r="DQA246"/>
      <c r="DQB246"/>
      <c r="DQC246"/>
      <c r="DQD246"/>
      <c r="DQE246"/>
      <c r="DQF246"/>
      <c r="DQG246"/>
      <c r="DQH246"/>
      <c r="DQI246"/>
      <c r="DQJ246"/>
      <c r="DQK246"/>
      <c r="DQL246"/>
      <c r="DQM246"/>
      <c r="DQN246"/>
      <c r="DQO246"/>
      <c r="DQP246"/>
      <c r="DQQ246"/>
      <c r="DQR246"/>
      <c r="DQS246"/>
      <c r="DQT246"/>
      <c r="DQU246"/>
      <c r="DQV246"/>
      <c r="DQW246"/>
      <c r="DQX246"/>
      <c r="DQY246"/>
      <c r="DQZ246"/>
      <c r="DRA246"/>
      <c r="DRB246"/>
      <c r="DRC246"/>
      <c r="DRD246"/>
      <c r="DRE246"/>
      <c r="DRF246"/>
      <c r="DRG246"/>
      <c r="DRH246"/>
      <c r="DRI246"/>
      <c r="DRJ246"/>
      <c r="DRK246"/>
      <c r="DRL246"/>
      <c r="DRM246"/>
      <c r="DRN246"/>
      <c r="DRO246"/>
      <c r="DRP246"/>
      <c r="DRQ246"/>
      <c r="DRR246"/>
      <c r="DRS246"/>
      <c r="DRT246"/>
      <c r="DRU246"/>
      <c r="DRV246"/>
      <c r="DRW246"/>
      <c r="DRX246"/>
      <c r="DRY246"/>
      <c r="DRZ246"/>
      <c r="DSA246"/>
      <c r="DSB246"/>
      <c r="DSC246"/>
      <c r="DSD246"/>
      <c r="DSE246"/>
      <c r="DSF246"/>
      <c r="DSG246"/>
      <c r="DSH246"/>
      <c r="DSI246"/>
      <c r="DSJ246"/>
      <c r="DSK246"/>
      <c r="DSL246"/>
      <c r="DSM246"/>
      <c r="DSN246"/>
      <c r="DSO246"/>
      <c r="DSP246"/>
      <c r="DSQ246"/>
      <c r="DSR246"/>
      <c r="DSS246"/>
      <c r="DST246"/>
      <c r="DSU246"/>
      <c r="DSV246"/>
      <c r="DSW246"/>
      <c r="DSX246"/>
      <c r="DSY246"/>
      <c r="DSZ246"/>
      <c r="DTA246"/>
      <c r="DTB246"/>
      <c r="DTC246"/>
      <c r="DTD246"/>
      <c r="DTE246"/>
      <c r="DTF246"/>
      <c r="DTG246"/>
      <c r="DTH246"/>
      <c r="DTI246"/>
      <c r="DTJ246"/>
      <c r="DTK246"/>
      <c r="DTL246"/>
      <c r="DTM246"/>
      <c r="DTN246"/>
      <c r="DTO246"/>
      <c r="DTP246"/>
      <c r="DTQ246"/>
      <c r="DTR246"/>
      <c r="DTS246"/>
      <c r="DTT246"/>
      <c r="DTU246"/>
      <c r="DTV246"/>
      <c r="DTW246"/>
      <c r="DTX246"/>
      <c r="DTY246"/>
      <c r="DTZ246"/>
      <c r="DUA246"/>
      <c r="DUB246"/>
      <c r="DUC246"/>
      <c r="DUD246"/>
      <c r="DUE246"/>
      <c r="DUF246"/>
      <c r="DUG246"/>
      <c r="DUH246"/>
      <c r="DUI246"/>
      <c r="DUJ246"/>
      <c r="DUK246"/>
      <c r="DUL246"/>
      <c r="DUM246"/>
      <c r="DUN246"/>
      <c r="DUO246"/>
      <c r="DUP246"/>
      <c r="DUQ246"/>
      <c r="DUR246"/>
      <c r="DUS246"/>
      <c r="DUT246"/>
      <c r="DUU246"/>
      <c r="DUV246"/>
      <c r="DUW246"/>
      <c r="DUX246"/>
      <c r="DUY246"/>
      <c r="DUZ246"/>
      <c r="DVA246"/>
      <c r="DVB246"/>
      <c r="DVC246"/>
      <c r="DVD246"/>
      <c r="DVE246"/>
      <c r="DVF246"/>
      <c r="DVG246"/>
      <c r="DVH246"/>
      <c r="DVI246"/>
      <c r="DVJ246"/>
      <c r="DVK246"/>
      <c r="DVL246"/>
      <c r="DVM246"/>
      <c r="DVN246"/>
      <c r="DVO246"/>
      <c r="DVP246"/>
      <c r="DVQ246"/>
      <c r="DVR246"/>
      <c r="DVS246"/>
      <c r="DVT246"/>
      <c r="DVU246"/>
      <c r="DVV246"/>
      <c r="DVW246"/>
      <c r="DVX246"/>
      <c r="DVY246"/>
      <c r="DVZ246"/>
      <c r="DWA246"/>
      <c r="DWB246"/>
      <c r="DWC246"/>
      <c r="DWD246"/>
      <c r="DWE246"/>
      <c r="DWF246"/>
      <c r="DWG246"/>
      <c r="DWH246"/>
      <c r="DWI246"/>
      <c r="DWJ246"/>
      <c r="DWK246"/>
      <c r="DWL246"/>
      <c r="DWM246"/>
      <c r="DWN246"/>
      <c r="DWO246"/>
      <c r="DWP246"/>
      <c r="DWQ246"/>
      <c r="DWR246"/>
      <c r="DWS246"/>
      <c r="DWT246"/>
      <c r="DWU246"/>
      <c r="DWV246"/>
      <c r="DWW246"/>
      <c r="DWX246"/>
      <c r="DWY246"/>
      <c r="DWZ246"/>
      <c r="DXA246"/>
      <c r="DXB246"/>
      <c r="DXC246"/>
      <c r="DXD246"/>
      <c r="DXE246"/>
      <c r="DXF246"/>
      <c r="DXG246"/>
      <c r="DXH246"/>
      <c r="DXI246"/>
      <c r="DXJ246"/>
      <c r="DXK246"/>
      <c r="DXL246"/>
      <c r="DXM246"/>
      <c r="DXN246"/>
      <c r="DXO246"/>
      <c r="DXP246"/>
      <c r="DXQ246"/>
      <c r="DXR246"/>
      <c r="DXS246"/>
      <c r="DXT246"/>
      <c r="DXU246"/>
      <c r="DXV246"/>
      <c r="DXW246"/>
      <c r="DXX246"/>
      <c r="DXY246"/>
      <c r="DXZ246"/>
      <c r="DYA246"/>
      <c r="DYB246"/>
      <c r="DYC246"/>
      <c r="DYD246"/>
      <c r="DYE246"/>
      <c r="DYF246"/>
      <c r="DYG246"/>
      <c r="DYH246"/>
      <c r="DYI246"/>
      <c r="DYJ246"/>
      <c r="DYK246"/>
      <c r="DYL246"/>
      <c r="DYM246"/>
      <c r="DYN246"/>
      <c r="DYO246"/>
      <c r="DYP246"/>
      <c r="DYQ246"/>
      <c r="DYR246"/>
      <c r="DYS246"/>
      <c r="DYT246"/>
      <c r="DYU246"/>
      <c r="DYV246"/>
      <c r="DYW246"/>
      <c r="DYX246"/>
      <c r="DYY246"/>
      <c r="DYZ246"/>
      <c r="DZA246"/>
      <c r="DZB246"/>
      <c r="DZC246"/>
      <c r="DZD246"/>
      <c r="DZE246"/>
      <c r="DZF246"/>
      <c r="DZG246"/>
      <c r="DZH246"/>
      <c r="DZI246"/>
      <c r="DZJ246"/>
      <c r="DZK246"/>
      <c r="DZL246"/>
      <c r="DZM246"/>
      <c r="DZN246"/>
      <c r="DZO246"/>
      <c r="DZP246"/>
      <c r="DZQ246"/>
      <c r="DZR246"/>
      <c r="DZS246"/>
      <c r="DZT246"/>
      <c r="DZU246"/>
      <c r="DZV246"/>
      <c r="DZW246"/>
      <c r="DZX246"/>
      <c r="DZY246"/>
      <c r="DZZ246"/>
      <c r="EAA246"/>
      <c r="EAB246"/>
      <c r="EAC246"/>
      <c r="EAD246"/>
      <c r="EAE246"/>
      <c r="EAF246"/>
      <c r="EAG246"/>
      <c r="EAH246"/>
      <c r="EAI246"/>
      <c r="EAJ246"/>
      <c r="EAK246"/>
      <c r="EAL246"/>
      <c r="EAM246"/>
      <c r="EAN246"/>
      <c r="EAO246"/>
      <c r="EAP246"/>
      <c r="EAQ246"/>
      <c r="EAR246"/>
      <c r="EAS246"/>
      <c r="EAT246"/>
      <c r="EAU246"/>
      <c r="EAV246"/>
      <c r="EAW246"/>
      <c r="EAX246"/>
      <c r="EAY246"/>
      <c r="EAZ246"/>
      <c r="EBA246"/>
      <c r="EBB246"/>
      <c r="EBC246"/>
      <c r="EBD246"/>
      <c r="EBE246"/>
      <c r="EBF246"/>
      <c r="EBG246"/>
      <c r="EBH246"/>
      <c r="EBI246"/>
      <c r="EBJ246"/>
      <c r="EBK246"/>
      <c r="EBL246"/>
      <c r="EBM246"/>
      <c r="EBN246"/>
      <c r="EBO246"/>
      <c r="EBP246"/>
      <c r="EBQ246"/>
      <c r="EBR246"/>
      <c r="EBS246"/>
      <c r="EBT246"/>
      <c r="EBU246"/>
      <c r="EBV246"/>
      <c r="EBW246"/>
      <c r="EBX246"/>
      <c r="EBY246"/>
      <c r="EBZ246"/>
      <c r="ECA246"/>
      <c r="ECB246"/>
      <c r="ECC246"/>
      <c r="ECD246"/>
      <c r="ECE246"/>
      <c r="ECF246"/>
      <c r="ECG246"/>
      <c r="ECH246"/>
      <c r="ECI246"/>
      <c r="ECJ246"/>
      <c r="ECK246"/>
      <c r="ECL246"/>
      <c r="ECM246"/>
      <c r="ECN246"/>
      <c r="ECO246"/>
      <c r="ECP246"/>
      <c r="ECQ246"/>
      <c r="ECR246"/>
      <c r="ECS246"/>
      <c r="ECT246"/>
      <c r="ECU246"/>
      <c r="ECV246"/>
      <c r="ECW246"/>
      <c r="ECX246"/>
      <c r="ECY246"/>
      <c r="ECZ246"/>
      <c r="EDA246"/>
      <c r="EDB246"/>
      <c r="EDC246"/>
      <c r="EDD246"/>
      <c r="EDE246"/>
      <c r="EDF246"/>
      <c r="EDG246"/>
      <c r="EDH246"/>
      <c r="EDI246"/>
      <c r="EDJ246"/>
      <c r="EDK246"/>
      <c r="EDL246"/>
      <c r="EDM246"/>
      <c r="EDN246"/>
      <c r="EDO246"/>
      <c r="EDP246"/>
      <c r="EDQ246"/>
      <c r="EDR246"/>
      <c r="EDS246"/>
      <c r="EDT246"/>
      <c r="EDU246"/>
      <c r="EDV246"/>
      <c r="EDW246"/>
      <c r="EDX246"/>
      <c r="EDY246"/>
      <c r="EDZ246"/>
      <c r="EEA246"/>
      <c r="EEB246"/>
      <c r="EEC246"/>
      <c r="EED246"/>
      <c r="EEE246"/>
      <c r="EEF246"/>
      <c r="EEG246"/>
      <c r="EEH246"/>
      <c r="EEI246"/>
      <c r="EEJ246"/>
      <c r="EEK246"/>
      <c r="EEL246"/>
      <c r="EEM246"/>
      <c r="EEN246"/>
      <c r="EEO246"/>
      <c r="EEP246"/>
      <c r="EEQ246"/>
      <c r="EER246"/>
      <c r="EES246"/>
      <c r="EET246"/>
      <c r="EEU246"/>
      <c r="EEV246"/>
      <c r="EEW246"/>
      <c r="EEX246"/>
      <c r="EEY246"/>
      <c r="EEZ246"/>
      <c r="EFA246"/>
      <c r="EFB246"/>
      <c r="EFC246"/>
      <c r="EFD246"/>
      <c r="EFE246"/>
      <c r="EFF246"/>
      <c r="EFG246"/>
      <c r="EFH246"/>
      <c r="EFI246"/>
      <c r="EFJ246"/>
      <c r="EFK246"/>
      <c r="EFL246"/>
      <c r="EFM246"/>
      <c r="EFN246"/>
      <c r="EFO246"/>
      <c r="EFP246"/>
      <c r="EFQ246"/>
      <c r="EFR246"/>
      <c r="EFS246"/>
      <c r="EFT246"/>
      <c r="EFU246"/>
      <c r="EFV246"/>
      <c r="EFW246"/>
      <c r="EFX246"/>
      <c r="EFY246"/>
      <c r="EFZ246"/>
      <c r="EGA246"/>
      <c r="EGB246"/>
      <c r="EGC246"/>
      <c r="EGD246"/>
      <c r="EGE246"/>
      <c r="EGF246"/>
      <c r="EGG246"/>
      <c r="EGH246"/>
      <c r="EGI246"/>
      <c r="EGJ246"/>
      <c r="EGK246"/>
      <c r="EGL246"/>
      <c r="EGM246"/>
      <c r="EGN246"/>
      <c r="EGO246"/>
      <c r="EGP246"/>
      <c r="EGQ246"/>
      <c r="EGR246"/>
      <c r="EGS246"/>
      <c r="EGT246"/>
      <c r="EGU246"/>
      <c r="EGV246"/>
      <c r="EGW246"/>
      <c r="EGX246"/>
      <c r="EGY246"/>
      <c r="EGZ246"/>
      <c r="EHA246"/>
      <c r="EHB246"/>
      <c r="EHC246"/>
      <c r="EHD246"/>
      <c r="EHE246"/>
      <c r="EHF246"/>
      <c r="EHG246"/>
      <c r="EHH246"/>
      <c r="EHI246"/>
      <c r="EHJ246"/>
      <c r="EHK246"/>
      <c r="EHL246"/>
      <c r="EHM246"/>
      <c r="EHN246"/>
      <c r="EHO246"/>
      <c r="EHP246"/>
      <c r="EHQ246"/>
      <c r="EHR246"/>
      <c r="EHS246"/>
      <c r="EHT246"/>
      <c r="EHU246"/>
      <c r="EHV246"/>
      <c r="EHW246"/>
      <c r="EHX246"/>
      <c r="EHY246"/>
      <c r="EHZ246"/>
      <c r="EIA246"/>
      <c r="EIB246"/>
      <c r="EIC246"/>
      <c r="EID246"/>
      <c r="EIE246"/>
      <c r="EIF246"/>
      <c r="EIG246"/>
      <c r="EIH246"/>
      <c r="EII246"/>
      <c r="EIJ246"/>
      <c r="EIK246"/>
      <c r="EIL246"/>
      <c r="EIM246"/>
      <c r="EIN246"/>
      <c r="EIO246"/>
      <c r="EIP246"/>
      <c r="EIQ246"/>
      <c r="EIR246"/>
      <c r="EIS246"/>
      <c r="EIT246"/>
      <c r="EIU246"/>
      <c r="EIV246"/>
      <c r="EIW246"/>
      <c r="EIX246"/>
      <c r="EIY246"/>
      <c r="EIZ246"/>
      <c r="EJA246"/>
      <c r="EJB246"/>
      <c r="EJC246"/>
      <c r="EJD246"/>
      <c r="EJE246"/>
      <c r="EJF246"/>
      <c r="EJG246"/>
      <c r="EJH246"/>
      <c r="EJI246"/>
      <c r="EJJ246"/>
      <c r="EJK246"/>
      <c r="EJL246"/>
      <c r="EJM246"/>
      <c r="EJN246"/>
      <c r="EJO246"/>
      <c r="EJP246"/>
      <c r="EJQ246"/>
      <c r="EJR246"/>
      <c r="EJS246"/>
      <c r="EJT246"/>
      <c r="EJU246"/>
      <c r="EJV246"/>
      <c r="EJW246"/>
      <c r="EJX246"/>
      <c r="EJY246"/>
      <c r="EJZ246"/>
      <c r="EKA246"/>
      <c r="EKB246"/>
      <c r="EKC246"/>
      <c r="EKD246"/>
      <c r="EKE246"/>
      <c r="EKF246"/>
      <c r="EKG246"/>
      <c r="EKH246"/>
      <c r="EKI246"/>
      <c r="EKJ246"/>
      <c r="EKK246"/>
      <c r="EKL246"/>
      <c r="EKM246"/>
      <c r="EKN246"/>
      <c r="EKO246"/>
      <c r="EKP246"/>
      <c r="EKQ246"/>
      <c r="EKR246"/>
      <c r="EKS246"/>
      <c r="EKT246"/>
      <c r="EKU246"/>
      <c r="EKV246"/>
      <c r="EKW246"/>
      <c r="EKX246"/>
      <c r="EKY246"/>
      <c r="EKZ246"/>
      <c r="ELA246"/>
      <c r="ELB246"/>
      <c r="ELC246"/>
      <c r="ELD246"/>
      <c r="ELE246"/>
      <c r="ELF246"/>
      <c r="ELG246"/>
      <c r="ELH246"/>
      <c r="ELI246"/>
      <c r="ELJ246"/>
      <c r="ELK246"/>
      <c r="ELL246"/>
      <c r="ELM246"/>
      <c r="ELN246"/>
      <c r="ELO246"/>
      <c r="ELP246"/>
      <c r="ELQ246"/>
      <c r="ELR246"/>
      <c r="ELS246"/>
      <c r="ELT246"/>
      <c r="ELU246"/>
      <c r="ELV246"/>
      <c r="ELW246"/>
      <c r="ELX246"/>
      <c r="ELY246"/>
      <c r="ELZ246"/>
      <c r="EMA246"/>
      <c r="EMB246"/>
      <c r="EMC246"/>
      <c r="EMD246"/>
      <c r="EME246"/>
      <c r="EMF246"/>
      <c r="EMG246"/>
      <c r="EMH246"/>
      <c r="EMI246"/>
      <c r="EMJ246"/>
      <c r="EMK246"/>
      <c r="EML246"/>
      <c r="EMM246"/>
      <c r="EMN246"/>
      <c r="EMO246"/>
      <c r="EMP246"/>
      <c r="EMQ246"/>
      <c r="EMR246"/>
      <c r="EMS246"/>
      <c r="EMT246"/>
      <c r="EMU246"/>
      <c r="EMV246"/>
      <c r="EMW246"/>
      <c r="EMX246"/>
      <c r="EMY246"/>
      <c r="EMZ246"/>
      <c r="ENA246"/>
      <c r="ENB246"/>
      <c r="ENC246"/>
      <c r="END246"/>
      <c r="ENE246"/>
      <c r="ENF246"/>
      <c r="ENG246"/>
      <c r="ENH246"/>
      <c r="ENI246"/>
      <c r="ENJ246"/>
      <c r="ENK246"/>
      <c r="ENL246"/>
      <c r="ENM246"/>
      <c r="ENN246"/>
      <c r="ENO246"/>
      <c r="ENP246"/>
      <c r="ENQ246"/>
      <c r="ENR246"/>
      <c r="ENS246"/>
      <c r="ENT246"/>
      <c r="ENU246"/>
      <c r="ENV246"/>
      <c r="ENW246"/>
      <c r="ENX246"/>
      <c r="ENY246"/>
      <c r="ENZ246"/>
      <c r="EOA246"/>
      <c r="EOB246"/>
      <c r="EOC246"/>
      <c r="EOD246"/>
      <c r="EOE246"/>
      <c r="EOF246"/>
      <c r="EOG246"/>
      <c r="EOH246"/>
      <c r="EOI246"/>
      <c r="EOJ246"/>
      <c r="EOK246"/>
      <c r="EOL246"/>
      <c r="EOM246"/>
      <c r="EON246"/>
      <c r="EOO246"/>
      <c r="EOP246"/>
      <c r="EOQ246"/>
      <c r="EOR246"/>
      <c r="EOS246"/>
      <c r="EOT246"/>
      <c r="EOU246"/>
      <c r="EOV246"/>
      <c r="EOW246"/>
      <c r="EOX246"/>
      <c r="EOY246"/>
      <c r="EOZ246"/>
      <c r="EPA246"/>
      <c r="EPB246"/>
      <c r="EPC246"/>
      <c r="EPD246"/>
      <c r="EPE246"/>
      <c r="EPF246"/>
      <c r="EPG246"/>
      <c r="EPH246"/>
      <c r="EPI246"/>
      <c r="EPJ246"/>
      <c r="EPK246"/>
      <c r="EPL246"/>
      <c r="EPM246"/>
      <c r="EPN246"/>
      <c r="EPO246"/>
      <c r="EPP246"/>
      <c r="EPQ246"/>
      <c r="EPR246"/>
      <c r="EPS246"/>
      <c r="EPT246"/>
      <c r="EPU246"/>
      <c r="EPV246"/>
      <c r="EPW246"/>
      <c r="EPX246"/>
      <c r="EPY246"/>
      <c r="EPZ246"/>
      <c r="EQA246"/>
      <c r="EQB246"/>
      <c r="EQC246"/>
      <c r="EQD246"/>
      <c r="EQE246"/>
      <c r="EQF246"/>
      <c r="EQG246"/>
      <c r="EQH246"/>
      <c r="EQI246"/>
      <c r="EQJ246"/>
      <c r="EQK246"/>
      <c r="EQL246"/>
      <c r="EQM246"/>
      <c r="EQN246"/>
      <c r="EQO246"/>
      <c r="EQP246"/>
      <c r="EQQ246"/>
      <c r="EQR246"/>
      <c r="EQS246"/>
      <c r="EQT246"/>
      <c r="EQU246"/>
      <c r="EQV246"/>
      <c r="EQW246"/>
      <c r="EQX246"/>
      <c r="EQY246"/>
      <c r="EQZ246"/>
      <c r="ERA246"/>
      <c r="ERB246"/>
      <c r="ERC246"/>
      <c r="ERD246"/>
      <c r="ERE246"/>
      <c r="ERF246"/>
      <c r="ERG246"/>
      <c r="ERH246"/>
      <c r="ERI246"/>
      <c r="ERJ246"/>
      <c r="ERK246"/>
      <c r="ERL246"/>
      <c r="ERM246"/>
      <c r="ERN246"/>
      <c r="ERO246"/>
      <c r="ERP246"/>
      <c r="ERQ246"/>
      <c r="ERR246"/>
      <c r="ERS246"/>
      <c r="ERT246"/>
      <c r="ERU246"/>
      <c r="ERV246"/>
      <c r="ERW246"/>
      <c r="ERX246"/>
      <c r="ERY246"/>
      <c r="ERZ246"/>
      <c r="ESA246"/>
      <c r="ESB246"/>
      <c r="ESC246"/>
      <c r="ESD246"/>
      <c r="ESE246"/>
      <c r="ESF246"/>
      <c r="ESG246"/>
      <c r="ESH246"/>
      <c r="ESI246"/>
      <c r="ESJ246"/>
      <c r="ESK246"/>
      <c r="ESL246"/>
      <c r="ESM246"/>
      <c r="ESN246"/>
      <c r="ESO246"/>
      <c r="ESP246"/>
      <c r="ESQ246"/>
      <c r="ESR246"/>
      <c r="ESS246"/>
      <c r="EST246"/>
      <c r="ESU246"/>
      <c r="ESV246"/>
      <c r="ESW246"/>
      <c r="ESX246"/>
      <c r="ESY246"/>
      <c r="ESZ246"/>
      <c r="ETA246"/>
      <c r="ETB246"/>
      <c r="ETC246"/>
      <c r="ETD246"/>
      <c r="ETE246"/>
      <c r="ETF246"/>
      <c r="ETG246"/>
      <c r="ETH246"/>
      <c r="ETI246"/>
      <c r="ETJ246"/>
      <c r="ETK246"/>
      <c r="ETL246"/>
      <c r="ETM246"/>
      <c r="ETN246"/>
      <c r="ETO246"/>
      <c r="ETP246"/>
      <c r="ETQ246"/>
      <c r="ETR246"/>
      <c r="ETS246"/>
      <c r="ETT246"/>
      <c r="ETU246"/>
      <c r="ETV246"/>
      <c r="ETW246"/>
      <c r="ETX246"/>
      <c r="ETY246"/>
      <c r="ETZ246"/>
      <c r="EUA246"/>
      <c r="EUB246"/>
      <c r="EUC246"/>
      <c r="EUD246"/>
      <c r="EUE246"/>
      <c r="EUF246"/>
      <c r="EUG246"/>
      <c r="EUH246"/>
      <c r="EUI246"/>
      <c r="EUJ246"/>
      <c r="EUK246"/>
      <c r="EUL246"/>
      <c r="EUM246"/>
      <c r="EUN246"/>
      <c r="EUO246"/>
      <c r="EUP246"/>
      <c r="EUQ246"/>
      <c r="EUR246"/>
      <c r="EUS246"/>
      <c r="EUT246"/>
      <c r="EUU246"/>
      <c r="EUV246"/>
      <c r="EUW246"/>
      <c r="EUX246"/>
      <c r="EUY246"/>
      <c r="EUZ246"/>
      <c r="EVA246"/>
      <c r="EVB246"/>
      <c r="EVC246"/>
      <c r="EVD246"/>
      <c r="EVE246"/>
      <c r="EVF246"/>
      <c r="EVG246"/>
      <c r="EVH246"/>
      <c r="EVI246"/>
      <c r="EVJ246"/>
      <c r="EVK246"/>
      <c r="EVL246"/>
      <c r="EVM246"/>
      <c r="EVN246"/>
      <c r="EVO246"/>
      <c r="EVP246"/>
      <c r="EVQ246"/>
      <c r="EVR246"/>
      <c r="EVS246"/>
      <c r="EVT246"/>
      <c r="EVU246"/>
      <c r="EVV246"/>
      <c r="EVW246"/>
      <c r="EVX246"/>
      <c r="EVY246"/>
      <c r="EVZ246"/>
      <c r="EWA246"/>
      <c r="EWB246"/>
      <c r="EWC246"/>
      <c r="EWD246"/>
      <c r="EWE246"/>
      <c r="EWF246"/>
      <c r="EWG246"/>
      <c r="EWH246"/>
      <c r="EWI246"/>
      <c r="EWJ246"/>
      <c r="EWK246"/>
      <c r="EWL246"/>
      <c r="EWM246"/>
      <c r="EWN246"/>
      <c r="EWO246"/>
      <c r="EWP246"/>
      <c r="EWQ246"/>
      <c r="EWR246"/>
      <c r="EWS246"/>
      <c r="EWT246"/>
      <c r="EWU246"/>
      <c r="EWV246"/>
      <c r="EWW246"/>
      <c r="EWX246"/>
      <c r="EWY246"/>
      <c r="EWZ246"/>
      <c r="EXA246"/>
      <c r="EXB246"/>
      <c r="EXC246"/>
      <c r="EXD246"/>
      <c r="EXE246"/>
      <c r="EXF246"/>
      <c r="EXG246"/>
      <c r="EXH246"/>
      <c r="EXI246"/>
      <c r="EXJ246"/>
      <c r="EXK246"/>
      <c r="EXL246"/>
      <c r="EXM246"/>
      <c r="EXN246"/>
      <c r="EXO246"/>
      <c r="EXP246"/>
      <c r="EXQ246"/>
      <c r="EXR246"/>
      <c r="EXS246"/>
      <c r="EXT246"/>
      <c r="EXU246"/>
      <c r="EXV246"/>
      <c r="EXW246"/>
      <c r="EXX246"/>
      <c r="EXY246"/>
      <c r="EXZ246"/>
      <c r="EYA246"/>
      <c r="EYB246"/>
      <c r="EYC246"/>
      <c r="EYD246"/>
      <c r="EYE246"/>
      <c r="EYF246"/>
      <c r="EYG246"/>
      <c r="EYH246"/>
      <c r="EYI246"/>
      <c r="EYJ246"/>
      <c r="EYK246"/>
      <c r="EYL246"/>
      <c r="EYM246"/>
      <c r="EYN246"/>
      <c r="EYO246"/>
      <c r="EYP246"/>
      <c r="EYQ246"/>
      <c r="EYR246"/>
      <c r="EYS246"/>
      <c r="EYT246"/>
      <c r="EYU246"/>
      <c r="EYV246"/>
      <c r="EYW246"/>
      <c r="EYX246"/>
      <c r="EYY246"/>
      <c r="EYZ246"/>
      <c r="EZA246"/>
      <c r="EZB246"/>
      <c r="EZC246"/>
      <c r="EZD246"/>
      <c r="EZE246"/>
      <c r="EZF246"/>
      <c r="EZG246"/>
      <c r="EZH246"/>
      <c r="EZI246"/>
      <c r="EZJ246"/>
      <c r="EZK246"/>
      <c r="EZL246"/>
      <c r="EZM246"/>
      <c r="EZN246"/>
      <c r="EZO246"/>
      <c r="EZP246"/>
      <c r="EZQ246"/>
      <c r="EZR246"/>
      <c r="EZS246"/>
      <c r="EZT246"/>
      <c r="EZU246"/>
      <c r="EZV246"/>
      <c r="EZW246"/>
      <c r="EZX246"/>
      <c r="EZY246"/>
      <c r="EZZ246"/>
      <c r="FAA246"/>
      <c r="FAB246"/>
      <c r="FAC246"/>
      <c r="FAD246"/>
      <c r="FAE246"/>
      <c r="FAF246"/>
      <c r="FAG246"/>
      <c r="FAH246"/>
      <c r="FAI246"/>
      <c r="FAJ246"/>
      <c r="FAK246"/>
      <c r="FAL246"/>
      <c r="FAM246"/>
      <c r="FAN246"/>
      <c r="FAO246"/>
      <c r="FAP246"/>
      <c r="FAQ246"/>
      <c r="FAR246"/>
      <c r="FAS246"/>
      <c r="FAT246"/>
      <c r="FAU246"/>
      <c r="FAV246"/>
      <c r="FAW246"/>
      <c r="FAX246"/>
      <c r="FAY246"/>
      <c r="FAZ246"/>
      <c r="FBA246"/>
      <c r="FBB246"/>
      <c r="FBC246"/>
      <c r="FBD246"/>
      <c r="FBE246"/>
      <c r="FBF246"/>
      <c r="FBG246"/>
      <c r="FBH246"/>
      <c r="FBI246"/>
      <c r="FBJ246"/>
      <c r="FBK246"/>
      <c r="FBL246"/>
      <c r="FBM246"/>
      <c r="FBN246"/>
      <c r="FBO246"/>
      <c r="FBP246"/>
      <c r="FBQ246"/>
      <c r="FBR246"/>
      <c r="FBS246"/>
      <c r="FBT246"/>
      <c r="FBU246"/>
      <c r="FBV246"/>
      <c r="FBW246"/>
      <c r="FBX246"/>
      <c r="FBY246"/>
      <c r="FBZ246"/>
      <c r="FCA246"/>
      <c r="FCB246"/>
      <c r="FCC246"/>
      <c r="FCD246"/>
      <c r="FCE246"/>
      <c r="FCF246"/>
      <c r="FCG246"/>
      <c r="FCH246"/>
      <c r="FCI246"/>
      <c r="FCJ246"/>
      <c r="FCK246"/>
      <c r="FCL246"/>
      <c r="FCM246"/>
      <c r="FCN246"/>
      <c r="FCO246"/>
      <c r="FCP246"/>
      <c r="FCQ246"/>
      <c r="FCR246"/>
      <c r="FCS246"/>
      <c r="FCT246"/>
      <c r="FCU246"/>
      <c r="FCV246"/>
      <c r="FCW246"/>
      <c r="FCX246"/>
      <c r="FCY246"/>
      <c r="FCZ246"/>
      <c r="FDA246"/>
      <c r="FDB246"/>
      <c r="FDC246"/>
      <c r="FDD246"/>
      <c r="FDE246"/>
      <c r="FDF246"/>
      <c r="FDG246"/>
      <c r="FDH246"/>
      <c r="FDI246"/>
      <c r="FDJ246"/>
      <c r="FDK246"/>
      <c r="FDL246"/>
      <c r="FDM246"/>
      <c r="FDN246"/>
      <c r="FDO246"/>
      <c r="FDP246"/>
      <c r="FDQ246"/>
      <c r="FDR246"/>
      <c r="FDS246"/>
      <c r="FDT246"/>
      <c r="FDU246"/>
      <c r="FDV246"/>
      <c r="FDW246"/>
      <c r="FDX246"/>
      <c r="FDY246"/>
      <c r="FDZ246"/>
      <c r="FEA246"/>
      <c r="FEB246"/>
      <c r="FEC246"/>
      <c r="FED246"/>
      <c r="FEE246"/>
      <c r="FEF246"/>
      <c r="FEG246"/>
      <c r="FEH246"/>
      <c r="FEI246"/>
      <c r="FEJ246"/>
      <c r="FEK246"/>
      <c r="FEL246"/>
      <c r="FEM246"/>
      <c r="FEN246"/>
      <c r="FEO246"/>
      <c r="FEP246"/>
      <c r="FEQ246"/>
      <c r="FER246"/>
      <c r="FES246"/>
      <c r="FET246"/>
      <c r="FEU246"/>
      <c r="FEV246"/>
      <c r="FEW246"/>
      <c r="FEX246"/>
      <c r="FEY246"/>
      <c r="FEZ246"/>
      <c r="FFA246"/>
      <c r="FFB246"/>
      <c r="FFC246"/>
      <c r="FFD246"/>
      <c r="FFE246"/>
      <c r="FFF246"/>
      <c r="FFG246"/>
      <c r="FFH246"/>
      <c r="FFI246"/>
      <c r="FFJ246"/>
      <c r="FFK246"/>
      <c r="FFL246"/>
      <c r="FFM246"/>
      <c r="FFN246"/>
      <c r="FFO246"/>
      <c r="FFP246"/>
      <c r="FFQ246"/>
      <c r="FFR246"/>
      <c r="FFS246"/>
      <c r="FFT246"/>
      <c r="FFU246"/>
      <c r="FFV246"/>
      <c r="FFW246"/>
      <c r="FFX246"/>
      <c r="FFY246"/>
      <c r="FFZ246"/>
      <c r="FGA246"/>
      <c r="FGB246"/>
      <c r="FGC246"/>
      <c r="FGD246"/>
      <c r="FGE246"/>
      <c r="FGF246"/>
      <c r="FGG246"/>
      <c r="FGH246"/>
      <c r="FGI246"/>
      <c r="FGJ246"/>
      <c r="FGK246"/>
      <c r="FGL246"/>
      <c r="FGM246"/>
      <c r="FGN246"/>
      <c r="FGO246"/>
      <c r="FGP246"/>
      <c r="FGQ246"/>
      <c r="FGR246"/>
      <c r="FGS246"/>
      <c r="FGT246"/>
      <c r="FGU246"/>
      <c r="FGV246"/>
      <c r="FGW246"/>
      <c r="FGX246"/>
      <c r="FGY246"/>
      <c r="FGZ246"/>
      <c r="FHA246"/>
      <c r="FHB246"/>
      <c r="FHC246"/>
      <c r="FHD246"/>
      <c r="FHE246"/>
      <c r="FHF246"/>
      <c r="FHG246"/>
      <c r="FHH246"/>
      <c r="FHI246"/>
      <c r="FHJ246"/>
      <c r="FHK246"/>
      <c r="FHL246"/>
      <c r="FHM246"/>
      <c r="FHN246"/>
      <c r="FHO246"/>
      <c r="FHP246"/>
      <c r="FHQ246"/>
      <c r="FHR246"/>
      <c r="FHS246"/>
      <c r="FHT246"/>
      <c r="FHU246"/>
      <c r="FHV246"/>
      <c r="FHW246"/>
      <c r="FHX246"/>
      <c r="FHY246"/>
      <c r="FHZ246"/>
      <c r="FIA246"/>
      <c r="FIB246"/>
      <c r="FIC246"/>
      <c r="FID246"/>
      <c r="FIE246"/>
      <c r="FIF246"/>
      <c r="FIG246"/>
      <c r="FIH246"/>
      <c r="FII246"/>
      <c r="FIJ246"/>
      <c r="FIK246"/>
      <c r="FIL246"/>
      <c r="FIM246"/>
      <c r="FIN246"/>
      <c r="FIO246"/>
      <c r="FIP246"/>
      <c r="FIQ246"/>
      <c r="FIR246"/>
      <c r="FIS246"/>
      <c r="FIT246"/>
      <c r="FIU246"/>
      <c r="FIV246"/>
      <c r="FIW246"/>
      <c r="FIX246"/>
      <c r="FIY246"/>
      <c r="FIZ246"/>
      <c r="FJA246"/>
      <c r="FJB246"/>
      <c r="FJC246"/>
      <c r="FJD246"/>
      <c r="FJE246"/>
      <c r="FJF246"/>
      <c r="FJG246"/>
      <c r="FJH246"/>
      <c r="FJI246"/>
      <c r="FJJ246"/>
      <c r="FJK246"/>
      <c r="FJL246"/>
      <c r="FJM246"/>
      <c r="FJN246"/>
      <c r="FJO246"/>
      <c r="FJP246"/>
      <c r="FJQ246"/>
      <c r="FJR246"/>
      <c r="FJS246"/>
      <c r="FJT246"/>
      <c r="FJU246"/>
      <c r="FJV246"/>
      <c r="FJW246"/>
      <c r="FJX246"/>
      <c r="FJY246"/>
      <c r="FJZ246"/>
      <c r="FKA246"/>
      <c r="FKB246"/>
      <c r="FKC246"/>
      <c r="FKD246"/>
      <c r="FKE246"/>
      <c r="FKF246"/>
      <c r="FKG246"/>
      <c r="FKH246"/>
      <c r="FKI246"/>
      <c r="FKJ246"/>
      <c r="FKK246"/>
      <c r="FKL246"/>
      <c r="FKM246"/>
      <c r="FKN246"/>
      <c r="FKO246"/>
      <c r="FKP246"/>
      <c r="FKQ246"/>
      <c r="FKR246"/>
      <c r="FKS246"/>
      <c r="FKT246"/>
      <c r="FKU246"/>
      <c r="FKV246"/>
      <c r="FKW246"/>
      <c r="FKX246"/>
      <c r="FKY246"/>
      <c r="FKZ246"/>
      <c r="FLA246"/>
      <c r="FLB246"/>
      <c r="FLC246"/>
      <c r="FLD246"/>
      <c r="FLE246"/>
      <c r="FLF246"/>
      <c r="FLG246"/>
      <c r="FLH246"/>
      <c r="FLI246"/>
      <c r="FLJ246"/>
      <c r="FLK246"/>
      <c r="FLL246"/>
      <c r="FLM246"/>
      <c r="FLN246"/>
      <c r="FLO246"/>
      <c r="FLP246"/>
      <c r="FLQ246"/>
      <c r="FLR246"/>
      <c r="FLS246"/>
      <c r="FLT246"/>
      <c r="FLU246"/>
      <c r="FLV246"/>
      <c r="FLW246"/>
      <c r="FLX246"/>
      <c r="FLY246"/>
      <c r="FLZ246"/>
      <c r="FMA246"/>
      <c r="FMB246"/>
      <c r="FMC246"/>
      <c r="FMD246"/>
      <c r="FME246"/>
      <c r="FMF246"/>
      <c r="FMG246"/>
      <c r="FMH246"/>
      <c r="FMI246"/>
      <c r="FMJ246"/>
      <c r="FMK246"/>
      <c r="FML246"/>
      <c r="FMM246"/>
      <c r="FMN246"/>
      <c r="FMO246"/>
      <c r="FMP246"/>
      <c r="FMQ246"/>
      <c r="FMR246"/>
      <c r="FMS246"/>
      <c r="FMT246"/>
      <c r="FMU246"/>
      <c r="FMV246"/>
      <c r="FMW246"/>
      <c r="FMX246"/>
      <c r="FMY246"/>
      <c r="FMZ246"/>
      <c r="FNA246"/>
      <c r="FNB246"/>
      <c r="FNC246"/>
      <c r="FND246"/>
      <c r="FNE246"/>
      <c r="FNF246"/>
      <c r="FNG246"/>
      <c r="FNH246"/>
      <c r="FNI246"/>
      <c r="FNJ246"/>
      <c r="FNK246"/>
      <c r="FNL246"/>
      <c r="FNM246"/>
      <c r="FNN246"/>
      <c r="FNO246"/>
      <c r="FNP246"/>
      <c r="FNQ246"/>
      <c r="FNR246"/>
      <c r="FNS246"/>
      <c r="FNT246"/>
      <c r="FNU246"/>
      <c r="FNV246"/>
      <c r="FNW246"/>
      <c r="FNX246"/>
      <c r="FNY246"/>
      <c r="FNZ246"/>
      <c r="FOA246"/>
      <c r="FOB246"/>
      <c r="FOC246"/>
      <c r="FOD246"/>
      <c r="FOE246"/>
      <c r="FOF246"/>
      <c r="FOG246"/>
      <c r="FOH246"/>
      <c r="FOI246"/>
      <c r="FOJ246"/>
      <c r="FOK246"/>
      <c r="FOL246"/>
      <c r="FOM246"/>
      <c r="FON246"/>
      <c r="FOO246"/>
      <c r="FOP246"/>
      <c r="FOQ246"/>
      <c r="FOR246"/>
      <c r="FOS246"/>
      <c r="FOT246"/>
      <c r="FOU246"/>
      <c r="FOV246"/>
      <c r="FOW246"/>
      <c r="FOX246"/>
      <c r="FOY246"/>
      <c r="FOZ246"/>
      <c r="FPA246"/>
      <c r="FPB246"/>
      <c r="FPC246"/>
      <c r="FPD246"/>
      <c r="FPE246"/>
      <c r="FPF246"/>
      <c r="FPG246"/>
      <c r="FPH246"/>
      <c r="FPI246"/>
      <c r="FPJ246"/>
      <c r="FPK246"/>
      <c r="FPL246"/>
      <c r="FPM246"/>
      <c r="FPN246"/>
      <c r="FPO246"/>
      <c r="FPP246"/>
      <c r="FPQ246"/>
      <c r="FPR246"/>
      <c r="FPS246"/>
      <c r="FPT246"/>
      <c r="FPU246"/>
      <c r="FPV246"/>
      <c r="FPW246"/>
      <c r="FPX246"/>
      <c r="FPY246"/>
      <c r="FPZ246"/>
      <c r="FQA246"/>
      <c r="FQB246"/>
      <c r="FQC246"/>
      <c r="FQD246"/>
      <c r="FQE246"/>
      <c r="FQF246"/>
      <c r="FQG246"/>
      <c r="FQH246"/>
      <c r="FQI246"/>
      <c r="FQJ246"/>
      <c r="FQK246"/>
      <c r="FQL246"/>
      <c r="FQM246"/>
      <c r="FQN246"/>
      <c r="FQO246"/>
      <c r="FQP246"/>
      <c r="FQQ246"/>
      <c r="FQR246"/>
      <c r="FQS246"/>
      <c r="FQT246"/>
      <c r="FQU246"/>
      <c r="FQV246"/>
      <c r="FQW246"/>
      <c r="FQX246"/>
      <c r="FQY246"/>
      <c r="FQZ246"/>
      <c r="FRA246"/>
      <c r="FRB246"/>
      <c r="FRC246"/>
      <c r="FRD246"/>
      <c r="FRE246"/>
      <c r="FRF246"/>
      <c r="FRG246"/>
      <c r="FRH246"/>
      <c r="FRI246"/>
      <c r="FRJ246"/>
      <c r="FRK246"/>
      <c r="FRL246"/>
      <c r="FRM246"/>
      <c r="FRN246"/>
      <c r="FRO246"/>
      <c r="FRP246"/>
      <c r="FRQ246"/>
      <c r="FRR246"/>
      <c r="FRS246"/>
      <c r="FRT246"/>
      <c r="FRU246"/>
      <c r="FRV246"/>
      <c r="FRW246"/>
      <c r="FRX246"/>
      <c r="FRY246"/>
      <c r="FRZ246"/>
      <c r="FSA246"/>
      <c r="FSB246"/>
      <c r="FSC246"/>
      <c r="FSD246"/>
      <c r="FSE246"/>
      <c r="FSF246"/>
      <c r="FSG246"/>
      <c r="FSH246"/>
      <c r="FSI246"/>
      <c r="FSJ246"/>
      <c r="FSK246"/>
      <c r="FSL246"/>
      <c r="FSM246"/>
      <c r="FSN246"/>
      <c r="FSO246"/>
      <c r="FSP246"/>
      <c r="FSQ246"/>
      <c r="FSR246"/>
      <c r="FSS246"/>
      <c r="FST246"/>
      <c r="FSU246"/>
      <c r="FSV246"/>
      <c r="FSW246"/>
      <c r="FSX246"/>
      <c r="FSY246"/>
      <c r="FSZ246"/>
      <c r="FTA246"/>
      <c r="FTB246"/>
      <c r="FTC246"/>
      <c r="FTD246"/>
      <c r="FTE246"/>
      <c r="FTF246"/>
      <c r="FTG246"/>
      <c r="FTH246"/>
      <c r="FTI246"/>
      <c r="FTJ246"/>
      <c r="FTK246"/>
      <c r="FTL246"/>
      <c r="FTM246"/>
      <c r="FTN246"/>
      <c r="FTO246"/>
      <c r="FTP246"/>
      <c r="FTQ246"/>
      <c r="FTR246"/>
      <c r="FTS246"/>
      <c r="FTT246"/>
      <c r="FTU246"/>
      <c r="FTV246"/>
      <c r="FTW246"/>
      <c r="FTX246"/>
      <c r="FTY246"/>
      <c r="FTZ246"/>
      <c r="FUA246"/>
      <c r="FUB246"/>
      <c r="FUC246"/>
      <c r="FUD246"/>
      <c r="FUE246"/>
      <c r="FUF246"/>
      <c r="FUG246"/>
      <c r="FUH246"/>
      <c r="FUI246"/>
      <c r="FUJ246"/>
      <c r="FUK246"/>
      <c r="FUL246"/>
      <c r="FUM246"/>
      <c r="FUN246"/>
      <c r="FUO246"/>
      <c r="FUP246"/>
      <c r="FUQ246"/>
      <c r="FUR246"/>
      <c r="FUS246"/>
      <c r="FUT246"/>
      <c r="FUU246"/>
      <c r="FUV246"/>
      <c r="FUW246"/>
      <c r="FUX246"/>
      <c r="FUY246"/>
      <c r="FUZ246"/>
      <c r="FVA246"/>
      <c r="FVB246"/>
      <c r="FVC246"/>
      <c r="FVD246"/>
      <c r="FVE246"/>
      <c r="FVF246"/>
      <c r="FVG246"/>
      <c r="FVH246"/>
      <c r="FVI246"/>
      <c r="FVJ246"/>
      <c r="FVK246"/>
      <c r="FVL246"/>
      <c r="FVM246"/>
      <c r="FVN246"/>
      <c r="FVO246"/>
      <c r="FVP246"/>
      <c r="FVQ246"/>
      <c r="FVR246"/>
      <c r="FVS246"/>
      <c r="FVT246"/>
      <c r="FVU246"/>
      <c r="FVV246"/>
      <c r="FVW246"/>
      <c r="FVX246"/>
      <c r="FVY246"/>
      <c r="FVZ246"/>
      <c r="FWA246"/>
      <c r="FWB246"/>
      <c r="FWC246"/>
      <c r="FWD246"/>
      <c r="FWE246"/>
      <c r="FWF246"/>
      <c r="FWG246"/>
      <c r="FWH246"/>
      <c r="FWI246"/>
      <c r="FWJ246"/>
      <c r="FWK246"/>
      <c r="FWL246"/>
      <c r="FWM246"/>
      <c r="FWN246"/>
      <c r="FWO246"/>
      <c r="FWP246"/>
      <c r="FWQ246"/>
      <c r="FWR246"/>
      <c r="FWS246"/>
      <c r="FWT246"/>
      <c r="FWU246"/>
      <c r="FWV246"/>
      <c r="FWW246"/>
      <c r="FWX246"/>
      <c r="FWY246"/>
      <c r="FWZ246"/>
      <c r="FXA246"/>
      <c r="FXB246"/>
      <c r="FXC246"/>
      <c r="FXD246"/>
      <c r="FXE246"/>
      <c r="FXF246"/>
      <c r="FXG246"/>
      <c r="FXH246"/>
      <c r="FXI246"/>
      <c r="FXJ246"/>
      <c r="FXK246"/>
      <c r="FXL246"/>
      <c r="FXM246"/>
      <c r="FXN246"/>
      <c r="FXO246"/>
      <c r="FXP246"/>
      <c r="FXQ246"/>
      <c r="FXR246"/>
      <c r="FXS246"/>
      <c r="FXT246"/>
      <c r="FXU246"/>
      <c r="FXV246"/>
      <c r="FXW246"/>
      <c r="FXX246"/>
      <c r="FXY246"/>
      <c r="FXZ246"/>
      <c r="FYA246"/>
      <c r="FYB246"/>
      <c r="FYC246"/>
      <c r="FYD246"/>
      <c r="FYE246"/>
      <c r="FYF246"/>
      <c r="FYG246"/>
      <c r="FYH246"/>
      <c r="FYI246"/>
      <c r="FYJ246"/>
      <c r="FYK246"/>
      <c r="FYL246"/>
      <c r="FYM246"/>
      <c r="FYN246"/>
      <c r="FYO246"/>
      <c r="FYP246"/>
      <c r="FYQ246"/>
      <c r="FYR246"/>
      <c r="FYS246"/>
      <c r="FYT246"/>
      <c r="FYU246"/>
      <c r="FYV246"/>
      <c r="FYW246"/>
      <c r="FYX246"/>
      <c r="FYY246"/>
      <c r="FYZ246"/>
      <c r="FZA246"/>
      <c r="FZB246"/>
      <c r="FZC246"/>
      <c r="FZD246"/>
      <c r="FZE246"/>
      <c r="FZF246"/>
      <c r="FZG246"/>
      <c r="FZH246"/>
      <c r="FZI246"/>
      <c r="FZJ246"/>
      <c r="FZK246"/>
      <c r="FZL246"/>
      <c r="FZM246"/>
      <c r="FZN246"/>
      <c r="FZO246"/>
      <c r="FZP246"/>
      <c r="FZQ246"/>
      <c r="FZR246"/>
      <c r="FZS246"/>
      <c r="FZT246"/>
      <c r="FZU246"/>
      <c r="FZV246"/>
      <c r="FZW246"/>
      <c r="FZX246"/>
      <c r="FZY246"/>
      <c r="FZZ246"/>
      <c r="GAA246"/>
      <c r="GAB246"/>
      <c r="GAC246"/>
      <c r="GAD246"/>
      <c r="GAE246"/>
      <c r="GAF246"/>
      <c r="GAG246"/>
      <c r="GAH246"/>
      <c r="GAI246"/>
      <c r="GAJ246"/>
      <c r="GAK246"/>
      <c r="GAL246"/>
      <c r="GAM246"/>
      <c r="GAN246"/>
      <c r="GAO246"/>
      <c r="GAP246"/>
      <c r="GAQ246"/>
      <c r="GAR246"/>
      <c r="GAS246"/>
      <c r="GAT246"/>
      <c r="GAU246"/>
      <c r="GAV246"/>
      <c r="GAW246"/>
      <c r="GAX246"/>
      <c r="GAY246"/>
      <c r="GAZ246"/>
      <c r="GBA246"/>
      <c r="GBB246"/>
      <c r="GBC246"/>
      <c r="GBD246"/>
      <c r="GBE246"/>
      <c r="GBF246"/>
      <c r="GBG246"/>
      <c r="GBH246"/>
      <c r="GBI246"/>
      <c r="GBJ246"/>
      <c r="GBK246"/>
      <c r="GBL246"/>
      <c r="GBM246"/>
      <c r="GBN246"/>
      <c r="GBO246"/>
      <c r="GBP246"/>
      <c r="GBQ246"/>
      <c r="GBR246"/>
      <c r="GBS246"/>
      <c r="GBT246"/>
      <c r="GBU246"/>
      <c r="GBV246"/>
      <c r="GBW246"/>
      <c r="GBX246"/>
      <c r="GBY246"/>
      <c r="GBZ246"/>
      <c r="GCA246"/>
      <c r="GCB246"/>
      <c r="GCC246"/>
      <c r="GCD246"/>
      <c r="GCE246"/>
      <c r="GCF246"/>
      <c r="GCG246"/>
      <c r="GCH246"/>
      <c r="GCI246"/>
      <c r="GCJ246"/>
      <c r="GCK246"/>
      <c r="GCL246"/>
      <c r="GCM246"/>
      <c r="GCN246"/>
      <c r="GCO246"/>
      <c r="GCP246"/>
      <c r="GCQ246"/>
      <c r="GCR246"/>
      <c r="GCS246"/>
      <c r="GCT246"/>
      <c r="GCU246"/>
      <c r="GCV246"/>
      <c r="GCW246"/>
      <c r="GCX246"/>
      <c r="GCY246"/>
      <c r="GCZ246"/>
      <c r="GDA246"/>
      <c r="GDB246"/>
      <c r="GDC246"/>
      <c r="GDD246"/>
      <c r="GDE246"/>
      <c r="GDF246"/>
      <c r="GDG246"/>
      <c r="GDH246"/>
      <c r="GDI246"/>
      <c r="GDJ246"/>
      <c r="GDK246"/>
      <c r="GDL246"/>
      <c r="GDM246"/>
      <c r="GDN246"/>
      <c r="GDO246"/>
      <c r="GDP246"/>
      <c r="GDQ246"/>
      <c r="GDR246"/>
      <c r="GDS246"/>
      <c r="GDT246"/>
      <c r="GDU246"/>
      <c r="GDV246"/>
      <c r="GDW246"/>
      <c r="GDX246"/>
      <c r="GDY246"/>
      <c r="GDZ246"/>
      <c r="GEA246"/>
      <c r="GEB246"/>
      <c r="GEC246"/>
      <c r="GED246"/>
      <c r="GEE246"/>
      <c r="GEF246"/>
      <c r="GEG246"/>
      <c r="GEH246"/>
      <c r="GEI246"/>
      <c r="GEJ246"/>
      <c r="GEK246"/>
      <c r="GEL246"/>
      <c r="GEM246"/>
      <c r="GEN246"/>
      <c r="GEO246"/>
      <c r="GEP246"/>
      <c r="GEQ246"/>
      <c r="GER246"/>
      <c r="GES246"/>
      <c r="GET246"/>
      <c r="GEU246"/>
      <c r="GEV246"/>
      <c r="GEW246"/>
      <c r="GEX246"/>
      <c r="GEY246"/>
      <c r="GEZ246"/>
      <c r="GFA246"/>
      <c r="GFB246"/>
      <c r="GFC246"/>
      <c r="GFD246"/>
      <c r="GFE246"/>
      <c r="GFF246"/>
      <c r="GFG246"/>
      <c r="GFH246"/>
      <c r="GFI246"/>
      <c r="GFJ246"/>
      <c r="GFK246"/>
      <c r="GFL246"/>
      <c r="GFM246"/>
      <c r="GFN246"/>
      <c r="GFO246"/>
      <c r="GFP246"/>
      <c r="GFQ246"/>
      <c r="GFR246"/>
      <c r="GFS246"/>
      <c r="GFT246"/>
      <c r="GFU246"/>
      <c r="GFV246"/>
      <c r="GFW246"/>
      <c r="GFX246"/>
      <c r="GFY246"/>
      <c r="GFZ246"/>
      <c r="GGA246"/>
      <c r="GGB246"/>
      <c r="GGC246"/>
      <c r="GGD246"/>
      <c r="GGE246"/>
      <c r="GGF246"/>
      <c r="GGG246"/>
      <c r="GGH246"/>
      <c r="GGI246"/>
      <c r="GGJ246"/>
      <c r="GGK246"/>
      <c r="GGL246"/>
      <c r="GGM246"/>
      <c r="GGN246"/>
      <c r="GGO246"/>
      <c r="GGP246"/>
      <c r="GGQ246"/>
      <c r="GGR246"/>
      <c r="GGS246"/>
      <c r="GGT246"/>
      <c r="GGU246"/>
      <c r="GGV246"/>
      <c r="GGW246"/>
      <c r="GGX246"/>
      <c r="GGY246"/>
      <c r="GGZ246"/>
      <c r="GHA246"/>
      <c r="GHB246"/>
      <c r="GHC246"/>
      <c r="GHD246"/>
      <c r="GHE246"/>
      <c r="GHF246"/>
      <c r="GHG246"/>
      <c r="GHH246"/>
      <c r="GHI246"/>
      <c r="GHJ246"/>
      <c r="GHK246"/>
      <c r="GHL246"/>
      <c r="GHM246"/>
      <c r="GHN246"/>
      <c r="GHO246"/>
      <c r="GHP246"/>
      <c r="GHQ246"/>
      <c r="GHR246"/>
      <c r="GHS246"/>
      <c r="GHT246"/>
      <c r="GHU246"/>
      <c r="GHV246"/>
      <c r="GHW246"/>
      <c r="GHX246"/>
      <c r="GHY246"/>
      <c r="GHZ246"/>
      <c r="GIA246"/>
      <c r="GIB246"/>
      <c r="GIC246"/>
      <c r="GID246"/>
      <c r="GIE246"/>
      <c r="GIF246"/>
      <c r="GIG246"/>
      <c r="GIH246"/>
      <c r="GII246"/>
      <c r="GIJ246"/>
      <c r="GIK246"/>
      <c r="GIL246"/>
      <c r="GIM246"/>
      <c r="GIN246"/>
      <c r="GIO246"/>
      <c r="GIP246"/>
      <c r="GIQ246"/>
      <c r="GIR246"/>
      <c r="GIS246"/>
      <c r="GIT246"/>
      <c r="GIU246"/>
      <c r="GIV246"/>
      <c r="GIW246"/>
      <c r="GIX246"/>
      <c r="GIY246"/>
      <c r="GIZ246"/>
      <c r="GJA246"/>
      <c r="GJB246"/>
      <c r="GJC246"/>
      <c r="GJD246"/>
      <c r="GJE246"/>
      <c r="GJF246"/>
      <c r="GJG246"/>
      <c r="GJH246"/>
      <c r="GJI246"/>
      <c r="GJJ246"/>
      <c r="GJK246"/>
      <c r="GJL246"/>
      <c r="GJM246"/>
      <c r="GJN246"/>
      <c r="GJO246"/>
      <c r="GJP246"/>
      <c r="GJQ246"/>
      <c r="GJR246"/>
      <c r="GJS246"/>
      <c r="GJT246"/>
      <c r="GJU246"/>
      <c r="GJV246"/>
      <c r="GJW246"/>
      <c r="GJX246"/>
      <c r="GJY246"/>
      <c r="GJZ246"/>
      <c r="GKA246"/>
      <c r="GKB246"/>
      <c r="GKC246"/>
      <c r="GKD246"/>
      <c r="GKE246"/>
      <c r="GKF246"/>
      <c r="GKG246"/>
      <c r="GKH246"/>
      <c r="GKI246"/>
      <c r="GKJ246"/>
      <c r="GKK246"/>
      <c r="GKL246"/>
      <c r="GKM246"/>
      <c r="GKN246"/>
      <c r="GKO246"/>
      <c r="GKP246"/>
      <c r="GKQ246"/>
      <c r="GKR246"/>
      <c r="GKS246"/>
      <c r="GKT246"/>
      <c r="GKU246"/>
      <c r="GKV246"/>
      <c r="GKW246"/>
      <c r="GKX246"/>
      <c r="GKY246"/>
      <c r="GKZ246"/>
      <c r="GLA246"/>
      <c r="GLB246"/>
      <c r="GLC246"/>
      <c r="GLD246"/>
      <c r="GLE246"/>
      <c r="GLF246"/>
      <c r="GLG246"/>
      <c r="GLH246"/>
      <c r="GLI246"/>
      <c r="GLJ246"/>
      <c r="GLK246"/>
      <c r="GLL246"/>
      <c r="GLM246"/>
      <c r="GLN246"/>
      <c r="GLO246"/>
      <c r="GLP246"/>
      <c r="GLQ246"/>
      <c r="GLR246"/>
      <c r="GLS246"/>
      <c r="GLT246"/>
      <c r="GLU246"/>
      <c r="GLV246"/>
      <c r="GLW246"/>
      <c r="GLX246"/>
      <c r="GLY246"/>
      <c r="GLZ246"/>
      <c r="GMA246"/>
      <c r="GMB246"/>
      <c r="GMC246"/>
      <c r="GMD246"/>
      <c r="GME246"/>
      <c r="GMF246"/>
      <c r="GMG246"/>
      <c r="GMH246"/>
      <c r="GMI246"/>
      <c r="GMJ246"/>
      <c r="GMK246"/>
      <c r="GML246"/>
      <c r="GMM246"/>
      <c r="GMN246"/>
      <c r="GMO246"/>
      <c r="GMP246"/>
      <c r="GMQ246"/>
      <c r="GMR246"/>
      <c r="GMS246"/>
      <c r="GMT246"/>
      <c r="GMU246"/>
      <c r="GMV246"/>
      <c r="GMW246"/>
      <c r="GMX246"/>
      <c r="GMY246"/>
      <c r="GMZ246"/>
      <c r="GNA246"/>
      <c r="GNB246"/>
      <c r="GNC246"/>
      <c r="GND246"/>
      <c r="GNE246"/>
      <c r="GNF246"/>
      <c r="GNG246"/>
      <c r="GNH246"/>
      <c r="GNI246"/>
      <c r="GNJ246"/>
      <c r="GNK246"/>
      <c r="GNL246"/>
      <c r="GNM246"/>
      <c r="GNN246"/>
      <c r="GNO246"/>
      <c r="GNP246"/>
      <c r="GNQ246"/>
      <c r="GNR246"/>
      <c r="GNS246"/>
      <c r="GNT246"/>
      <c r="GNU246"/>
      <c r="GNV246"/>
      <c r="GNW246"/>
      <c r="GNX246"/>
      <c r="GNY246"/>
      <c r="GNZ246"/>
      <c r="GOA246"/>
      <c r="GOB246"/>
      <c r="GOC246"/>
      <c r="GOD246"/>
      <c r="GOE246"/>
      <c r="GOF246"/>
      <c r="GOG246"/>
      <c r="GOH246"/>
      <c r="GOI246"/>
      <c r="GOJ246"/>
      <c r="GOK246"/>
      <c r="GOL246"/>
      <c r="GOM246"/>
      <c r="GON246"/>
      <c r="GOO246"/>
      <c r="GOP246"/>
      <c r="GOQ246"/>
      <c r="GOR246"/>
      <c r="GOS246"/>
      <c r="GOT246"/>
      <c r="GOU246"/>
      <c r="GOV246"/>
      <c r="GOW246"/>
      <c r="GOX246"/>
      <c r="GOY246"/>
      <c r="GOZ246"/>
      <c r="GPA246"/>
      <c r="GPB246"/>
      <c r="GPC246"/>
      <c r="GPD246"/>
      <c r="GPE246"/>
      <c r="GPF246"/>
      <c r="GPG246"/>
      <c r="GPH246"/>
      <c r="GPI246"/>
      <c r="GPJ246"/>
      <c r="GPK246"/>
      <c r="GPL246"/>
      <c r="GPM246"/>
      <c r="GPN246"/>
      <c r="GPO246"/>
      <c r="GPP246"/>
      <c r="GPQ246"/>
      <c r="GPR246"/>
      <c r="GPS246"/>
      <c r="GPT246"/>
      <c r="GPU246"/>
      <c r="GPV246"/>
      <c r="GPW246"/>
      <c r="GPX246"/>
      <c r="GPY246"/>
      <c r="GPZ246"/>
      <c r="GQA246"/>
      <c r="GQB246"/>
      <c r="GQC246"/>
      <c r="GQD246"/>
      <c r="GQE246"/>
      <c r="GQF246"/>
      <c r="GQG246"/>
      <c r="GQH246"/>
      <c r="GQI246"/>
      <c r="GQJ246"/>
      <c r="GQK246"/>
      <c r="GQL246"/>
      <c r="GQM246"/>
      <c r="GQN246"/>
      <c r="GQO246"/>
      <c r="GQP246"/>
      <c r="GQQ246"/>
      <c r="GQR246"/>
      <c r="GQS246"/>
      <c r="GQT246"/>
      <c r="GQU246"/>
      <c r="GQV246"/>
      <c r="GQW246"/>
      <c r="GQX246"/>
      <c r="GQY246"/>
      <c r="GQZ246"/>
      <c r="GRA246"/>
      <c r="GRB246"/>
      <c r="GRC246"/>
      <c r="GRD246"/>
      <c r="GRE246"/>
      <c r="GRF246"/>
      <c r="GRG246"/>
      <c r="GRH246"/>
      <c r="GRI246"/>
      <c r="GRJ246"/>
      <c r="GRK246"/>
      <c r="GRL246"/>
      <c r="GRM246"/>
      <c r="GRN246"/>
      <c r="GRO246"/>
      <c r="GRP246"/>
      <c r="GRQ246"/>
      <c r="GRR246"/>
      <c r="GRS246"/>
      <c r="GRT246"/>
      <c r="GRU246"/>
      <c r="GRV246"/>
      <c r="GRW246"/>
      <c r="GRX246"/>
      <c r="GRY246"/>
      <c r="GRZ246"/>
      <c r="GSA246"/>
      <c r="GSB246"/>
      <c r="GSC246"/>
      <c r="GSD246"/>
      <c r="GSE246"/>
      <c r="GSF246"/>
      <c r="GSG246"/>
      <c r="GSH246"/>
      <c r="GSI246"/>
      <c r="GSJ246"/>
      <c r="GSK246"/>
      <c r="GSL246"/>
      <c r="GSM246"/>
      <c r="GSN246"/>
      <c r="GSO246"/>
      <c r="GSP246"/>
      <c r="GSQ246"/>
      <c r="GSR246"/>
      <c r="GSS246"/>
      <c r="GST246"/>
      <c r="GSU246"/>
      <c r="GSV246"/>
      <c r="GSW246"/>
      <c r="GSX246"/>
      <c r="GSY246"/>
      <c r="GSZ246"/>
      <c r="GTA246"/>
      <c r="GTB246"/>
      <c r="GTC246"/>
      <c r="GTD246"/>
      <c r="GTE246"/>
      <c r="GTF246"/>
      <c r="GTG246"/>
      <c r="GTH246"/>
      <c r="GTI246"/>
      <c r="GTJ246"/>
      <c r="GTK246"/>
      <c r="GTL246"/>
      <c r="GTM246"/>
      <c r="GTN246"/>
      <c r="GTO246"/>
      <c r="GTP246"/>
      <c r="GTQ246"/>
      <c r="GTR246"/>
      <c r="GTS246"/>
      <c r="GTT246"/>
      <c r="GTU246"/>
      <c r="GTV246"/>
      <c r="GTW246"/>
      <c r="GTX246"/>
      <c r="GTY246"/>
      <c r="GTZ246"/>
      <c r="GUA246"/>
      <c r="GUB246"/>
      <c r="GUC246"/>
      <c r="GUD246"/>
      <c r="GUE246"/>
      <c r="GUF246"/>
      <c r="GUG246"/>
      <c r="GUH246"/>
      <c r="GUI246"/>
      <c r="GUJ246"/>
      <c r="GUK246"/>
      <c r="GUL246"/>
      <c r="GUM246"/>
      <c r="GUN246"/>
      <c r="GUO246"/>
      <c r="GUP246"/>
      <c r="GUQ246"/>
      <c r="GUR246"/>
      <c r="GUS246"/>
      <c r="GUT246"/>
      <c r="GUU246"/>
      <c r="GUV246"/>
      <c r="GUW246"/>
      <c r="GUX246"/>
      <c r="GUY246"/>
      <c r="GUZ246"/>
      <c r="GVA246"/>
      <c r="GVB246"/>
      <c r="GVC246"/>
      <c r="GVD246"/>
      <c r="GVE246"/>
      <c r="GVF246"/>
      <c r="GVG246"/>
      <c r="GVH246"/>
      <c r="GVI246"/>
      <c r="GVJ246"/>
      <c r="GVK246"/>
      <c r="GVL246"/>
      <c r="GVM246"/>
      <c r="GVN246"/>
      <c r="GVO246"/>
      <c r="GVP246"/>
      <c r="GVQ246"/>
      <c r="GVR246"/>
      <c r="GVS246"/>
      <c r="GVT246"/>
      <c r="GVU246"/>
      <c r="GVV246"/>
      <c r="GVW246"/>
      <c r="GVX246"/>
      <c r="GVY246"/>
      <c r="GVZ246"/>
      <c r="GWA246"/>
      <c r="GWB246"/>
      <c r="GWC246"/>
      <c r="GWD246"/>
      <c r="GWE246"/>
      <c r="GWF246"/>
      <c r="GWG246"/>
      <c r="GWH246"/>
      <c r="GWI246"/>
      <c r="GWJ246"/>
      <c r="GWK246"/>
      <c r="GWL246"/>
      <c r="GWM246"/>
      <c r="GWN246"/>
      <c r="GWO246"/>
      <c r="GWP246"/>
      <c r="GWQ246"/>
      <c r="GWR246"/>
      <c r="GWS246"/>
      <c r="GWT246"/>
      <c r="GWU246"/>
      <c r="GWV246"/>
      <c r="GWW246"/>
      <c r="GWX246"/>
      <c r="GWY246"/>
      <c r="GWZ246"/>
      <c r="GXA246"/>
      <c r="GXB246"/>
      <c r="GXC246"/>
      <c r="GXD246"/>
      <c r="GXE246"/>
      <c r="GXF246"/>
      <c r="GXG246"/>
      <c r="GXH246"/>
      <c r="GXI246"/>
      <c r="GXJ246"/>
      <c r="GXK246"/>
      <c r="GXL246"/>
      <c r="GXM246"/>
      <c r="GXN246"/>
      <c r="GXO246"/>
      <c r="GXP246"/>
      <c r="GXQ246"/>
      <c r="GXR246"/>
      <c r="GXS246"/>
      <c r="GXT246"/>
      <c r="GXU246"/>
      <c r="GXV246"/>
      <c r="GXW246"/>
      <c r="GXX246"/>
      <c r="GXY246"/>
      <c r="GXZ246"/>
      <c r="GYA246"/>
      <c r="GYB246"/>
      <c r="GYC246"/>
      <c r="GYD246"/>
      <c r="GYE246"/>
      <c r="GYF246"/>
      <c r="GYG246"/>
      <c r="GYH246"/>
      <c r="GYI246"/>
      <c r="GYJ246"/>
      <c r="GYK246"/>
      <c r="GYL246"/>
      <c r="GYM246"/>
      <c r="GYN246"/>
      <c r="GYO246"/>
      <c r="GYP246"/>
      <c r="GYQ246"/>
      <c r="GYR246"/>
      <c r="GYS246"/>
      <c r="GYT246"/>
      <c r="GYU246"/>
      <c r="GYV246"/>
      <c r="GYW246"/>
      <c r="GYX246"/>
      <c r="GYY246"/>
      <c r="GYZ246"/>
      <c r="GZA246"/>
      <c r="GZB246"/>
      <c r="GZC246"/>
      <c r="GZD246"/>
      <c r="GZE246"/>
      <c r="GZF246"/>
      <c r="GZG246"/>
      <c r="GZH246"/>
      <c r="GZI246"/>
      <c r="GZJ246"/>
      <c r="GZK246"/>
      <c r="GZL246"/>
      <c r="GZM246"/>
      <c r="GZN246"/>
      <c r="GZO246"/>
      <c r="GZP246"/>
      <c r="GZQ246"/>
      <c r="GZR246"/>
      <c r="GZS246"/>
      <c r="GZT246"/>
      <c r="GZU246"/>
      <c r="GZV246"/>
      <c r="GZW246"/>
      <c r="GZX246"/>
      <c r="GZY246"/>
      <c r="GZZ246"/>
      <c r="HAA246"/>
      <c r="HAB246"/>
      <c r="HAC246"/>
      <c r="HAD246"/>
      <c r="HAE246"/>
      <c r="HAF246"/>
      <c r="HAG246"/>
      <c r="HAH246"/>
      <c r="HAI246"/>
      <c r="HAJ246"/>
      <c r="HAK246"/>
      <c r="HAL246"/>
      <c r="HAM246"/>
      <c r="HAN246"/>
      <c r="HAO246"/>
      <c r="HAP246"/>
      <c r="HAQ246"/>
      <c r="HAR246"/>
      <c r="HAS246"/>
      <c r="HAT246"/>
      <c r="HAU246"/>
      <c r="HAV246"/>
      <c r="HAW246"/>
      <c r="HAX246"/>
      <c r="HAY246"/>
      <c r="HAZ246"/>
      <c r="HBA246"/>
      <c r="HBB246"/>
      <c r="HBC246"/>
      <c r="HBD246"/>
      <c r="HBE246"/>
      <c r="HBF246"/>
      <c r="HBG246"/>
      <c r="HBH246"/>
      <c r="HBI246"/>
      <c r="HBJ246"/>
      <c r="HBK246"/>
      <c r="HBL246"/>
      <c r="HBM246"/>
      <c r="HBN246"/>
      <c r="HBO246"/>
      <c r="HBP246"/>
      <c r="HBQ246"/>
      <c r="HBR246"/>
      <c r="HBS246"/>
      <c r="HBT246"/>
      <c r="HBU246"/>
      <c r="HBV246"/>
      <c r="HBW246"/>
      <c r="HBX246"/>
      <c r="HBY246"/>
      <c r="HBZ246"/>
      <c r="HCA246"/>
      <c r="HCB246"/>
      <c r="HCC246"/>
      <c r="HCD246"/>
      <c r="HCE246"/>
      <c r="HCF246"/>
      <c r="HCG246"/>
      <c r="HCH246"/>
      <c r="HCI246"/>
      <c r="HCJ246"/>
      <c r="HCK246"/>
      <c r="HCL246"/>
      <c r="HCM246"/>
      <c r="HCN246"/>
      <c r="HCO246"/>
      <c r="HCP246"/>
      <c r="HCQ246"/>
      <c r="HCR246"/>
      <c r="HCS246"/>
      <c r="HCT246"/>
      <c r="HCU246"/>
      <c r="HCV246"/>
      <c r="HCW246"/>
      <c r="HCX246"/>
      <c r="HCY246"/>
      <c r="HCZ246"/>
      <c r="HDA246"/>
      <c r="HDB246"/>
      <c r="HDC246"/>
      <c r="HDD246"/>
      <c r="HDE246"/>
      <c r="HDF246"/>
      <c r="HDG246"/>
      <c r="HDH246"/>
      <c r="HDI246"/>
      <c r="HDJ246"/>
      <c r="HDK246"/>
      <c r="HDL246"/>
      <c r="HDM246"/>
      <c r="HDN246"/>
      <c r="HDO246"/>
      <c r="HDP246"/>
      <c r="HDQ246"/>
      <c r="HDR246"/>
      <c r="HDS246"/>
      <c r="HDT246"/>
      <c r="HDU246"/>
      <c r="HDV246"/>
      <c r="HDW246"/>
      <c r="HDX246"/>
      <c r="HDY246"/>
      <c r="HDZ246"/>
      <c r="HEA246"/>
      <c r="HEB246"/>
      <c r="HEC246"/>
      <c r="HED246"/>
      <c r="HEE246"/>
      <c r="HEF246"/>
      <c r="HEG246"/>
      <c r="HEH246"/>
      <c r="HEI246"/>
      <c r="HEJ246"/>
      <c r="HEK246"/>
      <c r="HEL246"/>
      <c r="HEM246"/>
      <c r="HEN246"/>
      <c r="HEO246"/>
      <c r="HEP246"/>
      <c r="HEQ246"/>
      <c r="HER246"/>
      <c r="HES246"/>
      <c r="HET246"/>
      <c r="HEU246"/>
      <c r="HEV246"/>
      <c r="HEW246"/>
      <c r="HEX246"/>
      <c r="HEY246"/>
      <c r="HEZ246"/>
      <c r="HFA246"/>
      <c r="HFB246"/>
      <c r="HFC246"/>
      <c r="HFD246"/>
      <c r="HFE246"/>
      <c r="HFF246"/>
      <c r="HFG246"/>
      <c r="HFH246"/>
      <c r="HFI246"/>
      <c r="HFJ246"/>
      <c r="HFK246"/>
      <c r="HFL246"/>
      <c r="HFM246"/>
      <c r="HFN246"/>
      <c r="HFO246"/>
      <c r="HFP246"/>
      <c r="HFQ246"/>
      <c r="HFR246"/>
      <c r="HFS246"/>
      <c r="HFT246"/>
      <c r="HFU246"/>
      <c r="HFV246"/>
      <c r="HFW246"/>
      <c r="HFX246"/>
      <c r="HFY246"/>
      <c r="HFZ246"/>
      <c r="HGA246"/>
      <c r="HGB246"/>
      <c r="HGC246"/>
      <c r="HGD246"/>
      <c r="HGE246"/>
      <c r="HGF246"/>
      <c r="HGG246"/>
      <c r="HGH246"/>
      <c r="HGI246"/>
      <c r="HGJ246"/>
      <c r="HGK246"/>
      <c r="HGL246"/>
      <c r="HGM246"/>
      <c r="HGN246"/>
      <c r="HGO246"/>
      <c r="HGP246"/>
      <c r="HGQ246"/>
      <c r="HGR246"/>
      <c r="HGS246"/>
      <c r="HGT246"/>
      <c r="HGU246"/>
      <c r="HGV246"/>
      <c r="HGW246"/>
      <c r="HGX246"/>
      <c r="HGY246"/>
      <c r="HGZ246"/>
      <c r="HHA246"/>
      <c r="HHB246"/>
      <c r="HHC246"/>
      <c r="HHD246"/>
      <c r="HHE246"/>
      <c r="HHF246"/>
      <c r="HHG246"/>
      <c r="HHH246"/>
      <c r="HHI246"/>
      <c r="HHJ246"/>
      <c r="HHK246"/>
      <c r="HHL246"/>
      <c r="HHM246"/>
      <c r="HHN246"/>
      <c r="HHO246"/>
      <c r="HHP246"/>
      <c r="HHQ246"/>
      <c r="HHR246"/>
      <c r="HHS246"/>
      <c r="HHT246"/>
      <c r="HHU246"/>
      <c r="HHV246"/>
      <c r="HHW246"/>
      <c r="HHX246"/>
      <c r="HHY246"/>
      <c r="HHZ246"/>
      <c r="HIA246"/>
      <c r="HIB246"/>
      <c r="HIC246"/>
      <c r="HID246"/>
      <c r="HIE246"/>
      <c r="HIF246"/>
      <c r="HIG246"/>
      <c r="HIH246"/>
      <c r="HII246"/>
      <c r="HIJ246"/>
      <c r="HIK246"/>
      <c r="HIL246"/>
      <c r="HIM246"/>
      <c r="HIN246"/>
      <c r="HIO246"/>
      <c r="HIP246"/>
      <c r="HIQ246"/>
      <c r="HIR246"/>
      <c r="HIS246"/>
      <c r="HIT246"/>
      <c r="HIU246"/>
      <c r="HIV246"/>
      <c r="HIW246"/>
      <c r="HIX246"/>
      <c r="HIY246"/>
      <c r="HIZ246"/>
      <c r="HJA246"/>
      <c r="HJB246"/>
      <c r="HJC246"/>
      <c r="HJD246"/>
      <c r="HJE246"/>
      <c r="HJF246"/>
      <c r="HJG246"/>
      <c r="HJH246"/>
      <c r="HJI246"/>
      <c r="HJJ246"/>
      <c r="HJK246"/>
      <c r="HJL246"/>
      <c r="HJM246"/>
      <c r="HJN246"/>
      <c r="HJO246"/>
      <c r="HJP246"/>
      <c r="HJQ246"/>
      <c r="HJR246"/>
      <c r="HJS246"/>
      <c r="HJT246"/>
      <c r="HJU246"/>
      <c r="HJV246"/>
      <c r="HJW246"/>
      <c r="HJX246"/>
      <c r="HJY246"/>
      <c r="HJZ246"/>
      <c r="HKA246"/>
      <c r="HKB246"/>
      <c r="HKC246"/>
      <c r="HKD246"/>
      <c r="HKE246"/>
      <c r="HKF246"/>
      <c r="HKG246"/>
      <c r="HKH246"/>
      <c r="HKI246"/>
      <c r="HKJ246"/>
      <c r="HKK246"/>
      <c r="HKL246"/>
      <c r="HKM246"/>
      <c r="HKN246"/>
      <c r="HKO246"/>
      <c r="HKP246"/>
      <c r="HKQ246"/>
      <c r="HKR246"/>
      <c r="HKS246"/>
      <c r="HKT246"/>
      <c r="HKU246"/>
      <c r="HKV246"/>
      <c r="HKW246"/>
      <c r="HKX246"/>
      <c r="HKY246"/>
      <c r="HKZ246"/>
      <c r="HLA246"/>
      <c r="HLB246"/>
      <c r="HLC246"/>
      <c r="HLD246"/>
      <c r="HLE246"/>
      <c r="HLF246"/>
      <c r="HLG246"/>
      <c r="HLH246"/>
      <c r="HLI246"/>
      <c r="HLJ246"/>
      <c r="HLK246"/>
      <c r="HLL246"/>
      <c r="HLM246"/>
      <c r="HLN246"/>
      <c r="HLO246"/>
      <c r="HLP246"/>
      <c r="HLQ246"/>
      <c r="HLR246"/>
      <c r="HLS246"/>
      <c r="HLT246"/>
      <c r="HLU246"/>
      <c r="HLV246"/>
      <c r="HLW246"/>
      <c r="HLX246"/>
      <c r="HLY246"/>
      <c r="HLZ246"/>
      <c r="HMA246"/>
      <c r="HMB246"/>
      <c r="HMC246"/>
      <c r="HMD246"/>
      <c r="HME246"/>
      <c r="HMF246"/>
      <c r="HMG246"/>
      <c r="HMH246"/>
      <c r="HMI246"/>
      <c r="HMJ246"/>
      <c r="HMK246"/>
      <c r="HML246"/>
      <c r="HMM246"/>
      <c r="HMN246"/>
      <c r="HMO246"/>
      <c r="HMP246"/>
      <c r="HMQ246"/>
      <c r="HMR246"/>
      <c r="HMS246"/>
      <c r="HMT246"/>
      <c r="HMU246"/>
      <c r="HMV246"/>
      <c r="HMW246"/>
      <c r="HMX246"/>
      <c r="HMY246"/>
      <c r="HMZ246"/>
      <c r="HNA246"/>
      <c r="HNB246"/>
      <c r="HNC246"/>
      <c r="HND246"/>
      <c r="HNE246"/>
      <c r="HNF246"/>
      <c r="HNG246"/>
      <c r="HNH246"/>
      <c r="HNI246"/>
      <c r="HNJ246"/>
      <c r="HNK246"/>
      <c r="HNL246"/>
      <c r="HNM246"/>
      <c r="HNN246"/>
      <c r="HNO246"/>
      <c r="HNP246"/>
      <c r="HNQ246"/>
      <c r="HNR246"/>
      <c r="HNS246"/>
      <c r="HNT246"/>
      <c r="HNU246"/>
      <c r="HNV246"/>
      <c r="HNW246"/>
      <c r="HNX246"/>
      <c r="HNY246"/>
      <c r="HNZ246"/>
      <c r="HOA246"/>
      <c r="HOB246"/>
      <c r="HOC246"/>
      <c r="HOD246"/>
      <c r="HOE246"/>
      <c r="HOF246"/>
      <c r="HOG246"/>
      <c r="HOH246"/>
      <c r="HOI246"/>
      <c r="HOJ246"/>
      <c r="HOK246"/>
      <c r="HOL246"/>
      <c r="HOM246"/>
      <c r="HON246"/>
      <c r="HOO246"/>
      <c r="HOP246"/>
      <c r="HOQ246"/>
      <c r="HOR246"/>
      <c r="HOS246"/>
      <c r="HOT246"/>
      <c r="HOU246"/>
      <c r="HOV246"/>
      <c r="HOW246"/>
      <c r="HOX246"/>
      <c r="HOY246"/>
      <c r="HOZ246"/>
      <c r="HPA246"/>
      <c r="HPB246"/>
      <c r="HPC246"/>
      <c r="HPD246"/>
      <c r="HPE246"/>
      <c r="HPF246"/>
      <c r="HPG246"/>
      <c r="HPH246"/>
      <c r="HPI246"/>
      <c r="HPJ246"/>
      <c r="HPK246"/>
      <c r="HPL246"/>
      <c r="HPM246"/>
      <c r="HPN246"/>
      <c r="HPO246"/>
      <c r="HPP246"/>
      <c r="HPQ246"/>
      <c r="HPR246"/>
      <c r="HPS246"/>
      <c r="HPT246"/>
      <c r="HPU246"/>
      <c r="HPV246"/>
      <c r="HPW246"/>
      <c r="HPX246"/>
      <c r="HPY246"/>
      <c r="HPZ246"/>
      <c r="HQA246"/>
      <c r="HQB246"/>
      <c r="HQC246"/>
      <c r="HQD246"/>
      <c r="HQE246"/>
      <c r="HQF246"/>
      <c r="HQG246"/>
      <c r="HQH246"/>
      <c r="HQI246"/>
      <c r="HQJ246"/>
      <c r="HQK246"/>
      <c r="HQL246"/>
      <c r="HQM246"/>
      <c r="HQN246"/>
      <c r="HQO246"/>
      <c r="HQP246"/>
      <c r="HQQ246"/>
      <c r="HQR246"/>
      <c r="HQS246"/>
      <c r="HQT246"/>
      <c r="HQU246"/>
      <c r="HQV246"/>
      <c r="HQW246"/>
      <c r="HQX246"/>
      <c r="HQY246"/>
      <c r="HQZ246"/>
      <c r="HRA246"/>
      <c r="HRB246"/>
      <c r="HRC246"/>
      <c r="HRD246"/>
      <c r="HRE246"/>
      <c r="HRF246"/>
      <c r="HRG246"/>
      <c r="HRH246"/>
      <c r="HRI246"/>
      <c r="HRJ246"/>
      <c r="HRK246"/>
      <c r="HRL246"/>
      <c r="HRM246"/>
      <c r="HRN246"/>
      <c r="HRO246"/>
      <c r="HRP246"/>
      <c r="HRQ246"/>
      <c r="HRR246"/>
      <c r="HRS246"/>
      <c r="HRT246"/>
      <c r="HRU246"/>
      <c r="HRV246"/>
      <c r="HRW246"/>
      <c r="HRX246"/>
      <c r="HRY246"/>
      <c r="HRZ246"/>
      <c r="HSA246"/>
      <c r="HSB246"/>
      <c r="HSC246"/>
      <c r="HSD246"/>
      <c r="HSE246"/>
      <c r="HSF246"/>
      <c r="HSG246"/>
      <c r="HSH246"/>
      <c r="HSI246"/>
      <c r="HSJ246"/>
      <c r="HSK246"/>
      <c r="HSL246"/>
      <c r="HSM246"/>
      <c r="HSN246"/>
      <c r="HSO246"/>
      <c r="HSP246"/>
      <c r="HSQ246"/>
      <c r="HSR246"/>
      <c r="HSS246"/>
      <c r="HST246"/>
      <c r="HSU246"/>
      <c r="HSV246"/>
      <c r="HSW246"/>
      <c r="HSX246"/>
      <c r="HSY246"/>
      <c r="HSZ246"/>
      <c r="HTA246"/>
      <c r="HTB246"/>
      <c r="HTC246"/>
      <c r="HTD246"/>
      <c r="HTE246"/>
      <c r="HTF246"/>
      <c r="HTG246"/>
      <c r="HTH246"/>
      <c r="HTI246"/>
      <c r="HTJ246"/>
      <c r="HTK246"/>
      <c r="HTL246"/>
      <c r="HTM246"/>
      <c r="HTN246"/>
      <c r="HTO246"/>
      <c r="HTP246"/>
      <c r="HTQ246"/>
      <c r="HTR246"/>
      <c r="HTS246"/>
      <c r="HTT246"/>
      <c r="HTU246"/>
      <c r="HTV246"/>
      <c r="HTW246"/>
      <c r="HTX246"/>
      <c r="HTY246"/>
      <c r="HTZ246"/>
      <c r="HUA246"/>
      <c r="HUB246"/>
      <c r="HUC246"/>
      <c r="HUD246"/>
      <c r="HUE246"/>
      <c r="HUF246"/>
      <c r="HUG246"/>
      <c r="HUH246"/>
      <c r="HUI246"/>
      <c r="HUJ246"/>
      <c r="HUK246"/>
      <c r="HUL246"/>
      <c r="HUM246"/>
      <c r="HUN246"/>
      <c r="HUO246"/>
      <c r="HUP246"/>
      <c r="HUQ246"/>
      <c r="HUR246"/>
      <c r="HUS246"/>
      <c r="HUT246"/>
      <c r="HUU246"/>
      <c r="HUV246"/>
      <c r="HUW246"/>
      <c r="HUX246"/>
      <c r="HUY246"/>
      <c r="HUZ246"/>
      <c r="HVA246"/>
      <c r="HVB246"/>
      <c r="HVC246"/>
      <c r="HVD246"/>
      <c r="HVE246"/>
      <c r="HVF246"/>
      <c r="HVG246"/>
      <c r="HVH246"/>
      <c r="HVI246"/>
      <c r="HVJ246"/>
      <c r="HVK246"/>
      <c r="HVL246"/>
      <c r="HVM246"/>
      <c r="HVN246"/>
      <c r="HVO246"/>
      <c r="HVP246"/>
      <c r="HVQ246"/>
      <c r="HVR246"/>
      <c r="HVS246"/>
      <c r="HVT246"/>
      <c r="HVU246"/>
      <c r="HVV246"/>
      <c r="HVW246"/>
      <c r="HVX246"/>
      <c r="HVY246"/>
      <c r="HVZ246"/>
      <c r="HWA246"/>
      <c r="HWB246"/>
      <c r="HWC246"/>
      <c r="HWD246"/>
      <c r="HWE246"/>
      <c r="HWF246"/>
      <c r="HWG246"/>
      <c r="HWH246"/>
      <c r="HWI246"/>
      <c r="HWJ246"/>
      <c r="HWK246"/>
      <c r="HWL246"/>
      <c r="HWM246"/>
      <c r="HWN246"/>
      <c r="HWO246"/>
      <c r="HWP246"/>
      <c r="HWQ246"/>
      <c r="HWR246"/>
      <c r="HWS246"/>
      <c r="HWT246"/>
      <c r="HWU246"/>
      <c r="HWV246"/>
      <c r="HWW246"/>
      <c r="HWX246"/>
      <c r="HWY246"/>
      <c r="HWZ246"/>
      <c r="HXA246"/>
      <c r="HXB246"/>
      <c r="HXC246"/>
      <c r="HXD246"/>
      <c r="HXE246"/>
      <c r="HXF246"/>
      <c r="HXG246"/>
      <c r="HXH246"/>
      <c r="HXI246"/>
      <c r="HXJ246"/>
      <c r="HXK246"/>
      <c r="HXL246"/>
      <c r="HXM246"/>
      <c r="HXN246"/>
      <c r="HXO246"/>
      <c r="HXP246"/>
      <c r="HXQ246"/>
      <c r="HXR246"/>
      <c r="HXS246"/>
      <c r="HXT246"/>
      <c r="HXU246"/>
      <c r="HXV246"/>
      <c r="HXW246"/>
      <c r="HXX246"/>
      <c r="HXY246"/>
      <c r="HXZ246"/>
      <c r="HYA246"/>
      <c r="HYB246"/>
      <c r="HYC246"/>
      <c r="HYD246"/>
      <c r="HYE246"/>
      <c r="HYF246"/>
      <c r="HYG246"/>
      <c r="HYH246"/>
      <c r="HYI246"/>
      <c r="HYJ246"/>
      <c r="HYK246"/>
      <c r="HYL246"/>
      <c r="HYM246"/>
      <c r="HYN246"/>
      <c r="HYO246"/>
      <c r="HYP246"/>
      <c r="HYQ246"/>
      <c r="HYR246"/>
      <c r="HYS246"/>
      <c r="HYT246"/>
      <c r="HYU246"/>
      <c r="HYV246"/>
      <c r="HYW246"/>
      <c r="HYX246"/>
      <c r="HYY246"/>
      <c r="HYZ246"/>
      <c r="HZA246"/>
      <c r="HZB246"/>
      <c r="HZC246"/>
      <c r="HZD246"/>
      <c r="HZE246"/>
      <c r="HZF246"/>
      <c r="HZG246"/>
      <c r="HZH246"/>
      <c r="HZI246"/>
      <c r="HZJ246"/>
      <c r="HZK246"/>
      <c r="HZL246"/>
      <c r="HZM246"/>
      <c r="HZN246"/>
      <c r="HZO246"/>
      <c r="HZP246"/>
      <c r="HZQ246"/>
      <c r="HZR246"/>
      <c r="HZS246"/>
      <c r="HZT246"/>
      <c r="HZU246"/>
      <c r="HZV246"/>
      <c r="HZW246"/>
      <c r="HZX246"/>
      <c r="HZY246"/>
      <c r="HZZ246"/>
      <c r="IAA246"/>
      <c r="IAB246"/>
      <c r="IAC246"/>
      <c r="IAD246"/>
      <c r="IAE246"/>
      <c r="IAF246"/>
      <c r="IAG246"/>
      <c r="IAH246"/>
      <c r="IAI246"/>
      <c r="IAJ246"/>
      <c r="IAK246"/>
      <c r="IAL246"/>
      <c r="IAM246"/>
      <c r="IAN246"/>
      <c r="IAO246"/>
      <c r="IAP246"/>
      <c r="IAQ246"/>
      <c r="IAR246"/>
      <c r="IAS246"/>
      <c r="IAT246"/>
      <c r="IAU246"/>
      <c r="IAV246"/>
      <c r="IAW246"/>
      <c r="IAX246"/>
      <c r="IAY246"/>
      <c r="IAZ246"/>
      <c r="IBA246"/>
      <c r="IBB246"/>
      <c r="IBC246"/>
      <c r="IBD246"/>
      <c r="IBE246"/>
      <c r="IBF246"/>
      <c r="IBG246"/>
      <c r="IBH246"/>
      <c r="IBI246"/>
      <c r="IBJ246"/>
      <c r="IBK246"/>
      <c r="IBL246"/>
      <c r="IBM246"/>
      <c r="IBN246"/>
      <c r="IBO246"/>
      <c r="IBP246"/>
      <c r="IBQ246"/>
      <c r="IBR246"/>
      <c r="IBS246"/>
      <c r="IBT246"/>
      <c r="IBU246"/>
      <c r="IBV246"/>
      <c r="IBW246"/>
      <c r="IBX246"/>
      <c r="IBY246"/>
      <c r="IBZ246"/>
      <c r="ICA246"/>
      <c r="ICB246"/>
      <c r="ICC246"/>
      <c r="ICD246"/>
      <c r="ICE246"/>
      <c r="ICF246"/>
      <c r="ICG246"/>
      <c r="ICH246"/>
      <c r="ICI246"/>
      <c r="ICJ246"/>
      <c r="ICK246"/>
      <c r="ICL246"/>
      <c r="ICM246"/>
      <c r="ICN246"/>
      <c r="ICO246"/>
      <c r="ICP246"/>
      <c r="ICQ246"/>
      <c r="ICR246"/>
      <c r="ICS246"/>
      <c r="ICT246"/>
      <c r="ICU246"/>
      <c r="ICV246"/>
      <c r="ICW246"/>
      <c r="ICX246"/>
      <c r="ICY246"/>
      <c r="ICZ246"/>
      <c r="IDA246"/>
      <c r="IDB246"/>
      <c r="IDC246"/>
      <c r="IDD246"/>
      <c r="IDE246"/>
      <c r="IDF246"/>
      <c r="IDG246"/>
      <c r="IDH246"/>
      <c r="IDI246"/>
      <c r="IDJ246"/>
      <c r="IDK246"/>
      <c r="IDL246"/>
      <c r="IDM246"/>
      <c r="IDN246"/>
      <c r="IDO246"/>
      <c r="IDP246"/>
      <c r="IDQ246"/>
      <c r="IDR246"/>
      <c r="IDS246"/>
      <c r="IDT246"/>
      <c r="IDU246"/>
      <c r="IDV246"/>
      <c r="IDW246"/>
      <c r="IDX246"/>
      <c r="IDY246"/>
      <c r="IDZ246"/>
      <c r="IEA246"/>
      <c r="IEB246"/>
      <c r="IEC246"/>
      <c r="IED246"/>
      <c r="IEE246"/>
      <c r="IEF246"/>
      <c r="IEG246"/>
      <c r="IEH246"/>
      <c r="IEI246"/>
      <c r="IEJ246"/>
      <c r="IEK246"/>
      <c r="IEL246"/>
      <c r="IEM246"/>
      <c r="IEN246"/>
      <c r="IEO246"/>
      <c r="IEP246"/>
      <c r="IEQ246"/>
      <c r="IER246"/>
      <c r="IES246"/>
      <c r="IET246"/>
      <c r="IEU246"/>
      <c r="IEV246"/>
      <c r="IEW246"/>
      <c r="IEX246"/>
      <c r="IEY246"/>
      <c r="IEZ246"/>
      <c r="IFA246"/>
      <c r="IFB246"/>
      <c r="IFC246"/>
      <c r="IFD246"/>
      <c r="IFE246"/>
      <c r="IFF246"/>
      <c r="IFG246"/>
      <c r="IFH246"/>
      <c r="IFI246"/>
      <c r="IFJ246"/>
      <c r="IFK246"/>
      <c r="IFL246"/>
      <c r="IFM246"/>
      <c r="IFN246"/>
      <c r="IFO246"/>
      <c r="IFP246"/>
      <c r="IFQ246"/>
      <c r="IFR246"/>
      <c r="IFS246"/>
      <c r="IFT246"/>
      <c r="IFU246"/>
      <c r="IFV246"/>
      <c r="IFW246"/>
      <c r="IFX246"/>
      <c r="IFY246"/>
      <c r="IFZ246"/>
      <c r="IGA246"/>
      <c r="IGB246"/>
      <c r="IGC246"/>
      <c r="IGD246"/>
      <c r="IGE246"/>
      <c r="IGF246"/>
      <c r="IGG246"/>
      <c r="IGH246"/>
      <c r="IGI246"/>
      <c r="IGJ246"/>
      <c r="IGK246"/>
      <c r="IGL246"/>
      <c r="IGM246"/>
      <c r="IGN246"/>
      <c r="IGO246"/>
      <c r="IGP246"/>
      <c r="IGQ246"/>
      <c r="IGR246"/>
      <c r="IGS246"/>
      <c r="IGT246"/>
      <c r="IGU246"/>
      <c r="IGV246"/>
      <c r="IGW246"/>
      <c r="IGX246"/>
      <c r="IGY246"/>
      <c r="IGZ246"/>
      <c r="IHA246"/>
      <c r="IHB246"/>
      <c r="IHC246"/>
      <c r="IHD246"/>
      <c r="IHE246"/>
      <c r="IHF246"/>
      <c r="IHG246"/>
      <c r="IHH246"/>
      <c r="IHI246"/>
      <c r="IHJ246"/>
      <c r="IHK246"/>
      <c r="IHL246"/>
      <c r="IHM246"/>
      <c r="IHN246"/>
      <c r="IHO246"/>
      <c r="IHP246"/>
      <c r="IHQ246"/>
      <c r="IHR246"/>
      <c r="IHS246"/>
      <c r="IHT246"/>
      <c r="IHU246"/>
      <c r="IHV246"/>
      <c r="IHW246"/>
      <c r="IHX246"/>
      <c r="IHY246"/>
      <c r="IHZ246"/>
      <c r="IIA246"/>
      <c r="IIB246"/>
      <c r="IIC246"/>
      <c r="IID246"/>
      <c r="IIE246"/>
      <c r="IIF246"/>
      <c r="IIG246"/>
      <c r="IIH246"/>
      <c r="III246"/>
      <c r="IIJ246"/>
      <c r="IIK246"/>
      <c r="IIL246"/>
      <c r="IIM246"/>
      <c r="IIN246"/>
      <c r="IIO246"/>
      <c r="IIP246"/>
      <c r="IIQ246"/>
      <c r="IIR246"/>
      <c r="IIS246"/>
      <c r="IIT246"/>
      <c r="IIU246"/>
      <c r="IIV246"/>
      <c r="IIW246"/>
      <c r="IIX246"/>
      <c r="IIY246"/>
      <c r="IIZ246"/>
      <c r="IJA246"/>
      <c r="IJB246"/>
      <c r="IJC246"/>
      <c r="IJD246"/>
      <c r="IJE246"/>
      <c r="IJF246"/>
      <c r="IJG246"/>
      <c r="IJH246"/>
      <c r="IJI246"/>
      <c r="IJJ246"/>
      <c r="IJK246"/>
      <c r="IJL246"/>
      <c r="IJM246"/>
      <c r="IJN246"/>
      <c r="IJO246"/>
      <c r="IJP246"/>
      <c r="IJQ246"/>
      <c r="IJR246"/>
      <c r="IJS246"/>
      <c r="IJT246"/>
      <c r="IJU246"/>
      <c r="IJV246"/>
      <c r="IJW246"/>
      <c r="IJX246"/>
      <c r="IJY246"/>
      <c r="IJZ246"/>
      <c r="IKA246"/>
      <c r="IKB246"/>
      <c r="IKC246"/>
      <c r="IKD246"/>
      <c r="IKE246"/>
      <c r="IKF246"/>
      <c r="IKG246"/>
      <c r="IKH246"/>
      <c r="IKI246"/>
      <c r="IKJ246"/>
      <c r="IKK246"/>
      <c r="IKL246"/>
      <c r="IKM246"/>
      <c r="IKN246"/>
      <c r="IKO246"/>
      <c r="IKP246"/>
      <c r="IKQ246"/>
      <c r="IKR246"/>
      <c r="IKS246"/>
      <c r="IKT246"/>
      <c r="IKU246"/>
      <c r="IKV246"/>
      <c r="IKW246"/>
      <c r="IKX246"/>
      <c r="IKY246"/>
      <c r="IKZ246"/>
      <c r="ILA246"/>
      <c r="ILB246"/>
      <c r="ILC246"/>
      <c r="ILD246"/>
      <c r="ILE246"/>
      <c r="ILF246"/>
      <c r="ILG246"/>
      <c r="ILH246"/>
      <c r="ILI246"/>
      <c r="ILJ246"/>
      <c r="ILK246"/>
      <c r="ILL246"/>
      <c r="ILM246"/>
      <c r="ILN246"/>
      <c r="ILO246"/>
      <c r="ILP246"/>
      <c r="ILQ246"/>
      <c r="ILR246"/>
      <c r="ILS246"/>
      <c r="ILT246"/>
      <c r="ILU246"/>
      <c r="ILV246"/>
      <c r="ILW246"/>
      <c r="ILX246"/>
      <c r="ILY246"/>
      <c r="ILZ246"/>
      <c r="IMA246"/>
      <c r="IMB246"/>
      <c r="IMC246"/>
      <c r="IMD246"/>
      <c r="IME246"/>
      <c r="IMF246"/>
      <c r="IMG246"/>
      <c r="IMH246"/>
      <c r="IMI246"/>
      <c r="IMJ246"/>
      <c r="IMK246"/>
      <c r="IML246"/>
      <c r="IMM246"/>
      <c r="IMN246"/>
      <c r="IMO246"/>
      <c r="IMP246"/>
      <c r="IMQ246"/>
      <c r="IMR246"/>
      <c r="IMS246"/>
      <c r="IMT246"/>
      <c r="IMU246"/>
      <c r="IMV246"/>
      <c r="IMW246"/>
      <c r="IMX246"/>
      <c r="IMY246"/>
      <c r="IMZ246"/>
      <c r="INA246"/>
      <c r="INB246"/>
      <c r="INC246"/>
      <c r="IND246"/>
      <c r="INE246"/>
      <c r="INF246"/>
      <c r="ING246"/>
      <c r="INH246"/>
      <c r="INI246"/>
      <c r="INJ246"/>
      <c r="INK246"/>
      <c r="INL246"/>
      <c r="INM246"/>
      <c r="INN246"/>
      <c r="INO246"/>
      <c r="INP246"/>
      <c r="INQ246"/>
      <c r="INR246"/>
      <c r="INS246"/>
      <c r="INT246"/>
      <c r="INU246"/>
      <c r="INV246"/>
      <c r="INW246"/>
      <c r="INX246"/>
      <c r="INY246"/>
      <c r="INZ246"/>
      <c r="IOA246"/>
      <c r="IOB246"/>
      <c r="IOC246"/>
      <c r="IOD246"/>
      <c r="IOE246"/>
      <c r="IOF246"/>
      <c r="IOG246"/>
      <c r="IOH246"/>
      <c r="IOI246"/>
      <c r="IOJ246"/>
      <c r="IOK246"/>
      <c r="IOL246"/>
      <c r="IOM246"/>
      <c r="ION246"/>
      <c r="IOO246"/>
      <c r="IOP246"/>
      <c r="IOQ246"/>
      <c r="IOR246"/>
      <c r="IOS246"/>
      <c r="IOT246"/>
      <c r="IOU246"/>
      <c r="IOV246"/>
      <c r="IOW246"/>
      <c r="IOX246"/>
      <c r="IOY246"/>
      <c r="IOZ246"/>
      <c r="IPA246"/>
      <c r="IPB246"/>
      <c r="IPC246"/>
      <c r="IPD246"/>
      <c r="IPE246"/>
      <c r="IPF246"/>
      <c r="IPG246"/>
      <c r="IPH246"/>
      <c r="IPI246"/>
      <c r="IPJ246"/>
      <c r="IPK246"/>
      <c r="IPL246"/>
      <c r="IPM246"/>
      <c r="IPN246"/>
      <c r="IPO246"/>
      <c r="IPP246"/>
      <c r="IPQ246"/>
      <c r="IPR246"/>
      <c r="IPS246"/>
      <c r="IPT246"/>
      <c r="IPU246"/>
      <c r="IPV246"/>
      <c r="IPW246"/>
      <c r="IPX246"/>
      <c r="IPY246"/>
      <c r="IPZ246"/>
      <c r="IQA246"/>
      <c r="IQB246"/>
      <c r="IQC246"/>
      <c r="IQD246"/>
      <c r="IQE246"/>
      <c r="IQF246"/>
      <c r="IQG246"/>
      <c r="IQH246"/>
      <c r="IQI246"/>
      <c r="IQJ246"/>
      <c r="IQK246"/>
      <c r="IQL246"/>
      <c r="IQM246"/>
      <c r="IQN246"/>
      <c r="IQO246"/>
      <c r="IQP246"/>
      <c r="IQQ246"/>
      <c r="IQR246"/>
      <c r="IQS246"/>
      <c r="IQT246"/>
      <c r="IQU246"/>
      <c r="IQV246"/>
      <c r="IQW246"/>
      <c r="IQX246"/>
      <c r="IQY246"/>
      <c r="IQZ246"/>
      <c r="IRA246"/>
      <c r="IRB246"/>
      <c r="IRC246"/>
      <c r="IRD246"/>
      <c r="IRE246"/>
      <c r="IRF246"/>
      <c r="IRG246"/>
      <c r="IRH246"/>
      <c r="IRI246"/>
      <c r="IRJ246"/>
      <c r="IRK246"/>
      <c r="IRL246"/>
      <c r="IRM246"/>
      <c r="IRN246"/>
      <c r="IRO246"/>
      <c r="IRP246"/>
      <c r="IRQ246"/>
      <c r="IRR246"/>
      <c r="IRS246"/>
      <c r="IRT246"/>
      <c r="IRU246"/>
      <c r="IRV246"/>
      <c r="IRW246"/>
      <c r="IRX246"/>
      <c r="IRY246"/>
      <c r="IRZ246"/>
      <c r="ISA246"/>
      <c r="ISB246"/>
      <c r="ISC246"/>
      <c r="ISD246"/>
      <c r="ISE246"/>
      <c r="ISF246"/>
      <c r="ISG246"/>
      <c r="ISH246"/>
      <c r="ISI246"/>
      <c r="ISJ246"/>
      <c r="ISK246"/>
      <c r="ISL246"/>
      <c r="ISM246"/>
      <c r="ISN246"/>
      <c r="ISO246"/>
      <c r="ISP246"/>
      <c r="ISQ246"/>
      <c r="ISR246"/>
      <c r="ISS246"/>
      <c r="IST246"/>
      <c r="ISU246"/>
      <c r="ISV246"/>
      <c r="ISW246"/>
      <c r="ISX246"/>
      <c r="ISY246"/>
      <c r="ISZ246"/>
      <c r="ITA246"/>
      <c r="ITB246"/>
      <c r="ITC246"/>
      <c r="ITD246"/>
      <c r="ITE246"/>
      <c r="ITF246"/>
      <c r="ITG246"/>
      <c r="ITH246"/>
      <c r="ITI246"/>
      <c r="ITJ246"/>
      <c r="ITK246"/>
      <c r="ITL246"/>
      <c r="ITM246"/>
      <c r="ITN246"/>
      <c r="ITO246"/>
      <c r="ITP246"/>
      <c r="ITQ246"/>
      <c r="ITR246"/>
      <c r="ITS246"/>
      <c r="ITT246"/>
      <c r="ITU246"/>
      <c r="ITV246"/>
      <c r="ITW246"/>
      <c r="ITX246"/>
      <c r="ITY246"/>
      <c r="ITZ246"/>
      <c r="IUA246"/>
      <c r="IUB246"/>
      <c r="IUC246"/>
      <c r="IUD246"/>
      <c r="IUE246"/>
      <c r="IUF246"/>
      <c r="IUG246"/>
      <c r="IUH246"/>
      <c r="IUI246"/>
      <c r="IUJ246"/>
      <c r="IUK246"/>
      <c r="IUL246"/>
      <c r="IUM246"/>
      <c r="IUN246"/>
      <c r="IUO246"/>
      <c r="IUP246"/>
      <c r="IUQ246"/>
      <c r="IUR246"/>
      <c r="IUS246"/>
      <c r="IUT246"/>
      <c r="IUU246"/>
      <c r="IUV246"/>
      <c r="IUW246"/>
      <c r="IUX246"/>
      <c r="IUY246"/>
      <c r="IUZ246"/>
      <c r="IVA246"/>
      <c r="IVB246"/>
      <c r="IVC246"/>
      <c r="IVD246"/>
      <c r="IVE246"/>
      <c r="IVF246"/>
      <c r="IVG246"/>
      <c r="IVH246"/>
      <c r="IVI246"/>
      <c r="IVJ246"/>
      <c r="IVK246"/>
      <c r="IVL246"/>
      <c r="IVM246"/>
      <c r="IVN246"/>
      <c r="IVO246"/>
      <c r="IVP246"/>
      <c r="IVQ246"/>
      <c r="IVR246"/>
      <c r="IVS246"/>
      <c r="IVT246"/>
      <c r="IVU246"/>
      <c r="IVV246"/>
      <c r="IVW246"/>
      <c r="IVX246"/>
      <c r="IVY246"/>
      <c r="IVZ246"/>
      <c r="IWA246"/>
      <c r="IWB246"/>
      <c r="IWC246"/>
      <c r="IWD246"/>
      <c r="IWE246"/>
      <c r="IWF246"/>
      <c r="IWG246"/>
      <c r="IWH246"/>
      <c r="IWI246"/>
      <c r="IWJ246"/>
      <c r="IWK246"/>
      <c r="IWL246"/>
      <c r="IWM246"/>
      <c r="IWN246"/>
      <c r="IWO246"/>
      <c r="IWP246"/>
      <c r="IWQ246"/>
      <c r="IWR246"/>
      <c r="IWS246"/>
      <c r="IWT246"/>
      <c r="IWU246"/>
      <c r="IWV246"/>
      <c r="IWW246"/>
      <c r="IWX246"/>
      <c r="IWY246"/>
      <c r="IWZ246"/>
      <c r="IXA246"/>
      <c r="IXB246"/>
      <c r="IXC246"/>
      <c r="IXD246"/>
      <c r="IXE246"/>
      <c r="IXF246"/>
      <c r="IXG246"/>
      <c r="IXH246"/>
      <c r="IXI246"/>
      <c r="IXJ246"/>
      <c r="IXK246"/>
      <c r="IXL246"/>
      <c r="IXM246"/>
      <c r="IXN246"/>
      <c r="IXO246"/>
      <c r="IXP246"/>
      <c r="IXQ246"/>
      <c r="IXR246"/>
      <c r="IXS246"/>
      <c r="IXT246"/>
      <c r="IXU246"/>
      <c r="IXV246"/>
      <c r="IXW246"/>
      <c r="IXX246"/>
      <c r="IXY246"/>
      <c r="IXZ246"/>
      <c r="IYA246"/>
      <c r="IYB246"/>
      <c r="IYC246"/>
      <c r="IYD246"/>
      <c r="IYE246"/>
      <c r="IYF246"/>
      <c r="IYG246"/>
      <c r="IYH246"/>
      <c r="IYI246"/>
      <c r="IYJ246"/>
      <c r="IYK246"/>
      <c r="IYL246"/>
      <c r="IYM246"/>
      <c r="IYN246"/>
      <c r="IYO246"/>
      <c r="IYP246"/>
      <c r="IYQ246"/>
      <c r="IYR246"/>
      <c r="IYS246"/>
      <c r="IYT246"/>
      <c r="IYU246"/>
      <c r="IYV246"/>
      <c r="IYW246"/>
      <c r="IYX246"/>
      <c r="IYY246"/>
      <c r="IYZ246"/>
      <c r="IZA246"/>
      <c r="IZB246"/>
      <c r="IZC246"/>
      <c r="IZD246"/>
      <c r="IZE246"/>
      <c r="IZF246"/>
      <c r="IZG246"/>
      <c r="IZH246"/>
      <c r="IZI246"/>
      <c r="IZJ246"/>
      <c r="IZK246"/>
      <c r="IZL246"/>
      <c r="IZM246"/>
      <c r="IZN246"/>
      <c r="IZO246"/>
      <c r="IZP246"/>
      <c r="IZQ246"/>
      <c r="IZR246"/>
      <c r="IZS246"/>
      <c r="IZT246"/>
      <c r="IZU246"/>
      <c r="IZV246"/>
      <c r="IZW246"/>
      <c r="IZX246"/>
      <c r="IZY246"/>
      <c r="IZZ246"/>
      <c r="JAA246"/>
      <c r="JAB246"/>
      <c r="JAC246"/>
      <c r="JAD246"/>
      <c r="JAE246"/>
      <c r="JAF246"/>
      <c r="JAG246"/>
      <c r="JAH246"/>
      <c r="JAI246"/>
      <c r="JAJ246"/>
      <c r="JAK246"/>
      <c r="JAL246"/>
      <c r="JAM246"/>
      <c r="JAN246"/>
      <c r="JAO246"/>
      <c r="JAP246"/>
      <c r="JAQ246"/>
      <c r="JAR246"/>
      <c r="JAS246"/>
      <c r="JAT246"/>
      <c r="JAU246"/>
      <c r="JAV246"/>
      <c r="JAW246"/>
      <c r="JAX246"/>
      <c r="JAY246"/>
      <c r="JAZ246"/>
      <c r="JBA246"/>
      <c r="JBB246"/>
      <c r="JBC246"/>
      <c r="JBD246"/>
      <c r="JBE246"/>
      <c r="JBF246"/>
      <c r="JBG246"/>
      <c r="JBH246"/>
      <c r="JBI246"/>
      <c r="JBJ246"/>
      <c r="JBK246"/>
      <c r="JBL246"/>
      <c r="JBM246"/>
      <c r="JBN246"/>
      <c r="JBO246"/>
      <c r="JBP246"/>
      <c r="JBQ246"/>
      <c r="JBR246"/>
      <c r="JBS246"/>
      <c r="JBT246"/>
      <c r="JBU246"/>
      <c r="JBV246"/>
      <c r="JBW246"/>
      <c r="JBX246"/>
      <c r="JBY246"/>
      <c r="JBZ246"/>
      <c r="JCA246"/>
      <c r="JCB246"/>
      <c r="JCC246"/>
      <c r="JCD246"/>
      <c r="JCE246"/>
      <c r="JCF246"/>
      <c r="JCG246"/>
      <c r="JCH246"/>
      <c r="JCI246"/>
      <c r="JCJ246"/>
      <c r="JCK246"/>
      <c r="JCL246"/>
      <c r="JCM246"/>
      <c r="JCN246"/>
      <c r="JCO246"/>
      <c r="JCP246"/>
      <c r="JCQ246"/>
      <c r="JCR246"/>
      <c r="JCS246"/>
      <c r="JCT246"/>
      <c r="JCU246"/>
      <c r="JCV246"/>
      <c r="JCW246"/>
      <c r="JCX246"/>
      <c r="JCY246"/>
      <c r="JCZ246"/>
      <c r="JDA246"/>
      <c r="JDB246"/>
      <c r="JDC246"/>
      <c r="JDD246"/>
      <c r="JDE246"/>
      <c r="JDF246"/>
      <c r="JDG246"/>
      <c r="JDH246"/>
      <c r="JDI246"/>
      <c r="JDJ246"/>
      <c r="JDK246"/>
      <c r="JDL246"/>
      <c r="JDM246"/>
      <c r="JDN246"/>
      <c r="JDO246"/>
      <c r="JDP246"/>
      <c r="JDQ246"/>
      <c r="JDR246"/>
      <c r="JDS246"/>
      <c r="JDT246"/>
      <c r="JDU246"/>
      <c r="JDV246"/>
      <c r="JDW246"/>
      <c r="JDX246"/>
      <c r="JDY246"/>
      <c r="JDZ246"/>
      <c r="JEA246"/>
      <c r="JEB246"/>
      <c r="JEC246"/>
      <c r="JED246"/>
      <c r="JEE246"/>
      <c r="JEF246"/>
      <c r="JEG246"/>
      <c r="JEH246"/>
      <c r="JEI246"/>
      <c r="JEJ246"/>
      <c r="JEK246"/>
      <c r="JEL246"/>
      <c r="JEM246"/>
      <c r="JEN246"/>
      <c r="JEO246"/>
      <c r="JEP246"/>
      <c r="JEQ246"/>
      <c r="JER246"/>
      <c r="JES246"/>
      <c r="JET246"/>
      <c r="JEU246"/>
      <c r="JEV246"/>
      <c r="JEW246"/>
      <c r="JEX246"/>
      <c r="JEY246"/>
      <c r="JEZ246"/>
      <c r="JFA246"/>
      <c r="JFB246"/>
      <c r="JFC246"/>
      <c r="JFD246"/>
      <c r="JFE246"/>
      <c r="JFF246"/>
      <c r="JFG246"/>
      <c r="JFH246"/>
      <c r="JFI246"/>
      <c r="JFJ246"/>
      <c r="JFK246"/>
      <c r="JFL246"/>
      <c r="JFM246"/>
      <c r="JFN246"/>
      <c r="JFO246"/>
      <c r="JFP246"/>
      <c r="JFQ246"/>
      <c r="JFR246"/>
      <c r="JFS246"/>
      <c r="JFT246"/>
      <c r="JFU246"/>
      <c r="JFV246"/>
      <c r="JFW246"/>
      <c r="JFX246"/>
      <c r="JFY246"/>
      <c r="JFZ246"/>
      <c r="JGA246"/>
      <c r="JGB246"/>
      <c r="JGC246"/>
      <c r="JGD246"/>
      <c r="JGE246"/>
      <c r="JGF246"/>
      <c r="JGG246"/>
      <c r="JGH246"/>
      <c r="JGI246"/>
      <c r="JGJ246"/>
      <c r="JGK246"/>
      <c r="JGL246"/>
      <c r="JGM246"/>
      <c r="JGN246"/>
      <c r="JGO246"/>
      <c r="JGP246"/>
      <c r="JGQ246"/>
      <c r="JGR246"/>
      <c r="JGS246"/>
      <c r="JGT246"/>
      <c r="JGU246"/>
      <c r="JGV246"/>
      <c r="JGW246"/>
      <c r="JGX246"/>
      <c r="JGY246"/>
      <c r="JGZ246"/>
      <c r="JHA246"/>
      <c r="JHB246"/>
      <c r="JHC246"/>
      <c r="JHD246"/>
      <c r="JHE246"/>
      <c r="JHF246"/>
      <c r="JHG246"/>
      <c r="JHH246"/>
      <c r="JHI246"/>
      <c r="JHJ246"/>
      <c r="JHK246"/>
      <c r="JHL246"/>
      <c r="JHM246"/>
      <c r="JHN246"/>
      <c r="JHO246"/>
      <c r="JHP246"/>
      <c r="JHQ246"/>
      <c r="JHR246"/>
      <c r="JHS246"/>
      <c r="JHT246"/>
      <c r="JHU246"/>
      <c r="JHV246"/>
      <c r="JHW246"/>
      <c r="JHX246"/>
      <c r="JHY246"/>
      <c r="JHZ246"/>
      <c r="JIA246"/>
      <c r="JIB246"/>
      <c r="JIC246"/>
      <c r="JID246"/>
      <c r="JIE246"/>
      <c r="JIF246"/>
      <c r="JIG246"/>
      <c r="JIH246"/>
      <c r="JII246"/>
      <c r="JIJ246"/>
      <c r="JIK246"/>
      <c r="JIL246"/>
      <c r="JIM246"/>
      <c r="JIN246"/>
      <c r="JIO246"/>
      <c r="JIP246"/>
      <c r="JIQ246"/>
      <c r="JIR246"/>
      <c r="JIS246"/>
      <c r="JIT246"/>
      <c r="JIU246"/>
      <c r="JIV246"/>
      <c r="JIW246"/>
      <c r="JIX246"/>
      <c r="JIY246"/>
      <c r="JIZ246"/>
      <c r="JJA246"/>
      <c r="JJB246"/>
      <c r="JJC246"/>
      <c r="JJD246"/>
      <c r="JJE246"/>
      <c r="JJF246"/>
      <c r="JJG246"/>
      <c r="JJH246"/>
      <c r="JJI246"/>
      <c r="JJJ246"/>
      <c r="JJK246"/>
      <c r="JJL246"/>
      <c r="JJM246"/>
      <c r="JJN246"/>
      <c r="JJO246"/>
      <c r="JJP246"/>
      <c r="JJQ246"/>
      <c r="JJR246"/>
      <c r="JJS246"/>
      <c r="JJT246"/>
      <c r="JJU246"/>
      <c r="JJV246"/>
      <c r="JJW246"/>
      <c r="JJX246"/>
      <c r="JJY246"/>
      <c r="JJZ246"/>
      <c r="JKA246"/>
      <c r="JKB246"/>
      <c r="JKC246"/>
      <c r="JKD246"/>
      <c r="JKE246"/>
      <c r="JKF246"/>
      <c r="JKG246"/>
      <c r="JKH246"/>
      <c r="JKI246"/>
      <c r="JKJ246"/>
      <c r="JKK246"/>
      <c r="JKL246"/>
      <c r="JKM246"/>
      <c r="JKN246"/>
      <c r="JKO246"/>
      <c r="JKP246"/>
      <c r="JKQ246"/>
      <c r="JKR246"/>
      <c r="JKS246"/>
      <c r="JKT246"/>
      <c r="JKU246"/>
      <c r="JKV246"/>
      <c r="JKW246"/>
      <c r="JKX246"/>
      <c r="JKY246"/>
      <c r="JKZ246"/>
      <c r="JLA246"/>
      <c r="JLB246"/>
      <c r="JLC246"/>
      <c r="JLD246"/>
      <c r="JLE246"/>
      <c r="JLF246"/>
      <c r="JLG246"/>
      <c r="JLH246"/>
      <c r="JLI246"/>
      <c r="JLJ246"/>
      <c r="JLK246"/>
      <c r="JLL246"/>
      <c r="JLM246"/>
      <c r="JLN246"/>
      <c r="JLO246"/>
      <c r="JLP246"/>
      <c r="JLQ246"/>
      <c r="JLR246"/>
      <c r="JLS246"/>
      <c r="JLT246"/>
      <c r="JLU246"/>
      <c r="JLV246"/>
      <c r="JLW246"/>
      <c r="JLX246"/>
      <c r="JLY246"/>
      <c r="JLZ246"/>
      <c r="JMA246"/>
      <c r="JMB246"/>
      <c r="JMC246"/>
      <c r="JMD246"/>
      <c r="JME246"/>
      <c r="JMF246"/>
      <c r="JMG246"/>
      <c r="JMH246"/>
      <c r="JMI246"/>
      <c r="JMJ246"/>
      <c r="JMK246"/>
      <c r="JML246"/>
      <c r="JMM246"/>
      <c r="JMN246"/>
      <c r="JMO246"/>
      <c r="JMP246"/>
      <c r="JMQ246"/>
      <c r="JMR246"/>
      <c r="JMS246"/>
      <c r="JMT246"/>
      <c r="JMU246"/>
      <c r="JMV246"/>
      <c r="JMW246"/>
      <c r="JMX246"/>
      <c r="JMY246"/>
      <c r="JMZ246"/>
      <c r="JNA246"/>
      <c r="JNB246"/>
      <c r="JNC246"/>
      <c r="JND246"/>
      <c r="JNE246"/>
      <c r="JNF246"/>
      <c r="JNG246"/>
      <c r="JNH246"/>
      <c r="JNI246"/>
      <c r="JNJ246"/>
      <c r="JNK246"/>
      <c r="JNL246"/>
      <c r="JNM246"/>
      <c r="JNN246"/>
      <c r="JNO246"/>
      <c r="JNP246"/>
      <c r="JNQ246"/>
      <c r="JNR246"/>
      <c r="JNS246"/>
      <c r="JNT246"/>
      <c r="JNU246"/>
      <c r="JNV246"/>
      <c r="JNW246"/>
      <c r="JNX246"/>
      <c r="JNY246"/>
      <c r="JNZ246"/>
      <c r="JOA246"/>
      <c r="JOB246"/>
      <c r="JOC246"/>
      <c r="JOD246"/>
      <c r="JOE246"/>
      <c r="JOF246"/>
      <c r="JOG246"/>
      <c r="JOH246"/>
      <c r="JOI246"/>
      <c r="JOJ246"/>
      <c r="JOK246"/>
      <c r="JOL246"/>
      <c r="JOM246"/>
      <c r="JON246"/>
      <c r="JOO246"/>
      <c r="JOP246"/>
      <c r="JOQ246"/>
      <c r="JOR246"/>
      <c r="JOS246"/>
      <c r="JOT246"/>
      <c r="JOU246"/>
      <c r="JOV246"/>
      <c r="JOW246"/>
      <c r="JOX246"/>
      <c r="JOY246"/>
      <c r="JOZ246"/>
      <c r="JPA246"/>
      <c r="JPB246"/>
      <c r="JPC246"/>
      <c r="JPD246"/>
      <c r="JPE246"/>
      <c r="JPF246"/>
      <c r="JPG246"/>
      <c r="JPH246"/>
      <c r="JPI246"/>
      <c r="JPJ246"/>
      <c r="JPK246"/>
      <c r="JPL246"/>
      <c r="JPM246"/>
      <c r="JPN246"/>
      <c r="JPO246"/>
      <c r="JPP246"/>
      <c r="JPQ246"/>
      <c r="JPR246"/>
      <c r="JPS246"/>
      <c r="JPT246"/>
      <c r="JPU246"/>
      <c r="JPV246"/>
      <c r="JPW246"/>
      <c r="JPX246"/>
      <c r="JPY246"/>
      <c r="JPZ246"/>
      <c r="JQA246"/>
      <c r="JQB246"/>
      <c r="JQC246"/>
      <c r="JQD246"/>
      <c r="JQE246"/>
      <c r="JQF246"/>
      <c r="JQG246"/>
      <c r="JQH246"/>
      <c r="JQI246"/>
      <c r="JQJ246"/>
      <c r="JQK246"/>
      <c r="JQL246"/>
      <c r="JQM246"/>
      <c r="JQN246"/>
      <c r="JQO246"/>
      <c r="JQP246"/>
      <c r="JQQ246"/>
      <c r="JQR246"/>
      <c r="JQS246"/>
      <c r="JQT246"/>
      <c r="JQU246"/>
      <c r="JQV246"/>
      <c r="JQW246"/>
      <c r="JQX246"/>
      <c r="JQY246"/>
      <c r="JQZ246"/>
      <c r="JRA246"/>
      <c r="JRB246"/>
      <c r="JRC246"/>
      <c r="JRD246"/>
      <c r="JRE246"/>
      <c r="JRF246"/>
      <c r="JRG246"/>
      <c r="JRH246"/>
      <c r="JRI246"/>
      <c r="JRJ246"/>
      <c r="JRK246"/>
      <c r="JRL246"/>
      <c r="JRM246"/>
      <c r="JRN246"/>
      <c r="JRO246"/>
      <c r="JRP246"/>
      <c r="JRQ246"/>
      <c r="JRR246"/>
      <c r="JRS246"/>
      <c r="JRT246"/>
      <c r="JRU246"/>
      <c r="JRV246"/>
      <c r="JRW246"/>
      <c r="JRX246"/>
      <c r="JRY246"/>
      <c r="JRZ246"/>
      <c r="JSA246"/>
      <c r="JSB246"/>
      <c r="JSC246"/>
      <c r="JSD246"/>
      <c r="JSE246"/>
      <c r="JSF246"/>
      <c r="JSG246"/>
      <c r="JSH246"/>
      <c r="JSI246"/>
      <c r="JSJ246"/>
      <c r="JSK246"/>
      <c r="JSL246"/>
      <c r="JSM246"/>
      <c r="JSN246"/>
      <c r="JSO246"/>
      <c r="JSP246"/>
      <c r="JSQ246"/>
      <c r="JSR246"/>
      <c r="JSS246"/>
      <c r="JST246"/>
      <c r="JSU246"/>
      <c r="JSV246"/>
      <c r="JSW246"/>
      <c r="JSX246"/>
      <c r="JSY246"/>
      <c r="JSZ246"/>
      <c r="JTA246"/>
      <c r="JTB246"/>
      <c r="JTC246"/>
      <c r="JTD246"/>
      <c r="JTE246"/>
      <c r="JTF246"/>
      <c r="JTG246"/>
      <c r="JTH246"/>
      <c r="JTI246"/>
      <c r="JTJ246"/>
      <c r="JTK246"/>
      <c r="JTL246"/>
      <c r="JTM246"/>
      <c r="JTN246"/>
      <c r="JTO246"/>
      <c r="JTP246"/>
      <c r="JTQ246"/>
      <c r="JTR246"/>
      <c r="JTS246"/>
      <c r="JTT246"/>
      <c r="JTU246"/>
      <c r="JTV246"/>
      <c r="JTW246"/>
      <c r="JTX246"/>
      <c r="JTY246"/>
      <c r="JTZ246"/>
      <c r="JUA246"/>
      <c r="JUB246"/>
      <c r="JUC246"/>
      <c r="JUD246"/>
      <c r="JUE246"/>
      <c r="JUF246"/>
      <c r="JUG246"/>
      <c r="JUH246"/>
      <c r="JUI246"/>
      <c r="JUJ246"/>
      <c r="JUK246"/>
      <c r="JUL246"/>
      <c r="JUM246"/>
      <c r="JUN246"/>
      <c r="JUO246"/>
      <c r="JUP246"/>
      <c r="JUQ246"/>
      <c r="JUR246"/>
      <c r="JUS246"/>
      <c r="JUT246"/>
      <c r="JUU246"/>
      <c r="JUV246"/>
      <c r="JUW246"/>
      <c r="JUX246"/>
      <c r="JUY246"/>
      <c r="JUZ246"/>
      <c r="JVA246"/>
      <c r="JVB246"/>
      <c r="JVC246"/>
      <c r="JVD246"/>
      <c r="JVE246"/>
      <c r="JVF246"/>
      <c r="JVG246"/>
      <c r="JVH246"/>
      <c r="JVI246"/>
      <c r="JVJ246"/>
      <c r="JVK246"/>
      <c r="JVL246"/>
      <c r="JVM246"/>
      <c r="JVN246"/>
      <c r="JVO246"/>
      <c r="JVP246"/>
      <c r="JVQ246"/>
      <c r="JVR246"/>
      <c r="JVS246"/>
      <c r="JVT246"/>
      <c r="JVU246"/>
      <c r="JVV246"/>
      <c r="JVW246"/>
      <c r="JVX246"/>
      <c r="JVY246"/>
      <c r="JVZ246"/>
      <c r="JWA246"/>
      <c r="JWB246"/>
      <c r="JWC246"/>
      <c r="JWD246"/>
      <c r="JWE246"/>
      <c r="JWF246"/>
      <c r="JWG246"/>
      <c r="JWH246"/>
      <c r="JWI246"/>
      <c r="JWJ246"/>
      <c r="JWK246"/>
      <c r="JWL246"/>
      <c r="JWM246"/>
      <c r="JWN246"/>
      <c r="JWO246"/>
      <c r="JWP246"/>
      <c r="JWQ246"/>
      <c r="JWR246"/>
      <c r="JWS246"/>
      <c r="JWT246"/>
      <c r="JWU246"/>
      <c r="JWV246"/>
      <c r="JWW246"/>
      <c r="JWX246"/>
      <c r="JWY246"/>
      <c r="JWZ246"/>
      <c r="JXA246"/>
      <c r="JXB246"/>
      <c r="JXC246"/>
      <c r="JXD246"/>
      <c r="JXE246"/>
      <c r="JXF246"/>
      <c r="JXG246"/>
      <c r="JXH246"/>
      <c r="JXI246"/>
      <c r="JXJ246"/>
      <c r="JXK246"/>
      <c r="JXL246"/>
      <c r="JXM246"/>
      <c r="JXN246"/>
      <c r="JXO246"/>
      <c r="JXP246"/>
      <c r="JXQ246"/>
      <c r="JXR246"/>
      <c r="JXS246"/>
      <c r="JXT246"/>
      <c r="JXU246"/>
      <c r="JXV246"/>
      <c r="JXW246"/>
      <c r="JXX246"/>
      <c r="JXY246"/>
      <c r="JXZ246"/>
      <c r="JYA246"/>
      <c r="JYB246"/>
      <c r="JYC246"/>
      <c r="JYD246"/>
      <c r="JYE246"/>
      <c r="JYF246"/>
      <c r="JYG246"/>
      <c r="JYH246"/>
      <c r="JYI246"/>
      <c r="JYJ246"/>
      <c r="JYK246"/>
      <c r="JYL246"/>
      <c r="JYM246"/>
      <c r="JYN246"/>
      <c r="JYO246"/>
      <c r="JYP246"/>
      <c r="JYQ246"/>
      <c r="JYR246"/>
      <c r="JYS246"/>
      <c r="JYT246"/>
      <c r="JYU246"/>
      <c r="JYV246"/>
      <c r="JYW246"/>
      <c r="JYX246"/>
      <c r="JYY246"/>
      <c r="JYZ246"/>
      <c r="JZA246"/>
      <c r="JZB246"/>
      <c r="JZC246"/>
      <c r="JZD246"/>
      <c r="JZE246"/>
      <c r="JZF246"/>
      <c r="JZG246"/>
      <c r="JZH246"/>
      <c r="JZI246"/>
      <c r="JZJ246"/>
      <c r="JZK246"/>
      <c r="JZL246"/>
      <c r="JZM246"/>
      <c r="JZN246"/>
      <c r="JZO246"/>
      <c r="JZP246"/>
      <c r="JZQ246"/>
      <c r="JZR246"/>
      <c r="JZS246"/>
      <c r="JZT246"/>
      <c r="JZU246"/>
      <c r="JZV246"/>
      <c r="JZW246"/>
      <c r="JZX246"/>
      <c r="JZY246"/>
      <c r="JZZ246"/>
      <c r="KAA246"/>
      <c r="KAB246"/>
      <c r="KAC246"/>
      <c r="KAD246"/>
      <c r="KAE246"/>
      <c r="KAF246"/>
      <c r="KAG246"/>
      <c r="KAH246"/>
      <c r="KAI246"/>
      <c r="KAJ246"/>
      <c r="KAK246"/>
      <c r="KAL246"/>
      <c r="KAM246"/>
      <c r="KAN246"/>
      <c r="KAO246"/>
      <c r="KAP246"/>
      <c r="KAQ246"/>
      <c r="KAR246"/>
      <c r="KAS246"/>
      <c r="KAT246"/>
      <c r="KAU246"/>
      <c r="KAV246"/>
      <c r="KAW246"/>
      <c r="KAX246"/>
      <c r="KAY246"/>
      <c r="KAZ246"/>
      <c r="KBA246"/>
      <c r="KBB246"/>
      <c r="KBC246"/>
      <c r="KBD246"/>
      <c r="KBE246"/>
      <c r="KBF246"/>
      <c r="KBG246"/>
      <c r="KBH246"/>
      <c r="KBI246"/>
      <c r="KBJ246"/>
      <c r="KBK246"/>
      <c r="KBL246"/>
      <c r="KBM246"/>
      <c r="KBN246"/>
      <c r="KBO246"/>
      <c r="KBP246"/>
      <c r="KBQ246"/>
      <c r="KBR246"/>
      <c r="KBS246"/>
      <c r="KBT246"/>
      <c r="KBU246"/>
      <c r="KBV246"/>
      <c r="KBW246"/>
      <c r="KBX246"/>
      <c r="KBY246"/>
      <c r="KBZ246"/>
      <c r="KCA246"/>
      <c r="KCB246"/>
      <c r="KCC246"/>
      <c r="KCD246"/>
      <c r="KCE246"/>
      <c r="KCF246"/>
      <c r="KCG246"/>
      <c r="KCH246"/>
      <c r="KCI246"/>
      <c r="KCJ246"/>
      <c r="KCK246"/>
      <c r="KCL246"/>
      <c r="KCM246"/>
      <c r="KCN246"/>
      <c r="KCO246"/>
      <c r="KCP246"/>
      <c r="KCQ246"/>
      <c r="KCR246"/>
      <c r="KCS246"/>
      <c r="KCT246"/>
      <c r="KCU246"/>
      <c r="KCV246"/>
      <c r="KCW246"/>
      <c r="KCX246"/>
      <c r="KCY246"/>
      <c r="KCZ246"/>
      <c r="KDA246"/>
      <c r="KDB246"/>
      <c r="KDC246"/>
      <c r="KDD246"/>
      <c r="KDE246"/>
      <c r="KDF246"/>
      <c r="KDG246"/>
      <c r="KDH246"/>
      <c r="KDI246"/>
      <c r="KDJ246"/>
      <c r="KDK246"/>
      <c r="KDL246"/>
      <c r="KDM246"/>
      <c r="KDN246"/>
      <c r="KDO246"/>
      <c r="KDP246"/>
      <c r="KDQ246"/>
      <c r="KDR246"/>
      <c r="KDS246"/>
      <c r="KDT246"/>
      <c r="KDU246"/>
      <c r="KDV246"/>
      <c r="KDW246"/>
      <c r="KDX246"/>
      <c r="KDY246"/>
      <c r="KDZ246"/>
      <c r="KEA246"/>
      <c r="KEB246"/>
      <c r="KEC246"/>
      <c r="KED246"/>
      <c r="KEE246"/>
      <c r="KEF246"/>
      <c r="KEG246"/>
      <c r="KEH246"/>
      <c r="KEI246"/>
      <c r="KEJ246"/>
      <c r="KEK246"/>
      <c r="KEL246"/>
      <c r="KEM246"/>
      <c r="KEN246"/>
      <c r="KEO246"/>
      <c r="KEP246"/>
      <c r="KEQ246"/>
      <c r="KER246"/>
      <c r="KES246"/>
      <c r="KET246"/>
      <c r="KEU246"/>
      <c r="KEV246"/>
      <c r="KEW246"/>
      <c r="KEX246"/>
      <c r="KEY246"/>
      <c r="KEZ246"/>
      <c r="KFA246"/>
      <c r="KFB246"/>
      <c r="KFC246"/>
      <c r="KFD246"/>
      <c r="KFE246"/>
      <c r="KFF246"/>
      <c r="KFG246"/>
      <c r="KFH246"/>
      <c r="KFI246"/>
      <c r="KFJ246"/>
      <c r="KFK246"/>
      <c r="KFL246"/>
      <c r="KFM246"/>
      <c r="KFN246"/>
      <c r="KFO246"/>
      <c r="KFP246"/>
      <c r="KFQ246"/>
      <c r="KFR246"/>
      <c r="KFS246"/>
      <c r="KFT246"/>
      <c r="KFU246"/>
      <c r="KFV246"/>
      <c r="KFW246"/>
      <c r="KFX246"/>
      <c r="KFY246"/>
      <c r="KFZ246"/>
      <c r="KGA246"/>
      <c r="KGB246"/>
      <c r="KGC246"/>
      <c r="KGD246"/>
      <c r="KGE246"/>
      <c r="KGF246"/>
      <c r="KGG246"/>
      <c r="KGH246"/>
      <c r="KGI246"/>
      <c r="KGJ246"/>
      <c r="KGK246"/>
      <c r="KGL246"/>
      <c r="KGM246"/>
      <c r="KGN246"/>
      <c r="KGO246"/>
      <c r="KGP246"/>
      <c r="KGQ246"/>
      <c r="KGR246"/>
      <c r="KGS246"/>
      <c r="KGT246"/>
      <c r="KGU246"/>
      <c r="KGV246"/>
      <c r="KGW246"/>
      <c r="KGX246"/>
      <c r="KGY246"/>
      <c r="KGZ246"/>
      <c r="KHA246"/>
      <c r="KHB246"/>
      <c r="KHC246"/>
      <c r="KHD246"/>
      <c r="KHE246"/>
      <c r="KHF246"/>
      <c r="KHG246"/>
      <c r="KHH246"/>
      <c r="KHI246"/>
      <c r="KHJ246"/>
      <c r="KHK246"/>
      <c r="KHL246"/>
      <c r="KHM246"/>
      <c r="KHN246"/>
      <c r="KHO246"/>
      <c r="KHP246"/>
      <c r="KHQ246"/>
      <c r="KHR246"/>
      <c r="KHS246"/>
      <c r="KHT246"/>
      <c r="KHU246"/>
      <c r="KHV246"/>
      <c r="KHW246"/>
      <c r="KHX246"/>
      <c r="KHY246"/>
      <c r="KHZ246"/>
      <c r="KIA246"/>
      <c r="KIB246"/>
      <c r="KIC246"/>
      <c r="KID246"/>
      <c r="KIE246"/>
      <c r="KIF246"/>
      <c r="KIG246"/>
      <c r="KIH246"/>
      <c r="KII246"/>
      <c r="KIJ246"/>
      <c r="KIK246"/>
      <c r="KIL246"/>
      <c r="KIM246"/>
      <c r="KIN246"/>
      <c r="KIO246"/>
      <c r="KIP246"/>
      <c r="KIQ246"/>
      <c r="KIR246"/>
      <c r="KIS246"/>
      <c r="KIT246"/>
      <c r="KIU246"/>
      <c r="KIV246"/>
      <c r="KIW246"/>
      <c r="KIX246"/>
      <c r="KIY246"/>
      <c r="KIZ246"/>
      <c r="KJA246"/>
      <c r="KJB246"/>
      <c r="KJC246"/>
      <c r="KJD246"/>
      <c r="KJE246"/>
      <c r="KJF246"/>
      <c r="KJG246"/>
      <c r="KJH246"/>
      <c r="KJI246"/>
      <c r="KJJ246"/>
      <c r="KJK246"/>
      <c r="KJL246"/>
      <c r="KJM246"/>
      <c r="KJN246"/>
      <c r="KJO246"/>
      <c r="KJP246"/>
      <c r="KJQ246"/>
      <c r="KJR246"/>
      <c r="KJS246"/>
      <c r="KJT246"/>
      <c r="KJU246"/>
      <c r="KJV246"/>
      <c r="KJW246"/>
      <c r="KJX246"/>
      <c r="KJY246"/>
      <c r="KJZ246"/>
      <c r="KKA246"/>
      <c r="KKB246"/>
      <c r="KKC246"/>
      <c r="KKD246"/>
      <c r="KKE246"/>
      <c r="KKF246"/>
      <c r="KKG246"/>
      <c r="KKH246"/>
      <c r="KKI246"/>
      <c r="KKJ246"/>
      <c r="KKK246"/>
      <c r="KKL246"/>
      <c r="KKM246"/>
      <c r="KKN246"/>
      <c r="KKO246"/>
      <c r="KKP246"/>
      <c r="KKQ246"/>
      <c r="KKR246"/>
      <c r="KKS246"/>
      <c r="KKT246"/>
      <c r="KKU246"/>
      <c r="KKV246"/>
      <c r="KKW246"/>
      <c r="KKX246"/>
      <c r="KKY246"/>
      <c r="KKZ246"/>
      <c r="KLA246"/>
      <c r="KLB246"/>
      <c r="KLC246"/>
      <c r="KLD246"/>
      <c r="KLE246"/>
      <c r="KLF246"/>
      <c r="KLG246"/>
      <c r="KLH246"/>
      <c r="KLI246"/>
      <c r="KLJ246"/>
      <c r="KLK246"/>
      <c r="KLL246"/>
      <c r="KLM246"/>
      <c r="KLN246"/>
      <c r="KLO246"/>
      <c r="KLP246"/>
      <c r="KLQ246"/>
      <c r="KLR246"/>
      <c r="KLS246"/>
      <c r="KLT246"/>
      <c r="KLU246"/>
      <c r="KLV246"/>
      <c r="KLW246"/>
      <c r="KLX246"/>
      <c r="KLY246"/>
      <c r="KLZ246"/>
      <c r="KMA246"/>
      <c r="KMB246"/>
      <c r="KMC246"/>
      <c r="KMD246"/>
      <c r="KME246"/>
      <c r="KMF246"/>
      <c r="KMG246"/>
      <c r="KMH246"/>
      <c r="KMI246"/>
      <c r="KMJ246"/>
      <c r="KMK246"/>
      <c r="KML246"/>
      <c r="KMM246"/>
      <c r="KMN246"/>
      <c r="KMO246"/>
      <c r="KMP246"/>
      <c r="KMQ246"/>
      <c r="KMR246"/>
      <c r="KMS246"/>
      <c r="KMT246"/>
      <c r="KMU246"/>
      <c r="KMV246"/>
      <c r="KMW246"/>
      <c r="KMX246"/>
      <c r="KMY246"/>
      <c r="KMZ246"/>
      <c r="KNA246"/>
      <c r="KNB246"/>
      <c r="KNC246"/>
      <c r="KND246"/>
      <c r="KNE246"/>
      <c r="KNF246"/>
      <c r="KNG246"/>
      <c r="KNH246"/>
      <c r="KNI246"/>
      <c r="KNJ246"/>
      <c r="KNK246"/>
      <c r="KNL246"/>
      <c r="KNM246"/>
      <c r="KNN246"/>
      <c r="KNO246"/>
      <c r="KNP246"/>
      <c r="KNQ246"/>
      <c r="KNR246"/>
      <c r="KNS246"/>
      <c r="KNT246"/>
      <c r="KNU246"/>
      <c r="KNV246"/>
      <c r="KNW246"/>
      <c r="KNX246"/>
      <c r="KNY246"/>
      <c r="KNZ246"/>
      <c r="KOA246"/>
      <c r="KOB246"/>
      <c r="KOC246"/>
      <c r="KOD246"/>
      <c r="KOE246"/>
      <c r="KOF246"/>
      <c r="KOG246"/>
      <c r="KOH246"/>
      <c r="KOI246"/>
      <c r="KOJ246"/>
      <c r="KOK246"/>
      <c r="KOL246"/>
      <c r="KOM246"/>
      <c r="KON246"/>
      <c r="KOO246"/>
      <c r="KOP246"/>
      <c r="KOQ246"/>
      <c r="KOR246"/>
      <c r="KOS246"/>
      <c r="KOT246"/>
      <c r="KOU246"/>
      <c r="KOV246"/>
      <c r="KOW246"/>
      <c r="KOX246"/>
      <c r="KOY246"/>
      <c r="KOZ246"/>
      <c r="KPA246"/>
      <c r="KPB246"/>
      <c r="KPC246"/>
      <c r="KPD246"/>
      <c r="KPE246"/>
      <c r="KPF246"/>
      <c r="KPG246"/>
      <c r="KPH246"/>
      <c r="KPI246"/>
      <c r="KPJ246"/>
      <c r="KPK246"/>
      <c r="KPL246"/>
      <c r="KPM246"/>
      <c r="KPN246"/>
      <c r="KPO246"/>
      <c r="KPP246"/>
      <c r="KPQ246"/>
      <c r="KPR246"/>
      <c r="KPS246"/>
      <c r="KPT246"/>
      <c r="KPU246"/>
      <c r="KPV246"/>
      <c r="KPW246"/>
      <c r="KPX246"/>
      <c r="KPY246"/>
      <c r="KPZ246"/>
      <c r="KQA246"/>
      <c r="KQB246"/>
      <c r="KQC246"/>
      <c r="KQD246"/>
      <c r="KQE246"/>
      <c r="KQF246"/>
      <c r="KQG246"/>
      <c r="KQH246"/>
      <c r="KQI246"/>
      <c r="KQJ246"/>
      <c r="KQK246"/>
      <c r="KQL246"/>
      <c r="KQM246"/>
      <c r="KQN246"/>
      <c r="KQO246"/>
      <c r="KQP246"/>
      <c r="KQQ246"/>
      <c r="KQR246"/>
      <c r="KQS246"/>
      <c r="KQT246"/>
      <c r="KQU246"/>
      <c r="KQV246"/>
      <c r="KQW246"/>
      <c r="KQX246"/>
      <c r="KQY246"/>
      <c r="KQZ246"/>
      <c r="KRA246"/>
      <c r="KRB246"/>
      <c r="KRC246"/>
      <c r="KRD246"/>
      <c r="KRE246"/>
      <c r="KRF246"/>
      <c r="KRG246"/>
      <c r="KRH246"/>
      <c r="KRI246"/>
      <c r="KRJ246"/>
      <c r="KRK246"/>
      <c r="KRL246"/>
      <c r="KRM246"/>
      <c r="KRN246"/>
      <c r="KRO246"/>
      <c r="KRP246"/>
      <c r="KRQ246"/>
      <c r="KRR246"/>
      <c r="KRS246"/>
      <c r="KRT246"/>
      <c r="KRU246"/>
      <c r="KRV246"/>
      <c r="KRW246"/>
      <c r="KRX246"/>
      <c r="KRY246"/>
      <c r="KRZ246"/>
      <c r="KSA246"/>
      <c r="KSB246"/>
      <c r="KSC246"/>
      <c r="KSD246"/>
      <c r="KSE246"/>
      <c r="KSF246"/>
      <c r="KSG246"/>
      <c r="KSH246"/>
      <c r="KSI246"/>
      <c r="KSJ246"/>
      <c r="KSK246"/>
      <c r="KSL246"/>
      <c r="KSM246"/>
      <c r="KSN246"/>
      <c r="KSO246"/>
      <c r="KSP246"/>
      <c r="KSQ246"/>
      <c r="KSR246"/>
      <c r="KSS246"/>
      <c r="KST246"/>
      <c r="KSU246"/>
      <c r="KSV246"/>
      <c r="KSW246"/>
      <c r="KSX246"/>
      <c r="KSY246"/>
      <c r="KSZ246"/>
      <c r="KTA246"/>
      <c r="KTB246"/>
      <c r="KTC246"/>
      <c r="KTD246"/>
      <c r="KTE246"/>
      <c r="KTF246"/>
      <c r="KTG246"/>
      <c r="KTH246"/>
      <c r="KTI246"/>
      <c r="KTJ246"/>
      <c r="KTK246"/>
      <c r="KTL246"/>
      <c r="KTM246"/>
      <c r="KTN246"/>
      <c r="KTO246"/>
      <c r="KTP246"/>
      <c r="KTQ246"/>
      <c r="KTR246"/>
      <c r="KTS246"/>
      <c r="KTT246"/>
      <c r="KTU246"/>
      <c r="KTV246"/>
      <c r="KTW246"/>
      <c r="KTX246"/>
      <c r="KTY246"/>
      <c r="KTZ246"/>
      <c r="KUA246"/>
      <c r="KUB246"/>
      <c r="KUC246"/>
      <c r="KUD246"/>
      <c r="KUE246"/>
      <c r="KUF246"/>
      <c r="KUG246"/>
      <c r="KUH246"/>
      <c r="KUI246"/>
      <c r="KUJ246"/>
      <c r="KUK246"/>
      <c r="KUL246"/>
      <c r="KUM246"/>
      <c r="KUN246"/>
      <c r="KUO246"/>
      <c r="KUP246"/>
      <c r="KUQ246"/>
      <c r="KUR246"/>
      <c r="KUS246"/>
      <c r="KUT246"/>
      <c r="KUU246"/>
      <c r="KUV246"/>
      <c r="KUW246"/>
      <c r="KUX246"/>
      <c r="KUY246"/>
      <c r="KUZ246"/>
      <c r="KVA246"/>
      <c r="KVB246"/>
      <c r="KVC246"/>
      <c r="KVD246"/>
      <c r="KVE246"/>
      <c r="KVF246"/>
      <c r="KVG246"/>
      <c r="KVH246"/>
      <c r="KVI246"/>
      <c r="KVJ246"/>
      <c r="KVK246"/>
      <c r="KVL246"/>
      <c r="KVM246"/>
      <c r="KVN246"/>
      <c r="KVO246"/>
      <c r="KVP246"/>
      <c r="KVQ246"/>
      <c r="KVR246"/>
      <c r="KVS246"/>
      <c r="KVT246"/>
      <c r="KVU246"/>
      <c r="KVV246"/>
      <c r="KVW246"/>
      <c r="KVX246"/>
      <c r="KVY246"/>
      <c r="KVZ246"/>
      <c r="KWA246"/>
      <c r="KWB246"/>
      <c r="KWC246"/>
      <c r="KWD246"/>
      <c r="KWE246"/>
      <c r="KWF246"/>
      <c r="KWG246"/>
      <c r="KWH246"/>
      <c r="KWI246"/>
      <c r="KWJ246"/>
      <c r="KWK246"/>
      <c r="KWL246"/>
      <c r="KWM246"/>
      <c r="KWN246"/>
      <c r="KWO246"/>
      <c r="KWP246"/>
      <c r="KWQ246"/>
      <c r="KWR246"/>
      <c r="KWS246"/>
      <c r="KWT246"/>
      <c r="KWU246"/>
      <c r="KWV246"/>
      <c r="KWW246"/>
      <c r="KWX246"/>
      <c r="KWY246"/>
      <c r="KWZ246"/>
      <c r="KXA246"/>
      <c r="KXB246"/>
      <c r="KXC246"/>
      <c r="KXD246"/>
      <c r="KXE246"/>
      <c r="KXF246"/>
      <c r="KXG246"/>
      <c r="KXH246"/>
      <c r="KXI246"/>
      <c r="KXJ246"/>
      <c r="KXK246"/>
      <c r="KXL246"/>
      <c r="KXM246"/>
      <c r="KXN246"/>
      <c r="KXO246"/>
      <c r="KXP246"/>
      <c r="KXQ246"/>
      <c r="KXR246"/>
      <c r="KXS246"/>
      <c r="KXT246"/>
      <c r="KXU246"/>
      <c r="KXV246"/>
      <c r="KXW246"/>
      <c r="KXX246"/>
      <c r="KXY246"/>
      <c r="KXZ246"/>
      <c r="KYA246"/>
      <c r="KYB246"/>
      <c r="KYC246"/>
      <c r="KYD246"/>
      <c r="KYE246"/>
      <c r="KYF246"/>
      <c r="KYG246"/>
      <c r="KYH246"/>
      <c r="KYI246"/>
      <c r="KYJ246"/>
      <c r="KYK246"/>
      <c r="KYL246"/>
      <c r="KYM246"/>
      <c r="KYN246"/>
      <c r="KYO246"/>
      <c r="KYP246"/>
      <c r="KYQ246"/>
      <c r="KYR246"/>
      <c r="KYS246"/>
      <c r="KYT246"/>
      <c r="KYU246"/>
      <c r="KYV246"/>
      <c r="KYW246"/>
      <c r="KYX246"/>
      <c r="KYY246"/>
      <c r="KYZ246"/>
      <c r="KZA246"/>
      <c r="KZB246"/>
      <c r="KZC246"/>
      <c r="KZD246"/>
      <c r="KZE246"/>
      <c r="KZF246"/>
      <c r="KZG246"/>
      <c r="KZH246"/>
      <c r="KZI246"/>
      <c r="KZJ246"/>
      <c r="KZK246"/>
      <c r="KZL246"/>
      <c r="KZM246"/>
      <c r="KZN246"/>
      <c r="KZO246"/>
      <c r="KZP246"/>
      <c r="KZQ246"/>
      <c r="KZR246"/>
      <c r="KZS246"/>
      <c r="KZT246"/>
      <c r="KZU246"/>
      <c r="KZV246"/>
      <c r="KZW246"/>
      <c r="KZX246"/>
      <c r="KZY246"/>
      <c r="KZZ246"/>
      <c r="LAA246"/>
      <c r="LAB246"/>
      <c r="LAC246"/>
      <c r="LAD246"/>
      <c r="LAE246"/>
      <c r="LAF246"/>
      <c r="LAG246"/>
      <c r="LAH246"/>
      <c r="LAI246"/>
      <c r="LAJ246"/>
      <c r="LAK246"/>
      <c r="LAL246"/>
      <c r="LAM246"/>
      <c r="LAN246"/>
      <c r="LAO246"/>
      <c r="LAP246"/>
      <c r="LAQ246"/>
      <c r="LAR246"/>
      <c r="LAS246"/>
      <c r="LAT246"/>
      <c r="LAU246"/>
      <c r="LAV246"/>
      <c r="LAW246"/>
      <c r="LAX246"/>
      <c r="LAY246"/>
      <c r="LAZ246"/>
      <c r="LBA246"/>
      <c r="LBB246"/>
      <c r="LBC246"/>
      <c r="LBD246"/>
      <c r="LBE246"/>
      <c r="LBF246"/>
      <c r="LBG246"/>
      <c r="LBH246"/>
      <c r="LBI246"/>
      <c r="LBJ246"/>
      <c r="LBK246"/>
      <c r="LBL246"/>
      <c r="LBM246"/>
      <c r="LBN246"/>
      <c r="LBO246"/>
      <c r="LBP246"/>
      <c r="LBQ246"/>
      <c r="LBR246"/>
      <c r="LBS246"/>
      <c r="LBT246"/>
      <c r="LBU246"/>
      <c r="LBV246"/>
      <c r="LBW246"/>
      <c r="LBX246"/>
      <c r="LBY246"/>
      <c r="LBZ246"/>
      <c r="LCA246"/>
      <c r="LCB246"/>
      <c r="LCC246"/>
      <c r="LCD246"/>
      <c r="LCE246"/>
      <c r="LCF246"/>
      <c r="LCG246"/>
      <c r="LCH246"/>
      <c r="LCI246"/>
      <c r="LCJ246"/>
      <c r="LCK246"/>
      <c r="LCL246"/>
      <c r="LCM246"/>
      <c r="LCN246"/>
      <c r="LCO246"/>
      <c r="LCP246"/>
      <c r="LCQ246"/>
      <c r="LCR246"/>
      <c r="LCS246"/>
      <c r="LCT246"/>
      <c r="LCU246"/>
      <c r="LCV246"/>
      <c r="LCW246"/>
      <c r="LCX246"/>
      <c r="LCY246"/>
      <c r="LCZ246"/>
      <c r="LDA246"/>
      <c r="LDB246"/>
      <c r="LDC246"/>
      <c r="LDD246"/>
      <c r="LDE246"/>
      <c r="LDF246"/>
      <c r="LDG246"/>
      <c r="LDH246"/>
      <c r="LDI246"/>
      <c r="LDJ246"/>
      <c r="LDK246"/>
      <c r="LDL246"/>
      <c r="LDM246"/>
      <c r="LDN246"/>
      <c r="LDO246"/>
      <c r="LDP246"/>
      <c r="LDQ246"/>
      <c r="LDR246"/>
      <c r="LDS246"/>
      <c r="LDT246"/>
      <c r="LDU246"/>
      <c r="LDV246"/>
      <c r="LDW246"/>
      <c r="LDX246"/>
      <c r="LDY246"/>
      <c r="LDZ246"/>
      <c r="LEA246"/>
      <c r="LEB246"/>
      <c r="LEC246"/>
      <c r="LED246"/>
      <c r="LEE246"/>
      <c r="LEF246"/>
      <c r="LEG246"/>
      <c r="LEH246"/>
      <c r="LEI246"/>
      <c r="LEJ246"/>
      <c r="LEK246"/>
      <c r="LEL246"/>
      <c r="LEM246"/>
      <c r="LEN246"/>
      <c r="LEO246"/>
      <c r="LEP246"/>
      <c r="LEQ246"/>
      <c r="LER246"/>
      <c r="LES246"/>
      <c r="LET246"/>
      <c r="LEU246"/>
      <c r="LEV246"/>
      <c r="LEW246"/>
      <c r="LEX246"/>
      <c r="LEY246"/>
      <c r="LEZ246"/>
      <c r="LFA246"/>
      <c r="LFB246"/>
      <c r="LFC246"/>
      <c r="LFD246"/>
      <c r="LFE246"/>
      <c r="LFF246"/>
      <c r="LFG246"/>
      <c r="LFH246"/>
      <c r="LFI246"/>
      <c r="LFJ246"/>
      <c r="LFK246"/>
      <c r="LFL246"/>
      <c r="LFM246"/>
      <c r="LFN246"/>
      <c r="LFO246"/>
      <c r="LFP246"/>
      <c r="LFQ246"/>
      <c r="LFR246"/>
      <c r="LFS246"/>
      <c r="LFT246"/>
      <c r="LFU246"/>
      <c r="LFV246"/>
      <c r="LFW246"/>
      <c r="LFX246"/>
      <c r="LFY246"/>
      <c r="LFZ246"/>
      <c r="LGA246"/>
      <c r="LGB246"/>
      <c r="LGC246"/>
      <c r="LGD246"/>
      <c r="LGE246"/>
      <c r="LGF246"/>
      <c r="LGG246"/>
      <c r="LGH246"/>
      <c r="LGI246"/>
      <c r="LGJ246"/>
      <c r="LGK246"/>
      <c r="LGL246"/>
      <c r="LGM246"/>
      <c r="LGN246"/>
      <c r="LGO246"/>
      <c r="LGP246"/>
      <c r="LGQ246"/>
      <c r="LGR246"/>
      <c r="LGS246"/>
      <c r="LGT246"/>
      <c r="LGU246"/>
      <c r="LGV246"/>
      <c r="LGW246"/>
      <c r="LGX246"/>
      <c r="LGY246"/>
      <c r="LGZ246"/>
      <c r="LHA246"/>
      <c r="LHB246"/>
      <c r="LHC246"/>
      <c r="LHD246"/>
      <c r="LHE246"/>
      <c r="LHF246"/>
      <c r="LHG246"/>
      <c r="LHH246"/>
      <c r="LHI246"/>
      <c r="LHJ246"/>
      <c r="LHK246"/>
      <c r="LHL246"/>
      <c r="LHM246"/>
      <c r="LHN246"/>
      <c r="LHO246"/>
      <c r="LHP246"/>
      <c r="LHQ246"/>
      <c r="LHR246"/>
      <c r="LHS246"/>
      <c r="LHT246"/>
      <c r="LHU246"/>
      <c r="LHV246"/>
      <c r="LHW246"/>
      <c r="LHX246"/>
      <c r="LHY246"/>
      <c r="LHZ246"/>
      <c r="LIA246"/>
      <c r="LIB246"/>
      <c r="LIC246"/>
      <c r="LID246"/>
      <c r="LIE246"/>
      <c r="LIF246"/>
      <c r="LIG246"/>
      <c r="LIH246"/>
      <c r="LII246"/>
      <c r="LIJ246"/>
      <c r="LIK246"/>
      <c r="LIL246"/>
      <c r="LIM246"/>
      <c r="LIN246"/>
      <c r="LIO246"/>
      <c r="LIP246"/>
      <c r="LIQ246"/>
      <c r="LIR246"/>
      <c r="LIS246"/>
      <c r="LIT246"/>
      <c r="LIU246"/>
      <c r="LIV246"/>
      <c r="LIW246"/>
      <c r="LIX246"/>
      <c r="LIY246"/>
      <c r="LIZ246"/>
      <c r="LJA246"/>
      <c r="LJB246"/>
      <c r="LJC246"/>
      <c r="LJD246"/>
      <c r="LJE246"/>
      <c r="LJF246"/>
      <c r="LJG246"/>
      <c r="LJH246"/>
      <c r="LJI246"/>
      <c r="LJJ246"/>
      <c r="LJK246"/>
      <c r="LJL246"/>
      <c r="LJM246"/>
      <c r="LJN246"/>
      <c r="LJO246"/>
      <c r="LJP246"/>
      <c r="LJQ246"/>
      <c r="LJR246"/>
      <c r="LJS246"/>
      <c r="LJT246"/>
      <c r="LJU246"/>
      <c r="LJV246"/>
      <c r="LJW246"/>
      <c r="LJX246"/>
      <c r="LJY246"/>
      <c r="LJZ246"/>
      <c r="LKA246"/>
      <c r="LKB246"/>
      <c r="LKC246"/>
      <c r="LKD246"/>
      <c r="LKE246"/>
      <c r="LKF246"/>
      <c r="LKG246"/>
      <c r="LKH246"/>
      <c r="LKI246"/>
      <c r="LKJ246"/>
      <c r="LKK246"/>
      <c r="LKL246"/>
      <c r="LKM246"/>
      <c r="LKN246"/>
      <c r="LKO246"/>
      <c r="LKP246"/>
      <c r="LKQ246"/>
      <c r="LKR246"/>
      <c r="LKS246"/>
      <c r="LKT246"/>
      <c r="LKU246"/>
      <c r="LKV246"/>
      <c r="LKW246"/>
      <c r="LKX246"/>
      <c r="LKY246"/>
      <c r="LKZ246"/>
      <c r="LLA246"/>
      <c r="LLB246"/>
      <c r="LLC246"/>
      <c r="LLD246"/>
      <c r="LLE246"/>
      <c r="LLF246"/>
      <c r="LLG246"/>
      <c r="LLH246"/>
      <c r="LLI246"/>
      <c r="LLJ246"/>
      <c r="LLK246"/>
      <c r="LLL246"/>
      <c r="LLM246"/>
      <c r="LLN246"/>
      <c r="LLO246"/>
      <c r="LLP246"/>
      <c r="LLQ246"/>
      <c r="LLR246"/>
      <c r="LLS246"/>
      <c r="LLT246"/>
      <c r="LLU246"/>
      <c r="LLV246"/>
      <c r="LLW246"/>
      <c r="LLX246"/>
      <c r="LLY246"/>
      <c r="LLZ246"/>
      <c r="LMA246"/>
      <c r="LMB246"/>
      <c r="LMC246"/>
      <c r="LMD246"/>
      <c r="LME246"/>
      <c r="LMF246"/>
      <c r="LMG246"/>
      <c r="LMH246"/>
      <c r="LMI246"/>
      <c r="LMJ246"/>
      <c r="LMK246"/>
      <c r="LML246"/>
      <c r="LMM246"/>
      <c r="LMN246"/>
      <c r="LMO246"/>
      <c r="LMP246"/>
      <c r="LMQ246"/>
      <c r="LMR246"/>
      <c r="LMS246"/>
      <c r="LMT246"/>
      <c r="LMU246"/>
      <c r="LMV246"/>
      <c r="LMW246"/>
      <c r="LMX246"/>
      <c r="LMY246"/>
      <c r="LMZ246"/>
      <c r="LNA246"/>
      <c r="LNB246"/>
      <c r="LNC246"/>
      <c r="LND246"/>
      <c r="LNE246"/>
      <c r="LNF246"/>
      <c r="LNG246"/>
      <c r="LNH246"/>
      <c r="LNI246"/>
      <c r="LNJ246"/>
      <c r="LNK246"/>
      <c r="LNL246"/>
      <c r="LNM246"/>
      <c r="LNN246"/>
      <c r="LNO246"/>
      <c r="LNP246"/>
      <c r="LNQ246"/>
      <c r="LNR246"/>
      <c r="LNS246"/>
      <c r="LNT246"/>
      <c r="LNU246"/>
      <c r="LNV246"/>
      <c r="LNW246"/>
      <c r="LNX246"/>
      <c r="LNY246"/>
      <c r="LNZ246"/>
      <c r="LOA246"/>
      <c r="LOB246"/>
      <c r="LOC246"/>
      <c r="LOD246"/>
      <c r="LOE246"/>
      <c r="LOF246"/>
      <c r="LOG246"/>
      <c r="LOH246"/>
      <c r="LOI246"/>
      <c r="LOJ246"/>
      <c r="LOK246"/>
      <c r="LOL246"/>
      <c r="LOM246"/>
      <c r="LON246"/>
      <c r="LOO246"/>
      <c r="LOP246"/>
      <c r="LOQ246"/>
      <c r="LOR246"/>
      <c r="LOS246"/>
      <c r="LOT246"/>
      <c r="LOU246"/>
      <c r="LOV246"/>
      <c r="LOW246"/>
      <c r="LOX246"/>
      <c r="LOY246"/>
      <c r="LOZ246"/>
      <c r="LPA246"/>
      <c r="LPB246"/>
      <c r="LPC246"/>
      <c r="LPD246"/>
      <c r="LPE246"/>
      <c r="LPF246"/>
      <c r="LPG246"/>
      <c r="LPH246"/>
      <c r="LPI246"/>
      <c r="LPJ246"/>
      <c r="LPK246"/>
      <c r="LPL246"/>
      <c r="LPM246"/>
      <c r="LPN246"/>
      <c r="LPO246"/>
      <c r="LPP246"/>
      <c r="LPQ246"/>
      <c r="LPR246"/>
      <c r="LPS246"/>
      <c r="LPT246"/>
      <c r="LPU246"/>
      <c r="LPV246"/>
      <c r="LPW246"/>
      <c r="LPX246"/>
      <c r="LPY246"/>
      <c r="LPZ246"/>
      <c r="LQA246"/>
      <c r="LQB246"/>
      <c r="LQC246"/>
      <c r="LQD246"/>
      <c r="LQE246"/>
      <c r="LQF246"/>
      <c r="LQG246"/>
      <c r="LQH246"/>
      <c r="LQI246"/>
      <c r="LQJ246"/>
      <c r="LQK246"/>
      <c r="LQL246"/>
      <c r="LQM246"/>
      <c r="LQN246"/>
      <c r="LQO246"/>
      <c r="LQP246"/>
      <c r="LQQ246"/>
      <c r="LQR246"/>
      <c r="LQS246"/>
      <c r="LQT246"/>
      <c r="LQU246"/>
      <c r="LQV246"/>
      <c r="LQW246"/>
      <c r="LQX246"/>
      <c r="LQY246"/>
      <c r="LQZ246"/>
      <c r="LRA246"/>
      <c r="LRB246"/>
      <c r="LRC246"/>
      <c r="LRD246"/>
      <c r="LRE246"/>
      <c r="LRF246"/>
      <c r="LRG246"/>
      <c r="LRH246"/>
      <c r="LRI246"/>
      <c r="LRJ246"/>
      <c r="LRK246"/>
      <c r="LRL246"/>
      <c r="LRM246"/>
      <c r="LRN246"/>
      <c r="LRO246"/>
      <c r="LRP246"/>
      <c r="LRQ246"/>
      <c r="LRR246"/>
      <c r="LRS246"/>
      <c r="LRT246"/>
      <c r="LRU246"/>
      <c r="LRV246"/>
      <c r="LRW246"/>
      <c r="LRX246"/>
      <c r="LRY246"/>
      <c r="LRZ246"/>
      <c r="LSA246"/>
      <c r="LSB246"/>
      <c r="LSC246"/>
      <c r="LSD246"/>
      <c r="LSE246"/>
      <c r="LSF246"/>
      <c r="LSG246"/>
      <c r="LSH246"/>
      <c r="LSI246"/>
      <c r="LSJ246"/>
      <c r="LSK246"/>
      <c r="LSL246"/>
      <c r="LSM246"/>
      <c r="LSN246"/>
      <c r="LSO246"/>
      <c r="LSP246"/>
      <c r="LSQ246"/>
      <c r="LSR246"/>
      <c r="LSS246"/>
      <c r="LST246"/>
      <c r="LSU246"/>
      <c r="LSV246"/>
      <c r="LSW246"/>
      <c r="LSX246"/>
      <c r="LSY246"/>
      <c r="LSZ246"/>
      <c r="LTA246"/>
      <c r="LTB246"/>
      <c r="LTC246"/>
      <c r="LTD246"/>
      <c r="LTE246"/>
      <c r="LTF246"/>
      <c r="LTG246"/>
      <c r="LTH246"/>
      <c r="LTI246"/>
      <c r="LTJ246"/>
      <c r="LTK246"/>
      <c r="LTL246"/>
      <c r="LTM246"/>
      <c r="LTN246"/>
      <c r="LTO246"/>
      <c r="LTP246"/>
      <c r="LTQ246"/>
      <c r="LTR246"/>
      <c r="LTS246"/>
      <c r="LTT246"/>
      <c r="LTU246"/>
      <c r="LTV246"/>
      <c r="LTW246"/>
      <c r="LTX246"/>
      <c r="LTY246"/>
      <c r="LTZ246"/>
      <c r="LUA246"/>
      <c r="LUB246"/>
      <c r="LUC246"/>
      <c r="LUD246"/>
      <c r="LUE246"/>
      <c r="LUF246"/>
      <c r="LUG246"/>
      <c r="LUH246"/>
      <c r="LUI246"/>
      <c r="LUJ246"/>
      <c r="LUK246"/>
      <c r="LUL246"/>
      <c r="LUM246"/>
      <c r="LUN246"/>
      <c r="LUO246"/>
      <c r="LUP246"/>
      <c r="LUQ246"/>
      <c r="LUR246"/>
      <c r="LUS246"/>
      <c r="LUT246"/>
      <c r="LUU246"/>
      <c r="LUV246"/>
      <c r="LUW246"/>
      <c r="LUX246"/>
      <c r="LUY246"/>
      <c r="LUZ246"/>
      <c r="LVA246"/>
      <c r="LVB246"/>
      <c r="LVC246"/>
      <c r="LVD246"/>
      <c r="LVE246"/>
      <c r="LVF246"/>
      <c r="LVG246"/>
      <c r="LVH246"/>
      <c r="LVI246"/>
      <c r="LVJ246"/>
      <c r="LVK246"/>
      <c r="LVL246"/>
      <c r="LVM246"/>
      <c r="LVN246"/>
      <c r="LVO246"/>
      <c r="LVP246"/>
      <c r="LVQ246"/>
      <c r="LVR246"/>
      <c r="LVS246"/>
      <c r="LVT246"/>
      <c r="LVU246"/>
      <c r="LVV246"/>
      <c r="LVW246"/>
      <c r="LVX246"/>
      <c r="LVY246"/>
      <c r="LVZ246"/>
      <c r="LWA246"/>
      <c r="LWB246"/>
      <c r="LWC246"/>
      <c r="LWD246"/>
      <c r="LWE246"/>
      <c r="LWF246"/>
      <c r="LWG246"/>
      <c r="LWH246"/>
      <c r="LWI246"/>
      <c r="LWJ246"/>
      <c r="LWK246"/>
      <c r="LWL246"/>
      <c r="LWM246"/>
      <c r="LWN246"/>
      <c r="LWO246"/>
      <c r="LWP246"/>
      <c r="LWQ246"/>
      <c r="LWR246"/>
      <c r="LWS246"/>
      <c r="LWT246"/>
      <c r="LWU246"/>
      <c r="LWV246"/>
      <c r="LWW246"/>
      <c r="LWX246"/>
      <c r="LWY246"/>
      <c r="LWZ246"/>
      <c r="LXA246"/>
      <c r="LXB246"/>
      <c r="LXC246"/>
      <c r="LXD246"/>
      <c r="LXE246"/>
      <c r="LXF246"/>
      <c r="LXG246"/>
      <c r="LXH246"/>
      <c r="LXI246"/>
      <c r="LXJ246"/>
      <c r="LXK246"/>
      <c r="LXL246"/>
      <c r="LXM246"/>
      <c r="LXN246"/>
      <c r="LXO246"/>
      <c r="LXP246"/>
      <c r="LXQ246"/>
      <c r="LXR246"/>
      <c r="LXS246"/>
      <c r="LXT246"/>
      <c r="LXU246"/>
      <c r="LXV246"/>
      <c r="LXW246"/>
      <c r="LXX246"/>
      <c r="LXY246"/>
      <c r="LXZ246"/>
      <c r="LYA246"/>
      <c r="LYB246"/>
      <c r="LYC246"/>
      <c r="LYD246"/>
      <c r="LYE246"/>
      <c r="LYF246"/>
      <c r="LYG246"/>
      <c r="LYH246"/>
      <c r="LYI246"/>
      <c r="LYJ246"/>
      <c r="LYK246"/>
      <c r="LYL246"/>
      <c r="LYM246"/>
      <c r="LYN246"/>
      <c r="LYO246"/>
      <c r="LYP246"/>
      <c r="LYQ246"/>
      <c r="LYR246"/>
      <c r="LYS246"/>
      <c r="LYT246"/>
      <c r="LYU246"/>
      <c r="LYV246"/>
      <c r="LYW246"/>
      <c r="LYX246"/>
      <c r="LYY246"/>
      <c r="LYZ246"/>
      <c r="LZA246"/>
      <c r="LZB246"/>
      <c r="LZC246"/>
      <c r="LZD246"/>
      <c r="LZE246"/>
      <c r="LZF246"/>
      <c r="LZG246"/>
      <c r="LZH246"/>
      <c r="LZI246"/>
      <c r="LZJ246"/>
      <c r="LZK246"/>
      <c r="LZL246"/>
      <c r="LZM246"/>
      <c r="LZN246"/>
      <c r="LZO246"/>
      <c r="LZP246"/>
      <c r="LZQ246"/>
      <c r="LZR246"/>
      <c r="LZS246"/>
      <c r="LZT246"/>
      <c r="LZU246"/>
      <c r="LZV246"/>
      <c r="LZW246"/>
      <c r="LZX246"/>
      <c r="LZY246"/>
      <c r="LZZ246"/>
      <c r="MAA246"/>
      <c r="MAB246"/>
      <c r="MAC246"/>
      <c r="MAD246"/>
      <c r="MAE246"/>
      <c r="MAF246"/>
      <c r="MAG246"/>
      <c r="MAH246"/>
      <c r="MAI246"/>
      <c r="MAJ246"/>
      <c r="MAK246"/>
      <c r="MAL246"/>
      <c r="MAM246"/>
      <c r="MAN246"/>
      <c r="MAO246"/>
      <c r="MAP246"/>
      <c r="MAQ246"/>
      <c r="MAR246"/>
      <c r="MAS246"/>
      <c r="MAT246"/>
      <c r="MAU246"/>
      <c r="MAV246"/>
      <c r="MAW246"/>
      <c r="MAX246"/>
      <c r="MAY246"/>
      <c r="MAZ246"/>
      <c r="MBA246"/>
      <c r="MBB246"/>
      <c r="MBC246"/>
      <c r="MBD246"/>
      <c r="MBE246"/>
      <c r="MBF246"/>
      <c r="MBG246"/>
      <c r="MBH246"/>
      <c r="MBI246"/>
      <c r="MBJ246"/>
      <c r="MBK246"/>
      <c r="MBL246"/>
      <c r="MBM246"/>
      <c r="MBN246"/>
      <c r="MBO246"/>
      <c r="MBP246"/>
      <c r="MBQ246"/>
      <c r="MBR246"/>
      <c r="MBS246"/>
      <c r="MBT246"/>
      <c r="MBU246"/>
      <c r="MBV246"/>
      <c r="MBW246"/>
      <c r="MBX246"/>
      <c r="MBY246"/>
      <c r="MBZ246"/>
      <c r="MCA246"/>
      <c r="MCB246"/>
      <c r="MCC246"/>
      <c r="MCD246"/>
      <c r="MCE246"/>
      <c r="MCF246"/>
      <c r="MCG246"/>
      <c r="MCH246"/>
      <c r="MCI246"/>
      <c r="MCJ246"/>
      <c r="MCK246"/>
      <c r="MCL246"/>
      <c r="MCM246"/>
      <c r="MCN246"/>
      <c r="MCO246"/>
      <c r="MCP246"/>
      <c r="MCQ246"/>
      <c r="MCR246"/>
      <c r="MCS246"/>
      <c r="MCT246"/>
      <c r="MCU246"/>
      <c r="MCV246"/>
      <c r="MCW246"/>
      <c r="MCX246"/>
      <c r="MCY246"/>
      <c r="MCZ246"/>
      <c r="MDA246"/>
      <c r="MDB246"/>
      <c r="MDC246"/>
      <c r="MDD246"/>
      <c r="MDE246"/>
      <c r="MDF246"/>
      <c r="MDG246"/>
      <c r="MDH246"/>
      <c r="MDI246"/>
      <c r="MDJ246"/>
      <c r="MDK246"/>
      <c r="MDL246"/>
      <c r="MDM246"/>
      <c r="MDN246"/>
      <c r="MDO246"/>
      <c r="MDP246"/>
      <c r="MDQ246"/>
      <c r="MDR246"/>
      <c r="MDS246"/>
      <c r="MDT246"/>
      <c r="MDU246"/>
      <c r="MDV246"/>
      <c r="MDW246"/>
      <c r="MDX246"/>
      <c r="MDY246"/>
      <c r="MDZ246"/>
      <c r="MEA246"/>
      <c r="MEB246"/>
      <c r="MEC246"/>
      <c r="MED246"/>
      <c r="MEE246"/>
      <c r="MEF246"/>
      <c r="MEG246"/>
      <c r="MEH246"/>
      <c r="MEI246"/>
      <c r="MEJ246"/>
      <c r="MEK246"/>
      <c r="MEL246"/>
      <c r="MEM246"/>
      <c r="MEN246"/>
      <c r="MEO246"/>
      <c r="MEP246"/>
      <c r="MEQ246"/>
      <c r="MER246"/>
      <c r="MES246"/>
      <c r="MET246"/>
      <c r="MEU246"/>
      <c r="MEV246"/>
      <c r="MEW246"/>
      <c r="MEX246"/>
      <c r="MEY246"/>
      <c r="MEZ246"/>
      <c r="MFA246"/>
      <c r="MFB246"/>
      <c r="MFC246"/>
      <c r="MFD246"/>
      <c r="MFE246"/>
      <c r="MFF246"/>
      <c r="MFG246"/>
      <c r="MFH246"/>
      <c r="MFI246"/>
      <c r="MFJ246"/>
      <c r="MFK246"/>
      <c r="MFL246"/>
      <c r="MFM246"/>
      <c r="MFN246"/>
      <c r="MFO246"/>
      <c r="MFP246"/>
      <c r="MFQ246"/>
      <c r="MFR246"/>
      <c r="MFS246"/>
      <c r="MFT246"/>
      <c r="MFU246"/>
      <c r="MFV246"/>
      <c r="MFW246"/>
      <c r="MFX246"/>
      <c r="MFY246"/>
      <c r="MFZ246"/>
      <c r="MGA246"/>
      <c r="MGB246"/>
      <c r="MGC246"/>
      <c r="MGD246"/>
      <c r="MGE246"/>
      <c r="MGF246"/>
      <c r="MGG246"/>
      <c r="MGH246"/>
      <c r="MGI246"/>
      <c r="MGJ246"/>
      <c r="MGK246"/>
      <c r="MGL246"/>
      <c r="MGM246"/>
      <c r="MGN246"/>
      <c r="MGO246"/>
      <c r="MGP246"/>
      <c r="MGQ246"/>
      <c r="MGR246"/>
      <c r="MGS246"/>
      <c r="MGT246"/>
      <c r="MGU246"/>
      <c r="MGV246"/>
      <c r="MGW246"/>
      <c r="MGX246"/>
      <c r="MGY246"/>
      <c r="MGZ246"/>
      <c r="MHA246"/>
      <c r="MHB246"/>
      <c r="MHC246"/>
      <c r="MHD246"/>
      <c r="MHE246"/>
      <c r="MHF246"/>
      <c r="MHG246"/>
      <c r="MHH246"/>
      <c r="MHI246"/>
      <c r="MHJ246"/>
      <c r="MHK246"/>
      <c r="MHL246"/>
      <c r="MHM246"/>
      <c r="MHN246"/>
      <c r="MHO246"/>
      <c r="MHP246"/>
      <c r="MHQ246"/>
      <c r="MHR246"/>
      <c r="MHS246"/>
      <c r="MHT246"/>
      <c r="MHU246"/>
      <c r="MHV246"/>
      <c r="MHW246"/>
      <c r="MHX246"/>
      <c r="MHY246"/>
      <c r="MHZ246"/>
      <c r="MIA246"/>
      <c r="MIB246"/>
      <c r="MIC246"/>
      <c r="MID246"/>
      <c r="MIE246"/>
      <c r="MIF246"/>
      <c r="MIG246"/>
      <c r="MIH246"/>
      <c r="MII246"/>
      <c r="MIJ246"/>
      <c r="MIK246"/>
      <c r="MIL246"/>
      <c r="MIM246"/>
      <c r="MIN246"/>
      <c r="MIO246"/>
      <c r="MIP246"/>
      <c r="MIQ246"/>
      <c r="MIR246"/>
      <c r="MIS246"/>
      <c r="MIT246"/>
      <c r="MIU246"/>
      <c r="MIV246"/>
      <c r="MIW246"/>
      <c r="MIX246"/>
      <c r="MIY246"/>
      <c r="MIZ246"/>
      <c r="MJA246"/>
      <c r="MJB246"/>
      <c r="MJC246"/>
      <c r="MJD246"/>
      <c r="MJE246"/>
      <c r="MJF246"/>
      <c r="MJG246"/>
      <c r="MJH246"/>
      <c r="MJI246"/>
      <c r="MJJ246"/>
      <c r="MJK246"/>
      <c r="MJL246"/>
      <c r="MJM246"/>
      <c r="MJN246"/>
      <c r="MJO246"/>
      <c r="MJP246"/>
      <c r="MJQ246"/>
      <c r="MJR246"/>
      <c r="MJS246"/>
      <c r="MJT246"/>
      <c r="MJU246"/>
      <c r="MJV246"/>
      <c r="MJW246"/>
      <c r="MJX246"/>
      <c r="MJY246"/>
      <c r="MJZ246"/>
      <c r="MKA246"/>
      <c r="MKB246"/>
      <c r="MKC246"/>
      <c r="MKD246"/>
      <c r="MKE246"/>
      <c r="MKF246"/>
      <c r="MKG246"/>
      <c r="MKH246"/>
      <c r="MKI246"/>
      <c r="MKJ246"/>
      <c r="MKK246"/>
      <c r="MKL246"/>
      <c r="MKM246"/>
      <c r="MKN246"/>
      <c r="MKO246"/>
      <c r="MKP246"/>
      <c r="MKQ246"/>
      <c r="MKR246"/>
      <c r="MKS246"/>
      <c r="MKT246"/>
      <c r="MKU246"/>
      <c r="MKV246"/>
      <c r="MKW246"/>
      <c r="MKX246"/>
      <c r="MKY246"/>
      <c r="MKZ246"/>
      <c r="MLA246"/>
      <c r="MLB246"/>
      <c r="MLC246"/>
      <c r="MLD246"/>
      <c r="MLE246"/>
      <c r="MLF246"/>
      <c r="MLG246"/>
      <c r="MLH246"/>
      <c r="MLI246"/>
      <c r="MLJ246"/>
      <c r="MLK246"/>
      <c r="MLL246"/>
      <c r="MLM246"/>
      <c r="MLN246"/>
      <c r="MLO246"/>
      <c r="MLP246"/>
      <c r="MLQ246"/>
      <c r="MLR246"/>
      <c r="MLS246"/>
      <c r="MLT246"/>
      <c r="MLU246"/>
      <c r="MLV246"/>
      <c r="MLW246"/>
      <c r="MLX246"/>
      <c r="MLY246"/>
      <c r="MLZ246"/>
      <c r="MMA246"/>
      <c r="MMB246"/>
      <c r="MMC246"/>
      <c r="MMD246"/>
      <c r="MME246"/>
      <c r="MMF246"/>
      <c r="MMG246"/>
      <c r="MMH246"/>
      <c r="MMI246"/>
      <c r="MMJ246"/>
      <c r="MMK246"/>
      <c r="MML246"/>
      <c r="MMM246"/>
      <c r="MMN246"/>
      <c r="MMO246"/>
      <c r="MMP246"/>
      <c r="MMQ246"/>
      <c r="MMR246"/>
      <c r="MMS246"/>
      <c r="MMT246"/>
      <c r="MMU246"/>
      <c r="MMV246"/>
      <c r="MMW246"/>
      <c r="MMX246"/>
      <c r="MMY246"/>
      <c r="MMZ246"/>
      <c r="MNA246"/>
      <c r="MNB246"/>
      <c r="MNC246"/>
      <c r="MND246"/>
      <c r="MNE246"/>
      <c r="MNF246"/>
      <c r="MNG246"/>
      <c r="MNH246"/>
      <c r="MNI246"/>
      <c r="MNJ246"/>
      <c r="MNK246"/>
      <c r="MNL246"/>
      <c r="MNM246"/>
      <c r="MNN246"/>
      <c r="MNO246"/>
      <c r="MNP246"/>
      <c r="MNQ246"/>
      <c r="MNR246"/>
      <c r="MNS246"/>
      <c r="MNT246"/>
      <c r="MNU246"/>
      <c r="MNV246"/>
      <c r="MNW246"/>
      <c r="MNX246"/>
      <c r="MNY246"/>
      <c r="MNZ246"/>
      <c r="MOA246"/>
      <c r="MOB246"/>
      <c r="MOC246"/>
      <c r="MOD246"/>
      <c r="MOE246"/>
      <c r="MOF246"/>
      <c r="MOG246"/>
      <c r="MOH246"/>
      <c r="MOI246"/>
      <c r="MOJ246"/>
      <c r="MOK246"/>
      <c r="MOL246"/>
      <c r="MOM246"/>
      <c r="MON246"/>
      <c r="MOO246"/>
      <c r="MOP246"/>
      <c r="MOQ246"/>
      <c r="MOR246"/>
      <c r="MOS246"/>
      <c r="MOT246"/>
      <c r="MOU246"/>
      <c r="MOV246"/>
      <c r="MOW246"/>
      <c r="MOX246"/>
      <c r="MOY246"/>
      <c r="MOZ246"/>
      <c r="MPA246"/>
      <c r="MPB246"/>
      <c r="MPC246"/>
      <c r="MPD246"/>
      <c r="MPE246"/>
      <c r="MPF246"/>
      <c r="MPG246"/>
      <c r="MPH246"/>
      <c r="MPI246"/>
      <c r="MPJ246"/>
      <c r="MPK246"/>
      <c r="MPL246"/>
      <c r="MPM246"/>
      <c r="MPN246"/>
      <c r="MPO246"/>
      <c r="MPP246"/>
      <c r="MPQ246"/>
      <c r="MPR246"/>
      <c r="MPS246"/>
      <c r="MPT246"/>
      <c r="MPU246"/>
      <c r="MPV246"/>
      <c r="MPW246"/>
      <c r="MPX246"/>
      <c r="MPY246"/>
      <c r="MPZ246"/>
      <c r="MQA246"/>
      <c r="MQB246"/>
      <c r="MQC246"/>
      <c r="MQD246"/>
      <c r="MQE246"/>
      <c r="MQF246"/>
      <c r="MQG246"/>
      <c r="MQH246"/>
      <c r="MQI246"/>
      <c r="MQJ246"/>
      <c r="MQK246"/>
      <c r="MQL246"/>
      <c r="MQM246"/>
      <c r="MQN246"/>
      <c r="MQO246"/>
      <c r="MQP246"/>
      <c r="MQQ246"/>
      <c r="MQR246"/>
      <c r="MQS246"/>
      <c r="MQT246"/>
      <c r="MQU246"/>
      <c r="MQV246"/>
      <c r="MQW246"/>
      <c r="MQX246"/>
      <c r="MQY246"/>
      <c r="MQZ246"/>
      <c r="MRA246"/>
      <c r="MRB246"/>
      <c r="MRC246"/>
      <c r="MRD246"/>
      <c r="MRE246"/>
      <c r="MRF246"/>
      <c r="MRG246"/>
      <c r="MRH246"/>
      <c r="MRI246"/>
      <c r="MRJ246"/>
      <c r="MRK246"/>
      <c r="MRL246"/>
      <c r="MRM246"/>
      <c r="MRN246"/>
      <c r="MRO246"/>
      <c r="MRP246"/>
      <c r="MRQ246"/>
      <c r="MRR246"/>
      <c r="MRS246"/>
      <c r="MRT246"/>
      <c r="MRU246"/>
      <c r="MRV246"/>
      <c r="MRW246"/>
      <c r="MRX246"/>
      <c r="MRY246"/>
      <c r="MRZ246"/>
      <c r="MSA246"/>
      <c r="MSB246"/>
      <c r="MSC246"/>
      <c r="MSD246"/>
      <c r="MSE246"/>
      <c r="MSF246"/>
      <c r="MSG246"/>
      <c r="MSH246"/>
      <c r="MSI246"/>
      <c r="MSJ246"/>
      <c r="MSK246"/>
      <c r="MSL246"/>
      <c r="MSM246"/>
      <c r="MSN246"/>
      <c r="MSO246"/>
      <c r="MSP246"/>
      <c r="MSQ246"/>
      <c r="MSR246"/>
      <c r="MSS246"/>
      <c r="MST246"/>
      <c r="MSU246"/>
      <c r="MSV246"/>
      <c r="MSW246"/>
      <c r="MSX246"/>
      <c r="MSY246"/>
      <c r="MSZ246"/>
      <c r="MTA246"/>
      <c r="MTB246"/>
      <c r="MTC246"/>
      <c r="MTD246"/>
      <c r="MTE246"/>
      <c r="MTF246"/>
      <c r="MTG246"/>
      <c r="MTH246"/>
      <c r="MTI246"/>
      <c r="MTJ246"/>
      <c r="MTK246"/>
      <c r="MTL246"/>
      <c r="MTM246"/>
      <c r="MTN246"/>
      <c r="MTO246"/>
      <c r="MTP246"/>
      <c r="MTQ246"/>
      <c r="MTR246"/>
      <c r="MTS246"/>
      <c r="MTT246"/>
      <c r="MTU246"/>
      <c r="MTV246"/>
      <c r="MTW246"/>
      <c r="MTX246"/>
      <c r="MTY246"/>
      <c r="MTZ246"/>
      <c r="MUA246"/>
      <c r="MUB246"/>
      <c r="MUC246"/>
      <c r="MUD246"/>
      <c r="MUE246"/>
      <c r="MUF246"/>
      <c r="MUG246"/>
      <c r="MUH246"/>
      <c r="MUI246"/>
      <c r="MUJ246"/>
      <c r="MUK246"/>
      <c r="MUL246"/>
      <c r="MUM246"/>
      <c r="MUN246"/>
      <c r="MUO246"/>
      <c r="MUP246"/>
      <c r="MUQ246"/>
      <c r="MUR246"/>
      <c r="MUS246"/>
      <c r="MUT246"/>
      <c r="MUU246"/>
      <c r="MUV246"/>
      <c r="MUW246"/>
      <c r="MUX246"/>
      <c r="MUY246"/>
      <c r="MUZ246"/>
      <c r="MVA246"/>
      <c r="MVB246"/>
      <c r="MVC246"/>
      <c r="MVD246"/>
      <c r="MVE246"/>
      <c r="MVF246"/>
      <c r="MVG246"/>
      <c r="MVH246"/>
      <c r="MVI246"/>
      <c r="MVJ246"/>
      <c r="MVK246"/>
      <c r="MVL246"/>
      <c r="MVM246"/>
      <c r="MVN246"/>
      <c r="MVO246"/>
      <c r="MVP246"/>
      <c r="MVQ246"/>
      <c r="MVR246"/>
      <c r="MVS246"/>
      <c r="MVT246"/>
      <c r="MVU246"/>
      <c r="MVV246"/>
      <c r="MVW246"/>
      <c r="MVX246"/>
      <c r="MVY246"/>
      <c r="MVZ246"/>
      <c r="MWA246"/>
      <c r="MWB246"/>
      <c r="MWC246"/>
      <c r="MWD246"/>
      <c r="MWE246"/>
      <c r="MWF246"/>
      <c r="MWG246"/>
      <c r="MWH246"/>
      <c r="MWI246"/>
      <c r="MWJ246"/>
      <c r="MWK246"/>
      <c r="MWL246"/>
      <c r="MWM246"/>
      <c r="MWN246"/>
      <c r="MWO246"/>
      <c r="MWP246"/>
      <c r="MWQ246"/>
      <c r="MWR246"/>
      <c r="MWS246"/>
      <c r="MWT246"/>
      <c r="MWU246"/>
      <c r="MWV246"/>
      <c r="MWW246"/>
      <c r="MWX246"/>
      <c r="MWY246"/>
      <c r="MWZ246"/>
      <c r="MXA246"/>
      <c r="MXB246"/>
      <c r="MXC246"/>
      <c r="MXD246"/>
      <c r="MXE246"/>
      <c r="MXF246"/>
      <c r="MXG246"/>
      <c r="MXH246"/>
      <c r="MXI246"/>
      <c r="MXJ246"/>
      <c r="MXK246"/>
      <c r="MXL246"/>
      <c r="MXM246"/>
      <c r="MXN246"/>
      <c r="MXO246"/>
      <c r="MXP246"/>
      <c r="MXQ246"/>
      <c r="MXR246"/>
      <c r="MXS246"/>
      <c r="MXT246"/>
      <c r="MXU246"/>
      <c r="MXV246"/>
      <c r="MXW246"/>
      <c r="MXX246"/>
      <c r="MXY246"/>
      <c r="MXZ246"/>
      <c r="MYA246"/>
      <c r="MYB246"/>
      <c r="MYC246"/>
      <c r="MYD246"/>
      <c r="MYE246"/>
      <c r="MYF246"/>
      <c r="MYG246"/>
      <c r="MYH246"/>
      <c r="MYI246"/>
      <c r="MYJ246"/>
      <c r="MYK246"/>
      <c r="MYL246"/>
      <c r="MYM246"/>
      <c r="MYN246"/>
      <c r="MYO246"/>
      <c r="MYP246"/>
      <c r="MYQ246"/>
      <c r="MYR246"/>
      <c r="MYS246"/>
      <c r="MYT246"/>
      <c r="MYU246"/>
      <c r="MYV246"/>
      <c r="MYW246"/>
      <c r="MYX246"/>
      <c r="MYY246"/>
      <c r="MYZ246"/>
      <c r="MZA246"/>
      <c r="MZB246"/>
      <c r="MZC246"/>
      <c r="MZD246"/>
      <c r="MZE246"/>
      <c r="MZF246"/>
      <c r="MZG246"/>
      <c r="MZH246"/>
      <c r="MZI246"/>
      <c r="MZJ246"/>
      <c r="MZK246"/>
      <c r="MZL246"/>
      <c r="MZM246"/>
      <c r="MZN246"/>
      <c r="MZO246"/>
      <c r="MZP246"/>
      <c r="MZQ246"/>
      <c r="MZR246"/>
      <c r="MZS246"/>
      <c r="MZT246"/>
      <c r="MZU246"/>
      <c r="MZV246"/>
      <c r="MZW246"/>
      <c r="MZX246"/>
      <c r="MZY246"/>
      <c r="MZZ246"/>
      <c r="NAA246"/>
      <c r="NAB246"/>
      <c r="NAC246"/>
      <c r="NAD246"/>
      <c r="NAE246"/>
      <c r="NAF246"/>
      <c r="NAG246"/>
      <c r="NAH246"/>
      <c r="NAI246"/>
      <c r="NAJ246"/>
      <c r="NAK246"/>
      <c r="NAL246"/>
      <c r="NAM246"/>
      <c r="NAN246"/>
      <c r="NAO246"/>
      <c r="NAP246"/>
      <c r="NAQ246"/>
      <c r="NAR246"/>
      <c r="NAS246"/>
      <c r="NAT246"/>
      <c r="NAU246"/>
      <c r="NAV246"/>
      <c r="NAW246"/>
      <c r="NAX246"/>
      <c r="NAY246"/>
      <c r="NAZ246"/>
      <c r="NBA246"/>
      <c r="NBB246"/>
      <c r="NBC246"/>
      <c r="NBD246"/>
      <c r="NBE246"/>
      <c r="NBF246"/>
      <c r="NBG246"/>
      <c r="NBH246"/>
      <c r="NBI246"/>
      <c r="NBJ246"/>
      <c r="NBK246"/>
      <c r="NBL246"/>
      <c r="NBM246"/>
      <c r="NBN246"/>
      <c r="NBO246"/>
      <c r="NBP246"/>
      <c r="NBQ246"/>
      <c r="NBR246"/>
      <c r="NBS246"/>
      <c r="NBT246"/>
      <c r="NBU246"/>
      <c r="NBV246"/>
      <c r="NBW246"/>
      <c r="NBX246"/>
      <c r="NBY246"/>
      <c r="NBZ246"/>
      <c r="NCA246"/>
      <c r="NCB246"/>
      <c r="NCC246"/>
      <c r="NCD246"/>
      <c r="NCE246"/>
      <c r="NCF246"/>
      <c r="NCG246"/>
      <c r="NCH246"/>
      <c r="NCI246"/>
      <c r="NCJ246"/>
      <c r="NCK246"/>
      <c r="NCL246"/>
      <c r="NCM246"/>
      <c r="NCN246"/>
      <c r="NCO246"/>
      <c r="NCP246"/>
      <c r="NCQ246"/>
      <c r="NCR246"/>
      <c r="NCS246"/>
      <c r="NCT246"/>
      <c r="NCU246"/>
      <c r="NCV246"/>
      <c r="NCW246"/>
      <c r="NCX246"/>
      <c r="NCY246"/>
      <c r="NCZ246"/>
      <c r="NDA246"/>
      <c r="NDB246"/>
      <c r="NDC246"/>
      <c r="NDD246"/>
      <c r="NDE246"/>
      <c r="NDF246"/>
      <c r="NDG246"/>
      <c r="NDH246"/>
      <c r="NDI246"/>
      <c r="NDJ246"/>
      <c r="NDK246"/>
      <c r="NDL246"/>
      <c r="NDM246"/>
      <c r="NDN246"/>
      <c r="NDO246"/>
      <c r="NDP246"/>
      <c r="NDQ246"/>
      <c r="NDR246"/>
      <c r="NDS246"/>
      <c r="NDT246"/>
      <c r="NDU246"/>
      <c r="NDV246"/>
      <c r="NDW246"/>
      <c r="NDX246"/>
      <c r="NDY246"/>
      <c r="NDZ246"/>
      <c r="NEA246"/>
      <c r="NEB246"/>
      <c r="NEC246"/>
      <c r="NED246"/>
      <c r="NEE246"/>
      <c r="NEF246"/>
      <c r="NEG246"/>
      <c r="NEH246"/>
      <c r="NEI246"/>
      <c r="NEJ246"/>
      <c r="NEK246"/>
      <c r="NEL246"/>
      <c r="NEM246"/>
      <c r="NEN246"/>
      <c r="NEO246"/>
      <c r="NEP246"/>
      <c r="NEQ246"/>
      <c r="NER246"/>
      <c r="NES246"/>
      <c r="NET246"/>
      <c r="NEU246"/>
      <c r="NEV246"/>
      <c r="NEW246"/>
      <c r="NEX246"/>
      <c r="NEY246"/>
      <c r="NEZ246"/>
      <c r="NFA246"/>
      <c r="NFB246"/>
      <c r="NFC246"/>
      <c r="NFD246"/>
      <c r="NFE246"/>
      <c r="NFF246"/>
      <c r="NFG246"/>
      <c r="NFH246"/>
      <c r="NFI246"/>
      <c r="NFJ246"/>
      <c r="NFK246"/>
      <c r="NFL246"/>
      <c r="NFM246"/>
      <c r="NFN246"/>
      <c r="NFO246"/>
      <c r="NFP246"/>
      <c r="NFQ246"/>
      <c r="NFR246"/>
      <c r="NFS246"/>
      <c r="NFT246"/>
      <c r="NFU246"/>
      <c r="NFV246"/>
      <c r="NFW246"/>
      <c r="NFX246"/>
      <c r="NFY246"/>
      <c r="NFZ246"/>
      <c r="NGA246"/>
      <c r="NGB246"/>
      <c r="NGC246"/>
      <c r="NGD246"/>
      <c r="NGE246"/>
      <c r="NGF246"/>
      <c r="NGG246"/>
      <c r="NGH246"/>
      <c r="NGI246"/>
      <c r="NGJ246"/>
      <c r="NGK246"/>
      <c r="NGL246"/>
      <c r="NGM246"/>
      <c r="NGN246"/>
      <c r="NGO246"/>
      <c r="NGP246"/>
      <c r="NGQ246"/>
      <c r="NGR246"/>
      <c r="NGS246"/>
      <c r="NGT246"/>
      <c r="NGU246"/>
      <c r="NGV246"/>
      <c r="NGW246"/>
      <c r="NGX246"/>
      <c r="NGY246"/>
      <c r="NGZ246"/>
      <c r="NHA246"/>
      <c r="NHB246"/>
      <c r="NHC246"/>
      <c r="NHD246"/>
      <c r="NHE246"/>
      <c r="NHF246"/>
      <c r="NHG246"/>
      <c r="NHH246"/>
      <c r="NHI246"/>
      <c r="NHJ246"/>
      <c r="NHK246"/>
      <c r="NHL246"/>
      <c r="NHM246"/>
      <c r="NHN246"/>
      <c r="NHO246"/>
      <c r="NHP246"/>
      <c r="NHQ246"/>
      <c r="NHR246"/>
      <c r="NHS246"/>
      <c r="NHT246"/>
      <c r="NHU246"/>
      <c r="NHV246"/>
      <c r="NHW246"/>
      <c r="NHX246"/>
      <c r="NHY246"/>
      <c r="NHZ246"/>
      <c r="NIA246"/>
      <c r="NIB246"/>
      <c r="NIC246"/>
      <c r="NID246"/>
      <c r="NIE246"/>
      <c r="NIF246"/>
      <c r="NIG246"/>
      <c r="NIH246"/>
      <c r="NII246"/>
      <c r="NIJ246"/>
      <c r="NIK246"/>
      <c r="NIL246"/>
      <c r="NIM246"/>
      <c r="NIN246"/>
      <c r="NIO246"/>
      <c r="NIP246"/>
      <c r="NIQ246"/>
      <c r="NIR246"/>
      <c r="NIS246"/>
      <c r="NIT246"/>
      <c r="NIU246"/>
      <c r="NIV246"/>
      <c r="NIW246"/>
      <c r="NIX246"/>
      <c r="NIY246"/>
      <c r="NIZ246"/>
      <c r="NJA246"/>
      <c r="NJB246"/>
      <c r="NJC246"/>
      <c r="NJD246"/>
      <c r="NJE246"/>
      <c r="NJF246"/>
      <c r="NJG246"/>
      <c r="NJH246"/>
      <c r="NJI246"/>
      <c r="NJJ246"/>
      <c r="NJK246"/>
      <c r="NJL246"/>
      <c r="NJM246"/>
      <c r="NJN246"/>
      <c r="NJO246"/>
      <c r="NJP246"/>
      <c r="NJQ246"/>
      <c r="NJR246"/>
      <c r="NJS246"/>
      <c r="NJT246"/>
      <c r="NJU246"/>
      <c r="NJV246"/>
      <c r="NJW246"/>
      <c r="NJX246"/>
      <c r="NJY246"/>
      <c r="NJZ246"/>
      <c r="NKA246"/>
      <c r="NKB246"/>
      <c r="NKC246"/>
      <c r="NKD246"/>
      <c r="NKE246"/>
      <c r="NKF246"/>
      <c r="NKG246"/>
      <c r="NKH246"/>
      <c r="NKI246"/>
      <c r="NKJ246"/>
      <c r="NKK246"/>
      <c r="NKL246"/>
      <c r="NKM246"/>
      <c r="NKN246"/>
      <c r="NKO246"/>
      <c r="NKP246"/>
      <c r="NKQ246"/>
      <c r="NKR246"/>
      <c r="NKS246"/>
      <c r="NKT246"/>
      <c r="NKU246"/>
      <c r="NKV246"/>
      <c r="NKW246"/>
      <c r="NKX246"/>
      <c r="NKY246"/>
      <c r="NKZ246"/>
      <c r="NLA246"/>
      <c r="NLB246"/>
      <c r="NLC246"/>
      <c r="NLD246"/>
      <c r="NLE246"/>
      <c r="NLF246"/>
      <c r="NLG246"/>
      <c r="NLH246"/>
      <c r="NLI246"/>
      <c r="NLJ246"/>
      <c r="NLK246"/>
      <c r="NLL246"/>
      <c r="NLM246"/>
      <c r="NLN246"/>
      <c r="NLO246"/>
      <c r="NLP246"/>
      <c r="NLQ246"/>
      <c r="NLR246"/>
      <c r="NLS246"/>
      <c r="NLT246"/>
      <c r="NLU246"/>
      <c r="NLV246"/>
      <c r="NLW246"/>
      <c r="NLX246"/>
      <c r="NLY246"/>
      <c r="NLZ246"/>
      <c r="NMA246"/>
      <c r="NMB246"/>
      <c r="NMC246"/>
      <c r="NMD246"/>
      <c r="NME246"/>
      <c r="NMF246"/>
      <c r="NMG246"/>
      <c r="NMH246"/>
      <c r="NMI246"/>
      <c r="NMJ246"/>
      <c r="NMK246"/>
      <c r="NML246"/>
      <c r="NMM246"/>
      <c r="NMN246"/>
      <c r="NMO246"/>
      <c r="NMP246"/>
      <c r="NMQ246"/>
      <c r="NMR246"/>
      <c r="NMS246"/>
      <c r="NMT246"/>
      <c r="NMU246"/>
      <c r="NMV246"/>
      <c r="NMW246"/>
      <c r="NMX246"/>
      <c r="NMY246"/>
      <c r="NMZ246"/>
      <c r="NNA246"/>
      <c r="NNB246"/>
      <c r="NNC246"/>
      <c r="NND246"/>
      <c r="NNE246"/>
      <c r="NNF246"/>
      <c r="NNG246"/>
      <c r="NNH246"/>
      <c r="NNI246"/>
      <c r="NNJ246"/>
      <c r="NNK246"/>
      <c r="NNL246"/>
      <c r="NNM246"/>
      <c r="NNN246"/>
      <c r="NNO246"/>
      <c r="NNP246"/>
      <c r="NNQ246"/>
      <c r="NNR246"/>
      <c r="NNS246"/>
      <c r="NNT246"/>
      <c r="NNU246"/>
      <c r="NNV246"/>
      <c r="NNW246"/>
      <c r="NNX246"/>
      <c r="NNY246"/>
      <c r="NNZ246"/>
      <c r="NOA246"/>
      <c r="NOB246"/>
      <c r="NOC246"/>
      <c r="NOD246"/>
      <c r="NOE246"/>
      <c r="NOF246"/>
      <c r="NOG246"/>
      <c r="NOH246"/>
      <c r="NOI246"/>
      <c r="NOJ246"/>
      <c r="NOK246"/>
      <c r="NOL246"/>
      <c r="NOM246"/>
      <c r="NON246"/>
      <c r="NOO246"/>
      <c r="NOP246"/>
      <c r="NOQ246"/>
      <c r="NOR246"/>
      <c r="NOS246"/>
      <c r="NOT246"/>
      <c r="NOU246"/>
      <c r="NOV246"/>
      <c r="NOW246"/>
      <c r="NOX246"/>
      <c r="NOY246"/>
      <c r="NOZ246"/>
      <c r="NPA246"/>
      <c r="NPB246"/>
      <c r="NPC246"/>
      <c r="NPD246"/>
      <c r="NPE246"/>
      <c r="NPF246"/>
      <c r="NPG246"/>
      <c r="NPH246"/>
      <c r="NPI246"/>
      <c r="NPJ246"/>
      <c r="NPK246"/>
      <c r="NPL246"/>
      <c r="NPM246"/>
      <c r="NPN246"/>
      <c r="NPO246"/>
      <c r="NPP246"/>
      <c r="NPQ246"/>
      <c r="NPR246"/>
      <c r="NPS246"/>
      <c r="NPT246"/>
      <c r="NPU246"/>
      <c r="NPV246"/>
      <c r="NPW246"/>
      <c r="NPX246"/>
      <c r="NPY246"/>
      <c r="NPZ246"/>
      <c r="NQA246"/>
      <c r="NQB246"/>
      <c r="NQC246"/>
      <c r="NQD246"/>
      <c r="NQE246"/>
      <c r="NQF246"/>
      <c r="NQG246"/>
      <c r="NQH246"/>
      <c r="NQI246"/>
      <c r="NQJ246"/>
      <c r="NQK246"/>
      <c r="NQL246"/>
      <c r="NQM246"/>
      <c r="NQN246"/>
      <c r="NQO246"/>
      <c r="NQP246"/>
      <c r="NQQ246"/>
      <c r="NQR246"/>
      <c r="NQS246"/>
      <c r="NQT246"/>
      <c r="NQU246"/>
      <c r="NQV246"/>
      <c r="NQW246"/>
      <c r="NQX246"/>
      <c r="NQY246"/>
      <c r="NQZ246"/>
      <c r="NRA246"/>
      <c r="NRB246"/>
      <c r="NRC246"/>
      <c r="NRD246"/>
      <c r="NRE246"/>
      <c r="NRF246"/>
      <c r="NRG246"/>
      <c r="NRH246"/>
      <c r="NRI246"/>
      <c r="NRJ246"/>
      <c r="NRK246"/>
      <c r="NRL246"/>
      <c r="NRM246"/>
      <c r="NRN246"/>
      <c r="NRO246"/>
      <c r="NRP246"/>
      <c r="NRQ246"/>
      <c r="NRR246"/>
      <c r="NRS246"/>
      <c r="NRT246"/>
      <c r="NRU246"/>
      <c r="NRV246"/>
      <c r="NRW246"/>
      <c r="NRX246"/>
      <c r="NRY246"/>
      <c r="NRZ246"/>
      <c r="NSA246"/>
      <c r="NSB246"/>
      <c r="NSC246"/>
      <c r="NSD246"/>
      <c r="NSE246"/>
      <c r="NSF246"/>
      <c r="NSG246"/>
      <c r="NSH246"/>
      <c r="NSI246"/>
      <c r="NSJ246"/>
      <c r="NSK246"/>
      <c r="NSL246"/>
      <c r="NSM246"/>
      <c r="NSN246"/>
      <c r="NSO246"/>
      <c r="NSP246"/>
      <c r="NSQ246"/>
      <c r="NSR246"/>
      <c r="NSS246"/>
      <c r="NST246"/>
      <c r="NSU246"/>
      <c r="NSV246"/>
      <c r="NSW246"/>
      <c r="NSX246"/>
      <c r="NSY246"/>
      <c r="NSZ246"/>
      <c r="NTA246"/>
      <c r="NTB246"/>
      <c r="NTC246"/>
      <c r="NTD246"/>
      <c r="NTE246"/>
      <c r="NTF246"/>
      <c r="NTG246"/>
      <c r="NTH246"/>
      <c r="NTI246"/>
      <c r="NTJ246"/>
      <c r="NTK246"/>
      <c r="NTL246"/>
      <c r="NTM246"/>
      <c r="NTN246"/>
      <c r="NTO246"/>
      <c r="NTP246"/>
      <c r="NTQ246"/>
      <c r="NTR246"/>
      <c r="NTS246"/>
      <c r="NTT246"/>
      <c r="NTU246"/>
      <c r="NTV246"/>
      <c r="NTW246"/>
      <c r="NTX246"/>
      <c r="NTY246"/>
      <c r="NTZ246"/>
      <c r="NUA246"/>
      <c r="NUB246"/>
      <c r="NUC246"/>
      <c r="NUD246"/>
      <c r="NUE246"/>
      <c r="NUF246"/>
      <c r="NUG246"/>
      <c r="NUH246"/>
      <c r="NUI246"/>
      <c r="NUJ246"/>
      <c r="NUK246"/>
      <c r="NUL246"/>
      <c r="NUM246"/>
      <c r="NUN246"/>
      <c r="NUO246"/>
      <c r="NUP246"/>
      <c r="NUQ246"/>
      <c r="NUR246"/>
      <c r="NUS246"/>
      <c r="NUT246"/>
      <c r="NUU246"/>
      <c r="NUV246"/>
      <c r="NUW246"/>
      <c r="NUX246"/>
      <c r="NUY246"/>
      <c r="NUZ246"/>
      <c r="NVA246"/>
      <c r="NVB246"/>
      <c r="NVC246"/>
      <c r="NVD246"/>
      <c r="NVE246"/>
      <c r="NVF246"/>
      <c r="NVG246"/>
      <c r="NVH246"/>
      <c r="NVI246"/>
      <c r="NVJ246"/>
      <c r="NVK246"/>
      <c r="NVL246"/>
      <c r="NVM246"/>
      <c r="NVN246"/>
      <c r="NVO246"/>
      <c r="NVP246"/>
      <c r="NVQ246"/>
      <c r="NVR246"/>
      <c r="NVS246"/>
      <c r="NVT246"/>
      <c r="NVU246"/>
      <c r="NVV246"/>
      <c r="NVW246"/>
      <c r="NVX246"/>
      <c r="NVY246"/>
      <c r="NVZ246"/>
      <c r="NWA246"/>
      <c r="NWB246"/>
      <c r="NWC246"/>
      <c r="NWD246"/>
      <c r="NWE246"/>
      <c r="NWF246"/>
      <c r="NWG246"/>
      <c r="NWH246"/>
      <c r="NWI246"/>
      <c r="NWJ246"/>
      <c r="NWK246"/>
      <c r="NWL246"/>
      <c r="NWM246"/>
      <c r="NWN246"/>
      <c r="NWO246"/>
      <c r="NWP246"/>
      <c r="NWQ246"/>
      <c r="NWR246"/>
      <c r="NWS246"/>
      <c r="NWT246"/>
      <c r="NWU246"/>
      <c r="NWV246"/>
      <c r="NWW246"/>
      <c r="NWX246"/>
      <c r="NWY246"/>
      <c r="NWZ246"/>
      <c r="NXA246"/>
      <c r="NXB246"/>
      <c r="NXC246"/>
      <c r="NXD246"/>
      <c r="NXE246"/>
      <c r="NXF246"/>
      <c r="NXG246"/>
      <c r="NXH246"/>
      <c r="NXI246"/>
      <c r="NXJ246"/>
      <c r="NXK246"/>
      <c r="NXL246"/>
      <c r="NXM246"/>
      <c r="NXN246"/>
      <c r="NXO246"/>
      <c r="NXP246"/>
      <c r="NXQ246"/>
      <c r="NXR246"/>
      <c r="NXS246"/>
      <c r="NXT246"/>
      <c r="NXU246"/>
      <c r="NXV246"/>
      <c r="NXW246"/>
      <c r="NXX246"/>
      <c r="NXY246"/>
      <c r="NXZ246"/>
      <c r="NYA246"/>
      <c r="NYB246"/>
      <c r="NYC246"/>
      <c r="NYD246"/>
      <c r="NYE246"/>
      <c r="NYF246"/>
      <c r="NYG246"/>
      <c r="NYH246"/>
      <c r="NYI246"/>
      <c r="NYJ246"/>
      <c r="NYK246"/>
      <c r="NYL246"/>
      <c r="NYM246"/>
      <c r="NYN246"/>
      <c r="NYO246"/>
      <c r="NYP246"/>
      <c r="NYQ246"/>
      <c r="NYR246"/>
      <c r="NYS246"/>
      <c r="NYT246"/>
      <c r="NYU246"/>
      <c r="NYV246"/>
      <c r="NYW246"/>
      <c r="NYX246"/>
      <c r="NYY246"/>
      <c r="NYZ246"/>
      <c r="NZA246"/>
      <c r="NZB246"/>
      <c r="NZC246"/>
      <c r="NZD246"/>
      <c r="NZE246"/>
      <c r="NZF246"/>
      <c r="NZG246"/>
      <c r="NZH246"/>
      <c r="NZI246"/>
      <c r="NZJ246"/>
      <c r="NZK246"/>
      <c r="NZL246"/>
      <c r="NZM246"/>
      <c r="NZN246"/>
      <c r="NZO246"/>
      <c r="NZP246"/>
      <c r="NZQ246"/>
      <c r="NZR246"/>
      <c r="NZS246"/>
      <c r="NZT246"/>
      <c r="NZU246"/>
      <c r="NZV246"/>
      <c r="NZW246"/>
      <c r="NZX246"/>
      <c r="NZY246"/>
      <c r="NZZ246"/>
      <c r="OAA246"/>
      <c r="OAB246"/>
      <c r="OAC246"/>
      <c r="OAD246"/>
      <c r="OAE246"/>
      <c r="OAF246"/>
      <c r="OAG246"/>
      <c r="OAH246"/>
      <c r="OAI246"/>
      <c r="OAJ246"/>
      <c r="OAK246"/>
      <c r="OAL246"/>
      <c r="OAM246"/>
      <c r="OAN246"/>
      <c r="OAO246"/>
      <c r="OAP246"/>
      <c r="OAQ246"/>
      <c r="OAR246"/>
      <c r="OAS246"/>
      <c r="OAT246"/>
      <c r="OAU246"/>
      <c r="OAV246"/>
      <c r="OAW246"/>
      <c r="OAX246"/>
      <c r="OAY246"/>
      <c r="OAZ246"/>
      <c r="OBA246"/>
      <c r="OBB246"/>
      <c r="OBC246"/>
      <c r="OBD246"/>
      <c r="OBE246"/>
      <c r="OBF246"/>
      <c r="OBG246"/>
      <c r="OBH246"/>
      <c r="OBI246"/>
      <c r="OBJ246"/>
      <c r="OBK246"/>
      <c r="OBL246"/>
      <c r="OBM246"/>
      <c r="OBN246"/>
      <c r="OBO246"/>
      <c r="OBP246"/>
      <c r="OBQ246"/>
      <c r="OBR246"/>
      <c r="OBS246"/>
      <c r="OBT246"/>
      <c r="OBU246"/>
      <c r="OBV246"/>
      <c r="OBW246"/>
      <c r="OBX246"/>
      <c r="OBY246"/>
      <c r="OBZ246"/>
      <c r="OCA246"/>
      <c r="OCB246"/>
      <c r="OCC246"/>
      <c r="OCD246"/>
      <c r="OCE246"/>
      <c r="OCF246"/>
      <c r="OCG246"/>
      <c r="OCH246"/>
      <c r="OCI246"/>
      <c r="OCJ246"/>
      <c r="OCK246"/>
      <c r="OCL246"/>
      <c r="OCM246"/>
      <c r="OCN246"/>
      <c r="OCO246"/>
      <c r="OCP246"/>
      <c r="OCQ246"/>
      <c r="OCR246"/>
      <c r="OCS246"/>
      <c r="OCT246"/>
      <c r="OCU246"/>
      <c r="OCV246"/>
      <c r="OCW246"/>
      <c r="OCX246"/>
      <c r="OCY246"/>
      <c r="OCZ246"/>
      <c r="ODA246"/>
      <c r="ODB246"/>
      <c r="ODC246"/>
      <c r="ODD246"/>
      <c r="ODE246"/>
      <c r="ODF246"/>
      <c r="ODG246"/>
      <c r="ODH246"/>
      <c r="ODI246"/>
      <c r="ODJ246"/>
      <c r="ODK246"/>
      <c r="ODL246"/>
      <c r="ODM246"/>
      <c r="ODN246"/>
      <c r="ODO246"/>
      <c r="ODP246"/>
      <c r="ODQ246"/>
      <c r="ODR246"/>
      <c r="ODS246"/>
      <c r="ODT246"/>
      <c r="ODU246"/>
      <c r="ODV246"/>
      <c r="ODW246"/>
      <c r="ODX246"/>
      <c r="ODY246"/>
      <c r="ODZ246"/>
      <c r="OEA246"/>
      <c r="OEB246"/>
      <c r="OEC246"/>
      <c r="OED246"/>
      <c r="OEE246"/>
      <c r="OEF246"/>
      <c r="OEG246"/>
      <c r="OEH246"/>
      <c r="OEI246"/>
      <c r="OEJ246"/>
      <c r="OEK246"/>
      <c r="OEL246"/>
      <c r="OEM246"/>
      <c r="OEN246"/>
      <c r="OEO246"/>
      <c r="OEP246"/>
      <c r="OEQ246"/>
      <c r="OER246"/>
      <c r="OES246"/>
      <c r="OET246"/>
      <c r="OEU246"/>
      <c r="OEV246"/>
      <c r="OEW246"/>
      <c r="OEX246"/>
      <c r="OEY246"/>
      <c r="OEZ246"/>
      <c r="OFA246"/>
      <c r="OFB246"/>
      <c r="OFC246"/>
      <c r="OFD246"/>
      <c r="OFE246"/>
      <c r="OFF246"/>
      <c r="OFG246"/>
      <c r="OFH246"/>
      <c r="OFI246"/>
      <c r="OFJ246"/>
      <c r="OFK246"/>
      <c r="OFL246"/>
      <c r="OFM246"/>
      <c r="OFN246"/>
      <c r="OFO246"/>
      <c r="OFP246"/>
      <c r="OFQ246"/>
      <c r="OFR246"/>
      <c r="OFS246"/>
      <c r="OFT246"/>
      <c r="OFU246"/>
      <c r="OFV246"/>
      <c r="OFW246"/>
      <c r="OFX246"/>
      <c r="OFY246"/>
      <c r="OFZ246"/>
      <c r="OGA246"/>
      <c r="OGB246"/>
      <c r="OGC246"/>
      <c r="OGD246"/>
      <c r="OGE246"/>
      <c r="OGF246"/>
      <c r="OGG246"/>
      <c r="OGH246"/>
      <c r="OGI246"/>
      <c r="OGJ246"/>
      <c r="OGK246"/>
      <c r="OGL246"/>
      <c r="OGM246"/>
      <c r="OGN246"/>
      <c r="OGO246"/>
      <c r="OGP246"/>
      <c r="OGQ246"/>
      <c r="OGR246"/>
      <c r="OGS246"/>
      <c r="OGT246"/>
      <c r="OGU246"/>
      <c r="OGV246"/>
      <c r="OGW246"/>
      <c r="OGX246"/>
      <c r="OGY246"/>
      <c r="OGZ246"/>
      <c r="OHA246"/>
      <c r="OHB246"/>
      <c r="OHC246"/>
      <c r="OHD246"/>
      <c r="OHE246"/>
      <c r="OHF246"/>
      <c r="OHG246"/>
      <c r="OHH246"/>
      <c r="OHI246"/>
      <c r="OHJ246"/>
      <c r="OHK246"/>
      <c r="OHL246"/>
      <c r="OHM246"/>
      <c r="OHN246"/>
      <c r="OHO246"/>
      <c r="OHP246"/>
      <c r="OHQ246"/>
      <c r="OHR246"/>
      <c r="OHS246"/>
      <c r="OHT246"/>
      <c r="OHU246"/>
      <c r="OHV246"/>
      <c r="OHW246"/>
      <c r="OHX246"/>
      <c r="OHY246"/>
      <c r="OHZ246"/>
      <c r="OIA246"/>
      <c r="OIB246"/>
      <c r="OIC246"/>
      <c r="OID246"/>
      <c r="OIE246"/>
      <c r="OIF246"/>
      <c r="OIG246"/>
      <c r="OIH246"/>
      <c r="OII246"/>
      <c r="OIJ246"/>
      <c r="OIK246"/>
      <c r="OIL246"/>
      <c r="OIM246"/>
      <c r="OIN246"/>
      <c r="OIO246"/>
      <c r="OIP246"/>
      <c r="OIQ246"/>
      <c r="OIR246"/>
      <c r="OIS246"/>
      <c r="OIT246"/>
      <c r="OIU246"/>
      <c r="OIV246"/>
      <c r="OIW246"/>
      <c r="OIX246"/>
      <c r="OIY246"/>
      <c r="OIZ246"/>
      <c r="OJA246"/>
      <c r="OJB246"/>
      <c r="OJC246"/>
      <c r="OJD246"/>
      <c r="OJE246"/>
      <c r="OJF246"/>
      <c r="OJG246"/>
      <c r="OJH246"/>
      <c r="OJI246"/>
      <c r="OJJ246"/>
      <c r="OJK246"/>
      <c r="OJL246"/>
      <c r="OJM246"/>
      <c r="OJN246"/>
      <c r="OJO246"/>
      <c r="OJP246"/>
      <c r="OJQ246"/>
      <c r="OJR246"/>
      <c r="OJS246"/>
      <c r="OJT246"/>
      <c r="OJU246"/>
      <c r="OJV246"/>
      <c r="OJW246"/>
      <c r="OJX246"/>
      <c r="OJY246"/>
      <c r="OJZ246"/>
      <c r="OKA246"/>
      <c r="OKB246"/>
      <c r="OKC246"/>
      <c r="OKD246"/>
      <c r="OKE246"/>
      <c r="OKF246"/>
      <c r="OKG246"/>
      <c r="OKH246"/>
      <c r="OKI246"/>
      <c r="OKJ246"/>
      <c r="OKK246"/>
      <c r="OKL246"/>
      <c r="OKM246"/>
      <c r="OKN246"/>
      <c r="OKO246"/>
      <c r="OKP246"/>
      <c r="OKQ246"/>
      <c r="OKR246"/>
      <c r="OKS246"/>
      <c r="OKT246"/>
      <c r="OKU246"/>
      <c r="OKV246"/>
      <c r="OKW246"/>
      <c r="OKX246"/>
      <c r="OKY246"/>
      <c r="OKZ246"/>
      <c r="OLA246"/>
      <c r="OLB246"/>
      <c r="OLC246"/>
      <c r="OLD246"/>
      <c r="OLE246"/>
      <c r="OLF246"/>
      <c r="OLG246"/>
      <c r="OLH246"/>
      <c r="OLI246"/>
      <c r="OLJ246"/>
      <c r="OLK246"/>
      <c r="OLL246"/>
      <c r="OLM246"/>
      <c r="OLN246"/>
      <c r="OLO246"/>
      <c r="OLP246"/>
      <c r="OLQ246"/>
      <c r="OLR246"/>
      <c r="OLS246"/>
      <c r="OLT246"/>
      <c r="OLU246"/>
      <c r="OLV246"/>
      <c r="OLW246"/>
      <c r="OLX246"/>
      <c r="OLY246"/>
      <c r="OLZ246"/>
      <c r="OMA246"/>
      <c r="OMB246"/>
      <c r="OMC246"/>
      <c r="OMD246"/>
      <c r="OME246"/>
      <c r="OMF246"/>
      <c r="OMG246"/>
      <c r="OMH246"/>
      <c r="OMI246"/>
      <c r="OMJ246"/>
      <c r="OMK246"/>
      <c r="OML246"/>
      <c r="OMM246"/>
      <c r="OMN246"/>
      <c r="OMO246"/>
      <c r="OMP246"/>
      <c r="OMQ246"/>
      <c r="OMR246"/>
      <c r="OMS246"/>
      <c r="OMT246"/>
      <c r="OMU246"/>
      <c r="OMV246"/>
      <c r="OMW246"/>
      <c r="OMX246"/>
      <c r="OMY246"/>
      <c r="OMZ246"/>
      <c r="ONA246"/>
      <c r="ONB246"/>
      <c r="ONC246"/>
      <c r="OND246"/>
      <c r="ONE246"/>
      <c r="ONF246"/>
      <c r="ONG246"/>
      <c r="ONH246"/>
      <c r="ONI246"/>
      <c r="ONJ246"/>
      <c r="ONK246"/>
      <c r="ONL246"/>
      <c r="ONM246"/>
      <c r="ONN246"/>
      <c r="ONO246"/>
      <c r="ONP246"/>
      <c r="ONQ246"/>
      <c r="ONR246"/>
      <c r="ONS246"/>
      <c r="ONT246"/>
      <c r="ONU246"/>
      <c r="ONV246"/>
      <c r="ONW246"/>
      <c r="ONX246"/>
      <c r="ONY246"/>
      <c r="ONZ246"/>
      <c r="OOA246"/>
      <c r="OOB246"/>
      <c r="OOC246"/>
      <c r="OOD246"/>
      <c r="OOE246"/>
      <c r="OOF246"/>
      <c r="OOG246"/>
      <c r="OOH246"/>
      <c r="OOI246"/>
      <c r="OOJ246"/>
      <c r="OOK246"/>
      <c r="OOL246"/>
      <c r="OOM246"/>
      <c r="OON246"/>
      <c r="OOO246"/>
      <c r="OOP246"/>
      <c r="OOQ246"/>
      <c r="OOR246"/>
      <c r="OOS246"/>
      <c r="OOT246"/>
      <c r="OOU246"/>
      <c r="OOV246"/>
      <c r="OOW246"/>
      <c r="OOX246"/>
      <c r="OOY246"/>
      <c r="OOZ246"/>
      <c r="OPA246"/>
      <c r="OPB246"/>
      <c r="OPC246"/>
      <c r="OPD246"/>
      <c r="OPE246"/>
      <c r="OPF246"/>
      <c r="OPG246"/>
      <c r="OPH246"/>
      <c r="OPI246"/>
      <c r="OPJ246"/>
      <c r="OPK246"/>
      <c r="OPL246"/>
      <c r="OPM246"/>
      <c r="OPN246"/>
      <c r="OPO246"/>
      <c r="OPP246"/>
      <c r="OPQ246"/>
      <c r="OPR246"/>
      <c r="OPS246"/>
      <c r="OPT246"/>
      <c r="OPU246"/>
      <c r="OPV246"/>
      <c r="OPW246"/>
      <c r="OPX246"/>
      <c r="OPY246"/>
      <c r="OPZ246"/>
      <c r="OQA246"/>
      <c r="OQB246"/>
      <c r="OQC246"/>
      <c r="OQD246"/>
      <c r="OQE246"/>
      <c r="OQF246"/>
      <c r="OQG246"/>
      <c r="OQH246"/>
      <c r="OQI246"/>
      <c r="OQJ246"/>
      <c r="OQK246"/>
      <c r="OQL246"/>
      <c r="OQM246"/>
      <c r="OQN246"/>
      <c r="OQO246"/>
      <c r="OQP246"/>
      <c r="OQQ246"/>
      <c r="OQR246"/>
      <c r="OQS246"/>
      <c r="OQT246"/>
      <c r="OQU246"/>
      <c r="OQV246"/>
      <c r="OQW246"/>
      <c r="OQX246"/>
      <c r="OQY246"/>
      <c r="OQZ246"/>
      <c r="ORA246"/>
      <c r="ORB246"/>
      <c r="ORC246"/>
      <c r="ORD246"/>
      <c r="ORE246"/>
      <c r="ORF246"/>
      <c r="ORG246"/>
      <c r="ORH246"/>
      <c r="ORI246"/>
      <c r="ORJ246"/>
      <c r="ORK246"/>
      <c r="ORL246"/>
      <c r="ORM246"/>
      <c r="ORN246"/>
      <c r="ORO246"/>
      <c r="ORP246"/>
      <c r="ORQ246"/>
      <c r="ORR246"/>
      <c r="ORS246"/>
      <c r="ORT246"/>
      <c r="ORU246"/>
      <c r="ORV246"/>
      <c r="ORW246"/>
      <c r="ORX246"/>
      <c r="ORY246"/>
      <c r="ORZ246"/>
      <c r="OSA246"/>
      <c r="OSB246"/>
      <c r="OSC246"/>
      <c r="OSD246"/>
      <c r="OSE246"/>
      <c r="OSF246"/>
      <c r="OSG246"/>
      <c r="OSH246"/>
      <c r="OSI246"/>
      <c r="OSJ246"/>
      <c r="OSK246"/>
      <c r="OSL246"/>
      <c r="OSM246"/>
      <c r="OSN246"/>
      <c r="OSO246"/>
      <c r="OSP246"/>
      <c r="OSQ246"/>
      <c r="OSR246"/>
      <c r="OSS246"/>
      <c r="OST246"/>
      <c r="OSU246"/>
      <c r="OSV246"/>
      <c r="OSW246"/>
      <c r="OSX246"/>
      <c r="OSY246"/>
      <c r="OSZ246"/>
      <c r="OTA246"/>
      <c r="OTB246"/>
      <c r="OTC246"/>
      <c r="OTD246"/>
      <c r="OTE246"/>
      <c r="OTF246"/>
      <c r="OTG246"/>
      <c r="OTH246"/>
      <c r="OTI246"/>
      <c r="OTJ246"/>
      <c r="OTK246"/>
      <c r="OTL246"/>
      <c r="OTM246"/>
      <c r="OTN246"/>
      <c r="OTO246"/>
      <c r="OTP246"/>
      <c r="OTQ246"/>
      <c r="OTR246"/>
      <c r="OTS246"/>
      <c r="OTT246"/>
      <c r="OTU246"/>
      <c r="OTV246"/>
      <c r="OTW246"/>
      <c r="OTX246"/>
      <c r="OTY246"/>
      <c r="OTZ246"/>
      <c r="OUA246"/>
      <c r="OUB246"/>
      <c r="OUC246"/>
      <c r="OUD246"/>
      <c r="OUE246"/>
      <c r="OUF246"/>
      <c r="OUG246"/>
      <c r="OUH246"/>
      <c r="OUI246"/>
      <c r="OUJ246"/>
      <c r="OUK246"/>
      <c r="OUL246"/>
      <c r="OUM246"/>
      <c r="OUN246"/>
      <c r="OUO246"/>
      <c r="OUP246"/>
      <c r="OUQ246"/>
      <c r="OUR246"/>
      <c r="OUS246"/>
      <c r="OUT246"/>
      <c r="OUU246"/>
      <c r="OUV246"/>
      <c r="OUW246"/>
      <c r="OUX246"/>
      <c r="OUY246"/>
      <c r="OUZ246"/>
      <c r="OVA246"/>
      <c r="OVB246"/>
      <c r="OVC246"/>
      <c r="OVD246"/>
      <c r="OVE246"/>
      <c r="OVF246"/>
      <c r="OVG246"/>
      <c r="OVH246"/>
      <c r="OVI246"/>
      <c r="OVJ246"/>
      <c r="OVK246"/>
      <c r="OVL246"/>
      <c r="OVM246"/>
      <c r="OVN246"/>
      <c r="OVO246"/>
      <c r="OVP246"/>
      <c r="OVQ246"/>
      <c r="OVR246"/>
      <c r="OVS246"/>
      <c r="OVT246"/>
      <c r="OVU246"/>
      <c r="OVV246"/>
      <c r="OVW246"/>
      <c r="OVX246"/>
      <c r="OVY246"/>
      <c r="OVZ246"/>
      <c r="OWA246"/>
      <c r="OWB246"/>
      <c r="OWC246"/>
      <c r="OWD246"/>
      <c r="OWE246"/>
      <c r="OWF246"/>
      <c r="OWG246"/>
      <c r="OWH246"/>
      <c r="OWI246"/>
      <c r="OWJ246"/>
      <c r="OWK246"/>
      <c r="OWL246"/>
      <c r="OWM246"/>
      <c r="OWN246"/>
      <c r="OWO246"/>
      <c r="OWP246"/>
      <c r="OWQ246"/>
      <c r="OWR246"/>
      <c r="OWS246"/>
      <c r="OWT246"/>
      <c r="OWU246"/>
      <c r="OWV246"/>
      <c r="OWW246"/>
      <c r="OWX246"/>
      <c r="OWY246"/>
      <c r="OWZ246"/>
      <c r="OXA246"/>
      <c r="OXB246"/>
      <c r="OXC246"/>
      <c r="OXD246"/>
      <c r="OXE246"/>
      <c r="OXF246"/>
      <c r="OXG246"/>
      <c r="OXH246"/>
      <c r="OXI246"/>
      <c r="OXJ246"/>
      <c r="OXK246"/>
      <c r="OXL246"/>
      <c r="OXM246"/>
      <c r="OXN246"/>
      <c r="OXO246"/>
      <c r="OXP246"/>
      <c r="OXQ246"/>
      <c r="OXR246"/>
      <c r="OXS246"/>
      <c r="OXT246"/>
      <c r="OXU246"/>
      <c r="OXV246"/>
      <c r="OXW246"/>
      <c r="OXX246"/>
      <c r="OXY246"/>
      <c r="OXZ246"/>
      <c r="OYA246"/>
      <c r="OYB246"/>
      <c r="OYC246"/>
      <c r="OYD246"/>
      <c r="OYE246"/>
      <c r="OYF246"/>
      <c r="OYG246"/>
      <c r="OYH246"/>
      <c r="OYI246"/>
      <c r="OYJ246"/>
      <c r="OYK246"/>
      <c r="OYL246"/>
      <c r="OYM246"/>
      <c r="OYN246"/>
      <c r="OYO246"/>
      <c r="OYP246"/>
      <c r="OYQ246"/>
      <c r="OYR246"/>
      <c r="OYS246"/>
      <c r="OYT246"/>
      <c r="OYU246"/>
      <c r="OYV246"/>
      <c r="OYW246"/>
      <c r="OYX246"/>
      <c r="OYY246"/>
      <c r="OYZ246"/>
      <c r="OZA246"/>
      <c r="OZB246"/>
      <c r="OZC246"/>
      <c r="OZD246"/>
      <c r="OZE246"/>
      <c r="OZF246"/>
      <c r="OZG246"/>
      <c r="OZH246"/>
      <c r="OZI246"/>
      <c r="OZJ246"/>
      <c r="OZK246"/>
      <c r="OZL246"/>
      <c r="OZM246"/>
      <c r="OZN246"/>
      <c r="OZO246"/>
      <c r="OZP246"/>
      <c r="OZQ246"/>
      <c r="OZR246"/>
      <c r="OZS246"/>
      <c r="OZT246"/>
      <c r="OZU246"/>
      <c r="OZV246"/>
      <c r="OZW246"/>
      <c r="OZX246"/>
      <c r="OZY246"/>
      <c r="OZZ246"/>
      <c r="PAA246"/>
      <c r="PAB246"/>
      <c r="PAC246"/>
      <c r="PAD246"/>
      <c r="PAE246"/>
      <c r="PAF246"/>
      <c r="PAG246"/>
      <c r="PAH246"/>
      <c r="PAI246"/>
      <c r="PAJ246"/>
      <c r="PAK246"/>
      <c r="PAL246"/>
      <c r="PAM246"/>
      <c r="PAN246"/>
      <c r="PAO246"/>
      <c r="PAP246"/>
      <c r="PAQ246"/>
      <c r="PAR246"/>
      <c r="PAS246"/>
      <c r="PAT246"/>
      <c r="PAU246"/>
      <c r="PAV246"/>
      <c r="PAW246"/>
      <c r="PAX246"/>
      <c r="PAY246"/>
      <c r="PAZ246"/>
      <c r="PBA246"/>
      <c r="PBB246"/>
      <c r="PBC246"/>
      <c r="PBD246"/>
      <c r="PBE246"/>
      <c r="PBF246"/>
      <c r="PBG246"/>
      <c r="PBH246"/>
      <c r="PBI246"/>
      <c r="PBJ246"/>
      <c r="PBK246"/>
      <c r="PBL246"/>
      <c r="PBM246"/>
      <c r="PBN246"/>
      <c r="PBO246"/>
      <c r="PBP246"/>
      <c r="PBQ246"/>
      <c r="PBR246"/>
      <c r="PBS246"/>
      <c r="PBT246"/>
      <c r="PBU246"/>
      <c r="PBV246"/>
      <c r="PBW246"/>
      <c r="PBX246"/>
      <c r="PBY246"/>
      <c r="PBZ246"/>
      <c r="PCA246"/>
      <c r="PCB246"/>
      <c r="PCC246"/>
      <c r="PCD246"/>
      <c r="PCE246"/>
      <c r="PCF246"/>
      <c r="PCG246"/>
      <c r="PCH246"/>
      <c r="PCI246"/>
      <c r="PCJ246"/>
      <c r="PCK246"/>
      <c r="PCL246"/>
      <c r="PCM246"/>
      <c r="PCN246"/>
      <c r="PCO246"/>
      <c r="PCP246"/>
      <c r="PCQ246"/>
      <c r="PCR246"/>
      <c r="PCS246"/>
      <c r="PCT246"/>
      <c r="PCU246"/>
      <c r="PCV246"/>
      <c r="PCW246"/>
      <c r="PCX246"/>
      <c r="PCY246"/>
      <c r="PCZ246"/>
      <c r="PDA246"/>
      <c r="PDB246"/>
      <c r="PDC246"/>
      <c r="PDD246"/>
      <c r="PDE246"/>
      <c r="PDF246"/>
      <c r="PDG246"/>
      <c r="PDH246"/>
      <c r="PDI246"/>
      <c r="PDJ246"/>
      <c r="PDK246"/>
      <c r="PDL246"/>
      <c r="PDM246"/>
      <c r="PDN246"/>
      <c r="PDO246"/>
      <c r="PDP246"/>
      <c r="PDQ246"/>
      <c r="PDR246"/>
      <c r="PDS246"/>
      <c r="PDT246"/>
      <c r="PDU246"/>
      <c r="PDV246"/>
      <c r="PDW246"/>
      <c r="PDX246"/>
      <c r="PDY246"/>
      <c r="PDZ246"/>
      <c r="PEA246"/>
      <c r="PEB246"/>
      <c r="PEC246"/>
      <c r="PED246"/>
      <c r="PEE246"/>
      <c r="PEF246"/>
      <c r="PEG246"/>
      <c r="PEH246"/>
      <c r="PEI246"/>
      <c r="PEJ246"/>
      <c r="PEK246"/>
      <c r="PEL246"/>
      <c r="PEM246"/>
      <c r="PEN246"/>
      <c r="PEO246"/>
      <c r="PEP246"/>
      <c r="PEQ246"/>
      <c r="PER246"/>
      <c r="PES246"/>
      <c r="PET246"/>
      <c r="PEU246"/>
      <c r="PEV246"/>
      <c r="PEW246"/>
      <c r="PEX246"/>
      <c r="PEY246"/>
      <c r="PEZ246"/>
      <c r="PFA246"/>
      <c r="PFB246"/>
      <c r="PFC246"/>
      <c r="PFD246"/>
      <c r="PFE246"/>
      <c r="PFF246"/>
      <c r="PFG246"/>
      <c r="PFH246"/>
      <c r="PFI246"/>
      <c r="PFJ246"/>
      <c r="PFK246"/>
      <c r="PFL246"/>
      <c r="PFM246"/>
      <c r="PFN246"/>
      <c r="PFO246"/>
      <c r="PFP246"/>
      <c r="PFQ246"/>
      <c r="PFR246"/>
      <c r="PFS246"/>
      <c r="PFT246"/>
      <c r="PFU246"/>
      <c r="PFV246"/>
      <c r="PFW246"/>
      <c r="PFX246"/>
      <c r="PFY246"/>
      <c r="PFZ246"/>
      <c r="PGA246"/>
      <c r="PGB246"/>
      <c r="PGC246"/>
      <c r="PGD246"/>
      <c r="PGE246"/>
      <c r="PGF246"/>
      <c r="PGG246"/>
      <c r="PGH246"/>
      <c r="PGI246"/>
      <c r="PGJ246"/>
      <c r="PGK246"/>
      <c r="PGL246"/>
      <c r="PGM246"/>
      <c r="PGN246"/>
      <c r="PGO246"/>
      <c r="PGP246"/>
      <c r="PGQ246"/>
      <c r="PGR246"/>
      <c r="PGS246"/>
      <c r="PGT246"/>
      <c r="PGU246"/>
      <c r="PGV246"/>
      <c r="PGW246"/>
      <c r="PGX246"/>
      <c r="PGY246"/>
      <c r="PGZ246"/>
      <c r="PHA246"/>
      <c r="PHB246"/>
      <c r="PHC246"/>
      <c r="PHD246"/>
      <c r="PHE246"/>
      <c r="PHF246"/>
      <c r="PHG246"/>
      <c r="PHH246"/>
      <c r="PHI246"/>
      <c r="PHJ246"/>
      <c r="PHK246"/>
      <c r="PHL246"/>
      <c r="PHM246"/>
      <c r="PHN246"/>
      <c r="PHO246"/>
      <c r="PHP246"/>
      <c r="PHQ246"/>
      <c r="PHR246"/>
      <c r="PHS246"/>
      <c r="PHT246"/>
      <c r="PHU246"/>
      <c r="PHV246"/>
      <c r="PHW246"/>
      <c r="PHX246"/>
      <c r="PHY246"/>
      <c r="PHZ246"/>
      <c r="PIA246"/>
      <c r="PIB246"/>
      <c r="PIC246"/>
      <c r="PID246"/>
      <c r="PIE246"/>
      <c r="PIF246"/>
      <c r="PIG246"/>
      <c r="PIH246"/>
      <c r="PII246"/>
      <c r="PIJ246"/>
      <c r="PIK246"/>
      <c r="PIL246"/>
      <c r="PIM246"/>
      <c r="PIN246"/>
      <c r="PIO246"/>
      <c r="PIP246"/>
      <c r="PIQ246"/>
      <c r="PIR246"/>
      <c r="PIS246"/>
      <c r="PIT246"/>
      <c r="PIU246"/>
      <c r="PIV246"/>
      <c r="PIW246"/>
      <c r="PIX246"/>
      <c r="PIY246"/>
      <c r="PIZ246"/>
      <c r="PJA246"/>
      <c r="PJB246"/>
      <c r="PJC246"/>
      <c r="PJD246"/>
      <c r="PJE246"/>
      <c r="PJF246"/>
      <c r="PJG246"/>
      <c r="PJH246"/>
      <c r="PJI246"/>
      <c r="PJJ246"/>
      <c r="PJK246"/>
      <c r="PJL246"/>
      <c r="PJM246"/>
      <c r="PJN246"/>
      <c r="PJO246"/>
      <c r="PJP246"/>
      <c r="PJQ246"/>
      <c r="PJR246"/>
      <c r="PJS246"/>
      <c r="PJT246"/>
      <c r="PJU246"/>
      <c r="PJV246"/>
      <c r="PJW246"/>
      <c r="PJX246"/>
      <c r="PJY246"/>
      <c r="PJZ246"/>
      <c r="PKA246"/>
      <c r="PKB246"/>
      <c r="PKC246"/>
      <c r="PKD246"/>
      <c r="PKE246"/>
      <c r="PKF246"/>
      <c r="PKG246"/>
      <c r="PKH246"/>
      <c r="PKI246"/>
      <c r="PKJ246"/>
      <c r="PKK246"/>
      <c r="PKL246"/>
      <c r="PKM246"/>
      <c r="PKN246"/>
      <c r="PKO246"/>
      <c r="PKP246"/>
      <c r="PKQ246"/>
      <c r="PKR246"/>
      <c r="PKS246"/>
      <c r="PKT246"/>
      <c r="PKU246"/>
      <c r="PKV246"/>
      <c r="PKW246"/>
      <c r="PKX246"/>
      <c r="PKY246"/>
      <c r="PKZ246"/>
      <c r="PLA246"/>
      <c r="PLB246"/>
      <c r="PLC246"/>
      <c r="PLD246"/>
      <c r="PLE246"/>
      <c r="PLF246"/>
      <c r="PLG246"/>
      <c r="PLH246"/>
      <c r="PLI246"/>
      <c r="PLJ246"/>
      <c r="PLK246"/>
      <c r="PLL246"/>
      <c r="PLM246"/>
      <c r="PLN246"/>
      <c r="PLO246"/>
      <c r="PLP246"/>
      <c r="PLQ246"/>
      <c r="PLR246"/>
      <c r="PLS246"/>
      <c r="PLT246"/>
      <c r="PLU246"/>
      <c r="PLV246"/>
      <c r="PLW246"/>
      <c r="PLX246"/>
      <c r="PLY246"/>
      <c r="PLZ246"/>
      <c r="PMA246"/>
      <c r="PMB246"/>
      <c r="PMC246"/>
      <c r="PMD246"/>
      <c r="PME246"/>
      <c r="PMF246"/>
      <c r="PMG246"/>
      <c r="PMH246"/>
      <c r="PMI246"/>
      <c r="PMJ246"/>
      <c r="PMK246"/>
      <c r="PML246"/>
      <c r="PMM246"/>
      <c r="PMN246"/>
      <c r="PMO246"/>
      <c r="PMP246"/>
      <c r="PMQ246"/>
      <c r="PMR246"/>
      <c r="PMS246"/>
      <c r="PMT246"/>
      <c r="PMU246"/>
      <c r="PMV246"/>
      <c r="PMW246"/>
      <c r="PMX246"/>
      <c r="PMY246"/>
      <c r="PMZ246"/>
      <c r="PNA246"/>
      <c r="PNB246"/>
      <c r="PNC246"/>
      <c r="PND246"/>
      <c r="PNE246"/>
      <c r="PNF246"/>
      <c r="PNG246"/>
      <c r="PNH246"/>
      <c r="PNI246"/>
      <c r="PNJ246"/>
      <c r="PNK246"/>
      <c r="PNL246"/>
      <c r="PNM246"/>
      <c r="PNN246"/>
      <c r="PNO246"/>
      <c r="PNP246"/>
      <c r="PNQ246"/>
      <c r="PNR246"/>
      <c r="PNS246"/>
      <c r="PNT246"/>
      <c r="PNU246"/>
      <c r="PNV246"/>
      <c r="PNW246"/>
      <c r="PNX246"/>
      <c r="PNY246"/>
      <c r="PNZ246"/>
      <c r="POA246"/>
      <c r="POB246"/>
      <c r="POC246"/>
      <c r="POD246"/>
      <c r="POE246"/>
      <c r="POF246"/>
      <c r="POG246"/>
      <c r="POH246"/>
      <c r="POI246"/>
      <c r="POJ246"/>
      <c r="POK246"/>
      <c r="POL246"/>
      <c r="POM246"/>
      <c r="PON246"/>
      <c r="POO246"/>
      <c r="POP246"/>
      <c r="POQ246"/>
      <c r="POR246"/>
      <c r="POS246"/>
      <c r="POT246"/>
      <c r="POU246"/>
      <c r="POV246"/>
      <c r="POW246"/>
      <c r="POX246"/>
      <c r="POY246"/>
      <c r="POZ246"/>
      <c r="PPA246"/>
      <c r="PPB246"/>
      <c r="PPC246"/>
      <c r="PPD246"/>
      <c r="PPE246"/>
      <c r="PPF246"/>
      <c r="PPG246"/>
      <c r="PPH246"/>
      <c r="PPI246"/>
      <c r="PPJ246"/>
      <c r="PPK246"/>
      <c r="PPL246"/>
      <c r="PPM246"/>
      <c r="PPN246"/>
      <c r="PPO246"/>
      <c r="PPP246"/>
      <c r="PPQ246"/>
      <c r="PPR246"/>
      <c r="PPS246"/>
      <c r="PPT246"/>
      <c r="PPU246"/>
      <c r="PPV246"/>
      <c r="PPW246"/>
      <c r="PPX246"/>
      <c r="PPY246"/>
      <c r="PPZ246"/>
      <c r="PQA246"/>
      <c r="PQB246"/>
      <c r="PQC246"/>
      <c r="PQD246"/>
      <c r="PQE246"/>
      <c r="PQF246"/>
      <c r="PQG246"/>
      <c r="PQH246"/>
      <c r="PQI246"/>
      <c r="PQJ246"/>
      <c r="PQK246"/>
      <c r="PQL246"/>
      <c r="PQM246"/>
      <c r="PQN246"/>
      <c r="PQO246"/>
      <c r="PQP246"/>
      <c r="PQQ246"/>
      <c r="PQR246"/>
      <c r="PQS246"/>
      <c r="PQT246"/>
      <c r="PQU246"/>
      <c r="PQV246"/>
      <c r="PQW246"/>
      <c r="PQX246"/>
      <c r="PQY246"/>
      <c r="PQZ246"/>
      <c r="PRA246"/>
      <c r="PRB246"/>
      <c r="PRC246"/>
      <c r="PRD246"/>
      <c r="PRE246"/>
      <c r="PRF246"/>
      <c r="PRG246"/>
      <c r="PRH246"/>
      <c r="PRI246"/>
      <c r="PRJ246"/>
      <c r="PRK246"/>
      <c r="PRL246"/>
      <c r="PRM246"/>
      <c r="PRN246"/>
      <c r="PRO246"/>
      <c r="PRP246"/>
      <c r="PRQ246"/>
      <c r="PRR246"/>
      <c r="PRS246"/>
      <c r="PRT246"/>
      <c r="PRU246"/>
      <c r="PRV246"/>
      <c r="PRW246"/>
      <c r="PRX246"/>
      <c r="PRY246"/>
      <c r="PRZ246"/>
      <c r="PSA246"/>
      <c r="PSB246"/>
      <c r="PSC246"/>
      <c r="PSD246"/>
      <c r="PSE246"/>
      <c r="PSF246"/>
      <c r="PSG246"/>
      <c r="PSH246"/>
      <c r="PSI246"/>
      <c r="PSJ246"/>
      <c r="PSK246"/>
      <c r="PSL246"/>
      <c r="PSM246"/>
      <c r="PSN246"/>
      <c r="PSO246"/>
      <c r="PSP246"/>
      <c r="PSQ246"/>
      <c r="PSR246"/>
      <c r="PSS246"/>
      <c r="PST246"/>
      <c r="PSU246"/>
      <c r="PSV246"/>
      <c r="PSW246"/>
      <c r="PSX246"/>
      <c r="PSY246"/>
      <c r="PSZ246"/>
      <c r="PTA246"/>
      <c r="PTB246"/>
      <c r="PTC246"/>
      <c r="PTD246"/>
      <c r="PTE246"/>
      <c r="PTF246"/>
      <c r="PTG246"/>
      <c r="PTH246"/>
      <c r="PTI246"/>
      <c r="PTJ246"/>
      <c r="PTK246"/>
      <c r="PTL246"/>
      <c r="PTM246"/>
      <c r="PTN246"/>
      <c r="PTO246"/>
      <c r="PTP246"/>
      <c r="PTQ246"/>
      <c r="PTR246"/>
      <c r="PTS246"/>
      <c r="PTT246"/>
      <c r="PTU246"/>
      <c r="PTV246"/>
      <c r="PTW246"/>
      <c r="PTX246"/>
      <c r="PTY246"/>
      <c r="PTZ246"/>
      <c r="PUA246"/>
      <c r="PUB246"/>
      <c r="PUC246"/>
      <c r="PUD246"/>
      <c r="PUE246"/>
      <c r="PUF246"/>
      <c r="PUG246"/>
      <c r="PUH246"/>
      <c r="PUI246"/>
      <c r="PUJ246"/>
      <c r="PUK246"/>
      <c r="PUL246"/>
      <c r="PUM246"/>
      <c r="PUN246"/>
      <c r="PUO246"/>
      <c r="PUP246"/>
      <c r="PUQ246"/>
      <c r="PUR246"/>
      <c r="PUS246"/>
      <c r="PUT246"/>
      <c r="PUU246"/>
      <c r="PUV246"/>
      <c r="PUW246"/>
      <c r="PUX246"/>
      <c r="PUY246"/>
      <c r="PUZ246"/>
      <c r="PVA246"/>
      <c r="PVB246"/>
      <c r="PVC246"/>
      <c r="PVD246"/>
      <c r="PVE246"/>
      <c r="PVF246"/>
      <c r="PVG246"/>
      <c r="PVH246"/>
      <c r="PVI246"/>
      <c r="PVJ246"/>
      <c r="PVK246"/>
      <c r="PVL246"/>
      <c r="PVM246"/>
      <c r="PVN246"/>
      <c r="PVO246"/>
      <c r="PVP246"/>
      <c r="PVQ246"/>
      <c r="PVR246"/>
      <c r="PVS246"/>
      <c r="PVT246"/>
      <c r="PVU246"/>
      <c r="PVV246"/>
      <c r="PVW246"/>
      <c r="PVX246"/>
      <c r="PVY246"/>
      <c r="PVZ246"/>
      <c r="PWA246"/>
      <c r="PWB246"/>
      <c r="PWC246"/>
      <c r="PWD246"/>
      <c r="PWE246"/>
      <c r="PWF246"/>
      <c r="PWG246"/>
      <c r="PWH246"/>
      <c r="PWI246"/>
      <c r="PWJ246"/>
      <c r="PWK246"/>
      <c r="PWL246"/>
      <c r="PWM246"/>
      <c r="PWN246"/>
      <c r="PWO246"/>
      <c r="PWP246"/>
      <c r="PWQ246"/>
      <c r="PWR246"/>
      <c r="PWS246"/>
      <c r="PWT246"/>
      <c r="PWU246"/>
      <c r="PWV246"/>
      <c r="PWW246"/>
      <c r="PWX246"/>
      <c r="PWY246"/>
      <c r="PWZ246"/>
      <c r="PXA246"/>
      <c r="PXB246"/>
      <c r="PXC246"/>
      <c r="PXD246"/>
      <c r="PXE246"/>
      <c r="PXF246"/>
      <c r="PXG246"/>
      <c r="PXH246"/>
      <c r="PXI246"/>
      <c r="PXJ246"/>
      <c r="PXK246"/>
      <c r="PXL246"/>
      <c r="PXM246"/>
      <c r="PXN246"/>
      <c r="PXO246"/>
      <c r="PXP246"/>
      <c r="PXQ246"/>
      <c r="PXR246"/>
      <c r="PXS246"/>
      <c r="PXT246"/>
      <c r="PXU246"/>
      <c r="PXV246"/>
      <c r="PXW246"/>
      <c r="PXX246"/>
      <c r="PXY246"/>
      <c r="PXZ246"/>
      <c r="PYA246"/>
      <c r="PYB246"/>
      <c r="PYC246"/>
      <c r="PYD246"/>
      <c r="PYE246"/>
      <c r="PYF246"/>
      <c r="PYG246"/>
      <c r="PYH246"/>
      <c r="PYI246"/>
      <c r="PYJ246"/>
      <c r="PYK246"/>
      <c r="PYL246"/>
      <c r="PYM246"/>
      <c r="PYN246"/>
      <c r="PYO246"/>
      <c r="PYP246"/>
      <c r="PYQ246"/>
      <c r="PYR246"/>
      <c r="PYS246"/>
      <c r="PYT246"/>
      <c r="PYU246"/>
      <c r="PYV246"/>
      <c r="PYW246"/>
      <c r="PYX246"/>
      <c r="PYY246"/>
      <c r="PYZ246"/>
      <c r="PZA246"/>
      <c r="PZB246"/>
      <c r="PZC246"/>
      <c r="PZD246"/>
      <c r="PZE246"/>
      <c r="PZF246"/>
      <c r="PZG246"/>
      <c r="PZH246"/>
      <c r="PZI246"/>
      <c r="PZJ246"/>
      <c r="PZK246"/>
      <c r="PZL246"/>
      <c r="PZM246"/>
      <c r="PZN246"/>
      <c r="PZO246"/>
      <c r="PZP246"/>
      <c r="PZQ246"/>
      <c r="PZR246"/>
      <c r="PZS246"/>
      <c r="PZT246"/>
      <c r="PZU246"/>
      <c r="PZV246"/>
      <c r="PZW246"/>
      <c r="PZX246"/>
      <c r="PZY246"/>
      <c r="PZZ246"/>
      <c r="QAA246"/>
      <c r="QAB246"/>
      <c r="QAC246"/>
      <c r="QAD246"/>
      <c r="QAE246"/>
      <c r="QAF246"/>
      <c r="QAG246"/>
      <c r="QAH246"/>
      <c r="QAI246"/>
      <c r="QAJ246"/>
      <c r="QAK246"/>
      <c r="QAL246"/>
      <c r="QAM246"/>
      <c r="QAN246"/>
      <c r="QAO246"/>
      <c r="QAP246"/>
      <c r="QAQ246"/>
      <c r="QAR246"/>
      <c r="QAS246"/>
      <c r="QAT246"/>
      <c r="QAU246"/>
      <c r="QAV246"/>
      <c r="QAW246"/>
      <c r="QAX246"/>
      <c r="QAY246"/>
      <c r="QAZ246"/>
      <c r="QBA246"/>
      <c r="QBB246"/>
      <c r="QBC246"/>
      <c r="QBD246"/>
      <c r="QBE246"/>
      <c r="QBF246"/>
      <c r="QBG246"/>
      <c r="QBH246"/>
      <c r="QBI246"/>
      <c r="QBJ246"/>
      <c r="QBK246"/>
      <c r="QBL246"/>
      <c r="QBM246"/>
      <c r="QBN246"/>
      <c r="QBO246"/>
      <c r="QBP246"/>
      <c r="QBQ246"/>
      <c r="QBR246"/>
      <c r="QBS246"/>
      <c r="QBT246"/>
      <c r="QBU246"/>
      <c r="QBV246"/>
      <c r="QBW246"/>
      <c r="QBX246"/>
      <c r="QBY246"/>
      <c r="QBZ246"/>
      <c r="QCA246"/>
      <c r="QCB246"/>
      <c r="QCC246"/>
      <c r="QCD246"/>
      <c r="QCE246"/>
      <c r="QCF246"/>
      <c r="QCG246"/>
      <c r="QCH246"/>
      <c r="QCI246"/>
      <c r="QCJ246"/>
      <c r="QCK246"/>
      <c r="QCL246"/>
      <c r="QCM246"/>
      <c r="QCN246"/>
      <c r="QCO246"/>
      <c r="QCP246"/>
      <c r="QCQ246"/>
      <c r="QCR246"/>
      <c r="QCS246"/>
      <c r="QCT246"/>
      <c r="QCU246"/>
      <c r="QCV246"/>
      <c r="QCW246"/>
      <c r="QCX246"/>
      <c r="QCY246"/>
      <c r="QCZ246"/>
      <c r="QDA246"/>
      <c r="QDB246"/>
      <c r="QDC246"/>
      <c r="QDD246"/>
      <c r="QDE246"/>
      <c r="QDF246"/>
      <c r="QDG246"/>
      <c r="QDH246"/>
      <c r="QDI246"/>
      <c r="QDJ246"/>
      <c r="QDK246"/>
      <c r="QDL246"/>
      <c r="QDM246"/>
      <c r="QDN246"/>
      <c r="QDO246"/>
      <c r="QDP246"/>
      <c r="QDQ246"/>
      <c r="QDR246"/>
      <c r="QDS246"/>
      <c r="QDT246"/>
      <c r="QDU246"/>
      <c r="QDV246"/>
      <c r="QDW246"/>
      <c r="QDX246"/>
      <c r="QDY246"/>
      <c r="QDZ246"/>
      <c r="QEA246"/>
      <c r="QEB246"/>
      <c r="QEC246"/>
      <c r="QED246"/>
      <c r="QEE246"/>
      <c r="QEF246"/>
      <c r="QEG246"/>
      <c r="QEH246"/>
      <c r="QEI246"/>
      <c r="QEJ246"/>
      <c r="QEK246"/>
      <c r="QEL246"/>
      <c r="QEM246"/>
      <c r="QEN246"/>
      <c r="QEO246"/>
      <c r="QEP246"/>
      <c r="QEQ246"/>
      <c r="QER246"/>
      <c r="QES246"/>
      <c r="QET246"/>
      <c r="QEU246"/>
      <c r="QEV246"/>
      <c r="QEW246"/>
      <c r="QEX246"/>
      <c r="QEY246"/>
      <c r="QEZ246"/>
      <c r="QFA246"/>
      <c r="QFB246"/>
      <c r="QFC246"/>
      <c r="QFD246"/>
      <c r="QFE246"/>
      <c r="QFF246"/>
      <c r="QFG246"/>
      <c r="QFH246"/>
      <c r="QFI246"/>
      <c r="QFJ246"/>
      <c r="QFK246"/>
      <c r="QFL246"/>
      <c r="QFM246"/>
      <c r="QFN246"/>
      <c r="QFO246"/>
      <c r="QFP246"/>
      <c r="QFQ246"/>
      <c r="QFR246"/>
      <c r="QFS246"/>
      <c r="QFT246"/>
      <c r="QFU246"/>
      <c r="QFV246"/>
      <c r="QFW246"/>
      <c r="QFX246"/>
      <c r="QFY246"/>
      <c r="QFZ246"/>
      <c r="QGA246"/>
      <c r="QGB246"/>
      <c r="QGC246"/>
      <c r="QGD246"/>
      <c r="QGE246"/>
      <c r="QGF246"/>
      <c r="QGG246"/>
      <c r="QGH246"/>
      <c r="QGI246"/>
      <c r="QGJ246"/>
      <c r="QGK246"/>
      <c r="QGL246"/>
      <c r="QGM246"/>
      <c r="QGN246"/>
      <c r="QGO246"/>
      <c r="QGP246"/>
      <c r="QGQ246"/>
      <c r="QGR246"/>
      <c r="QGS246"/>
      <c r="QGT246"/>
      <c r="QGU246"/>
      <c r="QGV246"/>
      <c r="QGW246"/>
      <c r="QGX246"/>
      <c r="QGY246"/>
      <c r="QGZ246"/>
      <c r="QHA246"/>
      <c r="QHB246"/>
      <c r="QHC246"/>
      <c r="QHD246"/>
      <c r="QHE246"/>
      <c r="QHF246"/>
      <c r="QHG246"/>
      <c r="QHH246"/>
      <c r="QHI246"/>
      <c r="QHJ246"/>
      <c r="QHK246"/>
      <c r="QHL246"/>
      <c r="QHM246"/>
      <c r="QHN246"/>
      <c r="QHO246"/>
      <c r="QHP246"/>
      <c r="QHQ246"/>
      <c r="QHR246"/>
      <c r="QHS246"/>
      <c r="QHT246"/>
      <c r="QHU246"/>
      <c r="QHV246"/>
      <c r="QHW246"/>
      <c r="QHX246"/>
      <c r="QHY246"/>
      <c r="QHZ246"/>
      <c r="QIA246"/>
      <c r="QIB246"/>
      <c r="QIC246"/>
      <c r="QID246"/>
      <c r="QIE246"/>
      <c r="QIF246"/>
      <c r="QIG246"/>
      <c r="QIH246"/>
      <c r="QII246"/>
      <c r="QIJ246"/>
      <c r="QIK246"/>
      <c r="QIL246"/>
      <c r="QIM246"/>
      <c r="QIN246"/>
      <c r="QIO246"/>
      <c r="QIP246"/>
      <c r="QIQ246"/>
      <c r="QIR246"/>
      <c r="QIS246"/>
      <c r="QIT246"/>
      <c r="QIU246"/>
      <c r="QIV246"/>
      <c r="QIW246"/>
      <c r="QIX246"/>
      <c r="QIY246"/>
      <c r="QIZ246"/>
      <c r="QJA246"/>
      <c r="QJB246"/>
      <c r="QJC246"/>
      <c r="QJD246"/>
      <c r="QJE246"/>
      <c r="QJF246"/>
      <c r="QJG246"/>
      <c r="QJH246"/>
      <c r="QJI246"/>
      <c r="QJJ246"/>
      <c r="QJK246"/>
      <c r="QJL246"/>
      <c r="QJM246"/>
      <c r="QJN246"/>
      <c r="QJO246"/>
      <c r="QJP246"/>
      <c r="QJQ246"/>
      <c r="QJR246"/>
      <c r="QJS246"/>
      <c r="QJT246"/>
      <c r="QJU246"/>
      <c r="QJV246"/>
      <c r="QJW246"/>
      <c r="QJX246"/>
      <c r="QJY246"/>
      <c r="QJZ246"/>
      <c r="QKA246"/>
      <c r="QKB246"/>
      <c r="QKC246"/>
      <c r="QKD246"/>
      <c r="QKE246"/>
      <c r="QKF246"/>
      <c r="QKG246"/>
      <c r="QKH246"/>
      <c r="QKI246"/>
      <c r="QKJ246"/>
      <c r="QKK246"/>
      <c r="QKL246"/>
      <c r="QKM246"/>
      <c r="QKN246"/>
      <c r="QKO246"/>
      <c r="QKP246"/>
      <c r="QKQ246"/>
      <c r="QKR246"/>
      <c r="QKS246"/>
      <c r="QKT246"/>
      <c r="QKU246"/>
      <c r="QKV246"/>
      <c r="QKW246"/>
      <c r="QKX246"/>
      <c r="QKY246"/>
      <c r="QKZ246"/>
      <c r="QLA246"/>
      <c r="QLB246"/>
      <c r="QLC246"/>
      <c r="QLD246"/>
      <c r="QLE246"/>
      <c r="QLF246"/>
      <c r="QLG246"/>
      <c r="QLH246"/>
      <c r="QLI246"/>
      <c r="QLJ246"/>
      <c r="QLK246"/>
      <c r="QLL246"/>
      <c r="QLM246"/>
      <c r="QLN246"/>
      <c r="QLO246"/>
      <c r="QLP246"/>
      <c r="QLQ246"/>
      <c r="QLR246"/>
      <c r="QLS246"/>
      <c r="QLT246"/>
      <c r="QLU246"/>
      <c r="QLV246"/>
      <c r="QLW246"/>
      <c r="QLX246"/>
      <c r="QLY246"/>
      <c r="QLZ246"/>
      <c r="QMA246"/>
      <c r="QMB246"/>
      <c r="QMC246"/>
      <c r="QMD246"/>
      <c r="QME246"/>
      <c r="QMF246"/>
      <c r="QMG246"/>
      <c r="QMH246"/>
      <c r="QMI246"/>
      <c r="QMJ246"/>
      <c r="QMK246"/>
      <c r="QML246"/>
      <c r="QMM246"/>
      <c r="QMN246"/>
      <c r="QMO246"/>
      <c r="QMP246"/>
      <c r="QMQ246"/>
      <c r="QMR246"/>
      <c r="QMS246"/>
      <c r="QMT246"/>
      <c r="QMU246"/>
      <c r="QMV246"/>
      <c r="QMW246"/>
      <c r="QMX246"/>
      <c r="QMY246"/>
      <c r="QMZ246"/>
      <c r="QNA246"/>
      <c r="QNB246"/>
      <c r="QNC246"/>
      <c r="QND246"/>
      <c r="QNE246"/>
      <c r="QNF246"/>
      <c r="QNG246"/>
      <c r="QNH246"/>
      <c r="QNI246"/>
      <c r="QNJ246"/>
      <c r="QNK246"/>
      <c r="QNL246"/>
      <c r="QNM246"/>
      <c r="QNN246"/>
      <c r="QNO246"/>
      <c r="QNP246"/>
      <c r="QNQ246"/>
      <c r="QNR246"/>
      <c r="QNS246"/>
      <c r="QNT246"/>
      <c r="QNU246"/>
      <c r="QNV246"/>
      <c r="QNW246"/>
      <c r="QNX246"/>
      <c r="QNY246"/>
      <c r="QNZ246"/>
      <c r="QOA246"/>
      <c r="QOB246"/>
      <c r="QOC246"/>
      <c r="QOD246"/>
      <c r="QOE246"/>
      <c r="QOF246"/>
      <c r="QOG246"/>
      <c r="QOH246"/>
      <c r="QOI246"/>
      <c r="QOJ246"/>
      <c r="QOK246"/>
      <c r="QOL246"/>
      <c r="QOM246"/>
      <c r="QON246"/>
      <c r="QOO246"/>
      <c r="QOP246"/>
      <c r="QOQ246"/>
      <c r="QOR246"/>
      <c r="QOS246"/>
      <c r="QOT246"/>
      <c r="QOU246"/>
      <c r="QOV246"/>
      <c r="QOW246"/>
      <c r="QOX246"/>
      <c r="QOY246"/>
      <c r="QOZ246"/>
      <c r="QPA246"/>
      <c r="QPB246"/>
      <c r="QPC246"/>
      <c r="QPD246"/>
      <c r="QPE246"/>
      <c r="QPF246"/>
      <c r="QPG246"/>
      <c r="QPH246"/>
      <c r="QPI246"/>
      <c r="QPJ246"/>
      <c r="QPK246"/>
      <c r="QPL246"/>
      <c r="QPM246"/>
      <c r="QPN246"/>
      <c r="QPO246"/>
      <c r="QPP246"/>
      <c r="QPQ246"/>
      <c r="QPR246"/>
      <c r="QPS246"/>
      <c r="QPT246"/>
      <c r="QPU246"/>
      <c r="QPV246"/>
      <c r="QPW246"/>
      <c r="QPX246"/>
      <c r="QPY246"/>
      <c r="QPZ246"/>
      <c r="QQA246"/>
      <c r="QQB246"/>
      <c r="QQC246"/>
      <c r="QQD246"/>
      <c r="QQE246"/>
      <c r="QQF246"/>
      <c r="QQG246"/>
      <c r="QQH246"/>
      <c r="QQI246"/>
      <c r="QQJ246"/>
      <c r="QQK246"/>
      <c r="QQL246"/>
      <c r="QQM246"/>
      <c r="QQN246"/>
      <c r="QQO246"/>
      <c r="QQP246"/>
      <c r="QQQ246"/>
      <c r="QQR246"/>
      <c r="QQS246"/>
      <c r="QQT246"/>
      <c r="QQU246"/>
      <c r="QQV246"/>
      <c r="QQW246"/>
      <c r="QQX246"/>
      <c r="QQY246"/>
      <c r="QQZ246"/>
      <c r="QRA246"/>
      <c r="QRB246"/>
      <c r="QRC246"/>
      <c r="QRD246"/>
      <c r="QRE246"/>
      <c r="QRF246"/>
      <c r="QRG246"/>
      <c r="QRH246"/>
      <c r="QRI246"/>
      <c r="QRJ246"/>
      <c r="QRK246"/>
      <c r="QRL246"/>
      <c r="QRM246"/>
      <c r="QRN246"/>
      <c r="QRO246"/>
      <c r="QRP246"/>
      <c r="QRQ246"/>
      <c r="QRR246"/>
      <c r="QRS246"/>
      <c r="QRT246"/>
      <c r="QRU246"/>
      <c r="QRV246"/>
      <c r="QRW246"/>
      <c r="QRX246"/>
      <c r="QRY246"/>
      <c r="QRZ246"/>
      <c r="QSA246"/>
      <c r="QSB246"/>
      <c r="QSC246"/>
      <c r="QSD246"/>
      <c r="QSE246"/>
      <c r="QSF246"/>
      <c r="QSG246"/>
      <c r="QSH246"/>
      <c r="QSI246"/>
      <c r="QSJ246"/>
      <c r="QSK246"/>
      <c r="QSL246"/>
      <c r="QSM246"/>
      <c r="QSN246"/>
      <c r="QSO246"/>
      <c r="QSP246"/>
      <c r="QSQ246"/>
      <c r="QSR246"/>
      <c r="QSS246"/>
      <c r="QST246"/>
      <c r="QSU246"/>
      <c r="QSV246"/>
      <c r="QSW246"/>
      <c r="QSX246"/>
      <c r="QSY246"/>
      <c r="QSZ246"/>
      <c r="QTA246"/>
      <c r="QTB246"/>
      <c r="QTC246"/>
      <c r="QTD246"/>
      <c r="QTE246"/>
      <c r="QTF246"/>
      <c r="QTG246"/>
      <c r="QTH246"/>
      <c r="QTI246"/>
      <c r="QTJ246"/>
      <c r="QTK246"/>
      <c r="QTL246"/>
      <c r="QTM246"/>
      <c r="QTN246"/>
      <c r="QTO246"/>
      <c r="QTP246"/>
      <c r="QTQ246"/>
      <c r="QTR246"/>
      <c r="QTS246"/>
      <c r="QTT246"/>
      <c r="QTU246"/>
      <c r="QTV246"/>
      <c r="QTW246"/>
      <c r="QTX246"/>
      <c r="QTY246"/>
      <c r="QTZ246"/>
      <c r="QUA246"/>
      <c r="QUB246"/>
      <c r="QUC246"/>
      <c r="QUD246"/>
      <c r="QUE246"/>
      <c r="QUF246"/>
      <c r="QUG246"/>
      <c r="QUH246"/>
      <c r="QUI246"/>
      <c r="QUJ246"/>
      <c r="QUK246"/>
      <c r="QUL246"/>
      <c r="QUM246"/>
      <c r="QUN246"/>
      <c r="QUO246"/>
      <c r="QUP246"/>
      <c r="QUQ246"/>
      <c r="QUR246"/>
      <c r="QUS246"/>
      <c r="QUT246"/>
      <c r="QUU246"/>
      <c r="QUV246"/>
      <c r="QUW246"/>
      <c r="QUX246"/>
      <c r="QUY246"/>
      <c r="QUZ246"/>
      <c r="QVA246"/>
      <c r="QVB246"/>
      <c r="QVC246"/>
      <c r="QVD246"/>
      <c r="QVE246"/>
      <c r="QVF246"/>
      <c r="QVG246"/>
      <c r="QVH246"/>
      <c r="QVI246"/>
      <c r="QVJ246"/>
      <c r="QVK246"/>
      <c r="QVL246"/>
      <c r="QVM246"/>
      <c r="QVN246"/>
      <c r="QVO246"/>
      <c r="QVP246"/>
      <c r="QVQ246"/>
      <c r="QVR246"/>
      <c r="QVS246"/>
      <c r="QVT246"/>
      <c r="QVU246"/>
      <c r="QVV246"/>
      <c r="QVW246"/>
      <c r="QVX246"/>
      <c r="QVY246"/>
      <c r="QVZ246"/>
      <c r="QWA246"/>
      <c r="QWB246"/>
      <c r="QWC246"/>
      <c r="QWD246"/>
      <c r="QWE246"/>
      <c r="QWF246"/>
      <c r="QWG246"/>
      <c r="QWH246"/>
      <c r="QWI246"/>
      <c r="QWJ246"/>
      <c r="QWK246"/>
      <c r="QWL246"/>
      <c r="QWM246"/>
      <c r="QWN246"/>
      <c r="QWO246"/>
      <c r="QWP246"/>
      <c r="QWQ246"/>
      <c r="QWR246"/>
      <c r="QWS246"/>
      <c r="QWT246"/>
      <c r="QWU246"/>
      <c r="QWV246"/>
      <c r="QWW246"/>
      <c r="QWX246"/>
      <c r="QWY246"/>
      <c r="QWZ246"/>
      <c r="QXA246"/>
      <c r="QXB246"/>
      <c r="QXC246"/>
      <c r="QXD246"/>
      <c r="QXE246"/>
      <c r="QXF246"/>
      <c r="QXG246"/>
      <c r="QXH246"/>
      <c r="QXI246"/>
      <c r="QXJ246"/>
      <c r="QXK246"/>
      <c r="QXL246"/>
      <c r="QXM246"/>
      <c r="QXN246"/>
      <c r="QXO246"/>
      <c r="QXP246"/>
      <c r="QXQ246"/>
      <c r="QXR246"/>
      <c r="QXS246"/>
      <c r="QXT246"/>
      <c r="QXU246"/>
      <c r="QXV246"/>
      <c r="QXW246"/>
      <c r="QXX246"/>
      <c r="QXY246"/>
      <c r="QXZ246"/>
      <c r="QYA246"/>
      <c r="QYB246"/>
      <c r="QYC246"/>
      <c r="QYD246"/>
      <c r="QYE246"/>
      <c r="QYF246"/>
      <c r="QYG246"/>
      <c r="QYH246"/>
      <c r="QYI246"/>
      <c r="QYJ246"/>
      <c r="QYK246"/>
      <c r="QYL246"/>
      <c r="QYM246"/>
      <c r="QYN246"/>
      <c r="QYO246"/>
      <c r="QYP246"/>
      <c r="QYQ246"/>
      <c r="QYR246"/>
      <c r="QYS246"/>
      <c r="QYT246"/>
      <c r="QYU246"/>
      <c r="QYV246"/>
      <c r="QYW246"/>
      <c r="QYX246"/>
      <c r="QYY246"/>
      <c r="QYZ246"/>
      <c r="QZA246"/>
      <c r="QZB246"/>
      <c r="QZC246"/>
      <c r="QZD246"/>
      <c r="QZE246"/>
      <c r="QZF246"/>
      <c r="QZG246"/>
      <c r="QZH246"/>
      <c r="QZI246"/>
      <c r="QZJ246"/>
      <c r="QZK246"/>
      <c r="QZL246"/>
      <c r="QZM246"/>
      <c r="QZN246"/>
      <c r="QZO246"/>
      <c r="QZP246"/>
      <c r="QZQ246"/>
      <c r="QZR246"/>
      <c r="QZS246"/>
      <c r="QZT246"/>
      <c r="QZU246"/>
      <c r="QZV246"/>
      <c r="QZW246"/>
      <c r="QZX246"/>
      <c r="QZY246"/>
      <c r="QZZ246"/>
      <c r="RAA246"/>
      <c r="RAB246"/>
      <c r="RAC246"/>
      <c r="RAD246"/>
      <c r="RAE246"/>
      <c r="RAF246"/>
      <c r="RAG246"/>
      <c r="RAH246"/>
      <c r="RAI246"/>
      <c r="RAJ246"/>
      <c r="RAK246"/>
      <c r="RAL246"/>
      <c r="RAM246"/>
      <c r="RAN246"/>
      <c r="RAO246"/>
      <c r="RAP246"/>
      <c r="RAQ246"/>
      <c r="RAR246"/>
      <c r="RAS246"/>
      <c r="RAT246"/>
      <c r="RAU246"/>
      <c r="RAV246"/>
      <c r="RAW246"/>
      <c r="RAX246"/>
      <c r="RAY246"/>
      <c r="RAZ246"/>
      <c r="RBA246"/>
      <c r="RBB246"/>
      <c r="RBC246"/>
      <c r="RBD246"/>
      <c r="RBE246"/>
      <c r="RBF246"/>
      <c r="RBG246"/>
      <c r="RBH246"/>
      <c r="RBI246"/>
      <c r="RBJ246"/>
      <c r="RBK246"/>
      <c r="RBL246"/>
      <c r="RBM246"/>
      <c r="RBN246"/>
      <c r="RBO246"/>
      <c r="RBP246"/>
      <c r="RBQ246"/>
      <c r="RBR246"/>
      <c r="RBS246"/>
      <c r="RBT246"/>
      <c r="RBU246"/>
      <c r="RBV246"/>
      <c r="RBW246"/>
      <c r="RBX246"/>
      <c r="RBY246"/>
      <c r="RBZ246"/>
      <c r="RCA246"/>
      <c r="RCB246"/>
      <c r="RCC246"/>
      <c r="RCD246"/>
      <c r="RCE246"/>
      <c r="RCF246"/>
      <c r="RCG246"/>
      <c r="RCH246"/>
      <c r="RCI246"/>
      <c r="RCJ246"/>
      <c r="RCK246"/>
      <c r="RCL246"/>
      <c r="RCM246"/>
      <c r="RCN246"/>
      <c r="RCO246"/>
      <c r="RCP246"/>
      <c r="RCQ246"/>
      <c r="RCR246"/>
      <c r="RCS246"/>
      <c r="RCT246"/>
      <c r="RCU246"/>
      <c r="RCV246"/>
      <c r="RCW246"/>
      <c r="RCX246"/>
      <c r="RCY246"/>
      <c r="RCZ246"/>
      <c r="RDA246"/>
      <c r="RDB246"/>
      <c r="RDC246"/>
      <c r="RDD246"/>
      <c r="RDE246"/>
      <c r="RDF246"/>
      <c r="RDG246"/>
      <c r="RDH246"/>
      <c r="RDI246"/>
      <c r="RDJ246"/>
      <c r="RDK246"/>
      <c r="RDL246"/>
      <c r="RDM246"/>
      <c r="RDN246"/>
      <c r="RDO246"/>
      <c r="RDP246"/>
      <c r="RDQ246"/>
      <c r="RDR246"/>
      <c r="RDS246"/>
      <c r="RDT246"/>
      <c r="RDU246"/>
      <c r="RDV246"/>
      <c r="RDW246"/>
      <c r="RDX246"/>
      <c r="RDY246"/>
      <c r="RDZ246"/>
      <c r="REA246"/>
      <c r="REB246"/>
      <c r="REC246"/>
      <c r="RED246"/>
      <c r="REE246"/>
      <c r="REF246"/>
      <c r="REG246"/>
      <c r="REH246"/>
      <c r="REI246"/>
      <c r="REJ246"/>
      <c r="REK246"/>
      <c r="REL246"/>
      <c r="REM246"/>
      <c r="REN246"/>
      <c r="REO246"/>
      <c r="REP246"/>
      <c r="REQ246"/>
      <c r="RER246"/>
      <c r="RES246"/>
      <c r="RET246"/>
      <c r="REU246"/>
      <c r="REV246"/>
      <c r="REW246"/>
      <c r="REX246"/>
      <c r="REY246"/>
      <c r="REZ246"/>
      <c r="RFA246"/>
      <c r="RFB246"/>
      <c r="RFC246"/>
      <c r="RFD246"/>
      <c r="RFE246"/>
      <c r="RFF246"/>
      <c r="RFG246"/>
      <c r="RFH246"/>
      <c r="RFI246"/>
      <c r="RFJ246"/>
      <c r="RFK246"/>
      <c r="RFL246"/>
      <c r="RFM246"/>
      <c r="RFN246"/>
      <c r="RFO246"/>
      <c r="RFP246"/>
      <c r="RFQ246"/>
      <c r="RFR246"/>
      <c r="RFS246"/>
      <c r="RFT246"/>
      <c r="RFU246"/>
      <c r="RFV246"/>
      <c r="RFW246"/>
      <c r="RFX246"/>
      <c r="RFY246"/>
      <c r="RFZ246"/>
      <c r="RGA246"/>
      <c r="RGB246"/>
      <c r="RGC246"/>
      <c r="RGD246"/>
      <c r="RGE246"/>
      <c r="RGF246"/>
      <c r="RGG246"/>
      <c r="RGH246"/>
      <c r="RGI246"/>
      <c r="RGJ246"/>
      <c r="RGK246"/>
      <c r="RGL246"/>
      <c r="RGM246"/>
      <c r="RGN246"/>
      <c r="RGO246"/>
      <c r="RGP246"/>
      <c r="RGQ246"/>
      <c r="RGR246"/>
      <c r="RGS246"/>
      <c r="RGT246"/>
      <c r="RGU246"/>
      <c r="RGV246"/>
      <c r="RGW246"/>
      <c r="RGX246"/>
      <c r="RGY246"/>
      <c r="RGZ246"/>
      <c r="RHA246"/>
      <c r="RHB246"/>
      <c r="RHC246"/>
      <c r="RHD246"/>
      <c r="RHE246"/>
      <c r="RHF246"/>
      <c r="RHG246"/>
      <c r="RHH246"/>
      <c r="RHI246"/>
      <c r="RHJ246"/>
      <c r="RHK246"/>
      <c r="RHL246"/>
      <c r="RHM246"/>
      <c r="RHN246"/>
      <c r="RHO246"/>
      <c r="RHP246"/>
      <c r="RHQ246"/>
      <c r="RHR246"/>
      <c r="RHS246"/>
      <c r="RHT246"/>
      <c r="RHU246"/>
      <c r="RHV246"/>
      <c r="RHW246"/>
      <c r="RHX246"/>
      <c r="RHY246"/>
      <c r="RHZ246"/>
      <c r="RIA246"/>
      <c r="RIB246"/>
      <c r="RIC246"/>
      <c r="RID246"/>
      <c r="RIE246"/>
      <c r="RIF246"/>
      <c r="RIG246"/>
      <c r="RIH246"/>
      <c r="RII246"/>
      <c r="RIJ246"/>
      <c r="RIK246"/>
      <c r="RIL246"/>
      <c r="RIM246"/>
      <c r="RIN246"/>
      <c r="RIO246"/>
      <c r="RIP246"/>
      <c r="RIQ246"/>
      <c r="RIR246"/>
      <c r="RIS246"/>
      <c r="RIT246"/>
      <c r="RIU246"/>
      <c r="RIV246"/>
      <c r="RIW246"/>
      <c r="RIX246"/>
      <c r="RIY246"/>
      <c r="RIZ246"/>
      <c r="RJA246"/>
      <c r="RJB246"/>
      <c r="RJC246"/>
      <c r="RJD246"/>
      <c r="RJE246"/>
      <c r="RJF246"/>
      <c r="RJG246"/>
      <c r="RJH246"/>
      <c r="RJI246"/>
      <c r="RJJ246"/>
      <c r="RJK246"/>
      <c r="RJL246"/>
      <c r="RJM246"/>
      <c r="RJN246"/>
      <c r="RJO246"/>
      <c r="RJP246"/>
      <c r="RJQ246"/>
      <c r="RJR246"/>
      <c r="RJS246"/>
      <c r="RJT246"/>
      <c r="RJU246"/>
      <c r="RJV246"/>
      <c r="RJW246"/>
      <c r="RJX246"/>
      <c r="RJY246"/>
      <c r="RJZ246"/>
      <c r="RKA246"/>
      <c r="RKB246"/>
      <c r="RKC246"/>
      <c r="RKD246"/>
      <c r="RKE246"/>
      <c r="RKF246"/>
      <c r="RKG246"/>
      <c r="RKH246"/>
      <c r="RKI246"/>
      <c r="RKJ246"/>
      <c r="RKK246"/>
      <c r="RKL246"/>
      <c r="RKM246"/>
      <c r="RKN246"/>
      <c r="RKO246"/>
      <c r="RKP246"/>
      <c r="RKQ246"/>
      <c r="RKR246"/>
      <c r="RKS246"/>
      <c r="RKT246"/>
      <c r="RKU246"/>
      <c r="RKV246"/>
      <c r="RKW246"/>
      <c r="RKX246"/>
      <c r="RKY246"/>
      <c r="RKZ246"/>
      <c r="RLA246"/>
      <c r="RLB246"/>
      <c r="RLC246"/>
      <c r="RLD246"/>
      <c r="RLE246"/>
      <c r="RLF246"/>
      <c r="RLG246"/>
      <c r="RLH246"/>
      <c r="RLI246"/>
      <c r="RLJ246"/>
      <c r="RLK246"/>
      <c r="RLL246"/>
      <c r="RLM246"/>
      <c r="RLN246"/>
      <c r="RLO246"/>
      <c r="RLP246"/>
      <c r="RLQ246"/>
      <c r="RLR246"/>
      <c r="RLS246"/>
      <c r="RLT246"/>
      <c r="RLU246"/>
      <c r="RLV246"/>
      <c r="RLW246"/>
      <c r="RLX246"/>
      <c r="RLY246"/>
      <c r="RLZ246"/>
      <c r="RMA246"/>
      <c r="RMB246"/>
      <c r="RMC246"/>
      <c r="RMD246"/>
      <c r="RME246"/>
      <c r="RMF246"/>
      <c r="RMG246"/>
      <c r="RMH246"/>
      <c r="RMI246"/>
      <c r="RMJ246"/>
      <c r="RMK246"/>
      <c r="RML246"/>
      <c r="RMM246"/>
      <c r="RMN246"/>
      <c r="RMO246"/>
      <c r="RMP246"/>
      <c r="RMQ246"/>
      <c r="RMR246"/>
      <c r="RMS246"/>
      <c r="RMT246"/>
      <c r="RMU246"/>
      <c r="RMV246"/>
      <c r="RMW246"/>
      <c r="RMX246"/>
      <c r="RMY246"/>
      <c r="RMZ246"/>
      <c r="RNA246"/>
      <c r="RNB246"/>
      <c r="RNC246"/>
      <c r="RND246"/>
      <c r="RNE246"/>
      <c r="RNF246"/>
      <c r="RNG246"/>
      <c r="RNH246"/>
      <c r="RNI246"/>
      <c r="RNJ246"/>
      <c r="RNK246"/>
      <c r="RNL246"/>
      <c r="RNM246"/>
      <c r="RNN246"/>
      <c r="RNO246"/>
      <c r="RNP246"/>
      <c r="RNQ246"/>
      <c r="RNR246"/>
      <c r="RNS246"/>
      <c r="RNT246"/>
      <c r="RNU246"/>
      <c r="RNV246"/>
      <c r="RNW246"/>
      <c r="RNX246"/>
      <c r="RNY246"/>
      <c r="RNZ246"/>
      <c r="ROA246"/>
      <c r="ROB246"/>
      <c r="ROC246"/>
      <c r="ROD246"/>
      <c r="ROE246"/>
      <c r="ROF246"/>
      <c r="ROG246"/>
      <c r="ROH246"/>
      <c r="ROI246"/>
      <c r="ROJ246"/>
      <c r="ROK246"/>
      <c r="ROL246"/>
      <c r="ROM246"/>
      <c r="RON246"/>
      <c r="ROO246"/>
      <c r="ROP246"/>
      <c r="ROQ246"/>
      <c r="ROR246"/>
      <c r="ROS246"/>
      <c r="ROT246"/>
      <c r="ROU246"/>
      <c r="ROV246"/>
      <c r="ROW246"/>
      <c r="ROX246"/>
      <c r="ROY246"/>
      <c r="ROZ246"/>
      <c r="RPA246"/>
      <c r="RPB246"/>
      <c r="RPC246"/>
      <c r="RPD246"/>
      <c r="RPE246"/>
      <c r="RPF246"/>
      <c r="RPG246"/>
      <c r="RPH246"/>
      <c r="RPI246"/>
      <c r="RPJ246"/>
      <c r="RPK246"/>
      <c r="RPL246"/>
      <c r="RPM246"/>
      <c r="RPN246"/>
      <c r="RPO246"/>
      <c r="RPP246"/>
      <c r="RPQ246"/>
      <c r="RPR246"/>
      <c r="RPS246"/>
      <c r="RPT246"/>
      <c r="RPU246"/>
      <c r="RPV246"/>
      <c r="RPW246"/>
      <c r="RPX246"/>
      <c r="RPY246"/>
      <c r="RPZ246"/>
      <c r="RQA246"/>
      <c r="RQB246"/>
      <c r="RQC246"/>
      <c r="RQD246"/>
      <c r="RQE246"/>
      <c r="RQF246"/>
      <c r="RQG246"/>
      <c r="RQH246"/>
      <c r="RQI246"/>
      <c r="RQJ246"/>
      <c r="RQK246"/>
      <c r="RQL246"/>
      <c r="RQM246"/>
      <c r="RQN246"/>
      <c r="RQO246"/>
      <c r="RQP246"/>
      <c r="RQQ246"/>
      <c r="RQR246"/>
      <c r="RQS246"/>
      <c r="RQT246"/>
      <c r="RQU246"/>
      <c r="RQV246"/>
      <c r="RQW246"/>
      <c r="RQX246"/>
      <c r="RQY246"/>
      <c r="RQZ246"/>
      <c r="RRA246"/>
      <c r="RRB246"/>
      <c r="RRC246"/>
      <c r="RRD246"/>
      <c r="RRE246"/>
      <c r="RRF246"/>
      <c r="RRG246"/>
      <c r="RRH246"/>
      <c r="RRI246"/>
      <c r="RRJ246"/>
      <c r="RRK246"/>
      <c r="RRL246"/>
      <c r="RRM246"/>
      <c r="RRN246"/>
      <c r="RRO246"/>
      <c r="RRP246"/>
      <c r="RRQ246"/>
      <c r="RRR246"/>
      <c r="RRS246"/>
      <c r="RRT246"/>
      <c r="RRU246"/>
      <c r="RRV246"/>
      <c r="RRW246"/>
      <c r="RRX246"/>
      <c r="RRY246"/>
      <c r="RRZ246"/>
      <c r="RSA246"/>
      <c r="RSB246"/>
      <c r="RSC246"/>
      <c r="RSD246"/>
      <c r="RSE246"/>
      <c r="RSF246"/>
      <c r="RSG246"/>
      <c r="RSH246"/>
      <c r="RSI246"/>
      <c r="RSJ246"/>
      <c r="RSK246"/>
      <c r="RSL246"/>
      <c r="RSM246"/>
      <c r="RSN246"/>
      <c r="RSO246"/>
      <c r="RSP246"/>
      <c r="RSQ246"/>
      <c r="RSR246"/>
      <c r="RSS246"/>
      <c r="RST246"/>
      <c r="RSU246"/>
      <c r="RSV246"/>
      <c r="RSW246"/>
      <c r="RSX246"/>
      <c r="RSY246"/>
      <c r="RSZ246"/>
      <c r="RTA246"/>
      <c r="RTB246"/>
      <c r="RTC246"/>
      <c r="RTD246"/>
      <c r="RTE246"/>
      <c r="RTF246"/>
      <c r="RTG246"/>
      <c r="RTH246"/>
      <c r="RTI246"/>
      <c r="RTJ246"/>
      <c r="RTK246"/>
      <c r="RTL246"/>
      <c r="RTM246"/>
      <c r="RTN246"/>
      <c r="RTO246"/>
      <c r="RTP246"/>
      <c r="RTQ246"/>
      <c r="RTR246"/>
      <c r="RTS246"/>
      <c r="RTT246"/>
      <c r="RTU246"/>
      <c r="RTV246"/>
      <c r="RTW246"/>
      <c r="RTX246"/>
      <c r="RTY246"/>
      <c r="RTZ246"/>
      <c r="RUA246"/>
      <c r="RUB246"/>
      <c r="RUC246"/>
      <c r="RUD246"/>
      <c r="RUE246"/>
      <c r="RUF246"/>
      <c r="RUG246"/>
      <c r="RUH246"/>
      <c r="RUI246"/>
      <c r="RUJ246"/>
      <c r="RUK246"/>
      <c r="RUL246"/>
      <c r="RUM246"/>
      <c r="RUN246"/>
      <c r="RUO246"/>
      <c r="RUP246"/>
      <c r="RUQ246"/>
      <c r="RUR246"/>
      <c r="RUS246"/>
      <c r="RUT246"/>
      <c r="RUU246"/>
      <c r="RUV246"/>
      <c r="RUW246"/>
      <c r="RUX246"/>
      <c r="RUY246"/>
      <c r="RUZ246"/>
      <c r="RVA246"/>
      <c r="RVB246"/>
      <c r="RVC246"/>
      <c r="RVD246"/>
      <c r="RVE246"/>
      <c r="RVF246"/>
      <c r="RVG246"/>
      <c r="RVH246"/>
      <c r="RVI246"/>
      <c r="RVJ246"/>
      <c r="RVK246"/>
      <c r="RVL246"/>
      <c r="RVM246"/>
      <c r="RVN246"/>
      <c r="RVO246"/>
      <c r="RVP246"/>
      <c r="RVQ246"/>
      <c r="RVR246"/>
      <c r="RVS246"/>
      <c r="RVT246"/>
      <c r="RVU246"/>
      <c r="RVV246"/>
      <c r="RVW246"/>
      <c r="RVX246"/>
      <c r="RVY246"/>
      <c r="RVZ246"/>
      <c r="RWA246"/>
      <c r="RWB246"/>
      <c r="RWC246"/>
      <c r="RWD246"/>
      <c r="RWE246"/>
      <c r="RWF246"/>
      <c r="RWG246"/>
      <c r="RWH246"/>
      <c r="RWI246"/>
      <c r="RWJ246"/>
      <c r="RWK246"/>
      <c r="RWL246"/>
      <c r="RWM246"/>
      <c r="RWN246"/>
      <c r="RWO246"/>
      <c r="RWP246"/>
      <c r="RWQ246"/>
      <c r="RWR246"/>
      <c r="RWS246"/>
      <c r="RWT246"/>
      <c r="RWU246"/>
      <c r="RWV246"/>
      <c r="RWW246"/>
      <c r="RWX246"/>
      <c r="RWY246"/>
      <c r="RWZ246"/>
      <c r="RXA246"/>
      <c r="RXB246"/>
      <c r="RXC246"/>
      <c r="RXD246"/>
      <c r="RXE246"/>
      <c r="RXF246"/>
      <c r="RXG246"/>
      <c r="RXH246"/>
      <c r="RXI246"/>
      <c r="RXJ246"/>
      <c r="RXK246"/>
      <c r="RXL246"/>
      <c r="RXM246"/>
      <c r="RXN246"/>
      <c r="RXO246"/>
      <c r="RXP246"/>
      <c r="RXQ246"/>
      <c r="RXR246"/>
      <c r="RXS246"/>
      <c r="RXT246"/>
      <c r="RXU246"/>
      <c r="RXV246"/>
      <c r="RXW246"/>
      <c r="RXX246"/>
      <c r="RXY246"/>
      <c r="RXZ246"/>
      <c r="RYA246"/>
      <c r="RYB246"/>
      <c r="RYC246"/>
      <c r="RYD246"/>
      <c r="RYE246"/>
      <c r="RYF246"/>
      <c r="RYG246"/>
      <c r="RYH246"/>
      <c r="RYI246"/>
      <c r="RYJ246"/>
      <c r="RYK246"/>
      <c r="RYL246"/>
      <c r="RYM246"/>
      <c r="RYN246"/>
      <c r="RYO246"/>
      <c r="RYP246"/>
      <c r="RYQ246"/>
      <c r="RYR246"/>
      <c r="RYS246"/>
      <c r="RYT246"/>
      <c r="RYU246"/>
      <c r="RYV246"/>
      <c r="RYW246"/>
      <c r="RYX246"/>
      <c r="RYY246"/>
      <c r="RYZ246"/>
      <c r="RZA246"/>
      <c r="RZB246"/>
      <c r="RZC246"/>
      <c r="RZD246"/>
      <c r="RZE246"/>
      <c r="RZF246"/>
      <c r="RZG246"/>
      <c r="RZH246"/>
      <c r="RZI246"/>
      <c r="RZJ246"/>
      <c r="RZK246"/>
      <c r="RZL246"/>
      <c r="RZM246"/>
      <c r="RZN246"/>
      <c r="RZO246"/>
      <c r="RZP246"/>
      <c r="RZQ246"/>
      <c r="RZR246"/>
      <c r="RZS246"/>
      <c r="RZT246"/>
      <c r="RZU246"/>
      <c r="RZV246"/>
      <c r="RZW246"/>
      <c r="RZX246"/>
      <c r="RZY246"/>
      <c r="RZZ246"/>
      <c r="SAA246"/>
      <c r="SAB246"/>
      <c r="SAC246"/>
      <c r="SAD246"/>
      <c r="SAE246"/>
      <c r="SAF246"/>
      <c r="SAG246"/>
      <c r="SAH246"/>
      <c r="SAI246"/>
      <c r="SAJ246"/>
      <c r="SAK246"/>
      <c r="SAL246"/>
      <c r="SAM246"/>
      <c r="SAN246"/>
      <c r="SAO246"/>
      <c r="SAP246"/>
      <c r="SAQ246"/>
      <c r="SAR246"/>
      <c r="SAS246"/>
      <c r="SAT246"/>
      <c r="SAU246"/>
      <c r="SAV246"/>
      <c r="SAW246"/>
      <c r="SAX246"/>
      <c r="SAY246"/>
      <c r="SAZ246"/>
      <c r="SBA246"/>
      <c r="SBB246"/>
      <c r="SBC246"/>
      <c r="SBD246"/>
      <c r="SBE246"/>
      <c r="SBF246"/>
      <c r="SBG246"/>
      <c r="SBH246"/>
      <c r="SBI246"/>
      <c r="SBJ246"/>
      <c r="SBK246"/>
      <c r="SBL246"/>
      <c r="SBM246"/>
      <c r="SBN246"/>
      <c r="SBO246"/>
      <c r="SBP246"/>
      <c r="SBQ246"/>
      <c r="SBR246"/>
      <c r="SBS246"/>
      <c r="SBT246"/>
      <c r="SBU246"/>
      <c r="SBV246"/>
      <c r="SBW246"/>
      <c r="SBX246"/>
      <c r="SBY246"/>
      <c r="SBZ246"/>
      <c r="SCA246"/>
      <c r="SCB246"/>
      <c r="SCC246"/>
      <c r="SCD246"/>
      <c r="SCE246"/>
      <c r="SCF246"/>
      <c r="SCG246"/>
      <c r="SCH246"/>
      <c r="SCI246"/>
      <c r="SCJ246"/>
      <c r="SCK246"/>
      <c r="SCL246"/>
      <c r="SCM246"/>
      <c r="SCN246"/>
      <c r="SCO246"/>
      <c r="SCP246"/>
      <c r="SCQ246"/>
      <c r="SCR246"/>
      <c r="SCS246"/>
      <c r="SCT246"/>
      <c r="SCU246"/>
      <c r="SCV246"/>
      <c r="SCW246"/>
      <c r="SCX246"/>
      <c r="SCY246"/>
      <c r="SCZ246"/>
      <c r="SDA246"/>
      <c r="SDB246"/>
      <c r="SDC246"/>
      <c r="SDD246"/>
      <c r="SDE246"/>
      <c r="SDF246"/>
      <c r="SDG246"/>
      <c r="SDH246"/>
      <c r="SDI246"/>
      <c r="SDJ246"/>
      <c r="SDK246"/>
      <c r="SDL246"/>
      <c r="SDM246"/>
      <c r="SDN246"/>
      <c r="SDO246"/>
      <c r="SDP246"/>
      <c r="SDQ246"/>
      <c r="SDR246"/>
      <c r="SDS246"/>
      <c r="SDT246"/>
      <c r="SDU246"/>
      <c r="SDV246"/>
      <c r="SDW246"/>
      <c r="SDX246"/>
      <c r="SDY246"/>
      <c r="SDZ246"/>
      <c r="SEA246"/>
      <c r="SEB246"/>
      <c r="SEC246"/>
      <c r="SED246"/>
      <c r="SEE246"/>
      <c r="SEF246"/>
      <c r="SEG246"/>
      <c r="SEH246"/>
      <c r="SEI246"/>
      <c r="SEJ246"/>
      <c r="SEK246"/>
      <c r="SEL246"/>
      <c r="SEM246"/>
      <c r="SEN246"/>
      <c r="SEO246"/>
      <c r="SEP246"/>
      <c r="SEQ246"/>
      <c r="SER246"/>
      <c r="SES246"/>
      <c r="SET246"/>
      <c r="SEU246"/>
      <c r="SEV246"/>
      <c r="SEW246"/>
      <c r="SEX246"/>
      <c r="SEY246"/>
      <c r="SEZ246"/>
      <c r="SFA246"/>
      <c r="SFB246"/>
      <c r="SFC246"/>
      <c r="SFD246"/>
      <c r="SFE246"/>
      <c r="SFF246"/>
      <c r="SFG246"/>
      <c r="SFH246"/>
      <c r="SFI246"/>
      <c r="SFJ246"/>
      <c r="SFK246"/>
      <c r="SFL246"/>
      <c r="SFM246"/>
      <c r="SFN246"/>
      <c r="SFO246"/>
      <c r="SFP246"/>
      <c r="SFQ246"/>
      <c r="SFR246"/>
      <c r="SFS246"/>
      <c r="SFT246"/>
      <c r="SFU246"/>
      <c r="SFV246"/>
      <c r="SFW246"/>
      <c r="SFX246"/>
      <c r="SFY246"/>
      <c r="SFZ246"/>
      <c r="SGA246"/>
      <c r="SGB246"/>
      <c r="SGC246"/>
      <c r="SGD246"/>
      <c r="SGE246"/>
      <c r="SGF246"/>
      <c r="SGG246"/>
      <c r="SGH246"/>
      <c r="SGI246"/>
      <c r="SGJ246"/>
      <c r="SGK246"/>
      <c r="SGL246"/>
      <c r="SGM246"/>
      <c r="SGN246"/>
      <c r="SGO246"/>
      <c r="SGP246"/>
      <c r="SGQ246"/>
      <c r="SGR246"/>
      <c r="SGS246"/>
      <c r="SGT246"/>
      <c r="SGU246"/>
      <c r="SGV246"/>
      <c r="SGW246"/>
      <c r="SGX246"/>
      <c r="SGY246"/>
      <c r="SGZ246"/>
      <c r="SHA246"/>
      <c r="SHB246"/>
      <c r="SHC246"/>
      <c r="SHD246"/>
      <c r="SHE246"/>
      <c r="SHF246"/>
      <c r="SHG246"/>
      <c r="SHH246"/>
      <c r="SHI246"/>
      <c r="SHJ246"/>
      <c r="SHK246"/>
      <c r="SHL246"/>
      <c r="SHM246"/>
      <c r="SHN246"/>
      <c r="SHO246"/>
      <c r="SHP246"/>
      <c r="SHQ246"/>
      <c r="SHR246"/>
      <c r="SHS246"/>
      <c r="SHT246"/>
      <c r="SHU246"/>
      <c r="SHV246"/>
      <c r="SHW246"/>
      <c r="SHX246"/>
      <c r="SHY246"/>
      <c r="SHZ246"/>
      <c r="SIA246"/>
      <c r="SIB246"/>
      <c r="SIC246"/>
      <c r="SID246"/>
      <c r="SIE246"/>
      <c r="SIF246"/>
      <c r="SIG246"/>
      <c r="SIH246"/>
      <c r="SII246"/>
      <c r="SIJ246"/>
      <c r="SIK246"/>
      <c r="SIL246"/>
      <c r="SIM246"/>
      <c r="SIN246"/>
      <c r="SIO246"/>
      <c r="SIP246"/>
      <c r="SIQ246"/>
      <c r="SIR246"/>
      <c r="SIS246"/>
      <c r="SIT246"/>
      <c r="SIU246"/>
      <c r="SIV246"/>
      <c r="SIW246"/>
      <c r="SIX246"/>
      <c r="SIY246"/>
      <c r="SIZ246"/>
      <c r="SJA246"/>
      <c r="SJB246"/>
      <c r="SJC246"/>
      <c r="SJD246"/>
      <c r="SJE246"/>
      <c r="SJF246"/>
      <c r="SJG246"/>
      <c r="SJH246"/>
      <c r="SJI246"/>
      <c r="SJJ246"/>
      <c r="SJK246"/>
      <c r="SJL246"/>
      <c r="SJM246"/>
      <c r="SJN246"/>
      <c r="SJO246"/>
      <c r="SJP246"/>
      <c r="SJQ246"/>
      <c r="SJR246"/>
      <c r="SJS246"/>
      <c r="SJT246"/>
      <c r="SJU246"/>
      <c r="SJV246"/>
      <c r="SJW246"/>
      <c r="SJX246"/>
      <c r="SJY246"/>
      <c r="SJZ246"/>
      <c r="SKA246"/>
      <c r="SKB246"/>
      <c r="SKC246"/>
      <c r="SKD246"/>
      <c r="SKE246"/>
      <c r="SKF246"/>
      <c r="SKG246"/>
      <c r="SKH246"/>
      <c r="SKI246"/>
      <c r="SKJ246"/>
      <c r="SKK246"/>
      <c r="SKL246"/>
      <c r="SKM246"/>
      <c r="SKN246"/>
      <c r="SKO246"/>
      <c r="SKP246"/>
      <c r="SKQ246"/>
      <c r="SKR246"/>
      <c r="SKS246"/>
      <c r="SKT246"/>
      <c r="SKU246"/>
      <c r="SKV246"/>
      <c r="SKW246"/>
      <c r="SKX246"/>
      <c r="SKY246"/>
      <c r="SKZ246"/>
      <c r="SLA246"/>
      <c r="SLB246"/>
      <c r="SLC246"/>
      <c r="SLD246"/>
      <c r="SLE246"/>
      <c r="SLF246"/>
      <c r="SLG246"/>
      <c r="SLH246"/>
      <c r="SLI246"/>
      <c r="SLJ246"/>
      <c r="SLK246"/>
      <c r="SLL246"/>
      <c r="SLM246"/>
      <c r="SLN246"/>
      <c r="SLO246"/>
      <c r="SLP246"/>
      <c r="SLQ246"/>
      <c r="SLR246"/>
      <c r="SLS246"/>
      <c r="SLT246"/>
      <c r="SLU246"/>
      <c r="SLV246"/>
      <c r="SLW246"/>
      <c r="SLX246"/>
      <c r="SLY246"/>
      <c r="SLZ246"/>
      <c r="SMA246"/>
      <c r="SMB246"/>
      <c r="SMC246"/>
      <c r="SMD246"/>
      <c r="SME246"/>
      <c r="SMF246"/>
      <c r="SMG246"/>
      <c r="SMH246"/>
      <c r="SMI246"/>
      <c r="SMJ246"/>
      <c r="SMK246"/>
      <c r="SML246"/>
      <c r="SMM246"/>
      <c r="SMN246"/>
      <c r="SMO246"/>
      <c r="SMP246"/>
      <c r="SMQ246"/>
      <c r="SMR246"/>
      <c r="SMS246"/>
      <c r="SMT246"/>
      <c r="SMU246"/>
      <c r="SMV246"/>
      <c r="SMW246"/>
      <c r="SMX246"/>
      <c r="SMY246"/>
      <c r="SMZ246"/>
      <c r="SNA246"/>
      <c r="SNB246"/>
      <c r="SNC246"/>
      <c r="SND246"/>
      <c r="SNE246"/>
      <c r="SNF246"/>
      <c r="SNG246"/>
      <c r="SNH246"/>
      <c r="SNI246"/>
      <c r="SNJ246"/>
      <c r="SNK246"/>
      <c r="SNL246"/>
      <c r="SNM246"/>
      <c r="SNN246"/>
      <c r="SNO246"/>
      <c r="SNP246"/>
      <c r="SNQ246"/>
      <c r="SNR246"/>
      <c r="SNS246"/>
      <c r="SNT246"/>
      <c r="SNU246"/>
      <c r="SNV246"/>
      <c r="SNW246"/>
      <c r="SNX246"/>
      <c r="SNY246"/>
      <c r="SNZ246"/>
      <c r="SOA246"/>
      <c r="SOB246"/>
      <c r="SOC246"/>
      <c r="SOD246"/>
      <c r="SOE246"/>
      <c r="SOF246"/>
      <c r="SOG246"/>
      <c r="SOH246"/>
      <c r="SOI246"/>
      <c r="SOJ246"/>
      <c r="SOK246"/>
      <c r="SOL246"/>
      <c r="SOM246"/>
      <c r="SON246"/>
      <c r="SOO246"/>
      <c r="SOP246"/>
      <c r="SOQ246"/>
      <c r="SOR246"/>
      <c r="SOS246"/>
      <c r="SOT246"/>
      <c r="SOU246"/>
      <c r="SOV246"/>
      <c r="SOW246"/>
      <c r="SOX246"/>
      <c r="SOY246"/>
      <c r="SOZ246"/>
      <c r="SPA246"/>
      <c r="SPB246"/>
      <c r="SPC246"/>
      <c r="SPD246"/>
      <c r="SPE246"/>
      <c r="SPF246"/>
      <c r="SPG246"/>
      <c r="SPH246"/>
      <c r="SPI246"/>
      <c r="SPJ246"/>
      <c r="SPK246"/>
      <c r="SPL246"/>
      <c r="SPM246"/>
      <c r="SPN246"/>
      <c r="SPO246"/>
      <c r="SPP246"/>
      <c r="SPQ246"/>
      <c r="SPR246"/>
      <c r="SPS246"/>
      <c r="SPT246"/>
      <c r="SPU246"/>
      <c r="SPV246"/>
      <c r="SPW246"/>
      <c r="SPX246"/>
      <c r="SPY246"/>
      <c r="SPZ246"/>
      <c r="SQA246"/>
      <c r="SQB246"/>
      <c r="SQC246"/>
      <c r="SQD246"/>
      <c r="SQE246"/>
      <c r="SQF246"/>
      <c r="SQG246"/>
      <c r="SQH246"/>
      <c r="SQI246"/>
      <c r="SQJ246"/>
      <c r="SQK246"/>
      <c r="SQL246"/>
      <c r="SQM246"/>
      <c r="SQN246"/>
      <c r="SQO246"/>
      <c r="SQP246"/>
      <c r="SQQ246"/>
      <c r="SQR246"/>
      <c r="SQS246"/>
      <c r="SQT246"/>
      <c r="SQU246"/>
      <c r="SQV246"/>
      <c r="SQW246"/>
      <c r="SQX246"/>
      <c r="SQY246"/>
      <c r="SQZ246"/>
      <c r="SRA246"/>
      <c r="SRB246"/>
      <c r="SRC246"/>
      <c r="SRD246"/>
      <c r="SRE246"/>
      <c r="SRF246"/>
      <c r="SRG246"/>
      <c r="SRH246"/>
      <c r="SRI246"/>
      <c r="SRJ246"/>
      <c r="SRK246"/>
      <c r="SRL246"/>
      <c r="SRM246"/>
      <c r="SRN246"/>
      <c r="SRO246"/>
      <c r="SRP246"/>
      <c r="SRQ246"/>
      <c r="SRR246"/>
      <c r="SRS246"/>
      <c r="SRT246"/>
      <c r="SRU246"/>
      <c r="SRV246"/>
      <c r="SRW246"/>
      <c r="SRX246"/>
      <c r="SRY246"/>
      <c r="SRZ246"/>
      <c r="SSA246"/>
      <c r="SSB246"/>
      <c r="SSC246"/>
      <c r="SSD246"/>
      <c r="SSE246"/>
      <c r="SSF246"/>
      <c r="SSG246"/>
      <c r="SSH246"/>
      <c r="SSI246"/>
      <c r="SSJ246"/>
      <c r="SSK246"/>
      <c r="SSL246"/>
      <c r="SSM246"/>
      <c r="SSN246"/>
      <c r="SSO246"/>
      <c r="SSP246"/>
      <c r="SSQ246"/>
      <c r="SSR246"/>
      <c r="SSS246"/>
      <c r="SST246"/>
      <c r="SSU246"/>
      <c r="SSV246"/>
      <c r="SSW246"/>
      <c r="SSX246"/>
      <c r="SSY246"/>
      <c r="SSZ246"/>
      <c r="STA246"/>
      <c r="STB246"/>
      <c r="STC246"/>
      <c r="STD246"/>
      <c r="STE246"/>
      <c r="STF246"/>
      <c r="STG246"/>
      <c r="STH246"/>
      <c r="STI246"/>
      <c r="STJ246"/>
      <c r="STK246"/>
      <c r="STL246"/>
      <c r="STM246"/>
      <c r="STN246"/>
      <c r="STO246"/>
      <c r="STP246"/>
      <c r="STQ246"/>
      <c r="STR246"/>
      <c r="STS246"/>
      <c r="STT246"/>
      <c r="STU246"/>
      <c r="STV246"/>
      <c r="STW246"/>
      <c r="STX246"/>
      <c r="STY246"/>
      <c r="STZ246"/>
      <c r="SUA246"/>
      <c r="SUB246"/>
      <c r="SUC246"/>
      <c r="SUD246"/>
      <c r="SUE246"/>
      <c r="SUF246"/>
      <c r="SUG246"/>
      <c r="SUH246"/>
      <c r="SUI246"/>
      <c r="SUJ246"/>
      <c r="SUK246"/>
      <c r="SUL246"/>
      <c r="SUM246"/>
      <c r="SUN246"/>
      <c r="SUO246"/>
      <c r="SUP246"/>
      <c r="SUQ246"/>
      <c r="SUR246"/>
      <c r="SUS246"/>
      <c r="SUT246"/>
      <c r="SUU246"/>
      <c r="SUV246"/>
      <c r="SUW246"/>
      <c r="SUX246"/>
      <c r="SUY246"/>
      <c r="SUZ246"/>
      <c r="SVA246"/>
      <c r="SVB246"/>
      <c r="SVC246"/>
      <c r="SVD246"/>
      <c r="SVE246"/>
      <c r="SVF246"/>
      <c r="SVG246"/>
      <c r="SVH246"/>
      <c r="SVI246"/>
      <c r="SVJ246"/>
      <c r="SVK246"/>
      <c r="SVL246"/>
      <c r="SVM246"/>
      <c r="SVN246"/>
      <c r="SVO246"/>
      <c r="SVP246"/>
      <c r="SVQ246"/>
      <c r="SVR246"/>
      <c r="SVS246"/>
      <c r="SVT246"/>
      <c r="SVU246"/>
      <c r="SVV246"/>
      <c r="SVW246"/>
      <c r="SVX246"/>
      <c r="SVY246"/>
      <c r="SVZ246"/>
      <c r="SWA246"/>
      <c r="SWB246"/>
      <c r="SWC246"/>
      <c r="SWD246"/>
      <c r="SWE246"/>
      <c r="SWF246"/>
      <c r="SWG246"/>
      <c r="SWH246"/>
      <c r="SWI246"/>
      <c r="SWJ246"/>
      <c r="SWK246"/>
      <c r="SWL246"/>
      <c r="SWM246"/>
      <c r="SWN246"/>
      <c r="SWO246"/>
      <c r="SWP246"/>
      <c r="SWQ246"/>
      <c r="SWR246"/>
      <c r="SWS246"/>
      <c r="SWT246"/>
      <c r="SWU246"/>
      <c r="SWV246"/>
      <c r="SWW246"/>
      <c r="SWX246"/>
      <c r="SWY246"/>
      <c r="SWZ246"/>
      <c r="SXA246"/>
      <c r="SXB246"/>
      <c r="SXC246"/>
      <c r="SXD246"/>
      <c r="SXE246"/>
      <c r="SXF246"/>
      <c r="SXG246"/>
      <c r="SXH246"/>
      <c r="SXI246"/>
      <c r="SXJ246"/>
      <c r="SXK246"/>
      <c r="SXL246"/>
      <c r="SXM246"/>
      <c r="SXN246"/>
      <c r="SXO246"/>
      <c r="SXP246"/>
      <c r="SXQ246"/>
      <c r="SXR246"/>
      <c r="SXS246"/>
      <c r="SXT246"/>
      <c r="SXU246"/>
      <c r="SXV246"/>
      <c r="SXW246"/>
      <c r="SXX246"/>
      <c r="SXY246"/>
      <c r="SXZ246"/>
      <c r="SYA246"/>
      <c r="SYB246"/>
      <c r="SYC246"/>
      <c r="SYD246"/>
      <c r="SYE246"/>
      <c r="SYF246"/>
      <c r="SYG246"/>
      <c r="SYH246"/>
      <c r="SYI246"/>
      <c r="SYJ246"/>
      <c r="SYK246"/>
      <c r="SYL246"/>
      <c r="SYM246"/>
      <c r="SYN246"/>
      <c r="SYO246"/>
      <c r="SYP246"/>
      <c r="SYQ246"/>
      <c r="SYR246"/>
      <c r="SYS246"/>
      <c r="SYT246"/>
      <c r="SYU246"/>
      <c r="SYV246"/>
      <c r="SYW246"/>
      <c r="SYX246"/>
      <c r="SYY246"/>
      <c r="SYZ246"/>
      <c r="SZA246"/>
      <c r="SZB246"/>
      <c r="SZC246"/>
      <c r="SZD246"/>
      <c r="SZE246"/>
      <c r="SZF246"/>
      <c r="SZG246"/>
      <c r="SZH246"/>
      <c r="SZI246"/>
      <c r="SZJ246"/>
      <c r="SZK246"/>
      <c r="SZL246"/>
      <c r="SZM246"/>
      <c r="SZN246"/>
      <c r="SZO246"/>
      <c r="SZP246"/>
      <c r="SZQ246"/>
      <c r="SZR246"/>
      <c r="SZS246"/>
      <c r="SZT246"/>
      <c r="SZU246"/>
      <c r="SZV246"/>
      <c r="SZW246"/>
      <c r="SZX246"/>
      <c r="SZY246"/>
      <c r="SZZ246"/>
      <c r="TAA246"/>
      <c r="TAB246"/>
      <c r="TAC246"/>
      <c r="TAD246"/>
      <c r="TAE246"/>
      <c r="TAF246"/>
      <c r="TAG246"/>
      <c r="TAH246"/>
      <c r="TAI246"/>
      <c r="TAJ246"/>
      <c r="TAK246"/>
      <c r="TAL246"/>
      <c r="TAM246"/>
      <c r="TAN246"/>
      <c r="TAO246"/>
      <c r="TAP246"/>
      <c r="TAQ246"/>
      <c r="TAR246"/>
      <c r="TAS246"/>
      <c r="TAT246"/>
      <c r="TAU246"/>
      <c r="TAV246"/>
      <c r="TAW246"/>
      <c r="TAX246"/>
      <c r="TAY246"/>
      <c r="TAZ246"/>
      <c r="TBA246"/>
      <c r="TBB246"/>
      <c r="TBC246"/>
      <c r="TBD246"/>
      <c r="TBE246"/>
      <c r="TBF246"/>
      <c r="TBG246"/>
      <c r="TBH246"/>
      <c r="TBI246"/>
      <c r="TBJ246"/>
      <c r="TBK246"/>
      <c r="TBL246"/>
      <c r="TBM246"/>
      <c r="TBN246"/>
      <c r="TBO246"/>
      <c r="TBP246"/>
      <c r="TBQ246"/>
      <c r="TBR246"/>
      <c r="TBS246"/>
      <c r="TBT246"/>
      <c r="TBU246"/>
      <c r="TBV246"/>
      <c r="TBW246"/>
      <c r="TBX246"/>
      <c r="TBY246"/>
      <c r="TBZ246"/>
      <c r="TCA246"/>
      <c r="TCB246"/>
      <c r="TCC246"/>
      <c r="TCD246"/>
      <c r="TCE246"/>
      <c r="TCF246"/>
      <c r="TCG246"/>
      <c r="TCH246"/>
      <c r="TCI246"/>
      <c r="TCJ246"/>
      <c r="TCK246"/>
      <c r="TCL246"/>
      <c r="TCM246"/>
      <c r="TCN246"/>
      <c r="TCO246"/>
      <c r="TCP246"/>
      <c r="TCQ246"/>
      <c r="TCR246"/>
      <c r="TCS246"/>
      <c r="TCT246"/>
      <c r="TCU246"/>
      <c r="TCV246"/>
      <c r="TCW246"/>
      <c r="TCX246"/>
      <c r="TCY246"/>
      <c r="TCZ246"/>
      <c r="TDA246"/>
      <c r="TDB246"/>
      <c r="TDC246"/>
      <c r="TDD246"/>
      <c r="TDE246"/>
      <c r="TDF246"/>
      <c r="TDG246"/>
      <c r="TDH246"/>
      <c r="TDI246"/>
      <c r="TDJ246"/>
      <c r="TDK246"/>
      <c r="TDL246"/>
      <c r="TDM246"/>
      <c r="TDN246"/>
      <c r="TDO246"/>
      <c r="TDP246"/>
      <c r="TDQ246"/>
      <c r="TDR246"/>
      <c r="TDS246"/>
      <c r="TDT246"/>
      <c r="TDU246"/>
      <c r="TDV246"/>
      <c r="TDW246"/>
      <c r="TDX246"/>
      <c r="TDY246"/>
      <c r="TDZ246"/>
      <c r="TEA246"/>
      <c r="TEB246"/>
      <c r="TEC246"/>
      <c r="TED246"/>
      <c r="TEE246"/>
      <c r="TEF246"/>
      <c r="TEG246"/>
      <c r="TEH246"/>
      <c r="TEI246"/>
      <c r="TEJ246"/>
      <c r="TEK246"/>
      <c r="TEL246"/>
      <c r="TEM246"/>
      <c r="TEN246"/>
      <c r="TEO246"/>
      <c r="TEP246"/>
      <c r="TEQ246"/>
      <c r="TER246"/>
      <c r="TES246"/>
      <c r="TET246"/>
      <c r="TEU246"/>
      <c r="TEV246"/>
      <c r="TEW246"/>
      <c r="TEX246"/>
      <c r="TEY246"/>
      <c r="TEZ246"/>
      <c r="TFA246"/>
      <c r="TFB246"/>
      <c r="TFC246"/>
      <c r="TFD246"/>
      <c r="TFE246"/>
      <c r="TFF246"/>
      <c r="TFG246"/>
      <c r="TFH246"/>
      <c r="TFI246"/>
      <c r="TFJ246"/>
      <c r="TFK246"/>
      <c r="TFL246"/>
      <c r="TFM246"/>
      <c r="TFN246"/>
      <c r="TFO246"/>
      <c r="TFP246"/>
      <c r="TFQ246"/>
      <c r="TFR246"/>
      <c r="TFS246"/>
      <c r="TFT246"/>
      <c r="TFU246"/>
      <c r="TFV246"/>
      <c r="TFW246"/>
      <c r="TFX246"/>
      <c r="TFY246"/>
      <c r="TFZ246"/>
      <c r="TGA246"/>
      <c r="TGB246"/>
      <c r="TGC246"/>
      <c r="TGD246"/>
      <c r="TGE246"/>
      <c r="TGF246"/>
      <c r="TGG246"/>
      <c r="TGH246"/>
      <c r="TGI246"/>
      <c r="TGJ246"/>
      <c r="TGK246"/>
      <c r="TGL246"/>
      <c r="TGM246"/>
      <c r="TGN246"/>
      <c r="TGO246"/>
      <c r="TGP246"/>
      <c r="TGQ246"/>
      <c r="TGR246"/>
      <c r="TGS246"/>
      <c r="TGT246"/>
      <c r="TGU246"/>
      <c r="TGV246"/>
      <c r="TGW246"/>
      <c r="TGX246"/>
      <c r="TGY246"/>
      <c r="TGZ246"/>
      <c r="THA246"/>
      <c r="THB246"/>
      <c r="THC246"/>
      <c r="THD246"/>
      <c r="THE246"/>
      <c r="THF246"/>
      <c r="THG246"/>
      <c r="THH246"/>
      <c r="THI246"/>
      <c r="THJ246"/>
      <c r="THK246"/>
      <c r="THL246"/>
      <c r="THM246"/>
      <c r="THN246"/>
      <c r="THO246"/>
      <c r="THP246"/>
      <c r="THQ246"/>
      <c r="THR246"/>
      <c r="THS246"/>
      <c r="THT246"/>
      <c r="THU246"/>
      <c r="THV246"/>
      <c r="THW246"/>
      <c r="THX246"/>
      <c r="THY246"/>
      <c r="THZ246"/>
      <c r="TIA246"/>
      <c r="TIB246"/>
      <c r="TIC246"/>
      <c r="TID246"/>
      <c r="TIE246"/>
      <c r="TIF246"/>
      <c r="TIG246"/>
      <c r="TIH246"/>
      <c r="TII246"/>
      <c r="TIJ246"/>
      <c r="TIK246"/>
      <c r="TIL246"/>
      <c r="TIM246"/>
      <c r="TIN246"/>
      <c r="TIO246"/>
      <c r="TIP246"/>
      <c r="TIQ246"/>
      <c r="TIR246"/>
      <c r="TIS246"/>
      <c r="TIT246"/>
      <c r="TIU246"/>
      <c r="TIV246"/>
      <c r="TIW246"/>
      <c r="TIX246"/>
      <c r="TIY246"/>
      <c r="TIZ246"/>
      <c r="TJA246"/>
      <c r="TJB246"/>
      <c r="TJC246"/>
      <c r="TJD246"/>
      <c r="TJE246"/>
      <c r="TJF246"/>
      <c r="TJG246"/>
      <c r="TJH246"/>
      <c r="TJI246"/>
      <c r="TJJ246"/>
      <c r="TJK246"/>
      <c r="TJL246"/>
      <c r="TJM246"/>
      <c r="TJN246"/>
      <c r="TJO246"/>
      <c r="TJP246"/>
      <c r="TJQ246"/>
      <c r="TJR246"/>
      <c r="TJS246"/>
      <c r="TJT246"/>
      <c r="TJU246"/>
      <c r="TJV246"/>
      <c r="TJW246"/>
      <c r="TJX246"/>
      <c r="TJY246"/>
      <c r="TJZ246"/>
      <c r="TKA246"/>
      <c r="TKB246"/>
      <c r="TKC246"/>
      <c r="TKD246"/>
      <c r="TKE246"/>
      <c r="TKF246"/>
      <c r="TKG246"/>
      <c r="TKH246"/>
      <c r="TKI246"/>
      <c r="TKJ246"/>
      <c r="TKK246"/>
      <c r="TKL246"/>
      <c r="TKM246"/>
      <c r="TKN246"/>
      <c r="TKO246"/>
      <c r="TKP246"/>
      <c r="TKQ246"/>
      <c r="TKR246"/>
      <c r="TKS246"/>
      <c r="TKT246"/>
      <c r="TKU246"/>
      <c r="TKV246"/>
      <c r="TKW246"/>
      <c r="TKX246"/>
      <c r="TKY246"/>
      <c r="TKZ246"/>
      <c r="TLA246"/>
      <c r="TLB246"/>
      <c r="TLC246"/>
      <c r="TLD246"/>
      <c r="TLE246"/>
      <c r="TLF246"/>
      <c r="TLG246"/>
      <c r="TLH246"/>
      <c r="TLI246"/>
      <c r="TLJ246"/>
      <c r="TLK246"/>
      <c r="TLL246"/>
      <c r="TLM246"/>
      <c r="TLN246"/>
      <c r="TLO246"/>
      <c r="TLP246"/>
      <c r="TLQ246"/>
      <c r="TLR246"/>
      <c r="TLS246"/>
      <c r="TLT246"/>
      <c r="TLU246"/>
      <c r="TLV246"/>
      <c r="TLW246"/>
      <c r="TLX246"/>
      <c r="TLY246"/>
      <c r="TLZ246"/>
      <c r="TMA246"/>
      <c r="TMB246"/>
      <c r="TMC246"/>
      <c r="TMD246"/>
      <c r="TME246"/>
      <c r="TMF246"/>
      <c r="TMG246"/>
      <c r="TMH246"/>
      <c r="TMI246"/>
      <c r="TMJ246"/>
      <c r="TMK246"/>
      <c r="TML246"/>
      <c r="TMM246"/>
      <c r="TMN246"/>
      <c r="TMO246"/>
      <c r="TMP246"/>
      <c r="TMQ246"/>
      <c r="TMR246"/>
      <c r="TMS246"/>
      <c r="TMT246"/>
      <c r="TMU246"/>
      <c r="TMV246"/>
      <c r="TMW246"/>
      <c r="TMX246"/>
      <c r="TMY246"/>
      <c r="TMZ246"/>
      <c r="TNA246"/>
      <c r="TNB246"/>
      <c r="TNC246"/>
      <c r="TND246"/>
      <c r="TNE246"/>
      <c r="TNF246"/>
      <c r="TNG246"/>
      <c r="TNH246"/>
      <c r="TNI246"/>
      <c r="TNJ246"/>
      <c r="TNK246"/>
      <c r="TNL246"/>
      <c r="TNM246"/>
      <c r="TNN246"/>
      <c r="TNO246"/>
      <c r="TNP246"/>
      <c r="TNQ246"/>
      <c r="TNR246"/>
      <c r="TNS246"/>
      <c r="TNT246"/>
      <c r="TNU246"/>
      <c r="TNV246"/>
      <c r="TNW246"/>
      <c r="TNX246"/>
      <c r="TNY246"/>
      <c r="TNZ246"/>
      <c r="TOA246"/>
      <c r="TOB246"/>
      <c r="TOC246"/>
      <c r="TOD246"/>
      <c r="TOE246"/>
      <c r="TOF246"/>
      <c r="TOG246"/>
      <c r="TOH246"/>
      <c r="TOI246"/>
      <c r="TOJ246"/>
      <c r="TOK246"/>
      <c r="TOL246"/>
      <c r="TOM246"/>
      <c r="TON246"/>
      <c r="TOO246"/>
      <c r="TOP246"/>
      <c r="TOQ246"/>
      <c r="TOR246"/>
      <c r="TOS246"/>
      <c r="TOT246"/>
      <c r="TOU246"/>
      <c r="TOV246"/>
      <c r="TOW246"/>
      <c r="TOX246"/>
      <c r="TOY246"/>
      <c r="TOZ246"/>
      <c r="TPA246"/>
      <c r="TPB246"/>
      <c r="TPC246"/>
      <c r="TPD246"/>
      <c r="TPE246"/>
      <c r="TPF246"/>
      <c r="TPG246"/>
      <c r="TPH246"/>
      <c r="TPI246"/>
      <c r="TPJ246"/>
      <c r="TPK246"/>
      <c r="TPL246"/>
      <c r="TPM246"/>
      <c r="TPN246"/>
      <c r="TPO246"/>
      <c r="TPP246"/>
      <c r="TPQ246"/>
      <c r="TPR246"/>
      <c r="TPS246"/>
      <c r="TPT246"/>
      <c r="TPU246"/>
      <c r="TPV246"/>
      <c r="TPW246"/>
      <c r="TPX246"/>
      <c r="TPY246"/>
      <c r="TPZ246"/>
      <c r="TQA246"/>
      <c r="TQB246"/>
      <c r="TQC246"/>
      <c r="TQD246"/>
      <c r="TQE246"/>
      <c r="TQF246"/>
      <c r="TQG246"/>
      <c r="TQH246"/>
      <c r="TQI246"/>
      <c r="TQJ246"/>
      <c r="TQK246"/>
      <c r="TQL246"/>
      <c r="TQM246"/>
      <c r="TQN246"/>
      <c r="TQO246"/>
      <c r="TQP246"/>
      <c r="TQQ246"/>
      <c r="TQR246"/>
      <c r="TQS246"/>
      <c r="TQT246"/>
      <c r="TQU246"/>
      <c r="TQV246"/>
      <c r="TQW246"/>
      <c r="TQX246"/>
      <c r="TQY246"/>
      <c r="TQZ246"/>
      <c r="TRA246"/>
      <c r="TRB246"/>
      <c r="TRC246"/>
      <c r="TRD246"/>
      <c r="TRE246"/>
      <c r="TRF246"/>
      <c r="TRG246"/>
      <c r="TRH246"/>
      <c r="TRI246"/>
      <c r="TRJ246"/>
      <c r="TRK246"/>
      <c r="TRL246"/>
      <c r="TRM246"/>
      <c r="TRN246"/>
      <c r="TRO246"/>
      <c r="TRP246"/>
      <c r="TRQ246"/>
      <c r="TRR246"/>
      <c r="TRS246"/>
      <c r="TRT246"/>
      <c r="TRU246"/>
      <c r="TRV246"/>
      <c r="TRW246"/>
      <c r="TRX246"/>
      <c r="TRY246"/>
      <c r="TRZ246"/>
      <c r="TSA246"/>
      <c r="TSB246"/>
      <c r="TSC246"/>
      <c r="TSD246"/>
      <c r="TSE246"/>
      <c r="TSF246"/>
      <c r="TSG246"/>
      <c r="TSH246"/>
      <c r="TSI246"/>
      <c r="TSJ246"/>
      <c r="TSK246"/>
      <c r="TSL246"/>
      <c r="TSM246"/>
      <c r="TSN246"/>
      <c r="TSO246"/>
      <c r="TSP246"/>
      <c r="TSQ246"/>
      <c r="TSR246"/>
      <c r="TSS246"/>
      <c r="TST246"/>
      <c r="TSU246"/>
      <c r="TSV246"/>
      <c r="TSW246"/>
      <c r="TSX246"/>
      <c r="TSY246"/>
      <c r="TSZ246"/>
      <c r="TTA246"/>
      <c r="TTB246"/>
      <c r="TTC246"/>
      <c r="TTD246"/>
      <c r="TTE246"/>
      <c r="TTF246"/>
      <c r="TTG246"/>
      <c r="TTH246"/>
      <c r="TTI246"/>
      <c r="TTJ246"/>
      <c r="TTK246"/>
      <c r="TTL246"/>
      <c r="TTM246"/>
      <c r="TTN246"/>
      <c r="TTO246"/>
      <c r="TTP246"/>
      <c r="TTQ246"/>
      <c r="TTR246"/>
      <c r="TTS246"/>
      <c r="TTT246"/>
      <c r="TTU246"/>
      <c r="TTV246"/>
      <c r="TTW246"/>
      <c r="TTX246"/>
      <c r="TTY246"/>
      <c r="TTZ246"/>
      <c r="TUA246"/>
      <c r="TUB246"/>
      <c r="TUC246"/>
      <c r="TUD246"/>
      <c r="TUE246"/>
      <c r="TUF246"/>
      <c r="TUG246"/>
      <c r="TUH246"/>
      <c r="TUI246"/>
      <c r="TUJ246"/>
      <c r="TUK246"/>
      <c r="TUL246"/>
      <c r="TUM246"/>
      <c r="TUN246"/>
      <c r="TUO246"/>
      <c r="TUP246"/>
      <c r="TUQ246"/>
      <c r="TUR246"/>
      <c r="TUS246"/>
      <c r="TUT246"/>
      <c r="TUU246"/>
      <c r="TUV246"/>
      <c r="TUW246"/>
      <c r="TUX246"/>
      <c r="TUY246"/>
      <c r="TUZ246"/>
      <c r="TVA246"/>
      <c r="TVB246"/>
      <c r="TVC246"/>
      <c r="TVD246"/>
      <c r="TVE246"/>
      <c r="TVF246"/>
      <c r="TVG246"/>
      <c r="TVH246"/>
      <c r="TVI246"/>
      <c r="TVJ246"/>
      <c r="TVK246"/>
      <c r="TVL246"/>
      <c r="TVM246"/>
      <c r="TVN246"/>
      <c r="TVO246"/>
      <c r="TVP246"/>
      <c r="TVQ246"/>
      <c r="TVR246"/>
      <c r="TVS246"/>
      <c r="TVT246"/>
      <c r="TVU246"/>
      <c r="TVV246"/>
      <c r="TVW246"/>
      <c r="TVX246"/>
      <c r="TVY246"/>
      <c r="TVZ246"/>
      <c r="TWA246"/>
      <c r="TWB246"/>
      <c r="TWC246"/>
      <c r="TWD246"/>
      <c r="TWE246"/>
      <c r="TWF246"/>
      <c r="TWG246"/>
      <c r="TWH246"/>
      <c r="TWI246"/>
      <c r="TWJ246"/>
      <c r="TWK246"/>
      <c r="TWL246"/>
      <c r="TWM246"/>
      <c r="TWN246"/>
      <c r="TWO246"/>
      <c r="TWP246"/>
      <c r="TWQ246"/>
      <c r="TWR246"/>
      <c r="TWS246"/>
      <c r="TWT246"/>
      <c r="TWU246"/>
      <c r="TWV246"/>
      <c r="TWW246"/>
      <c r="TWX246"/>
      <c r="TWY246"/>
      <c r="TWZ246"/>
      <c r="TXA246"/>
      <c r="TXB246"/>
      <c r="TXC246"/>
      <c r="TXD246"/>
      <c r="TXE246"/>
      <c r="TXF246"/>
      <c r="TXG246"/>
      <c r="TXH246"/>
      <c r="TXI246"/>
      <c r="TXJ246"/>
      <c r="TXK246"/>
      <c r="TXL246"/>
      <c r="TXM246"/>
      <c r="TXN246"/>
      <c r="TXO246"/>
      <c r="TXP246"/>
      <c r="TXQ246"/>
      <c r="TXR246"/>
      <c r="TXS246"/>
      <c r="TXT246"/>
      <c r="TXU246"/>
      <c r="TXV246"/>
      <c r="TXW246"/>
      <c r="TXX246"/>
      <c r="TXY246"/>
      <c r="TXZ246"/>
      <c r="TYA246"/>
      <c r="TYB246"/>
      <c r="TYC246"/>
      <c r="TYD246"/>
      <c r="TYE246"/>
      <c r="TYF246"/>
      <c r="TYG246"/>
      <c r="TYH246"/>
      <c r="TYI246"/>
      <c r="TYJ246"/>
      <c r="TYK246"/>
      <c r="TYL246"/>
      <c r="TYM246"/>
      <c r="TYN246"/>
      <c r="TYO246"/>
      <c r="TYP246"/>
      <c r="TYQ246"/>
      <c r="TYR246"/>
      <c r="TYS246"/>
      <c r="TYT246"/>
      <c r="TYU246"/>
      <c r="TYV246"/>
      <c r="TYW246"/>
      <c r="TYX246"/>
      <c r="TYY246"/>
      <c r="TYZ246"/>
      <c r="TZA246"/>
      <c r="TZB246"/>
      <c r="TZC246"/>
      <c r="TZD246"/>
      <c r="TZE246"/>
      <c r="TZF246"/>
      <c r="TZG246"/>
      <c r="TZH246"/>
      <c r="TZI246"/>
      <c r="TZJ246"/>
      <c r="TZK246"/>
      <c r="TZL246"/>
      <c r="TZM246"/>
      <c r="TZN246"/>
      <c r="TZO246"/>
      <c r="TZP246"/>
      <c r="TZQ246"/>
      <c r="TZR246"/>
      <c r="TZS246"/>
      <c r="TZT246"/>
      <c r="TZU246"/>
      <c r="TZV246"/>
      <c r="TZW246"/>
      <c r="TZX246"/>
      <c r="TZY246"/>
      <c r="TZZ246"/>
      <c r="UAA246"/>
      <c r="UAB246"/>
      <c r="UAC246"/>
      <c r="UAD246"/>
      <c r="UAE246"/>
      <c r="UAF246"/>
      <c r="UAG246"/>
      <c r="UAH246"/>
      <c r="UAI246"/>
      <c r="UAJ246"/>
      <c r="UAK246"/>
      <c r="UAL246"/>
      <c r="UAM246"/>
      <c r="UAN246"/>
      <c r="UAO246"/>
      <c r="UAP246"/>
      <c r="UAQ246"/>
      <c r="UAR246"/>
      <c r="UAS246"/>
      <c r="UAT246"/>
      <c r="UAU246"/>
      <c r="UAV246"/>
      <c r="UAW246"/>
      <c r="UAX246"/>
      <c r="UAY246"/>
      <c r="UAZ246"/>
      <c r="UBA246"/>
      <c r="UBB246"/>
      <c r="UBC246"/>
      <c r="UBD246"/>
      <c r="UBE246"/>
      <c r="UBF246"/>
      <c r="UBG246"/>
      <c r="UBH246"/>
      <c r="UBI246"/>
      <c r="UBJ246"/>
      <c r="UBK246"/>
      <c r="UBL246"/>
      <c r="UBM246"/>
      <c r="UBN246"/>
      <c r="UBO246"/>
      <c r="UBP246"/>
      <c r="UBQ246"/>
      <c r="UBR246"/>
      <c r="UBS246"/>
      <c r="UBT246"/>
      <c r="UBU246"/>
      <c r="UBV246"/>
      <c r="UBW246"/>
      <c r="UBX246"/>
      <c r="UBY246"/>
      <c r="UBZ246"/>
      <c r="UCA246"/>
      <c r="UCB246"/>
      <c r="UCC246"/>
      <c r="UCD246"/>
      <c r="UCE246"/>
      <c r="UCF246"/>
      <c r="UCG246"/>
      <c r="UCH246"/>
      <c r="UCI246"/>
      <c r="UCJ246"/>
      <c r="UCK246"/>
      <c r="UCL246"/>
      <c r="UCM246"/>
      <c r="UCN246"/>
      <c r="UCO246"/>
      <c r="UCP246"/>
      <c r="UCQ246"/>
      <c r="UCR246"/>
      <c r="UCS246"/>
      <c r="UCT246"/>
      <c r="UCU246"/>
      <c r="UCV246"/>
      <c r="UCW246"/>
      <c r="UCX246"/>
      <c r="UCY246"/>
      <c r="UCZ246"/>
      <c r="UDA246"/>
      <c r="UDB246"/>
      <c r="UDC246"/>
      <c r="UDD246"/>
      <c r="UDE246"/>
      <c r="UDF246"/>
      <c r="UDG246"/>
      <c r="UDH246"/>
      <c r="UDI246"/>
      <c r="UDJ246"/>
      <c r="UDK246"/>
      <c r="UDL246"/>
      <c r="UDM246"/>
      <c r="UDN246"/>
      <c r="UDO246"/>
      <c r="UDP246"/>
      <c r="UDQ246"/>
      <c r="UDR246"/>
      <c r="UDS246"/>
      <c r="UDT246"/>
      <c r="UDU246"/>
      <c r="UDV246"/>
      <c r="UDW246"/>
      <c r="UDX246"/>
      <c r="UDY246"/>
      <c r="UDZ246"/>
      <c r="UEA246"/>
      <c r="UEB246"/>
      <c r="UEC246"/>
      <c r="UED246"/>
      <c r="UEE246"/>
      <c r="UEF246"/>
      <c r="UEG246"/>
      <c r="UEH246"/>
      <c r="UEI246"/>
      <c r="UEJ246"/>
      <c r="UEK246"/>
      <c r="UEL246"/>
      <c r="UEM246"/>
      <c r="UEN246"/>
      <c r="UEO246"/>
      <c r="UEP246"/>
      <c r="UEQ246"/>
      <c r="UER246"/>
      <c r="UES246"/>
      <c r="UET246"/>
      <c r="UEU246"/>
      <c r="UEV246"/>
      <c r="UEW246"/>
      <c r="UEX246"/>
      <c r="UEY246"/>
      <c r="UEZ246"/>
      <c r="UFA246"/>
      <c r="UFB246"/>
      <c r="UFC246"/>
      <c r="UFD246"/>
      <c r="UFE246"/>
      <c r="UFF246"/>
      <c r="UFG246"/>
      <c r="UFH246"/>
      <c r="UFI246"/>
      <c r="UFJ246"/>
      <c r="UFK246"/>
      <c r="UFL246"/>
      <c r="UFM246"/>
      <c r="UFN246"/>
      <c r="UFO246"/>
      <c r="UFP246"/>
      <c r="UFQ246"/>
      <c r="UFR246"/>
      <c r="UFS246"/>
      <c r="UFT246"/>
      <c r="UFU246"/>
      <c r="UFV246"/>
      <c r="UFW246"/>
      <c r="UFX246"/>
      <c r="UFY246"/>
      <c r="UFZ246"/>
      <c r="UGA246"/>
      <c r="UGB246"/>
      <c r="UGC246"/>
      <c r="UGD246"/>
      <c r="UGE246"/>
      <c r="UGF246"/>
      <c r="UGG246"/>
      <c r="UGH246"/>
      <c r="UGI246"/>
      <c r="UGJ246"/>
      <c r="UGK246"/>
      <c r="UGL246"/>
      <c r="UGM246"/>
      <c r="UGN246"/>
      <c r="UGO246"/>
      <c r="UGP246"/>
      <c r="UGQ246"/>
      <c r="UGR246"/>
      <c r="UGS246"/>
      <c r="UGT246"/>
      <c r="UGU246"/>
      <c r="UGV246"/>
      <c r="UGW246"/>
      <c r="UGX246"/>
      <c r="UGY246"/>
      <c r="UGZ246"/>
      <c r="UHA246"/>
      <c r="UHB246"/>
      <c r="UHC246"/>
      <c r="UHD246"/>
      <c r="UHE246"/>
      <c r="UHF246"/>
      <c r="UHG246"/>
      <c r="UHH246"/>
      <c r="UHI246"/>
      <c r="UHJ246"/>
      <c r="UHK246"/>
      <c r="UHL246"/>
      <c r="UHM246"/>
      <c r="UHN246"/>
      <c r="UHO246"/>
      <c r="UHP246"/>
      <c r="UHQ246"/>
      <c r="UHR246"/>
      <c r="UHS246"/>
      <c r="UHT246"/>
      <c r="UHU246"/>
      <c r="UHV246"/>
      <c r="UHW246"/>
      <c r="UHX246"/>
      <c r="UHY246"/>
      <c r="UHZ246"/>
      <c r="UIA246"/>
      <c r="UIB246"/>
      <c r="UIC246"/>
      <c r="UID246"/>
      <c r="UIE246"/>
      <c r="UIF246"/>
      <c r="UIG246"/>
      <c r="UIH246"/>
      <c r="UII246"/>
      <c r="UIJ246"/>
      <c r="UIK246"/>
      <c r="UIL246"/>
      <c r="UIM246"/>
      <c r="UIN246"/>
      <c r="UIO246"/>
      <c r="UIP246"/>
      <c r="UIQ246"/>
      <c r="UIR246"/>
      <c r="UIS246"/>
      <c r="UIT246"/>
      <c r="UIU246"/>
      <c r="UIV246"/>
      <c r="UIW246"/>
      <c r="UIX246"/>
      <c r="UIY246"/>
      <c r="UIZ246"/>
      <c r="UJA246"/>
      <c r="UJB246"/>
      <c r="UJC246"/>
      <c r="UJD246"/>
      <c r="UJE246"/>
      <c r="UJF246"/>
      <c r="UJG246"/>
      <c r="UJH246"/>
      <c r="UJI246"/>
      <c r="UJJ246"/>
      <c r="UJK246"/>
      <c r="UJL246"/>
      <c r="UJM246"/>
      <c r="UJN246"/>
      <c r="UJO246"/>
      <c r="UJP246"/>
      <c r="UJQ246"/>
      <c r="UJR246"/>
      <c r="UJS246"/>
      <c r="UJT246"/>
      <c r="UJU246"/>
      <c r="UJV246"/>
      <c r="UJW246"/>
      <c r="UJX246"/>
      <c r="UJY246"/>
      <c r="UJZ246"/>
      <c r="UKA246"/>
      <c r="UKB246"/>
      <c r="UKC246"/>
      <c r="UKD246"/>
      <c r="UKE246"/>
      <c r="UKF246"/>
      <c r="UKG246"/>
      <c r="UKH246"/>
      <c r="UKI246"/>
      <c r="UKJ246"/>
      <c r="UKK246"/>
      <c r="UKL246"/>
      <c r="UKM246"/>
      <c r="UKN246"/>
      <c r="UKO246"/>
      <c r="UKP246"/>
      <c r="UKQ246"/>
      <c r="UKR246"/>
      <c r="UKS246"/>
      <c r="UKT246"/>
      <c r="UKU246"/>
      <c r="UKV246"/>
      <c r="UKW246"/>
      <c r="UKX246"/>
      <c r="UKY246"/>
      <c r="UKZ246"/>
      <c r="ULA246"/>
      <c r="ULB246"/>
      <c r="ULC246"/>
      <c r="ULD246"/>
      <c r="ULE246"/>
      <c r="ULF246"/>
      <c r="ULG246"/>
      <c r="ULH246"/>
      <c r="ULI246"/>
      <c r="ULJ246"/>
      <c r="ULK246"/>
      <c r="ULL246"/>
      <c r="ULM246"/>
      <c r="ULN246"/>
      <c r="ULO246"/>
      <c r="ULP246"/>
      <c r="ULQ246"/>
      <c r="ULR246"/>
      <c r="ULS246"/>
      <c r="ULT246"/>
      <c r="ULU246"/>
      <c r="ULV246"/>
      <c r="ULW246"/>
      <c r="ULX246"/>
      <c r="ULY246"/>
      <c r="ULZ246"/>
      <c r="UMA246"/>
      <c r="UMB246"/>
      <c r="UMC246"/>
      <c r="UMD246"/>
      <c r="UME246"/>
      <c r="UMF246"/>
      <c r="UMG246"/>
      <c r="UMH246"/>
      <c r="UMI246"/>
      <c r="UMJ246"/>
      <c r="UMK246"/>
      <c r="UML246"/>
      <c r="UMM246"/>
      <c r="UMN246"/>
      <c r="UMO246"/>
      <c r="UMP246"/>
      <c r="UMQ246"/>
      <c r="UMR246"/>
      <c r="UMS246"/>
      <c r="UMT246"/>
      <c r="UMU246"/>
      <c r="UMV246"/>
      <c r="UMW246"/>
      <c r="UMX246"/>
      <c r="UMY246"/>
      <c r="UMZ246"/>
      <c r="UNA246"/>
      <c r="UNB246"/>
      <c r="UNC246"/>
      <c r="UND246"/>
      <c r="UNE246"/>
      <c r="UNF246"/>
      <c r="UNG246"/>
      <c r="UNH246"/>
      <c r="UNI246"/>
      <c r="UNJ246"/>
      <c r="UNK246"/>
      <c r="UNL246"/>
      <c r="UNM246"/>
      <c r="UNN246"/>
      <c r="UNO246"/>
      <c r="UNP246"/>
      <c r="UNQ246"/>
      <c r="UNR246"/>
      <c r="UNS246"/>
      <c r="UNT246"/>
      <c r="UNU246"/>
      <c r="UNV246"/>
      <c r="UNW246"/>
      <c r="UNX246"/>
      <c r="UNY246"/>
      <c r="UNZ246"/>
      <c r="UOA246"/>
      <c r="UOB246"/>
      <c r="UOC246"/>
      <c r="UOD246"/>
      <c r="UOE246"/>
      <c r="UOF246"/>
      <c r="UOG246"/>
      <c r="UOH246"/>
      <c r="UOI246"/>
      <c r="UOJ246"/>
      <c r="UOK246"/>
      <c r="UOL246"/>
      <c r="UOM246"/>
      <c r="UON246"/>
      <c r="UOO246"/>
      <c r="UOP246"/>
      <c r="UOQ246"/>
      <c r="UOR246"/>
      <c r="UOS246"/>
      <c r="UOT246"/>
      <c r="UOU246"/>
      <c r="UOV246"/>
      <c r="UOW246"/>
      <c r="UOX246"/>
      <c r="UOY246"/>
      <c r="UOZ246"/>
      <c r="UPA246"/>
      <c r="UPB246"/>
      <c r="UPC246"/>
      <c r="UPD246"/>
      <c r="UPE246"/>
      <c r="UPF246"/>
      <c r="UPG246"/>
      <c r="UPH246"/>
      <c r="UPI246"/>
      <c r="UPJ246"/>
      <c r="UPK246"/>
      <c r="UPL246"/>
      <c r="UPM246"/>
      <c r="UPN246"/>
      <c r="UPO246"/>
      <c r="UPP246"/>
      <c r="UPQ246"/>
      <c r="UPR246"/>
      <c r="UPS246"/>
      <c r="UPT246"/>
      <c r="UPU246"/>
      <c r="UPV246"/>
      <c r="UPW246"/>
      <c r="UPX246"/>
      <c r="UPY246"/>
      <c r="UPZ246"/>
      <c r="UQA246"/>
      <c r="UQB246"/>
      <c r="UQC246"/>
      <c r="UQD246"/>
      <c r="UQE246"/>
      <c r="UQF246"/>
      <c r="UQG246"/>
      <c r="UQH246"/>
      <c r="UQI246"/>
      <c r="UQJ246"/>
      <c r="UQK246"/>
      <c r="UQL246"/>
      <c r="UQM246"/>
      <c r="UQN246"/>
      <c r="UQO246"/>
      <c r="UQP246"/>
      <c r="UQQ246"/>
      <c r="UQR246"/>
      <c r="UQS246"/>
      <c r="UQT246"/>
      <c r="UQU246"/>
      <c r="UQV246"/>
      <c r="UQW246"/>
      <c r="UQX246"/>
      <c r="UQY246"/>
      <c r="UQZ246"/>
      <c r="URA246"/>
      <c r="URB246"/>
      <c r="URC246"/>
      <c r="URD246"/>
      <c r="URE246"/>
      <c r="URF246"/>
      <c r="URG246"/>
      <c r="URH246"/>
      <c r="URI246"/>
      <c r="URJ246"/>
      <c r="URK246"/>
      <c r="URL246"/>
      <c r="URM246"/>
      <c r="URN246"/>
      <c r="URO246"/>
      <c r="URP246"/>
      <c r="URQ246"/>
      <c r="URR246"/>
      <c r="URS246"/>
      <c r="URT246"/>
      <c r="URU246"/>
      <c r="URV246"/>
      <c r="URW246"/>
      <c r="URX246"/>
      <c r="URY246"/>
      <c r="URZ246"/>
      <c r="USA246"/>
      <c r="USB246"/>
      <c r="USC246"/>
      <c r="USD246"/>
      <c r="USE246"/>
      <c r="USF246"/>
      <c r="USG246"/>
      <c r="USH246"/>
      <c r="USI246"/>
      <c r="USJ246"/>
      <c r="USK246"/>
      <c r="USL246"/>
      <c r="USM246"/>
      <c r="USN246"/>
      <c r="USO246"/>
      <c r="USP246"/>
      <c r="USQ246"/>
      <c r="USR246"/>
      <c r="USS246"/>
      <c r="UST246"/>
      <c r="USU246"/>
      <c r="USV246"/>
      <c r="USW246"/>
      <c r="USX246"/>
      <c r="USY246"/>
      <c r="USZ246"/>
      <c r="UTA246"/>
      <c r="UTB246"/>
      <c r="UTC246"/>
      <c r="UTD246"/>
      <c r="UTE246"/>
      <c r="UTF246"/>
      <c r="UTG246"/>
      <c r="UTH246"/>
      <c r="UTI246"/>
      <c r="UTJ246"/>
      <c r="UTK246"/>
      <c r="UTL246"/>
      <c r="UTM246"/>
      <c r="UTN246"/>
      <c r="UTO246"/>
      <c r="UTP246"/>
      <c r="UTQ246"/>
      <c r="UTR246"/>
      <c r="UTS246"/>
      <c r="UTT246"/>
      <c r="UTU246"/>
      <c r="UTV246"/>
      <c r="UTW246"/>
      <c r="UTX246"/>
      <c r="UTY246"/>
      <c r="UTZ246"/>
      <c r="UUA246"/>
      <c r="UUB246"/>
      <c r="UUC246"/>
      <c r="UUD246"/>
      <c r="UUE246"/>
      <c r="UUF246"/>
      <c r="UUG246"/>
      <c r="UUH246"/>
      <c r="UUI246"/>
      <c r="UUJ246"/>
      <c r="UUK246"/>
      <c r="UUL246"/>
      <c r="UUM246"/>
      <c r="UUN246"/>
      <c r="UUO246"/>
      <c r="UUP246"/>
      <c r="UUQ246"/>
      <c r="UUR246"/>
      <c r="UUS246"/>
      <c r="UUT246"/>
      <c r="UUU246"/>
      <c r="UUV246"/>
      <c r="UUW246"/>
      <c r="UUX246"/>
      <c r="UUY246"/>
      <c r="UUZ246"/>
      <c r="UVA246"/>
      <c r="UVB246"/>
      <c r="UVC246"/>
      <c r="UVD246"/>
      <c r="UVE246"/>
      <c r="UVF246"/>
      <c r="UVG246"/>
      <c r="UVH246"/>
      <c r="UVI246"/>
      <c r="UVJ246"/>
      <c r="UVK246"/>
      <c r="UVL246"/>
      <c r="UVM246"/>
      <c r="UVN246"/>
      <c r="UVO246"/>
      <c r="UVP246"/>
      <c r="UVQ246"/>
      <c r="UVR246"/>
      <c r="UVS246"/>
      <c r="UVT246"/>
      <c r="UVU246"/>
      <c r="UVV246"/>
      <c r="UVW246"/>
      <c r="UVX246"/>
      <c r="UVY246"/>
      <c r="UVZ246"/>
      <c r="UWA246"/>
      <c r="UWB246"/>
      <c r="UWC246"/>
      <c r="UWD246"/>
      <c r="UWE246"/>
      <c r="UWF246"/>
      <c r="UWG246"/>
      <c r="UWH246"/>
      <c r="UWI246"/>
      <c r="UWJ246"/>
      <c r="UWK246"/>
      <c r="UWL246"/>
      <c r="UWM246"/>
      <c r="UWN246"/>
      <c r="UWO246"/>
      <c r="UWP246"/>
      <c r="UWQ246"/>
      <c r="UWR246"/>
      <c r="UWS246"/>
      <c r="UWT246"/>
      <c r="UWU246"/>
      <c r="UWV246"/>
      <c r="UWW246"/>
      <c r="UWX246"/>
      <c r="UWY246"/>
      <c r="UWZ246"/>
      <c r="UXA246"/>
      <c r="UXB246"/>
      <c r="UXC246"/>
      <c r="UXD246"/>
      <c r="UXE246"/>
      <c r="UXF246"/>
      <c r="UXG246"/>
      <c r="UXH246"/>
      <c r="UXI246"/>
      <c r="UXJ246"/>
      <c r="UXK246"/>
      <c r="UXL246"/>
      <c r="UXM246"/>
      <c r="UXN246"/>
      <c r="UXO246"/>
      <c r="UXP246"/>
      <c r="UXQ246"/>
      <c r="UXR246"/>
      <c r="UXS246"/>
      <c r="UXT246"/>
      <c r="UXU246"/>
      <c r="UXV246"/>
      <c r="UXW246"/>
      <c r="UXX246"/>
      <c r="UXY246"/>
      <c r="UXZ246"/>
      <c r="UYA246"/>
      <c r="UYB246"/>
      <c r="UYC246"/>
      <c r="UYD246"/>
      <c r="UYE246"/>
      <c r="UYF246"/>
      <c r="UYG246"/>
      <c r="UYH246"/>
      <c r="UYI246"/>
      <c r="UYJ246"/>
      <c r="UYK246"/>
      <c r="UYL246"/>
      <c r="UYM246"/>
      <c r="UYN246"/>
      <c r="UYO246"/>
      <c r="UYP246"/>
      <c r="UYQ246"/>
      <c r="UYR246"/>
      <c r="UYS246"/>
      <c r="UYT246"/>
      <c r="UYU246"/>
      <c r="UYV246"/>
      <c r="UYW246"/>
      <c r="UYX246"/>
      <c r="UYY246"/>
      <c r="UYZ246"/>
      <c r="UZA246"/>
      <c r="UZB246"/>
      <c r="UZC246"/>
      <c r="UZD246"/>
      <c r="UZE246"/>
      <c r="UZF246"/>
      <c r="UZG246"/>
      <c r="UZH246"/>
      <c r="UZI246"/>
      <c r="UZJ246"/>
      <c r="UZK246"/>
      <c r="UZL246"/>
      <c r="UZM246"/>
      <c r="UZN246"/>
      <c r="UZO246"/>
      <c r="UZP246"/>
      <c r="UZQ246"/>
      <c r="UZR246"/>
      <c r="UZS246"/>
      <c r="UZT246"/>
      <c r="UZU246"/>
      <c r="UZV246"/>
      <c r="UZW246"/>
      <c r="UZX246"/>
      <c r="UZY246"/>
      <c r="UZZ246"/>
      <c r="VAA246"/>
      <c r="VAB246"/>
      <c r="VAC246"/>
      <c r="VAD246"/>
      <c r="VAE246"/>
      <c r="VAF246"/>
      <c r="VAG246"/>
      <c r="VAH246"/>
      <c r="VAI246"/>
      <c r="VAJ246"/>
      <c r="VAK246"/>
      <c r="VAL246"/>
      <c r="VAM246"/>
      <c r="VAN246"/>
      <c r="VAO246"/>
      <c r="VAP246"/>
      <c r="VAQ246"/>
      <c r="VAR246"/>
      <c r="VAS246"/>
      <c r="VAT246"/>
      <c r="VAU246"/>
      <c r="VAV246"/>
      <c r="VAW246"/>
      <c r="VAX246"/>
      <c r="VAY246"/>
      <c r="VAZ246"/>
      <c r="VBA246"/>
      <c r="VBB246"/>
      <c r="VBC246"/>
      <c r="VBD246"/>
      <c r="VBE246"/>
      <c r="VBF246"/>
      <c r="VBG246"/>
      <c r="VBH246"/>
      <c r="VBI246"/>
      <c r="VBJ246"/>
      <c r="VBK246"/>
      <c r="VBL246"/>
      <c r="VBM246"/>
      <c r="VBN246"/>
      <c r="VBO246"/>
      <c r="VBP246"/>
      <c r="VBQ246"/>
      <c r="VBR246"/>
      <c r="VBS246"/>
      <c r="VBT246"/>
      <c r="VBU246"/>
      <c r="VBV246"/>
      <c r="VBW246"/>
      <c r="VBX246"/>
      <c r="VBY246"/>
      <c r="VBZ246"/>
      <c r="VCA246"/>
      <c r="VCB246"/>
      <c r="VCC246"/>
      <c r="VCD246"/>
      <c r="VCE246"/>
      <c r="VCF246"/>
      <c r="VCG246"/>
      <c r="VCH246"/>
      <c r="VCI246"/>
      <c r="VCJ246"/>
      <c r="VCK246"/>
      <c r="VCL246"/>
      <c r="VCM246"/>
      <c r="VCN246"/>
      <c r="VCO246"/>
      <c r="VCP246"/>
      <c r="VCQ246"/>
      <c r="VCR246"/>
      <c r="VCS246"/>
      <c r="VCT246"/>
      <c r="VCU246"/>
      <c r="VCV246"/>
      <c r="VCW246"/>
      <c r="VCX246"/>
      <c r="VCY246"/>
      <c r="VCZ246"/>
      <c r="VDA246"/>
      <c r="VDB246"/>
      <c r="VDC246"/>
      <c r="VDD246"/>
      <c r="VDE246"/>
      <c r="VDF246"/>
      <c r="VDG246"/>
      <c r="VDH246"/>
      <c r="VDI246"/>
      <c r="VDJ246"/>
      <c r="VDK246"/>
      <c r="VDL246"/>
      <c r="VDM246"/>
      <c r="VDN246"/>
      <c r="VDO246"/>
      <c r="VDP246"/>
      <c r="VDQ246"/>
      <c r="VDR246"/>
      <c r="VDS246"/>
      <c r="VDT246"/>
      <c r="VDU246"/>
      <c r="VDV246"/>
      <c r="VDW246"/>
      <c r="VDX246"/>
      <c r="VDY246"/>
      <c r="VDZ246"/>
      <c r="VEA246"/>
      <c r="VEB246"/>
      <c r="VEC246"/>
      <c r="VED246"/>
      <c r="VEE246"/>
      <c r="VEF246"/>
      <c r="VEG246"/>
      <c r="VEH246"/>
      <c r="VEI246"/>
      <c r="VEJ246"/>
      <c r="VEK246"/>
      <c r="VEL246"/>
      <c r="VEM246"/>
      <c r="VEN246"/>
      <c r="VEO246"/>
      <c r="VEP246"/>
      <c r="VEQ246"/>
      <c r="VER246"/>
      <c r="VES246"/>
      <c r="VET246"/>
      <c r="VEU246"/>
      <c r="VEV246"/>
      <c r="VEW246"/>
      <c r="VEX246"/>
      <c r="VEY246"/>
      <c r="VEZ246"/>
      <c r="VFA246"/>
      <c r="VFB246"/>
      <c r="VFC246"/>
      <c r="VFD246"/>
      <c r="VFE246"/>
      <c r="VFF246"/>
      <c r="VFG246"/>
      <c r="VFH246"/>
      <c r="VFI246"/>
      <c r="VFJ246"/>
      <c r="VFK246"/>
      <c r="VFL246"/>
      <c r="VFM246"/>
      <c r="VFN246"/>
      <c r="VFO246"/>
      <c r="VFP246"/>
      <c r="VFQ246"/>
      <c r="VFR246"/>
      <c r="VFS246"/>
      <c r="VFT246"/>
      <c r="VFU246"/>
      <c r="VFV246"/>
      <c r="VFW246"/>
      <c r="VFX246"/>
      <c r="VFY246"/>
      <c r="VFZ246"/>
      <c r="VGA246"/>
      <c r="VGB246"/>
      <c r="VGC246"/>
      <c r="VGD246"/>
      <c r="VGE246"/>
      <c r="VGF246"/>
      <c r="VGG246"/>
      <c r="VGH246"/>
      <c r="VGI246"/>
      <c r="VGJ246"/>
      <c r="VGK246"/>
      <c r="VGL246"/>
      <c r="VGM246"/>
      <c r="VGN246"/>
      <c r="VGO246"/>
      <c r="VGP246"/>
      <c r="VGQ246"/>
      <c r="VGR246"/>
      <c r="VGS246"/>
      <c r="VGT246"/>
      <c r="VGU246"/>
      <c r="VGV246"/>
      <c r="VGW246"/>
      <c r="VGX246"/>
      <c r="VGY246"/>
      <c r="VGZ246"/>
      <c r="VHA246"/>
      <c r="VHB246"/>
      <c r="VHC246"/>
      <c r="VHD246"/>
      <c r="VHE246"/>
      <c r="VHF246"/>
      <c r="VHG246"/>
      <c r="VHH246"/>
      <c r="VHI246"/>
      <c r="VHJ246"/>
      <c r="VHK246"/>
      <c r="VHL246"/>
      <c r="VHM246"/>
      <c r="VHN246"/>
      <c r="VHO246"/>
      <c r="VHP246"/>
      <c r="VHQ246"/>
      <c r="VHR246"/>
      <c r="VHS246"/>
      <c r="VHT246"/>
      <c r="VHU246"/>
      <c r="VHV246"/>
      <c r="VHW246"/>
      <c r="VHX246"/>
      <c r="VHY246"/>
      <c r="VHZ246"/>
      <c r="VIA246"/>
      <c r="VIB246"/>
      <c r="VIC246"/>
      <c r="VID246"/>
      <c r="VIE246"/>
      <c r="VIF246"/>
      <c r="VIG246"/>
      <c r="VIH246"/>
      <c r="VII246"/>
      <c r="VIJ246"/>
      <c r="VIK246"/>
      <c r="VIL246"/>
      <c r="VIM246"/>
      <c r="VIN246"/>
      <c r="VIO246"/>
      <c r="VIP246"/>
      <c r="VIQ246"/>
      <c r="VIR246"/>
      <c r="VIS246"/>
      <c r="VIT246"/>
      <c r="VIU246"/>
      <c r="VIV246"/>
      <c r="VIW246"/>
      <c r="VIX246"/>
      <c r="VIY246"/>
      <c r="VIZ246"/>
      <c r="VJA246"/>
      <c r="VJB246"/>
      <c r="VJC246"/>
      <c r="VJD246"/>
      <c r="VJE246"/>
      <c r="VJF246"/>
      <c r="VJG246"/>
      <c r="VJH246"/>
      <c r="VJI246"/>
      <c r="VJJ246"/>
      <c r="VJK246"/>
      <c r="VJL246"/>
      <c r="VJM246"/>
      <c r="VJN246"/>
      <c r="VJO246"/>
      <c r="VJP246"/>
      <c r="VJQ246"/>
      <c r="VJR246"/>
      <c r="VJS246"/>
      <c r="VJT246"/>
      <c r="VJU246"/>
      <c r="VJV246"/>
      <c r="VJW246"/>
      <c r="VJX246"/>
      <c r="VJY246"/>
      <c r="VJZ246"/>
      <c r="VKA246"/>
      <c r="VKB246"/>
      <c r="VKC246"/>
      <c r="VKD246"/>
      <c r="VKE246"/>
      <c r="VKF246"/>
      <c r="VKG246"/>
      <c r="VKH246"/>
      <c r="VKI246"/>
      <c r="VKJ246"/>
      <c r="VKK246"/>
      <c r="VKL246"/>
      <c r="VKM246"/>
      <c r="VKN246"/>
      <c r="VKO246"/>
      <c r="VKP246"/>
      <c r="VKQ246"/>
      <c r="VKR246"/>
      <c r="VKS246"/>
      <c r="VKT246"/>
      <c r="VKU246"/>
      <c r="VKV246"/>
      <c r="VKW246"/>
      <c r="VKX246"/>
      <c r="VKY246"/>
      <c r="VKZ246"/>
      <c r="VLA246"/>
      <c r="VLB246"/>
      <c r="VLC246"/>
      <c r="VLD246"/>
      <c r="VLE246"/>
      <c r="VLF246"/>
      <c r="VLG246"/>
      <c r="VLH246"/>
      <c r="VLI246"/>
      <c r="VLJ246"/>
      <c r="VLK246"/>
      <c r="VLL246"/>
      <c r="VLM246"/>
      <c r="VLN246"/>
      <c r="VLO246"/>
      <c r="VLP246"/>
      <c r="VLQ246"/>
      <c r="VLR246"/>
      <c r="VLS246"/>
      <c r="VLT246"/>
      <c r="VLU246"/>
      <c r="VLV246"/>
      <c r="VLW246"/>
      <c r="VLX246"/>
      <c r="VLY246"/>
      <c r="VLZ246"/>
      <c r="VMA246"/>
      <c r="VMB246"/>
      <c r="VMC246"/>
      <c r="VMD246"/>
      <c r="VME246"/>
      <c r="VMF246"/>
      <c r="VMG246"/>
      <c r="VMH246"/>
      <c r="VMI246"/>
      <c r="VMJ246"/>
      <c r="VMK246"/>
      <c r="VML246"/>
      <c r="VMM246"/>
      <c r="VMN246"/>
      <c r="VMO246"/>
      <c r="VMP246"/>
      <c r="VMQ246"/>
      <c r="VMR246"/>
      <c r="VMS246"/>
      <c r="VMT246"/>
      <c r="VMU246"/>
      <c r="VMV246"/>
      <c r="VMW246"/>
      <c r="VMX246"/>
      <c r="VMY246"/>
      <c r="VMZ246"/>
      <c r="VNA246"/>
      <c r="VNB246"/>
      <c r="VNC246"/>
      <c r="VND246"/>
      <c r="VNE246"/>
      <c r="VNF246"/>
      <c r="VNG246"/>
      <c r="VNH246"/>
      <c r="VNI246"/>
      <c r="VNJ246"/>
      <c r="VNK246"/>
      <c r="VNL246"/>
      <c r="VNM246"/>
      <c r="VNN246"/>
      <c r="VNO246"/>
      <c r="VNP246"/>
      <c r="VNQ246"/>
      <c r="VNR246"/>
      <c r="VNS246"/>
      <c r="VNT246"/>
      <c r="VNU246"/>
      <c r="VNV246"/>
      <c r="VNW246"/>
      <c r="VNX246"/>
      <c r="VNY246"/>
      <c r="VNZ246"/>
      <c r="VOA246"/>
      <c r="VOB246"/>
      <c r="VOC246"/>
      <c r="VOD246"/>
      <c r="VOE246"/>
      <c r="VOF246"/>
      <c r="VOG246"/>
      <c r="VOH246"/>
      <c r="VOI246"/>
      <c r="VOJ246"/>
      <c r="VOK246"/>
      <c r="VOL246"/>
      <c r="VOM246"/>
      <c r="VON246"/>
      <c r="VOO246"/>
      <c r="VOP246"/>
      <c r="VOQ246"/>
      <c r="VOR246"/>
      <c r="VOS246"/>
      <c r="VOT246"/>
      <c r="VOU246"/>
      <c r="VOV246"/>
      <c r="VOW246"/>
      <c r="VOX246"/>
      <c r="VOY246"/>
      <c r="VOZ246"/>
      <c r="VPA246"/>
      <c r="VPB246"/>
      <c r="VPC246"/>
      <c r="VPD246"/>
      <c r="VPE246"/>
      <c r="VPF246"/>
      <c r="VPG246"/>
      <c r="VPH246"/>
      <c r="VPI246"/>
      <c r="VPJ246"/>
      <c r="VPK246"/>
      <c r="VPL246"/>
      <c r="VPM246"/>
      <c r="VPN246"/>
      <c r="VPO246"/>
      <c r="VPP246"/>
      <c r="VPQ246"/>
      <c r="VPR246"/>
      <c r="VPS246"/>
      <c r="VPT246"/>
      <c r="VPU246"/>
      <c r="VPV246"/>
      <c r="VPW246"/>
      <c r="VPX246"/>
      <c r="VPY246"/>
      <c r="VPZ246"/>
      <c r="VQA246"/>
      <c r="VQB246"/>
      <c r="VQC246"/>
      <c r="VQD246"/>
      <c r="VQE246"/>
      <c r="VQF246"/>
      <c r="VQG246"/>
      <c r="VQH246"/>
      <c r="VQI246"/>
      <c r="VQJ246"/>
      <c r="VQK246"/>
      <c r="VQL246"/>
      <c r="VQM246"/>
      <c r="VQN246"/>
      <c r="VQO246"/>
      <c r="VQP246"/>
      <c r="VQQ246"/>
      <c r="VQR246"/>
      <c r="VQS246"/>
      <c r="VQT246"/>
      <c r="VQU246"/>
      <c r="VQV246"/>
      <c r="VQW246"/>
      <c r="VQX246"/>
      <c r="VQY246"/>
      <c r="VQZ246"/>
      <c r="VRA246"/>
      <c r="VRB246"/>
      <c r="VRC246"/>
      <c r="VRD246"/>
      <c r="VRE246"/>
      <c r="VRF246"/>
      <c r="VRG246"/>
      <c r="VRH246"/>
      <c r="VRI246"/>
      <c r="VRJ246"/>
      <c r="VRK246"/>
      <c r="VRL246"/>
      <c r="VRM246"/>
      <c r="VRN246"/>
      <c r="VRO246"/>
      <c r="VRP246"/>
      <c r="VRQ246"/>
      <c r="VRR246"/>
      <c r="VRS246"/>
      <c r="VRT246"/>
      <c r="VRU246"/>
      <c r="VRV246"/>
      <c r="VRW246"/>
      <c r="VRX246"/>
      <c r="VRY246"/>
      <c r="VRZ246"/>
      <c r="VSA246"/>
      <c r="VSB246"/>
      <c r="VSC246"/>
      <c r="VSD246"/>
      <c r="VSE246"/>
      <c r="VSF246"/>
      <c r="VSG246"/>
      <c r="VSH246"/>
      <c r="VSI246"/>
      <c r="VSJ246"/>
      <c r="VSK246"/>
      <c r="VSL246"/>
      <c r="VSM246"/>
      <c r="VSN246"/>
      <c r="VSO246"/>
      <c r="VSP246"/>
      <c r="VSQ246"/>
      <c r="VSR246"/>
      <c r="VSS246"/>
      <c r="VST246"/>
      <c r="VSU246"/>
      <c r="VSV246"/>
      <c r="VSW246"/>
      <c r="VSX246"/>
      <c r="VSY246"/>
      <c r="VSZ246"/>
      <c r="VTA246"/>
      <c r="VTB246"/>
      <c r="VTC246"/>
      <c r="VTD246"/>
      <c r="VTE246"/>
      <c r="VTF246"/>
      <c r="VTG246"/>
      <c r="VTH246"/>
      <c r="VTI246"/>
      <c r="VTJ246"/>
      <c r="VTK246"/>
      <c r="VTL246"/>
      <c r="VTM246"/>
      <c r="VTN246"/>
      <c r="VTO246"/>
      <c r="VTP246"/>
      <c r="VTQ246"/>
      <c r="VTR246"/>
      <c r="VTS246"/>
      <c r="VTT246"/>
      <c r="VTU246"/>
      <c r="VTV246"/>
      <c r="VTW246"/>
      <c r="VTX246"/>
      <c r="VTY246"/>
      <c r="VTZ246"/>
      <c r="VUA246"/>
      <c r="VUB246"/>
      <c r="VUC246"/>
      <c r="VUD246"/>
      <c r="VUE246"/>
      <c r="VUF246"/>
      <c r="VUG246"/>
      <c r="VUH246"/>
      <c r="VUI246"/>
      <c r="VUJ246"/>
      <c r="VUK246"/>
      <c r="VUL246"/>
      <c r="VUM246"/>
      <c r="VUN246"/>
      <c r="VUO246"/>
      <c r="VUP246"/>
      <c r="VUQ246"/>
      <c r="VUR246"/>
      <c r="VUS246"/>
      <c r="VUT246"/>
      <c r="VUU246"/>
      <c r="VUV246"/>
      <c r="VUW246"/>
      <c r="VUX246"/>
      <c r="VUY246"/>
      <c r="VUZ246"/>
      <c r="VVA246"/>
      <c r="VVB246"/>
      <c r="VVC246"/>
      <c r="VVD246"/>
      <c r="VVE246"/>
      <c r="VVF246"/>
      <c r="VVG246"/>
      <c r="VVH246"/>
      <c r="VVI246"/>
      <c r="VVJ246"/>
      <c r="VVK246"/>
      <c r="VVL246"/>
      <c r="VVM246"/>
      <c r="VVN246"/>
      <c r="VVO246"/>
      <c r="VVP246"/>
      <c r="VVQ246"/>
      <c r="VVR246"/>
      <c r="VVS246"/>
      <c r="VVT246"/>
      <c r="VVU246"/>
      <c r="VVV246"/>
      <c r="VVW246"/>
      <c r="VVX246"/>
      <c r="VVY246"/>
      <c r="VVZ246"/>
      <c r="VWA246"/>
      <c r="VWB246"/>
      <c r="VWC246"/>
      <c r="VWD246"/>
      <c r="VWE246"/>
      <c r="VWF246"/>
      <c r="VWG246"/>
      <c r="VWH246"/>
      <c r="VWI246"/>
      <c r="VWJ246"/>
      <c r="VWK246"/>
      <c r="VWL246"/>
      <c r="VWM246"/>
      <c r="VWN246"/>
      <c r="VWO246"/>
      <c r="VWP246"/>
      <c r="VWQ246"/>
      <c r="VWR246"/>
      <c r="VWS246"/>
      <c r="VWT246"/>
      <c r="VWU246"/>
      <c r="VWV246"/>
      <c r="VWW246"/>
      <c r="VWX246"/>
      <c r="VWY246"/>
      <c r="VWZ246"/>
      <c r="VXA246"/>
      <c r="VXB246"/>
      <c r="VXC246"/>
      <c r="VXD246"/>
      <c r="VXE246"/>
      <c r="VXF246"/>
      <c r="VXG246"/>
      <c r="VXH246"/>
      <c r="VXI246"/>
      <c r="VXJ246"/>
      <c r="VXK246"/>
      <c r="VXL246"/>
      <c r="VXM246"/>
      <c r="VXN246"/>
      <c r="VXO246"/>
      <c r="VXP246"/>
      <c r="VXQ246"/>
      <c r="VXR246"/>
      <c r="VXS246"/>
      <c r="VXT246"/>
      <c r="VXU246"/>
      <c r="VXV246"/>
      <c r="VXW246"/>
      <c r="VXX246"/>
      <c r="VXY246"/>
      <c r="VXZ246"/>
      <c r="VYA246"/>
      <c r="VYB246"/>
      <c r="VYC246"/>
      <c r="VYD246"/>
      <c r="VYE246"/>
      <c r="VYF246"/>
      <c r="VYG246"/>
      <c r="VYH246"/>
      <c r="VYI246"/>
      <c r="VYJ246"/>
      <c r="VYK246"/>
      <c r="VYL246"/>
      <c r="VYM246"/>
      <c r="VYN246"/>
      <c r="VYO246"/>
      <c r="VYP246"/>
      <c r="VYQ246"/>
      <c r="VYR246"/>
      <c r="VYS246"/>
      <c r="VYT246"/>
      <c r="VYU246"/>
      <c r="VYV246"/>
      <c r="VYW246"/>
      <c r="VYX246"/>
      <c r="VYY246"/>
      <c r="VYZ246"/>
      <c r="VZA246"/>
      <c r="VZB246"/>
      <c r="VZC246"/>
      <c r="VZD246"/>
      <c r="VZE246"/>
      <c r="VZF246"/>
      <c r="VZG246"/>
      <c r="VZH246"/>
      <c r="VZI246"/>
      <c r="VZJ246"/>
      <c r="VZK246"/>
      <c r="VZL246"/>
      <c r="VZM246"/>
      <c r="VZN246"/>
      <c r="VZO246"/>
      <c r="VZP246"/>
      <c r="VZQ246"/>
      <c r="VZR246"/>
      <c r="VZS246"/>
      <c r="VZT246"/>
      <c r="VZU246"/>
      <c r="VZV246"/>
      <c r="VZW246"/>
      <c r="VZX246"/>
      <c r="VZY246"/>
      <c r="VZZ246"/>
      <c r="WAA246"/>
      <c r="WAB246"/>
      <c r="WAC246"/>
      <c r="WAD246"/>
      <c r="WAE246"/>
      <c r="WAF246"/>
      <c r="WAG246"/>
      <c r="WAH246"/>
      <c r="WAI246"/>
      <c r="WAJ246"/>
      <c r="WAK246"/>
      <c r="WAL246"/>
      <c r="WAM246"/>
      <c r="WAN246"/>
      <c r="WAO246"/>
      <c r="WAP246"/>
      <c r="WAQ246"/>
      <c r="WAR246"/>
      <c r="WAS246"/>
      <c r="WAT246"/>
      <c r="WAU246"/>
      <c r="WAV246"/>
      <c r="WAW246"/>
      <c r="WAX246"/>
      <c r="WAY246"/>
      <c r="WAZ246"/>
      <c r="WBA246"/>
      <c r="WBB246"/>
      <c r="WBC246"/>
      <c r="WBD246"/>
      <c r="WBE246"/>
      <c r="WBF246"/>
      <c r="WBG246"/>
      <c r="WBH246"/>
      <c r="WBI246"/>
      <c r="WBJ246"/>
      <c r="WBK246"/>
      <c r="WBL246"/>
      <c r="WBM246"/>
      <c r="WBN246"/>
      <c r="WBO246"/>
      <c r="WBP246"/>
      <c r="WBQ246"/>
      <c r="WBR246"/>
      <c r="WBS246"/>
      <c r="WBT246"/>
      <c r="WBU246"/>
      <c r="WBV246"/>
      <c r="WBW246"/>
      <c r="WBX246"/>
      <c r="WBY246"/>
      <c r="WBZ246"/>
      <c r="WCA246"/>
      <c r="WCB246"/>
      <c r="WCC246"/>
      <c r="WCD246"/>
      <c r="WCE246"/>
      <c r="WCF246"/>
      <c r="WCG246"/>
      <c r="WCH246"/>
      <c r="WCI246"/>
      <c r="WCJ246"/>
      <c r="WCK246"/>
      <c r="WCL246"/>
      <c r="WCM246"/>
      <c r="WCN246"/>
      <c r="WCO246"/>
      <c r="WCP246"/>
      <c r="WCQ246"/>
      <c r="WCR246"/>
      <c r="WCS246"/>
      <c r="WCT246"/>
      <c r="WCU246"/>
      <c r="WCV246"/>
      <c r="WCW246"/>
      <c r="WCX246"/>
      <c r="WCY246"/>
      <c r="WCZ246"/>
      <c r="WDA246"/>
      <c r="WDB246"/>
      <c r="WDC246"/>
      <c r="WDD246"/>
      <c r="WDE246"/>
      <c r="WDF246"/>
      <c r="WDG246"/>
      <c r="WDH246"/>
      <c r="WDI246"/>
      <c r="WDJ246"/>
      <c r="WDK246"/>
      <c r="WDL246"/>
      <c r="WDM246"/>
      <c r="WDN246"/>
      <c r="WDO246"/>
      <c r="WDP246"/>
      <c r="WDQ246"/>
      <c r="WDR246"/>
      <c r="WDS246"/>
      <c r="WDT246"/>
      <c r="WDU246"/>
      <c r="WDV246"/>
      <c r="WDW246"/>
      <c r="WDX246"/>
      <c r="WDY246"/>
      <c r="WDZ246"/>
      <c r="WEA246"/>
      <c r="WEB246"/>
      <c r="WEC246"/>
      <c r="WED246"/>
      <c r="WEE246"/>
      <c r="WEF246"/>
      <c r="WEG246"/>
      <c r="WEH246"/>
      <c r="WEI246"/>
      <c r="WEJ246"/>
      <c r="WEK246"/>
      <c r="WEL246"/>
      <c r="WEM246"/>
      <c r="WEN246"/>
      <c r="WEO246"/>
      <c r="WEP246"/>
      <c r="WEQ246"/>
      <c r="WER246"/>
      <c r="WES246"/>
      <c r="WET246"/>
      <c r="WEU246"/>
      <c r="WEV246"/>
      <c r="WEW246"/>
      <c r="WEX246"/>
      <c r="WEY246"/>
      <c r="WEZ246"/>
      <c r="WFA246"/>
      <c r="WFB246"/>
      <c r="WFC246"/>
      <c r="WFD246"/>
      <c r="WFE246"/>
      <c r="WFF246"/>
      <c r="WFG246"/>
      <c r="WFH246"/>
      <c r="WFI246"/>
      <c r="WFJ246"/>
      <c r="WFK246"/>
      <c r="WFL246"/>
      <c r="WFM246"/>
      <c r="WFN246"/>
      <c r="WFO246"/>
      <c r="WFP246"/>
      <c r="WFQ246"/>
      <c r="WFR246"/>
      <c r="WFS246"/>
      <c r="WFT246"/>
      <c r="WFU246"/>
      <c r="WFV246"/>
      <c r="WFW246"/>
      <c r="WFX246"/>
      <c r="WFY246"/>
      <c r="WFZ246"/>
      <c r="WGA246"/>
      <c r="WGB246"/>
      <c r="WGC246"/>
      <c r="WGD246"/>
      <c r="WGE246"/>
      <c r="WGF246"/>
      <c r="WGG246"/>
      <c r="WGH246"/>
      <c r="WGI246"/>
      <c r="WGJ246"/>
      <c r="WGK246"/>
      <c r="WGL246"/>
      <c r="WGM246"/>
      <c r="WGN246"/>
      <c r="WGO246"/>
      <c r="WGP246"/>
      <c r="WGQ246"/>
      <c r="WGR246"/>
      <c r="WGS246"/>
      <c r="WGT246"/>
      <c r="WGU246"/>
      <c r="WGV246"/>
      <c r="WGW246"/>
      <c r="WGX246"/>
      <c r="WGY246"/>
      <c r="WGZ246"/>
      <c r="WHA246"/>
      <c r="WHB246"/>
      <c r="WHC246"/>
      <c r="WHD246"/>
      <c r="WHE246"/>
      <c r="WHF246"/>
      <c r="WHG246"/>
      <c r="WHH246"/>
      <c r="WHI246"/>
      <c r="WHJ246"/>
      <c r="WHK246"/>
      <c r="WHL246"/>
      <c r="WHM246"/>
      <c r="WHN246"/>
      <c r="WHO246"/>
      <c r="WHP246"/>
      <c r="WHQ246"/>
      <c r="WHR246"/>
      <c r="WHS246"/>
      <c r="WHT246"/>
      <c r="WHU246"/>
      <c r="WHV246"/>
      <c r="WHW246"/>
      <c r="WHX246"/>
      <c r="WHY246"/>
      <c r="WHZ246"/>
      <c r="WIA246"/>
      <c r="WIB246"/>
      <c r="WIC246"/>
      <c r="WID246"/>
      <c r="WIE246"/>
      <c r="WIF246"/>
      <c r="WIG246"/>
      <c r="WIH246"/>
      <c r="WII246"/>
      <c r="WIJ246"/>
      <c r="WIK246"/>
      <c r="WIL246"/>
      <c r="WIM246"/>
      <c r="WIN246"/>
      <c r="WIO246"/>
      <c r="WIP246"/>
      <c r="WIQ246"/>
      <c r="WIR246"/>
      <c r="WIS246"/>
      <c r="WIT246"/>
      <c r="WIU246"/>
      <c r="WIV246"/>
      <c r="WIW246"/>
      <c r="WIX246"/>
      <c r="WIY246"/>
      <c r="WIZ246"/>
      <c r="WJA246"/>
      <c r="WJB246"/>
      <c r="WJC246"/>
      <c r="WJD246"/>
      <c r="WJE246"/>
      <c r="WJF246"/>
      <c r="WJG246"/>
      <c r="WJH246"/>
      <c r="WJI246"/>
      <c r="WJJ246"/>
      <c r="WJK246"/>
      <c r="WJL246"/>
      <c r="WJM246"/>
      <c r="WJN246"/>
      <c r="WJO246"/>
      <c r="WJP246"/>
      <c r="WJQ246"/>
      <c r="WJR246"/>
      <c r="WJS246"/>
      <c r="WJT246"/>
      <c r="WJU246"/>
      <c r="WJV246"/>
      <c r="WJW246"/>
      <c r="WJX246"/>
      <c r="WJY246"/>
      <c r="WJZ246"/>
      <c r="WKA246"/>
      <c r="WKB246"/>
      <c r="WKC246"/>
      <c r="WKD246"/>
      <c r="WKE246"/>
      <c r="WKF246"/>
      <c r="WKG246"/>
      <c r="WKH246"/>
      <c r="WKI246"/>
      <c r="WKJ246"/>
      <c r="WKK246"/>
      <c r="WKL246"/>
      <c r="WKM246"/>
      <c r="WKN246"/>
      <c r="WKO246"/>
      <c r="WKP246"/>
      <c r="WKQ246"/>
      <c r="WKR246"/>
      <c r="WKS246"/>
      <c r="WKT246"/>
      <c r="WKU246"/>
      <c r="WKV246"/>
      <c r="WKW246"/>
      <c r="WKX246"/>
      <c r="WKY246"/>
      <c r="WKZ246"/>
      <c r="WLA246"/>
      <c r="WLB246"/>
      <c r="WLC246"/>
      <c r="WLD246"/>
      <c r="WLE246"/>
      <c r="WLF246"/>
      <c r="WLG246"/>
      <c r="WLH246"/>
      <c r="WLI246"/>
      <c r="WLJ246"/>
      <c r="WLK246"/>
      <c r="WLL246"/>
      <c r="WLM246"/>
      <c r="WLN246"/>
      <c r="WLO246"/>
      <c r="WLP246"/>
      <c r="WLQ246"/>
      <c r="WLR246"/>
      <c r="WLS246"/>
      <c r="WLT246"/>
      <c r="WLU246"/>
      <c r="WLV246"/>
      <c r="WLW246"/>
      <c r="WLX246"/>
      <c r="WLY246"/>
      <c r="WLZ246"/>
      <c r="WMA246"/>
      <c r="WMB246"/>
      <c r="WMC246"/>
      <c r="WMD246"/>
      <c r="WME246"/>
      <c r="WMF246"/>
      <c r="WMG246"/>
      <c r="WMH246"/>
      <c r="WMI246"/>
      <c r="WMJ246"/>
      <c r="WMK246"/>
      <c r="WML246"/>
      <c r="WMM246"/>
      <c r="WMN246"/>
      <c r="WMO246"/>
      <c r="WMP246"/>
      <c r="WMQ246"/>
      <c r="WMR246"/>
      <c r="WMS246"/>
      <c r="WMT246"/>
      <c r="WMU246"/>
      <c r="WMV246"/>
      <c r="WMW246"/>
      <c r="WMX246"/>
      <c r="WMY246"/>
      <c r="WMZ246"/>
      <c r="WNA246"/>
      <c r="WNB246"/>
      <c r="WNC246"/>
      <c r="WND246"/>
      <c r="WNE246"/>
      <c r="WNF246"/>
      <c r="WNG246"/>
      <c r="WNH246"/>
      <c r="WNI246"/>
      <c r="WNJ246"/>
      <c r="WNK246"/>
      <c r="WNL246"/>
      <c r="WNM246"/>
      <c r="WNN246"/>
      <c r="WNO246"/>
      <c r="WNP246"/>
      <c r="WNQ246"/>
      <c r="WNR246"/>
      <c r="WNS246"/>
      <c r="WNT246"/>
      <c r="WNU246"/>
      <c r="WNV246"/>
      <c r="WNW246"/>
      <c r="WNX246"/>
      <c r="WNY246"/>
      <c r="WNZ246"/>
      <c r="WOA246"/>
      <c r="WOB246"/>
      <c r="WOC246"/>
      <c r="WOD246"/>
      <c r="WOE246"/>
      <c r="WOF246"/>
      <c r="WOG246"/>
      <c r="WOH246"/>
      <c r="WOI246"/>
      <c r="WOJ246"/>
      <c r="WOK246"/>
      <c r="WOL246"/>
      <c r="WOM246"/>
      <c r="WON246"/>
      <c r="WOO246"/>
      <c r="WOP246"/>
      <c r="WOQ246"/>
      <c r="WOR246"/>
      <c r="WOS246"/>
      <c r="WOT246"/>
      <c r="WOU246"/>
      <c r="WOV246"/>
      <c r="WOW246"/>
      <c r="WOX246"/>
      <c r="WOY246"/>
      <c r="WOZ246"/>
      <c r="WPA246"/>
      <c r="WPB246"/>
      <c r="WPC246"/>
      <c r="WPD246"/>
      <c r="WPE246"/>
      <c r="WPF246"/>
      <c r="WPG246"/>
      <c r="WPH246"/>
      <c r="WPI246"/>
      <c r="WPJ246"/>
      <c r="WPK246"/>
      <c r="WPL246"/>
      <c r="WPM246"/>
      <c r="WPN246"/>
      <c r="WPO246"/>
      <c r="WPP246"/>
      <c r="WPQ246"/>
      <c r="WPR246"/>
      <c r="WPS246"/>
      <c r="WPT246"/>
      <c r="WPU246"/>
      <c r="WPV246"/>
      <c r="WPW246"/>
      <c r="WPX246"/>
      <c r="WPY246"/>
      <c r="WPZ246"/>
      <c r="WQA246"/>
      <c r="WQB246"/>
      <c r="WQC246"/>
      <c r="WQD246"/>
      <c r="WQE246"/>
      <c r="WQF246"/>
      <c r="WQG246"/>
      <c r="WQH246"/>
      <c r="WQI246"/>
      <c r="WQJ246"/>
      <c r="WQK246"/>
      <c r="WQL246"/>
      <c r="WQM246"/>
      <c r="WQN246"/>
      <c r="WQO246"/>
      <c r="WQP246"/>
      <c r="WQQ246"/>
      <c r="WQR246"/>
      <c r="WQS246"/>
      <c r="WQT246"/>
      <c r="WQU246"/>
      <c r="WQV246"/>
      <c r="WQW246"/>
      <c r="WQX246"/>
      <c r="WQY246"/>
      <c r="WQZ246"/>
      <c r="WRA246"/>
      <c r="WRB246"/>
      <c r="WRC246"/>
      <c r="WRD246"/>
      <c r="WRE246"/>
      <c r="WRF246"/>
      <c r="WRG246"/>
      <c r="WRH246"/>
      <c r="WRI246"/>
      <c r="WRJ246"/>
      <c r="WRK246"/>
      <c r="WRL246"/>
      <c r="WRM246"/>
      <c r="WRN246"/>
      <c r="WRO246"/>
      <c r="WRP246"/>
      <c r="WRQ246"/>
      <c r="WRR246"/>
      <c r="WRS246"/>
      <c r="WRT246"/>
      <c r="WRU246"/>
      <c r="WRV246"/>
      <c r="WRW246"/>
      <c r="WRX246"/>
      <c r="WRY246"/>
      <c r="WRZ246"/>
      <c r="WSA246"/>
      <c r="WSB246"/>
      <c r="WSC246"/>
      <c r="WSD246"/>
      <c r="WSE246"/>
      <c r="WSF246"/>
      <c r="WSG246"/>
      <c r="WSH246"/>
      <c r="WSI246"/>
      <c r="WSJ246"/>
      <c r="WSK246"/>
      <c r="WSL246"/>
      <c r="WSM246"/>
      <c r="WSN246"/>
      <c r="WSO246"/>
      <c r="WSP246"/>
      <c r="WSQ246"/>
      <c r="WSR246"/>
      <c r="WSS246"/>
      <c r="WST246"/>
      <c r="WSU246"/>
      <c r="WSV246"/>
      <c r="WSW246"/>
      <c r="WSX246"/>
      <c r="WSY246"/>
      <c r="WSZ246"/>
      <c r="WTA246"/>
      <c r="WTB246"/>
      <c r="WTC246"/>
      <c r="WTD246"/>
      <c r="WTE246"/>
      <c r="WTF246"/>
      <c r="WTG246"/>
      <c r="WTH246"/>
      <c r="WTI246"/>
      <c r="WTJ246"/>
      <c r="WTK246"/>
      <c r="WTL246"/>
      <c r="WTM246"/>
      <c r="WTN246"/>
      <c r="WTO246"/>
      <c r="WTP246"/>
      <c r="WTQ246"/>
      <c r="WTR246"/>
      <c r="WTS246"/>
      <c r="WTT246"/>
      <c r="WTU246"/>
      <c r="WTV246"/>
      <c r="WTW246"/>
      <c r="WTX246"/>
      <c r="WTY246"/>
      <c r="WTZ246"/>
      <c r="WUA246"/>
      <c r="WUB246"/>
      <c r="WUC246"/>
      <c r="WUD246"/>
      <c r="WUE246"/>
      <c r="WUF246"/>
      <c r="WUG246"/>
      <c r="WUH246"/>
      <c r="WUI246"/>
      <c r="WUJ246"/>
      <c r="WUK246"/>
      <c r="WUL246"/>
      <c r="WUM246"/>
      <c r="WUN246"/>
      <c r="WUO246"/>
      <c r="WUP246"/>
      <c r="WUQ246"/>
      <c r="WUR246"/>
      <c r="WUS246"/>
      <c r="WUT246"/>
      <c r="WUU246"/>
      <c r="WUV246"/>
      <c r="WUW246"/>
      <c r="WUX246"/>
      <c r="WUY246"/>
      <c r="WUZ246"/>
      <c r="WVA246"/>
      <c r="WVB246"/>
      <c r="WVC246"/>
      <c r="WVD246"/>
      <c r="WVE246"/>
      <c r="WVF246"/>
      <c r="WVG246"/>
      <c r="WVH246"/>
      <c r="WVI246"/>
      <c r="WVJ246"/>
      <c r="WVK246"/>
      <c r="WVL246"/>
      <c r="WVM246"/>
      <c r="WVN246"/>
      <c r="WVO246"/>
      <c r="WVP246"/>
      <c r="WVQ246"/>
      <c r="WVR246"/>
      <c r="WVS246"/>
      <c r="WVT246"/>
      <c r="WVU246"/>
      <c r="WVV246"/>
      <c r="WVW246"/>
      <c r="WVX246"/>
      <c r="WVY246"/>
      <c r="WVZ246"/>
      <c r="WWA246"/>
      <c r="WWB246"/>
      <c r="WWC246"/>
      <c r="WWD246"/>
      <c r="WWE246"/>
      <c r="WWF246"/>
      <c r="WWG246"/>
      <c r="WWH246"/>
      <c r="WWI246"/>
      <c r="WWJ246"/>
      <c r="WWK246"/>
      <c r="WWL246"/>
      <c r="WWM246"/>
      <c r="WWN246"/>
      <c r="WWO246"/>
      <c r="WWP246"/>
      <c r="WWQ246"/>
      <c r="WWR246"/>
      <c r="WWS246"/>
      <c r="WWT246"/>
      <c r="WWU246"/>
      <c r="WWV246"/>
      <c r="WWW246"/>
      <c r="WWX246"/>
      <c r="WWY246"/>
      <c r="WWZ246"/>
      <c r="WXA246"/>
      <c r="WXB246"/>
      <c r="WXC246"/>
      <c r="WXD246"/>
      <c r="WXE246"/>
      <c r="WXF246"/>
      <c r="WXG246"/>
      <c r="WXH246"/>
      <c r="WXI246"/>
      <c r="WXJ246"/>
      <c r="WXK246"/>
      <c r="WXL246"/>
      <c r="WXM246"/>
      <c r="WXN246"/>
      <c r="WXO246"/>
      <c r="WXP246"/>
      <c r="WXQ246"/>
      <c r="WXR246"/>
      <c r="WXS246"/>
      <c r="WXT246"/>
      <c r="WXU246"/>
      <c r="WXV246"/>
      <c r="WXW246"/>
      <c r="WXX246"/>
      <c r="WXY246"/>
      <c r="WXZ246"/>
      <c r="WYA246"/>
      <c r="WYB246"/>
      <c r="WYC246"/>
      <c r="WYD246"/>
      <c r="WYE246"/>
      <c r="WYF246"/>
      <c r="WYG246"/>
      <c r="WYH246"/>
      <c r="WYI246"/>
      <c r="WYJ246"/>
      <c r="WYK246"/>
      <c r="WYL246"/>
      <c r="WYM246"/>
      <c r="WYN246"/>
      <c r="WYO246"/>
      <c r="WYP246"/>
      <c r="WYQ246"/>
      <c r="WYR246"/>
      <c r="WYS246"/>
      <c r="WYT246"/>
      <c r="WYU246"/>
      <c r="WYV246"/>
      <c r="WYW246"/>
      <c r="WYX246"/>
      <c r="WYY246"/>
      <c r="WYZ246"/>
      <c r="WZA246"/>
      <c r="WZB246"/>
      <c r="WZC246"/>
      <c r="WZD246"/>
      <c r="WZE246"/>
      <c r="WZF246"/>
      <c r="WZG246"/>
      <c r="WZH246"/>
      <c r="WZI246"/>
      <c r="WZJ246"/>
      <c r="WZK246"/>
      <c r="WZL246"/>
      <c r="WZM246"/>
      <c r="WZN246"/>
      <c r="WZO246"/>
      <c r="WZP246"/>
      <c r="WZQ246"/>
      <c r="WZR246"/>
      <c r="WZS246"/>
      <c r="WZT246"/>
      <c r="WZU246"/>
      <c r="WZV246"/>
      <c r="WZW246"/>
      <c r="WZX246"/>
      <c r="WZY246"/>
      <c r="WZZ246"/>
      <c r="XAA246"/>
      <c r="XAB246"/>
      <c r="XAC246"/>
      <c r="XAD246"/>
      <c r="XAE246"/>
      <c r="XAF246"/>
      <c r="XAG246"/>
      <c r="XAH246"/>
      <c r="XAI246"/>
      <c r="XAJ246"/>
      <c r="XAK246"/>
      <c r="XAL246"/>
      <c r="XAM246"/>
      <c r="XAN246"/>
      <c r="XAO246"/>
      <c r="XAP246"/>
      <c r="XAQ246"/>
      <c r="XAR246"/>
      <c r="XAS246"/>
      <c r="XAT246"/>
      <c r="XAU246"/>
      <c r="XAV246"/>
      <c r="XAW246"/>
      <c r="XAX246"/>
      <c r="XAY246"/>
      <c r="XAZ246"/>
      <c r="XBA246"/>
      <c r="XBB246"/>
      <c r="XBC246"/>
      <c r="XBD246"/>
      <c r="XBE246"/>
      <c r="XBF246"/>
      <c r="XBG246"/>
      <c r="XBH246"/>
      <c r="XBI246"/>
      <c r="XBJ246"/>
      <c r="XBK246"/>
      <c r="XBL246"/>
      <c r="XBM246"/>
      <c r="XBN246"/>
      <c r="XBO246"/>
      <c r="XBP246"/>
      <c r="XBQ246"/>
      <c r="XBR246"/>
      <c r="XBS246"/>
      <c r="XBT246"/>
      <c r="XBU246"/>
      <c r="XBV246"/>
      <c r="XBW246"/>
      <c r="XBX246"/>
      <c r="XBY246"/>
      <c r="XBZ246"/>
      <c r="XCA246"/>
      <c r="XCB246"/>
      <c r="XCC246"/>
      <c r="XCD246"/>
      <c r="XCE246"/>
      <c r="XCF246"/>
      <c r="XCG246"/>
      <c r="XCH246"/>
      <c r="XCI246"/>
      <c r="XCJ246"/>
      <c r="XCK246"/>
      <c r="XCL246"/>
      <c r="XCM246"/>
      <c r="XCN246"/>
      <c r="XCO246"/>
      <c r="XCP246"/>
      <c r="XCQ246"/>
      <c r="XCR246"/>
      <c r="XCS246"/>
      <c r="XCT246"/>
      <c r="XCU246"/>
      <c r="XCV246"/>
      <c r="XCW246"/>
      <c r="XCX246"/>
      <c r="XCY246"/>
      <c r="XCZ246"/>
      <c r="XDA246"/>
      <c r="XDB246"/>
      <c r="XDC246"/>
      <c r="XDD246"/>
      <c r="XDE246"/>
      <c r="XDF246"/>
      <c r="XDG246"/>
      <c r="XDH246"/>
      <c r="XDI246"/>
      <c r="XDJ246"/>
      <c r="XDK246"/>
      <c r="XDL246"/>
      <c r="XDM246"/>
      <c r="XDN246"/>
      <c r="XDO246"/>
      <c r="XDP246"/>
      <c r="XDQ246"/>
      <c r="XDR246"/>
      <c r="XDS246"/>
      <c r="XDT246"/>
      <c r="XDU246"/>
      <c r="XDV246"/>
      <c r="XDW246"/>
      <c r="XDX246"/>
      <c r="XDY246"/>
      <c r="XDZ246"/>
      <c r="XEA246"/>
      <c r="XEB246"/>
      <c r="XEC246"/>
      <c r="XED246"/>
      <c r="XEE246"/>
      <c r="XEF246"/>
      <c r="XEG246"/>
      <c r="XEH246"/>
      <c r="XEI246"/>
      <c r="XEJ246"/>
      <c r="XEK246"/>
      <c r="XEL246"/>
      <c r="XEM246"/>
      <c r="XEN246"/>
      <c r="XEO246"/>
      <c r="XEP246"/>
      <c r="XEQ246"/>
      <c r="XER246"/>
      <c r="XES246"/>
      <c r="XET246"/>
      <c r="XEU246"/>
      <c r="XEV246"/>
      <c r="XEW246"/>
      <c r="XEX246"/>
      <c r="XEY246"/>
      <c r="XEZ246"/>
      <c r="XFA246"/>
      <c r="XFB246"/>
      <c r="XFC246"/>
      <c r="XFD246"/>
    </row>
    <row r="247" spans="2:16384" s="131" customFormat="1" x14ac:dyDescent="0.25">
      <c r="E247" s="175"/>
      <c r="F247" s="66" t="s">
        <v>141</v>
      </c>
      <c r="G247" s="139" t="s">
        <v>388</v>
      </c>
      <c r="H247" s="572"/>
      <c r="I247" s="572"/>
      <c r="J247" s="587"/>
      <c r="K247" s="587"/>
      <c r="L247" s="587"/>
      <c r="M247" s="587"/>
      <c r="N247" s="587"/>
      <c r="O247" s="587"/>
      <c r="P247" s="587"/>
      <c r="Q247" s="587"/>
      <c r="R247" s="587"/>
      <c r="S247" s="587"/>
      <c r="T247" s="587"/>
      <c r="U247" s="587"/>
      <c r="V247" s="587"/>
      <c r="W247" s="587"/>
      <c r="X247" s="587"/>
      <c r="Y247" s="587"/>
      <c r="Z247" s="587"/>
      <c r="AA247" s="587"/>
      <c r="AB247" s="587"/>
      <c r="AC247" s="587"/>
      <c r="AD247" s="587"/>
      <c r="AE247" s="587"/>
      <c r="AF247" s="587"/>
      <c r="AG247" s="587"/>
      <c r="AH247" s="587"/>
      <c r="AI247" s="587"/>
      <c r="AJ247" s="587"/>
      <c r="AK247" s="587"/>
      <c r="AL247" s="587"/>
      <c r="AM247" s="587"/>
      <c r="AN247" s="587"/>
      <c r="AO247" s="587"/>
      <c r="AP247" s="587"/>
      <c r="AQ247" s="571"/>
      <c r="AR247" s="571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  <c r="GB247"/>
      <c r="GC247"/>
      <c r="GD247"/>
      <c r="GE247"/>
      <c r="GF247"/>
      <c r="GG247"/>
      <c r="GH247"/>
      <c r="GI247"/>
      <c r="GJ247"/>
      <c r="GK247"/>
      <c r="GL247"/>
      <c r="GM247"/>
      <c r="GN247"/>
      <c r="GO247"/>
      <c r="GP247"/>
      <c r="GQ247"/>
      <c r="GR247"/>
      <c r="GS247"/>
      <c r="GT247"/>
      <c r="GU247"/>
      <c r="GV247"/>
      <c r="GW247"/>
      <c r="GX247"/>
      <c r="GY247"/>
      <c r="GZ247"/>
      <c r="HA247"/>
      <c r="HB247"/>
      <c r="HC247"/>
      <c r="HD247"/>
      <c r="HE247"/>
      <c r="HF247"/>
      <c r="HG247"/>
      <c r="HH247"/>
      <c r="HI247"/>
      <c r="HJ247"/>
      <c r="HK247"/>
      <c r="HL247"/>
      <c r="HM247"/>
      <c r="HN247"/>
      <c r="HO247"/>
      <c r="HP247"/>
      <c r="HQ247"/>
      <c r="HR247"/>
      <c r="HS247"/>
      <c r="HT247"/>
      <c r="HU247"/>
      <c r="HV247"/>
      <c r="HW247"/>
      <c r="HX247"/>
      <c r="HY247"/>
      <c r="HZ247"/>
      <c r="IA247"/>
      <c r="IB247"/>
      <c r="IC247"/>
      <c r="ID247"/>
      <c r="IE247"/>
      <c r="IF247"/>
      <c r="IG247"/>
      <c r="IH247"/>
      <c r="II247"/>
      <c r="IJ247"/>
      <c r="IK247"/>
      <c r="IL247"/>
      <c r="IM247"/>
      <c r="IN247"/>
      <c r="IO247"/>
      <c r="IP247"/>
      <c r="IQ247"/>
      <c r="IR247"/>
      <c r="IS247"/>
      <c r="IT247"/>
      <c r="IU247"/>
      <c r="IV247"/>
      <c r="IW247"/>
      <c r="IX247"/>
      <c r="IY247"/>
      <c r="IZ247"/>
      <c r="JA247"/>
      <c r="JB247"/>
      <c r="JC247"/>
      <c r="JD247"/>
      <c r="JE247"/>
      <c r="JF247"/>
      <c r="JG247"/>
      <c r="JH247"/>
      <c r="JI247"/>
      <c r="JJ247"/>
      <c r="JK247"/>
      <c r="JL247"/>
      <c r="JM247"/>
      <c r="JN247"/>
      <c r="JO247"/>
      <c r="JP247"/>
      <c r="JQ247"/>
      <c r="JR247"/>
      <c r="JS247"/>
      <c r="JT247"/>
      <c r="JU247"/>
      <c r="JV247"/>
      <c r="JW247"/>
      <c r="JX247"/>
      <c r="JY247"/>
      <c r="JZ247"/>
      <c r="KA247"/>
      <c r="KB247"/>
      <c r="KC247"/>
      <c r="KD247"/>
      <c r="KE247"/>
      <c r="KF247"/>
      <c r="KG247"/>
      <c r="KH247"/>
      <c r="KI247"/>
      <c r="KJ247"/>
      <c r="KK247"/>
      <c r="KL247"/>
      <c r="KM247"/>
      <c r="KN247"/>
      <c r="KO247"/>
      <c r="KP247"/>
      <c r="KQ247"/>
      <c r="KR247"/>
      <c r="KS247"/>
      <c r="KT247"/>
      <c r="KU247"/>
      <c r="KV247"/>
      <c r="KW247"/>
      <c r="KX247"/>
      <c r="KY247"/>
      <c r="KZ247"/>
      <c r="LA247"/>
      <c r="LB247"/>
      <c r="LC247"/>
      <c r="LD247"/>
      <c r="LE247"/>
      <c r="LF247"/>
      <c r="LG247"/>
      <c r="LH247"/>
      <c r="LI247"/>
      <c r="LJ247"/>
      <c r="LK247"/>
      <c r="LL247"/>
      <c r="LM247"/>
      <c r="LN247"/>
      <c r="LO247"/>
      <c r="LP247"/>
      <c r="LQ247"/>
      <c r="LR247"/>
      <c r="LS247"/>
      <c r="LT247"/>
      <c r="LU247"/>
      <c r="LV247"/>
      <c r="LW247"/>
      <c r="LX247"/>
      <c r="LY247"/>
      <c r="LZ247"/>
      <c r="MA247"/>
      <c r="MB247"/>
      <c r="MC247"/>
      <c r="MD247"/>
      <c r="ME247"/>
      <c r="MF247"/>
      <c r="MG247"/>
      <c r="MH247"/>
      <c r="MI247"/>
      <c r="MJ247"/>
      <c r="MK247"/>
      <c r="ML247"/>
      <c r="MM247"/>
      <c r="MN247"/>
      <c r="MO247"/>
      <c r="MP247"/>
      <c r="MQ247"/>
      <c r="MR247"/>
      <c r="MS247"/>
      <c r="MT247"/>
      <c r="MU247"/>
      <c r="MV247"/>
      <c r="MW247"/>
      <c r="MX247"/>
      <c r="MY247"/>
      <c r="MZ247"/>
      <c r="NA247"/>
      <c r="NB247"/>
      <c r="NC247"/>
      <c r="ND247"/>
      <c r="NE247"/>
      <c r="NF247"/>
      <c r="NG247"/>
      <c r="NH247"/>
      <c r="NI247"/>
      <c r="NJ247"/>
      <c r="NK247"/>
      <c r="NL247"/>
      <c r="NM247"/>
      <c r="NN247"/>
      <c r="NO247"/>
      <c r="NP247"/>
      <c r="NQ247"/>
      <c r="NR247"/>
      <c r="NS247"/>
      <c r="NT247"/>
      <c r="NU247"/>
      <c r="NV247"/>
      <c r="NW247"/>
      <c r="NX247"/>
      <c r="NY247"/>
      <c r="NZ247"/>
      <c r="OA247"/>
      <c r="OB247"/>
      <c r="OC247"/>
      <c r="OD247"/>
      <c r="OE247"/>
      <c r="OF247"/>
      <c r="OG247"/>
      <c r="OH247"/>
      <c r="OI247"/>
      <c r="OJ247"/>
      <c r="OK247"/>
      <c r="OL247"/>
      <c r="OM247"/>
      <c r="ON247"/>
      <c r="OO247"/>
      <c r="OP247"/>
      <c r="OQ247"/>
      <c r="OR247"/>
      <c r="OS247"/>
      <c r="OT247"/>
      <c r="OU247"/>
      <c r="OV247"/>
      <c r="OW247"/>
      <c r="OX247"/>
      <c r="OY247"/>
      <c r="OZ247"/>
      <c r="PA247"/>
      <c r="PB247"/>
      <c r="PC247"/>
      <c r="PD247"/>
      <c r="PE247"/>
      <c r="PF247"/>
      <c r="PG247"/>
      <c r="PH247"/>
      <c r="PI247"/>
      <c r="PJ247"/>
      <c r="PK247"/>
      <c r="PL247"/>
      <c r="PM247"/>
      <c r="PN247"/>
      <c r="PO247"/>
      <c r="PP247"/>
      <c r="PQ247"/>
      <c r="PR247"/>
      <c r="PS247"/>
      <c r="PT247"/>
      <c r="PU247"/>
      <c r="PV247"/>
      <c r="PW247"/>
      <c r="PX247"/>
      <c r="PY247"/>
      <c r="PZ247"/>
      <c r="QA247"/>
      <c r="QB247"/>
      <c r="QC247"/>
      <c r="QD247"/>
      <c r="QE247"/>
      <c r="QF247"/>
      <c r="QG247"/>
      <c r="QH247"/>
      <c r="QI247"/>
      <c r="QJ247"/>
      <c r="QK247"/>
      <c r="QL247"/>
      <c r="QM247"/>
      <c r="QN247"/>
      <c r="QO247"/>
      <c r="QP247"/>
      <c r="QQ247"/>
      <c r="QR247"/>
      <c r="QS247"/>
      <c r="QT247"/>
      <c r="QU247"/>
      <c r="QV247"/>
      <c r="QW247"/>
      <c r="QX247"/>
      <c r="QY247"/>
      <c r="QZ247"/>
      <c r="RA247"/>
      <c r="RB247"/>
      <c r="RC247"/>
      <c r="RD247"/>
      <c r="RE247"/>
      <c r="RF247"/>
      <c r="RG247"/>
      <c r="RH247"/>
      <c r="RI247"/>
      <c r="RJ247"/>
      <c r="RK247"/>
      <c r="RL247"/>
      <c r="RM247"/>
      <c r="RN247"/>
      <c r="RO247"/>
      <c r="RP247"/>
      <c r="RQ247"/>
      <c r="RR247"/>
      <c r="RS247"/>
      <c r="RT247"/>
      <c r="RU247"/>
      <c r="RV247"/>
      <c r="RW247"/>
      <c r="RX247"/>
      <c r="RY247"/>
      <c r="RZ247"/>
      <c r="SA247"/>
      <c r="SB247"/>
      <c r="SC247"/>
      <c r="SD247"/>
      <c r="SE247"/>
      <c r="SF247"/>
      <c r="SG247"/>
      <c r="SH247"/>
      <c r="SI247"/>
      <c r="SJ247"/>
      <c r="SK247"/>
      <c r="SL247"/>
      <c r="SM247"/>
      <c r="SN247"/>
      <c r="SO247"/>
      <c r="SP247"/>
      <c r="SQ247"/>
      <c r="SR247"/>
      <c r="SS247"/>
      <c r="ST247"/>
      <c r="SU247"/>
      <c r="SV247"/>
      <c r="SW247"/>
      <c r="SX247"/>
      <c r="SY247"/>
      <c r="SZ247"/>
      <c r="TA247"/>
      <c r="TB247"/>
      <c r="TC247"/>
      <c r="TD247"/>
      <c r="TE247"/>
      <c r="TF247"/>
      <c r="TG247"/>
      <c r="TH247"/>
      <c r="TI247"/>
      <c r="TJ247"/>
      <c r="TK247"/>
      <c r="TL247"/>
      <c r="TM247"/>
      <c r="TN247"/>
      <c r="TO247"/>
      <c r="TP247"/>
      <c r="TQ247"/>
      <c r="TR247"/>
      <c r="TS247"/>
      <c r="TT247"/>
      <c r="TU247"/>
      <c r="TV247"/>
      <c r="TW247"/>
      <c r="TX247"/>
      <c r="TY247"/>
      <c r="TZ247"/>
      <c r="UA247"/>
      <c r="UB247"/>
      <c r="UC247"/>
      <c r="UD247"/>
      <c r="UE247"/>
      <c r="UF247"/>
      <c r="UG247"/>
      <c r="UH247"/>
      <c r="UI247"/>
      <c r="UJ247"/>
      <c r="UK247"/>
      <c r="UL247"/>
      <c r="UM247"/>
      <c r="UN247"/>
      <c r="UO247"/>
      <c r="UP247"/>
      <c r="UQ247"/>
      <c r="UR247"/>
      <c r="US247"/>
      <c r="UT247"/>
      <c r="UU247"/>
      <c r="UV247"/>
      <c r="UW247"/>
      <c r="UX247"/>
      <c r="UY247"/>
      <c r="UZ247"/>
      <c r="VA247"/>
      <c r="VB247"/>
      <c r="VC247"/>
      <c r="VD247"/>
      <c r="VE247"/>
      <c r="VF247"/>
      <c r="VG247"/>
      <c r="VH247"/>
      <c r="VI247"/>
      <c r="VJ247"/>
      <c r="VK247"/>
      <c r="VL247"/>
      <c r="VM247"/>
      <c r="VN247"/>
      <c r="VO247"/>
      <c r="VP247"/>
      <c r="VQ247"/>
      <c r="VR247"/>
      <c r="VS247"/>
      <c r="VT247"/>
      <c r="VU247"/>
      <c r="VV247"/>
      <c r="VW247"/>
      <c r="VX247"/>
      <c r="VY247"/>
      <c r="VZ247"/>
      <c r="WA247"/>
      <c r="WB247"/>
      <c r="WC247"/>
      <c r="WD247"/>
      <c r="WE247"/>
      <c r="WF247"/>
      <c r="WG247"/>
      <c r="WH247"/>
      <c r="WI247"/>
      <c r="WJ247"/>
      <c r="WK247"/>
      <c r="WL247"/>
      <c r="WM247"/>
      <c r="WN247"/>
      <c r="WO247"/>
      <c r="WP247"/>
      <c r="WQ247"/>
      <c r="WR247"/>
      <c r="WS247"/>
      <c r="WT247"/>
      <c r="WU247"/>
      <c r="WV247"/>
      <c r="WW247"/>
      <c r="WX247"/>
      <c r="WY247"/>
      <c r="WZ247"/>
      <c r="XA247"/>
      <c r="XB247"/>
      <c r="XC247"/>
      <c r="XD247"/>
      <c r="XE247"/>
      <c r="XF247"/>
      <c r="XG247"/>
      <c r="XH247"/>
      <c r="XI247"/>
      <c r="XJ247"/>
      <c r="XK247"/>
      <c r="XL247"/>
      <c r="XM247"/>
      <c r="XN247"/>
      <c r="XO247"/>
      <c r="XP247"/>
      <c r="XQ247"/>
      <c r="XR247"/>
      <c r="XS247"/>
      <c r="XT247"/>
      <c r="XU247"/>
      <c r="XV247"/>
      <c r="XW247"/>
      <c r="XX247"/>
      <c r="XY247"/>
      <c r="XZ247"/>
      <c r="YA247"/>
      <c r="YB247"/>
      <c r="YC247"/>
      <c r="YD247"/>
      <c r="YE247"/>
      <c r="YF247"/>
      <c r="YG247"/>
      <c r="YH247"/>
      <c r="YI247"/>
      <c r="YJ247"/>
      <c r="YK247"/>
      <c r="YL247"/>
      <c r="YM247"/>
      <c r="YN247"/>
      <c r="YO247"/>
      <c r="YP247"/>
      <c r="YQ247"/>
      <c r="YR247"/>
      <c r="YS247"/>
      <c r="YT247"/>
      <c r="YU247"/>
      <c r="YV247"/>
      <c r="YW247"/>
      <c r="YX247"/>
      <c r="YY247"/>
      <c r="YZ247"/>
      <c r="ZA247"/>
      <c r="ZB247"/>
      <c r="ZC247"/>
      <c r="ZD247"/>
      <c r="ZE247"/>
      <c r="ZF247"/>
      <c r="ZG247"/>
      <c r="ZH247"/>
      <c r="ZI247"/>
      <c r="ZJ247"/>
      <c r="ZK247"/>
      <c r="ZL247"/>
      <c r="ZM247"/>
      <c r="ZN247"/>
      <c r="ZO247"/>
      <c r="ZP247"/>
      <c r="ZQ247"/>
      <c r="ZR247"/>
      <c r="ZS247"/>
      <c r="ZT247"/>
      <c r="ZU247"/>
      <c r="ZV247"/>
      <c r="ZW247"/>
      <c r="ZX247"/>
      <c r="ZY247"/>
      <c r="ZZ247"/>
      <c r="AAA247"/>
      <c r="AAB247"/>
      <c r="AAC247"/>
      <c r="AAD247"/>
      <c r="AAE247"/>
      <c r="AAF247"/>
      <c r="AAG247"/>
      <c r="AAH247"/>
      <c r="AAI247"/>
      <c r="AAJ247"/>
      <c r="AAK247"/>
      <c r="AAL247"/>
      <c r="AAM247"/>
      <c r="AAN247"/>
      <c r="AAO247"/>
      <c r="AAP247"/>
      <c r="AAQ247"/>
      <c r="AAR247"/>
      <c r="AAS247"/>
      <c r="AAT247"/>
      <c r="AAU247"/>
      <c r="AAV247"/>
      <c r="AAW247"/>
      <c r="AAX247"/>
      <c r="AAY247"/>
      <c r="AAZ247"/>
      <c r="ABA247"/>
      <c r="ABB247"/>
      <c r="ABC247"/>
      <c r="ABD247"/>
      <c r="ABE247"/>
      <c r="ABF247"/>
      <c r="ABG247"/>
      <c r="ABH247"/>
      <c r="ABI247"/>
      <c r="ABJ247"/>
      <c r="ABK247"/>
      <c r="ABL247"/>
      <c r="ABM247"/>
      <c r="ABN247"/>
      <c r="ABO247"/>
      <c r="ABP247"/>
      <c r="ABQ247"/>
      <c r="ABR247"/>
      <c r="ABS247"/>
      <c r="ABT247"/>
      <c r="ABU247"/>
      <c r="ABV247"/>
      <c r="ABW247"/>
      <c r="ABX247"/>
      <c r="ABY247"/>
      <c r="ABZ247"/>
      <c r="ACA247"/>
      <c r="ACB247"/>
      <c r="ACC247"/>
      <c r="ACD247"/>
      <c r="ACE247"/>
      <c r="ACF247"/>
      <c r="ACG247"/>
      <c r="ACH247"/>
      <c r="ACI247"/>
      <c r="ACJ247"/>
      <c r="ACK247"/>
      <c r="ACL247"/>
      <c r="ACM247"/>
      <c r="ACN247"/>
      <c r="ACO247"/>
      <c r="ACP247"/>
      <c r="ACQ247"/>
      <c r="ACR247"/>
      <c r="ACS247"/>
      <c r="ACT247"/>
      <c r="ACU247"/>
      <c r="ACV247"/>
      <c r="ACW247"/>
      <c r="ACX247"/>
      <c r="ACY247"/>
      <c r="ACZ247"/>
      <c r="ADA247"/>
      <c r="ADB247"/>
      <c r="ADC247"/>
      <c r="ADD247"/>
      <c r="ADE247"/>
      <c r="ADF247"/>
      <c r="ADG247"/>
      <c r="ADH247"/>
      <c r="ADI247"/>
      <c r="ADJ247"/>
      <c r="ADK247"/>
      <c r="ADL247"/>
      <c r="ADM247"/>
      <c r="ADN247"/>
      <c r="ADO247"/>
      <c r="ADP247"/>
      <c r="ADQ247"/>
      <c r="ADR247"/>
      <c r="ADS247"/>
      <c r="ADT247"/>
      <c r="ADU247"/>
      <c r="ADV247"/>
      <c r="ADW247"/>
      <c r="ADX247"/>
      <c r="ADY247"/>
      <c r="ADZ247"/>
      <c r="AEA247"/>
      <c r="AEB247"/>
      <c r="AEC247"/>
      <c r="AED247"/>
      <c r="AEE247"/>
      <c r="AEF247"/>
      <c r="AEG247"/>
      <c r="AEH247"/>
      <c r="AEI247"/>
      <c r="AEJ247"/>
      <c r="AEK247"/>
      <c r="AEL247"/>
      <c r="AEM247"/>
      <c r="AEN247"/>
      <c r="AEO247"/>
      <c r="AEP247"/>
      <c r="AEQ247"/>
      <c r="AER247"/>
      <c r="AES247"/>
      <c r="AET247"/>
      <c r="AEU247"/>
      <c r="AEV247"/>
      <c r="AEW247"/>
      <c r="AEX247"/>
      <c r="AEY247"/>
      <c r="AEZ247"/>
      <c r="AFA247"/>
      <c r="AFB247"/>
      <c r="AFC247"/>
      <c r="AFD247"/>
      <c r="AFE247"/>
      <c r="AFF247"/>
      <c r="AFG247"/>
      <c r="AFH247"/>
      <c r="AFI247"/>
      <c r="AFJ247"/>
      <c r="AFK247"/>
      <c r="AFL247"/>
      <c r="AFM247"/>
      <c r="AFN247"/>
      <c r="AFO247"/>
      <c r="AFP247"/>
      <c r="AFQ247"/>
      <c r="AFR247"/>
      <c r="AFS247"/>
      <c r="AFT247"/>
      <c r="AFU247"/>
      <c r="AFV247"/>
      <c r="AFW247"/>
      <c r="AFX247"/>
      <c r="AFY247"/>
      <c r="AFZ247"/>
      <c r="AGA247"/>
      <c r="AGB247"/>
      <c r="AGC247"/>
      <c r="AGD247"/>
      <c r="AGE247"/>
      <c r="AGF247"/>
      <c r="AGG247"/>
      <c r="AGH247"/>
      <c r="AGI247"/>
      <c r="AGJ247"/>
      <c r="AGK247"/>
      <c r="AGL247"/>
      <c r="AGM247"/>
      <c r="AGN247"/>
      <c r="AGO247"/>
      <c r="AGP247"/>
      <c r="AGQ247"/>
      <c r="AGR247"/>
      <c r="AGS247"/>
      <c r="AGT247"/>
      <c r="AGU247"/>
      <c r="AGV247"/>
      <c r="AGW247"/>
      <c r="AGX247"/>
      <c r="AGY247"/>
      <c r="AGZ247"/>
      <c r="AHA247"/>
      <c r="AHB247"/>
      <c r="AHC247"/>
      <c r="AHD247"/>
      <c r="AHE247"/>
      <c r="AHF247"/>
      <c r="AHG247"/>
      <c r="AHH247"/>
      <c r="AHI247"/>
      <c r="AHJ247"/>
      <c r="AHK247"/>
      <c r="AHL247"/>
      <c r="AHM247"/>
      <c r="AHN247"/>
      <c r="AHO247"/>
      <c r="AHP247"/>
      <c r="AHQ247"/>
      <c r="AHR247"/>
      <c r="AHS247"/>
      <c r="AHT247"/>
      <c r="AHU247"/>
      <c r="AHV247"/>
      <c r="AHW247"/>
      <c r="AHX247"/>
      <c r="AHY247"/>
      <c r="AHZ247"/>
      <c r="AIA247"/>
      <c r="AIB247"/>
      <c r="AIC247"/>
      <c r="AID247"/>
      <c r="AIE247"/>
      <c r="AIF247"/>
      <c r="AIG247"/>
      <c r="AIH247"/>
      <c r="AII247"/>
      <c r="AIJ247"/>
      <c r="AIK247"/>
      <c r="AIL247"/>
      <c r="AIM247"/>
      <c r="AIN247"/>
      <c r="AIO247"/>
      <c r="AIP247"/>
      <c r="AIQ247"/>
      <c r="AIR247"/>
      <c r="AIS247"/>
      <c r="AIT247"/>
      <c r="AIU247"/>
      <c r="AIV247"/>
      <c r="AIW247"/>
      <c r="AIX247"/>
      <c r="AIY247"/>
      <c r="AIZ247"/>
      <c r="AJA247"/>
      <c r="AJB247"/>
      <c r="AJC247"/>
      <c r="AJD247"/>
      <c r="AJE247"/>
      <c r="AJF247"/>
      <c r="AJG247"/>
      <c r="AJH247"/>
      <c r="AJI247"/>
      <c r="AJJ247"/>
      <c r="AJK247"/>
      <c r="AJL247"/>
      <c r="AJM247"/>
      <c r="AJN247"/>
      <c r="AJO247"/>
      <c r="AJP247"/>
      <c r="AJQ247"/>
      <c r="AJR247"/>
      <c r="AJS247"/>
      <c r="AJT247"/>
      <c r="AJU247"/>
      <c r="AJV247"/>
      <c r="AJW247"/>
      <c r="AJX247"/>
      <c r="AJY247"/>
      <c r="AJZ247"/>
      <c r="AKA247"/>
      <c r="AKB247"/>
      <c r="AKC247"/>
      <c r="AKD247"/>
      <c r="AKE247"/>
      <c r="AKF247"/>
      <c r="AKG247"/>
      <c r="AKH247"/>
      <c r="AKI247"/>
      <c r="AKJ247"/>
      <c r="AKK247"/>
      <c r="AKL247"/>
      <c r="AKM247"/>
      <c r="AKN247"/>
      <c r="AKO247"/>
      <c r="AKP247"/>
      <c r="AKQ247"/>
      <c r="AKR247"/>
      <c r="AKS247"/>
      <c r="AKT247"/>
      <c r="AKU247"/>
      <c r="AKV247"/>
      <c r="AKW247"/>
      <c r="AKX247"/>
      <c r="AKY247"/>
      <c r="AKZ247"/>
      <c r="ALA247"/>
      <c r="ALB247"/>
      <c r="ALC247"/>
      <c r="ALD247"/>
      <c r="ALE247"/>
      <c r="ALF247"/>
      <c r="ALG247"/>
      <c r="ALH247"/>
      <c r="ALI247"/>
      <c r="ALJ247"/>
      <c r="ALK247"/>
      <c r="ALL247"/>
      <c r="ALM247"/>
      <c r="ALN247"/>
      <c r="ALO247"/>
      <c r="ALP247"/>
      <c r="ALQ247"/>
      <c r="ALR247"/>
      <c r="ALS247"/>
      <c r="ALT247"/>
      <c r="ALU247"/>
      <c r="ALV247"/>
      <c r="ALW247"/>
      <c r="ALX247"/>
      <c r="ALY247"/>
      <c r="ALZ247"/>
      <c r="AMA247"/>
      <c r="AMB247"/>
      <c r="AMC247"/>
      <c r="AMD247"/>
      <c r="AME247"/>
      <c r="AMF247"/>
      <c r="AMG247"/>
      <c r="AMH247"/>
      <c r="AMI247"/>
      <c r="AMJ247"/>
      <c r="AMK247"/>
      <c r="AML247"/>
      <c r="AMM247"/>
      <c r="AMN247"/>
      <c r="AMO247"/>
      <c r="AMP247"/>
      <c r="AMQ247"/>
      <c r="AMR247"/>
      <c r="AMS247"/>
      <c r="AMT247"/>
      <c r="AMU247"/>
      <c r="AMV247"/>
      <c r="AMW247"/>
      <c r="AMX247"/>
      <c r="AMY247"/>
      <c r="AMZ247"/>
      <c r="ANA247"/>
      <c r="ANB247"/>
      <c r="ANC247"/>
      <c r="AND247"/>
      <c r="ANE247"/>
      <c r="ANF247"/>
      <c r="ANG247"/>
      <c r="ANH247"/>
      <c r="ANI247"/>
      <c r="ANJ247"/>
      <c r="ANK247"/>
      <c r="ANL247"/>
      <c r="ANM247"/>
      <c r="ANN247"/>
      <c r="ANO247"/>
      <c r="ANP247"/>
      <c r="ANQ247"/>
      <c r="ANR247"/>
      <c r="ANS247"/>
      <c r="ANT247"/>
      <c r="ANU247"/>
      <c r="ANV247"/>
      <c r="ANW247"/>
      <c r="ANX247"/>
      <c r="ANY247"/>
      <c r="ANZ247"/>
      <c r="AOA247"/>
      <c r="AOB247"/>
      <c r="AOC247"/>
      <c r="AOD247"/>
      <c r="AOE247"/>
      <c r="AOF247"/>
      <c r="AOG247"/>
      <c r="AOH247"/>
      <c r="AOI247"/>
      <c r="AOJ247"/>
      <c r="AOK247"/>
      <c r="AOL247"/>
      <c r="AOM247"/>
      <c r="AON247"/>
      <c r="AOO247"/>
      <c r="AOP247"/>
      <c r="AOQ247"/>
      <c r="AOR247"/>
      <c r="AOS247"/>
      <c r="AOT247"/>
      <c r="AOU247"/>
      <c r="AOV247"/>
      <c r="AOW247"/>
      <c r="AOX247"/>
      <c r="AOY247"/>
      <c r="AOZ247"/>
      <c r="APA247"/>
      <c r="APB247"/>
      <c r="APC247"/>
      <c r="APD247"/>
      <c r="APE247"/>
      <c r="APF247"/>
      <c r="APG247"/>
      <c r="APH247"/>
      <c r="API247"/>
      <c r="APJ247"/>
      <c r="APK247"/>
      <c r="APL247"/>
      <c r="APM247"/>
      <c r="APN247"/>
      <c r="APO247"/>
      <c r="APP247"/>
      <c r="APQ247"/>
      <c r="APR247"/>
      <c r="APS247"/>
      <c r="APT247"/>
      <c r="APU247"/>
      <c r="APV247"/>
      <c r="APW247"/>
      <c r="APX247"/>
      <c r="APY247"/>
      <c r="APZ247"/>
      <c r="AQA247"/>
      <c r="AQB247"/>
      <c r="AQC247"/>
      <c r="AQD247"/>
      <c r="AQE247"/>
      <c r="AQF247"/>
      <c r="AQG247"/>
      <c r="AQH247"/>
      <c r="AQI247"/>
      <c r="AQJ247"/>
      <c r="AQK247"/>
      <c r="AQL247"/>
      <c r="AQM247"/>
      <c r="AQN247"/>
      <c r="AQO247"/>
      <c r="AQP247"/>
      <c r="AQQ247"/>
      <c r="AQR247"/>
      <c r="AQS247"/>
      <c r="AQT247"/>
      <c r="AQU247"/>
      <c r="AQV247"/>
      <c r="AQW247"/>
      <c r="AQX247"/>
      <c r="AQY247"/>
      <c r="AQZ247"/>
      <c r="ARA247"/>
      <c r="ARB247"/>
      <c r="ARC247"/>
      <c r="ARD247"/>
      <c r="ARE247"/>
      <c r="ARF247"/>
      <c r="ARG247"/>
      <c r="ARH247"/>
      <c r="ARI247"/>
      <c r="ARJ247"/>
      <c r="ARK247"/>
      <c r="ARL247"/>
      <c r="ARM247"/>
      <c r="ARN247"/>
      <c r="ARO247"/>
      <c r="ARP247"/>
      <c r="ARQ247"/>
      <c r="ARR247"/>
      <c r="ARS247"/>
      <c r="ART247"/>
      <c r="ARU247"/>
      <c r="ARV247"/>
      <c r="ARW247"/>
      <c r="ARX247"/>
      <c r="ARY247"/>
      <c r="ARZ247"/>
      <c r="ASA247"/>
      <c r="ASB247"/>
      <c r="ASC247"/>
      <c r="ASD247"/>
      <c r="ASE247"/>
      <c r="ASF247"/>
      <c r="ASG247"/>
      <c r="ASH247"/>
      <c r="ASI247"/>
      <c r="ASJ247"/>
      <c r="ASK247"/>
      <c r="ASL247"/>
      <c r="ASM247"/>
      <c r="ASN247"/>
      <c r="ASO247"/>
      <c r="ASP247"/>
      <c r="ASQ247"/>
      <c r="ASR247"/>
      <c r="ASS247"/>
      <c r="AST247"/>
      <c r="ASU247"/>
      <c r="ASV247"/>
      <c r="ASW247"/>
      <c r="ASX247"/>
      <c r="ASY247"/>
      <c r="ASZ247"/>
      <c r="ATA247"/>
      <c r="ATB247"/>
      <c r="ATC247"/>
      <c r="ATD247"/>
      <c r="ATE247"/>
      <c r="ATF247"/>
      <c r="ATG247"/>
      <c r="ATH247"/>
      <c r="ATI247"/>
      <c r="ATJ247"/>
      <c r="ATK247"/>
      <c r="ATL247"/>
      <c r="ATM247"/>
      <c r="ATN247"/>
      <c r="ATO247"/>
      <c r="ATP247"/>
      <c r="ATQ247"/>
      <c r="ATR247"/>
      <c r="ATS247"/>
      <c r="ATT247"/>
      <c r="ATU247"/>
      <c r="ATV247"/>
      <c r="ATW247"/>
      <c r="ATX247"/>
      <c r="ATY247"/>
      <c r="ATZ247"/>
      <c r="AUA247"/>
      <c r="AUB247"/>
      <c r="AUC247"/>
      <c r="AUD247"/>
      <c r="AUE247"/>
      <c r="AUF247"/>
      <c r="AUG247"/>
      <c r="AUH247"/>
      <c r="AUI247"/>
      <c r="AUJ247"/>
      <c r="AUK247"/>
      <c r="AUL247"/>
      <c r="AUM247"/>
      <c r="AUN247"/>
      <c r="AUO247"/>
      <c r="AUP247"/>
      <c r="AUQ247"/>
      <c r="AUR247"/>
      <c r="AUS247"/>
      <c r="AUT247"/>
      <c r="AUU247"/>
      <c r="AUV247"/>
      <c r="AUW247"/>
      <c r="AUX247"/>
      <c r="AUY247"/>
      <c r="AUZ247"/>
      <c r="AVA247"/>
      <c r="AVB247"/>
      <c r="AVC247"/>
      <c r="AVD247"/>
      <c r="AVE247"/>
      <c r="AVF247"/>
      <c r="AVG247"/>
      <c r="AVH247"/>
      <c r="AVI247"/>
      <c r="AVJ247"/>
      <c r="AVK247"/>
      <c r="AVL247"/>
      <c r="AVM247"/>
      <c r="AVN247"/>
      <c r="AVO247"/>
      <c r="AVP247"/>
      <c r="AVQ247"/>
      <c r="AVR247"/>
      <c r="AVS247"/>
      <c r="AVT247"/>
      <c r="AVU247"/>
      <c r="AVV247"/>
      <c r="AVW247"/>
      <c r="AVX247"/>
      <c r="AVY247"/>
      <c r="AVZ247"/>
      <c r="AWA247"/>
      <c r="AWB247"/>
      <c r="AWC247"/>
      <c r="AWD247"/>
      <c r="AWE247"/>
      <c r="AWF247"/>
      <c r="AWG247"/>
      <c r="AWH247"/>
      <c r="AWI247"/>
      <c r="AWJ247"/>
      <c r="AWK247"/>
      <c r="AWL247"/>
      <c r="AWM247"/>
      <c r="AWN247"/>
      <c r="AWO247"/>
      <c r="AWP247"/>
      <c r="AWQ247"/>
      <c r="AWR247"/>
      <c r="AWS247"/>
      <c r="AWT247"/>
      <c r="AWU247"/>
      <c r="AWV247"/>
      <c r="AWW247"/>
      <c r="AWX247"/>
      <c r="AWY247"/>
      <c r="AWZ247"/>
      <c r="AXA247"/>
      <c r="AXB247"/>
      <c r="AXC247"/>
      <c r="AXD247"/>
      <c r="AXE247"/>
      <c r="AXF247"/>
      <c r="AXG247"/>
      <c r="AXH247"/>
      <c r="AXI247"/>
      <c r="AXJ247"/>
      <c r="AXK247"/>
      <c r="AXL247"/>
      <c r="AXM247"/>
      <c r="AXN247"/>
      <c r="AXO247"/>
      <c r="AXP247"/>
      <c r="AXQ247"/>
      <c r="AXR247"/>
      <c r="AXS247"/>
      <c r="AXT247"/>
      <c r="AXU247"/>
      <c r="AXV247"/>
      <c r="AXW247"/>
      <c r="AXX247"/>
      <c r="AXY247"/>
      <c r="AXZ247"/>
      <c r="AYA247"/>
      <c r="AYB247"/>
      <c r="AYC247"/>
      <c r="AYD247"/>
      <c r="AYE247"/>
      <c r="AYF247"/>
      <c r="AYG247"/>
      <c r="AYH247"/>
      <c r="AYI247"/>
      <c r="AYJ247"/>
      <c r="AYK247"/>
      <c r="AYL247"/>
      <c r="AYM247"/>
      <c r="AYN247"/>
      <c r="AYO247"/>
      <c r="AYP247"/>
      <c r="AYQ247"/>
      <c r="AYR247"/>
      <c r="AYS247"/>
      <c r="AYT247"/>
      <c r="AYU247"/>
      <c r="AYV247"/>
      <c r="AYW247"/>
      <c r="AYX247"/>
      <c r="AYY247"/>
      <c r="AYZ247"/>
      <c r="AZA247"/>
      <c r="AZB247"/>
      <c r="AZC247"/>
      <c r="AZD247"/>
      <c r="AZE247"/>
      <c r="AZF247"/>
      <c r="AZG247"/>
      <c r="AZH247"/>
      <c r="AZI247"/>
      <c r="AZJ247"/>
      <c r="AZK247"/>
      <c r="AZL247"/>
      <c r="AZM247"/>
      <c r="AZN247"/>
      <c r="AZO247"/>
      <c r="AZP247"/>
      <c r="AZQ247"/>
      <c r="AZR247"/>
      <c r="AZS247"/>
      <c r="AZT247"/>
      <c r="AZU247"/>
      <c r="AZV247"/>
      <c r="AZW247"/>
      <c r="AZX247"/>
      <c r="AZY247"/>
      <c r="AZZ247"/>
      <c r="BAA247"/>
      <c r="BAB247"/>
      <c r="BAC247"/>
      <c r="BAD247"/>
      <c r="BAE247"/>
      <c r="BAF247"/>
      <c r="BAG247"/>
      <c r="BAH247"/>
      <c r="BAI247"/>
      <c r="BAJ247"/>
      <c r="BAK247"/>
      <c r="BAL247"/>
      <c r="BAM247"/>
      <c r="BAN247"/>
      <c r="BAO247"/>
      <c r="BAP247"/>
      <c r="BAQ247"/>
      <c r="BAR247"/>
      <c r="BAS247"/>
      <c r="BAT247"/>
      <c r="BAU247"/>
      <c r="BAV247"/>
      <c r="BAW247"/>
      <c r="BAX247"/>
      <c r="BAY247"/>
      <c r="BAZ247"/>
      <c r="BBA247"/>
      <c r="BBB247"/>
      <c r="BBC247"/>
      <c r="BBD247"/>
      <c r="BBE247"/>
      <c r="BBF247"/>
      <c r="BBG247"/>
      <c r="BBH247"/>
      <c r="BBI247"/>
      <c r="BBJ247"/>
      <c r="BBK247"/>
      <c r="BBL247"/>
      <c r="BBM247"/>
      <c r="BBN247"/>
      <c r="BBO247"/>
      <c r="BBP247"/>
      <c r="BBQ247"/>
      <c r="BBR247"/>
      <c r="BBS247"/>
      <c r="BBT247"/>
      <c r="BBU247"/>
      <c r="BBV247"/>
      <c r="BBW247"/>
      <c r="BBX247"/>
      <c r="BBY247"/>
      <c r="BBZ247"/>
      <c r="BCA247"/>
      <c r="BCB247"/>
      <c r="BCC247"/>
      <c r="BCD247"/>
      <c r="BCE247"/>
      <c r="BCF247"/>
      <c r="BCG247"/>
      <c r="BCH247"/>
      <c r="BCI247"/>
      <c r="BCJ247"/>
      <c r="BCK247"/>
      <c r="BCL247"/>
      <c r="BCM247"/>
      <c r="BCN247"/>
      <c r="BCO247"/>
      <c r="BCP247"/>
      <c r="BCQ247"/>
      <c r="BCR247"/>
      <c r="BCS247"/>
      <c r="BCT247"/>
      <c r="BCU247"/>
      <c r="BCV247"/>
      <c r="BCW247"/>
      <c r="BCX247"/>
      <c r="BCY247"/>
      <c r="BCZ247"/>
      <c r="BDA247"/>
      <c r="BDB247"/>
      <c r="BDC247"/>
      <c r="BDD247"/>
      <c r="BDE247"/>
      <c r="BDF247"/>
      <c r="BDG247"/>
      <c r="BDH247"/>
      <c r="BDI247"/>
      <c r="BDJ247"/>
      <c r="BDK247"/>
      <c r="BDL247"/>
      <c r="BDM247"/>
      <c r="BDN247"/>
      <c r="BDO247"/>
      <c r="BDP247"/>
      <c r="BDQ247"/>
      <c r="BDR247"/>
      <c r="BDS247"/>
      <c r="BDT247"/>
      <c r="BDU247"/>
      <c r="BDV247"/>
      <c r="BDW247"/>
      <c r="BDX247"/>
      <c r="BDY247"/>
      <c r="BDZ247"/>
      <c r="BEA247"/>
      <c r="BEB247"/>
      <c r="BEC247"/>
      <c r="BED247"/>
      <c r="BEE247"/>
      <c r="BEF247"/>
      <c r="BEG247"/>
      <c r="BEH247"/>
      <c r="BEI247"/>
      <c r="BEJ247"/>
      <c r="BEK247"/>
      <c r="BEL247"/>
      <c r="BEM247"/>
      <c r="BEN247"/>
      <c r="BEO247"/>
      <c r="BEP247"/>
      <c r="BEQ247"/>
      <c r="BER247"/>
      <c r="BES247"/>
      <c r="BET247"/>
      <c r="BEU247"/>
      <c r="BEV247"/>
      <c r="BEW247"/>
      <c r="BEX247"/>
      <c r="BEY247"/>
      <c r="BEZ247"/>
      <c r="BFA247"/>
      <c r="BFB247"/>
      <c r="BFC247"/>
      <c r="BFD247"/>
      <c r="BFE247"/>
      <c r="BFF247"/>
      <c r="BFG247"/>
      <c r="BFH247"/>
      <c r="BFI247"/>
      <c r="BFJ247"/>
      <c r="BFK247"/>
      <c r="BFL247"/>
      <c r="BFM247"/>
      <c r="BFN247"/>
      <c r="BFO247"/>
      <c r="BFP247"/>
      <c r="BFQ247"/>
      <c r="BFR247"/>
      <c r="BFS247"/>
      <c r="BFT247"/>
      <c r="BFU247"/>
      <c r="BFV247"/>
      <c r="BFW247"/>
      <c r="BFX247"/>
      <c r="BFY247"/>
      <c r="BFZ247"/>
      <c r="BGA247"/>
      <c r="BGB247"/>
      <c r="BGC247"/>
      <c r="BGD247"/>
      <c r="BGE247"/>
      <c r="BGF247"/>
      <c r="BGG247"/>
      <c r="BGH247"/>
      <c r="BGI247"/>
      <c r="BGJ247"/>
      <c r="BGK247"/>
      <c r="BGL247"/>
      <c r="BGM247"/>
      <c r="BGN247"/>
      <c r="BGO247"/>
      <c r="BGP247"/>
      <c r="BGQ247"/>
      <c r="BGR247"/>
      <c r="BGS247"/>
      <c r="BGT247"/>
      <c r="BGU247"/>
      <c r="BGV247"/>
      <c r="BGW247"/>
      <c r="BGX247"/>
      <c r="BGY247"/>
      <c r="BGZ247"/>
      <c r="BHA247"/>
      <c r="BHB247"/>
      <c r="BHC247"/>
      <c r="BHD247"/>
      <c r="BHE247"/>
      <c r="BHF247"/>
      <c r="BHG247"/>
      <c r="BHH247"/>
      <c r="BHI247"/>
      <c r="BHJ247"/>
      <c r="BHK247"/>
      <c r="BHL247"/>
      <c r="BHM247"/>
      <c r="BHN247"/>
      <c r="BHO247"/>
      <c r="BHP247"/>
      <c r="BHQ247"/>
      <c r="BHR247"/>
      <c r="BHS247"/>
      <c r="BHT247"/>
      <c r="BHU247"/>
      <c r="BHV247"/>
      <c r="BHW247"/>
      <c r="BHX247"/>
      <c r="BHY247"/>
      <c r="BHZ247"/>
      <c r="BIA247"/>
      <c r="BIB247"/>
      <c r="BIC247"/>
      <c r="BID247"/>
      <c r="BIE247"/>
      <c r="BIF247"/>
      <c r="BIG247"/>
      <c r="BIH247"/>
      <c r="BII247"/>
      <c r="BIJ247"/>
      <c r="BIK247"/>
      <c r="BIL247"/>
      <c r="BIM247"/>
      <c r="BIN247"/>
      <c r="BIO247"/>
      <c r="BIP247"/>
      <c r="BIQ247"/>
      <c r="BIR247"/>
      <c r="BIS247"/>
      <c r="BIT247"/>
      <c r="BIU247"/>
      <c r="BIV247"/>
      <c r="BIW247"/>
      <c r="BIX247"/>
      <c r="BIY247"/>
      <c r="BIZ247"/>
      <c r="BJA247"/>
      <c r="BJB247"/>
      <c r="BJC247"/>
      <c r="BJD247"/>
      <c r="BJE247"/>
      <c r="BJF247"/>
      <c r="BJG247"/>
      <c r="BJH247"/>
      <c r="BJI247"/>
      <c r="BJJ247"/>
      <c r="BJK247"/>
      <c r="BJL247"/>
      <c r="BJM247"/>
      <c r="BJN247"/>
      <c r="BJO247"/>
      <c r="BJP247"/>
      <c r="BJQ247"/>
      <c r="BJR247"/>
      <c r="BJS247"/>
      <c r="BJT247"/>
      <c r="BJU247"/>
      <c r="BJV247"/>
      <c r="BJW247"/>
      <c r="BJX247"/>
      <c r="BJY247"/>
      <c r="BJZ247"/>
      <c r="BKA247"/>
      <c r="BKB247"/>
      <c r="BKC247"/>
      <c r="BKD247"/>
      <c r="BKE247"/>
      <c r="BKF247"/>
      <c r="BKG247"/>
      <c r="BKH247"/>
      <c r="BKI247"/>
      <c r="BKJ247"/>
      <c r="BKK247"/>
      <c r="BKL247"/>
      <c r="BKM247"/>
      <c r="BKN247"/>
      <c r="BKO247"/>
      <c r="BKP247"/>
      <c r="BKQ247"/>
      <c r="BKR247"/>
      <c r="BKS247"/>
      <c r="BKT247"/>
      <c r="BKU247"/>
      <c r="BKV247"/>
      <c r="BKW247"/>
      <c r="BKX247"/>
      <c r="BKY247"/>
      <c r="BKZ247"/>
      <c r="BLA247"/>
      <c r="BLB247"/>
      <c r="BLC247"/>
      <c r="BLD247"/>
      <c r="BLE247"/>
      <c r="BLF247"/>
      <c r="BLG247"/>
      <c r="BLH247"/>
      <c r="BLI247"/>
      <c r="BLJ247"/>
      <c r="BLK247"/>
      <c r="BLL247"/>
      <c r="BLM247"/>
      <c r="BLN247"/>
      <c r="BLO247"/>
      <c r="BLP247"/>
      <c r="BLQ247"/>
      <c r="BLR247"/>
      <c r="BLS247"/>
      <c r="BLT247"/>
      <c r="BLU247"/>
      <c r="BLV247"/>
      <c r="BLW247"/>
      <c r="BLX247"/>
      <c r="BLY247"/>
      <c r="BLZ247"/>
      <c r="BMA247"/>
      <c r="BMB247"/>
      <c r="BMC247"/>
      <c r="BMD247"/>
      <c r="BME247"/>
      <c r="BMF247"/>
      <c r="BMG247"/>
      <c r="BMH247"/>
      <c r="BMI247"/>
      <c r="BMJ247"/>
      <c r="BMK247"/>
      <c r="BML247"/>
      <c r="BMM247"/>
      <c r="BMN247"/>
      <c r="BMO247"/>
      <c r="BMP247"/>
      <c r="BMQ247"/>
      <c r="BMR247"/>
      <c r="BMS247"/>
      <c r="BMT247"/>
      <c r="BMU247"/>
      <c r="BMV247"/>
      <c r="BMW247"/>
      <c r="BMX247"/>
      <c r="BMY247"/>
      <c r="BMZ247"/>
      <c r="BNA247"/>
      <c r="BNB247"/>
      <c r="BNC247"/>
      <c r="BND247"/>
      <c r="BNE247"/>
      <c r="BNF247"/>
      <c r="BNG247"/>
      <c r="BNH247"/>
      <c r="BNI247"/>
      <c r="BNJ247"/>
      <c r="BNK247"/>
      <c r="BNL247"/>
      <c r="BNM247"/>
      <c r="BNN247"/>
      <c r="BNO247"/>
      <c r="BNP247"/>
      <c r="BNQ247"/>
      <c r="BNR247"/>
      <c r="BNS247"/>
      <c r="BNT247"/>
      <c r="BNU247"/>
      <c r="BNV247"/>
      <c r="BNW247"/>
      <c r="BNX247"/>
      <c r="BNY247"/>
      <c r="BNZ247"/>
      <c r="BOA247"/>
      <c r="BOB247"/>
      <c r="BOC247"/>
      <c r="BOD247"/>
      <c r="BOE247"/>
      <c r="BOF247"/>
      <c r="BOG247"/>
      <c r="BOH247"/>
      <c r="BOI247"/>
      <c r="BOJ247"/>
      <c r="BOK247"/>
      <c r="BOL247"/>
      <c r="BOM247"/>
      <c r="BON247"/>
      <c r="BOO247"/>
      <c r="BOP247"/>
      <c r="BOQ247"/>
      <c r="BOR247"/>
      <c r="BOS247"/>
      <c r="BOT247"/>
      <c r="BOU247"/>
      <c r="BOV247"/>
      <c r="BOW247"/>
      <c r="BOX247"/>
      <c r="BOY247"/>
      <c r="BOZ247"/>
      <c r="BPA247"/>
      <c r="BPB247"/>
      <c r="BPC247"/>
      <c r="BPD247"/>
      <c r="BPE247"/>
      <c r="BPF247"/>
      <c r="BPG247"/>
      <c r="BPH247"/>
      <c r="BPI247"/>
      <c r="BPJ247"/>
      <c r="BPK247"/>
      <c r="BPL247"/>
      <c r="BPM247"/>
      <c r="BPN247"/>
      <c r="BPO247"/>
      <c r="BPP247"/>
      <c r="BPQ247"/>
      <c r="BPR247"/>
      <c r="BPS247"/>
      <c r="BPT247"/>
      <c r="BPU247"/>
      <c r="BPV247"/>
      <c r="BPW247"/>
      <c r="BPX247"/>
      <c r="BPY247"/>
      <c r="BPZ247"/>
      <c r="BQA247"/>
      <c r="BQB247"/>
      <c r="BQC247"/>
      <c r="BQD247"/>
      <c r="BQE247"/>
      <c r="BQF247"/>
      <c r="BQG247"/>
      <c r="BQH247"/>
      <c r="BQI247"/>
      <c r="BQJ247"/>
      <c r="BQK247"/>
      <c r="BQL247"/>
      <c r="BQM247"/>
      <c r="BQN247"/>
      <c r="BQO247"/>
      <c r="BQP247"/>
      <c r="BQQ247"/>
      <c r="BQR247"/>
      <c r="BQS247"/>
      <c r="BQT247"/>
      <c r="BQU247"/>
      <c r="BQV247"/>
      <c r="BQW247"/>
      <c r="BQX247"/>
      <c r="BQY247"/>
      <c r="BQZ247"/>
      <c r="BRA247"/>
      <c r="BRB247"/>
      <c r="BRC247"/>
      <c r="BRD247"/>
      <c r="BRE247"/>
      <c r="BRF247"/>
      <c r="BRG247"/>
      <c r="BRH247"/>
      <c r="BRI247"/>
      <c r="BRJ247"/>
      <c r="BRK247"/>
      <c r="BRL247"/>
      <c r="BRM247"/>
      <c r="BRN247"/>
      <c r="BRO247"/>
      <c r="BRP247"/>
      <c r="BRQ247"/>
      <c r="BRR247"/>
      <c r="BRS247"/>
      <c r="BRT247"/>
      <c r="BRU247"/>
      <c r="BRV247"/>
      <c r="BRW247"/>
      <c r="BRX247"/>
      <c r="BRY247"/>
      <c r="BRZ247"/>
      <c r="BSA247"/>
      <c r="BSB247"/>
      <c r="BSC247"/>
      <c r="BSD247"/>
      <c r="BSE247"/>
      <c r="BSF247"/>
      <c r="BSG247"/>
      <c r="BSH247"/>
      <c r="BSI247"/>
      <c r="BSJ247"/>
      <c r="BSK247"/>
      <c r="BSL247"/>
      <c r="BSM247"/>
      <c r="BSN247"/>
      <c r="BSO247"/>
      <c r="BSP247"/>
      <c r="BSQ247"/>
      <c r="BSR247"/>
      <c r="BSS247"/>
      <c r="BST247"/>
      <c r="BSU247"/>
      <c r="BSV247"/>
      <c r="BSW247"/>
      <c r="BSX247"/>
      <c r="BSY247"/>
      <c r="BSZ247"/>
      <c r="BTA247"/>
      <c r="BTB247"/>
      <c r="BTC247"/>
      <c r="BTD247"/>
      <c r="BTE247"/>
      <c r="BTF247"/>
      <c r="BTG247"/>
      <c r="BTH247"/>
      <c r="BTI247"/>
      <c r="BTJ247"/>
      <c r="BTK247"/>
      <c r="BTL247"/>
      <c r="BTM247"/>
      <c r="BTN247"/>
      <c r="BTO247"/>
      <c r="BTP247"/>
      <c r="BTQ247"/>
      <c r="BTR247"/>
      <c r="BTS247"/>
      <c r="BTT247"/>
      <c r="BTU247"/>
      <c r="BTV247"/>
      <c r="BTW247"/>
      <c r="BTX247"/>
      <c r="BTY247"/>
      <c r="BTZ247"/>
      <c r="BUA247"/>
      <c r="BUB247"/>
      <c r="BUC247"/>
      <c r="BUD247"/>
      <c r="BUE247"/>
      <c r="BUF247"/>
      <c r="BUG247"/>
      <c r="BUH247"/>
      <c r="BUI247"/>
      <c r="BUJ247"/>
      <c r="BUK247"/>
      <c r="BUL247"/>
      <c r="BUM247"/>
      <c r="BUN247"/>
      <c r="BUO247"/>
      <c r="BUP247"/>
      <c r="BUQ247"/>
      <c r="BUR247"/>
      <c r="BUS247"/>
      <c r="BUT247"/>
      <c r="BUU247"/>
      <c r="BUV247"/>
      <c r="BUW247"/>
      <c r="BUX247"/>
      <c r="BUY247"/>
      <c r="BUZ247"/>
      <c r="BVA247"/>
      <c r="BVB247"/>
      <c r="BVC247"/>
      <c r="BVD247"/>
      <c r="BVE247"/>
      <c r="BVF247"/>
      <c r="BVG247"/>
      <c r="BVH247"/>
      <c r="BVI247"/>
      <c r="BVJ247"/>
      <c r="BVK247"/>
      <c r="BVL247"/>
      <c r="BVM247"/>
      <c r="BVN247"/>
      <c r="BVO247"/>
      <c r="BVP247"/>
      <c r="BVQ247"/>
      <c r="BVR247"/>
      <c r="BVS247"/>
      <c r="BVT247"/>
      <c r="BVU247"/>
      <c r="BVV247"/>
      <c r="BVW247"/>
      <c r="BVX247"/>
      <c r="BVY247"/>
      <c r="BVZ247"/>
      <c r="BWA247"/>
      <c r="BWB247"/>
      <c r="BWC247"/>
      <c r="BWD247"/>
      <c r="BWE247"/>
      <c r="BWF247"/>
      <c r="BWG247"/>
      <c r="BWH247"/>
      <c r="BWI247"/>
      <c r="BWJ247"/>
      <c r="BWK247"/>
      <c r="BWL247"/>
      <c r="BWM247"/>
      <c r="BWN247"/>
      <c r="BWO247"/>
      <c r="BWP247"/>
      <c r="BWQ247"/>
      <c r="BWR247"/>
      <c r="BWS247"/>
      <c r="BWT247"/>
      <c r="BWU247"/>
      <c r="BWV247"/>
      <c r="BWW247"/>
      <c r="BWX247"/>
      <c r="BWY247"/>
      <c r="BWZ247"/>
      <c r="BXA247"/>
      <c r="BXB247"/>
      <c r="BXC247"/>
      <c r="BXD247"/>
      <c r="BXE247"/>
      <c r="BXF247"/>
      <c r="BXG247"/>
      <c r="BXH247"/>
      <c r="BXI247"/>
      <c r="BXJ247"/>
      <c r="BXK247"/>
      <c r="BXL247"/>
      <c r="BXM247"/>
      <c r="BXN247"/>
      <c r="BXO247"/>
      <c r="BXP247"/>
      <c r="BXQ247"/>
      <c r="BXR247"/>
      <c r="BXS247"/>
      <c r="BXT247"/>
      <c r="BXU247"/>
      <c r="BXV247"/>
      <c r="BXW247"/>
      <c r="BXX247"/>
      <c r="BXY247"/>
      <c r="BXZ247"/>
      <c r="BYA247"/>
      <c r="BYB247"/>
      <c r="BYC247"/>
      <c r="BYD247"/>
      <c r="BYE247"/>
      <c r="BYF247"/>
      <c r="BYG247"/>
      <c r="BYH247"/>
      <c r="BYI247"/>
      <c r="BYJ247"/>
      <c r="BYK247"/>
      <c r="BYL247"/>
      <c r="BYM247"/>
      <c r="BYN247"/>
      <c r="BYO247"/>
      <c r="BYP247"/>
      <c r="BYQ247"/>
      <c r="BYR247"/>
      <c r="BYS247"/>
      <c r="BYT247"/>
      <c r="BYU247"/>
      <c r="BYV247"/>
      <c r="BYW247"/>
      <c r="BYX247"/>
      <c r="BYY247"/>
      <c r="BYZ247"/>
      <c r="BZA247"/>
      <c r="BZB247"/>
      <c r="BZC247"/>
      <c r="BZD247"/>
      <c r="BZE247"/>
      <c r="BZF247"/>
      <c r="BZG247"/>
      <c r="BZH247"/>
      <c r="BZI247"/>
      <c r="BZJ247"/>
      <c r="BZK247"/>
      <c r="BZL247"/>
      <c r="BZM247"/>
      <c r="BZN247"/>
      <c r="BZO247"/>
      <c r="BZP247"/>
      <c r="BZQ247"/>
      <c r="BZR247"/>
      <c r="BZS247"/>
      <c r="BZT247"/>
      <c r="BZU247"/>
      <c r="BZV247"/>
      <c r="BZW247"/>
      <c r="BZX247"/>
      <c r="BZY247"/>
      <c r="BZZ247"/>
      <c r="CAA247"/>
      <c r="CAB247"/>
      <c r="CAC247"/>
      <c r="CAD247"/>
      <c r="CAE247"/>
      <c r="CAF247"/>
      <c r="CAG247"/>
      <c r="CAH247"/>
      <c r="CAI247"/>
      <c r="CAJ247"/>
      <c r="CAK247"/>
      <c r="CAL247"/>
      <c r="CAM247"/>
      <c r="CAN247"/>
      <c r="CAO247"/>
      <c r="CAP247"/>
      <c r="CAQ247"/>
      <c r="CAR247"/>
      <c r="CAS247"/>
      <c r="CAT247"/>
      <c r="CAU247"/>
      <c r="CAV247"/>
      <c r="CAW247"/>
      <c r="CAX247"/>
      <c r="CAY247"/>
      <c r="CAZ247"/>
      <c r="CBA247"/>
      <c r="CBB247"/>
      <c r="CBC247"/>
      <c r="CBD247"/>
      <c r="CBE247"/>
      <c r="CBF247"/>
      <c r="CBG247"/>
      <c r="CBH247"/>
      <c r="CBI247"/>
      <c r="CBJ247"/>
      <c r="CBK247"/>
      <c r="CBL247"/>
      <c r="CBM247"/>
      <c r="CBN247"/>
      <c r="CBO247"/>
      <c r="CBP247"/>
      <c r="CBQ247"/>
      <c r="CBR247"/>
      <c r="CBS247"/>
      <c r="CBT247"/>
      <c r="CBU247"/>
      <c r="CBV247"/>
      <c r="CBW247"/>
      <c r="CBX247"/>
      <c r="CBY247"/>
      <c r="CBZ247"/>
      <c r="CCA247"/>
      <c r="CCB247"/>
      <c r="CCC247"/>
      <c r="CCD247"/>
      <c r="CCE247"/>
      <c r="CCF247"/>
      <c r="CCG247"/>
      <c r="CCH247"/>
      <c r="CCI247"/>
      <c r="CCJ247"/>
      <c r="CCK247"/>
      <c r="CCL247"/>
      <c r="CCM247"/>
      <c r="CCN247"/>
      <c r="CCO247"/>
      <c r="CCP247"/>
      <c r="CCQ247"/>
      <c r="CCR247"/>
      <c r="CCS247"/>
      <c r="CCT247"/>
      <c r="CCU247"/>
      <c r="CCV247"/>
      <c r="CCW247"/>
      <c r="CCX247"/>
      <c r="CCY247"/>
      <c r="CCZ247"/>
      <c r="CDA247"/>
      <c r="CDB247"/>
      <c r="CDC247"/>
      <c r="CDD247"/>
      <c r="CDE247"/>
      <c r="CDF247"/>
      <c r="CDG247"/>
      <c r="CDH247"/>
      <c r="CDI247"/>
      <c r="CDJ247"/>
      <c r="CDK247"/>
      <c r="CDL247"/>
      <c r="CDM247"/>
      <c r="CDN247"/>
      <c r="CDO247"/>
      <c r="CDP247"/>
      <c r="CDQ247"/>
      <c r="CDR247"/>
      <c r="CDS247"/>
      <c r="CDT247"/>
      <c r="CDU247"/>
      <c r="CDV247"/>
      <c r="CDW247"/>
      <c r="CDX247"/>
      <c r="CDY247"/>
      <c r="CDZ247"/>
      <c r="CEA247"/>
      <c r="CEB247"/>
      <c r="CEC247"/>
      <c r="CED247"/>
      <c r="CEE247"/>
      <c r="CEF247"/>
      <c r="CEG247"/>
      <c r="CEH247"/>
      <c r="CEI247"/>
      <c r="CEJ247"/>
      <c r="CEK247"/>
      <c r="CEL247"/>
      <c r="CEM247"/>
      <c r="CEN247"/>
      <c r="CEO247"/>
      <c r="CEP247"/>
      <c r="CEQ247"/>
      <c r="CER247"/>
      <c r="CES247"/>
      <c r="CET247"/>
      <c r="CEU247"/>
      <c r="CEV247"/>
      <c r="CEW247"/>
      <c r="CEX247"/>
      <c r="CEY247"/>
      <c r="CEZ247"/>
      <c r="CFA247"/>
      <c r="CFB247"/>
      <c r="CFC247"/>
      <c r="CFD247"/>
      <c r="CFE247"/>
      <c r="CFF247"/>
      <c r="CFG247"/>
      <c r="CFH247"/>
      <c r="CFI247"/>
      <c r="CFJ247"/>
      <c r="CFK247"/>
      <c r="CFL247"/>
      <c r="CFM247"/>
      <c r="CFN247"/>
      <c r="CFO247"/>
      <c r="CFP247"/>
      <c r="CFQ247"/>
      <c r="CFR247"/>
      <c r="CFS247"/>
      <c r="CFT247"/>
      <c r="CFU247"/>
      <c r="CFV247"/>
      <c r="CFW247"/>
      <c r="CFX247"/>
      <c r="CFY247"/>
      <c r="CFZ247"/>
      <c r="CGA247"/>
      <c r="CGB247"/>
      <c r="CGC247"/>
      <c r="CGD247"/>
      <c r="CGE247"/>
      <c r="CGF247"/>
      <c r="CGG247"/>
      <c r="CGH247"/>
      <c r="CGI247"/>
      <c r="CGJ247"/>
      <c r="CGK247"/>
      <c r="CGL247"/>
      <c r="CGM247"/>
      <c r="CGN247"/>
      <c r="CGO247"/>
      <c r="CGP247"/>
      <c r="CGQ247"/>
      <c r="CGR247"/>
      <c r="CGS247"/>
      <c r="CGT247"/>
      <c r="CGU247"/>
      <c r="CGV247"/>
      <c r="CGW247"/>
      <c r="CGX247"/>
      <c r="CGY247"/>
      <c r="CGZ247"/>
      <c r="CHA247"/>
      <c r="CHB247"/>
      <c r="CHC247"/>
      <c r="CHD247"/>
      <c r="CHE247"/>
      <c r="CHF247"/>
      <c r="CHG247"/>
      <c r="CHH247"/>
      <c r="CHI247"/>
      <c r="CHJ247"/>
      <c r="CHK247"/>
      <c r="CHL247"/>
      <c r="CHM247"/>
      <c r="CHN247"/>
      <c r="CHO247"/>
      <c r="CHP247"/>
      <c r="CHQ247"/>
      <c r="CHR247"/>
      <c r="CHS247"/>
      <c r="CHT247"/>
      <c r="CHU247"/>
      <c r="CHV247"/>
      <c r="CHW247"/>
      <c r="CHX247"/>
      <c r="CHY247"/>
      <c r="CHZ247"/>
      <c r="CIA247"/>
      <c r="CIB247"/>
      <c r="CIC247"/>
      <c r="CID247"/>
      <c r="CIE247"/>
      <c r="CIF247"/>
      <c r="CIG247"/>
      <c r="CIH247"/>
      <c r="CII247"/>
      <c r="CIJ247"/>
      <c r="CIK247"/>
      <c r="CIL247"/>
      <c r="CIM247"/>
      <c r="CIN247"/>
      <c r="CIO247"/>
      <c r="CIP247"/>
      <c r="CIQ247"/>
      <c r="CIR247"/>
      <c r="CIS247"/>
      <c r="CIT247"/>
      <c r="CIU247"/>
      <c r="CIV247"/>
      <c r="CIW247"/>
      <c r="CIX247"/>
      <c r="CIY247"/>
      <c r="CIZ247"/>
      <c r="CJA247"/>
      <c r="CJB247"/>
      <c r="CJC247"/>
      <c r="CJD247"/>
      <c r="CJE247"/>
      <c r="CJF247"/>
      <c r="CJG247"/>
      <c r="CJH247"/>
      <c r="CJI247"/>
      <c r="CJJ247"/>
      <c r="CJK247"/>
      <c r="CJL247"/>
      <c r="CJM247"/>
      <c r="CJN247"/>
      <c r="CJO247"/>
      <c r="CJP247"/>
      <c r="CJQ247"/>
      <c r="CJR247"/>
      <c r="CJS247"/>
      <c r="CJT247"/>
      <c r="CJU247"/>
      <c r="CJV247"/>
      <c r="CJW247"/>
      <c r="CJX247"/>
      <c r="CJY247"/>
      <c r="CJZ247"/>
      <c r="CKA247"/>
      <c r="CKB247"/>
      <c r="CKC247"/>
      <c r="CKD247"/>
      <c r="CKE247"/>
      <c r="CKF247"/>
      <c r="CKG247"/>
      <c r="CKH247"/>
      <c r="CKI247"/>
      <c r="CKJ247"/>
      <c r="CKK247"/>
      <c r="CKL247"/>
      <c r="CKM247"/>
      <c r="CKN247"/>
      <c r="CKO247"/>
      <c r="CKP247"/>
      <c r="CKQ247"/>
      <c r="CKR247"/>
      <c r="CKS247"/>
      <c r="CKT247"/>
      <c r="CKU247"/>
      <c r="CKV247"/>
      <c r="CKW247"/>
      <c r="CKX247"/>
      <c r="CKY247"/>
      <c r="CKZ247"/>
      <c r="CLA247"/>
      <c r="CLB247"/>
      <c r="CLC247"/>
      <c r="CLD247"/>
      <c r="CLE247"/>
      <c r="CLF247"/>
      <c r="CLG247"/>
      <c r="CLH247"/>
      <c r="CLI247"/>
      <c r="CLJ247"/>
      <c r="CLK247"/>
      <c r="CLL247"/>
      <c r="CLM247"/>
      <c r="CLN247"/>
      <c r="CLO247"/>
      <c r="CLP247"/>
      <c r="CLQ247"/>
      <c r="CLR247"/>
      <c r="CLS247"/>
      <c r="CLT247"/>
      <c r="CLU247"/>
      <c r="CLV247"/>
      <c r="CLW247"/>
      <c r="CLX247"/>
      <c r="CLY247"/>
      <c r="CLZ247"/>
      <c r="CMA247"/>
      <c r="CMB247"/>
      <c r="CMC247"/>
      <c r="CMD247"/>
      <c r="CME247"/>
      <c r="CMF247"/>
      <c r="CMG247"/>
      <c r="CMH247"/>
      <c r="CMI247"/>
      <c r="CMJ247"/>
      <c r="CMK247"/>
      <c r="CML247"/>
      <c r="CMM247"/>
      <c r="CMN247"/>
      <c r="CMO247"/>
      <c r="CMP247"/>
      <c r="CMQ247"/>
      <c r="CMR247"/>
      <c r="CMS247"/>
      <c r="CMT247"/>
      <c r="CMU247"/>
      <c r="CMV247"/>
      <c r="CMW247"/>
      <c r="CMX247"/>
      <c r="CMY247"/>
      <c r="CMZ247"/>
      <c r="CNA247"/>
      <c r="CNB247"/>
      <c r="CNC247"/>
      <c r="CND247"/>
      <c r="CNE247"/>
      <c r="CNF247"/>
      <c r="CNG247"/>
      <c r="CNH247"/>
      <c r="CNI247"/>
      <c r="CNJ247"/>
      <c r="CNK247"/>
      <c r="CNL247"/>
      <c r="CNM247"/>
      <c r="CNN247"/>
      <c r="CNO247"/>
      <c r="CNP247"/>
      <c r="CNQ247"/>
      <c r="CNR247"/>
      <c r="CNS247"/>
      <c r="CNT247"/>
      <c r="CNU247"/>
      <c r="CNV247"/>
      <c r="CNW247"/>
      <c r="CNX247"/>
      <c r="CNY247"/>
      <c r="CNZ247"/>
      <c r="COA247"/>
      <c r="COB247"/>
      <c r="COC247"/>
      <c r="COD247"/>
      <c r="COE247"/>
      <c r="COF247"/>
      <c r="COG247"/>
      <c r="COH247"/>
      <c r="COI247"/>
      <c r="COJ247"/>
      <c r="COK247"/>
      <c r="COL247"/>
      <c r="COM247"/>
      <c r="CON247"/>
      <c r="COO247"/>
      <c r="COP247"/>
      <c r="COQ247"/>
      <c r="COR247"/>
      <c r="COS247"/>
      <c r="COT247"/>
      <c r="COU247"/>
      <c r="COV247"/>
      <c r="COW247"/>
      <c r="COX247"/>
      <c r="COY247"/>
      <c r="COZ247"/>
      <c r="CPA247"/>
      <c r="CPB247"/>
      <c r="CPC247"/>
      <c r="CPD247"/>
      <c r="CPE247"/>
      <c r="CPF247"/>
      <c r="CPG247"/>
      <c r="CPH247"/>
      <c r="CPI247"/>
      <c r="CPJ247"/>
      <c r="CPK247"/>
      <c r="CPL247"/>
      <c r="CPM247"/>
      <c r="CPN247"/>
      <c r="CPO247"/>
      <c r="CPP247"/>
      <c r="CPQ247"/>
      <c r="CPR247"/>
      <c r="CPS247"/>
      <c r="CPT247"/>
      <c r="CPU247"/>
      <c r="CPV247"/>
      <c r="CPW247"/>
      <c r="CPX247"/>
      <c r="CPY247"/>
      <c r="CPZ247"/>
      <c r="CQA247"/>
      <c r="CQB247"/>
      <c r="CQC247"/>
      <c r="CQD247"/>
      <c r="CQE247"/>
      <c r="CQF247"/>
      <c r="CQG247"/>
      <c r="CQH247"/>
      <c r="CQI247"/>
      <c r="CQJ247"/>
      <c r="CQK247"/>
      <c r="CQL247"/>
      <c r="CQM247"/>
      <c r="CQN247"/>
      <c r="CQO247"/>
      <c r="CQP247"/>
      <c r="CQQ247"/>
      <c r="CQR247"/>
      <c r="CQS247"/>
      <c r="CQT247"/>
      <c r="CQU247"/>
      <c r="CQV247"/>
      <c r="CQW247"/>
      <c r="CQX247"/>
      <c r="CQY247"/>
      <c r="CQZ247"/>
      <c r="CRA247"/>
      <c r="CRB247"/>
      <c r="CRC247"/>
      <c r="CRD247"/>
      <c r="CRE247"/>
      <c r="CRF247"/>
      <c r="CRG247"/>
      <c r="CRH247"/>
      <c r="CRI247"/>
      <c r="CRJ247"/>
      <c r="CRK247"/>
      <c r="CRL247"/>
      <c r="CRM247"/>
      <c r="CRN247"/>
      <c r="CRO247"/>
      <c r="CRP247"/>
      <c r="CRQ247"/>
      <c r="CRR247"/>
      <c r="CRS247"/>
      <c r="CRT247"/>
      <c r="CRU247"/>
      <c r="CRV247"/>
      <c r="CRW247"/>
      <c r="CRX247"/>
      <c r="CRY247"/>
      <c r="CRZ247"/>
      <c r="CSA247"/>
      <c r="CSB247"/>
      <c r="CSC247"/>
      <c r="CSD247"/>
      <c r="CSE247"/>
      <c r="CSF247"/>
      <c r="CSG247"/>
      <c r="CSH247"/>
      <c r="CSI247"/>
      <c r="CSJ247"/>
      <c r="CSK247"/>
      <c r="CSL247"/>
      <c r="CSM247"/>
      <c r="CSN247"/>
      <c r="CSO247"/>
      <c r="CSP247"/>
      <c r="CSQ247"/>
      <c r="CSR247"/>
      <c r="CSS247"/>
      <c r="CST247"/>
      <c r="CSU247"/>
      <c r="CSV247"/>
      <c r="CSW247"/>
      <c r="CSX247"/>
      <c r="CSY247"/>
      <c r="CSZ247"/>
      <c r="CTA247"/>
      <c r="CTB247"/>
      <c r="CTC247"/>
      <c r="CTD247"/>
      <c r="CTE247"/>
      <c r="CTF247"/>
      <c r="CTG247"/>
      <c r="CTH247"/>
      <c r="CTI247"/>
      <c r="CTJ247"/>
      <c r="CTK247"/>
      <c r="CTL247"/>
      <c r="CTM247"/>
      <c r="CTN247"/>
      <c r="CTO247"/>
      <c r="CTP247"/>
      <c r="CTQ247"/>
      <c r="CTR247"/>
      <c r="CTS247"/>
      <c r="CTT247"/>
      <c r="CTU247"/>
      <c r="CTV247"/>
      <c r="CTW247"/>
      <c r="CTX247"/>
      <c r="CTY247"/>
      <c r="CTZ247"/>
      <c r="CUA247"/>
      <c r="CUB247"/>
      <c r="CUC247"/>
      <c r="CUD247"/>
      <c r="CUE247"/>
      <c r="CUF247"/>
      <c r="CUG247"/>
      <c r="CUH247"/>
      <c r="CUI247"/>
      <c r="CUJ247"/>
      <c r="CUK247"/>
      <c r="CUL247"/>
      <c r="CUM247"/>
      <c r="CUN247"/>
      <c r="CUO247"/>
      <c r="CUP247"/>
      <c r="CUQ247"/>
      <c r="CUR247"/>
      <c r="CUS247"/>
      <c r="CUT247"/>
      <c r="CUU247"/>
      <c r="CUV247"/>
      <c r="CUW247"/>
      <c r="CUX247"/>
      <c r="CUY247"/>
      <c r="CUZ247"/>
      <c r="CVA247"/>
      <c r="CVB247"/>
      <c r="CVC247"/>
      <c r="CVD247"/>
      <c r="CVE247"/>
      <c r="CVF247"/>
      <c r="CVG247"/>
      <c r="CVH247"/>
      <c r="CVI247"/>
      <c r="CVJ247"/>
      <c r="CVK247"/>
      <c r="CVL247"/>
      <c r="CVM247"/>
      <c r="CVN247"/>
      <c r="CVO247"/>
      <c r="CVP247"/>
      <c r="CVQ247"/>
      <c r="CVR247"/>
      <c r="CVS247"/>
      <c r="CVT247"/>
      <c r="CVU247"/>
      <c r="CVV247"/>
      <c r="CVW247"/>
      <c r="CVX247"/>
      <c r="CVY247"/>
      <c r="CVZ247"/>
      <c r="CWA247"/>
      <c r="CWB247"/>
      <c r="CWC247"/>
      <c r="CWD247"/>
      <c r="CWE247"/>
      <c r="CWF247"/>
      <c r="CWG247"/>
      <c r="CWH247"/>
      <c r="CWI247"/>
      <c r="CWJ247"/>
      <c r="CWK247"/>
      <c r="CWL247"/>
      <c r="CWM247"/>
      <c r="CWN247"/>
      <c r="CWO247"/>
      <c r="CWP247"/>
      <c r="CWQ247"/>
      <c r="CWR247"/>
      <c r="CWS247"/>
      <c r="CWT247"/>
      <c r="CWU247"/>
      <c r="CWV247"/>
      <c r="CWW247"/>
      <c r="CWX247"/>
      <c r="CWY247"/>
      <c r="CWZ247"/>
      <c r="CXA247"/>
      <c r="CXB247"/>
      <c r="CXC247"/>
      <c r="CXD247"/>
      <c r="CXE247"/>
      <c r="CXF247"/>
      <c r="CXG247"/>
      <c r="CXH247"/>
      <c r="CXI247"/>
      <c r="CXJ247"/>
      <c r="CXK247"/>
      <c r="CXL247"/>
      <c r="CXM247"/>
      <c r="CXN247"/>
      <c r="CXO247"/>
      <c r="CXP247"/>
      <c r="CXQ247"/>
      <c r="CXR247"/>
      <c r="CXS247"/>
      <c r="CXT247"/>
      <c r="CXU247"/>
      <c r="CXV247"/>
      <c r="CXW247"/>
      <c r="CXX247"/>
      <c r="CXY247"/>
      <c r="CXZ247"/>
      <c r="CYA247"/>
      <c r="CYB247"/>
      <c r="CYC247"/>
      <c r="CYD247"/>
      <c r="CYE247"/>
      <c r="CYF247"/>
      <c r="CYG247"/>
      <c r="CYH247"/>
      <c r="CYI247"/>
      <c r="CYJ247"/>
      <c r="CYK247"/>
      <c r="CYL247"/>
      <c r="CYM247"/>
      <c r="CYN247"/>
      <c r="CYO247"/>
      <c r="CYP247"/>
      <c r="CYQ247"/>
      <c r="CYR247"/>
      <c r="CYS247"/>
      <c r="CYT247"/>
      <c r="CYU247"/>
      <c r="CYV247"/>
      <c r="CYW247"/>
      <c r="CYX247"/>
      <c r="CYY247"/>
      <c r="CYZ247"/>
      <c r="CZA247"/>
      <c r="CZB247"/>
      <c r="CZC247"/>
      <c r="CZD247"/>
      <c r="CZE247"/>
      <c r="CZF247"/>
      <c r="CZG247"/>
      <c r="CZH247"/>
      <c r="CZI247"/>
      <c r="CZJ247"/>
      <c r="CZK247"/>
      <c r="CZL247"/>
      <c r="CZM247"/>
      <c r="CZN247"/>
      <c r="CZO247"/>
      <c r="CZP247"/>
      <c r="CZQ247"/>
      <c r="CZR247"/>
      <c r="CZS247"/>
      <c r="CZT247"/>
      <c r="CZU247"/>
      <c r="CZV247"/>
      <c r="CZW247"/>
      <c r="CZX247"/>
      <c r="CZY247"/>
      <c r="CZZ247"/>
      <c r="DAA247"/>
      <c r="DAB247"/>
      <c r="DAC247"/>
      <c r="DAD247"/>
      <c r="DAE247"/>
      <c r="DAF247"/>
      <c r="DAG247"/>
      <c r="DAH247"/>
      <c r="DAI247"/>
      <c r="DAJ247"/>
      <c r="DAK247"/>
      <c r="DAL247"/>
      <c r="DAM247"/>
      <c r="DAN247"/>
      <c r="DAO247"/>
      <c r="DAP247"/>
      <c r="DAQ247"/>
      <c r="DAR247"/>
      <c r="DAS247"/>
      <c r="DAT247"/>
      <c r="DAU247"/>
      <c r="DAV247"/>
      <c r="DAW247"/>
      <c r="DAX247"/>
      <c r="DAY247"/>
      <c r="DAZ247"/>
      <c r="DBA247"/>
      <c r="DBB247"/>
      <c r="DBC247"/>
      <c r="DBD247"/>
      <c r="DBE247"/>
      <c r="DBF247"/>
      <c r="DBG247"/>
      <c r="DBH247"/>
      <c r="DBI247"/>
      <c r="DBJ247"/>
      <c r="DBK247"/>
      <c r="DBL247"/>
      <c r="DBM247"/>
      <c r="DBN247"/>
      <c r="DBO247"/>
      <c r="DBP247"/>
      <c r="DBQ247"/>
      <c r="DBR247"/>
      <c r="DBS247"/>
      <c r="DBT247"/>
      <c r="DBU247"/>
      <c r="DBV247"/>
      <c r="DBW247"/>
      <c r="DBX247"/>
      <c r="DBY247"/>
      <c r="DBZ247"/>
      <c r="DCA247"/>
      <c r="DCB247"/>
      <c r="DCC247"/>
      <c r="DCD247"/>
      <c r="DCE247"/>
      <c r="DCF247"/>
      <c r="DCG247"/>
      <c r="DCH247"/>
      <c r="DCI247"/>
      <c r="DCJ247"/>
      <c r="DCK247"/>
      <c r="DCL247"/>
      <c r="DCM247"/>
      <c r="DCN247"/>
      <c r="DCO247"/>
      <c r="DCP247"/>
      <c r="DCQ247"/>
      <c r="DCR247"/>
      <c r="DCS247"/>
      <c r="DCT247"/>
      <c r="DCU247"/>
      <c r="DCV247"/>
      <c r="DCW247"/>
      <c r="DCX247"/>
      <c r="DCY247"/>
      <c r="DCZ247"/>
      <c r="DDA247"/>
      <c r="DDB247"/>
      <c r="DDC247"/>
      <c r="DDD247"/>
      <c r="DDE247"/>
      <c r="DDF247"/>
      <c r="DDG247"/>
      <c r="DDH247"/>
      <c r="DDI247"/>
      <c r="DDJ247"/>
      <c r="DDK247"/>
      <c r="DDL247"/>
      <c r="DDM247"/>
      <c r="DDN247"/>
      <c r="DDO247"/>
      <c r="DDP247"/>
      <c r="DDQ247"/>
      <c r="DDR247"/>
      <c r="DDS247"/>
      <c r="DDT247"/>
      <c r="DDU247"/>
      <c r="DDV247"/>
      <c r="DDW247"/>
      <c r="DDX247"/>
      <c r="DDY247"/>
      <c r="DDZ247"/>
      <c r="DEA247"/>
      <c r="DEB247"/>
      <c r="DEC247"/>
      <c r="DED247"/>
      <c r="DEE247"/>
      <c r="DEF247"/>
      <c r="DEG247"/>
      <c r="DEH247"/>
      <c r="DEI247"/>
      <c r="DEJ247"/>
      <c r="DEK247"/>
      <c r="DEL247"/>
      <c r="DEM247"/>
      <c r="DEN247"/>
      <c r="DEO247"/>
      <c r="DEP247"/>
      <c r="DEQ247"/>
      <c r="DER247"/>
      <c r="DES247"/>
      <c r="DET247"/>
      <c r="DEU247"/>
      <c r="DEV247"/>
      <c r="DEW247"/>
      <c r="DEX247"/>
      <c r="DEY247"/>
      <c r="DEZ247"/>
      <c r="DFA247"/>
      <c r="DFB247"/>
      <c r="DFC247"/>
      <c r="DFD247"/>
      <c r="DFE247"/>
      <c r="DFF247"/>
      <c r="DFG247"/>
      <c r="DFH247"/>
      <c r="DFI247"/>
      <c r="DFJ247"/>
      <c r="DFK247"/>
      <c r="DFL247"/>
      <c r="DFM247"/>
      <c r="DFN247"/>
      <c r="DFO247"/>
      <c r="DFP247"/>
      <c r="DFQ247"/>
      <c r="DFR247"/>
      <c r="DFS247"/>
      <c r="DFT247"/>
      <c r="DFU247"/>
      <c r="DFV247"/>
      <c r="DFW247"/>
      <c r="DFX247"/>
      <c r="DFY247"/>
      <c r="DFZ247"/>
      <c r="DGA247"/>
      <c r="DGB247"/>
      <c r="DGC247"/>
      <c r="DGD247"/>
      <c r="DGE247"/>
      <c r="DGF247"/>
      <c r="DGG247"/>
      <c r="DGH247"/>
      <c r="DGI247"/>
      <c r="DGJ247"/>
      <c r="DGK247"/>
      <c r="DGL247"/>
      <c r="DGM247"/>
      <c r="DGN247"/>
      <c r="DGO247"/>
      <c r="DGP247"/>
      <c r="DGQ247"/>
      <c r="DGR247"/>
      <c r="DGS247"/>
      <c r="DGT247"/>
      <c r="DGU247"/>
      <c r="DGV247"/>
      <c r="DGW247"/>
      <c r="DGX247"/>
      <c r="DGY247"/>
      <c r="DGZ247"/>
      <c r="DHA247"/>
      <c r="DHB247"/>
      <c r="DHC247"/>
      <c r="DHD247"/>
      <c r="DHE247"/>
      <c r="DHF247"/>
      <c r="DHG247"/>
      <c r="DHH247"/>
      <c r="DHI247"/>
      <c r="DHJ247"/>
      <c r="DHK247"/>
      <c r="DHL247"/>
      <c r="DHM247"/>
      <c r="DHN247"/>
      <c r="DHO247"/>
      <c r="DHP247"/>
      <c r="DHQ247"/>
      <c r="DHR247"/>
      <c r="DHS247"/>
      <c r="DHT247"/>
      <c r="DHU247"/>
      <c r="DHV247"/>
      <c r="DHW247"/>
      <c r="DHX247"/>
      <c r="DHY247"/>
      <c r="DHZ247"/>
      <c r="DIA247"/>
      <c r="DIB247"/>
      <c r="DIC247"/>
      <c r="DID247"/>
      <c r="DIE247"/>
      <c r="DIF247"/>
      <c r="DIG247"/>
      <c r="DIH247"/>
      <c r="DII247"/>
      <c r="DIJ247"/>
      <c r="DIK247"/>
      <c r="DIL247"/>
      <c r="DIM247"/>
      <c r="DIN247"/>
      <c r="DIO247"/>
      <c r="DIP247"/>
      <c r="DIQ247"/>
      <c r="DIR247"/>
      <c r="DIS247"/>
      <c r="DIT247"/>
      <c r="DIU247"/>
      <c r="DIV247"/>
      <c r="DIW247"/>
      <c r="DIX247"/>
      <c r="DIY247"/>
      <c r="DIZ247"/>
      <c r="DJA247"/>
      <c r="DJB247"/>
      <c r="DJC247"/>
      <c r="DJD247"/>
      <c r="DJE247"/>
      <c r="DJF247"/>
      <c r="DJG247"/>
      <c r="DJH247"/>
      <c r="DJI247"/>
      <c r="DJJ247"/>
      <c r="DJK247"/>
      <c r="DJL247"/>
      <c r="DJM247"/>
      <c r="DJN247"/>
      <c r="DJO247"/>
      <c r="DJP247"/>
      <c r="DJQ247"/>
      <c r="DJR247"/>
      <c r="DJS247"/>
      <c r="DJT247"/>
      <c r="DJU247"/>
      <c r="DJV247"/>
      <c r="DJW247"/>
      <c r="DJX247"/>
      <c r="DJY247"/>
      <c r="DJZ247"/>
      <c r="DKA247"/>
      <c r="DKB247"/>
      <c r="DKC247"/>
      <c r="DKD247"/>
      <c r="DKE247"/>
      <c r="DKF247"/>
      <c r="DKG247"/>
      <c r="DKH247"/>
      <c r="DKI247"/>
      <c r="DKJ247"/>
      <c r="DKK247"/>
      <c r="DKL247"/>
      <c r="DKM247"/>
      <c r="DKN247"/>
      <c r="DKO247"/>
      <c r="DKP247"/>
      <c r="DKQ247"/>
      <c r="DKR247"/>
      <c r="DKS247"/>
      <c r="DKT247"/>
      <c r="DKU247"/>
      <c r="DKV247"/>
      <c r="DKW247"/>
      <c r="DKX247"/>
      <c r="DKY247"/>
      <c r="DKZ247"/>
      <c r="DLA247"/>
      <c r="DLB247"/>
      <c r="DLC247"/>
      <c r="DLD247"/>
      <c r="DLE247"/>
      <c r="DLF247"/>
      <c r="DLG247"/>
      <c r="DLH247"/>
      <c r="DLI247"/>
      <c r="DLJ247"/>
      <c r="DLK247"/>
      <c r="DLL247"/>
      <c r="DLM247"/>
      <c r="DLN247"/>
      <c r="DLO247"/>
      <c r="DLP247"/>
      <c r="DLQ247"/>
      <c r="DLR247"/>
      <c r="DLS247"/>
      <c r="DLT247"/>
      <c r="DLU247"/>
      <c r="DLV247"/>
      <c r="DLW247"/>
      <c r="DLX247"/>
      <c r="DLY247"/>
      <c r="DLZ247"/>
      <c r="DMA247"/>
      <c r="DMB247"/>
      <c r="DMC247"/>
      <c r="DMD247"/>
      <c r="DME247"/>
      <c r="DMF247"/>
      <c r="DMG247"/>
      <c r="DMH247"/>
      <c r="DMI247"/>
      <c r="DMJ247"/>
      <c r="DMK247"/>
      <c r="DML247"/>
      <c r="DMM247"/>
      <c r="DMN247"/>
      <c r="DMO247"/>
      <c r="DMP247"/>
      <c r="DMQ247"/>
      <c r="DMR247"/>
      <c r="DMS247"/>
      <c r="DMT247"/>
      <c r="DMU247"/>
      <c r="DMV247"/>
      <c r="DMW247"/>
      <c r="DMX247"/>
      <c r="DMY247"/>
      <c r="DMZ247"/>
      <c r="DNA247"/>
      <c r="DNB247"/>
      <c r="DNC247"/>
      <c r="DND247"/>
      <c r="DNE247"/>
      <c r="DNF247"/>
      <c r="DNG247"/>
      <c r="DNH247"/>
      <c r="DNI247"/>
      <c r="DNJ247"/>
      <c r="DNK247"/>
      <c r="DNL247"/>
      <c r="DNM247"/>
      <c r="DNN247"/>
      <c r="DNO247"/>
      <c r="DNP247"/>
      <c r="DNQ247"/>
      <c r="DNR247"/>
      <c r="DNS247"/>
      <c r="DNT247"/>
      <c r="DNU247"/>
      <c r="DNV247"/>
      <c r="DNW247"/>
      <c r="DNX247"/>
      <c r="DNY247"/>
      <c r="DNZ247"/>
      <c r="DOA247"/>
      <c r="DOB247"/>
      <c r="DOC247"/>
      <c r="DOD247"/>
      <c r="DOE247"/>
      <c r="DOF247"/>
      <c r="DOG247"/>
      <c r="DOH247"/>
      <c r="DOI247"/>
      <c r="DOJ247"/>
      <c r="DOK247"/>
      <c r="DOL247"/>
      <c r="DOM247"/>
      <c r="DON247"/>
      <c r="DOO247"/>
      <c r="DOP247"/>
      <c r="DOQ247"/>
      <c r="DOR247"/>
      <c r="DOS247"/>
      <c r="DOT247"/>
      <c r="DOU247"/>
      <c r="DOV247"/>
      <c r="DOW247"/>
      <c r="DOX247"/>
      <c r="DOY247"/>
      <c r="DOZ247"/>
      <c r="DPA247"/>
      <c r="DPB247"/>
      <c r="DPC247"/>
      <c r="DPD247"/>
      <c r="DPE247"/>
      <c r="DPF247"/>
      <c r="DPG247"/>
      <c r="DPH247"/>
      <c r="DPI247"/>
      <c r="DPJ247"/>
      <c r="DPK247"/>
      <c r="DPL247"/>
      <c r="DPM247"/>
      <c r="DPN247"/>
      <c r="DPO247"/>
      <c r="DPP247"/>
      <c r="DPQ247"/>
      <c r="DPR247"/>
      <c r="DPS247"/>
      <c r="DPT247"/>
      <c r="DPU247"/>
      <c r="DPV247"/>
      <c r="DPW247"/>
      <c r="DPX247"/>
      <c r="DPY247"/>
      <c r="DPZ247"/>
      <c r="DQA247"/>
      <c r="DQB247"/>
      <c r="DQC247"/>
      <c r="DQD247"/>
      <c r="DQE247"/>
      <c r="DQF247"/>
      <c r="DQG247"/>
      <c r="DQH247"/>
      <c r="DQI247"/>
      <c r="DQJ247"/>
      <c r="DQK247"/>
      <c r="DQL247"/>
      <c r="DQM247"/>
      <c r="DQN247"/>
      <c r="DQO247"/>
      <c r="DQP247"/>
      <c r="DQQ247"/>
      <c r="DQR247"/>
      <c r="DQS247"/>
      <c r="DQT247"/>
      <c r="DQU247"/>
      <c r="DQV247"/>
      <c r="DQW247"/>
      <c r="DQX247"/>
      <c r="DQY247"/>
      <c r="DQZ247"/>
      <c r="DRA247"/>
      <c r="DRB247"/>
      <c r="DRC247"/>
      <c r="DRD247"/>
      <c r="DRE247"/>
      <c r="DRF247"/>
      <c r="DRG247"/>
      <c r="DRH247"/>
      <c r="DRI247"/>
      <c r="DRJ247"/>
      <c r="DRK247"/>
      <c r="DRL247"/>
      <c r="DRM247"/>
      <c r="DRN247"/>
      <c r="DRO247"/>
      <c r="DRP247"/>
      <c r="DRQ247"/>
      <c r="DRR247"/>
      <c r="DRS247"/>
      <c r="DRT247"/>
      <c r="DRU247"/>
      <c r="DRV247"/>
      <c r="DRW247"/>
      <c r="DRX247"/>
      <c r="DRY247"/>
      <c r="DRZ247"/>
      <c r="DSA247"/>
      <c r="DSB247"/>
      <c r="DSC247"/>
      <c r="DSD247"/>
      <c r="DSE247"/>
      <c r="DSF247"/>
      <c r="DSG247"/>
      <c r="DSH247"/>
      <c r="DSI247"/>
      <c r="DSJ247"/>
      <c r="DSK247"/>
      <c r="DSL247"/>
      <c r="DSM247"/>
      <c r="DSN247"/>
      <c r="DSO247"/>
      <c r="DSP247"/>
      <c r="DSQ247"/>
      <c r="DSR247"/>
      <c r="DSS247"/>
      <c r="DST247"/>
      <c r="DSU247"/>
      <c r="DSV247"/>
      <c r="DSW247"/>
      <c r="DSX247"/>
      <c r="DSY247"/>
      <c r="DSZ247"/>
      <c r="DTA247"/>
      <c r="DTB247"/>
      <c r="DTC247"/>
      <c r="DTD247"/>
      <c r="DTE247"/>
      <c r="DTF247"/>
      <c r="DTG247"/>
      <c r="DTH247"/>
      <c r="DTI247"/>
      <c r="DTJ247"/>
      <c r="DTK247"/>
      <c r="DTL247"/>
      <c r="DTM247"/>
      <c r="DTN247"/>
      <c r="DTO247"/>
      <c r="DTP247"/>
      <c r="DTQ247"/>
      <c r="DTR247"/>
      <c r="DTS247"/>
      <c r="DTT247"/>
      <c r="DTU247"/>
      <c r="DTV247"/>
      <c r="DTW247"/>
      <c r="DTX247"/>
      <c r="DTY247"/>
      <c r="DTZ247"/>
      <c r="DUA247"/>
      <c r="DUB247"/>
      <c r="DUC247"/>
      <c r="DUD247"/>
      <c r="DUE247"/>
      <c r="DUF247"/>
      <c r="DUG247"/>
      <c r="DUH247"/>
      <c r="DUI247"/>
      <c r="DUJ247"/>
      <c r="DUK247"/>
      <c r="DUL247"/>
      <c r="DUM247"/>
      <c r="DUN247"/>
      <c r="DUO247"/>
      <c r="DUP247"/>
      <c r="DUQ247"/>
      <c r="DUR247"/>
      <c r="DUS247"/>
      <c r="DUT247"/>
      <c r="DUU247"/>
      <c r="DUV247"/>
      <c r="DUW247"/>
      <c r="DUX247"/>
      <c r="DUY247"/>
      <c r="DUZ247"/>
      <c r="DVA247"/>
      <c r="DVB247"/>
      <c r="DVC247"/>
      <c r="DVD247"/>
      <c r="DVE247"/>
      <c r="DVF247"/>
      <c r="DVG247"/>
      <c r="DVH247"/>
      <c r="DVI247"/>
      <c r="DVJ247"/>
      <c r="DVK247"/>
      <c r="DVL247"/>
      <c r="DVM247"/>
      <c r="DVN247"/>
      <c r="DVO247"/>
      <c r="DVP247"/>
      <c r="DVQ247"/>
      <c r="DVR247"/>
      <c r="DVS247"/>
      <c r="DVT247"/>
      <c r="DVU247"/>
      <c r="DVV247"/>
      <c r="DVW247"/>
      <c r="DVX247"/>
      <c r="DVY247"/>
      <c r="DVZ247"/>
      <c r="DWA247"/>
      <c r="DWB247"/>
      <c r="DWC247"/>
      <c r="DWD247"/>
      <c r="DWE247"/>
      <c r="DWF247"/>
      <c r="DWG247"/>
      <c r="DWH247"/>
      <c r="DWI247"/>
      <c r="DWJ247"/>
      <c r="DWK247"/>
      <c r="DWL247"/>
      <c r="DWM247"/>
      <c r="DWN247"/>
      <c r="DWO247"/>
      <c r="DWP247"/>
      <c r="DWQ247"/>
      <c r="DWR247"/>
      <c r="DWS247"/>
      <c r="DWT247"/>
      <c r="DWU247"/>
      <c r="DWV247"/>
      <c r="DWW247"/>
      <c r="DWX247"/>
      <c r="DWY247"/>
      <c r="DWZ247"/>
      <c r="DXA247"/>
      <c r="DXB247"/>
      <c r="DXC247"/>
      <c r="DXD247"/>
      <c r="DXE247"/>
      <c r="DXF247"/>
      <c r="DXG247"/>
      <c r="DXH247"/>
      <c r="DXI247"/>
      <c r="DXJ247"/>
      <c r="DXK247"/>
      <c r="DXL247"/>
      <c r="DXM247"/>
      <c r="DXN247"/>
      <c r="DXO247"/>
      <c r="DXP247"/>
      <c r="DXQ247"/>
      <c r="DXR247"/>
      <c r="DXS247"/>
      <c r="DXT247"/>
      <c r="DXU247"/>
      <c r="DXV247"/>
      <c r="DXW247"/>
      <c r="DXX247"/>
      <c r="DXY247"/>
      <c r="DXZ247"/>
      <c r="DYA247"/>
      <c r="DYB247"/>
      <c r="DYC247"/>
      <c r="DYD247"/>
      <c r="DYE247"/>
      <c r="DYF247"/>
      <c r="DYG247"/>
      <c r="DYH247"/>
      <c r="DYI247"/>
      <c r="DYJ247"/>
      <c r="DYK247"/>
      <c r="DYL247"/>
      <c r="DYM247"/>
      <c r="DYN247"/>
      <c r="DYO247"/>
      <c r="DYP247"/>
      <c r="DYQ247"/>
      <c r="DYR247"/>
      <c r="DYS247"/>
      <c r="DYT247"/>
      <c r="DYU247"/>
      <c r="DYV247"/>
      <c r="DYW247"/>
      <c r="DYX247"/>
      <c r="DYY247"/>
      <c r="DYZ247"/>
      <c r="DZA247"/>
      <c r="DZB247"/>
      <c r="DZC247"/>
      <c r="DZD247"/>
      <c r="DZE247"/>
      <c r="DZF247"/>
      <c r="DZG247"/>
      <c r="DZH247"/>
      <c r="DZI247"/>
      <c r="DZJ247"/>
      <c r="DZK247"/>
      <c r="DZL247"/>
      <c r="DZM247"/>
      <c r="DZN247"/>
      <c r="DZO247"/>
      <c r="DZP247"/>
      <c r="DZQ247"/>
      <c r="DZR247"/>
      <c r="DZS247"/>
      <c r="DZT247"/>
      <c r="DZU247"/>
      <c r="DZV247"/>
      <c r="DZW247"/>
      <c r="DZX247"/>
      <c r="DZY247"/>
      <c r="DZZ247"/>
      <c r="EAA247"/>
      <c r="EAB247"/>
      <c r="EAC247"/>
      <c r="EAD247"/>
      <c r="EAE247"/>
      <c r="EAF247"/>
      <c r="EAG247"/>
      <c r="EAH247"/>
      <c r="EAI247"/>
      <c r="EAJ247"/>
      <c r="EAK247"/>
      <c r="EAL247"/>
      <c r="EAM247"/>
      <c r="EAN247"/>
      <c r="EAO247"/>
      <c r="EAP247"/>
      <c r="EAQ247"/>
      <c r="EAR247"/>
      <c r="EAS247"/>
      <c r="EAT247"/>
      <c r="EAU247"/>
      <c r="EAV247"/>
      <c r="EAW247"/>
      <c r="EAX247"/>
      <c r="EAY247"/>
      <c r="EAZ247"/>
      <c r="EBA247"/>
      <c r="EBB247"/>
      <c r="EBC247"/>
      <c r="EBD247"/>
      <c r="EBE247"/>
      <c r="EBF247"/>
      <c r="EBG247"/>
      <c r="EBH247"/>
      <c r="EBI247"/>
      <c r="EBJ247"/>
      <c r="EBK247"/>
      <c r="EBL247"/>
      <c r="EBM247"/>
      <c r="EBN247"/>
      <c r="EBO247"/>
      <c r="EBP247"/>
      <c r="EBQ247"/>
      <c r="EBR247"/>
      <c r="EBS247"/>
      <c r="EBT247"/>
      <c r="EBU247"/>
      <c r="EBV247"/>
      <c r="EBW247"/>
      <c r="EBX247"/>
      <c r="EBY247"/>
      <c r="EBZ247"/>
      <c r="ECA247"/>
      <c r="ECB247"/>
      <c r="ECC247"/>
      <c r="ECD247"/>
      <c r="ECE247"/>
      <c r="ECF247"/>
      <c r="ECG247"/>
      <c r="ECH247"/>
      <c r="ECI247"/>
      <c r="ECJ247"/>
      <c r="ECK247"/>
      <c r="ECL247"/>
      <c r="ECM247"/>
      <c r="ECN247"/>
      <c r="ECO247"/>
      <c r="ECP247"/>
      <c r="ECQ247"/>
      <c r="ECR247"/>
      <c r="ECS247"/>
      <c r="ECT247"/>
      <c r="ECU247"/>
      <c r="ECV247"/>
      <c r="ECW247"/>
      <c r="ECX247"/>
      <c r="ECY247"/>
      <c r="ECZ247"/>
      <c r="EDA247"/>
      <c r="EDB247"/>
      <c r="EDC247"/>
      <c r="EDD247"/>
      <c r="EDE247"/>
      <c r="EDF247"/>
      <c r="EDG247"/>
      <c r="EDH247"/>
      <c r="EDI247"/>
      <c r="EDJ247"/>
      <c r="EDK247"/>
      <c r="EDL247"/>
      <c r="EDM247"/>
      <c r="EDN247"/>
      <c r="EDO247"/>
      <c r="EDP247"/>
      <c r="EDQ247"/>
      <c r="EDR247"/>
      <c r="EDS247"/>
      <c r="EDT247"/>
      <c r="EDU247"/>
      <c r="EDV247"/>
      <c r="EDW247"/>
      <c r="EDX247"/>
      <c r="EDY247"/>
      <c r="EDZ247"/>
      <c r="EEA247"/>
      <c r="EEB247"/>
      <c r="EEC247"/>
      <c r="EED247"/>
      <c r="EEE247"/>
      <c r="EEF247"/>
      <c r="EEG247"/>
      <c r="EEH247"/>
      <c r="EEI247"/>
      <c r="EEJ247"/>
      <c r="EEK247"/>
      <c r="EEL247"/>
      <c r="EEM247"/>
      <c r="EEN247"/>
      <c r="EEO247"/>
      <c r="EEP247"/>
      <c r="EEQ247"/>
      <c r="EER247"/>
      <c r="EES247"/>
      <c r="EET247"/>
      <c r="EEU247"/>
      <c r="EEV247"/>
      <c r="EEW247"/>
      <c r="EEX247"/>
      <c r="EEY247"/>
      <c r="EEZ247"/>
      <c r="EFA247"/>
      <c r="EFB247"/>
      <c r="EFC247"/>
      <c r="EFD247"/>
      <c r="EFE247"/>
      <c r="EFF247"/>
      <c r="EFG247"/>
      <c r="EFH247"/>
      <c r="EFI247"/>
      <c r="EFJ247"/>
      <c r="EFK247"/>
      <c r="EFL247"/>
      <c r="EFM247"/>
      <c r="EFN247"/>
      <c r="EFO247"/>
      <c r="EFP247"/>
      <c r="EFQ247"/>
      <c r="EFR247"/>
      <c r="EFS247"/>
      <c r="EFT247"/>
      <c r="EFU247"/>
      <c r="EFV247"/>
      <c r="EFW247"/>
      <c r="EFX247"/>
      <c r="EFY247"/>
      <c r="EFZ247"/>
      <c r="EGA247"/>
      <c r="EGB247"/>
      <c r="EGC247"/>
      <c r="EGD247"/>
      <c r="EGE247"/>
      <c r="EGF247"/>
      <c r="EGG247"/>
      <c r="EGH247"/>
      <c r="EGI247"/>
      <c r="EGJ247"/>
      <c r="EGK247"/>
      <c r="EGL247"/>
      <c r="EGM247"/>
      <c r="EGN247"/>
      <c r="EGO247"/>
      <c r="EGP247"/>
      <c r="EGQ247"/>
      <c r="EGR247"/>
      <c r="EGS247"/>
      <c r="EGT247"/>
      <c r="EGU247"/>
      <c r="EGV247"/>
      <c r="EGW247"/>
      <c r="EGX247"/>
      <c r="EGY247"/>
      <c r="EGZ247"/>
      <c r="EHA247"/>
      <c r="EHB247"/>
      <c r="EHC247"/>
      <c r="EHD247"/>
      <c r="EHE247"/>
      <c r="EHF247"/>
      <c r="EHG247"/>
      <c r="EHH247"/>
      <c r="EHI247"/>
      <c r="EHJ247"/>
      <c r="EHK247"/>
      <c r="EHL247"/>
      <c r="EHM247"/>
      <c r="EHN247"/>
      <c r="EHO247"/>
      <c r="EHP247"/>
      <c r="EHQ247"/>
      <c r="EHR247"/>
      <c r="EHS247"/>
      <c r="EHT247"/>
      <c r="EHU247"/>
      <c r="EHV247"/>
      <c r="EHW247"/>
      <c r="EHX247"/>
      <c r="EHY247"/>
      <c r="EHZ247"/>
      <c r="EIA247"/>
      <c r="EIB247"/>
      <c r="EIC247"/>
      <c r="EID247"/>
      <c r="EIE247"/>
      <c r="EIF247"/>
      <c r="EIG247"/>
      <c r="EIH247"/>
      <c r="EII247"/>
      <c r="EIJ247"/>
      <c r="EIK247"/>
      <c r="EIL247"/>
      <c r="EIM247"/>
      <c r="EIN247"/>
      <c r="EIO247"/>
      <c r="EIP247"/>
      <c r="EIQ247"/>
      <c r="EIR247"/>
      <c r="EIS247"/>
      <c r="EIT247"/>
      <c r="EIU247"/>
      <c r="EIV247"/>
      <c r="EIW247"/>
      <c r="EIX247"/>
      <c r="EIY247"/>
      <c r="EIZ247"/>
      <c r="EJA247"/>
      <c r="EJB247"/>
      <c r="EJC247"/>
      <c r="EJD247"/>
      <c r="EJE247"/>
      <c r="EJF247"/>
      <c r="EJG247"/>
      <c r="EJH247"/>
      <c r="EJI247"/>
      <c r="EJJ247"/>
      <c r="EJK247"/>
      <c r="EJL247"/>
      <c r="EJM247"/>
      <c r="EJN247"/>
      <c r="EJO247"/>
      <c r="EJP247"/>
      <c r="EJQ247"/>
      <c r="EJR247"/>
      <c r="EJS247"/>
      <c r="EJT247"/>
      <c r="EJU247"/>
      <c r="EJV247"/>
      <c r="EJW247"/>
      <c r="EJX247"/>
      <c r="EJY247"/>
      <c r="EJZ247"/>
      <c r="EKA247"/>
      <c r="EKB247"/>
      <c r="EKC247"/>
      <c r="EKD247"/>
      <c r="EKE247"/>
      <c r="EKF247"/>
      <c r="EKG247"/>
      <c r="EKH247"/>
      <c r="EKI247"/>
      <c r="EKJ247"/>
      <c r="EKK247"/>
      <c r="EKL247"/>
      <c r="EKM247"/>
      <c r="EKN247"/>
      <c r="EKO247"/>
      <c r="EKP247"/>
      <c r="EKQ247"/>
      <c r="EKR247"/>
      <c r="EKS247"/>
      <c r="EKT247"/>
      <c r="EKU247"/>
      <c r="EKV247"/>
      <c r="EKW247"/>
      <c r="EKX247"/>
      <c r="EKY247"/>
      <c r="EKZ247"/>
      <c r="ELA247"/>
      <c r="ELB247"/>
      <c r="ELC247"/>
      <c r="ELD247"/>
      <c r="ELE247"/>
      <c r="ELF247"/>
      <c r="ELG247"/>
      <c r="ELH247"/>
      <c r="ELI247"/>
      <c r="ELJ247"/>
      <c r="ELK247"/>
      <c r="ELL247"/>
      <c r="ELM247"/>
      <c r="ELN247"/>
      <c r="ELO247"/>
      <c r="ELP247"/>
      <c r="ELQ247"/>
      <c r="ELR247"/>
      <c r="ELS247"/>
      <c r="ELT247"/>
      <c r="ELU247"/>
      <c r="ELV247"/>
      <c r="ELW247"/>
      <c r="ELX247"/>
      <c r="ELY247"/>
      <c r="ELZ247"/>
      <c r="EMA247"/>
      <c r="EMB247"/>
      <c r="EMC247"/>
      <c r="EMD247"/>
      <c r="EME247"/>
      <c r="EMF247"/>
      <c r="EMG247"/>
      <c r="EMH247"/>
      <c r="EMI247"/>
      <c r="EMJ247"/>
      <c r="EMK247"/>
      <c r="EML247"/>
      <c r="EMM247"/>
      <c r="EMN247"/>
      <c r="EMO247"/>
      <c r="EMP247"/>
      <c r="EMQ247"/>
      <c r="EMR247"/>
      <c r="EMS247"/>
      <c r="EMT247"/>
      <c r="EMU247"/>
      <c r="EMV247"/>
      <c r="EMW247"/>
      <c r="EMX247"/>
      <c r="EMY247"/>
      <c r="EMZ247"/>
      <c r="ENA247"/>
      <c r="ENB247"/>
      <c r="ENC247"/>
      <c r="END247"/>
      <c r="ENE247"/>
      <c r="ENF247"/>
      <c r="ENG247"/>
      <c r="ENH247"/>
      <c r="ENI247"/>
      <c r="ENJ247"/>
      <c r="ENK247"/>
      <c r="ENL247"/>
      <c r="ENM247"/>
      <c r="ENN247"/>
      <c r="ENO247"/>
      <c r="ENP247"/>
      <c r="ENQ247"/>
      <c r="ENR247"/>
      <c r="ENS247"/>
      <c r="ENT247"/>
      <c r="ENU247"/>
      <c r="ENV247"/>
      <c r="ENW247"/>
      <c r="ENX247"/>
      <c r="ENY247"/>
      <c r="ENZ247"/>
      <c r="EOA247"/>
      <c r="EOB247"/>
      <c r="EOC247"/>
      <c r="EOD247"/>
      <c r="EOE247"/>
      <c r="EOF247"/>
      <c r="EOG247"/>
      <c r="EOH247"/>
      <c r="EOI247"/>
      <c r="EOJ247"/>
      <c r="EOK247"/>
      <c r="EOL247"/>
      <c r="EOM247"/>
      <c r="EON247"/>
      <c r="EOO247"/>
      <c r="EOP247"/>
      <c r="EOQ247"/>
      <c r="EOR247"/>
      <c r="EOS247"/>
      <c r="EOT247"/>
      <c r="EOU247"/>
      <c r="EOV247"/>
      <c r="EOW247"/>
      <c r="EOX247"/>
      <c r="EOY247"/>
      <c r="EOZ247"/>
      <c r="EPA247"/>
      <c r="EPB247"/>
      <c r="EPC247"/>
      <c r="EPD247"/>
      <c r="EPE247"/>
      <c r="EPF247"/>
      <c r="EPG247"/>
      <c r="EPH247"/>
      <c r="EPI247"/>
      <c r="EPJ247"/>
      <c r="EPK247"/>
      <c r="EPL247"/>
      <c r="EPM247"/>
      <c r="EPN247"/>
      <c r="EPO247"/>
      <c r="EPP247"/>
      <c r="EPQ247"/>
      <c r="EPR247"/>
      <c r="EPS247"/>
      <c r="EPT247"/>
      <c r="EPU247"/>
      <c r="EPV247"/>
      <c r="EPW247"/>
      <c r="EPX247"/>
      <c r="EPY247"/>
      <c r="EPZ247"/>
      <c r="EQA247"/>
      <c r="EQB247"/>
      <c r="EQC247"/>
      <c r="EQD247"/>
      <c r="EQE247"/>
      <c r="EQF247"/>
      <c r="EQG247"/>
      <c r="EQH247"/>
      <c r="EQI247"/>
      <c r="EQJ247"/>
      <c r="EQK247"/>
      <c r="EQL247"/>
      <c r="EQM247"/>
      <c r="EQN247"/>
      <c r="EQO247"/>
      <c r="EQP247"/>
      <c r="EQQ247"/>
      <c r="EQR247"/>
      <c r="EQS247"/>
      <c r="EQT247"/>
      <c r="EQU247"/>
      <c r="EQV247"/>
      <c r="EQW247"/>
      <c r="EQX247"/>
      <c r="EQY247"/>
      <c r="EQZ247"/>
      <c r="ERA247"/>
      <c r="ERB247"/>
      <c r="ERC247"/>
      <c r="ERD247"/>
      <c r="ERE247"/>
      <c r="ERF247"/>
      <c r="ERG247"/>
      <c r="ERH247"/>
      <c r="ERI247"/>
      <c r="ERJ247"/>
      <c r="ERK247"/>
      <c r="ERL247"/>
      <c r="ERM247"/>
      <c r="ERN247"/>
      <c r="ERO247"/>
      <c r="ERP247"/>
      <c r="ERQ247"/>
      <c r="ERR247"/>
      <c r="ERS247"/>
      <c r="ERT247"/>
      <c r="ERU247"/>
      <c r="ERV247"/>
      <c r="ERW247"/>
      <c r="ERX247"/>
      <c r="ERY247"/>
      <c r="ERZ247"/>
      <c r="ESA247"/>
      <c r="ESB247"/>
      <c r="ESC247"/>
      <c r="ESD247"/>
      <c r="ESE247"/>
      <c r="ESF247"/>
      <c r="ESG247"/>
      <c r="ESH247"/>
      <c r="ESI247"/>
      <c r="ESJ247"/>
      <c r="ESK247"/>
      <c r="ESL247"/>
      <c r="ESM247"/>
      <c r="ESN247"/>
      <c r="ESO247"/>
      <c r="ESP247"/>
      <c r="ESQ247"/>
      <c r="ESR247"/>
      <c r="ESS247"/>
      <c r="EST247"/>
      <c r="ESU247"/>
      <c r="ESV247"/>
      <c r="ESW247"/>
      <c r="ESX247"/>
      <c r="ESY247"/>
      <c r="ESZ247"/>
      <c r="ETA247"/>
      <c r="ETB247"/>
      <c r="ETC247"/>
      <c r="ETD247"/>
      <c r="ETE247"/>
      <c r="ETF247"/>
      <c r="ETG247"/>
      <c r="ETH247"/>
      <c r="ETI247"/>
      <c r="ETJ247"/>
      <c r="ETK247"/>
      <c r="ETL247"/>
      <c r="ETM247"/>
      <c r="ETN247"/>
      <c r="ETO247"/>
      <c r="ETP247"/>
      <c r="ETQ247"/>
      <c r="ETR247"/>
      <c r="ETS247"/>
      <c r="ETT247"/>
      <c r="ETU247"/>
      <c r="ETV247"/>
      <c r="ETW247"/>
      <c r="ETX247"/>
      <c r="ETY247"/>
      <c r="ETZ247"/>
      <c r="EUA247"/>
      <c r="EUB247"/>
      <c r="EUC247"/>
      <c r="EUD247"/>
      <c r="EUE247"/>
      <c r="EUF247"/>
      <c r="EUG247"/>
      <c r="EUH247"/>
      <c r="EUI247"/>
      <c r="EUJ247"/>
      <c r="EUK247"/>
      <c r="EUL247"/>
      <c r="EUM247"/>
      <c r="EUN247"/>
      <c r="EUO247"/>
      <c r="EUP247"/>
      <c r="EUQ247"/>
      <c r="EUR247"/>
      <c r="EUS247"/>
      <c r="EUT247"/>
      <c r="EUU247"/>
      <c r="EUV247"/>
      <c r="EUW247"/>
      <c r="EUX247"/>
      <c r="EUY247"/>
      <c r="EUZ247"/>
      <c r="EVA247"/>
      <c r="EVB247"/>
      <c r="EVC247"/>
      <c r="EVD247"/>
      <c r="EVE247"/>
      <c r="EVF247"/>
      <c r="EVG247"/>
      <c r="EVH247"/>
      <c r="EVI247"/>
      <c r="EVJ247"/>
      <c r="EVK247"/>
      <c r="EVL247"/>
      <c r="EVM247"/>
      <c r="EVN247"/>
      <c r="EVO247"/>
      <c r="EVP247"/>
      <c r="EVQ247"/>
      <c r="EVR247"/>
      <c r="EVS247"/>
      <c r="EVT247"/>
      <c r="EVU247"/>
      <c r="EVV247"/>
      <c r="EVW247"/>
      <c r="EVX247"/>
      <c r="EVY247"/>
      <c r="EVZ247"/>
      <c r="EWA247"/>
      <c r="EWB247"/>
      <c r="EWC247"/>
      <c r="EWD247"/>
      <c r="EWE247"/>
      <c r="EWF247"/>
      <c r="EWG247"/>
      <c r="EWH247"/>
      <c r="EWI247"/>
      <c r="EWJ247"/>
      <c r="EWK247"/>
      <c r="EWL247"/>
      <c r="EWM247"/>
      <c r="EWN247"/>
      <c r="EWO247"/>
      <c r="EWP247"/>
      <c r="EWQ247"/>
      <c r="EWR247"/>
      <c r="EWS247"/>
      <c r="EWT247"/>
      <c r="EWU247"/>
      <c r="EWV247"/>
      <c r="EWW247"/>
      <c r="EWX247"/>
      <c r="EWY247"/>
      <c r="EWZ247"/>
      <c r="EXA247"/>
      <c r="EXB247"/>
      <c r="EXC247"/>
      <c r="EXD247"/>
      <c r="EXE247"/>
      <c r="EXF247"/>
      <c r="EXG247"/>
      <c r="EXH247"/>
      <c r="EXI247"/>
      <c r="EXJ247"/>
      <c r="EXK247"/>
      <c r="EXL247"/>
      <c r="EXM247"/>
      <c r="EXN247"/>
      <c r="EXO247"/>
      <c r="EXP247"/>
      <c r="EXQ247"/>
      <c r="EXR247"/>
      <c r="EXS247"/>
      <c r="EXT247"/>
      <c r="EXU247"/>
      <c r="EXV247"/>
      <c r="EXW247"/>
      <c r="EXX247"/>
      <c r="EXY247"/>
      <c r="EXZ247"/>
      <c r="EYA247"/>
      <c r="EYB247"/>
      <c r="EYC247"/>
      <c r="EYD247"/>
      <c r="EYE247"/>
      <c r="EYF247"/>
      <c r="EYG247"/>
      <c r="EYH247"/>
      <c r="EYI247"/>
      <c r="EYJ247"/>
      <c r="EYK247"/>
      <c r="EYL247"/>
      <c r="EYM247"/>
      <c r="EYN247"/>
      <c r="EYO247"/>
      <c r="EYP247"/>
      <c r="EYQ247"/>
      <c r="EYR247"/>
      <c r="EYS247"/>
      <c r="EYT247"/>
      <c r="EYU247"/>
      <c r="EYV247"/>
      <c r="EYW247"/>
      <c r="EYX247"/>
      <c r="EYY247"/>
      <c r="EYZ247"/>
      <c r="EZA247"/>
      <c r="EZB247"/>
      <c r="EZC247"/>
      <c r="EZD247"/>
      <c r="EZE247"/>
      <c r="EZF247"/>
      <c r="EZG247"/>
      <c r="EZH247"/>
      <c r="EZI247"/>
      <c r="EZJ247"/>
      <c r="EZK247"/>
      <c r="EZL247"/>
      <c r="EZM247"/>
      <c r="EZN247"/>
      <c r="EZO247"/>
      <c r="EZP247"/>
      <c r="EZQ247"/>
      <c r="EZR247"/>
      <c r="EZS247"/>
      <c r="EZT247"/>
      <c r="EZU247"/>
      <c r="EZV247"/>
      <c r="EZW247"/>
      <c r="EZX247"/>
      <c r="EZY247"/>
      <c r="EZZ247"/>
      <c r="FAA247"/>
      <c r="FAB247"/>
      <c r="FAC247"/>
      <c r="FAD247"/>
      <c r="FAE247"/>
      <c r="FAF247"/>
      <c r="FAG247"/>
      <c r="FAH247"/>
      <c r="FAI247"/>
      <c r="FAJ247"/>
      <c r="FAK247"/>
      <c r="FAL247"/>
      <c r="FAM247"/>
      <c r="FAN247"/>
      <c r="FAO247"/>
      <c r="FAP247"/>
      <c r="FAQ247"/>
      <c r="FAR247"/>
      <c r="FAS247"/>
      <c r="FAT247"/>
      <c r="FAU247"/>
      <c r="FAV247"/>
      <c r="FAW247"/>
      <c r="FAX247"/>
      <c r="FAY247"/>
      <c r="FAZ247"/>
      <c r="FBA247"/>
      <c r="FBB247"/>
      <c r="FBC247"/>
      <c r="FBD247"/>
      <c r="FBE247"/>
      <c r="FBF247"/>
      <c r="FBG247"/>
      <c r="FBH247"/>
      <c r="FBI247"/>
      <c r="FBJ247"/>
      <c r="FBK247"/>
      <c r="FBL247"/>
      <c r="FBM247"/>
      <c r="FBN247"/>
      <c r="FBO247"/>
      <c r="FBP247"/>
      <c r="FBQ247"/>
      <c r="FBR247"/>
      <c r="FBS247"/>
      <c r="FBT247"/>
      <c r="FBU247"/>
      <c r="FBV247"/>
      <c r="FBW247"/>
      <c r="FBX247"/>
      <c r="FBY247"/>
      <c r="FBZ247"/>
      <c r="FCA247"/>
      <c r="FCB247"/>
      <c r="FCC247"/>
      <c r="FCD247"/>
      <c r="FCE247"/>
      <c r="FCF247"/>
      <c r="FCG247"/>
      <c r="FCH247"/>
      <c r="FCI247"/>
      <c r="FCJ247"/>
      <c r="FCK247"/>
      <c r="FCL247"/>
      <c r="FCM247"/>
      <c r="FCN247"/>
      <c r="FCO247"/>
      <c r="FCP247"/>
      <c r="FCQ247"/>
      <c r="FCR247"/>
      <c r="FCS247"/>
      <c r="FCT247"/>
      <c r="FCU247"/>
      <c r="FCV247"/>
      <c r="FCW247"/>
      <c r="FCX247"/>
      <c r="FCY247"/>
      <c r="FCZ247"/>
      <c r="FDA247"/>
      <c r="FDB247"/>
      <c r="FDC247"/>
      <c r="FDD247"/>
      <c r="FDE247"/>
      <c r="FDF247"/>
      <c r="FDG247"/>
      <c r="FDH247"/>
      <c r="FDI247"/>
      <c r="FDJ247"/>
      <c r="FDK247"/>
      <c r="FDL247"/>
      <c r="FDM247"/>
      <c r="FDN247"/>
      <c r="FDO247"/>
      <c r="FDP247"/>
      <c r="FDQ247"/>
      <c r="FDR247"/>
      <c r="FDS247"/>
      <c r="FDT247"/>
      <c r="FDU247"/>
      <c r="FDV247"/>
      <c r="FDW247"/>
      <c r="FDX247"/>
      <c r="FDY247"/>
      <c r="FDZ247"/>
      <c r="FEA247"/>
      <c r="FEB247"/>
      <c r="FEC247"/>
      <c r="FED247"/>
      <c r="FEE247"/>
      <c r="FEF247"/>
      <c r="FEG247"/>
      <c r="FEH247"/>
      <c r="FEI247"/>
      <c r="FEJ247"/>
      <c r="FEK247"/>
      <c r="FEL247"/>
      <c r="FEM247"/>
      <c r="FEN247"/>
      <c r="FEO247"/>
      <c r="FEP247"/>
      <c r="FEQ247"/>
      <c r="FER247"/>
      <c r="FES247"/>
      <c r="FET247"/>
      <c r="FEU247"/>
      <c r="FEV247"/>
      <c r="FEW247"/>
      <c r="FEX247"/>
      <c r="FEY247"/>
      <c r="FEZ247"/>
      <c r="FFA247"/>
      <c r="FFB247"/>
      <c r="FFC247"/>
      <c r="FFD247"/>
      <c r="FFE247"/>
      <c r="FFF247"/>
      <c r="FFG247"/>
      <c r="FFH247"/>
      <c r="FFI247"/>
      <c r="FFJ247"/>
      <c r="FFK247"/>
      <c r="FFL247"/>
      <c r="FFM247"/>
      <c r="FFN247"/>
      <c r="FFO247"/>
      <c r="FFP247"/>
      <c r="FFQ247"/>
      <c r="FFR247"/>
      <c r="FFS247"/>
      <c r="FFT247"/>
      <c r="FFU247"/>
      <c r="FFV247"/>
      <c r="FFW247"/>
      <c r="FFX247"/>
      <c r="FFY247"/>
      <c r="FFZ247"/>
      <c r="FGA247"/>
      <c r="FGB247"/>
      <c r="FGC247"/>
      <c r="FGD247"/>
      <c r="FGE247"/>
      <c r="FGF247"/>
      <c r="FGG247"/>
      <c r="FGH247"/>
      <c r="FGI247"/>
      <c r="FGJ247"/>
      <c r="FGK247"/>
      <c r="FGL247"/>
      <c r="FGM247"/>
      <c r="FGN247"/>
      <c r="FGO247"/>
      <c r="FGP247"/>
      <c r="FGQ247"/>
      <c r="FGR247"/>
      <c r="FGS247"/>
      <c r="FGT247"/>
      <c r="FGU247"/>
      <c r="FGV247"/>
      <c r="FGW247"/>
      <c r="FGX247"/>
      <c r="FGY247"/>
      <c r="FGZ247"/>
      <c r="FHA247"/>
      <c r="FHB247"/>
      <c r="FHC247"/>
      <c r="FHD247"/>
      <c r="FHE247"/>
      <c r="FHF247"/>
      <c r="FHG247"/>
      <c r="FHH247"/>
      <c r="FHI247"/>
      <c r="FHJ247"/>
      <c r="FHK247"/>
      <c r="FHL247"/>
      <c r="FHM247"/>
      <c r="FHN247"/>
      <c r="FHO247"/>
      <c r="FHP247"/>
      <c r="FHQ247"/>
      <c r="FHR247"/>
      <c r="FHS247"/>
      <c r="FHT247"/>
      <c r="FHU247"/>
      <c r="FHV247"/>
      <c r="FHW247"/>
      <c r="FHX247"/>
      <c r="FHY247"/>
      <c r="FHZ247"/>
      <c r="FIA247"/>
      <c r="FIB247"/>
      <c r="FIC247"/>
      <c r="FID247"/>
      <c r="FIE247"/>
      <c r="FIF247"/>
      <c r="FIG247"/>
      <c r="FIH247"/>
      <c r="FII247"/>
      <c r="FIJ247"/>
      <c r="FIK247"/>
      <c r="FIL247"/>
      <c r="FIM247"/>
      <c r="FIN247"/>
      <c r="FIO247"/>
      <c r="FIP247"/>
      <c r="FIQ247"/>
      <c r="FIR247"/>
      <c r="FIS247"/>
      <c r="FIT247"/>
      <c r="FIU247"/>
      <c r="FIV247"/>
      <c r="FIW247"/>
      <c r="FIX247"/>
      <c r="FIY247"/>
      <c r="FIZ247"/>
      <c r="FJA247"/>
      <c r="FJB247"/>
      <c r="FJC247"/>
      <c r="FJD247"/>
      <c r="FJE247"/>
      <c r="FJF247"/>
      <c r="FJG247"/>
      <c r="FJH247"/>
      <c r="FJI247"/>
      <c r="FJJ247"/>
      <c r="FJK247"/>
      <c r="FJL247"/>
      <c r="FJM247"/>
      <c r="FJN247"/>
      <c r="FJO247"/>
      <c r="FJP247"/>
      <c r="FJQ247"/>
      <c r="FJR247"/>
      <c r="FJS247"/>
      <c r="FJT247"/>
      <c r="FJU247"/>
      <c r="FJV247"/>
      <c r="FJW247"/>
      <c r="FJX247"/>
      <c r="FJY247"/>
      <c r="FJZ247"/>
      <c r="FKA247"/>
      <c r="FKB247"/>
      <c r="FKC247"/>
      <c r="FKD247"/>
      <c r="FKE247"/>
      <c r="FKF247"/>
      <c r="FKG247"/>
      <c r="FKH247"/>
      <c r="FKI247"/>
      <c r="FKJ247"/>
      <c r="FKK247"/>
      <c r="FKL247"/>
      <c r="FKM247"/>
      <c r="FKN247"/>
      <c r="FKO247"/>
      <c r="FKP247"/>
      <c r="FKQ247"/>
      <c r="FKR247"/>
      <c r="FKS247"/>
      <c r="FKT247"/>
      <c r="FKU247"/>
      <c r="FKV247"/>
      <c r="FKW247"/>
      <c r="FKX247"/>
      <c r="FKY247"/>
      <c r="FKZ247"/>
      <c r="FLA247"/>
      <c r="FLB247"/>
      <c r="FLC247"/>
      <c r="FLD247"/>
      <c r="FLE247"/>
      <c r="FLF247"/>
      <c r="FLG247"/>
      <c r="FLH247"/>
      <c r="FLI247"/>
      <c r="FLJ247"/>
      <c r="FLK247"/>
      <c r="FLL247"/>
      <c r="FLM247"/>
      <c r="FLN247"/>
      <c r="FLO247"/>
      <c r="FLP247"/>
      <c r="FLQ247"/>
      <c r="FLR247"/>
      <c r="FLS247"/>
      <c r="FLT247"/>
      <c r="FLU247"/>
      <c r="FLV247"/>
      <c r="FLW247"/>
      <c r="FLX247"/>
      <c r="FLY247"/>
      <c r="FLZ247"/>
      <c r="FMA247"/>
      <c r="FMB247"/>
      <c r="FMC247"/>
      <c r="FMD247"/>
      <c r="FME247"/>
      <c r="FMF247"/>
      <c r="FMG247"/>
      <c r="FMH247"/>
      <c r="FMI247"/>
      <c r="FMJ247"/>
      <c r="FMK247"/>
      <c r="FML247"/>
      <c r="FMM247"/>
      <c r="FMN247"/>
      <c r="FMO247"/>
      <c r="FMP247"/>
      <c r="FMQ247"/>
      <c r="FMR247"/>
      <c r="FMS247"/>
      <c r="FMT247"/>
      <c r="FMU247"/>
      <c r="FMV247"/>
      <c r="FMW247"/>
      <c r="FMX247"/>
      <c r="FMY247"/>
      <c r="FMZ247"/>
      <c r="FNA247"/>
      <c r="FNB247"/>
      <c r="FNC247"/>
      <c r="FND247"/>
      <c r="FNE247"/>
      <c r="FNF247"/>
      <c r="FNG247"/>
      <c r="FNH247"/>
      <c r="FNI247"/>
      <c r="FNJ247"/>
      <c r="FNK247"/>
      <c r="FNL247"/>
      <c r="FNM247"/>
      <c r="FNN247"/>
      <c r="FNO247"/>
      <c r="FNP247"/>
      <c r="FNQ247"/>
      <c r="FNR247"/>
      <c r="FNS247"/>
      <c r="FNT247"/>
      <c r="FNU247"/>
      <c r="FNV247"/>
      <c r="FNW247"/>
      <c r="FNX247"/>
      <c r="FNY247"/>
      <c r="FNZ247"/>
      <c r="FOA247"/>
      <c r="FOB247"/>
      <c r="FOC247"/>
      <c r="FOD247"/>
      <c r="FOE247"/>
      <c r="FOF247"/>
      <c r="FOG247"/>
      <c r="FOH247"/>
      <c r="FOI247"/>
      <c r="FOJ247"/>
      <c r="FOK247"/>
      <c r="FOL247"/>
      <c r="FOM247"/>
      <c r="FON247"/>
      <c r="FOO247"/>
      <c r="FOP247"/>
      <c r="FOQ247"/>
      <c r="FOR247"/>
      <c r="FOS247"/>
      <c r="FOT247"/>
      <c r="FOU247"/>
      <c r="FOV247"/>
      <c r="FOW247"/>
      <c r="FOX247"/>
      <c r="FOY247"/>
      <c r="FOZ247"/>
      <c r="FPA247"/>
      <c r="FPB247"/>
      <c r="FPC247"/>
      <c r="FPD247"/>
      <c r="FPE247"/>
      <c r="FPF247"/>
      <c r="FPG247"/>
      <c r="FPH247"/>
      <c r="FPI247"/>
      <c r="FPJ247"/>
      <c r="FPK247"/>
      <c r="FPL247"/>
      <c r="FPM247"/>
      <c r="FPN247"/>
      <c r="FPO247"/>
      <c r="FPP247"/>
      <c r="FPQ247"/>
      <c r="FPR247"/>
      <c r="FPS247"/>
      <c r="FPT247"/>
      <c r="FPU247"/>
      <c r="FPV247"/>
      <c r="FPW247"/>
      <c r="FPX247"/>
      <c r="FPY247"/>
      <c r="FPZ247"/>
      <c r="FQA247"/>
      <c r="FQB247"/>
      <c r="FQC247"/>
      <c r="FQD247"/>
      <c r="FQE247"/>
      <c r="FQF247"/>
      <c r="FQG247"/>
      <c r="FQH247"/>
      <c r="FQI247"/>
      <c r="FQJ247"/>
      <c r="FQK247"/>
      <c r="FQL247"/>
      <c r="FQM247"/>
      <c r="FQN247"/>
      <c r="FQO247"/>
      <c r="FQP247"/>
      <c r="FQQ247"/>
      <c r="FQR247"/>
      <c r="FQS247"/>
      <c r="FQT247"/>
      <c r="FQU247"/>
      <c r="FQV247"/>
      <c r="FQW247"/>
      <c r="FQX247"/>
      <c r="FQY247"/>
      <c r="FQZ247"/>
      <c r="FRA247"/>
      <c r="FRB247"/>
      <c r="FRC247"/>
      <c r="FRD247"/>
      <c r="FRE247"/>
      <c r="FRF247"/>
      <c r="FRG247"/>
      <c r="FRH247"/>
      <c r="FRI247"/>
      <c r="FRJ247"/>
      <c r="FRK247"/>
      <c r="FRL247"/>
      <c r="FRM247"/>
      <c r="FRN247"/>
      <c r="FRO247"/>
      <c r="FRP247"/>
      <c r="FRQ247"/>
      <c r="FRR247"/>
      <c r="FRS247"/>
      <c r="FRT247"/>
      <c r="FRU247"/>
      <c r="FRV247"/>
      <c r="FRW247"/>
      <c r="FRX247"/>
      <c r="FRY247"/>
      <c r="FRZ247"/>
      <c r="FSA247"/>
      <c r="FSB247"/>
      <c r="FSC247"/>
      <c r="FSD247"/>
      <c r="FSE247"/>
      <c r="FSF247"/>
      <c r="FSG247"/>
      <c r="FSH247"/>
      <c r="FSI247"/>
      <c r="FSJ247"/>
      <c r="FSK247"/>
      <c r="FSL247"/>
      <c r="FSM247"/>
      <c r="FSN247"/>
      <c r="FSO247"/>
      <c r="FSP247"/>
      <c r="FSQ247"/>
      <c r="FSR247"/>
      <c r="FSS247"/>
      <c r="FST247"/>
      <c r="FSU247"/>
      <c r="FSV247"/>
      <c r="FSW247"/>
      <c r="FSX247"/>
      <c r="FSY247"/>
      <c r="FSZ247"/>
      <c r="FTA247"/>
      <c r="FTB247"/>
      <c r="FTC247"/>
      <c r="FTD247"/>
      <c r="FTE247"/>
      <c r="FTF247"/>
      <c r="FTG247"/>
      <c r="FTH247"/>
      <c r="FTI247"/>
      <c r="FTJ247"/>
      <c r="FTK247"/>
      <c r="FTL247"/>
      <c r="FTM247"/>
      <c r="FTN247"/>
      <c r="FTO247"/>
      <c r="FTP247"/>
      <c r="FTQ247"/>
      <c r="FTR247"/>
      <c r="FTS247"/>
      <c r="FTT247"/>
      <c r="FTU247"/>
      <c r="FTV247"/>
      <c r="FTW247"/>
      <c r="FTX247"/>
      <c r="FTY247"/>
      <c r="FTZ247"/>
      <c r="FUA247"/>
      <c r="FUB247"/>
      <c r="FUC247"/>
      <c r="FUD247"/>
      <c r="FUE247"/>
      <c r="FUF247"/>
      <c r="FUG247"/>
      <c r="FUH247"/>
      <c r="FUI247"/>
      <c r="FUJ247"/>
      <c r="FUK247"/>
      <c r="FUL247"/>
      <c r="FUM247"/>
      <c r="FUN247"/>
      <c r="FUO247"/>
      <c r="FUP247"/>
      <c r="FUQ247"/>
      <c r="FUR247"/>
      <c r="FUS247"/>
      <c r="FUT247"/>
      <c r="FUU247"/>
      <c r="FUV247"/>
      <c r="FUW247"/>
      <c r="FUX247"/>
      <c r="FUY247"/>
      <c r="FUZ247"/>
      <c r="FVA247"/>
      <c r="FVB247"/>
      <c r="FVC247"/>
      <c r="FVD247"/>
      <c r="FVE247"/>
      <c r="FVF247"/>
      <c r="FVG247"/>
      <c r="FVH247"/>
      <c r="FVI247"/>
      <c r="FVJ247"/>
      <c r="FVK247"/>
      <c r="FVL247"/>
      <c r="FVM247"/>
      <c r="FVN247"/>
      <c r="FVO247"/>
      <c r="FVP247"/>
      <c r="FVQ247"/>
      <c r="FVR247"/>
      <c r="FVS247"/>
      <c r="FVT247"/>
      <c r="FVU247"/>
      <c r="FVV247"/>
      <c r="FVW247"/>
      <c r="FVX247"/>
      <c r="FVY247"/>
      <c r="FVZ247"/>
      <c r="FWA247"/>
      <c r="FWB247"/>
      <c r="FWC247"/>
      <c r="FWD247"/>
      <c r="FWE247"/>
      <c r="FWF247"/>
      <c r="FWG247"/>
      <c r="FWH247"/>
      <c r="FWI247"/>
      <c r="FWJ247"/>
      <c r="FWK247"/>
      <c r="FWL247"/>
      <c r="FWM247"/>
      <c r="FWN247"/>
      <c r="FWO247"/>
      <c r="FWP247"/>
      <c r="FWQ247"/>
      <c r="FWR247"/>
      <c r="FWS247"/>
      <c r="FWT247"/>
      <c r="FWU247"/>
      <c r="FWV247"/>
      <c r="FWW247"/>
      <c r="FWX247"/>
      <c r="FWY247"/>
      <c r="FWZ247"/>
      <c r="FXA247"/>
      <c r="FXB247"/>
      <c r="FXC247"/>
      <c r="FXD247"/>
      <c r="FXE247"/>
      <c r="FXF247"/>
      <c r="FXG247"/>
      <c r="FXH247"/>
      <c r="FXI247"/>
      <c r="FXJ247"/>
      <c r="FXK247"/>
      <c r="FXL247"/>
      <c r="FXM247"/>
      <c r="FXN247"/>
      <c r="FXO247"/>
      <c r="FXP247"/>
      <c r="FXQ247"/>
      <c r="FXR247"/>
      <c r="FXS247"/>
      <c r="FXT247"/>
      <c r="FXU247"/>
      <c r="FXV247"/>
      <c r="FXW247"/>
      <c r="FXX247"/>
      <c r="FXY247"/>
      <c r="FXZ247"/>
      <c r="FYA247"/>
      <c r="FYB247"/>
      <c r="FYC247"/>
      <c r="FYD247"/>
      <c r="FYE247"/>
      <c r="FYF247"/>
      <c r="FYG247"/>
      <c r="FYH247"/>
      <c r="FYI247"/>
      <c r="FYJ247"/>
      <c r="FYK247"/>
      <c r="FYL247"/>
      <c r="FYM247"/>
      <c r="FYN247"/>
      <c r="FYO247"/>
      <c r="FYP247"/>
      <c r="FYQ247"/>
      <c r="FYR247"/>
      <c r="FYS247"/>
      <c r="FYT247"/>
      <c r="FYU247"/>
      <c r="FYV247"/>
      <c r="FYW247"/>
      <c r="FYX247"/>
      <c r="FYY247"/>
      <c r="FYZ247"/>
      <c r="FZA247"/>
      <c r="FZB247"/>
      <c r="FZC247"/>
      <c r="FZD247"/>
      <c r="FZE247"/>
      <c r="FZF247"/>
      <c r="FZG247"/>
      <c r="FZH247"/>
      <c r="FZI247"/>
      <c r="FZJ247"/>
      <c r="FZK247"/>
      <c r="FZL247"/>
      <c r="FZM247"/>
      <c r="FZN247"/>
      <c r="FZO247"/>
      <c r="FZP247"/>
      <c r="FZQ247"/>
      <c r="FZR247"/>
      <c r="FZS247"/>
      <c r="FZT247"/>
      <c r="FZU247"/>
      <c r="FZV247"/>
      <c r="FZW247"/>
      <c r="FZX247"/>
      <c r="FZY247"/>
      <c r="FZZ247"/>
      <c r="GAA247"/>
      <c r="GAB247"/>
      <c r="GAC247"/>
      <c r="GAD247"/>
      <c r="GAE247"/>
      <c r="GAF247"/>
      <c r="GAG247"/>
      <c r="GAH247"/>
      <c r="GAI247"/>
      <c r="GAJ247"/>
      <c r="GAK247"/>
      <c r="GAL247"/>
      <c r="GAM247"/>
      <c r="GAN247"/>
      <c r="GAO247"/>
      <c r="GAP247"/>
      <c r="GAQ247"/>
      <c r="GAR247"/>
      <c r="GAS247"/>
      <c r="GAT247"/>
      <c r="GAU247"/>
      <c r="GAV247"/>
      <c r="GAW247"/>
      <c r="GAX247"/>
      <c r="GAY247"/>
      <c r="GAZ247"/>
      <c r="GBA247"/>
      <c r="GBB247"/>
      <c r="GBC247"/>
      <c r="GBD247"/>
      <c r="GBE247"/>
      <c r="GBF247"/>
      <c r="GBG247"/>
      <c r="GBH247"/>
      <c r="GBI247"/>
      <c r="GBJ247"/>
      <c r="GBK247"/>
      <c r="GBL247"/>
      <c r="GBM247"/>
      <c r="GBN247"/>
      <c r="GBO247"/>
      <c r="GBP247"/>
      <c r="GBQ247"/>
      <c r="GBR247"/>
      <c r="GBS247"/>
      <c r="GBT247"/>
      <c r="GBU247"/>
      <c r="GBV247"/>
      <c r="GBW247"/>
      <c r="GBX247"/>
      <c r="GBY247"/>
      <c r="GBZ247"/>
      <c r="GCA247"/>
      <c r="GCB247"/>
      <c r="GCC247"/>
      <c r="GCD247"/>
      <c r="GCE247"/>
      <c r="GCF247"/>
      <c r="GCG247"/>
      <c r="GCH247"/>
      <c r="GCI247"/>
      <c r="GCJ247"/>
      <c r="GCK247"/>
      <c r="GCL247"/>
      <c r="GCM247"/>
      <c r="GCN247"/>
      <c r="GCO247"/>
      <c r="GCP247"/>
      <c r="GCQ247"/>
      <c r="GCR247"/>
      <c r="GCS247"/>
      <c r="GCT247"/>
      <c r="GCU247"/>
      <c r="GCV247"/>
      <c r="GCW247"/>
      <c r="GCX247"/>
      <c r="GCY247"/>
      <c r="GCZ247"/>
      <c r="GDA247"/>
      <c r="GDB247"/>
      <c r="GDC247"/>
      <c r="GDD247"/>
      <c r="GDE247"/>
      <c r="GDF247"/>
      <c r="GDG247"/>
      <c r="GDH247"/>
      <c r="GDI247"/>
      <c r="GDJ247"/>
      <c r="GDK247"/>
      <c r="GDL247"/>
      <c r="GDM247"/>
      <c r="GDN247"/>
      <c r="GDO247"/>
      <c r="GDP247"/>
      <c r="GDQ247"/>
      <c r="GDR247"/>
      <c r="GDS247"/>
      <c r="GDT247"/>
      <c r="GDU247"/>
      <c r="GDV247"/>
      <c r="GDW247"/>
      <c r="GDX247"/>
      <c r="GDY247"/>
      <c r="GDZ247"/>
      <c r="GEA247"/>
      <c r="GEB247"/>
      <c r="GEC247"/>
      <c r="GED247"/>
      <c r="GEE247"/>
      <c r="GEF247"/>
      <c r="GEG247"/>
      <c r="GEH247"/>
      <c r="GEI247"/>
      <c r="GEJ247"/>
      <c r="GEK247"/>
      <c r="GEL247"/>
      <c r="GEM247"/>
      <c r="GEN247"/>
      <c r="GEO247"/>
      <c r="GEP247"/>
      <c r="GEQ247"/>
      <c r="GER247"/>
      <c r="GES247"/>
      <c r="GET247"/>
      <c r="GEU247"/>
      <c r="GEV247"/>
      <c r="GEW247"/>
      <c r="GEX247"/>
      <c r="GEY247"/>
      <c r="GEZ247"/>
      <c r="GFA247"/>
      <c r="GFB247"/>
      <c r="GFC247"/>
      <c r="GFD247"/>
      <c r="GFE247"/>
      <c r="GFF247"/>
      <c r="GFG247"/>
      <c r="GFH247"/>
      <c r="GFI247"/>
      <c r="GFJ247"/>
      <c r="GFK247"/>
      <c r="GFL247"/>
      <c r="GFM247"/>
      <c r="GFN247"/>
      <c r="GFO247"/>
      <c r="GFP247"/>
      <c r="GFQ247"/>
      <c r="GFR247"/>
      <c r="GFS247"/>
      <c r="GFT247"/>
      <c r="GFU247"/>
      <c r="GFV247"/>
      <c r="GFW247"/>
      <c r="GFX247"/>
      <c r="GFY247"/>
      <c r="GFZ247"/>
      <c r="GGA247"/>
      <c r="GGB247"/>
      <c r="GGC247"/>
      <c r="GGD247"/>
      <c r="GGE247"/>
      <c r="GGF247"/>
      <c r="GGG247"/>
      <c r="GGH247"/>
      <c r="GGI247"/>
      <c r="GGJ247"/>
      <c r="GGK247"/>
      <c r="GGL247"/>
      <c r="GGM247"/>
      <c r="GGN247"/>
      <c r="GGO247"/>
      <c r="GGP247"/>
      <c r="GGQ247"/>
      <c r="GGR247"/>
      <c r="GGS247"/>
      <c r="GGT247"/>
      <c r="GGU247"/>
      <c r="GGV247"/>
      <c r="GGW247"/>
      <c r="GGX247"/>
      <c r="GGY247"/>
      <c r="GGZ247"/>
      <c r="GHA247"/>
      <c r="GHB247"/>
      <c r="GHC247"/>
      <c r="GHD247"/>
      <c r="GHE247"/>
      <c r="GHF247"/>
      <c r="GHG247"/>
      <c r="GHH247"/>
      <c r="GHI247"/>
      <c r="GHJ247"/>
      <c r="GHK247"/>
      <c r="GHL247"/>
      <c r="GHM247"/>
      <c r="GHN247"/>
      <c r="GHO247"/>
      <c r="GHP247"/>
      <c r="GHQ247"/>
      <c r="GHR247"/>
      <c r="GHS247"/>
      <c r="GHT247"/>
      <c r="GHU247"/>
      <c r="GHV247"/>
      <c r="GHW247"/>
      <c r="GHX247"/>
      <c r="GHY247"/>
      <c r="GHZ247"/>
      <c r="GIA247"/>
      <c r="GIB247"/>
      <c r="GIC247"/>
      <c r="GID247"/>
      <c r="GIE247"/>
      <c r="GIF247"/>
      <c r="GIG247"/>
      <c r="GIH247"/>
      <c r="GII247"/>
      <c r="GIJ247"/>
      <c r="GIK247"/>
      <c r="GIL247"/>
      <c r="GIM247"/>
      <c r="GIN247"/>
      <c r="GIO247"/>
      <c r="GIP247"/>
      <c r="GIQ247"/>
      <c r="GIR247"/>
      <c r="GIS247"/>
      <c r="GIT247"/>
      <c r="GIU247"/>
      <c r="GIV247"/>
      <c r="GIW247"/>
      <c r="GIX247"/>
      <c r="GIY247"/>
      <c r="GIZ247"/>
      <c r="GJA247"/>
      <c r="GJB247"/>
      <c r="GJC247"/>
      <c r="GJD247"/>
      <c r="GJE247"/>
      <c r="GJF247"/>
      <c r="GJG247"/>
      <c r="GJH247"/>
      <c r="GJI247"/>
      <c r="GJJ247"/>
      <c r="GJK247"/>
      <c r="GJL247"/>
      <c r="GJM247"/>
      <c r="GJN247"/>
      <c r="GJO247"/>
      <c r="GJP247"/>
      <c r="GJQ247"/>
      <c r="GJR247"/>
      <c r="GJS247"/>
      <c r="GJT247"/>
      <c r="GJU247"/>
      <c r="GJV247"/>
      <c r="GJW247"/>
      <c r="GJX247"/>
      <c r="GJY247"/>
      <c r="GJZ247"/>
      <c r="GKA247"/>
      <c r="GKB247"/>
      <c r="GKC247"/>
      <c r="GKD247"/>
      <c r="GKE247"/>
      <c r="GKF247"/>
      <c r="GKG247"/>
      <c r="GKH247"/>
      <c r="GKI247"/>
      <c r="GKJ247"/>
      <c r="GKK247"/>
      <c r="GKL247"/>
      <c r="GKM247"/>
      <c r="GKN247"/>
      <c r="GKO247"/>
      <c r="GKP247"/>
      <c r="GKQ247"/>
      <c r="GKR247"/>
      <c r="GKS247"/>
      <c r="GKT247"/>
      <c r="GKU247"/>
      <c r="GKV247"/>
      <c r="GKW247"/>
      <c r="GKX247"/>
      <c r="GKY247"/>
      <c r="GKZ247"/>
      <c r="GLA247"/>
      <c r="GLB247"/>
      <c r="GLC247"/>
      <c r="GLD247"/>
      <c r="GLE247"/>
      <c r="GLF247"/>
      <c r="GLG247"/>
      <c r="GLH247"/>
      <c r="GLI247"/>
      <c r="GLJ247"/>
      <c r="GLK247"/>
      <c r="GLL247"/>
      <c r="GLM247"/>
      <c r="GLN247"/>
      <c r="GLO247"/>
      <c r="GLP247"/>
      <c r="GLQ247"/>
      <c r="GLR247"/>
      <c r="GLS247"/>
      <c r="GLT247"/>
      <c r="GLU247"/>
      <c r="GLV247"/>
      <c r="GLW247"/>
      <c r="GLX247"/>
      <c r="GLY247"/>
      <c r="GLZ247"/>
      <c r="GMA247"/>
      <c r="GMB247"/>
      <c r="GMC247"/>
      <c r="GMD247"/>
      <c r="GME247"/>
      <c r="GMF247"/>
      <c r="GMG247"/>
      <c r="GMH247"/>
      <c r="GMI247"/>
      <c r="GMJ247"/>
      <c r="GMK247"/>
      <c r="GML247"/>
      <c r="GMM247"/>
      <c r="GMN247"/>
      <c r="GMO247"/>
      <c r="GMP247"/>
      <c r="GMQ247"/>
      <c r="GMR247"/>
      <c r="GMS247"/>
      <c r="GMT247"/>
      <c r="GMU247"/>
      <c r="GMV247"/>
      <c r="GMW247"/>
      <c r="GMX247"/>
      <c r="GMY247"/>
      <c r="GMZ247"/>
      <c r="GNA247"/>
      <c r="GNB247"/>
      <c r="GNC247"/>
      <c r="GND247"/>
      <c r="GNE247"/>
      <c r="GNF247"/>
      <c r="GNG247"/>
      <c r="GNH247"/>
      <c r="GNI247"/>
      <c r="GNJ247"/>
      <c r="GNK247"/>
      <c r="GNL247"/>
      <c r="GNM247"/>
      <c r="GNN247"/>
      <c r="GNO247"/>
      <c r="GNP247"/>
      <c r="GNQ247"/>
      <c r="GNR247"/>
      <c r="GNS247"/>
      <c r="GNT247"/>
      <c r="GNU247"/>
      <c r="GNV247"/>
      <c r="GNW247"/>
      <c r="GNX247"/>
      <c r="GNY247"/>
      <c r="GNZ247"/>
      <c r="GOA247"/>
      <c r="GOB247"/>
      <c r="GOC247"/>
      <c r="GOD247"/>
      <c r="GOE247"/>
      <c r="GOF247"/>
      <c r="GOG247"/>
      <c r="GOH247"/>
      <c r="GOI247"/>
      <c r="GOJ247"/>
      <c r="GOK247"/>
      <c r="GOL247"/>
      <c r="GOM247"/>
      <c r="GON247"/>
      <c r="GOO247"/>
      <c r="GOP247"/>
      <c r="GOQ247"/>
      <c r="GOR247"/>
      <c r="GOS247"/>
      <c r="GOT247"/>
      <c r="GOU247"/>
      <c r="GOV247"/>
      <c r="GOW247"/>
      <c r="GOX247"/>
      <c r="GOY247"/>
      <c r="GOZ247"/>
      <c r="GPA247"/>
      <c r="GPB247"/>
      <c r="GPC247"/>
      <c r="GPD247"/>
      <c r="GPE247"/>
      <c r="GPF247"/>
      <c r="GPG247"/>
      <c r="GPH247"/>
      <c r="GPI247"/>
      <c r="GPJ247"/>
      <c r="GPK247"/>
      <c r="GPL247"/>
      <c r="GPM247"/>
      <c r="GPN247"/>
      <c r="GPO247"/>
      <c r="GPP247"/>
      <c r="GPQ247"/>
      <c r="GPR247"/>
      <c r="GPS247"/>
      <c r="GPT247"/>
      <c r="GPU247"/>
      <c r="GPV247"/>
      <c r="GPW247"/>
      <c r="GPX247"/>
      <c r="GPY247"/>
      <c r="GPZ247"/>
      <c r="GQA247"/>
      <c r="GQB247"/>
      <c r="GQC247"/>
      <c r="GQD247"/>
      <c r="GQE247"/>
      <c r="GQF247"/>
      <c r="GQG247"/>
      <c r="GQH247"/>
      <c r="GQI247"/>
      <c r="GQJ247"/>
      <c r="GQK247"/>
      <c r="GQL247"/>
      <c r="GQM247"/>
      <c r="GQN247"/>
      <c r="GQO247"/>
      <c r="GQP247"/>
      <c r="GQQ247"/>
      <c r="GQR247"/>
      <c r="GQS247"/>
      <c r="GQT247"/>
      <c r="GQU247"/>
      <c r="GQV247"/>
      <c r="GQW247"/>
      <c r="GQX247"/>
      <c r="GQY247"/>
      <c r="GQZ247"/>
      <c r="GRA247"/>
      <c r="GRB247"/>
      <c r="GRC247"/>
      <c r="GRD247"/>
      <c r="GRE247"/>
      <c r="GRF247"/>
      <c r="GRG247"/>
      <c r="GRH247"/>
      <c r="GRI247"/>
      <c r="GRJ247"/>
      <c r="GRK247"/>
      <c r="GRL247"/>
      <c r="GRM247"/>
      <c r="GRN247"/>
      <c r="GRO247"/>
      <c r="GRP247"/>
      <c r="GRQ247"/>
      <c r="GRR247"/>
      <c r="GRS247"/>
      <c r="GRT247"/>
      <c r="GRU247"/>
      <c r="GRV247"/>
      <c r="GRW247"/>
      <c r="GRX247"/>
      <c r="GRY247"/>
      <c r="GRZ247"/>
      <c r="GSA247"/>
      <c r="GSB247"/>
      <c r="GSC247"/>
      <c r="GSD247"/>
      <c r="GSE247"/>
      <c r="GSF247"/>
      <c r="GSG247"/>
      <c r="GSH247"/>
      <c r="GSI247"/>
      <c r="GSJ247"/>
      <c r="GSK247"/>
      <c r="GSL247"/>
      <c r="GSM247"/>
      <c r="GSN247"/>
      <c r="GSO247"/>
      <c r="GSP247"/>
      <c r="GSQ247"/>
      <c r="GSR247"/>
      <c r="GSS247"/>
      <c r="GST247"/>
      <c r="GSU247"/>
      <c r="GSV247"/>
      <c r="GSW247"/>
      <c r="GSX247"/>
      <c r="GSY247"/>
      <c r="GSZ247"/>
      <c r="GTA247"/>
      <c r="GTB247"/>
      <c r="GTC247"/>
      <c r="GTD247"/>
      <c r="GTE247"/>
      <c r="GTF247"/>
      <c r="GTG247"/>
      <c r="GTH247"/>
      <c r="GTI247"/>
      <c r="GTJ247"/>
      <c r="GTK247"/>
      <c r="GTL247"/>
      <c r="GTM247"/>
      <c r="GTN247"/>
      <c r="GTO247"/>
      <c r="GTP247"/>
      <c r="GTQ247"/>
      <c r="GTR247"/>
      <c r="GTS247"/>
      <c r="GTT247"/>
      <c r="GTU247"/>
      <c r="GTV247"/>
      <c r="GTW247"/>
      <c r="GTX247"/>
      <c r="GTY247"/>
      <c r="GTZ247"/>
      <c r="GUA247"/>
      <c r="GUB247"/>
      <c r="GUC247"/>
      <c r="GUD247"/>
      <c r="GUE247"/>
      <c r="GUF247"/>
      <c r="GUG247"/>
      <c r="GUH247"/>
      <c r="GUI247"/>
      <c r="GUJ247"/>
      <c r="GUK247"/>
      <c r="GUL247"/>
      <c r="GUM247"/>
      <c r="GUN247"/>
      <c r="GUO247"/>
      <c r="GUP247"/>
      <c r="GUQ247"/>
      <c r="GUR247"/>
      <c r="GUS247"/>
      <c r="GUT247"/>
      <c r="GUU247"/>
      <c r="GUV247"/>
      <c r="GUW247"/>
      <c r="GUX247"/>
      <c r="GUY247"/>
      <c r="GUZ247"/>
      <c r="GVA247"/>
      <c r="GVB247"/>
      <c r="GVC247"/>
      <c r="GVD247"/>
      <c r="GVE247"/>
      <c r="GVF247"/>
      <c r="GVG247"/>
      <c r="GVH247"/>
      <c r="GVI247"/>
      <c r="GVJ247"/>
      <c r="GVK247"/>
      <c r="GVL247"/>
      <c r="GVM247"/>
      <c r="GVN247"/>
      <c r="GVO247"/>
      <c r="GVP247"/>
      <c r="GVQ247"/>
      <c r="GVR247"/>
      <c r="GVS247"/>
      <c r="GVT247"/>
      <c r="GVU247"/>
      <c r="GVV247"/>
      <c r="GVW247"/>
      <c r="GVX247"/>
      <c r="GVY247"/>
      <c r="GVZ247"/>
      <c r="GWA247"/>
      <c r="GWB247"/>
      <c r="GWC247"/>
      <c r="GWD247"/>
      <c r="GWE247"/>
      <c r="GWF247"/>
      <c r="GWG247"/>
      <c r="GWH247"/>
      <c r="GWI247"/>
      <c r="GWJ247"/>
      <c r="GWK247"/>
      <c r="GWL247"/>
      <c r="GWM247"/>
      <c r="GWN247"/>
      <c r="GWO247"/>
      <c r="GWP247"/>
      <c r="GWQ247"/>
      <c r="GWR247"/>
      <c r="GWS247"/>
      <c r="GWT247"/>
      <c r="GWU247"/>
      <c r="GWV247"/>
      <c r="GWW247"/>
      <c r="GWX247"/>
      <c r="GWY247"/>
      <c r="GWZ247"/>
      <c r="GXA247"/>
      <c r="GXB247"/>
      <c r="GXC247"/>
      <c r="GXD247"/>
      <c r="GXE247"/>
      <c r="GXF247"/>
      <c r="GXG247"/>
      <c r="GXH247"/>
      <c r="GXI247"/>
      <c r="GXJ247"/>
      <c r="GXK247"/>
      <c r="GXL247"/>
      <c r="GXM247"/>
      <c r="GXN247"/>
      <c r="GXO247"/>
      <c r="GXP247"/>
      <c r="GXQ247"/>
      <c r="GXR247"/>
      <c r="GXS247"/>
      <c r="GXT247"/>
      <c r="GXU247"/>
      <c r="GXV247"/>
      <c r="GXW247"/>
      <c r="GXX247"/>
      <c r="GXY247"/>
      <c r="GXZ247"/>
      <c r="GYA247"/>
      <c r="GYB247"/>
      <c r="GYC247"/>
      <c r="GYD247"/>
      <c r="GYE247"/>
      <c r="GYF247"/>
      <c r="GYG247"/>
      <c r="GYH247"/>
      <c r="GYI247"/>
      <c r="GYJ247"/>
      <c r="GYK247"/>
      <c r="GYL247"/>
      <c r="GYM247"/>
      <c r="GYN247"/>
      <c r="GYO247"/>
      <c r="GYP247"/>
      <c r="GYQ247"/>
      <c r="GYR247"/>
      <c r="GYS247"/>
      <c r="GYT247"/>
      <c r="GYU247"/>
      <c r="GYV247"/>
      <c r="GYW247"/>
      <c r="GYX247"/>
      <c r="GYY247"/>
      <c r="GYZ247"/>
      <c r="GZA247"/>
      <c r="GZB247"/>
      <c r="GZC247"/>
      <c r="GZD247"/>
      <c r="GZE247"/>
      <c r="GZF247"/>
      <c r="GZG247"/>
      <c r="GZH247"/>
      <c r="GZI247"/>
      <c r="GZJ247"/>
      <c r="GZK247"/>
      <c r="GZL247"/>
      <c r="GZM247"/>
      <c r="GZN247"/>
      <c r="GZO247"/>
      <c r="GZP247"/>
      <c r="GZQ247"/>
      <c r="GZR247"/>
      <c r="GZS247"/>
      <c r="GZT247"/>
      <c r="GZU247"/>
      <c r="GZV247"/>
      <c r="GZW247"/>
      <c r="GZX247"/>
      <c r="GZY247"/>
      <c r="GZZ247"/>
      <c r="HAA247"/>
      <c r="HAB247"/>
      <c r="HAC247"/>
      <c r="HAD247"/>
      <c r="HAE247"/>
      <c r="HAF247"/>
      <c r="HAG247"/>
      <c r="HAH247"/>
      <c r="HAI247"/>
      <c r="HAJ247"/>
      <c r="HAK247"/>
      <c r="HAL247"/>
      <c r="HAM247"/>
      <c r="HAN247"/>
      <c r="HAO247"/>
      <c r="HAP247"/>
      <c r="HAQ247"/>
      <c r="HAR247"/>
      <c r="HAS247"/>
      <c r="HAT247"/>
      <c r="HAU247"/>
      <c r="HAV247"/>
      <c r="HAW247"/>
      <c r="HAX247"/>
      <c r="HAY247"/>
      <c r="HAZ247"/>
      <c r="HBA247"/>
      <c r="HBB247"/>
      <c r="HBC247"/>
      <c r="HBD247"/>
      <c r="HBE247"/>
      <c r="HBF247"/>
      <c r="HBG247"/>
      <c r="HBH247"/>
      <c r="HBI247"/>
      <c r="HBJ247"/>
      <c r="HBK247"/>
      <c r="HBL247"/>
      <c r="HBM247"/>
      <c r="HBN247"/>
      <c r="HBO247"/>
      <c r="HBP247"/>
      <c r="HBQ247"/>
      <c r="HBR247"/>
      <c r="HBS247"/>
      <c r="HBT247"/>
      <c r="HBU247"/>
      <c r="HBV247"/>
      <c r="HBW247"/>
      <c r="HBX247"/>
      <c r="HBY247"/>
      <c r="HBZ247"/>
      <c r="HCA247"/>
      <c r="HCB247"/>
      <c r="HCC247"/>
      <c r="HCD247"/>
      <c r="HCE247"/>
      <c r="HCF247"/>
      <c r="HCG247"/>
      <c r="HCH247"/>
      <c r="HCI247"/>
      <c r="HCJ247"/>
      <c r="HCK247"/>
      <c r="HCL247"/>
      <c r="HCM247"/>
      <c r="HCN247"/>
      <c r="HCO247"/>
      <c r="HCP247"/>
      <c r="HCQ247"/>
      <c r="HCR247"/>
      <c r="HCS247"/>
      <c r="HCT247"/>
      <c r="HCU247"/>
      <c r="HCV247"/>
      <c r="HCW247"/>
      <c r="HCX247"/>
      <c r="HCY247"/>
      <c r="HCZ247"/>
      <c r="HDA247"/>
      <c r="HDB247"/>
      <c r="HDC247"/>
      <c r="HDD247"/>
      <c r="HDE247"/>
      <c r="HDF247"/>
      <c r="HDG247"/>
      <c r="HDH247"/>
      <c r="HDI247"/>
      <c r="HDJ247"/>
      <c r="HDK247"/>
      <c r="HDL247"/>
      <c r="HDM247"/>
      <c r="HDN247"/>
      <c r="HDO247"/>
      <c r="HDP247"/>
      <c r="HDQ247"/>
      <c r="HDR247"/>
      <c r="HDS247"/>
      <c r="HDT247"/>
      <c r="HDU247"/>
      <c r="HDV247"/>
      <c r="HDW247"/>
      <c r="HDX247"/>
      <c r="HDY247"/>
      <c r="HDZ247"/>
      <c r="HEA247"/>
      <c r="HEB247"/>
      <c r="HEC247"/>
      <c r="HED247"/>
      <c r="HEE247"/>
      <c r="HEF247"/>
      <c r="HEG247"/>
      <c r="HEH247"/>
      <c r="HEI247"/>
      <c r="HEJ247"/>
      <c r="HEK247"/>
      <c r="HEL247"/>
      <c r="HEM247"/>
      <c r="HEN247"/>
      <c r="HEO247"/>
      <c r="HEP247"/>
      <c r="HEQ247"/>
      <c r="HER247"/>
      <c r="HES247"/>
      <c r="HET247"/>
      <c r="HEU247"/>
      <c r="HEV247"/>
      <c r="HEW247"/>
      <c r="HEX247"/>
      <c r="HEY247"/>
      <c r="HEZ247"/>
      <c r="HFA247"/>
      <c r="HFB247"/>
      <c r="HFC247"/>
      <c r="HFD247"/>
      <c r="HFE247"/>
      <c r="HFF247"/>
      <c r="HFG247"/>
      <c r="HFH247"/>
      <c r="HFI247"/>
      <c r="HFJ247"/>
      <c r="HFK247"/>
      <c r="HFL247"/>
      <c r="HFM247"/>
      <c r="HFN247"/>
      <c r="HFO247"/>
      <c r="HFP247"/>
      <c r="HFQ247"/>
      <c r="HFR247"/>
      <c r="HFS247"/>
      <c r="HFT247"/>
      <c r="HFU247"/>
      <c r="HFV247"/>
      <c r="HFW247"/>
      <c r="HFX247"/>
      <c r="HFY247"/>
      <c r="HFZ247"/>
      <c r="HGA247"/>
      <c r="HGB247"/>
      <c r="HGC247"/>
      <c r="HGD247"/>
      <c r="HGE247"/>
      <c r="HGF247"/>
      <c r="HGG247"/>
      <c r="HGH247"/>
      <c r="HGI247"/>
      <c r="HGJ247"/>
      <c r="HGK247"/>
      <c r="HGL247"/>
      <c r="HGM247"/>
      <c r="HGN247"/>
      <c r="HGO247"/>
      <c r="HGP247"/>
      <c r="HGQ247"/>
      <c r="HGR247"/>
      <c r="HGS247"/>
      <c r="HGT247"/>
      <c r="HGU247"/>
      <c r="HGV247"/>
      <c r="HGW247"/>
      <c r="HGX247"/>
      <c r="HGY247"/>
      <c r="HGZ247"/>
      <c r="HHA247"/>
      <c r="HHB247"/>
      <c r="HHC247"/>
      <c r="HHD247"/>
      <c r="HHE247"/>
      <c r="HHF247"/>
      <c r="HHG247"/>
      <c r="HHH247"/>
      <c r="HHI247"/>
      <c r="HHJ247"/>
      <c r="HHK247"/>
      <c r="HHL247"/>
      <c r="HHM247"/>
      <c r="HHN247"/>
      <c r="HHO247"/>
      <c r="HHP247"/>
      <c r="HHQ247"/>
      <c r="HHR247"/>
      <c r="HHS247"/>
      <c r="HHT247"/>
      <c r="HHU247"/>
      <c r="HHV247"/>
      <c r="HHW247"/>
      <c r="HHX247"/>
      <c r="HHY247"/>
      <c r="HHZ247"/>
      <c r="HIA247"/>
      <c r="HIB247"/>
      <c r="HIC247"/>
      <c r="HID247"/>
      <c r="HIE247"/>
      <c r="HIF247"/>
      <c r="HIG247"/>
      <c r="HIH247"/>
      <c r="HII247"/>
      <c r="HIJ247"/>
      <c r="HIK247"/>
      <c r="HIL247"/>
      <c r="HIM247"/>
      <c r="HIN247"/>
      <c r="HIO247"/>
      <c r="HIP247"/>
      <c r="HIQ247"/>
      <c r="HIR247"/>
      <c r="HIS247"/>
      <c r="HIT247"/>
      <c r="HIU247"/>
      <c r="HIV247"/>
      <c r="HIW247"/>
      <c r="HIX247"/>
      <c r="HIY247"/>
      <c r="HIZ247"/>
      <c r="HJA247"/>
      <c r="HJB247"/>
      <c r="HJC247"/>
      <c r="HJD247"/>
      <c r="HJE247"/>
      <c r="HJF247"/>
      <c r="HJG247"/>
      <c r="HJH247"/>
      <c r="HJI247"/>
      <c r="HJJ247"/>
      <c r="HJK247"/>
      <c r="HJL247"/>
      <c r="HJM247"/>
      <c r="HJN247"/>
      <c r="HJO247"/>
      <c r="HJP247"/>
      <c r="HJQ247"/>
      <c r="HJR247"/>
      <c r="HJS247"/>
      <c r="HJT247"/>
      <c r="HJU247"/>
      <c r="HJV247"/>
      <c r="HJW247"/>
      <c r="HJX247"/>
      <c r="HJY247"/>
      <c r="HJZ247"/>
      <c r="HKA247"/>
      <c r="HKB247"/>
      <c r="HKC247"/>
      <c r="HKD247"/>
      <c r="HKE247"/>
      <c r="HKF247"/>
      <c r="HKG247"/>
      <c r="HKH247"/>
      <c r="HKI247"/>
      <c r="HKJ247"/>
      <c r="HKK247"/>
      <c r="HKL247"/>
      <c r="HKM247"/>
      <c r="HKN247"/>
      <c r="HKO247"/>
      <c r="HKP247"/>
      <c r="HKQ247"/>
      <c r="HKR247"/>
      <c r="HKS247"/>
      <c r="HKT247"/>
      <c r="HKU247"/>
      <c r="HKV247"/>
      <c r="HKW247"/>
      <c r="HKX247"/>
      <c r="HKY247"/>
      <c r="HKZ247"/>
      <c r="HLA247"/>
      <c r="HLB247"/>
      <c r="HLC247"/>
      <c r="HLD247"/>
      <c r="HLE247"/>
      <c r="HLF247"/>
      <c r="HLG247"/>
      <c r="HLH247"/>
      <c r="HLI247"/>
      <c r="HLJ247"/>
      <c r="HLK247"/>
      <c r="HLL247"/>
      <c r="HLM247"/>
      <c r="HLN247"/>
      <c r="HLO247"/>
      <c r="HLP247"/>
      <c r="HLQ247"/>
      <c r="HLR247"/>
      <c r="HLS247"/>
      <c r="HLT247"/>
      <c r="HLU247"/>
      <c r="HLV247"/>
      <c r="HLW247"/>
      <c r="HLX247"/>
      <c r="HLY247"/>
      <c r="HLZ247"/>
      <c r="HMA247"/>
      <c r="HMB247"/>
      <c r="HMC247"/>
      <c r="HMD247"/>
      <c r="HME247"/>
      <c r="HMF247"/>
      <c r="HMG247"/>
      <c r="HMH247"/>
      <c r="HMI247"/>
      <c r="HMJ247"/>
      <c r="HMK247"/>
      <c r="HML247"/>
      <c r="HMM247"/>
      <c r="HMN247"/>
      <c r="HMO247"/>
      <c r="HMP247"/>
      <c r="HMQ247"/>
      <c r="HMR247"/>
      <c r="HMS247"/>
      <c r="HMT247"/>
      <c r="HMU247"/>
      <c r="HMV247"/>
      <c r="HMW247"/>
      <c r="HMX247"/>
      <c r="HMY247"/>
      <c r="HMZ247"/>
      <c r="HNA247"/>
      <c r="HNB247"/>
      <c r="HNC247"/>
      <c r="HND247"/>
      <c r="HNE247"/>
      <c r="HNF247"/>
      <c r="HNG247"/>
      <c r="HNH247"/>
      <c r="HNI247"/>
      <c r="HNJ247"/>
      <c r="HNK247"/>
      <c r="HNL247"/>
      <c r="HNM247"/>
      <c r="HNN247"/>
      <c r="HNO247"/>
      <c r="HNP247"/>
      <c r="HNQ247"/>
      <c r="HNR247"/>
      <c r="HNS247"/>
      <c r="HNT247"/>
      <c r="HNU247"/>
      <c r="HNV247"/>
      <c r="HNW247"/>
      <c r="HNX247"/>
      <c r="HNY247"/>
      <c r="HNZ247"/>
      <c r="HOA247"/>
      <c r="HOB247"/>
      <c r="HOC247"/>
      <c r="HOD247"/>
      <c r="HOE247"/>
      <c r="HOF247"/>
      <c r="HOG247"/>
      <c r="HOH247"/>
      <c r="HOI247"/>
      <c r="HOJ247"/>
      <c r="HOK247"/>
      <c r="HOL247"/>
      <c r="HOM247"/>
      <c r="HON247"/>
      <c r="HOO247"/>
      <c r="HOP247"/>
      <c r="HOQ247"/>
      <c r="HOR247"/>
      <c r="HOS247"/>
      <c r="HOT247"/>
      <c r="HOU247"/>
      <c r="HOV247"/>
      <c r="HOW247"/>
      <c r="HOX247"/>
      <c r="HOY247"/>
      <c r="HOZ247"/>
      <c r="HPA247"/>
      <c r="HPB247"/>
      <c r="HPC247"/>
      <c r="HPD247"/>
      <c r="HPE247"/>
      <c r="HPF247"/>
      <c r="HPG247"/>
      <c r="HPH247"/>
      <c r="HPI247"/>
      <c r="HPJ247"/>
      <c r="HPK247"/>
      <c r="HPL247"/>
      <c r="HPM247"/>
      <c r="HPN247"/>
      <c r="HPO247"/>
      <c r="HPP247"/>
      <c r="HPQ247"/>
      <c r="HPR247"/>
      <c r="HPS247"/>
      <c r="HPT247"/>
      <c r="HPU247"/>
      <c r="HPV247"/>
      <c r="HPW247"/>
      <c r="HPX247"/>
      <c r="HPY247"/>
      <c r="HPZ247"/>
      <c r="HQA247"/>
      <c r="HQB247"/>
      <c r="HQC247"/>
      <c r="HQD247"/>
      <c r="HQE247"/>
      <c r="HQF247"/>
      <c r="HQG247"/>
      <c r="HQH247"/>
      <c r="HQI247"/>
      <c r="HQJ247"/>
      <c r="HQK247"/>
      <c r="HQL247"/>
      <c r="HQM247"/>
      <c r="HQN247"/>
      <c r="HQO247"/>
      <c r="HQP247"/>
      <c r="HQQ247"/>
      <c r="HQR247"/>
      <c r="HQS247"/>
      <c r="HQT247"/>
      <c r="HQU247"/>
      <c r="HQV247"/>
      <c r="HQW247"/>
      <c r="HQX247"/>
      <c r="HQY247"/>
      <c r="HQZ247"/>
      <c r="HRA247"/>
      <c r="HRB247"/>
      <c r="HRC247"/>
      <c r="HRD247"/>
      <c r="HRE247"/>
      <c r="HRF247"/>
      <c r="HRG247"/>
      <c r="HRH247"/>
      <c r="HRI247"/>
      <c r="HRJ247"/>
      <c r="HRK247"/>
      <c r="HRL247"/>
      <c r="HRM247"/>
      <c r="HRN247"/>
      <c r="HRO247"/>
      <c r="HRP247"/>
      <c r="HRQ247"/>
      <c r="HRR247"/>
      <c r="HRS247"/>
      <c r="HRT247"/>
      <c r="HRU247"/>
      <c r="HRV247"/>
      <c r="HRW247"/>
      <c r="HRX247"/>
      <c r="HRY247"/>
      <c r="HRZ247"/>
      <c r="HSA247"/>
      <c r="HSB247"/>
      <c r="HSC247"/>
      <c r="HSD247"/>
      <c r="HSE247"/>
      <c r="HSF247"/>
      <c r="HSG247"/>
      <c r="HSH247"/>
      <c r="HSI247"/>
      <c r="HSJ247"/>
      <c r="HSK247"/>
      <c r="HSL247"/>
      <c r="HSM247"/>
      <c r="HSN247"/>
      <c r="HSO247"/>
      <c r="HSP247"/>
      <c r="HSQ247"/>
      <c r="HSR247"/>
      <c r="HSS247"/>
      <c r="HST247"/>
      <c r="HSU247"/>
      <c r="HSV247"/>
      <c r="HSW247"/>
      <c r="HSX247"/>
      <c r="HSY247"/>
      <c r="HSZ247"/>
      <c r="HTA247"/>
      <c r="HTB247"/>
      <c r="HTC247"/>
      <c r="HTD247"/>
      <c r="HTE247"/>
      <c r="HTF247"/>
      <c r="HTG247"/>
      <c r="HTH247"/>
      <c r="HTI247"/>
      <c r="HTJ247"/>
      <c r="HTK247"/>
      <c r="HTL247"/>
      <c r="HTM247"/>
      <c r="HTN247"/>
      <c r="HTO247"/>
      <c r="HTP247"/>
      <c r="HTQ247"/>
      <c r="HTR247"/>
      <c r="HTS247"/>
      <c r="HTT247"/>
      <c r="HTU247"/>
      <c r="HTV247"/>
      <c r="HTW247"/>
      <c r="HTX247"/>
      <c r="HTY247"/>
      <c r="HTZ247"/>
      <c r="HUA247"/>
      <c r="HUB247"/>
      <c r="HUC247"/>
      <c r="HUD247"/>
      <c r="HUE247"/>
      <c r="HUF247"/>
      <c r="HUG247"/>
      <c r="HUH247"/>
      <c r="HUI247"/>
      <c r="HUJ247"/>
      <c r="HUK247"/>
      <c r="HUL247"/>
      <c r="HUM247"/>
      <c r="HUN247"/>
      <c r="HUO247"/>
      <c r="HUP247"/>
      <c r="HUQ247"/>
      <c r="HUR247"/>
      <c r="HUS247"/>
      <c r="HUT247"/>
      <c r="HUU247"/>
      <c r="HUV247"/>
      <c r="HUW247"/>
      <c r="HUX247"/>
      <c r="HUY247"/>
      <c r="HUZ247"/>
      <c r="HVA247"/>
      <c r="HVB247"/>
      <c r="HVC247"/>
      <c r="HVD247"/>
      <c r="HVE247"/>
      <c r="HVF247"/>
      <c r="HVG247"/>
      <c r="HVH247"/>
      <c r="HVI247"/>
      <c r="HVJ247"/>
      <c r="HVK247"/>
      <c r="HVL247"/>
      <c r="HVM247"/>
      <c r="HVN247"/>
      <c r="HVO247"/>
      <c r="HVP247"/>
      <c r="HVQ247"/>
      <c r="HVR247"/>
      <c r="HVS247"/>
      <c r="HVT247"/>
      <c r="HVU247"/>
      <c r="HVV247"/>
      <c r="HVW247"/>
      <c r="HVX247"/>
      <c r="HVY247"/>
      <c r="HVZ247"/>
      <c r="HWA247"/>
      <c r="HWB247"/>
      <c r="HWC247"/>
      <c r="HWD247"/>
      <c r="HWE247"/>
      <c r="HWF247"/>
      <c r="HWG247"/>
      <c r="HWH247"/>
      <c r="HWI247"/>
      <c r="HWJ247"/>
      <c r="HWK247"/>
      <c r="HWL247"/>
      <c r="HWM247"/>
      <c r="HWN247"/>
      <c r="HWO247"/>
      <c r="HWP247"/>
      <c r="HWQ247"/>
      <c r="HWR247"/>
      <c r="HWS247"/>
      <c r="HWT247"/>
      <c r="HWU247"/>
      <c r="HWV247"/>
      <c r="HWW247"/>
      <c r="HWX247"/>
      <c r="HWY247"/>
      <c r="HWZ247"/>
      <c r="HXA247"/>
      <c r="HXB247"/>
      <c r="HXC247"/>
      <c r="HXD247"/>
      <c r="HXE247"/>
      <c r="HXF247"/>
      <c r="HXG247"/>
      <c r="HXH247"/>
      <c r="HXI247"/>
      <c r="HXJ247"/>
      <c r="HXK247"/>
      <c r="HXL247"/>
      <c r="HXM247"/>
      <c r="HXN247"/>
      <c r="HXO247"/>
      <c r="HXP247"/>
      <c r="HXQ247"/>
      <c r="HXR247"/>
      <c r="HXS247"/>
      <c r="HXT247"/>
      <c r="HXU247"/>
      <c r="HXV247"/>
      <c r="HXW247"/>
      <c r="HXX247"/>
      <c r="HXY247"/>
      <c r="HXZ247"/>
      <c r="HYA247"/>
      <c r="HYB247"/>
      <c r="HYC247"/>
      <c r="HYD247"/>
      <c r="HYE247"/>
      <c r="HYF247"/>
      <c r="HYG247"/>
      <c r="HYH247"/>
      <c r="HYI247"/>
      <c r="HYJ247"/>
      <c r="HYK247"/>
      <c r="HYL247"/>
      <c r="HYM247"/>
      <c r="HYN247"/>
      <c r="HYO247"/>
      <c r="HYP247"/>
      <c r="HYQ247"/>
      <c r="HYR247"/>
      <c r="HYS247"/>
      <c r="HYT247"/>
      <c r="HYU247"/>
      <c r="HYV247"/>
      <c r="HYW247"/>
      <c r="HYX247"/>
      <c r="HYY247"/>
      <c r="HYZ247"/>
      <c r="HZA247"/>
      <c r="HZB247"/>
      <c r="HZC247"/>
      <c r="HZD247"/>
      <c r="HZE247"/>
      <c r="HZF247"/>
      <c r="HZG247"/>
      <c r="HZH247"/>
      <c r="HZI247"/>
      <c r="HZJ247"/>
      <c r="HZK247"/>
      <c r="HZL247"/>
      <c r="HZM247"/>
      <c r="HZN247"/>
      <c r="HZO247"/>
      <c r="HZP247"/>
      <c r="HZQ247"/>
      <c r="HZR247"/>
      <c r="HZS247"/>
      <c r="HZT247"/>
      <c r="HZU247"/>
      <c r="HZV247"/>
      <c r="HZW247"/>
      <c r="HZX247"/>
      <c r="HZY247"/>
      <c r="HZZ247"/>
      <c r="IAA247"/>
      <c r="IAB247"/>
      <c r="IAC247"/>
      <c r="IAD247"/>
      <c r="IAE247"/>
      <c r="IAF247"/>
      <c r="IAG247"/>
      <c r="IAH247"/>
      <c r="IAI247"/>
      <c r="IAJ247"/>
      <c r="IAK247"/>
      <c r="IAL247"/>
      <c r="IAM247"/>
      <c r="IAN247"/>
      <c r="IAO247"/>
      <c r="IAP247"/>
      <c r="IAQ247"/>
      <c r="IAR247"/>
      <c r="IAS247"/>
      <c r="IAT247"/>
      <c r="IAU247"/>
      <c r="IAV247"/>
      <c r="IAW247"/>
      <c r="IAX247"/>
      <c r="IAY247"/>
      <c r="IAZ247"/>
      <c r="IBA247"/>
      <c r="IBB247"/>
      <c r="IBC247"/>
      <c r="IBD247"/>
      <c r="IBE247"/>
      <c r="IBF247"/>
      <c r="IBG247"/>
      <c r="IBH247"/>
      <c r="IBI247"/>
      <c r="IBJ247"/>
      <c r="IBK247"/>
      <c r="IBL247"/>
      <c r="IBM247"/>
      <c r="IBN247"/>
      <c r="IBO247"/>
      <c r="IBP247"/>
      <c r="IBQ247"/>
      <c r="IBR247"/>
      <c r="IBS247"/>
      <c r="IBT247"/>
      <c r="IBU247"/>
      <c r="IBV247"/>
      <c r="IBW247"/>
      <c r="IBX247"/>
      <c r="IBY247"/>
      <c r="IBZ247"/>
      <c r="ICA247"/>
      <c r="ICB247"/>
      <c r="ICC247"/>
      <c r="ICD247"/>
      <c r="ICE247"/>
      <c r="ICF247"/>
      <c r="ICG247"/>
      <c r="ICH247"/>
      <c r="ICI247"/>
      <c r="ICJ247"/>
      <c r="ICK247"/>
      <c r="ICL247"/>
      <c r="ICM247"/>
      <c r="ICN247"/>
      <c r="ICO247"/>
      <c r="ICP247"/>
      <c r="ICQ247"/>
      <c r="ICR247"/>
      <c r="ICS247"/>
      <c r="ICT247"/>
      <c r="ICU247"/>
      <c r="ICV247"/>
      <c r="ICW247"/>
      <c r="ICX247"/>
      <c r="ICY247"/>
      <c r="ICZ247"/>
      <c r="IDA247"/>
      <c r="IDB247"/>
      <c r="IDC247"/>
      <c r="IDD247"/>
      <c r="IDE247"/>
      <c r="IDF247"/>
      <c r="IDG247"/>
      <c r="IDH247"/>
      <c r="IDI247"/>
      <c r="IDJ247"/>
      <c r="IDK247"/>
      <c r="IDL247"/>
      <c r="IDM247"/>
      <c r="IDN247"/>
      <c r="IDO247"/>
      <c r="IDP247"/>
      <c r="IDQ247"/>
      <c r="IDR247"/>
      <c r="IDS247"/>
      <c r="IDT247"/>
      <c r="IDU247"/>
      <c r="IDV247"/>
      <c r="IDW247"/>
      <c r="IDX247"/>
      <c r="IDY247"/>
      <c r="IDZ247"/>
      <c r="IEA247"/>
      <c r="IEB247"/>
      <c r="IEC247"/>
      <c r="IED247"/>
      <c r="IEE247"/>
      <c r="IEF247"/>
      <c r="IEG247"/>
      <c r="IEH247"/>
      <c r="IEI247"/>
      <c r="IEJ247"/>
      <c r="IEK247"/>
      <c r="IEL247"/>
      <c r="IEM247"/>
      <c r="IEN247"/>
      <c r="IEO247"/>
      <c r="IEP247"/>
      <c r="IEQ247"/>
      <c r="IER247"/>
      <c r="IES247"/>
      <c r="IET247"/>
      <c r="IEU247"/>
      <c r="IEV247"/>
      <c r="IEW247"/>
      <c r="IEX247"/>
      <c r="IEY247"/>
      <c r="IEZ247"/>
      <c r="IFA247"/>
      <c r="IFB247"/>
      <c r="IFC247"/>
      <c r="IFD247"/>
      <c r="IFE247"/>
      <c r="IFF247"/>
      <c r="IFG247"/>
      <c r="IFH247"/>
      <c r="IFI247"/>
      <c r="IFJ247"/>
      <c r="IFK247"/>
      <c r="IFL247"/>
      <c r="IFM247"/>
      <c r="IFN247"/>
      <c r="IFO247"/>
      <c r="IFP247"/>
      <c r="IFQ247"/>
      <c r="IFR247"/>
      <c r="IFS247"/>
      <c r="IFT247"/>
      <c r="IFU247"/>
      <c r="IFV247"/>
      <c r="IFW247"/>
      <c r="IFX247"/>
      <c r="IFY247"/>
      <c r="IFZ247"/>
      <c r="IGA247"/>
      <c r="IGB247"/>
      <c r="IGC247"/>
      <c r="IGD247"/>
      <c r="IGE247"/>
      <c r="IGF247"/>
      <c r="IGG247"/>
      <c r="IGH247"/>
      <c r="IGI247"/>
      <c r="IGJ247"/>
      <c r="IGK247"/>
      <c r="IGL247"/>
      <c r="IGM247"/>
      <c r="IGN247"/>
      <c r="IGO247"/>
      <c r="IGP247"/>
      <c r="IGQ247"/>
      <c r="IGR247"/>
      <c r="IGS247"/>
      <c r="IGT247"/>
      <c r="IGU247"/>
      <c r="IGV247"/>
      <c r="IGW247"/>
      <c r="IGX247"/>
      <c r="IGY247"/>
      <c r="IGZ247"/>
      <c r="IHA247"/>
      <c r="IHB247"/>
      <c r="IHC247"/>
      <c r="IHD247"/>
      <c r="IHE247"/>
      <c r="IHF247"/>
      <c r="IHG247"/>
      <c r="IHH247"/>
      <c r="IHI247"/>
      <c r="IHJ247"/>
      <c r="IHK247"/>
      <c r="IHL247"/>
      <c r="IHM247"/>
      <c r="IHN247"/>
      <c r="IHO247"/>
      <c r="IHP247"/>
      <c r="IHQ247"/>
      <c r="IHR247"/>
      <c r="IHS247"/>
      <c r="IHT247"/>
      <c r="IHU247"/>
      <c r="IHV247"/>
      <c r="IHW247"/>
      <c r="IHX247"/>
      <c r="IHY247"/>
      <c r="IHZ247"/>
      <c r="IIA247"/>
      <c r="IIB247"/>
      <c r="IIC247"/>
      <c r="IID247"/>
      <c r="IIE247"/>
      <c r="IIF247"/>
      <c r="IIG247"/>
      <c r="IIH247"/>
      <c r="III247"/>
      <c r="IIJ247"/>
      <c r="IIK247"/>
      <c r="IIL247"/>
      <c r="IIM247"/>
      <c r="IIN247"/>
      <c r="IIO247"/>
      <c r="IIP247"/>
      <c r="IIQ247"/>
      <c r="IIR247"/>
      <c r="IIS247"/>
      <c r="IIT247"/>
      <c r="IIU247"/>
      <c r="IIV247"/>
      <c r="IIW247"/>
      <c r="IIX247"/>
      <c r="IIY247"/>
      <c r="IIZ247"/>
      <c r="IJA247"/>
      <c r="IJB247"/>
      <c r="IJC247"/>
      <c r="IJD247"/>
      <c r="IJE247"/>
      <c r="IJF247"/>
      <c r="IJG247"/>
      <c r="IJH247"/>
      <c r="IJI247"/>
      <c r="IJJ247"/>
      <c r="IJK247"/>
      <c r="IJL247"/>
      <c r="IJM247"/>
      <c r="IJN247"/>
      <c r="IJO247"/>
      <c r="IJP247"/>
      <c r="IJQ247"/>
      <c r="IJR247"/>
      <c r="IJS247"/>
      <c r="IJT247"/>
      <c r="IJU247"/>
      <c r="IJV247"/>
      <c r="IJW247"/>
      <c r="IJX247"/>
      <c r="IJY247"/>
      <c r="IJZ247"/>
      <c r="IKA247"/>
      <c r="IKB247"/>
      <c r="IKC247"/>
      <c r="IKD247"/>
      <c r="IKE247"/>
      <c r="IKF247"/>
      <c r="IKG247"/>
      <c r="IKH247"/>
      <c r="IKI247"/>
      <c r="IKJ247"/>
      <c r="IKK247"/>
      <c r="IKL247"/>
      <c r="IKM247"/>
      <c r="IKN247"/>
      <c r="IKO247"/>
      <c r="IKP247"/>
      <c r="IKQ247"/>
      <c r="IKR247"/>
      <c r="IKS247"/>
      <c r="IKT247"/>
      <c r="IKU247"/>
      <c r="IKV247"/>
      <c r="IKW247"/>
      <c r="IKX247"/>
      <c r="IKY247"/>
      <c r="IKZ247"/>
      <c r="ILA247"/>
      <c r="ILB247"/>
      <c r="ILC247"/>
      <c r="ILD247"/>
      <c r="ILE247"/>
      <c r="ILF247"/>
      <c r="ILG247"/>
      <c r="ILH247"/>
      <c r="ILI247"/>
      <c r="ILJ247"/>
      <c r="ILK247"/>
      <c r="ILL247"/>
      <c r="ILM247"/>
      <c r="ILN247"/>
      <c r="ILO247"/>
      <c r="ILP247"/>
      <c r="ILQ247"/>
      <c r="ILR247"/>
      <c r="ILS247"/>
      <c r="ILT247"/>
      <c r="ILU247"/>
      <c r="ILV247"/>
      <c r="ILW247"/>
      <c r="ILX247"/>
      <c r="ILY247"/>
      <c r="ILZ247"/>
      <c r="IMA247"/>
      <c r="IMB247"/>
      <c r="IMC247"/>
      <c r="IMD247"/>
      <c r="IME247"/>
      <c r="IMF247"/>
      <c r="IMG247"/>
      <c r="IMH247"/>
      <c r="IMI247"/>
      <c r="IMJ247"/>
      <c r="IMK247"/>
      <c r="IML247"/>
      <c r="IMM247"/>
      <c r="IMN247"/>
      <c r="IMO247"/>
      <c r="IMP247"/>
      <c r="IMQ247"/>
      <c r="IMR247"/>
      <c r="IMS247"/>
      <c r="IMT247"/>
      <c r="IMU247"/>
      <c r="IMV247"/>
      <c r="IMW247"/>
      <c r="IMX247"/>
      <c r="IMY247"/>
      <c r="IMZ247"/>
      <c r="INA247"/>
      <c r="INB247"/>
      <c r="INC247"/>
      <c r="IND247"/>
      <c r="INE247"/>
      <c r="INF247"/>
      <c r="ING247"/>
      <c r="INH247"/>
      <c r="INI247"/>
      <c r="INJ247"/>
      <c r="INK247"/>
      <c r="INL247"/>
      <c r="INM247"/>
      <c r="INN247"/>
      <c r="INO247"/>
      <c r="INP247"/>
      <c r="INQ247"/>
      <c r="INR247"/>
      <c r="INS247"/>
      <c r="INT247"/>
      <c r="INU247"/>
      <c r="INV247"/>
      <c r="INW247"/>
      <c r="INX247"/>
      <c r="INY247"/>
      <c r="INZ247"/>
      <c r="IOA247"/>
      <c r="IOB247"/>
      <c r="IOC247"/>
      <c r="IOD247"/>
      <c r="IOE247"/>
      <c r="IOF247"/>
      <c r="IOG247"/>
      <c r="IOH247"/>
      <c r="IOI247"/>
      <c r="IOJ247"/>
      <c r="IOK247"/>
      <c r="IOL247"/>
      <c r="IOM247"/>
      <c r="ION247"/>
      <c r="IOO247"/>
      <c r="IOP247"/>
      <c r="IOQ247"/>
      <c r="IOR247"/>
      <c r="IOS247"/>
      <c r="IOT247"/>
      <c r="IOU247"/>
      <c r="IOV247"/>
      <c r="IOW247"/>
      <c r="IOX247"/>
      <c r="IOY247"/>
      <c r="IOZ247"/>
      <c r="IPA247"/>
      <c r="IPB247"/>
      <c r="IPC247"/>
      <c r="IPD247"/>
      <c r="IPE247"/>
      <c r="IPF247"/>
      <c r="IPG247"/>
      <c r="IPH247"/>
      <c r="IPI247"/>
      <c r="IPJ247"/>
      <c r="IPK247"/>
      <c r="IPL247"/>
      <c r="IPM247"/>
      <c r="IPN247"/>
      <c r="IPO247"/>
      <c r="IPP247"/>
      <c r="IPQ247"/>
      <c r="IPR247"/>
      <c r="IPS247"/>
      <c r="IPT247"/>
      <c r="IPU247"/>
      <c r="IPV247"/>
      <c r="IPW247"/>
      <c r="IPX247"/>
      <c r="IPY247"/>
      <c r="IPZ247"/>
      <c r="IQA247"/>
      <c r="IQB247"/>
      <c r="IQC247"/>
      <c r="IQD247"/>
      <c r="IQE247"/>
      <c r="IQF247"/>
      <c r="IQG247"/>
      <c r="IQH247"/>
      <c r="IQI247"/>
      <c r="IQJ247"/>
      <c r="IQK247"/>
      <c r="IQL247"/>
      <c r="IQM247"/>
      <c r="IQN247"/>
      <c r="IQO247"/>
      <c r="IQP247"/>
      <c r="IQQ247"/>
      <c r="IQR247"/>
      <c r="IQS247"/>
      <c r="IQT247"/>
      <c r="IQU247"/>
      <c r="IQV247"/>
      <c r="IQW247"/>
      <c r="IQX247"/>
      <c r="IQY247"/>
      <c r="IQZ247"/>
      <c r="IRA247"/>
      <c r="IRB247"/>
      <c r="IRC247"/>
      <c r="IRD247"/>
      <c r="IRE247"/>
      <c r="IRF247"/>
      <c r="IRG247"/>
      <c r="IRH247"/>
      <c r="IRI247"/>
      <c r="IRJ247"/>
      <c r="IRK247"/>
      <c r="IRL247"/>
      <c r="IRM247"/>
      <c r="IRN247"/>
      <c r="IRO247"/>
      <c r="IRP247"/>
      <c r="IRQ247"/>
      <c r="IRR247"/>
      <c r="IRS247"/>
      <c r="IRT247"/>
      <c r="IRU247"/>
      <c r="IRV247"/>
      <c r="IRW247"/>
      <c r="IRX247"/>
      <c r="IRY247"/>
      <c r="IRZ247"/>
      <c r="ISA247"/>
      <c r="ISB247"/>
      <c r="ISC247"/>
      <c r="ISD247"/>
      <c r="ISE247"/>
      <c r="ISF247"/>
      <c r="ISG247"/>
      <c r="ISH247"/>
      <c r="ISI247"/>
      <c r="ISJ247"/>
      <c r="ISK247"/>
      <c r="ISL247"/>
      <c r="ISM247"/>
      <c r="ISN247"/>
      <c r="ISO247"/>
      <c r="ISP247"/>
      <c r="ISQ247"/>
      <c r="ISR247"/>
      <c r="ISS247"/>
      <c r="IST247"/>
      <c r="ISU247"/>
      <c r="ISV247"/>
      <c r="ISW247"/>
      <c r="ISX247"/>
      <c r="ISY247"/>
      <c r="ISZ247"/>
      <c r="ITA247"/>
      <c r="ITB247"/>
      <c r="ITC247"/>
      <c r="ITD247"/>
      <c r="ITE247"/>
      <c r="ITF247"/>
      <c r="ITG247"/>
      <c r="ITH247"/>
      <c r="ITI247"/>
      <c r="ITJ247"/>
      <c r="ITK247"/>
      <c r="ITL247"/>
      <c r="ITM247"/>
      <c r="ITN247"/>
      <c r="ITO247"/>
      <c r="ITP247"/>
      <c r="ITQ247"/>
      <c r="ITR247"/>
      <c r="ITS247"/>
      <c r="ITT247"/>
      <c r="ITU247"/>
      <c r="ITV247"/>
      <c r="ITW247"/>
      <c r="ITX247"/>
      <c r="ITY247"/>
      <c r="ITZ247"/>
      <c r="IUA247"/>
      <c r="IUB247"/>
      <c r="IUC247"/>
      <c r="IUD247"/>
      <c r="IUE247"/>
      <c r="IUF247"/>
      <c r="IUG247"/>
      <c r="IUH247"/>
      <c r="IUI247"/>
      <c r="IUJ247"/>
      <c r="IUK247"/>
      <c r="IUL247"/>
      <c r="IUM247"/>
      <c r="IUN247"/>
      <c r="IUO247"/>
      <c r="IUP247"/>
      <c r="IUQ247"/>
      <c r="IUR247"/>
      <c r="IUS247"/>
      <c r="IUT247"/>
      <c r="IUU247"/>
      <c r="IUV247"/>
      <c r="IUW247"/>
      <c r="IUX247"/>
      <c r="IUY247"/>
      <c r="IUZ247"/>
      <c r="IVA247"/>
      <c r="IVB247"/>
      <c r="IVC247"/>
      <c r="IVD247"/>
      <c r="IVE247"/>
      <c r="IVF247"/>
      <c r="IVG247"/>
      <c r="IVH247"/>
      <c r="IVI247"/>
      <c r="IVJ247"/>
      <c r="IVK247"/>
      <c r="IVL247"/>
      <c r="IVM247"/>
      <c r="IVN247"/>
      <c r="IVO247"/>
      <c r="IVP247"/>
      <c r="IVQ247"/>
      <c r="IVR247"/>
      <c r="IVS247"/>
      <c r="IVT247"/>
      <c r="IVU247"/>
      <c r="IVV247"/>
      <c r="IVW247"/>
      <c r="IVX247"/>
      <c r="IVY247"/>
      <c r="IVZ247"/>
      <c r="IWA247"/>
      <c r="IWB247"/>
      <c r="IWC247"/>
      <c r="IWD247"/>
      <c r="IWE247"/>
      <c r="IWF247"/>
      <c r="IWG247"/>
      <c r="IWH247"/>
      <c r="IWI247"/>
      <c r="IWJ247"/>
      <c r="IWK247"/>
      <c r="IWL247"/>
      <c r="IWM247"/>
      <c r="IWN247"/>
      <c r="IWO247"/>
      <c r="IWP247"/>
      <c r="IWQ247"/>
      <c r="IWR247"/>
      <c r="IWS247"/>
      <c r="IWT247"/>
      <c r="IWU247"/>
      <c r="IWV247"/>
      <c r="IWW247"/>
      <c r="IWX247"/>
      <c r="IWY247"/>
      <c r="IWZ247"/>
      <c r="IXA247"/>
      <c r="IXB247"/>
      <c r="IXC247"/>
      <c r="IXD247"/>
      <c r="IXE247"/>
      <c r="IXF247"/>
      <c r="IXG247"/>
      <c r="IXH247"/>
      <c r="IXI247"/>
      <c r="IXJ247"/>
      <c r="IXK247"/>
      <c r="IXL247"/>
      <c r="IXM247"/>
      <c r="IXN247"/>
      <c r="IXO247"/>
      <c r="IXP247"/>
      <c r="IXQ247"/>
      <c r="IXR247"/>
      <c r="IXS247"/>
      <c r="IXT247"/>
      <c r="IXU247"/>
      <c r="IXV247"/>
      <c r="IXW247"/>
      <c r="IXX247"/>
      <c r="IXY247"/>
      <c r="IXZ247"/>
      <c r="IYA247"/>
      <c r="IYB247"/>
      <c r="IYC247"/>
      <c r="IYD247"/>
      <c r="IYE247"/>
      <c r="IYF247"/>
      <c r="IYG247"/>
      <c r="IYH247"/>
      <c r="IYI247"/>
      <c r="IYJ247"/>
      <c r="IYK247"/>
      <c r="IYL247"/>
      <c r="IYM247"/>
      <c r="IYN247"/>
      <c r="IYO247"/>
      <c r="IYP247"/>
      <c r="IYQ247"/>
      <c r="IYR247"/>
      <c r="IYS247"/>
      <c r="IYT247"/>
      <c r="IYU247"/>
      <c r="IYV247"/>
      <c r="IYW247"/>
      <c r="IYX247"/>
      <c r="IYY247"/>
      <c r="IYZ247"/>
      <c r="IZA247"/>
      <c r="IZB247"/>
      <c r="IZC247"/>
      <c r="IZD247"/>
      <c r="IZE247"/>
      <c r="IZF247"/>
      <c r="IZG247"/>
      <c r="IZH247"/>
      <c r="IZI247"/>
      <c r="IZJ247"/>
      <c r="IZK247"/>
      <c r="IZL247"/>
      <c r="IZM247"/>
      <c r="IZN247"/>
      <c r="IZO247"/>
      <c r="IZP247"/>
      <c r="IZQ247"/>
      <c r="IZR247"/>
      <c r="IZS247"/>
      <c r="IZT247"/>
      <c r="IZU247"/>
      <c r="IZV247"/>
      <c r="IZW247"/>
      <c r="IZX247"/>
      <c r="IZY247"/>
      <c r="IZZ247"/>
      <c r="JAA247"/>
      <c r="JAB247"/>
      <c r="JAC247"/>
      <c r="JAD247"/>
      <c r="JAE247"/>
      <c r="JAF247"/>
      <c r="JAG247"/>
      <c r="JAH247"/>
      <c r="JAI247"/>
      <c r="JAJ247"/>
      <c r="JAK247"/>
      <c r="JAL247"/>
      <c r="JAM247"/>
      <c r="JAN247"/>
      <c r="JAO247"/>
      <c r="JAP247"/>
      <c r="JAQ247"/>
      <c r="JAR247"/>
      <c r="JAS247"/>
      <c r="JAT247"/>
      <c r="JAU247"/>
      <c r="JAV247"/>
      <c r="JAW247"/>
      <c r="JAX247"/>
      <c r="JAY247"/>
      <c r="JAZ247"/>
      <c r="JBA247"/>
      <c r="JBB247"/>
      <c r="JBC247"/>
      <c r="JBD247"/>
      <c r="JBE247"/>
      <c r="JBF247"/>
      <c r="JBG247"/>
      <c r="JBH247"/>
      <c r="JBI247"/>
      <c r="JBJ247"/>
      <c r="JBK247"/>
      <c r="JBL247"/>
      <c r="JBM247"/>
      <c r="JBN247"/>
      <c r="JBO247"/>
      <c r="JBP247"/>
      <c r="JBQ247"/>
      <c r="JBR247"/>
      <c r="JBS247"/>
      <c r="JBT247"/>
      <c r="JBU247"/>
      <c r="JBV247"/>
      <c r="JBW247"/>
      <c r="JBX247"/>
      <c r="JBY247"/>
      <c r="JBZ247"/>
      <c r="JCA247"/>
      <c r="JCB247"/>
      <c r="JCC247"/>
      <c r="JCD247"/>
      <c r="JCE247"/>
      <c r="JCF247"/>
      <c r="JCG247"/>
      <c r="JCH247"/>
      <c r="JCI247"/>
      <c r="JCJ247"/>
      <c r="JCK247"/>
      <c r="JCL247"/>
      <c r="JCM247"/>
      <c r="JCN247"/>
      <c r="JCO247"/>
      <c r="JCP247"/>
      <c r="JCQ247"/>
      <c r="JCR247"/>
      <c r="JCS247"/>
      <c r="JCT247"/>
      <c r="JCU247"/>
      <c r="JCV247"/>
      <c r="JCW247"/>
      <c r="JCX247"/>
      <c r="JCY247"/>
      <c r="JCZ247"/>
      <c r="JDA247"/>
      <c r="JDB247"/>
      <c r="JDC247"/>
      <c r="JDD247"/>
      <c r="JDE247"/>
      <c r="JDF247"/>
      <c r="JDG247"/>
      <c r="JDH247"/>
      <c r="JDI247"/>
      <c r="JDJ247"/>
      <c r="JDK247"/>
      <c r="JDL247"/>
      <c r="JDM247"/>
      <c r="JDN247"/>
      <c r="JDO247"/>
      <c r="JDP247"/>
      <c r="JDQ247"/>
      <c r="JDR247"/>
      <c r="JDS247"/>
      <c r="JDT247"/>
      <c r="JDU247"/>
      <c r="JDV247"/>
      <c r="JDW247"/>
      <c r="JDX247"/>
      <c r="JDY247"/>
      <c r="JDZ247"/>
      <c r="JEA247"/>
      <c r="JEB247"/>
      <c r="JEC247"/>
      <c r="JED247"/>
      <c r="JEE247"/>
      <c r="JEF247"/>
      <c r="JEG247"/>
      <c r="JEH247"/>
      <c r="JEI247"/>
      <c r="JEJ247"/>
      <c r="JEK247"/>
      <c r="JEL247"/>
      <c r="JEM247"/>
      <c r="JEN247"/>
      <c r="JEO247"/>
      <c r="JEP247"/>
      <c r="JEQ247"/>
      <c r="JER247"/>
      <c r="JES247"/>
      <c r="JET247"/>
      <c r="JEU247"/>
      <c r="JEV247"/>
      <c r="JEW247"/>
      <c r="JEX247"/>
      <c r="JEY247"/>
      <c r="JEZ247"/>
      <c r="JFA247"/>
      <c r="JFB247"/>
      <c r="JFC247"/>
      <c r="JFD247"/>
      <c r="JFE247"/>
      <c r="JFF247"/>
      <c r="JFG247"/>
      <c r="JFH247"/>
      <c r="JFI247"/>
      <c r="JFJ247"/>
      <c r="JFK247"/>
      <c r="JFL247"/>
      <c r="JFM247"/>
      <c r="JFN247"/>
      <c r="JFO247"/>
      <c r="JFP247"/>
      <c r="JFQ247"/>
      <c r="JFR247"/>
      <c r="JFS247"/>
      <c r="JFT247"/>
      <c r="JFU247"/>
      <c r="JFV247"/>
      <c r="JFW247"/>
      <c r="JFX247"/>
      <c r="JFY247"/>
      <c r="JFZ247"/>
      <c r="JGA247"/>
      <c r="JGB247"/>
      <c r="JGC247"/>
      <c r="JGD247"/>
      <c r="JGE247"/>
      <c r="JGF247"/>
      <c r="JGG247"/>
      <c r="JGH247"/>
      <c r="JGI247"/>
      <c r="JGJ247"/>
      <c r="JGK247"/>
      <c r="JGL247"/>
      <c r="JGM247"/>
      <c r="JGN247"/>
      <c r="JGO247"/>
      <c r="JGP247"/>
      <c r="JGQ247"/>
      <c r="JGR247"/>
      <c r="JGS247"/>
      <c r="JGT247"/>
      <c r="JGU247"/>
      <c r="JGV247"/>
      <c r="JGW247"/>
      <c r="JGX247"/>
      <c r="JGY247"/>
      <c r="JGZ247"/>
      <c r="JHA247"/>
      <c r="JHB247"/>
      <c r="JHC247"/>
      <c r="JHD247"/>
      <c r="JHE247"/>
      <c r="JHF247"/>
      <c r="JHG247"/>
      <c r="JHH247"/>
      <c r="JHI247"/>
      <c r="JHJ247"/>
      <c r="JHK247"/>
      <c r="JHL247"/>
      <c r="JHM247"/>
      <c r="JHN247"/>
      <c r="JHO247"/>
      <c r="JHP247"/>
      <c r="JHQ247"/>
      <c r="JHR247"/>
      <c r="JHS247"/>
      <c r="JHT247"/>
      <c r="JHU247"/>
      <c r="JHV247"/>
      <c r="JHW247"/>
      <c r="JHX247"/>
      <c r="JHY247"/>
      <c r="JHZ247"/>
      <c r="JIA247"/>
      <c r="JIB247"/>
      <c r="JIC247"/>
      <c r="JID247"/>
      <c r="JIE247"/>
      <c r="JIF247"/>
      <c r="JIG247"/>
      <c r="JIH247"/>
      <c r="JII247"/>
      <c r="JIJ247"/>
      <c r="JIK247"/>
      <c r="JIL247"/>
      <c r="JIM247"/>
      <c r="JIN247"/>
      <c r="JIO247"/>
      <c r="JIP247"/>
      <c r="JIQ247"/>
      <c r="JIR247"/>
      <c r="JIS247"/>
      <c r="JIT247"/>
      <c r="JIU247"/>
      <c r="JIV247"/>
      <c r="JIW247"/>
      <c r="JIX247"/>
      <c r="JIY247"/>
      <c r="JIZ247"/>
      <c r="JJA247"/>
      <c r="JJB247"/>
      <c r="JJC247"/>
      <c r="JJD247"/>
      <c r="JJE247"/>
      <c r="JJF247"/>
      <c r="JJG247"/>
      <c r="JJH247"/>
      <c r="JJI247"/>
      <c r="JJJ247"/>
      <c r="JJK247"/>
      <c r="JJL247"/>
      <c r="JJM247"/>
      <c r="JJN247"/>
      <c r="JJO247"/>
      <c r="JJP247"/>
      <c r="JJQ247"/>
      <c r="JJR247"/>
      <c r="JJS247"/>
      <c r="JJT247"/>
      <c r="JJU247"/>
      <c r="JJV247"/>
      <c r="JJW247"/>
      <c r="JJX247"/>
      <c r="JJY247"/>
      <c r="JJZ247"/>
      <c r="JKA247"/>
      <c r="JKB247"/>
      <c r="JKC247"/>
      <c r="JKD247"/>
      <c r="JKE247"/>
      <c r="JKF247"/>
      <c r="JKG247"/>
      <c r="JKH247"/>
      <c r="JKI247"/>
      <c r="JKJ247"/>
      <c r="JKK247"/>
      <c r="JKL247"/>
      <c r="JKM247"/>
      <c r="JKN247"/>
      <c r="JKO247"/>
      <c r="JKP247"/>
      <c r="JKQ247"/>
      <c r="JKR247"/>
      <c r="JKS247"/>
      <c r="JKT247"/>
      <c r="JKU247"/>
      <c r="JKV247"/>
      <c r="JKW247"/>
      <c r="JKX247"/>
      <c r="JKY247"/>
      <c r="JKZ247"/>
      <c r="JLA247"/>
      <c r="JLB247"/>
      <c r="JLC247"/>
      <c r="JLD247"/>
      <c r="JLE247"/>
      <c r="JLF247"/>
      <c r="JLG247"/>
      <c r="JLH247"/>
      <c r="JLI247"/>
      <c r="JLJ247"/>
      <c r="JLK247"/>
      <c r="JLL247"/>
      <c r="JLM247"/>
      <c r="JLN247"/>
      <c r="JLO247"/>
      <c r="JLP247"/>
      <c r="JLQ247"/>
      <c r="JLR247"/>
      <c r="JLS247"/>
      <c r="JLT247"/>
      <c r="JLU247"/>
      <c r="JLV247"/>
      <c r="JLW247"/>
      <c r="JLX247"/>
      <c r="JLY247"/>
      <c r="JLZ247"/>
      <c r="JMA247"/>
      <c r="JMB247"/>
      <c r="JMC247"/>
      <c r="JMD247"/>
      <c r="JME247"/>
      <c r="JMF247"/>
      <c r="JMG247"/>
      <c r="JMH247"/>
      <c r="JMI247"/>
      <c r="JMJ247"/>
      <c r="JMK247"/>
      <c r="JML247"/>
      <c r="JMM247"/>
      <c r="JMN247"/>
      <c r="JMO247"/>
      <c r="JMP247"/>
      <c r="JMQ247"/>
      <c r="JMR247"/>
      <c r="JMS247"/>
      <c r="JMT247"/>
      <c r="JMU247"/>
      <c r="JMV247"/>
      <c r="JMW247"/>
      <c r="JMX247"/>
      <c r="JMY247"/>
      <c r="JMZ247"/>
      <c r="JNA247"/>
      <c r="JNB247"/>
      <c r="JNC247"/>
      <c r="JND247"/>
      <c r="JNE247"/>
      <c r="JNF247"/>
      <c r="JNG247"/>
      <c r="JNH247"/>
      <c r="JNI247"/>
      <c r="JNJ247"/>
      <c r="JNK247"/>
      <c r="JNL247"/>
      <c r="JNM247"/>
      <c r="JNN247"/>
      <c r="JNO247"/>
      <c r="JNP247"/>
      <c r="JNQ247"/>
      <c r="JNR247"/>
      <c r="JNS247"/>
      <c r="JNT247"/>
      <c r="JNU247"/>
      <c r="JNV247"/>
      <c r="JNW247"/>
      <c r="JNX247"/>
      <c r="JNY247"/>
      <c r="JNZ247"/>
      <c r="JOA247"/>
      <c r="JOB247"/>
      <c r="JOC247"/>
      <c r="JOD247"/>
      <c r="JOE247"/>
      <c r="JOF247"/>
      <c r="JOG247"/>
      <c r="JOH247"/>
      <c r="JOI247"/>
      <c r="JOJ247"/>
      <c r="JOK247"/>
      <c r="JOL247"/>
      <c r="JOM247"/>
      <c r="JON247"/>
      <c r="JOO247"/>
      <c r="JOP247"/>
      <c r="JOQ247"/>
      <c r="JOR247"/>
      <c r="JOS247"/>
      <c r="JOT247"/>
      <c r="JOU247"/>
      <c r="JOV247"/>
      <c r="JOW247"/>
      <c r="JOX247"/>
      <c r="JOY247"/>
      <c r="JOZ247"/>
      <c r="JPA247"/>
      <c r="JPB247"/>
      <c r="JPC247"/>
      <c r="JPD247"/>
      <c r="JPE247"/>
      <c r="JPF247"/>
      <c r="JPG247"/>
      <c r="JPH247"/>
      <c r="JPI247"/>
      <c r="JPJ247"/>
      <c r="JPK247"/>
      <c r="JPL247"/>
      <c r="JPM247"/>
      <c r="JPN247"/>
      <c r="JPO247"/>
      <c r="JPP247"/>
      <c r="JPQ247"/>
      <c r="JPR247"/>
      <c r="JPS247"/>
      <c r="JPT247"/>
      <c r="JPU247"/>
      <c r="JPV247"/>
      <c r="JPW247"/>
      <c r="JPX247"/>
      <c r="JPY247"/>
      <c r="JPZ247"/>
      <c r="JQA247"/>
      <c r="JQB247"/>
      <c r="JQC247"/>
      <c r="JQD247"/>
      <c r="JQE247"/>
      <c r="JQF247"/>
      <c r="JQG247"/>
      <c r="JQH247"/>
      <c r="JQI247"/>
      <c r="JQJ247"/>
      <c r="JQK247"/>
      <c r="JQL247"/>
      <c r="JQM247"/>
      <c r="JQN247"/>
      <c r="JQO247"/>
      <c r="JQP247"/>
      <c r="JQQ247"/>
      <c r="JQR247"/>
      <c r="JQS247"/>
      <c r="JQT247"/>
      <c r="JQU247"/>
      <c r="JQV247"/>
      <c r="JQW247"/>
      <c r="JQX247"/>
      <c r="JQY247"/>
      <c r="JQZ247"/>
      <c r="JRA247"/>
      <c r="JRB247"/>
      <c r="JRC247"/>
      <c r="JRD247"/>
      <c r="JRE247"/>
      <c r="JRF247"/>
      <c r="JRG247"/>
      <c r="JRH247"/>
      <c r="JRI247"/>
      <c r="JRJ247"/>
      <c r="JRK247"/>
      <c r="JRL247"/>
      <c r="JRM247"/>
      <c r="JRN247"/>
      <c r="JRO247"/>
      <c r="JRP247"/>
      <c r="JRQ247"/>
      <c r="JRR247"/>
      <c r="JRS247"/>
      <c r="JRT247"/>
      <c r="JRU247"/>
      <c r="JRV247"/>
      <c r="JRW247"/>
      <c r="JRX247"/>
      <c r="JRY247"/>
      <c r="JRZ247"/>
      <c r="JSA247"/>
      <c r="JSB247"/>
      <c r="JSC247"/>
      <c r="JSD247"/>
      <c r="JSE247"/>
      <c r="JSF247"/>
      <c r="JSG247"/>
      <c r="JSH247"/>
      <c r="JSI247"/>
      <c r="JSJ247"/>
      <c r="JSK247"/>
      <c r="JSL247"/>
      <c r="JSM247"/>
      <c r="JSN247"/>
      <c r="JSO247"/>
      <c r="JSP247"/>
      <c r="JSQ247"/>
      <c r="JSR247"/>
      <c r="JSS247"/>
      <c r="JST247"/>
      <c r="JSU247"/>
      <c r="JSV247"/>
      <c r="JSW247"/>
      <c r="JSX247"/>
      <c r="JSY247"/>
      <c r="JSZ247"/>
      <c r="JTA247"/>
      <c r="JTB247"/>
      <c r="JTC247"/>
      <c r="JTD247"/>
      <c r="JTE247"/>
      <c r="JTF247"/>
      <c r="JTG247"/>
      <c r="JTH247"/>
      <c r="JTI247"/>
      <c r="JTJ247"/>
      <c r="JTK247"/>
      <c r="JTL247"/>
      <c r="JTM247"/>
      <c r="JTN247"/>
      <c r="JTO247"/>
      <c r="JTP247"/>
      <c r="JTQ247"/>
      <c r="JTR247"/>
      <c r="JTS247"/>
      <c r="JTT247"/>
      <c r="JTU247"/>
      <c r="JTV247"/>
      <c r="JTW247"/>
      <c r="JTX247"/>
      <c r="JTY247"/>
      <c r="JTZ247"/>
      <c r="JUA247"/>
      <c r="JUB247"/>
      <c r="JUC247"/>
      <c r="JUD247"/>
      <c r="JUE247"/>
      <c r="JUF247"/>
      <c r="JUG247"/>
      <c r="JUH247"/>
      <c r="JUI247"/>
      <c r="JUJ247"/>
      <c r="JUK247"/>
      <c r="JUL247"/>
      <c r="JUM247"/>
      <c r="JUN247"/>
      <c r="JUO247"/>
      <c r="JUP247"/>
      <c r="JUQ247"/>
      <c r="JUR247"/>
      <c r="JUS247"/>
      <c r="JUT247"/>
      <c r="JUU247"/>
      <c r="JUV247"/>
      <c r="JUW247"/>
      <c r="JUX247"/>
      <c r="JUY247"/>
      <c r="JUZ247"/>
      <c r="JVA247"/>
      <c r="JVB247"/>
      <c r="JVC247"/>
      <c r="JVD247"/>
      <c r="JVE247"/>
      <c r="JVF247"/>
      <c r="JVG247"/>
      <c r="JVH247"/>
      <c r="JVI247"/>
      <c r="JVJ247"/>
      <c r="JVK247"/>
      <c r="JVL247"/>
      <c r="JVM247"/>
      <c r="JVN247"/>
      <c r="JVO247"/>
      <c r="JVP247"/>
      <c r="JVQ247"/>
      <c r="JVR247"/>
      <c r="JVS247"/>
      <c r="JVT247"/>
      <c r="JVU247"/>
      <c r="JVV247"/>
      <c r="JVW247"/>
      <c r="JVX247"/>
      <c r="JVY247"/>
      <c r="JVZ247"/>
      <c r="JWA247"/>
      <c r="JWB247"/>
      <c r="JWC247"/>
      <c r="JWD247"/>
      <c r="JWE247"/>
      <c r="JWF247"/>
      <c r="JWG247"/>
      <c r="JWH247"/>
      <c r="JWI247"/>
      <c r="JWJ247"/>
      <c r="JWK247"/>
      <c r="JWL247"/>
      <c r="JWM247"/>
      <c r="JWN247"/>
      <c r="JWO247"/>
      <c r="JWP247"/>
      <c r="JWQ247"/>
      <c r="JWR247"/>
      <c r="JWS247"/>
      <c r="JWT247"/>
      <c r="JWU247"/>
      <c r="JWV247"/>
      <c r="JWW247"/>
      <c r="JWX247"/>
      <c r="JWY247"/>
      <c r="JWZ247"/>
      <c r="JXA247"/>
      <c r="JXB247"/>
      <c r="JXC247"/>
      <c r="JXD247"/>
      <c r="JXE247"/>
      <c r="JXF247"/>
      <c r="JXG247"/>
      <c r="JXH247"/>
      <c r="JXI247"/>
      <c r="JXJ247"/>
      <c r="JXK247"/>
      <c r="JXL247"/>
      <c r="JXM247"/>
      <c r="JXN247"/>
      <c r="JXO247"/>
      <c r="JXP247"/>
      <c r="JXQ247"/>
      <c r="JXR247"/>
      <c r="JXS247"/>
      <c r="JXT247"/>
      <c r="JXU247"/>
      <c r="JXV247"/>
      <c r="JXW247"/>
      <c r="JXX247"/>
      <c r="JXY247"/>
      <c r="JXZ247"/>
      <c r="JYA247"/>
      <c r="JYB247"/>
      <c r="JYC247"/>
      <c r="JYD247"/>
      <c r="JYE247"/>
      <c r="JYF247"/>
      <c r="JYG247"/>
      <c r="JYH247"/>
      <c r="JYI247"/>
      <c r="JYJ247"/>
      <c r="JYK247"/>
      <c r="JYL247"/>
      <c r="JYM247"/>
      <c r="JYN247"/>
      <c r="JYO247"/>
      <c r="JYP247"/>
      <c r="JYQ247"/>
      <c r="JYR247"/>
      <c r="JYS247"/>
      <c r="JYT247"/>
      <c r="JYU247"/>
      <c r="JYV247"/>
      <c r="JYW247"/>
      <c r="JYX247"/>
      <c r="JYY247"/>
      <c r="JYZ247"/>
      <c r="JZA247"/>
      <c r="JZB247"/>
      <c r="JZC247"/>
      <c r="JZD247"/>
      <c r="JZE247"/>
      <c r="JZF247"/>
      <c r="JZG247"/>
      <c r="JZH247"/>
      <c r="JZI247"/>
      <c r="JZJ247"/>
      <c r="JZK247"/>
      <c r="JZL247"/>
      <c r="JZM247"/>
      <c r="JZN247"/>
      <c r="JZO247"/>
      <c r="JZP247"/>
      <c r="JZQ247"/>
      <c r="JZR247"/>
      <c r="JZS247"/>
      <c r="JZT247"/>
      <c r="JZU247"/>
      <c r="JZV247"/>
      <c r="JZW247"/>
      <c r="JZX247"/>
      <c r="JZY247"/>
      <c r="JZZ247"/>
      <c r="KAA247"/>
      <c r="KAB247"/>
      <c r="KAC247"/>
      <c r="KAD247"/>
      <c r="KAE247"/>
      <c r="KAF247"/>
      <c r="KAG247"/>
      <c r="KAH247"/>
      <c r="KAI247"/>
      <c r="KAJ247"/>
      <c r="KAK247"/>
      <c r="KAL247"/>
      <c r="KAM247"/>
      <c r="KAN247"/>
      <c r="KAO247"/>
      <c r="KAP247"/>
      <c r="KAQ247"/>
      <c r="KAR247"/>
      <c r="KAS247"/>
      <c r="KAT247"/>
      <c r="KAU247"/>
      <c r="KAV247"/>
      <c r="KAW247"/>
      <c r="KAX247"/>
      <c r="KAY247"/>
      <c r="KAZ247"/>
      <c r="KBA247"/>
      <c r="KBB247"/>
      <c r="KBC247"/>
      <c r="KBD247"/>
      <c r="KBE247"/>
      <c r="KBF247"/>
      <c r="KBG247"/>
      <c r="KBH247"/>
      <c r="KBI247"/>
      <c r="KBJ247"/>
      <c r="KBK247"/>
      <c r="KBL247"/>
      <c r="KBM247"/>
      <c r="KBN247"/>
      <c r="KBO247"/>
      <c r="KBP247"/>
      <c r="KBQ247"/>
      <c r="KBR247"/>
      <c r="KBS247"/>
      <c r="KBT247"/>
      <c r="KBU247"/>
      <c r="KBV247"/>
      <c r="KBW247"/>
      <c r="KBX247"/>
      <c r="KBY247"/>
      <c r="KBZ247"/>
      <c r="KCA247"/>
      <c r="KCB247"/>
      <c r="KCC247"/>
      <c r="KCD247"/>
      <c r="KCE247"/>
      <c r="KCF247"/>
      <c r="KCG247"/>
      <c r="KCH247"/>
      <c r="KCI247"/>
      <c r="KCJ247"/>
      <c r="KCK247"/>
      <c r="KCL247"/>
      <c r="KCM247"/>
      <c r="KCN247"/>
      <c r="KCO247"/>
      <c r="KCP247"/>
      <c r="KCQ247"/>
      <c r="KCR247"/>
      <c r="KCS247"/>
      <c r="KCT247"/>
      <c r="KCU247"/>
      <c r="KCV247"/>
      <c r="KCW247"/>
      <c r="KCX247"/>
      <c r="KCY247"/>
      <c r="KCZ247"/>
      <c r="KDA247"/>
      <c r="KDB247"/>
      <c r="KDC247"/>
      <c r="KDD247"/>
      <c r="KDE247"/>
      <c r="KDF247"/>
      <c r="KDG247"/>
      <c r="KDH247"/>
      <c r="KDI247"/>
      <c r="KDJ247"/>
      <c r="KDK247"/>
      <c r="KDL247"/>
      <c r="KDM247"/>
      <c r="KDN247"/>
      <c r="KDO247"/>
      <c r="KDP247"/>
      <c r="KDQ247"/>
      <c r="KDR247"/>
      <c r="KDS247"/>
      <c r="KDT247"/>
      <c r="KDU247"/>
      <c r="KDV247"/>
      <c r="KDW247"/>
      <c r="KDX247"/>
      <c r="KDY247"/>
      <c r="KDZ247"/>
      <c r="KEA247"/>
      <c r="KEB247"/>
      <c r="KEC247"/>
      <c r="KED247"/>
      <c r="KEE247"/>
      <c r="KEF247"/>
      <c r="KEG247"/>
      <c r="KEH247"/>
      <c r="KEI247"/>
      <c r="KEJ247"/>
      <c r="KEK247"/>
      <c r="KEL247"/>
      <c r="KEM247"/>
      <c r="KEN247"/>
      <c r="KEO247"/>
      <c r="KEP247"/>
      <c r="KEQ247"/>
      <c r="KER247"/>
      <c r="KES247"/>
      <c r="KET247"/>
      <c r="KEU247"/>
      <c r="KEV247"/>
      <c r="KEW247"/>
      <c r="KEX247"/>
      <c r="KEY247"/>
      <c r="KEZ247"/>
      <c r="KFA247"/>
      <c r="KFB247"/>
      <c r="KFC247"/>
      <c r="KFD247"/>
      <c r="KFE247"/>
      <c r="KFF247"/>
      <c r="KFG247"/>
      <c r="KFH247"/>
      <c r="KFI247"/>
      <c r="KFJ247"/>
      <c r="KFK247"/>
      <c r="KFL247"/>
      <c r="KFM247"/>
      <c r="KFN247"/>
      <c r="KFO247"/>
      <c r="KFP247"/>
      <c r="KFQ247"/>
      <c r="KFR247"/>
      <c r="KFS247"/>
      <c r="KFT247"/>
      <c r="KFU247"/>
      <c r="KFV247"/>
      <c r="KFW247"/>
      <c r="KFX247"/>
      <c r="KFY247"/>
      <c r="KFZ247"/>
      <c r="KGA247"/>
      <c r="KGB247"/>
      <c r="KGC247"/>
      <c r="KGD247"/>
      <c r="KGE247"/>
      <c r="KGF247"/>
      <c r="KGG247"/>
      <c r="KGH247"/>
      <c r="KGI247"/>
      <c r="KGJ247"/>
      <c r="KGK247"/>
      <c r="KGL247"/>
      <c r="KGM247"/>
      <c r="KGN247"/>
      <c r="KGO247"/>
      <c r="KGP247"/>
      <c r="KGQ247"/>
      <c r="KGR247"/>
      <c r="KGS247"/>
      <c r="KGT247"/>
      <c r="KGU247"/>
      <c r="KGV247"/>
      <c r="KGW247"/>
      <c r="KGX247"/>
      <c r="KGY247"/>
      <c r="KGZ247"/>
      <c r="KHA247"/>
      <c r="KHB247"/>
      <c r="KHC247"/>
      <c r="KHD247"/>
      <c r="KHE247"/>
      <c r="KHF247"/>
      <c r="KHG247"/>
      <c r="KHH247"/>
      <c r="KHI247"/>
      <c r="KHJ247"/>
      <c r="KHK247"/>
      <c r="KHL247"/>
      <c r="KHM247"/>
      <c r="KHN247"/>
      <c r="KHO247"/>
      <c r="KHP247"/>
      <c r="KHQ247"/>
      <c r="KHR247"/>
      <c r="KHS247"/>
      <c r="KHT247"/>
      <c r="KHU247"/>
      <c r="KHV247"/>
      <c r="KHW247"/>
      <c r="KHX247"/>
      <c r="KHY247"/>
      <c r="KHZ247"/>
      <c r="KIA247"/>
      <c r="KIB247"/>
      <c r="KIC247"/>
      <c r="KID247"/>
      <c r="KIE247"/>
      <c r="KIF247"/>
      <c r="KIG247"/>
      <c r="KIH247"/>
      <c r="KII247"/>
      <c r="KIJ247"/>
      <c r="KIK247"/>
      <c r="KIL247"/>
      <c r="KIM247"/>
      <c r="KIN247"/>
      <c r="KIO247"/>
      <c r="KIP247"/>
      <c r="KIQ247"/>
      <c r="KIR247"/>
      <c r="KIS247"/>
      <c r="KIT247"/>
      <c r="KIU247"/>
      <c r="KIV247"/>
      <c r="KIW247"/>
      <c r="KIX247"/>
      <c r="KIY247"/>
      <c r="KIZ247"/>
      <c r="KJA247"/>
      <c r="KJB247"/>
      <c r="KJC247"/>
      <c r="KJD247"/>
      <c r="KJE247"/>
      <c r="KJF247"/>
      <c r="KJG247"/>
      <c r="KJH247"/>
      <c r="KJI247"/>
      <c r="KJJ247"/>
      <c r="KJK247"/>
      <c r="KJL247"/>
      <c r="KJM247"/>
      <c r="KJN247"/>
      <c r="KJO247"/>
      <c r="KJP247"/>
      <c r="KJQ247"/>
      <c r="KJR247"/>
      <c r="KJS247"/>
      <c r="KJT247"/>
      <c r="KJU247"/>
      <c r="KJV247"/>
      <c r="KJW247"/>
      <c r="KJX247"/>
      <c r="KJY247"/>
      <c r="KJZ247"/>
      <c r="KKA247"/>
      <c r="KKB247"/>
      <c r="KKC247"/>
      <c r="KKD247"/>
      <c r="KKE247"/>
      <c r="KKF247"/>
      <c r="KKG247"/>
      <c r="KKH247"/>
      <c r="KKI247"/>
      <c r="KKJ247"/>
      <c r="KKK247"/>
      <c r="KKL247"/>
      <c r="KKM247"/>
      <c r="KKN247"/>
      <c r="KKO247"/>
      <c r="KKP247"/>
      <c r="KKQ247"/>
      <c r="KKR247"/>
      <c r="KKS247"/>
      <c r="KKT247"/>
      <c r="KKU247"/>
      <c r="KKV247"/>
      <c r="KKW247"/>
      <c r="KKX247"/>
      <c r="KKY247"/>
      <c r="KKZ247"/>
      <c r="KLA247"/>
      <c r="KLB247"/>
      <c r="KLC247"/>
      <c r="KLD247"/>
      <c r="KLE247"/>
      <c r="KLF247"/>
      <c r="KLG247"/>
      <c r="KLH247"/>
      <c r="KLI247"/>
      <c r="KLJ247"/>
      <c r="KLK247"/>
      <c r="KLL247"/>
      <c r="KLM247"/>
      <c r="KLN247"/>
      <c r="KLO247"/>
      <c r="KLP247"/>
      <c r="KLQ247"/>
      <c r="KLR247"/>
      <c r="KLS247"/>
      <c r="KLT247"/>
      <c r="KLU247"/>
      <c r="KLV247"/>
      <c r="KLW247"/>
      <c r="KLX247"/>
      <c r="KLY247"/>
      <c r="KLZ247"/>
      <c r="KMA247"/>
      <c r="KMB247"/>
      <c r="KMC247"/>
      <c r="KMD247"/>
      <c r="KME247"/>
      <c r="KMF247"/>
      <c r="KMG247"/>
      <c r="KMH247"/>
      <c r="KMI247"/>
      <c r="KMJ247"/>
      <c r="KMK247"/>
      <c r="KML247"/>
      <c r="KMM247"/>
      <c r="KMN247"/>
      <c r="KMO247"/>
      <c r="KMP247"/>
      <c r="KMQ247"/>
      <c r="KMR247"/>
      <c r="KMS247"/>
      <c r="KMT247"/>
      <c r="KMU247"/>
      <c r="KMV247"/>
      <c r="KMW247"/>
      <c r="KMX247"/>
      <c r="KMY247"/>
      <c r="KMZ247"/>
      <c r="KNA247"/>
      <c r="KNB247"/>
      <c r="KNC247"/>
      <c r="KND247"/>
      <c r="KNE247"/>
      <c r="KNF247"/>
      <c r="KNG247"/>
      <c r="KNH247"/>
      <c r="KNI247"/>
      <c r="KNJ247"/>
      <c r="KNK247"/>
      <c r="KNL247"/>
      <c r="KNM247"/>
      <c r="KNN247"/>
      <c r="KNO247"/>
      <c r="KNP247"/>
      <c r="KNQ247"/>
      <c r="KNR247"/>
      <c r="KNS247"/>
      <c r="KNT247"/>
      <c r="KNU247"/>
      <c r="KNV247"/>
      <c r="KNW247"/>
      <c r="KNX247"/>
      <c r="KNY247"/>
      <c r="KNZ247"/>
      <c r="KOA247"/>
      <c r="KOB247"/>
      <c r="KOC247"/>
      <c r="KOD247"/>
      <c r="KOE247"/>
      <c r="KOF247"/>
      <c r="KOG247"/>
      <c r="KOH247"/>
      <c r="KOI247"/>
      <c r="KOJ247"/>
      <c r="KOK247"/>
      <c r="KOL247"/>
      <c r="KOM247"/>
      <c r="KON247"/>
      <c r="KOO247"/>
      <c r="KOP247"/>
      <c r="KOQ247"/>
      <c r="KOR247"/>
      <c r="KOS247"/>
      <c r="KOT247"/>
      <c r="KOU247"/>
      <c r="KOV247"/>
      <c r="KOW247"/>
      <c r="KOX247"/>
      <c r="KOY247"/>
      <c r="KOZ247"/>
      <c r="KPA247"/>
      <c r="KPB247"/>
      <c r="KPC247"/>
      <c r="KPD247"/>
      <c r="KPE247"/>
      <c r="KPF247"/>
      <c r="KPG247"/>
      <c r="KPH247"/>
      <c r="KPI247"/>
      <c r="KPJ247"/>
      <c r="KPK247"/>
      <c r="KPL247"/>
      <c r="KPM247"/>
      <c r="KPN247"/>
      <c r="KPO247"/>
      <c r="KPP247"/>
      <c r="KPQ247"/>
      <c r="KPR247"/>
      <c r="KPS247"/>
      <c r="KPT247"/>
      <c r="KPU247"/>
      <c r="KPV247"/>
      <c r="KPW247"/>
      <c r="KPX247"/>
      <c r="KPY247"/>
      <c r="KPZ247"/>
      <c r="KQA247"/>
      <c r="KQB247"/>
      <c r="KQC247"/>
      <c r="KQD247"/>
      <c r="KQE247"/>
      <c r="KQF247"/>
      <c r="KQG247"/>
      <c r="KQH247"/>
      <c r="KQI247"/>
      <c r="KQJ247"/>
      <c r="KQK247"/>
      <c r="KQL247"/>
      <c r="KQM247"/>
      <c r="KQN247"/>
      <c r="KQO247"/>
      <c r="KQP247"/>
      <c r="KQQ247"/>
      <c r="KQR247"/>
      <c r="KQS247"/>
      <c r="KQT247"/>
      <c r="KQU247"/>
      <c r="KQV247"/>
      <c r="KQW247"/>
      <c r="KQX247"/>
      <c r="KQY247"/>
      <c r="KQZ247"/>
      <c r="KRA247"/>
      <c r="KRB247"/>
      <c r="KRC247"/>
      <c r="KRD247"/>
      <c r="KRE247"/>
      <c r="KRF247"/>
      <c r="KRG247"/>
      <c r="KRH247"/>
      <c r="KRI247"/>
      <c r="KRJ247"/>
      <c r="KRK247"/>
      <c r="KRL247"/>
      <c r="KRM247"/>
      <c r="KRN247"/>
      <c r="KRO247"/>
      <c r="KRP247"/>
      <c r="KRQ247"/>
      <c r="KRR247"/>
      <c r="KRS247"/>
      <c r="KRT247"/>
      <c r="KRU247"/>
      <c r="KRV247"/>
      <c r="KRW247"/>
      <c r="KRX247"/>
      <c r="KRY247"/>
      <c r="KRZ247"/>
      <c r="KSA247"/>
      <c r="KSB247"/>
      <c r="KSC247"/>
      <c r="KSD247"/>
      <c r="KSE247"/>
      <c r="KSF247"/>
      <c r="KSG247"/>
      <c r="KSH247"/>
      <c r="KSI247"/>
      <c r="KSJ247"/>
      <c r="KSK247"/>
      <c r="KSL247"/>
      <c r="KSM247"/>
      <c r="KSN247"/>
      <c r="KSO247"/>
      <c r="KSP247"/>
      <c r="KSQ247"/>
      <c r="KSR247"/>
      <c r="KSS247"/>
      <c r="KST247"/>
      <c r="KSU247"/>
      <c r="KSV247"/>
      <c r="KSW247"/>
      <c r="KSX247"/>
      <c r="KSY247"/>
      <c r="KSZ247"/>
      <c r="KTA247"/>
      <c r="KTB247"/>
      <c r="KTC247"/>
      <c r="KTD247"/>
      <c r="KTE247"/>
      <c r="KTF247"/>
      <c r="KTG247"/>
      <c r="KTH247"/>
      <c r="KTI247"/>
      <c r="KTJ247"/>
      <c r="KTK247"/>
      <c r="KTL247"/>
      <c r="KTM247"/>
      <c r="KTN247"/>
      <c r="KTO247"/>
      <c r="KTP247"/>
      <c r="KTQ247"/>
      <c r="KTR247"/>
      <c r="KTS247"/>
      <c r="KTT247"/>
      <c r="KTU247"/>
      <c r="KTV247"/>
      <c r="KTW247"/>
      <c r="KTX247"/>
      <c r="KTY247"/>
      <c r="KTZ247"/>
      <c r="KUA247"/>
      <c r="KUB247"/>
      <c r="KUC247"/>
      <c r="KUD247"/>
      <c r="KUE247"/>
      <c r="KUF247"/>
      <c r="KUG247"/>
      <c r="KUH247"/>
      <c r="KUI247"/>
      <c r="KUJ247"/>
      <c r="KUK247"/>
      <c r="KUL247"/>
      <c r="KUM247"/>
      <c r="KUN247"/>
      <c r="KUO247"/>
      <c r="KUP247"/>
      <c r="KUQ247"/>
      <c r="KUR247"/>
      <c r="KUS247"/>
      <c r="KUT247"/>
      <c r="KUU247"/>
      <c r="KUV247"/>
      <c r="KUW247"/>
      <c r="KUX247"/>
      <c r="KUY247"/>
      <c r="KUZ247"/>
      <c r="KVA247"/>
      <c r="KVB247"/>
      <c r="KVC247"/>
      <c r="KVD247"/>
      <c r="KVE247"/>
      <c r="KVF247"/>
      <c r="KVG247"/>
      <c r="KVH247"/>
      <c r="KVI247"/>
      <c r="KVJ247"/>
      <c r="KVK247"/>
      <c r="KVL247"/>
      <c r="KVM247"/>
      <c r="KVN247"/>
      <c r="KVO247"/>
      <c r="KVP247"/>
      <c r="KVQ247"/>
      <c r="KVR247"/>
      <c r="KVS247"/>
      <c r="KVT247"/>
      <c r="KVU247"/>
      <c r="KVV247"/>
      <c r="KVW247"/>
      <c r="KVX247"/>
      <c r="KVY247"/>
      <c r="KVZ247"/>
      <c r="KWA247"/>
      <c r="KWB247"/>
      <c r="KWC247"/>
      <c r="KWD247"/>
      <c r="KWE247"/>
      <c r="KWF247"/>
      <c r="KWG247"/>
      <c r="KWH247"/>
      <c r="KWI247"/>
      <c r="KWJ247"/>
      <c r="KWK247"/>
      <c r="KWL247"/>
      <c r="KWM247"/>
      <c r="KWN247"/>
      <c r="KWO247"/>
      <c r="KWP247"/>
      <c r="KWQ247"/>
      <c r="KWR247"/>
      <c r="KWS247"/>
      <c r="KWT247"/>
      <c r="KWU247"/>
      <c r="KWV247"/>
      <c r="KWW247"/>
      <c r="KWX247"/>
      <c r="KWY247"/>
      <c r="KWZ247"/>
      <c r="KXA247"/>
      <c r="KXB247"/>
      <c r="KXC247"/>
      <c r="KXD247"/>
      <c r="KXE247"/>
      <c r="KXF247"/>
      <c r="KXG247"/>
      <c r="KXH247"/>
      <c r="KXI247"/>
      <c r="KXJ247"/>
      <c r="KXK247"/>
      <c r="KXL247"/>
      <c r="KXM247"/>
      <c r="KXN247"/>
      <c r="KXO247"/>
      <c r="KXP247"/>
      <c r="KXQ247"/>
      <c r="KXR247"/>
      <c r="KXS247"/>
      <c r="KXT247"/>
      <c r="KXU247"/>
      <c r="KXV247"/>
      <c r="KXW247"/>
      <c r="KXX247"/>
      <c r="KXY247"/>
      <c r="KXZ247"/>
      <c r="KYA247"/>
      <c r="KYB247"/>
      <c r="KYC247"/>
      <c r="KYD247"/>
      <c r="KYE247"/>
      <c r="KYF247"/>
      <c r="KYG247"/>
      <c r="KYH247"/>
      <c r="KYI247"/>
      <c r="KYJ247"/>
      <c r="KYK247"/>
      <c r="KYL247"/>
      <c r="KYM247"/>
      <c r="KYN247"/>
      <c r="KYO247"/>
      <c r="KYP247"/>
      <c r="KYQ247"/>
      <c r="KYR247"/>
      <c r="KYS247"/>
      <c r="KYT247"/>
      <c r="KYU247"/>
      <c r="KYV247"/>
      <c r="KYW247"/>
      <c r="KYX247"/>
      <c r="KYY247"/>
      <c r="KYZ247"/>
      <c r="KZA247"/>
      <c r="KZB247"/>
      <c r="KZC247"/>
      <c r="KZD247"/>
      <c r="KZE247"/>
      <c r="KZF247"/>
      <c r="KZG247"/>
      <c r="KZH247"/>
      <c r="KZI247"/>
      <c r="KZJ247"/>
      <c r="KZK247"/>
      <c r="KZL247"/>
      <c r="KZM247"/>
      <c r="KZN247"/>
      <c r="KZO247"/>
      <c r="KZP247"/>
      <c r="KZQ247"/>
      <c r="KZR247"/>
      <c r="KZS247"/>
      <c r="KZT247"/>
      <c r="KZU247"/>
      <c r="KZV247"/>
      <c r="KZW247"/>
      <c r="KZX247"/>
      <c r="KZY247"/>
      <c r="KZZ247"/>
      <c r="LAA247"/>
      <c r="LAB247"/>
      <c r="LAC247"/>
      <c r="LAD247"/>
      <c r="LAE247"/>
      <c r="LAF247"/>
      <c r="LAG247"/>
      <c r="LAH247"/>
      <c r="LAI247"/>
      <c r="LAJ247"/>
      <c r="LAK247"/>
      <c r="LAL247"/>
      <c r="LAM247"/>
      <c r="LAN247"/>
      <c r="LAO247"/>
      <c r="LAP247"/>
      <c r="LAQ247"/>
      <c r="LAR247"/>
      <c r="LAS247"/>
      <c r="LAT247"/>
      <c r="LAU247"/>
      <c r="LAV247"/>
      <c r="LAW247"/>
      <c r="LAX247"/>
      <c r="LAY247"/>
      <c r="LAZ247"/>
      <c r="LBA247"/>
      <c r="LBB247"/>
      <c r="LBC247"/>
      <c r="LBD247"/>
      <c r="LBE247"/>
      <c r="LBF247"/>
      <c r="LBG247"/>
      <c r="LBH247"/>
      <c r="LBI247"/>
      <c r="LBJ247"/>
      <c r="LBK247"/>
      <c r="LBL247"/>
      <c r="LBM247"/>
      <c r="LBN247"/>
      <c r="LBO247"/>
      <c r="LBP247"/>
      <c r="LBQ247"/>
      <c r="LBR247"/>
      <c r="LBS247"/>
      <c r="LBT247"/>
      <c r="LBU247"/>
      <c r="LBV247"/>
      <c r="LBW247"/>
      <c r="LBX247"/>
      <c r="LBY247"/>
      <c r="LBZ247"/>
      <c r="LCA247"/>
      <c r="LCB247"/>
      <c r="LCC247"/>
      <c r="LCD247"/>
      <c r="LCE247"/>
      <c r="LCF247"/>
      <c r="LCG247"/>
      <c r="LCH247"/>
      <c r="LCI247"/>
      <c r="LCJ247"/>
      <c r="LCK247"/>
      <c r="LCL247"/>
      <c r="LCM247"/>
      <c r="LCN247"/>
      <c r="LCO247"/>
      <c r="LCP247"/>
      <c r="LCQ247"/>
      <c r="LCR247"/>
      <c r="LCS247"/>
      <c r="LCT247"/>
      <c r="LCU247"/>
      <c r="LCV247"/>
      <c r="LCW247"/>
      <c r="LCX247"/>
      <c r="LCY247"/>
      <c r="LCZ247"/>
      <c r="LDA247"/>
      <c r="LDB247"/>
      <c r="LDC247"/>
      <c r="LDD247"/>
      <c r="LDE247"/>
      <c r="LDF247"/>
      <c r="LDG247"/>
      <c r="LDH247"/>
      <c r="LDI247"/>
      <c r="LDJ247"/>
      <c r="LDK247"/>
      <c r="LDL247"/>
      <c r="LDM247"/>
      <c r="LDN247"/>
      <c r="LDO247"/>
      <c r="LDP247"/>
      <c r="LDQ247"/>
      <c r="LDR247"/>
      <c r="LDS247"/>
      <c r="LDT247"/>
      <c r="LDU247"/>
      <c r="LDV247"/>
      <c r="LDW247"/>
      <c r="LDX247"/>
      <c r="LDY247"/>
      <c r="LDZ247"/>
      <c r="LEA247"/>
      <c r="LEB247"/>
      <c r="LEC247"/>
      <c r="LED247"/>
      <c r="LEE247"/>
      <c r="LEF247"/>
      <c r="LEG247"/>
      <c r="LEH247"/>
      <c r="LEI247"/>
      <c r="LEJ247"/>
      <c r="LEK247"/>
      <c r="LEL247"/>
      <c r="LEM247"/>
      <c r="LEN247"/>
      <c r="LEO247"/>
      <c r="LEP247"/>
      <c r="LEQ247"/>
      <c r="LER247"/>
      <c r="LES247"/>
      <c r="LET247"/>
      <c r="LEU247"/>
      <c r="LEV247"/>
      <c r="LEW247"/>
      <c r="LEX247"/>
      <c r="LEY247"/>
      <c r="LEZ247"/>
      <c r="LFA247"/>
      <c r="LFB247"/>
      <c r="LFC247"/>
      <c r="LFD247"/>
      <c r="LFE247"/>
      <c r="LFF247"/>
      <c r="LFG247"/>
      <c r="LFH247"/>
      <c r="LFI247"/>
      <c r="LFJ247"/>
      <c r="LFK247"/>
      <c r="LFL247"/>
      <c r="LFM247"/>
      <c r="LFN247"/>
      <c r="LFO247"/>
      <c r="LFP247"/>
      <c r="LFQ247"/>
      <c r="LFR247"/>
      <c r="LFS247"/>
      <c r="LFT247"/>
      <c r="LFU247"/>
      <c r="LFV247"/>
      <c r="LFW247"/>
      <c r="LFX247"/>
      <c r="LFY247"/>
      <c r="LFZ247"/>
      <c r="LGA247"/>
      <c r="LGB247"/>
      <c r="LGC247"/>
      <c r="LGD247"/>
      <c r="LGE247"/>
      <c r="LGF247"/>
      <c r="LGG247"/>
      <c r="LGH247"/>
      <c r="LGI247"/>
      <c r="LGJ247"/>
      <c r="LGK247"/>
      <c r="LGL247"/>
      <c r="LGM247"/>
      <c r="LGN247"/>
      <c r="LGO247"/>
      <c r="LGP247"/>
      <c r="LGQ247"/>
      <c r="LGR247"/>
      <c r="LGS247"/>
      <c r="LGT247"/>
      <c r="LGU247"/>
      <c r="LGV247"/>
      <c r="LGW247"/>
      <c r="LGX247"/>
      <c r="LGY247"/>
      <c r="LGZ247"/>
      <c r="LHA247"/>
      <c r="LHB247"/>
      <c r="LHC247"/>
      <c r="LHD247"/>
      <c r="LHE247"/>
      <c r="LHF247"/>
      <c r="LHG247"/>
      <c r="LHH247"/>
      <c r="LHI247"/>
      <c r="LHJ247"/>
      <c r="LHK247"/>
      <c r="LHL247"/>
      <c r="LHM247"/>
      <c r="LHN247"/>
      <c r="LHO247"/>
      <c r="LHP247"/>
      <c r="LHQ247"/>
      <c r="LHR247"/>
      <c r="LHS247"/>
      <c r="LHT247"/>
      <c r="LHU247"/>
      <c r="LHV247"/>
      <c r="LHW247"/>
      <c r="LHX247"/>
      <c r="LHY247"/>
      <c r="LHZ247"/>
      <c r="LIA247"/>
      <c r="LIB247"/>
      <c r="LIC247"/>
      <c r="LID247"/>
      <c r="LIE247"/>
      <c r="LIF247"/>
      <c r="LIG247"/>
      <c r="LIH247"/>
      <c r="LII247"/>
      <c r="LIJ247"/>
      <c r="LIK247"/>
      <c r="LIL247"/>
      <c r="LIM247"/>
      <c r="LIN247"/>
      <c r="LIO247"/>
      <c r="LIP247"/>
      <c r="LIQ247"/>
      <c r="LIR247"/>
      <c r="LIS247"/>
      <c r="LIT247"/>
      <c r="LIU247"/>
      <c r="LIV247"/>
      <c r="LIW247"/>
      <c r="LIX247"/>
      <c r="LIY247"/>
      <c r="LIZ247"/>
      <c r="LJA247"/>
      <c r="LJB247"/>
      <c r="LJC247"/>
      <c r="LJD247"/>
      <c r="LJE247"/>
      <c r="LJF247"/>
      <c r="LJG247"/>
      <c r="LJH247"/>
      <c r="LJI247"/>
      <c r="LJJ247"/>
      <c r="LJK247"/>
      <c r="LJL247"/>
      <c r="LJM247"/>
      <c r="LJN247"/>
      <c r="LJO247"/>
      <c r="LJP247"/>
      <c r="LJQ247"/>
      <c r="LJR247"/>
      <c r="LJS247"/>
      <c r="LJT247"/>
      <c r="LJU247"/>
      <c r="LJV247"/>
      <c r="LJW247"/>
      <c r="LJX247"/>
      <c r="LJY247"/>
      <c r="LJZ247"/>
      <c r="LKA247"/>
      <c r="LKB247"/>
      <c r="LKC247"/>
      <c r="LKD247"/>
      <c r="LKE247"/>
      <c r="LKF247"/>
      <c r="LKG247"/>
      <c r="LKH247"/>
      <c r="LKI247"/>
      <c r="LKJ247"/>
      <c r="LKK247"/>
      <c r="LKL247"/>
      <c r="LKM247"/>
      <c r="LKN247"/>
      <c r="LKO247"/>
      <c r="LKP247"/>
      <c r="LKQ247"/>
      <c r="LKR247"/>
      <c r="LKS247"/>
      <c r="LKT247"/>
      <c r="LKU247"/>
      <c r="LKV247"/>
      <c r="LKW247"/>
      <c r="LKX247"/>
      <c r="LKY247"/>
      <c r="LKZ247"/>
      <c r="LLA247"/>
      <c r="LLB247"/>
      <c r="LLC247"/>
      <c r="LLD247"/>
      <c r="LLE247"/>
      <c r="LLF247"/>
      <c r="LLG247"/>
      <c r="LLH247"/>
      <c r="LLI247"/>
      <c r="LLJ247"/>
      <c r="LLK247"/>
      <c r="LLL247"/>
      <c r="LLM247"/>
      <c r="LLN247"/>
      <c r="LLO247"/>
      <c r="LLP247"/>
      <c r="LLQ247"/>
      <c r="LLR247"/>
      <c r="LLS247"/>
      <c r="LLT247"/>
      <c r="LLU247"/>
      <c r="LLV247"/>
      <c r="LLW247"/>
      <c r="LLX247"/>
      <c r="LLY247"/>
      <c r="LLZ247"/>
      <c r="LMA247"/>
      <c r="LMB247"/>
      <c r="LMC247"/>
      <c r="LMD247"/>
      <c r="LME247"/>
      <c r="LMF247"/>
      <c r="LMG247"/>
      <c r="LMH247"/>
      <c r="LMI247"/>
      <c r="LMJ247"/>
      <c r="LMK247"/>
      <c r="LML247"/>
      <c r="LMM247"/>
      <c r="LMN247"/>
      <c r="LMO247"/>
      <c r="LMP247"/>
      <c r="LMQ247"/>
      <c r="LMR247"/>
      <c r="LMS247"/>
      <c r="LMT247"/>
      <c r="LMU247"/>
      <c r="LMV247"/>
      <c r="LMW247"/>
      <c r="LMX247"/>
      <c r="LMY247"/>
      <c r="LMZ247"/>
      <c r="LNA247"/>
      <c r="LNB247"/>
      <c r="LNC247"/>
      <c r="LND247"/>
      <c r="LNE247"/>
      <c r="LNF247"/>
      <c r="LNG247"/>
      <c r="LNH247"/>
      <c r="LNI247"/>
      <c r="LNJ247"/>
      <c r="LNK247"/>
      <c r="LNL247"/>
      <c r="LNM247"/>
      <c r="LNN247"/>
      <c r="LNO247"/>
      <c r="LNP247"/>
      <c r="LNQ247"/>
      <c r="LNR247"/>
      <c r="LNS247"/>
      <c r="LNT247"/>
      <c r="LNU247"/>
      <c r="LNV247"/>
      <c r="LNW247"/>
      <c r="LNX247"/>
      <c r="LNY247"/>
      <c r="LNZ247"/>
      <c r="LOA247"/>
      <c r="LOB247"/>
      <c r="LOC247"/>
      <c r="LOD247"/>
      <c r="LOE247"/>
      <c r="LOF247"/>
      <c r="LOG247"/>
      <c r="LOH247"/>
      <c r="LOI247"/>
      <c r="LOJ247"/>
      <c r="LOK247"/>
      <c r="LOL247"/>
      <c r="LOM247"/>
      <c r="LON247"/>
      <c r="LOO247"/>
      <c r="LOP247"/>
      <c r="LOQ247"/>
      <c r="LOR247"/>
      <c r="LOS247"/>
      <c r="LOT247"/>
      <c r="LOU247"/>
      <c r="LOV247"/>
      <c r="LOW247"/>
      <c r="LOX247"/>
      <c r="LOY247"/>
      <c r="LOZ247"/>
      <c r="LPA247"/>
      <c r="LPB247"/>
      <c r="LPC247"/>
      <c r="LPD247"/>
      <c r="LPE247"/>
      <c r="LPF247"/>
      <c r="LPG247"/>
      <c r="LPH247"/>
      <c r="LPI247"/>
      <c r="LPJ247"/>
      <c r="LPK247"/>
      <c r="LPL247"/>
      <c r="LPM247"/>
      <c r="LPN247"/>
      <c r="LPO247"/>
      <c r="LPP247"/>
      <c r="LPQ247"/>
      <c r="LPR247"/>
      <c r="LPS247"/>
      <c r="LPT247"/>
      <c r="LPU247"/>
      <c r="LPV247"/>
      <c r="LPW247"/>
      <c r="LPX247"/>
      <c r="LPY247"/>
      <c r="LPZ247"/>
      <c r="LQA247"/>
      <c r="LQB247"/>
      <c r="LQC247"/>
      <c r="LQD247"/>
      <c r="LQE247"/>
      <c r="LQF247"/>
      <c r="LQG247"/>
      <c r="LQH247"/>
      <c r="LQI247"/>
      <c r="LQJ247"/>
      <c r="LQK247"/>
      <c r="LQL247"/>
      <c r="LQM247"/>
      <c r="LQN247"/>
      <c r="LQO247"/>
      <c r="LQP247"/>
      <c r="LQQ247"/>
      <c r="LQR247"/>
      <c r="LQS247"/>
      <c r="LQT247"/>
      <c r="LQU247"/>
      <c r="LQV247"/>
      <c r="LQW247"/>
      <c r="LQX247"/>
      <c r="LQY247"/>
      <c r="LQZ247"/>
      <c r="LRA247"/>
      <c r="LRB247"/>
      <c r="LRC247"/>
      <c r="LRD247"/>
      <c r="LRE247"/>
      <c r="LRF247"/>
      <c r="LRG247"/>
      <c r="LRH247"/>
      <c r="LRI247"/>
      <c r="LRJ247"/>
      <c r="LRK247"/>
      <c r="LRL247"/>
      <c r="LRM247"/>
      <c r="LRN247"/>
      <c r="LRO247"/>
      <c r="LRP247"/>
      <c r="LRQ247"/>
      <c r="LRR247"/>
      <c r="LRS247"/>
      <c r="LRT247"/>
      <c r="LRU247"/>
      <c r="LRV247"/>
      <c r="LRW247"/>
      <c r="LRX247"/>
      <c r="LRY247"/>
      <c r="LRZ247"/>
      <c r="LSA247"/>
      <c r="LSB247"/>
      <c r="LSC247"/>
      <c r="LSD247"/>
      <c r="LSE247"/>
      <c r="LSF247"/>
      <c r="LSG247"/>
      <c r="LSH247"/>
      <c r="LSI247"/>
      <c r="LSJ247"/>
      <c r="LSK247"/>
      <c r="LSL247"/>
      <c r="LSM247"/>
      <c r="LSN247"/>
      <c r="LSO247"/>
      <c r="LSP247"/>
      <c r="LSQ247"/>
      <c r="LSR247"/>
      <c r="LSS247"/>
      <c r="LST247"/>
      <c r="LSU247"/>
      <c r="LSV247"/>
      <c r="LSW247"/>
      <c r="LSX247"/>
      <c r="LSY247"/>
      <c r="LSZ247"/>
      <c r="LTA247"/>
      <c r="LTB247"/>
      <c r="LTC247"/>
      <c r="LTD247"/>
      <c r="LTE247"/>
      <c r="LTF247"/>
      <c r="LTG247"/>
      <c r="LTH247"/>
      <c r="LTI247"/>
      <c r="LTJ247"/>
      <c r="LTK247"/>
      <c r="LTL247"/>
      <c r="LTM247"/>
      <c r="LTN247"/>
      <c r="LTO247"/>
      <c r="LTP247"/>
      <c r="LTQ247"/>
      <c r="LTR247"/>
      <c r="LTS247"/>
      <c r="LTT247"/>
      <c r="LTU247"/>
      <c r="LTV247"/>
      <c r="LTW247"/>
      <c r="LTX247"/>
      <c r="LTY247"/>
      <c r="LTZ247"/>
      <c r="LUA247"/>
      <c r="LUB247"/>
      <c r="LUC247"/>
      <c r="LUD247"/>
      <c r="LUE247"/>
      <c r="LUF247"/>
      <c r="LUG247"/>
      <c r="LUH247"/>
      <c r="LUI247"/>
      <c r="LUJ247"/>
      <c r="LUK247"/>
      <c r="LUL247"/>
      <c r="LUM247"/>
      <c r="LUN247"/>
      <c r="LUO247"/>
      <c r="LUP247"/>
      <c r="LUQ247"/>
      <c r="LUR247"/>
      <c r="LUS247"/>
      <c r="LUT247"/>
      <c r="LUU247"/>
      <c r="LUV247"/>
      <c r="LUW247"/>
      <c r="LUX247"/>
      <c r="LUY247"/>
      <c r="LUZ247"/>
      <c r="LVA247"/>
      <c r="LVB247"/>
      <c r="LVC247"/>
      <c r="LVD247"/>
      <c r="LVE247"/>
      <c r="LVF247"/>
      <c r="LVG247"/>
      <c r="LVH247"/>
      <c r="LVI247"/>
      <c r="LVJ247"/>
      <c r="LVK247"/>
      <c r="LVL247"/>
      <c r="LVM247"/>
      <c r="LVN247"/>
      <c r="LVO247"/>
      <c r="LVP247"/>
      <c r="LVQ247"/>
      <c r="LVR247"/>
      <c r="LVS247"/>
      <c r="LVT247"/>
      <c r="LVU247"/>
      <c r="LVV247"/>
      <c r="LVW247"/>
      <c r="LVX247"/>
      <c r="LVY247"/>
      <c r="LVZ247"/>
      <c r="LWA247"/>
      <c r="LWB247"/>
      <c r="LWC247"/>
      <c r="LWD247"/>
      <c r="LWE247"/>
      <c r="LWF247"/>
      <c r="LWG247"/>
      <c r="LWH247"/>
      <c r="LWI247"/>
      <c r="LWJ247"/>
      <c r="LWK247"/>
      <c r="LWL247"/>
      <c r="LWM247"/>
      <c r="LWN247"/>
      <c r="LWO247"/>
      <c r="LWP247"/>
      <c r="LWQ247"/>
      <c r="LWR247"/>
      <c r="LWS247"/>
      <c r="LWT247"/>
      <c r="LWU247"/>
      <c r="LWV247"/>
      <c r="LWW247"/>
      <c r="LWX247"/>
      <c r="LWY247"/>
      <c r="LWZ247"/>
      <c r="LXA247"/>
      <c r="LXB247"/>
      <c r="LXC247"/>
      <c r="LXD247"/>
      <c r="LXE247"/>
      <c r="LXF247"/>
      <c r="LXG247"/>
      <c r="LXH247"/>
      <c r="LXI247"/>
      <c r="LXJ247"/>
      <c r="LXK247"/>
      <c r="LXL247"/>
      <c r="LXM247"/>
      <c r="LXN247"/>
      <c r="LXO247"/>
      <c r="LXP247"/>
      <c r="LXQ247"/>
      <c r="LXR247"/>
      <c r="LXS247"/>
      <c r="LXT247"/>
      <c r="LXU247"/>
      <c r="LXV247"/>
      <c r="LXW247"/>
      <c r="LXX247"/>
      <c r="LXY247"/>
      <c r="LXZ247"/>
      <c r="LYA247"/>
      <c r="LYB247"/>
      <c r="LYC247"/>
      <c r="LYD247"/>
      <c r="LYE247"/>
      <c r="LYF247"/>
      <c r="LYG247"/>
      <c r="LYH247"/>
      <c r="LYI247"/>
      <c r="LYJ247"/>
      <c r="LYK247"/>
      <c r="LYL247"/>
      <c r="LYM247"/>
      <c r="LYN247"/>
      <c r="LYO247"/>
      <c r="LYP247"/>
      <c r="LYQ247"/>
      <c r="LYR247"/>
      <c r="LYS247"/>
      <c r="LYT247"/>
      <c r="LYU247"/>
      <c r="LYV247"/>
      <c r="LYW247"/>
      <c r="LYX247"/>
      <c r="LYY247"/>
      <c r="LYZ247"/>
      <c r="LZA247"/>
      <c r="LZB247"/>
      <c r="LZC247"/>
      <c r="LZD247"/>
      <c r="LZE247"/>
      <c r="LZF247"/>
      <c r="LZG247"/>
      <c r="LZH247"/>
      <c r="LZI247"/>
      <c r="LZJ247"/>
      <c r="LZK247"/>
      <c r="LZL247"/>
      <c r="LZM247"/>
      <c r="LZN247"/>
      <c r="LZO247"/>
      <c r="LZP247"/>
      <c r="LZQ247"/>
      <c r="LZR247"/>
      <c r="LZS247"/>
      <c r="LZT247"/>
      <c r="LZU247"/>
      <c r="LZV247"/>
      <c r="LZW247"/>
      <c r="LZX247"/>
      <c r="LZY247"/>
      <c r="LZZ247"/>
      <c r="MAA247"/>
      <c r="MAB247"/>
      <c r="MAC247"/>
      <c r="MAD247"/>
      <c r="MAE247"/>
      <c r="MAF247"/>
      <c r="MAG247"/>
      <c r="MAH247"/>
      <c r="MAI247"/>
      <c r="MAJ247"/>
      <c r="MAK247"/>
      <c r="MAL247"/>
      <c r="MAM247"/>
      <c r="MAN247"/>
      <c r="MAO247"/>
      <c r="MAP247"/>
      <c r="MAQ247"/>
      <c r="MAR247"/>
      <c r="MAS247"/>
      <c r="MAT247"/>
      <c r="MAU247"/>
      <c r="MAV247"/>
      <c r="MAW247"/>
      <c r="MAX247"/>
      <c r="MAY247"/>
      <c r="MAZ247"/>
      <c r="MBA247"/>
      <c r="MBB247"/>
      <c r="MBC247"/>
      <c r="MBD247"/>
      <c r="MBE247"/>
      <c r="MBF247"/>
      <c r="MBG247"/>
      <c r="MBH247"/>
      <c r="MBI247"/>
      <c r="MBJ247"/>
      <c r="MBK247"/>
      <c r="MBL247"/>
      <c r="MBM247"/>
      <c r="MBN247"/>
      <c r="MBO247"/>
      <c r="MBP247"/>
      <c r="MBQ247"/>
      <c r="MBR247"/>
      <c r="MBS247"/>
      <c r="MBT247"/>
      <c r="MBU247"/>
      <c r="MBV247"/>
      <c r="MBW247"/>
      <c r="MBX247"/>
      <c r="MBY247"/>
      <c r="MBZ247"/>
      <c r="MCA247"/>
      <c r="MCB247"/>
      <c r="MCC247"/>
      <c r="MCD247"/>
      <c r="MCE247"/>
      <c r="MCF247"/>
      <c r="MCG247"/>
      <c r="MCH247"/>
      <c r="MCI247"/>
      <c r="MCJ247"/>
      <c r="MCK247"/>
      <c r="MCL247"/>
      <c r="MCM247"/>
      <c r="MCN247"/>
      <c r="MCO247"/>
      <c r="MCP247"/>
      <c r="MCQ247"/>
      <c r="MCR247"/>
      <c r="MCS247"/>
      <c r="MCT247"/>
      <c r="MCU247"/>
      <c r="MCV247"/>
      <c r="MCW247"/>
      <c r="MCX247"/>
      <c r="MCY247"/>
      <c r="MCZ247"/>
      <c r="MDA247"/>
      <c r="MDB247"/>
      <c r="MDC247"/>
      <c r="MDD247"/>
      <c r="MDE247"/>
      <c r="MDF247"/>
      <c r="MDG247"/>
      <c r="MDH247"/>
      <c r="MDI247"/>
      <c r="MDJ247"/>
      <c r="MDK247"/>
      <c r="MDL247"/>
      <c r="MDM247"/>
      <c r="MDN247"/>
      <c r="MDO247"/>
      <c r="MDP247"/>
      <c r="MDQ247"/>
      <c r="MDR247"/>
      <c r="MDS247"/>
      <c r="MDT247"/>
      <c r="MDU247"/>
      <c r="MDV247"/>
      <c r="MDW247"/>
      <c r="MDX247"/>
      <c r="MDY247"/>
      <c r="MDZ247"/>
      <c r="MEA247"/>
      <c r="MEB247"/>
      <c r="MEC247"/>
      <c r="MED247"/>
      <c r="MEE247"/>
      <c r="MEF247"/>
      <c r="MEG247"/>
      <c r="MEH247"/>
      <c r="MEI247"/>
      <c r="MEJ247"/>
      <c r="MEK247"/>
      <c r="MEL247"/>
      <c r="MEM247"/>
      <c r="MEN247"/>
      <c r="MEO247"/>
      <c r="MEP247"/>
      <c r="MEQ247"/>
      <c r="MER247"/>
      <c r="MES247"/>
      <c r="MET247"/>
      <c r="MEU247"/>
      <c r="MEV247"/>
      <c r="MEW247"/>
      <c r="MEX247"/>
      <c r="MEY247"/>
      <c r="MEZ247"/>
      <c r="MFA247"/>
      <c r="MFB247"/>
      <c r="MFC247"/>
      <c r="MFD247"/>
      <c r="MFE247"/>
      <c r="MFF247"/>
      <c r="MFG247"/>
      <c r="MFH247"/>
      <c r="MFI247"/>
      <c r="MFJ247"/>
      <c r="MFK247"/>
      <c r="MFL247"/>
      <c r="MFM247"/>
      <c r="MFN247"/>
      <c r="MFO247"/>
      <c r="MFP247"/>
      <c r="MFQ247"/>
      <c r="MFR247"/>
      <c r="MFS247"/>
      <c r="MFT247"/>
      <c r="MFU247"/>
      <c r="MFV247"/>
      <c r="MFW247"/>
      <c r="MFX247"/>
      <c r="MFY247"/>
      <c r="MFZ247"/>
      <c r="MGA247"/>
      <c r="MGB247"/>
      <c r="MGC247"/>
      <c r="MGD247"/>
      <c r="MGE247"/>
      <c r="MGF247"/>
      <c r="MGG247"/>
      <c r="MGH247"/>
      <c r="MGI247"/>
      <c r="MGJ247"/>
      <c r="MGK247"/>
      <c r="MGL247"/>
      <c r="MGM247"/>
      <c r="MGN247"/>
      <c r="MGO247"/>
      <c r="MGP247"/>
      <c r="MGQ247"/>
      <c r="MGR247"/>
      <c r="MGS247"/>
      <c r="MGT247"/>
      <c r="MGU247"/>
      <c r="MGV247"/>
      <c r="MGW247"/>
      <c r="MGX247"/>
      <c r="MGY247"/>
      <c r="MGZ247"/>
      <c r="MHA247"/>
      <c r="MHB247"/>
      <c r="MHC247"/>
      <c r="MHD247"/>
      <c r="MHE247"/>
      <c r="MHF247"/>
      <c r="MHG247"/>
      <c r="MHH247"/>
      <c r="MHI247"/>
      <c r="MHJ247"/>
      <c r="MHK247"/>
      <c r="MHL247"/>
      <c r="MHM247"/>
      <c r="MHN247"/>
      <c r="MHO247"/>
      <c r="MHP247"/>
      <c r="MHQ247"/>
      <c r="MHR247"/>
      <c r="MHS247"/>
      <c r="MHT247"/>
      <c r="MHU247"/>
      <c r="MHV247"/>
      <c r="MHW247"/>
      <c r="MHX247"/>
      <c r="MHY247"/>
      <c r="MHZ247"/>
      <c r="MIA247"/>
      <c r="MIB247"/>
      <c r="MIC247"/>
      <c r="MID247"/>
      <c r="MIE247"/>
      <c r="MIF247"/>
      <c r="MIG247"/>
      <c r="MIH247"/>
      <c r="MII247"/>
      <c r="MIJ247"/>
      <c r="MIK247"/>
      <c r="MIL247"/>
      <c r="MIM247"/>
      <c r="MIN247"/>
      <c r="MIO247"/>
      <c r="MIP247"/>
      <c r="MIQ247"/>
      <c r="MIR247"/>
      <c r="MIS247"/>
      <c r="MIT247"/>
      <c r="MIU247"/>
      <c r="MIV247"/>
      <c r="MIW247"/>
      <c r="MIX247"/>
      <c r="MIY247"/>
      <c r="MIZ247"/>
      <c r="MJA247"/>
      <c r="MJB247"/>
      <c r="MJC247"/>
      <c r="MJD247"/>
      <c r="MJE247"/>
      <c r="MJF247"/>
      <c r="MJG247"/>
      <c r="MJH247"/>
      <c r="MJI247"/>
      <c r="MJJ247"/>
      <c r="MJK247"/>
      <c r="MJL247"/>
      <c r="MJM247"/>
      <c r="MJN247"/>
      <c r="MJO247"/>
      <c r="MJP247"/>
      <c r="MJQ247"/>
      <c r="MJR247"/>
      <c r="MJS247"/>
      <c r="MJT247"/>
      <c r="MJU247"/>
      <c r="MJV247"/>
      <c r="MJW247"/>
      <c r="MJX247"/>
      <c r="MJY247"/>
      <c r="MJZ247"/>
      <c r="MKA247"/>
      <c r="MKB247"/>
      <c r="MKC247"/>
      <c r="MKD247"/>
      <c r="MKE247"/>
      <c r="MKF247"/>
      <c r="MKG247"/>
      <c r="MKH247"/>
      <c r="MKI247"/>
      <c r="MKJ247"/>
      <c r="MKK247"/>
      <c r="MKL247"/>
      <c r="MKM247"/>
      <c r="MKN247"/>
      <c r="MKO247"/>
      <c r="MKP247"/>
      <c r="MKQ247"/>
      <c r="MKR247"/>
      <c r="MKS247"/>
      <c r="MKT247"/>
      <c r="MKU247"/>
      <c r="MKV247"/>
      <c r="MKW247"/>
      <c r="MKX247"/>
      <c r="MKY247"/>
      <c r="MKZ247"/>
      <c r="MLA247"/>
      <c r="MLB247"/>
      <c r="MLC247"/>
      <c r="MLD247"/>
      <c r="MLE247"/>
      <c r="MLF247"/>
      <c r="MLG247"/>
      <c r="MLH247"/>
      <c r="MLI247"/>
      <c r="MLJ247"/>
      <c r="MLK247"/>
      <c r="MLL247"/>
      <c r="MLM247"/>
      <c r="MLN247"/>
      <c r="MLO247"/>
      <c r="MLP247"/>
      <c r="MLQ247"/>
      <c r="MLR247"/>
      <c r="MLS247"/>
      <c r="MLT247"/>
      <c r="MLU247"/>
      <c r="MLV247"/>
      <c r="MLW247"/>
      <c r="MLX247"/>
      <c r="MLY247"/>
      <c r="MLZ247"/>
      <c r="MMA247"/>
      <c r="MMB247"/>
      <c r="MMC247"/>
      <c r="MMD247"/>
      <c r="MME247"/>
      <c r="MMF247"/>
      <c r="MMG247"/>
      <c r="MMH247"/>
      <c r="MMI247"/>
      <c r="MMJ247"/>
      <c r="MMK247"/>
      <c r="MML247"/>
      <c r="MMM247"/>
      <c r="MMN247"/>
      <c r="MMO247"/>
      <c r="MMP247"/>
      <c r="MMQ247"/>
      <c r="MMR247"/>
      <c r="MMS247"/>
      <c r="MMT247"/>
      <c r="MMU247"/>
      <c r="MMV247"/>
      <c r="MMW247"/>
      <c r="MMX247"/>
      <c r="MMY247"/>
      <c r="MMZ247"/>
      <c r="MNA247"/>
      <c r="MNB247"/>
      <c r="MNC247"/>
      <c r="MND247"/>
      <c r="MNE247"/>
      <c r="MNF247"/>
      <c r="MNG247"/>
      <c r="MNH247"/>
      <c r="MNI247"/>
      <c r="MNJ247"/>
      <c r="MNK247"/>
      <c r="MNL247"/>
      <c r="MNM247"/>
      <c r="MNN247"/>
      <c r="MNO247"/>
      <c r="MNP247"/>
      <c r="MNQ247"/>
      <c r="MNR247"/>
      <c r="MNS247"/>
      <c r="MNT247"/>
      <c r="MNU247"/>
      <c r="MNV247"/>
      <c r="MNW247"/>
      <c r="MNX247"/>
      <c r="MNY247"/>
      <c r="MNZ247"/>
      <c r="MOA247"/>
      <c r="MOB247"/>
      <c r="MOC247"/>
      <c r="MOD247"/>
      <c r="MOE247"/>
      <c r="MOF247"/>
      <c r="MOG247"/>
      <c r="MOH247"/>
      <c r="MOI247"/>
      <c r="MOJ247"/>
      <c r="MOK247"/>
      <c r="MOL247"/>
      <c r="MOM247"/>
      <c r="MON247"/>
      <c r="MOO247"/>
      <c r="MOP247"/>
      <c r="MOQ247"/>
      <c r="MOR247"/>
      <c r="MOS247"/>
      <c r="MOT247"/>
      <c r="MOU247"/>
      <c r="MOV247"/>
      <c r="MOW247"/>
      <c r="MOX247"/>
      <c r="MOY247"/>
      <c r="MOZ247"/>
      <c r="MPA247"/>
      <c r="MPB247"/>
      <c r="MPC247"/>
      <c r="MPD247"/>
      <c r="MPE247"/>
      <c r="MPF247"/>
      <c r="MPG247"/>
      <c r="MPH247"/>
      <c r="MPI247"/>
      <c r="MPJ247"/>
      <c r="MPK247"/>
      <c r="MPL247"/>
      <c r="MPM247"/>
      <c r="MPN247"/>
      <c r="MPO247"/>
      <c r="MPP247"/>
      <c r="MPQ247"/>
      <c r="MPR247"/>
      <c r="MPS247"/>
      <c r="MPT247"/>
      <c r="MPU247"/>
      <c r="MPV247"/>
      <c r="MPW247"/>
      <c r="MPX247"/>
      <c r="MPY247"/>
      <c r="MPZ247"/>
      <c r="MQA247"/>
      <c r="MQB247"/>
      <c r="MQC247"/>
      <c r="MQD247"/>
      <c r="MQE247"/>
      <c r="MQF247"/>
      <c r="MQG247"/>
      <c r="MQH247"/>
      <c r="MQI247"/>
      <c r="MQJ247"/>
      <c r="MQK247"/>
      <c r="MQL247"/>
      <c r="MQM247"/>
      <c r="MQN247"/>
      <c r="MQO247"/>
      <c r="MQP247"/>
      <c r="MQQ247"/>
      <c r="MQR247"/>
      <c r="MQS247"/>
      <c r="MQT247"/>
      <c r="MQU247"/>
      <c r="MQV247"/>
      <c r="MQW247"/>
      <c r="MQX247"/>
      <c r="MQY247"/>
      <c r="MQZ247"/>
      <c r="MRA247"/>
      <c r="MRB247"/>
      <c r="MRC247"/>
      <c r="MRD247"/>
      <c r="MRE247"/>
      <c r="MRF247"/>
      <c r="MRG247"/>
      <c r="MRH247"/>
      <c r="MRI247"/>
      <c r="MRJ247"/>
      <c r="MRK247"/>
      <c r="MRL247"/>
      <c r="MRM247"/>
      <c r="MRN247"/>
      <c r="MRO247"/>
      <c r="MRP247"/>
      <c r="MRQ247"/>
      <c r="MRR247"/>
      <c r="MRS247"/>
      <c r="MRT247"/>
      <c r="MRU247"/>
      <c r="MRV247"/>
      <c r="MRW247"/>
      <c r="MRX247"/>
      <c r="MRY247"/>
      <c r="MRZ247"/>
      <c r="MSA247"/>
      <c r="MSB247"/>
      <c r="MSC247"/>
      <c r="MSD247"/>
      <c r="MSE247"/>
      <c r="MSF247"/>
      <c r="MSG247"/>
      <c r="MSH247"/>
      <c r="MSI247"/>
      <c r="MSJ247"/>
      <c r="MSK247"/>
      <c r="MSL247"/>
      <c r="MSM247"/>
      <c r="MSN247"/>
      <c r="MSO247"/>
      <c r="MSP247"/>
      <c r="MSQ247"/>
      <c r="MSR247"/>
      <c r="MSS247"/>
      <c r="MST247"/>
      <c r="MSU247"/>
      <c r="MSV247"/>
      <c r="MSW247"/>
      <c r="MSX247"/>
      <c r="MSY247"/>
      <c r="MSZ247"/>
      <c r="MTA247"/>
      <c r="MTB247"/>
      <c r="MTC247"/>
      <c r="MTD247"/>
      <c r="MTE247"/>
      <c r="MTF247"/>
      <c r="MTG247"/>
      <c r="MTH247"/>
      <c r="MTI247"/>
      <c r="MTJ247"/>
      <c r="MTK247"/>
      <c r="MTL247"/>
      <c r="MTM247"/>
      <c r="MTN247"/>
      <c r="MTO247"/>
      <c r="MTP247"/>
      <c r="MTQ247"/>
      <c r="MTR247"/>
      <c r="MTS247"/>
      <c r="MTT247"/>
      <c r="MTU247"/>
      <c r="MTV247"/>
      <c r="MTW247"/>
      <c r="MTX247"/>
      <c r="MTY247"/>
      <c r="MTZ247"/>
      <c r="MUA247"/>
      <c r="MUB247"/>
      <c r="MUC247"/>
      <c r="MUD247"/>
      <c r="MUE247"/>
      <c r="MUF247"/>
      <c r="MUG247"/>
      <c r="MUH247"/>
      <c r="MUI247"/>
      <c r="MUJ247"/>
      <c r="MUK247"/>
      <c r="MUL247"/>
      <c r="MUM247"/>
      <c r="MUN247"/>
      <c r="MUO247"/>
      <c r="MUP247"/>
      <c r="MUQ247"/>
      <c r="MUR247"/>
      <c r="MUS247"/>
      <c r="MUT247"/>
      <c r="MUU247"/>
      <c r="MUV247"/>
      <c r="MUW247"/>
      <c r="MUX247"/>
      <c r="MUY247"/>
      <c r="MUZ247"/>
      <c r="MVA247"/>
      <c r="MVB247"/>
      <c r="MVC247"/>
      <c r="MVD247"/>
      <c r="MVE247"/>
      <c r="MVF247"/>
      <c r="MVG247"/>
      <c r="MVH247"/>
      <c r="MVI247"/>
      <c r="MVJ247"/>
      <c r="MVK247"/>
      <c r="MVL247"/>
      <c r="MVM247"/>
      <c r="MVN247"/>
      <c r="MVO247"/>
      <c r="MVP247"/>
      <c r="MVQ247"/>
      <c r="MVR247"/>
      <c r="MVS247"/>
      <c r="MVT247"/>
      <c r="MVU247"/>
      <c r="MVV247"/>
      <c r="MVW247"/>
      <c r="MVX247"/>
      <c r="MVY247"/>
      <c r="MVZ247"/>
      <c r="MWA247"/>
      <c r="MWB247"/>
      <c r="MWC247"/>
      <c r="MWD247"/>
      <c r="MWE247"/>
      <c r="MWF247"/>
      <c r="MWG247"/>
      <c r="MWH247"/>
      <c r="MWI247"/>
      <c r="MWJ247"/>
      <c r="MWK247"/>
      <c r="MWL247"/>
      <c r="MWM247"/>
      <c r="MWN247"/>
      <c r="MWO247"/>
      <c r="MWP247"/>
      <c r="MWQ247"/>
      <c r="MWR247"/>
      <c r="MWS247"/>
      <c r="MWT247"/>
      <c r="MWU247"/>
      <c r="MWV247"/>
      <c r="MWW247"/>
      <c r="MWX247"/>
      <c r="MWY247"/>
      <c r="MWZ247"/>
      <c r="MXA247"/>
      <c r="MXB247"/>
      <c r="MXC247"/>
      <c r="MXD247"/>
      <c r="MXE247"/>
      <c r="MXF247"/>
      <c r="MXG247"/>
      <c r="MXH247"/>
      <c r="MXI247"/>
      <c r="MXJ247"/>
      <c r="MXK247"/>
      <c r="MXL247"/>
      <c r="MXM247"/>
      <c r="MXN247"/>
      <c r="MXO247"/>
      <c r="MXP247"/>
      <c r="MXQ247"/>
      <c r="MXR247"/>
      <c r="MXS247"/>
      <c r="MXT247"/>
      <c r="MXU247"/>
      <c r="MXV247"/>
      <c r="MXW247"/>
      <c r="MXX247"/>
      <c r="MXY247"/>
      <c r="MXZ247"/>
      <c r="MYA247"/>
      <c r="MYB247"/>
      <c r="MYC247"/>
      <c r="MYD247"/>
      <c r="MYE247"/>
      <c r="MYF247"/>
      <c r="MYG247"/>
      <c r="MYH247"/>
      <c r="MYI247"/>
      <c r="MYJ247"/>
      <c r="MYK247"/>
      <c r="MYL247"/>
      <c r="MYM247"/>
      <c r="MYN247"/>
      <c r="MYO247"/>
      <c r="MYP247"/>
      <c r="MYQ247"/>
      <c r="MYR247"/>
      <c r="MYS247"/>
      <c r="MYT247"/>
      <c r="MYU247"/>
      <c r="MYV247"/>
      <c r="MYW247"/>
      <c r="MYX247"/>
      <c r="MYY247"/>
      <c r="MYZ247"/>
      <c r="MZA247"/>
      <c r="MZB247"/>
      <c r="MZC247"/>
      <c r="MZD247"/>
      <c r="MZE247"/>
      <c r="MZF247"/>
      <c r="MZG247"/>
      <c r="MZH247"/>
      <c r="MZI247"/>
      <c r="MZJ247"/>
      <c r="MZK247"/>
      <c r="MZL247"/>
      <c r="MZM247"/>
      <c r="MZN247"/>
      <c r="MZO247"/>
      <c r="MZP247"/>
      <c r="MZQ247"/>
      <c r="MZR247"/>
      <c r="MZS247"/>
      <c r="MZT247"/>
      <c r="MZU247"/>
      <c r="MZV247"/>
      <c r="MZW247"/>
      <c r="MZX247"/>
      <c r="MZY247"/>
      <c r="MZZ247"/>
      <c r="NAA247"/>
      <c r="NAB247"/>
      <c r="NAC247"/>
      <c r="NAD247"/>
      <c r="NAE247"/>
      <c r="NAF247"/>
      <c r="NAG247"/>
      <c r="NAH247"/>
      <c r="NAI247"/>
      <c r="NAJ247"/>
      <c r="NAK247"/>
      <c r="NAL247"/>
      <c r="NAM247"/>
      <c r="NAN247"/>
      <c r="NAO247"/>
      <c r="NAP247"/>
      <c r="NAQ247"/>
      <c r="NAR247"/>
      <c r="NAS247"/>
      <c r="NAT247"/>
      <c r="NAU247"/>
      <c r="NAV247"/>
      <c r="NAW247"/>
      <c r="NAX247"/>
      <c r="NAY247"/>
      <c r="NAZ247"/>
      <c r="NBA247"/>
      <c r="NBB247"/>
      <c r="NBC247"/>
      <c r="NBD247"/>
      <c r="NBE247"/>
      <c r="NBF247"/>
      <c r="NBG247"/>
      <c r="NBH247"/>
      <c r="NBI247"/>
      <c r="NBJ247"/>
      <c r="NBK247"/>
      <c r="NBL247"/>
      <c r="NBM247"/>
      <c r="NBN247"/>
      <c r="NBO247"/>
      <c r="NBP247"/>
      <c r="NBQ247"/>
      <c r="NBR247"/>
      <c r="NBS247"/>
      <c r="NBT247"/>
      <c r="NBU247"/>
      <c r="NBV247"/>
      <c r="NBW247"/>
      <c r="NBX247"/>
      <c r="NBY247"/>
      <c r="NBZ247"/>
      <c r="NCA247"/>
      <c r="NCB247"/>
      <c r="NCC247"/>
      <c r="NCD247"/>
      <c r="NCE247"/>
      <c r="NCF247"/>
      <c r="NCG247"/>
      <c r="NCH247"/>
      <c r="NCI247"/>
      <c r="NCJ247"/>
      <c r="NCK247"/>
      <c r="NCL247"/>
      <c r="NCM247"/>
      <c r="NCN247"/>
      <c r="NCO247"/>
      <c r="NCP247"/>
      <c r="NCQ247"/>
      <c r="NCR247"/>
      <c r="NCS247"/>
      <c r="NCT247"/>
      <c r="NCU247"/>
      <c r="NCV247"/>
      <c r="NCW247"/>
      <c r="NCX247"/>
      <c r="NCY247"/>
      <c r="NCZ247"/>
      <c r="NDA247"/>
      <c r="NDB247"/>
      <c r="NDC247"/>
      <c r="NDD247"/>
      <c r="NDE247"/>
      <c r="NDF247"/>
      <c r="NDG247"/>
      <c r="NDH247"/>
      <c r="NDI247"/>
      <c r="NDJ247"/>
      <c r="NDK247"/>
      <c r="NDL247"/>
      <c r="NDM247"/>
      <c r="NDN247"/>
      <c r="NDO247"/>
      <c r="NDP247"/>
      <c r="NDQ247"/>
      <c r="NDR247"/>
      <c r="NDS247"/>
      <c r="NDT247"/>
      <c r="NDU247"/>
      <c r="NDV247"/>
      <c r="NDW247"/>
      <c r="NDX247"/>
      <c r="NDY247"/>
      <c r="NDZ247"/>
      <c r="NEA247"/>
      <c r="NEB247"/>
      <c r="NEC247"/>
      <c r="NED247"/>
      <c r="NEE247"/>
      <c r="NEF247"/>
      <c r="NEG247"/>
      <c r="NEH247"/>
      <c r="NEI247"/>
      <c r="NEJ247"/>
      <c r="NEK247"/>
      <c r="NEL247"/>
      <c r="NEM247"/>
      <c r="NEN247"/>
      <c r="NEO247"/>
      <c r="NEP247"/>
      <c r="NEQ247"/>
      <c r="NER247"/>
      <c r="NES247"/>
      <c r="NET247"/>
      <c r="NEU247"/>
      <c r="NEV247"/>
      <c r="NEW247"/>
      <c r="NEX247"/>
      <c r="NEY247"/>
      <c r="NEZ247"/>
      <c r="NFA247"/>
      <c r="NFB247"/>
      <c r="NFC247"/>
      <c r="NFD247"/>
      <c r="NFE247"/>
      <c r="NFF247"/>
      <c r="NFG247"/>
      <c r="NFH247"/>
      <c r="NFI247"/>
      <c r="NFJ247"/>
      <c r="NFK247"/>
      <c r="NFL247"/>
      <c r="NFM247"/>
      <c r="NFN247"/>
      <c r="NFO247"/>
      <c r="NFP247"/>
      <c r="NFQ247"/>
      <c r="NFR247"/>
      <c r="NFS247"/>
      <c r="NFT247"/>
      <c r="NFU247"/>
      <c r="NFV247"/>
      <c r="NFW247"/>
      <c r="NFX247"/>
      <c r="NFY247"/>
      <c r="NFZ247"/>
      <c r="NGA247"/>
      <c r="NGB247"/>
      <c r="NGC247"/>
      <c r="NGD247"/>
      <c r="NGE247"/>
      <c r="NGF247"/>
      <c r="NGG247"/>
      <c r="NGH247"/>
      <c r="NGI247"/>
      <c r="NGJ247"/>
      <c r="NGK247"/>
      <c r="NGL247"/>
      <c r="NGM247"/>
      <c r="NGN247"/>
      <c r="NGO247"/>
      <c r="NGP247"/>
      <c r="NGQ247"/>
      <c r="NGR247"/>
      <c r="NGS247"/>
      <c r="NGT247"/>
      <c r="NGU247"/>
      <c r="NGV247"/>
      <c r="NGW247"/>
      <c r="NGX247"/>
      <c r="NGY247"/>
      <c r="NGZ247"/>
      <c r="NHA247"/>
      <c r="NHB247"/>
      <c r="NHC247"/>
      <c r="NHD247"/>
      <c r="NHE247"/>
      <c r="NHF247"/>
      <c r="NHG247"/>
      <c r="NHH247"/>
      <c r="NHI247"/>
      <c r="NHJ247"/>
      <c r="NHK247"/>
      <c r="NHL247"/>
      <c r="NHM247"/>
      <c r="NHN247"/>
      <c r="NHO247"/>
      <c r="NHP247"/>
      <c r="NHQ247"/>
      <c r="NHR247"/>
      <c r="NHS247"/>
      <c r="NHT247"/>
      <c r="NHU247"/>
      <c r="NHV247"/>
      <c r="NHW247"/>
      <c r="NHX247"/>
      <c r="NHY247"/>
      <c r="NHZ247"/>
      <c r="NIA247"/>
      <c r="NIB247"/>
      <c r="NIC247"/>
      <c r="NID247"/>
      <c r="NIE247"/>
      <c r="NIF247"/>
      <c r="NIG247"/>
      <c r="NIH247"/>
      <c r="NII247"/>
      <c r="NIJ247"/>
      <c r="NIK247"/>
      <c r="NIL247"/>
      <c r="NIM247"/>
      <c r="NIN247"/>
      <c r="NIO247"/>
      <c r="NIP247"/>
      <c r="NIQ247"/>
      <c r="NIR247"/>
      <c r="NIS247"/>
      <c r="NIT247"/>
      <c r="NIU247"/>
      <c r="NIV247"/>
      <c r="NIW247"/>
      <c r="NIX247"/>
      <c r="NIY247"/>
      <c r="NIZ247"/>
      <c r="NJA247"/>
      <c r="NJB247"/>
      <c r="NJC247"/>
      <c r="NJD247"/>
      <c r="NJE247"/>
      <c r="NJF247"/>
      <c r="NJG247"/>
      <c r="NJH247"/>
      <c r="NJI247"/>
      <c r="NJJ247"/>
      <c r="NJK247"/>
      <c r="NJL247"/>
      <c r="NJM247"/>
      <c r="NJN247"/>
      <c r="NJO247"/>
      <c r="NJP247"/>
      <c r="NJQ247"/>
      <c r="NJR247"/>
      <c r="NJS247"/>
      <c r="NJT247"/>
      <c r="NJU247"/>
      <c r="NJV247"/>
      <c r="NJW247"/>
      <c r="NJX247"/>
      <c r="NJY247"/>
      <c r="NJZ247"/>
      <c r="NKA247"/>
      <c r="NKB247"/>
      <c r="NKC247"/>
      <c r="NKD247"/>
      <c r="NKE247"/>
      <c r="NKF247"/>
      <c r="NKG247"/>
      <c r="NKH247"/>
      <c r="NKI247"/>
      <c r="NKJ247"/>
      <c r="NKK247"/>
      <c r="NKL247"/>
      <c r="NKM247"/>
      <c r="NKN247"/>
      <c r="NKO247"/>
      <c r="NKP247"/>
      <c r="NKQ247"/>
      <c r="NKR247"/>
      <c r="NKS247"/>
      <c r="NKT247"/>
      <c r="NKU247"/>
      <c r="NKV247"/>
      <c r="NKW247"/>
      <c r="NKX247"/>
      <c r="NKY247"/>
      <c r="NKZ247"/>
      <c r="NLA247"/>
      <c r="NLB247"/>
      <c r="NLC247"/>
      <c r="NLD247"/>
      <c r="NLE247"/>
      <c r="NLF247"/>
      <c r="NLG247"/>
      <c r="NLH247"/>
      <c r="NLI247"/>
      <c r="NLJ247"/>
      <c r="NLK247"/>
      <c r="NLL247"/>
      <c r="NLM247"/>
      <c r="NLN247"/>
      <c r="NLO247"/>
      <c r="NLP247"/>
      <c r="NLQ247"/>
      <c r="NLR247"/>
      <c r="NLS247"/>
      <c r="NLT247"/>
      <c r="NLU247"/>
      <c r="NLV247"/>
      <c r="NLW247"/>
      <c r="NLX247"/>
      <c r="NLY247"/>
      <c r="NLZ247"/>
      <c r="NMA247"/>
      <c r="NMB247"/>
      <c r="NMC247"/>
      <c r="NMD247"/>
      <c r="NME247"/>
      <c r="NMF247"/>
      <c r="NMG247"/>
      <c r="NMH247"/>
      <c r="NMI247"/>
      <c r="NMJ247"/>
      <c r="NMK247"/>
      <c r="NML247"/>
      <c r="NMM247"/>
      <c r="NMN247"/>
      <c r="NMO247"/>
      <c r="NMP247"/>
      <c r="NMQ247"/>
      <c r="NMR247"/>
      <c r="NMS247"/>
      <c r="NMT247"/>
      <c r="NMU247"/>
      <c r="NMV247"/>
      <c r="NMW247"/>
      <c r="NMX247"/>
      <c r="NMY247"/>
      <c r="NMZ247"/>
      <c r="NNA247"/>
      <c r="NNB247"/>
      <c r="NNC247"/>
      <c r="NND247"/>
      <c r="NNE247"/>
      <c r="NNF247"/>
      <c r="NNG247"/>
      <c r="NNH247"/>
      <c r="NNI247"/>
      <c r="NNJ247"/>
      <c r="NNK247"/>
      <c r="NNL247"/>
      <c r="NNM247"/>
      <c r="NNN247"/>
      <c r="NNO247"/>
      <c r="NNP247"/>
      <c r="NNQ247"/>
      <c r="NNR247"/>
      <c r="NNS247"/>
      <c r="NNT247"/>
      <c r="NNU247"/>
      <c r="NNV247"/>
      <c r="NNW247"/>
      <c r="NNX247"/>
      <c r="NNY247"/>
      <c r="NNZ247"/>
      <c r="NOA247"/>
      <c r="NOB247"/>
      <c r="NOC247"/>
      <c r="NOD247"/>
      <c r="NOE247"/>
      <c r="NOF247"/>
      <c r="NOG247"/>
      <c r="NOH247"/>
      <c r="NOI247"/>
      <c r="NOJ247"/>
      <c r="NOK247"/>
      <c r="NOL247"/>
      <c r="NOM247"/>
      <c r="NON247"/>
      <c r="NOO247"/>
      <c r="NOP247"/>
      <c r="NOQ247"/>
      <c r="NOR247"/>
      <c r="NOS247"/>
      <c r="NOT247"/>
      <c r="NOU247"/>
      <c r="NOV247"/>
      <c r="NOW247"/>
      <c r="NOX247"/>
      <c r="NOY247"/>
      <c r="NOZ247"/>
      <c r="NPA247"/>
      <c r="NPB247"/>
      <c r="NPC247"/>
      <c r="NPD247"/>
      <c r="NPE247"/>
      <c r="NPF247"/>
      <c r="NPG247"/>
      <c r="NPH247"/>
      <c r="NPI247"/>
      <c r="NPJ247"/>
      <c r="NPK247"/>
      <c r="NPL247"/>
      <c r="NPM247"/>
      <c r="NPN247"/>
      <c r="NPO247"/>
      <c r="NPP247"/>
      <c r="NPQ247"/>
      <c r="NPR247"/>
      <c r="NPS247"/>
      <c r="NPT247"/>
      <c r="NPU247"/>
      <c r="NPV247"/>
      <c r="NPW247"/>
      <c r="NPX247"/>
      <c r="NPY247"/>
      <c r="NPZ247"/>
      <c r="NQA247"/>
      <c r="NQB247"/>
      <c r="NQC247"/>
      <c r="NQD247"/>
      <c r="NQE247"/>
      <c r="NQF247"/>
      <c r="NQG247"/>
      <c r="NQH247"/>
      <c r="NQI247"/>
      <c r="NQJ247"/>
      <c r="NQK247"/>
      <c r="NQL247"/>
      <c r="NQM247"/>
      <c r="NQN247"/>
      <c r="NQO247"/>
      <c r="NQP247"/>
      <c r="NQQ247"/>
      <c r="NQR247"/>
      <c r="NQS247"/>
      <c r="NQT247"/>
      <c r="NQU247"/>
      <c r="NQV247"/>
      <c r="NQW247"/>
      <c r="NQX247"/>
      <c r="NQY247"/>
      <c r="NQZ247"/>
      <c r="NRA247"/>
      <c r="NRB247"/>
      <c r="NRC247"/>
      <c r="NRD247"/>
      <c r="NRE247"/>
      <c r="NRF247"/>
      <c r="NRG247"/>
      <c r="NRH247"/>
      <c r="NRI247"/>
      <c r="NRJ247"/>
      <c r="NRK247"/>
      <c r="NRL247"/>
      <c r="NRM247"/>
      <c r="NRN247"/>
      <c r="NRO247"/>
      <c r="NRP247"/>
      <c r="NRQ247"/>
      <c r="NRR247"/>
      <c r="NRS247"/>
      <c r="NRT247"/>
      <c r="NRU247"/>
      <c r="NRV247"/>
      <c r="NRW247"/>
      <c r="NRX247"/>
      <c r="NRY247"/>
      <c r="NRZ247"/>
      <c r="NSA247"/>
      <c r="NSB247"/>
      <c r="NSC247"/>
      <c r="NSD247"/>
      <c r="NSE247"/>
      <c r="NSF247"/>
      <c r="NSG247"/>
      <c r="NSH247"/>
      <c r="NSI247"/>
      <c r="NSJ247"/>
      <c r="NSK247"/>
      <c r="NSL247"/>
      <c r="NSM247"/>
      <c r="NSN247"/>
      <c r="NSO247"/>
      <c r="NSP247"/>
      <c r="NSQ247"/>
      <c r="NSR247"/>
      <c r="NSS247"/>
      <c r="NST247"/>
      <c r="NSU247"/>
      <c r="NSV247"/>
      <c r="NSW247"/>
      <c r="NSX247"/>
      <c r="NSY247"/>
      <c r="NSZ247"/>
      <c r="NTA247"/>
      <c r="NTB247"/>
      <c r="NTC247"/>
      <c r="NTD247"/>
      <c r="NTE247"/>
      <c r="NTF247"/>
      <c r="NTG247"/>
      <c r="NTH247"/>
      <c r="NTI247"/>
      <c r="NTJ247"/>
      <c r="NTK247"/>
      <c r="NTL247"/>
      <c r="NTM247"/>
      <c r="NTN247"/>
      <c r="NTO247"/>
      <c r="NTP247"/>
      <c r="NTQ247"/>
      <c r="NTR247"/>
      <c r="NTS247"/>
      <c r="NTT247"/>
      <c r="NTU247"/>
      <c r="NTV247"/>
      <c r="NTW247"/>
      <c r="NTX247"/>
      <c r="NTY247"/>
      <c r="NTZ247"/>
      <c r="NUA247"/>
      <c r="NUB247"/>
      <c r="NUC247"/>
      <c r="NUD247"/>
      <c r="NUE247"/>
      <c r="NUF247"/>
      <c r="NUG247"/>
      <c r="NUH247"/>
      <c r="NUI247"/>
      <c r="NUJ247"/>
      <c r="NUK247"/>
      <c r="NUL247"/>
      <c r="NUM247"/>
      <c r="NUN247"/>
      <c r="NUO247"/>
      <c r="NUP247"/>
      <c r="NUQ247"/>
      <c r="NUR247"/>
      <c r="NUS247"/>
      <c r="NUT247"/>
      <c r="NUU247"/>
      <c r="NUV247"/>
      <c r="NUW247"/>
      <c r="NUX247"/>
      <c r="NUY247"/>
      <c r="NUZ247"/>
      <c r="NVA247"/>
      <c r="NVB247"/>
      <c r="NVC247"/>
      <c r="NVD247"/>
      <c r="NVE247"/>
      <c r="NVF247"/>
      <c r="NVG247"/>
      <c r="NVH247"/>
      <c r="NVI247"/>
      <c r="NVJ247"/>
      <c r="NVK247"/>
      <c r="NVL247"/>
      <c r="NVM247"/>
      <c r="NVN247"/>
      <c r="NVO247"/>
      <c r="NVP247"/>
      <c r="NVQ247"/>
      <c r="NVR247"/>
      <c r="NVS247"/>
      <c r="NVT247"/>
      <c r="NVU247"/>
      <c r="NVV247"/>
      <c r="NVW247"/>
      <c r="NVX247"/>
      <c r="NVY247"/>
      <c r="NVZ247"/>
      <c r="NWA247"/>
      <c r="NWB247"/>
      <c r="NWC247"/>
      <c r="NWD247"/>
      <c r="NWE247"/>
      <c r="NWF247"/>
      <c r="NWG247"/>
      <c r="NWH247"/>
      <c r="NWI247"/>
      <c r="NWJ247"/>
      <c r="NWK247"/>
      <c r="NWL247"/>
      <c r="NWM247"/>
      <c r="NWN247"/>
      <c r="NWO247"/>
      <c r="NWP247"/>
      <c r="NWQ247"/>
      <c r="NWR247"/>
      <c r="NWS247"/>
      <c r="NWT247"/>
      <c r="NWU247"/>
      <c r="NWV247"/>
      <c r="NWW247"/>
      <c r="NWX247"/>
      <c r="NWY247"/>
      <c r="NWZ247"/>
      <c r="NXA247"/>
      <c r="NXB247"/>
      <c r="NXC247"/>
      <c r="NXD247"/>
      <c r="NXE247"/>
      <c r="NXF247"/>
      <c r="NXG247"/>
      <c r="NXH247"/>
      <c r="NXI247"/>
      <c r="NXJ247"/>
      <c r="NXK247"/>
      <c r="NXL247"/>
      <c r="NXM247"/>
      <c r="NXN247"/>
      <c r="NXO247"/>
      <c r="NXP247"/>
      <c r="NXQ247"/>
      <c r="NXR247"/>
      <c r="NXS247"/>
      <c r="NXT247"/>
      <c r="NXU247"/>
      <c r="NXV247"/>
      <c r="NXW247"/>
      <c r="NXX247"/>
      <c r="NXY247"/>
      <c r="NXZ247"/>
      <c r="NYA247"/>
      <c r="NYB247"/>
      <c r="NYC247"/>
      <c r="NYD247"/>
      <c r="NYE247"/>
      <c r="NYF247"/>
      <c r="NYG247"/>
      <c r="NYH247"/>
      <c r="NYI247"/>
      <c r="NYJ247"/>
      <c r="NYK247"/>
      <c r="NYL247"/>
      <c r="NYM247"/>
      <c r="NYN247"/>
      <c r="NYO247"/>
      <c r="NYP247"/>
      <c r="NYQ247"/>
      <c r="NYR247"/>
      <c r="NYS247"/>
      <c r="NYT247"/>
      <c r="NYU247"/>
      <c r="NYV247"/>
      <c r="NYW247"/>
      <c r="NYX247"/>
      <c r="NYY247"/>
      <c r="NYZ247"/>
      <c r="NZA247"/>
      <c r="NZB247"/>
      <c r="NZC247"/>
      <c r="NZD247"/>
      <c r="NZE247"/>
      <c r="NZF247"/>
      <c r="NZG247"/>
      <c r="NZH247"/>
      <c r="NZI247"/>
      <c r="NZJ247"/>
      <c r="NZK247"/>
      <c r="NZL247"/>
      <c r="NZM247"/>
      <c r="NZN247"/>
      <c r="NZO247"/>
      <c r="NZP247"/>
      <c r="NZQ247"/>
      <c r="NZR247"/>
      <c r="NZS247"/>
      <c r="NZT247"/>
      <c r="NZU247"/>
      <c r="NZV247"/>
      <c r="NZW247"/>
      <c r="NZX247"/>
      <c r="NZY247"/>
      <c r="NZZ247"/>
      <c r="OAA247"/>
      <c r="OAB247"/>
      <c r="OAC247"/>
      <c r="OAD247"/>
      <c r="OAE247"/>
      <c r="OAF247"/>
      <c r="OAG247"/>
      <c r="OAH247"/>
      <c r="OAI247"/>
      <c r="OAJ247"/>
      <c r="OAK247"/>
      <c r="OAL247"/>
      <c r="OAM247"/>
      <c r="OAN247"/>
      <c r="OAO247"/>
      <c r="OAP247"/>
      <c r="OAQ247"/>
      <c r="OAR247"/>
      <c r="OAS247"/>
      <c r="OAT247"/>
      <c r="OAU247"/>
      <c r="OAV247"/>
      <c r="OAW247"/>
      <c r="OAX247"/>
      <c r="OAY247"/>
      <c r="OAZ247"/>
      <c r="OBA247"/>
      <c r="OBB247"/>
      <c r="OBC247"/>
      <c r="OBD247"/>
      <c r="OBE247"/>
      <c r="OBF247"/>
      <c r="OBG247"/>
      <c r="OBH247"/>
      <c r="OBI247"/>
      <c r="OBJ247"/>
      <c r="OBK247"/>
      <c r="OBL247"/>
      <c r="OBM247"/>
      <c r="OBN247"/>
      <c r="OBO247"/>
      <c r="OBP247"/>
      <c r="OBQ247"/>
      <c r="OBR247"/>
      <c r="OBS247"/>
      <c r="OBT247"/>
      <c r="OBU247"/>
      <c r="OBV247"/>
      <c r="OBW247"/>
      <c r="OBX247"/>
      <c r="OBY247"/>
      <c r="OBZ247"/>
      <c r="OCA247"/>
      <c r="OCB247"/>
      <c r="OCC247"/>
      <c r="OCD247"/>
      <c r="OCE247"/>
      <c r="OCF247"/>
      <c r="OCG247"/>
      <c r="OCH247"/>
      <c r="OCI247"/>
      <c r="OCJ247"/>
      <c r="OCK247"/>
      <c r="OCL247"/>
      <c r="OCM247"/>
      <c r="OCN247"/>
      <c r="OCO247"/>
      <c r="OCP247"/>
      <c r="OCQ247"/>
      <c r="OCR247"/>
      <c r="OCS247"/>
      <c r="OCT247"/>
      <c r="OCU247"/>
      <c r="OCV247"/>
      <c r="OCW247"/>
      <c r="OCX247"/>
      <c r="OCY247"/>
      <c r="OCZ247"/>
      <c r="ODA247"/>
      <c r="ODB247"/>
      <c r="ODC247"/>
      <c r="ODD247"/>
      <c r="ODE247"/>
      <c r="ODF247"/>
      <c r="ODG247"/>
      <c r="ODH247"/>
      <c r="ODI247"/>
      <c r="ODJ247"/>
      <c r="ODK247"/>
      <c r="ODL247"/>
      <c r="ODM247"/>
      <c r="ODN247"/>
      <c r="ODO247"/>
      <c r="ODP247"/>
      <c r="ODQ247"/>
      <c r="ODR247"/>
      <c r="ODS247"/>
      <c r="ODT247"/>
      <c r="ODU247"/>
      <c r="ODV247"/>
      <c r="ODW247"/>
      <c r="ODX247"/>
      <c r="ODY247"/>
      <c r="ODZ247"/>
      <c r="OEA247"/>
      <c r="OEB247"/>
      <c r="OEC247"/>
      <c r="OED247"/>
      <c r="OEE247"/>
      <c r="OEF247"/>
      <c r="OEG247"/>
      <c r="OEH247"/>
      <c r="OEI247"/>
      <c r="OEJ247"/>
      <c r="OEK247"/>
      <c r="OEL247"/>
      <c r="OEM247"/>
      <c r="OEN247"/>
      <c r="OEO247"/>
      <c r="OEP247"/>
      <c r="OEQ247"/>
      <c r="OER247"/>
      <c r="OES247"/>
      <c r="OET247"/>
      <c r="OEU247"/>
      <c r="OEV247"/>
      <c r="OEW247"/>
      <c r="OEX247"/>
      <c r="OEY247"/>
      <c r="OEZ247"/>
      <c r="OFA247"/>
      <c r="OFB247"/>
      <c r="OFC247"/>
      <c r="OFD247"/>
      <c r="OFE247"/>
      <c r="OFF247"/>
      <c r="OFG247"/>
      <c r="OFH247"/>
      <c r="OFI247"/>
      <c r="OFJ247"/>
      <c r="OFK247"/>
      <c r="OFL247"/>
      <c r="OFM247"/>
      <c r="OFN247"/>
      <c r="OFO247"/>
      <c r="OFP247"/>
      <c r="OFQ247"/>
      <c r="OFR247"/>
      <c r="OFS247"/>
      <c r="OFT247"/>
      <c r="OFU247"/>
      <c r="OFV247"/>
      <c r="OFW247"/>
      <c r="OFX247"/>
      <c r="OFY247"/>
      <c r="OFZ247"/>
      <c r="OGA247"/>
      <c r="OGB247"/>
      <c r="OGC247"/>
      <c r="OGD247"/>
      <c r="OGE247"/>
      <c r="OGF247"/>
      <c r="OGG247"/>
      <c r="OGH247"/>
      <c r="OGI247"/>
      <c r="OGJ247"/>
      <c r="OGK247"/>
      <c r="OGL247"/>
      <c r="OGM247"/>
      <c r="OGN247"/>
      <c r="OGO247"/>
      <c r="OGP247"/>
      <c r="OGQ247"/>
      <c r="OGR247"/>
      <c r="OGS247"/>
      <c r="OGT247"/>
      <c r="OGU247"/>
      <c r="OGV247"/>
      <c r="OGW247"/>
      <c r="OGX247"/>
      <c r="OGY247"/>
      <c r="OGZ247"/>
      <c r="OHA247"/>
      <c r="OHB247"/>
      <c r="OHC247"/>
      <c r="OHD247"/>
      <c r="OHE247"/>
      <c r="OHF247"/>
      <c r="OHG247"/>
      <c r="OHH247"/>
      <c r="OHI247"/>
      <c r="OHJ247"/>
      <c r="OHK247"/>
      <c r="OHL247"/>
      <c r="OHM247"/>
      <c r="OHN247"/>
      <c r="OHO247"/>
      <c r="OHP247"/>
      <c r="OHQ247"/>
      <c r="OHR247"/>
      <c r="OHS247"/>
      <c r="OHT247"/>
      <c r="OHU247"/>
      <c r="OHV247"/>
      <c r="OHW247"/>
      <c r="OHX247"/>
      <c r="OHY247"/>
      <c r="OHZ247"/>
      <c r="OIA247"/>
      <c r="OIB247"/>
      <c r="OIC247"/>
      <c r="OID247"/>
      <c r="OIE247"/>
      <c r="OIF247"/>
      <c r="OIG247"/>
      <c r="OIH247"/>
      <c r="OII247"/>
      <c r="OIJ247"/>
      <c r="OIK247"/>
      <c r="OIL247"/>
      <c r="OIM247"/>
      <c r="OIN247"/>
      <c r="OIO247"/>
      <c r="OIP247"/>
      <c r="OIQ247"/>
      <c r="OIR247"/>
      <c r="OIS247"/>
      <c r="OIT247"/>
      <c r="OIU247"/>
      <c r="OIV247"/>
      <c r="OIW247"/>
      <c r="OIX247"/>
      <c r="OIY247"/>
      <c r="OIZ247"/>
      <c r="OJA247"/>
      <c r="OJB247"/>
      <c r="OJC247"/>
      <c r="OJD247"/>
      <c r="OJE247"/>
      <c r="OJF247"/>
      <c r="OJG247"/>
      <c r="OJH247"/>
      <c r="OJI247"/>
      <c r="OJJ247"/>
      <c r="OJK247"/>
      <c r="OJL247"/>
      <c r="OJM247"/>
      <c r="OJN247"/>
      <c r="OJO247"/>
      <c r="OJP247"/>
      <c r="OJQ247"/>
      <c r="OJR247"/>
      <c r="OJS247"/>
      <c r="OJT247"/>
      <c r="OJU247"/>
      <c r="OJV247"/>
      <c r="OJW247"/>
      <c r="OJX247"/>
      <c r="OJY247"/>
      <c r="OJZ247"/>
      <c r="OKA247"/>
      <c r="OKB247"/>
      <c r="OKC247"/>
      <c r="OKD247"/>
      <c r="OKE247"/>
      <c r="OKF247"/>
      <c r="OKG247"/>
      <c r="OKH247"/>
      <c r="OKI247"/>
      <c r="OKJ247"/>
      <c r="OKK247"/>
      <c r="OKL247"/>
      <c r="OKM247"/>
      <c r="OKN247"/>
      <c r="OKO247"/>
      <c r="OKP247"/>
      <c r="OKQ247"/>
      <c r="OKR247"/>
      <c r="OKS247"/>
      <c r="OKT247"/>
      <c r="OKU247"/>
      <c r="OKV247"/>
      <c r="OKW247"/>
      <c r="OKX247"/>
      <c r="OKY247"/>
      <c r="OKZ247"/>
      <c r="OLA247"/>
      <c r="OLB247"/>
      <c r="OLC247"/>
      <c r="OLD247"/>
      <c r="OLE247"/>
      <c r="OLF247"/>
      <c r="OLG247"/>
      <c r="OLH247"/>
      <c r="OLI247"/>
      <c r="OLJ247"/>
      <c r="OLK247"/>
      <c r="OLL247"/>
      <c r="OLM247"/>
      <c r="OLN247"/>
      <c r="OLO247"/>
      <c r="OLP247"/>
      <c r="OLQ247"/>
      <c r="OLR247"/>
      <c r="OLS247"/>
      <c r="OLT247"/>
      <c r="OLU247"/>
      <c r="OLV247"/>
      <c r="OLW247"/>
      <c r="OLX247"/>
      <c r="OLY247"/>
      <c r="OLZ247"/>
      <c r="OMA247"/>
      <c r="OMB247"/>
      <c r="OMC247"/>
      <c r="OMD247"/>
      <c r="OME247"/>
      <c r="OMF247"/>
      <c r="OMG247"/>
      <c r="OMH247"/>
      <c r="OMI247"/>
      <c r="OMJ247"/>
      <c r="OMK247"/>
      <c r="OML247"/>
      <c r="OMM247"/>
      <c r="OMN247"/>
      <c r="OMO247"/>
      <c r="OMP247"/>
      <c r="OMQ247"/>
      <c r="OMR247"/>
      <c r="OMS247"/>
      <c r="OMT247"/>
      <c r="OMU247"/>
      <c r="OMV247"/>
      <c r="OMW247"/>
      <c r="OMX247"/>
      <c r="OMY247"/>
      <c r="OMZ247"/>
      <c r="ONA247"/>
      <c r="ONB247"/>
      <c r="ONC247"/>
      <c r="OND247"/>
      <c r="ONE247"/>
      <c r="ONF247"/>
      <c r="ONG247"/>
      <c r="ONH247"/>
      <c r="ONI247"/>
      <c r="ONJ247"/>
      <c r="ONK247"/>
      <c r="ONL247"/>
      <c r="ONM247"/>
      <c r="ONN247"/>
      <c r="ONO247"/>
      <c r="ONP247"/>
      <c r="ONQ247"/>
      <c r="ONR247"/>
      <c r="ONS247"/>
      <c r="ONT247"/>
      <c r="ONU247"/>
      <c r="ONV247"/>
      <c r="ONW247"/>
      <c r="ONX247"/>
      <c r="ONY247"/>
      <c r="ONZ247"/>
      <c r="OOA247"/>
      <c r="OOB247"/>
      <c r="OOC247"/>
      <c r="OOD247"/>
      <c r="OOE247"/>
      <c r="OOF247"/>
      <c r="OOG247"/>
      <c r="OOH247"/>
      <c r="OOI247"/>
      <c r="OOJ247"/>
      <c r="OOK247"/>
      <c r="OOL247"/>
      <c r="OOM247"/>
      <c r="OON247"/>
      <c r="OOO247"/>
      <c r="OOP247"/>
      <c r="OOQ247"/>
      <c r="OOR247"/>
      <c r="OOS247"/>
      <c r="OOT247"/>
      <c r="OOU247"/>
      <c r="OOV247"/>
      <c r="OOW247"/>
      <c r="OOX247"/>
      <c r="OOY247"/>
      <c r="OOZ247"/>
      <c r="OPA247"/>
      <c r="OPB247"/>
      <c r="OPC247"/>
      <c r="OPD247"/>
      <c r="OPE247"/>
      <c r="OPF247"/>
      <c r="OPG247"/>
      <c r="OPH247"/>
      <c r="OPI247"/>
      <c r="OPJ247"/>
      <c r="OPK247"/>
      <c r="OPL247"/>
      <c r="OPM247"/>
      <c r="OPN247"/>
      <c r="OPO247"/>
      <c r="OPP247"/>
      <c r="OPQ247"/>
      <c r="OPR247"/>
      <c r="OPS247"/>
      <c r="OPT247"/>
      <c r="OPU247"/>
      <c r="OPV247"/>
      <c r="OPW247"/>
      <c r="OPX247"/>
      <c r="OPY247"/>
      <c r="OPZ247"/>
      <c r="OQA247"/>
      <c r="OQB247"/>
      <c r="OQC247"/>
      <c r="OQD247"/>
      <c r="OQE247"/>
      <c r="OQF247"/>
      <c r="OQG247"/>
      <c r="OQH247"/>
      <c r="OQI247"/>
      <c r="OQJ247"/>
      <c r="OQK247"/>
      <c r="OQL247"/>
      <c r="OQM247"/>
      <c r="OQN247"/>
      <c r="OQO247"/>
      <c r="OQP247"/>
      <c r="OQQ247"/>
      <c r="OQR247"/>
      <c r="OQS247"/>
      <c r="OQT247"/>
      <c r="OQU247"/>
      <c r="OQV247"/>
      <c r="OQW247"/>
      <c r="OQX247"/>
      <c r="OQY247"/>
      <c r="OQZ247"/>
      <c r="ORA247"/>
      <c r="ORB247"/>
      <c r="ORC247"/>
      <c r="ORD247"/>
      <c r="ORE247"/>
      <c r="ORF247"/>
      <c r="ORG247"/>
      <c r="ORH247"/>
      <c r="ORI247"/>
      <c r="ORJ247"/>
      <c r="ORK247"/>
      <c r="ORL247"/>
      <c r="ORM247"/>
      <c r="ORN247"/>
      <c r="ORO247"/>
      <c r="ORP247"/>
      <c r="ORQ247"/>
      <c r="ORR247"/>
      <c r="ORS247"/>
      <c r="ORT247"/>
      <c r="ORU247"/>
      <c r="ORV247"/>
      <c r="ORW247"/>
      <c r="ORX247"/>
      <c r="ORY247"/>
      <c r="ORZ247"/>
      <c r="OSA247"/>
      <c r="OSB247"/>
      <c r="OSC247"/>
      <c r="OSD247"/>
      <c r="OSE247"/>
      <c r="OSF247"/>
      <c r="OSG247"/>
      <c r="OSH247"/>
      <c r="OSI247"/>
      <c r="OSJ247"/>
      <c r="OSK247"/>
      <c r="OSL247"/>
      <c r="OSM247"/>
      <c r="OSN247"/>
      <c r="OSO247"/>
      <c r="OSP247"/>
      <c r="OSQ247"/>
      <c r="OSR247"/>
      <c r="OSS247"/>
      <c r="OST247"/>
      <c r="OSU247"/>
      <c r="OSV247"/>
      <c r="OSW247"/>
      <c r="OSX247"/>
      <c r="OSY247"/>
      <c r="OSZ247"/>
      <c r="OTA247"/>
      <c r="OTB247"/>
      <c r="OTC247"/>
      <c r="OTD247"/>
      <c r="OTE247"/>
      <c r="OTF247"/>
      <c r="OTG247"/>
      <c r="OTH247"/>
      <c r="OTI247"/>
      <c r="OTJ247"/>
      <c r="OTK247"/>
      <c r="OTL247"/>
      <c r="OTM247"/>
      <c r="OTN247"/>
      <c r="OTO247"/>
      <c r="OTP247"/>
      <c r="OTQ247"/>
      <c r="OTR247"/>
      <c r="OTS247"/>
      <c r="OTT247"/>
      <c r="OTU247"/>
      <c r="OTV247"/>
      <c r="OTW247"/>
      <c r="OTX247"/>
      <c r="OTY247"/>
      <c r="OTZ247"/>
      <c r="OUA247"/>
      <c r="OUB247"/>
      <c r="OUC247"/>
      <c r="OUD247"/>
      <c r="OUE247"/>
      <c r="OUF247"/>
      <c r="OUG247"/>
      <c r="OUH247"/>
      <c r="OUI247"/>
      <c r="OUJ247"/>
      <c r="OUK247"/>
      <c r="OUL247"/>
      <c r="OUM247"/>
      <c r="OUN247"/>
      <c r="OUO247"/>
      <c r="OUP247"/>
      <c r="OUQ247"/>
      <c r="OUR247"/>
      <c r="OUS247"/>
      <c r="OUT247"/>
      <c r="OUU247"/>
      <c r="OUV247"/>
      <c r="OUW247"/>
      <c r="OUX247"/>
      <c r="OUY247"/>
      <c r="OUZ247"/>
      <c r="OVA247"/>
      <c r="OVB247"/>
      <c r="OVC247"/>
      <c r="OVD247"/>
      <c r="OVE247"/>
      <c r="OVF247"/>
      <c r="OVG247"/>
      <c r="OVH247"/>
      <c r="OVI247"/>
      <c r="OVJ247"/>
      <c r="OVK247"/>
      <c r="OVL247"/>
      <c r="OVM247"/>
      <c r="OVN247"/>
      <c r="OVO247"/>
      <c r="OVP247"/>
      <c r="OVQ247"/>
      <c r="OVR247"/>
      <c r="OVS247"/>
      <c r="OVT247"/>
      <c r="OVU247"/>
      <c r="OVV247"/>
      <c r="OVW247"/>
      <c r="OVX247"/>
      <c r="OVY247"/>
      <c r="OVZ247"/>
      <c r="OWA247"/>
      <c r="OWB247"/>
      <c r="OWC247"/>
      <c r="OWD247"/>
      <c r="OWE247"/>
      <c r="OWF247"/>
      <c r="OWG247"/>
      <c r="OWH247"/>
      <c r="OWI247"/>
      <c r="OWJ247"/>
      <c r="OWK247"/>
      <c r="OWL247"/>
      <c r="OWM247"/>
      <c r="OWN247"/>
      <c r="OWO247"/>
      <c r="OWP247"/>
      <c r="OWQ247"/>
      <c r="OWR247"/>
      <c r="OWS247"/>
      <c r="OWT247"/>
      <c r="OWU247"/>
      <c r="OWV247"/>
      <c r="OWW247"/>
      <c r="OWX247"/>
      <c r="OWY247"/>
      <c r="OWZ247"/>
      <c r="OXA247"/>
      <c r="OXB247"/>
      <c r="OXC247"/>
      <c r="OXD247"/>
      <c r="OXE247"/>
      <c r="OXF247"/>
      <c r="OXG247"/>
      <c r="OXH247"/>
      <c r="OXI247"/>
      <c r="OXJ247"/>
      <c r="OXK247"/>
      <c r="OXL247"/>
      <c r="OXM247"/>
      <c r="OXN247"/>
      <c r="OXO247"/>
      <c r="OXP247"/>
      <c r="OXQ247"/>
      <c r="OXR247"/>
      <c r="OXS247"/>
      <c r="OXT247"/>
      <c r="OXU247"/>
      <c r="OXV247"/>
      <c r="OXW247"/>
      <c r="OXX247"/>
      <c r="OXY247"/>
      <c r="OXZ247"/>
      <c r="OYA247"/>
      <c r="OYB247"/>
      <c r="OYC247"/>
      <c r="OYD247"/>
      <c r="OYE247"/>
      <c r="OYF247"/>
      <c r="OYG247"/>
      <c r="OYH247"/>
      <c r="OYI247"/>
      <c r="OYJ247"/>
      <c r="OYK247"/>
      <c r="OYL247"/>
      <c r="OYM247"/>
      <c r="OYN247"/>
      <c r="OYO247"/>
      <c r="OYP247"/>
      <c r="OYQ247"/>
      <c r="OYR247"/>
      <c r="OYS247"/>
      <c r="OYT247"/>
      <c r="OYU247"/>
      <c r="OYV247"/>
      <c r="OYW247"/>
      <c r="OYX247"/>
      <c r="OYY247"/>
      <c r="OYZ247"/>
      <c r="OZA247"/>
      <c r="OZB247"/>
      <c r="OZC247"/>
      <c r="OZD247"/>
      <c r="OZE247"/>
      <c r="OZF247"/>
      <c r="OZG247"/>
      <c r="OZH247"/>
      <c r="OZI247"/>
      <c r="OZJ247"/>
      <c r="OZK247"/>
      <c r="OZL247"/>
      <c r="OZM247"/>
      <c r="OZN247"/>
      <c r="OZO247"/>
      <c r="OZP247"/>
      <c r="OZQ247"/>
      <c r="OZR247"/>
      <c r="OZS247"/>
      <c r="OZT247"/>
      <c r="OZU247"/>
      <c r="OZV247"/>
      <c r="OZW247"/>
      <c r="OZX247"/>
      <c r="OZY247"/>
      <c r="OZZ247"/>
      <c r="PAA247"/>
      <c r="PAB247"/>
      <c r="PAC247"/>
      <c r="PAD247"/>
      <c r="PAE247"/>
      <c r="PAF247"/>
      <c r="PAG247"/>
      <c r="PAH247"/>
      <c r="PAI247"/>
      <c r="PAJ247"/>
      <c r="PAK247"/>
      <c r="PAL247"/>
      <c r="PAM247"/>
      <c r="PAN247"/>
      <c r="PAO247"/>
      <c r="PAP247"/>
      <c r="PAQ247"/>
      <c r="PAR247"/>
      <c r="PAS247"/>
      <c r="PAT247"/>
      <c r="PAU247"/>
      <c r="PAV247"/>
      <c r="PAW247"/>
      <c r="PAX247"/>
      <c r="PAY247"/>
      <c r="PAZ247"/>
      <c r="PBA247"/>
      <c r="PBB247"/>
      <c r="PBC247"/>
      <c r="PBD247"/>
      <c r="PBE247"/>
      <c r="PBF247"/>
      <c r="PBG247"/>
      <c r="PBH247"/>
      <c r="PBI247"/>
      <c r="PBJ247"/>
      <c r="PBK247"/>
      <c r="PBL247"/>
      <c r="PBM247"/>
      <c r="PBN247"/>
      <c r="PBO247"/>
      <c r="PBP247"/>
      <c r="PBQ247"/>
      <c r="PBR247"/>
      <c r="PBS247"/>
      <c r="PBT247"/>
      <c r="PBU247"/>
      <c r="PBV247"/>
      <c r="PBW247"/>
      <c r="PBX247"/>
      <c r="PBY247"/>
      <c r="PBZ247"/>
      <c r="PCA247"/>
      <c r="PCB247"/>
      <c r="PCC247"/>
      <c r="PCD247"/>
      <c r="PCE247"/>
      <c r="PCF247"/>
      <c r="PCG247"/>
      <c r="PCH247"/>
      <c r="PCI247"/>
      <c r="PCJ247"/>
      <c r="PCK247"/>
      <c r="PCL247"/>
      <c r="PCM247"/>
      <c r="PCN247"/>
      <c r="PCO247"/>
      <c r="PCP247"/>
      <c r="PCQ247"/>
      <c r="PCR247"/>
      <c r="PCS247"/>
      <c r="PCT247"/>
      <c r="PCU247"/>
      <c r="PCV247"/>
      <c r="PCW247"/>
      <c r="PCX247"/>
      <c r="PCY247"/>
      <c r="PCZ247"/>
      <c r="PDA247"/>
      <c r="PDB247"/>
      <c r="PDC247"/>
      <c r="PDD247"/>
      <c r="PDE247"/>
      <c r="PDF247"/>
      <c r="PDG247"/>
      <c r="PDH247"/>
      <c r="PDI247"/>
      <c r="PDJ247"/>
      <c r="PDK247"/>
      <c r="PDL247"/>
      <c r="PDM247"/>
      <c r="PDN247"/>
      <c r="PDO247"/>
      <c r="PDP247"/>
      <c r="PDQ247"/>
      <c r="PDR247"/>
      <c r="PDS247"/>
      <c r="PDT247"/>
      <c r="PDU247"/>
      <c r="PDV247"/>
      <c r="PDW247"/>
      <c r="PDX247"/>
      <c r="PDY247"/>
      <c r="PDZ247"/>
      <c r="PEA247"/>
      <c r="PEB247"/>
      <c r="PEC247"/>
      <c r="PED247"/>
      <c r="PEE247"/>
      <c r="PEF247"/>
      <c r="PEG247"/>
      <c r="PEH247"/>
      <c r="PEI247"/>
      <c r="PEJ247"/>
      <c r="PEK247"/>
      <c r="PEL247"/>
      <c r="PEM247"/>
      <c r="PEN247"/>
      <c r="PEO247"/>
      <c r="PEP247"/>
      <c r="PEQ247"/>
      <c r="PER247"/>
      <c r="PES247"/>
      <c r="PET247"/>
      <c r="PEU247"/>
      <c r="PEV247"/>
      <c r="PEW247"/>
      <c r="PEX247"/>
      <c r="PEY247"/>
      <c r="PEZ247"/>
      <c r="PFA247"/>
      <c r="PFB247"/>
      <c r="PFC247"/>
      <c r="PFD247"/>
      <c r="PFE247"/>
      <c r="PFF247"/>
      <c r="PFG247"/>
      <c r="PFH247"/>
      <c r="PFI247"/>
      <c r="PFJ247"/>
      <c r="PFK247"/>
      <c r="PFL247"/>
      <c r="PFM247"/>
      <c r="PFN247"/>
      <c r="PFO247"/>
      <c r="PFP247"/>
      <c r="PFQ247"/>
      <c r="PFR247"/>
      <c r="PFS247"/>
      <c r="PFT247"/>
      <c r="PFU247"/>
      <c r="PFV247"/>
      <c r="PFW247"/>
      <c r="PFX247"/>
      <c r="PFY247"/>
      <c r="PFZ247"/>
      <c r="PGA247"/>
      <c r="PGB247"/>
      <c r="PGC247"/>
      <c r="PGD247"/>
      <c r="PGE247"/>
      <c r="PGF247"/>
      <c r="PGG247"/>
      <c r="PGH247"/>
      <c r="PGI247"/>
      <c r="PGJ247"/>
      <c r="PGK247"/>
      <c r="PGL247"/>
      <c r="PGM247"/>
      <c r="PGN247"/>
      <c r="PGO247"/>
      <c r="PGP247"/>
      <c r="PGQ247"/>
      <c r="PGR247"/>
      <c r="PGS247"/>
      <c r="PGT247"/>
      <c r="PGU247"/>
      <c r="PGV247"/>
      <c r="PGW247"/>
      <c r="PGX247"/>
      <c r="PGY247"/>
      <c r="PGZ247"/>
      <c r="PHA247"/>
      <c r="PHB247"/>
      <c r="PHC247"/>
      <c r="PHD247"/>
      <c r="PHE247"/>
      <c r="PHF247"/>
      <c r="PHG247"/>
      <c r="PHH247"/>
      <c r="PHI247"/>
      <c r="PHJ247"/>
      <c r="PHK247"/>
      <c r="PHL247"/>
      <c r="PHM247"/>
      <c r="PHN247"/>
      <c r="PHO247"/>
      <c r="PHP247"/>
      <c r="PHQ247"/>
      <c r="PHR247"/>
      <c r="PHS247"/>
      <c r="PHT247"/>
      <c r="PHU247"/>
      <c r="PHV247"/>
      <c r="PHW247"/>
      <c r="PHX247"/>
      <c r="PHY247"/>
      <c r="PHZ247"/>
      <c r="PIA247"/>
      <c r="PIB247"/>
      <c r="PIC247"/>
      <c r="PID247"/>
      <c r="PIE247"/>
      <c r="PIF247"/>
      <c r="PIG247"/>
      <c r="PIH247"/>
      <c r="PII247"/>
      <c r="PIJ247"/>
      <c r="PIK247"/>
      <c r="PIL247"/>
      <c r="PIM247"/>
      <c r="PIN247"/>
      <c r="PIO247"/>
      <c r="PIP247"/>
      <c r="PIQ247"/>
      <c r="PIR247"/>
      <c r="PIS247"/>
      <c r="PIT247"/>
      <c r="PIU247"/>
      <c r="PIV247"/>
      <c r="PIW247"/>
      <c r="PIX247"/>
      <c r="PIY247"/>
      <c r="PIZ247"/>
      <c r="PJA247"/>
      <c r="PJB247"/>
      <c r="PJC247"/>
      <c r="PJD247"/>
      <c r="PJE247"/>
      <c r="PJF247"/>
      <c r="PJG247"/>
      <c r="PJH247"/>
      <c r="PJI247"/>
      <c r="PJJ247"/>
      <c r="PJK247"/>
      <c r="PJL247"/>
      <c r="PJM247"/>
      <c r="PJN247"/>
      <c r="PJO247"/>
      <c r="PJP247"/>
      <c r="PJQ247"/>
      <c r="PJR247"/>
      <c r="PJS247"/>
      <c r="PJT247"/>
      <c r="PJU247"/>
      <c r="PJV247"/>
      <c r="PJW247"/>
      <c r="PJX247"/>
      <c r="PJY247"/>
      <c r="PJZ247"/>
      <c r="PKA247"/>
      <c r="PKB247"/>
      <c r="PKC247"/>
      <c r="PKD247"/>
      <c r="PKE247"/>
      <c r="PKF247"/>
      <c r="PKG247"/>
      <c r="PKH247"/>
      <c r="PKI247"/>
      <c r="PKJ247"/>
      <c r="PKK247"/>
      <c r="PKL247"/>
      <c r="PKM247"/>
      <c r="PKN247"/>
      <c r="PKO247"/>
      <c r="PKP247"/>
      <c r="PKQ247"/>
      <c r="PKR247"/>
      <c r="PKS247"/>
      <c r="PKT247"/>
      <c r="PKU247"/>
      <c r="PKV247"/>
      <c r="PKW247"/>
      <c r="PKX247"/>
      <c r="PKY247"/>
      <c r="PKZ247"/>
      <c r="PLA247"/>
      <c r="PLB247"/>
      <c r="PLC247"/>
      <c r="PLD247"/>
      <c r="PLE247"/>
      <c r="PLF247"/>
      <c r="PLG247"/>
      <c r="PLH247"/>
      <c r="PLI247"/>
      <c r="PLJ247"/>
      <c r="PLK247"/>
      <c r="PLL247"/>
      <c r="PLM247"/>
      <c r="PLN247"/>
      <c r="PLO247"/>
      <c r="PLP247"/>
      <c r="PLQ247"/>
      <c r="PLR247"/>
      <c r="PLS247"/>
      <c r="PLT247"/>
      <c r="PLU247"/>
      <c r="PLV247"/>
      <c r="PLW247"/>
      <c r="PLX247"/>
      <c r="PLY247"/>
      <c r="PLZ247"/>
      <c r="PMA247"/>
      <c r="PMB247"/>
      <c r="PMC247"/>
      <c r="PMD247"/>
      <c r="PME247"/>
      <c r="PMF247"/>
      <c r="PMG247"/>
      <c r="PMH247"/>
      <c r="PMI247"/>
      <c r="PMJ247"/>
      <c r="PMK247"/>
      <c r="PML247"/>
      <c r="PMM247"/>
      <c r="PMN247"/>
      <c r="PMO247"/>
      <c r="PMP247"/>
      <c r="PMQ247"/>
      <c r="PMR247"/>
      <c r="PMS247"/>
      <c r="PMT247"/>
      <c r="PMU247"/>
      <c r="PMV247"/>
      <c r="PMW247"/>
      <c r="PMX247"/>
      <c r="PMY247"/>
      <c r="PMZ247"/>
      <c r="PNA247"/>
      <c r="PNB247"/>
      <c r="PNC247"/>
      <c r="PND247"/>
      <c r="PNE247"/>
      <c r="PNF247"/>
      <c r="PNG247"/>
      <c r="PNH247"/>
      <c r="PNI247"/>
      <c r="PNJ247"/>
      <c r="PNK247"/>
      <c r="PNL247"/>
      <c r="PNM247"/>
      <c r="PNN247"/>
      <c r="PNO247"/>
      <c r="PNP247"/>
      <c r="PNQ247"/>
      <c r="PNR247"/>
      <c r="PNS247"/>
      <c r="PNT247"/>
      <c r="PNU247"/>
      <c r="PNV247"/>
      <c r="PNW247"/>
      <c r="PNX247"/>
      <c r="PNY247"/>
      <c r="PNZ247"/>
      <c r="POA247"/>
      <c r="POB247"/>
      <c r="POC247"/>
      <c r="POD247"/>
      <c r="POE247"/>
      <c r="POF247"/>
      <c r="POG247"/>
      <c r="POH247"/>
      <c r="POI247"/>
      <c r="POJ247"/>
      <c r="POK247"/>
      <c r="POL247"/>
      <c r="POM247"/>
      <c r="PON247"/>
      <c r="POO247"/>
      <c r="POP247"/>
      <c r="POQ247"/>
      <c r="POR247"/>
      <c r="POS247"/>
      <c r="POT247"/>
      <c r="POU247"/>
      <c r="POV247"/>
      <c r="POW247"/>
      <c r="POX247"/>
      <c r="POY247"/>
      <c r="POZ247"/>
      <c r="PPA247"/>
      <c r="PPB247"/>
      <c r="PPC247"/>
      <c r="PPD247"/>
      <c r="PPE247"/>
      <c r="PPF247"/>
      <c r="PPG247"/>
      <c r="PPH247"/>
      <c r="PPI247"/>
      <c r="PPJ247"/>
      <c r="PPK247"/>
      <c r="PPL247"/>
      <c r="PPM247"/>
      <c r="PPN247"/>
      <c r="PPO247"/>
      <c r="PPP247"/>
      <c r="PPQ247"/>
      <c r="PPR247"/>
      <c r="PPS247"/>
      <c r="PPT247"/>
      <c r="PPU247"/>
      <c r="PPV247"/>
      <c r="PPW247"/>
      <c r="PPX247"/>
      <c r="PPY247"/>
      <c r="PPZ247"/>
      <c r="PQA247"/>
      <c r="PQB247"/>
      <c r="PQC247"/>
      <c r="PQD247"/>
      <c r="PQE247"/>
      <c r="PQF247"/>
      <c r="PQG247"/>
      <c r="PQH247"/>
      <c r="PQI247"/>
      <c r="PQJ247"/>
      <c r="PQK247"/>
      <c r="PQL247"/>
      <c r="PQM247"/>
      <c r="PQN247"/>
      <c r="PQO247"/>
      <c r="PQP247"/>
      <c r="PQQ247"/>
      <c r="PQR247"/>
      <c r="PQS247"/>
      <c r="PQT247"/>
      <c r="PQU247"/>
      <c r="PQV247"/>
      <c r="PQW247"/>
      <c r="PQX247"/>
      <c r="PQY247"/>
      <c r="PQZ247"/>
      <c r="PRA247"/>
      <c r="PRB247"/>
      <c r="PRC247"/>
      <c r="PRD247"/>
      <c r="PRE247"/>
      <c r="PRF247"/>
      <c r="PRG247"/>
      <c r="PRH247"/>
      <c r="PRI247"/>
      <c r="PRJ247"/>
      <c r="PRK247"/>
      <c r="PRL247"/>
      <c r="PRM247"/>
      <c r="PRN247"/>
      <c r="PRO247"/>
      <c r="PRP247"/>
      <c r="PRQ247"/>
      <c r="PRR247"/>
      <c r="PRS247"/>
      <c r="PRT247"/>
      <c r="PRU247"/>
      <c r="PRV247"/>
      <c r="PRW247"/>
      <c r="PRX247"/>
      <c r="PRY247"/>
      <c r="PRZ247"/>
      <c r="PSA247"/>
      <c r="PSB247"/>
      <c r="PSC247"/>
      <c r="PSD247"/>
      <c r="PSE247"/>
      <c r="PSF247"/>
      <c r="PSG247"/>
      <c r="PSH247"/>
      <c r="PSI247"/>
      <c r="PSJ247"/>
      <c r="PSK247"/>
      <c r="PSL247"/>
      <c r="PSM247"/>
      <c r="PSN247"/>
      <c r="PSO247"/>
      <c r="PSP247"/>
      <c r="PSQ247"/>
      <c r="PSR247"/>
      <c r="PSS247"/>
      <c r="PST247"/>
      <c r="PSU247"/>
      <c r="PSV247"/>
      <c r="PSW247"/>
      <c r="PSX247"/>
      <c r="PSY247"/>
      <c r="PSZ247"/>
      <c r="PTA247"/>
      <c r="PTB247"/>
      <c r="PTC247"/>
      <c r="PTD247"/>
      <c r="PTE247"/>
      <c r="PTF247"/>
      <c r="PTG247"/>
      <c r="PTH247"/>
      <c r="PTI247"/>
      <c r="PTJ247"/>
      <c r="PTK247"/>
      <c r="PTL247"/>
      <c r="PTM247"/>
      <c r="PTN247"/>
      <c r="PTO247"/>
      <c r="PTP247"/>
      <c r="PTQ247"/>
      <c r="PTR247"/>
      <c r="PTS247"/>
      <c r="PTT247"/>
      <c r="PTU247"/>
      <c r="PTV247"/>
      <c r="PTW247"/>
      <c r="PTX247"/>
      <c r="PTY247"/>
      <c r="PTZ247"/>
      <c r="PUA247"/>
      <c r="PUB247"/>
      <c r="PUC247"/>
      <c r="PUD247"/>
      <c r="PUE247"/>
      <c r="PUF247"/>
      <c r="PUG247"/>
      <c r="PUH247"/>
      <c r="PUI247"/>
      <c r="PUJ247"/>
      <c r="PUK247"/>
      <c r="PUL247"/>
      <c r="PUM247"/>
      <c r="PUN247"/>
      <c r="PUO247"/>
      <c r="PUP247"/>
      <c r="PUQ247"/>
      <c r="PUR247"/>
      <c r="PUS247"/>
      <c r="PUT247"/>
      <c r="PUU247"/>
      <c r="PUV247"/>
      <c r="PUW247"/>
      <c r="PUX247"/>
      <c r="PUY247"/>
      <c r="PUZ247"/>
      <c r="PVA247"/>
      <c r="PVB247"/>
      <c r="PVC247"/>
      <c r="PVD247"/>
      <c r="PVE247"/>
      <c r="PVF247"/>
      <c r="PVG247"/>
      <c r="PVH247"/>
      <c r="PVI247"/>
      <c r="PVJ247"/>
      <c r="PVK247"/>
      <c r="PVL247"/>
      <c r="PVM247"/>
      <c r="PVN247"/>
      <c r="PVO247"/>
      <c r="PVP247"/>
      <c r="PVQ247"/>
      <c r="PVR247"/>
      <c r="PVS247"/>
      <c r="PVT247"/>
      <c r="PVU247"/>
      <c r="PVV247"/>
      <c r="PVW247"/>
      <c r="PVX247"/>
      <c r="PVY247"/>
      <c r="PVZ247"/>
      <c r="PWA247"/>
      <c r="PWB247"/>
      <c r="PWC247"/>
      <c r="PWD247"/>
      <c r="PWE247"/>
      <c r="PWF247"/>
      <c r="PWG247"/>
      <c r="PWH247"/>
      <c r="PWI247"/>
      <c r="PWJ247"/>
      <c r="PWK247"/>
      <c r="PWL247"/>
      <c r="PWM247"/>
      <c r="PWN247"/>
      <c r="PWO247"/>
      <c r="PWP247"/>
      <c r="PWQ247"/>
      <c r="PWR247"/>
      <c r="PWS247"/>
      <c r="PWT247"/>
      <c r="PWU247"/>
      <c r="PWV247"/>
      <c r="PWW247"/>
      <c r="PWX247"/>
      <c r="PWY247"/>
      <c r="PWZ247"/>
      <c r="PXA247"/>
      <c r="PXB247"/>
      <c r="PXC247"/>
      <c r="PXD247"/>
      <c r="PXE247"/>
      <c r="PXF247"/>
      <c r="PXG247"/>
      <c r="PXH247"/>
      <c r="PXI247"/>
      <c r="PXJ247"/>
      <c r="PXK247"/>
      <c r="PXL247"/>
      <c r="PXM247"/>
      <c r="PXN247"/>
      <c r="PXO247"/>
      <c r="PXP247"/>
      <c r="PXQ247"/>
      <c r="PXR247"/>
      <c r="PXS247"/>
      <c r="PXT247"/>
      <c r="PXU247"/>
      <c r="PXV247"/>
      <c r="PXW247"/>
      <c r="PXX247"/>
      <c r="PXY247"/>
      <c r="PXZ247"/>
      <c r="PYA247"/>
      <c r="PYB247"/>
      <c r="PYC247"/>
      <c r="PYD247"/>
      <c r="PYE247"/>
      <c r="PYF247"/>
      <c r="PYG247"/>
      <c r="PYH247"/>
      <c r="PYI247"/>
      <c r="PYJ247"/>
      <c r="PYK247"/>
      <c r="PYL247"/>
      <c r="PYM247"/>
      <c r="PYN247"/>
      <c r="PYO247"/>
      <c r="PYP247"/>
      <c r="PYQ247"/>
      <c r="PYR247"/>
      <c r="PYS247"/>
      <c r="PYT247"/>
      <c r="PYU247"/>
      <c r="PYV247"/>
      <c r="PYW247"/>
      <c r="PYX247"/>
      <c r="PYY247"/>
      <c r="PYZ247"/>
      <c r="PZA247"/>
      <c r="PZB247"/>
      <c r="PZC247"/>
      <c r="PZD247"/>
      <c r="PZE247"/>
      <c r="PZF247"/>
      <c r="PZG247"/>
      <c r="PZH247"/>
      <c r="PZI247"/>
      <c r="PZJ247"/>
      <c r="PZK247"/>
      <c r="PZL247"/>
      <c r="PZM247"/>
      <c r="PZN247"/>
      <c r="PZO247"/>
      <c r="PZP247"/>
      <c r="PZQ247"/>
      <c r="PZR247"/>
      <c r="PZS247"/>
      <c r="PZT247"/>
      <c r="PZU247"/>
      <c r="PZV247"/>
      <c r="PZW247"/>
      <c r="PZX247"/>
      <c r="PZY247"/>
      <c r="PZZ247"/>
      <c r="QAA247"/>
      <c r="QAB247"/>
      <c r="QAC247"/>
      <c r="QAD247"/>
      <c r="QAE247"/>
      <c r="QAF247"/>
      <c r="QAG247"/>
      <c r="QAH247"/>
      <c r="QAI247"/>
      <c r="QAJ247"/>
      <c r="QAK247"/>
      <c r="QAL247"/>
      <c r="QAM247"/>
      <c r="QAN247"/>
      <c r="QAO247"/>
      <c r="QAP247"/>
      <c r="QAQ247"/>
      <c r="QAR247"/>
      <c r="QAS247"/>
      <c r="QAT247"/>
      <c r="QAU247"/>
      <c r="QAV247"/>
      <c r="QAW247"/>
      <c r="QAX247"/>
      <c r="QAY247"/>
      <c r="QAZ247"/>
      <c r="QBA247"/>
      <c r="QBB247"/>
      <c r="QBC247"/>
      <c r="QBD247"/>
      <c r="QBE247"/>
      <c r="QBF247"/>
      <c r="QBG247"/>
      <c r="QBH247"/>
      <c r="QBI247"/>
      <c r="QBJ247"/>
      <c r="QBK247"/>
      <c r="QBL247"/>
      <c r="QBM247"/>
      <c r="QBN247"/>
      <c r="QBO247"/>
      <c r="QBP247"/>
      <c r="QBQ247"/>
      <c r="QBR247"/>
      <c r="QBS247"/>
      <c r="QBT247"/>
      <c r="QBU247"/>
      <c r="QBV247"/>
      <c r="QBW247"/>
      <c r="QBX247"/>
      <c r="QBY247"/>
      <c r="QBZ247"/>
      <c r="QCA247"/>
      <c r="QCB247"/>
      <c r="QCC247"/>
      <c r="QCD247"/>
      <c r="QCE247"/>
      <c r="QCF247"/>
      <c r="QCG247"/>
      <c r="QCH247"/>
      <c r="QCI247"/>
      <c r="QCJ247"/>
      <c r="QCK247"/>
      <c r="QCL247"/>
      <c r="QCM247"/>
      <c r="QCN247"/>
      <c r="QCO247"/>
      <c r="QCP247"/>
      <c r="QCQ247"/>
      <c r="QCR247"/>
      <c r="QCS247"/>
      <c r="QCT247"/>
      <c r="QCU247"/>
      <c r="QCV247"/>
      <c r="QCW247"/>
      <c r="QCX247"/>
      <c r="QCY247"/>
      <c r="QCZ247"/>
      <c r="QDA247"/>
      <c r="QDB247"/>
      <c r="QDC247"/>
      <c r="QDD247"/>
      <c r="QDE247"/>
      <c r="QDF247"/>
      <c r="QDG247"/>
      <c r="QDH247"/>
      <c r="QDI247"/>
      <c r="QDJ247"/>
      <c r="QDK247"/>
      <c r="QDL247"/>
      <c r="QDM247"/>
      <c r="QDN247"/>
      <c r="QDO247"/>
      <c r="QDP247"/>
      <c r="QDQ247"/>
      <c r="QDR247"/>
      <c r="QDS247"/>
      <c r="QDT247"/>
      <c r="QDU247"/>
      <c r="QDV247"/>
      <c r="QDW247"/>
      <c r="QDX247"/>
      <c r="QDY247"/>
      <c r="QDZ247"/>
      <c r="QEA247"/>
      <c r="QEB247"/>
      <c r="QEC247"/>
      <c r="QED247"/>
      <c r="QEE247"/>
      <c r="QEF247"/>
      <c r="QEG247"/>
      <c r="QEH247"/>
      <c r="QEI247"/>
      <c r="QEJ247"/>
      <c r="QEK247"/>
      <c r="QEL247"/>
      <c r="QEM247"/>
      <c r="QEN247"/>
      <c r="QEO247"/>
      <c r="QEP247"/>
      <c r="QEQ247"/>
      <c r="QER247"/>
      <c r="QES247"/>
      <c r="QET247"/>
      <c r="QEU247"/>
      <c r="QEV247"/>
      <c r="QEW247"/>
      <c r="QEX247"/>
      <c r="QEY247"/>
      <c r="QEZ247"/>
      <c r="QFA247"/>
      <c r="QFB247"/>
      <c r="QFC247"/>
      <c r="QFD247"/>
      <c r="QFE247"/>
      <c r="QFF247"/>
      <c r="QFG247"/>
      <c r="QFH247"/>
      <c r="QFI247"/>
      <c r="QFJ247"/>
      <c r="QFK247"/>
      <c r="QFL247"/>
      <c r="QFM247"/>
      <c r="QFN247"/>
      <c r="QFO247"/>
      <c r="QFP247"/>
      <c r="QFQ247"/>
      <c r="QFR247"/>
      <c r="QFS247"/>
      <c r="QFT247"/>
      <c r="QFU247"/>
      <c r="QFV247"/>
      <c r="QFW247"/>
      <c r="QFX247"/>
      <c r="QFY247"/>
      <c r="QFZ247"/>
      <c r="QGA247"/>
      <c r="QGB247"/>
      <c r="QGC247"/>
      <c r="QGD247"/>
      <c r="QGE247"/>
      <c r="QGF247"/>
      <c r="QGG247"/>
      <c r="QGH247"/>
      <c r="QGI247"/>
      <c r="QGJ247"/>
      <c r="QGK247"/>
      <c r="QGL247"/>
      <c r="QGM247"/>
      <c r="QGN247"/>
      <c r="QGO247"/>
      <c r="QGP247"/>
      <c r="QGQ247"/>
      <c r="QGR247"/>
      <c r="QGS247"/>
      <c r="QGT247"/>
      <c r="QGU247"/>
      <c r="QGV247"/>
      <c r="QGW247"/>
      <c r="QGX247"/>
      <c r="QGY247"/>
      <c r="QGZ247"/>
      <c r="QHA247"/>
      <c r="QHB247"/>
      <c r="QHC247"/>
      <c r="QHD247"/>
      <c r="QHE247"/>
      <c r="QHF247"/>
      <c r="QHG247"/>
      <c r="QHH247"/>
      <c r="QHI247"/>
      <c r="QHJ247"/>
      <c r="QHK247"/>
      <c r="QHL247"/>
      <c r="QHM247"/>
      <c r="QHN247"/>
      <c r="QHO247"/>
      <c r="QHP247"/>
      <c r="QHQ247"/>
      <c r="QHR247"/>
      <c r="QHS247"/>
      <c r="QHT247"/>
      <c r="QHU247"/>
      <c r="QHV247"/>
      <c r="QHW247"/>
      <c r="QHX247"/>
      <c r="QHY247"/>
      <c r="QHZ247"/>
      <c r="QIA247"/>
      <c r="QIB247"/>
      <c r="QIC247"/>
      <c r="QID247"/>
      <c r="QIE247"/>
      <c r="QIF247"/>
      <c r="QIG247"/>
      <c r="QIH247"/>
      <c r="QII247"/>
      <c r="QIJ247"/>
      <c r="QIK247"/>
      <c r="QIL247"/>
      <c r="QIM247"/>
      <c r="QIN247"/>
      <c r="QIO247"/>
      <c r="QIP247"/>
      <c r="QIQ247"/>
      <c r="QIR247"/>
      <c r="QIS247"/>
      <c r="QIT247"/>
      <c r="QIU247"/>
      <c r="QIV247"/>
      <c r="QIW247"/>
      <c r="QIX247"/>
      <c r="QIY247"/>
      <c r="QIZ247"/>
      <c r="QJA247"/>
      <c r="QJB247"/>
      <c r="QJC247"/>
      <c r="QJD247"/>
      <c r="QJE247"/>
      <c r="QJF247"/>
      <c r="QJG247"/>
      <c r="QJH247"/>
      <c r="QJI247"/>
      <c r="QJJ247"/>
      <c r="QJK247"/>
      <c r="QJL247"/>
      <c r="QJM247"/>
      <c r="QJN247"/>
      <c r="QJO247"/>
      <c r="QJP247"/>
      <c r="QJQ247"/>
      <c r="QJR247"/>
      <c r="QJS247"/>
      <c r="QJT247"/>
      <c r="QJU247"/>
      <c r="QJV247"/>
      <c r="QJW247"/>
      <c r="QJX247"/>
      <c r="QJY247"/>
      <c r="QJZ247"/>
      <c r="QKA247"/>
      <c r="QKB247"/>
      <c r="QKC247"/>
      <c r="QKD247"/>
      <c r="QKE247"/>
      <c r="QKF247"/>
      <c r="QKG247"/>
      <c r="QKH247"/>
      <c r="QKI247"/>
      <c r="QKJ247"/>
      <c r="QKK247"/>
      <c r="QKL247"/>
      <c r="QKM247"/>
      <c r="QKN247"/>
      <c r="QKO247"/>
      <c r="QKP247"/>
      <c r="QKQ247"/>
      <c r="QKR247"/>
      <c r="QKS247"/>
      <c r="QKT247"/>
      <c r="QKU247"/>
      <c r="QKV247"/>
      <c r="QKW247"/>
      <c r="QKX247"/>
      <c r="QKY247"/>
      <c r="QKZ247"/>
      <c r="QLA247"/>
      <c r="QLB247"/>
      <c r="QLC247"/>
      <c r="QLD247"/>
      <c r="QLE247"/>
      <c r="QLF247"/>
      <c r="QLG247"/>
      <c r="QLH247"/>
      <c r="QLI247"/>
      <c r="QLJ247"/>
      <c r="QLK247"/>
      <c r="QLL247"/>
      <c r="QLM247"/>
      <c r="QLN247"/>
      <c r="QLO247"/>
      <c r="QLP247"/>
      <c r="QLQ247"/>
      <c r="QLR247"/>
      <c r="QLS247"/>
      <c r="QLT247"/>
      <c r="QLU247"/>
      <c r="QLV247"/>
      <c r="QLW247"/>
      <c r="QLX247"/>
      <c r="QLY247"/>
      <c r="QLZ247"/>
      <c r="QMA247"/>
      <c r="QMB247"/>
      <c r="QMC247"/>
      <c r="QMD247"/>
      <c r="QME247"/>
      <c r="QMF247"/>
      <c r="QMG247"/>
      <c r="QMH247"/>
      <c r="QMI247"/>
      <c r="QMJ247"/>
      <c r="QMK247"/>
      <c r="QML247"/>
      <c r="QMM247"/>
      <c r="QMN247"/>
      <c r="QMO247"/>
      <c r="QMP247"/>
      <c r="QMQ247"/>
      <c r="QMR247"/>
      <c r="QMS247"/>
      <c r="QMT247"/>
      <c r="QMU247"/>
      <c r="QMV247"/>
      <c r="QMW247"/>
      <c r="QMX247"/>
      <c r="QMY247"/>
      <c r="QMZ247"/>
      <c r="QNA247"/>
      <c r="QNB247"/>
      <c r="QNC247"/>
      <c r="QND247"/>
      <c r="QNE247"/>
      <c r="QNF247"/>
      <c r="QNG247"/>
      <c r="QNH247"/>
      <c r="QNI247"/>
      <c r="QNJ247"/>
      <c r="QNK247"/>
      <c r="QNL247"/>
      <c r="QNM247"/>
      <c r="QNN247"/>
      <c r="QNO247"/>
      <c r="QNP247"/>
      <c r="QNQ247"/>
      <c r="QNR247"/>
      <c r="QNS247"/>
      <c r="QNT247"/>
      <c r="QNU247"/>
      <c r="QNV247"/>
      <c r="QNW247"/>
      <c r="QNX247"/>
      <c r="QNY247"/>
      <c r="QNZ247"/>
      <c r="QOA247"/>
      <c r="QOB247"/>
      <c r="QOC247"/>
      <c r="QOD247"/>
      <c r="QOE247"/>
      <c r="QOF247"/>
      <c r="QOG247"/>
      <c r="QOH247"/>
      <c r="QOI247"/>
      <c r="QOJ247"/>
      <c r="QOK247"/>
      <c r="QOL247"/>
      <c r="QOM247"/>
      <c r="QON247"/>
      <c r="QOO247"/>
      <c r="QOP247"/>
      <c r="QOQ247"/>
      <c r="QOR247"/>
      <c r="QOS247"/>
      <c r="QOT247"/>
      <c r="QOU247"/>
      <c r="QOV247"/>
      <c r="QOW247"/>
      <c r="QOX247"/>
      <c r="QOY247"/>
      <c r="QOZ247"/>
      <c r="QPA247"/>
      <c r="QPB247"/>
      <c r="QPC247"/>
      <c r="QPD247"/>
      <c r="QPE247"/>
      <c r="QPF247"/>
      <c r="QPG247"/>
      <c r="QPH247"/>
      <c r="QPI247"/>
      <c r="QPJ247"/>
      <c r="QPK247"/>
      <c r="QPL247"/>
      <c r="QPM247"/>
      <c r="QPN247"/>
      <c r="QPO247"/>
      <c r="QPP247"/>
      <c r="QPQ247"/>
      <c r="QPR247"/>
      <c r="QPS247"/>
      <c r="QPT247"/>
      <c r="QPU247"/>
      <c r="QPV247"/>
      <c r="QPW247"/>
      <c r="QPX247"/>
      <c r="QPY247"/>
      <c r="QPZ247"/>
      <c r="QQA247"/>
      <c r="QQB247"/>
      <c r="QQC247"/>
      <c r="QQD247"/>
      <c r="QQE247"/>
      <c r="QQF247"/>
      <c r="QQG247"/>
      <c r="QQH247"/>
      <c r="QQI247"/>
      <c r="QQJ247"/>
      <c r="QQK247"/>
      <c r="QQL247"/>
      <c r="QQM247"/>
      <c r="QQN247"/>
      <c r="QQO247"/>
      <c r="QQP247"/>
      <c r="QQQ247"/>
      <c r="QQR247"/>
      <c r="QQS247"/>
      <c r="QQT247"/>
      <c r="QQU247"/>
      <c r="QQV247"/>
      <c r="QQW247"/>
      <c r="QQX247"/>
      <c r="QQY247"/>
      <c r="QQZ247"/>
      <c r="QRA247"/>
      <c r="QRB247"/>
      <c r="QRC247"/>
      <c r="QRD247"/>
      <c r="QRE247"/>
      <c r="QRF247"/>
      <c r="QRG247"/>
      <c r="QRH247"/>
      <c r="QRI247"/>
      <c r="QRJ247"/>
      <c r="QRK247"/>
      <c r="QRL247"/>
      <c r="QRM247"/>
      <c r="QRN247"/>
      <c r="QRO247"/>
      <c r="QRP247"/>
      <c r="QRQ247"/>
      <c r="QRR247"/>
      <c r="QRS247"/>
      <c r="QRT247"/>
      <c r="QRU247"/>
      <c r="QRV247"/>
      <c r="QRW247"/>
      <c r="QRX247"/>
      <c r="QRY247"/>
      <c r="QRZ247"/>
      <c r="QSA247"/>
      <c r="QSB247"/>
      <c r="QSC247"/>
      <c r="QSD247"/>
      <c r="QSE247"/>
      <c r="QSF247"/>
      <c r="QSG247"/>
      <c r="QSH247"/>
      <c r="QSI247"/>
      <c r="QSJ247"/>
      <c r="QSK247"/>
      <c r="QSL247"/>
      <c r="QSM247"/>
      <c r="QSN247"/>
      <c r="QSO247"/>
      <c r="QSP247"/>
      <c r="QSQ247"/>
      <c r="QSR247"/>
      <c r="QSS247"/>
      <c r="QST247"/>
      <c r="QSU247"/>
      <c r="QSV247"/>
      <c r="QSW247"/>
      <c r="QSX247"/>
      <c r="QSY247"/>
      <c r="QSZ247"/>
      <c r="QTA247"/>
      <c r="QTB247"/>
      <c r="QTC247"/>
      <c r="QTD247"/>
      <c r="QTE247"/>
      <c r="QTF247"/>
      <c r="QTG247"/>
      <c r="QTH247"/>
      <c r="QTI247"/>
      <c r="QTJ247"/>
      <c r="QTK247"/>
      <c r="QTL247"/>
      <c r="QTM247"/>
      <c r="QTN247"/>
      <c r="QTO247"/>
      <c r="QTP247"/>
      <c r="QTQ247"/>
      <c r="QTR247"/>
      <c r="QTS247"/>
      <c r="QTT247"/>
      <c r="QTU247"/>
      <c r="QTV247"/>
      <c r="QTW247"/>
      <c r="QTX247"/>
      <c r="QTY247"/>
      <c r="QTZ247"/>
      <c r="QUA247"/>
      <c r="QUB247"/>
      <c r="QUC247"/>
      <c r="QUD247"/>
      <c r="QUE247"/>
      <c r="QUF247"/>
      <c r="QUG247"/>
      <c r="QUH247"/>
      <c r="QUI247"/>
      <c r="QUJ247"/>
      <c r="QUK247"/>
      <c r="QUL247"/>
      <c r="QUM247"/>
      <c r="QUN247"/>
      <c r="QUO247"/>
      <c r="QUP247"/>
      <c r="QUQ247"/>
      <c r="QUR247"/>
      <c r="QUS247"/>
      <c r="QUT247"/>
      <c r="QUU247"/>
      <c r="QUV247"/>
      <c r="QUW247"/>
      <c r="QUX247"/>
      <c r="QUY247"/>
      <c r="QUZ247"/>
      <c r="QVA247"/>
      <c r="QVB247"/>
      <c r="QVC247"/>
      <c r="QVD247"/>
      <c r="QVE247"/>
      <c r="QVF247"/>
      <c r="QVG247"/>
      <c r="QVH247"/>
      <c r="QVI247"/>
      <c r="QVJ247"/>
      <c r="QVK247"/>
      <c r="QVL247"/>
      <c r="QVM247"/>
      <c r="QVN247"/>
      <c r="QVO247"/>
      <c r="QVP247"/>
      <c r="QVQ247"/>
      <c r="QVR247"/>
      <c r="QVS247"/>
      <c r="QVT247"/>
      <c r="QVU247"/>
      <c r="QVV247"/>
      <c r="QVW247"/>
      <c r="QVX247"/>
      <c r="QVY247"/>
      <c r="QVZ247"/>
      <c r="QWA247"/>
      <c r="QWB247"/>
      <c r="QWC247"/>
      <c r="QWD247"/>
      <c r="QWE247"/>
      <c r="QWF247"/>
      <c r="QWG247"/>
      <c r="QWH247"/>
      <c r="QWI247"/>
      <c r="QWJ247"/>
      <c r="QWK247"/>
      <c r="QWL247"/>
      <c r="QWM247"/>
      <c r="QWN247"/>
      <c r="QWO247"/>
      <c r="QWP247"/>
      <c r="QWQ247"/>
      <c r="QWR247"/>
      <c r="QWS247"/>
      <c r="QWT247"/>
      <c r="QWU247"/>
      <c r="QWV247"/>
      <c r="QWW247"/>
      <c r="QWX247"/>
      <c r="QWY247"/>
      <c r="QWZ247"/>
      <c r="QXA247"/>
      <c r="QXB247"/>
      <c r="QXC247"/>
      <c r="QXD247"/>
      <c r="QXE247"/>
      <c r="QXF247"/>
      <c r="QXG247"/>
      <c r="QXH247"/>
      <c r="QXI247"/>
      <c r="QXJ247"/>
      <c r="QXK247"/>
      <c r="QXL247"/>
      <c r="QXM247"/>
      <c r="QXN247"/>
      <c r="QXO247"/>
      <c r="QXP247"/>
      <c r="QXQ247"/>
      <c r="QXR247"/>
      <c r="QXS247"/>
      <c r="QXT247"/>
      <c r="QXU247"/>
      <c r="QXV247"/>
      <c r="QXW247"/>
      <c r="QXX247"/>
      <c r="QXY247"/>
      <c r="QXZ247"/>
      <c r="QYA247"/>
      <c r="QYB247"/>
      <c r="QYC247"/>
      <c r="QYD247"/>
      <c r="QYE247"/>
      <c r="QYF247"/>
      <c r="QYG247"/>
      <c r="QYH247"/>
      <c r="QYI247"/>
      <c r="QYJ247"/>
      <c r="QYK247"/>
      <c r="QYL247"/>
      <c r="QYM247"/>
      <c r="QYN247"/>
      <c r="QYO247"/>
      <c r="QYP247"/>
      <c r="QYQ247"/>
      <c r="QYR247"/>
      <c r="QYS247"/>
      <c r="QYT247"/>
      <c r="QYU247"/>
      <c r="QYV247"/>
      <c r="QYW247"/>
      <c r="QYX247"/>
      <c r="QYY247"/>
      <c r="QYZ247"/>
      <c r="QZA247"/>
      <c r="QZB247"/>
      <c r="QZC247"/>
      <c r="QZD247"/>
      <c r="QZE247"/>
      <c r="QZF247"/>
      <c r="QZG247"/>
      <c r="QZH247"/>
      <c r="QZI247"/>
      <c r="QZJ247"/>
      <c r="QZK247"/>
      <c r="QZL247"/>
      <c r="QZM247"/>
      <c r="QZN247"/>
      <c r="QZO247"/>
      <c r="QZP247"/>
      <c r="QZQ247"/>
      <c r="QZR247"/>
      <c r="QZS247"/>
      <c r="QZT247"/>
      <c r="QZU247"/>
      <c r="QZV247"/>
      <c r="QZW247"/>
      <c r="QZX247"/>
      <c r="QZY247"/>
      <c r="QZZ247"/>
      <c r="RAA247"/>
      <c r="RAB247"/>
      <c r="RAC247"/>
      <c r="RAD247"/>
      <c r="RAE247"/>
      <c r="RAF247"/>
      <c r="RAG247"/>
      <c r="RAH247"/>
      <c r="RAI247"/>
      <c r="RAJ247"/>
      <c r="RAK247"/>
      <c r="RAL247"/>
      <c r="RAM247"/>
      <c r="RAN247"/>
      <c r="RAO247"/>
      <c r="RAP247"/>
      <c r="RAQ247"/>
      <c r="RAR247"/>
      <c r="RAS247"/>
      <c r="RAT247"/>
      <c r="RAU247"/>
      <c r="RAV247"/>
      <c r="RAW247"/>
      <c r="RAX247"/>
      <c r="RAY247"/>
      <c r="RAZ247"/>
      <c r="RBA247"/>
      <c r="RBB247"/>
      <c r="RBC247"/>
      <c r="RBD247"/>
      <c r="RBE247"/>
      <c r="RBF247"/>
      <c r="RBG247"/>
      <c r="RBH247"/>
      <c r="RBI247"/>
      <c r="RBJ247"/>
      <c r="RBK247"/>
      <c r="RBL247"/>
      <c r="RBM247"/>
      <c r="RBN247"/>
      <c r="RBO247"/>
      <c r="RBP247"/>
      <c r="RBQ247"/>
      <c r="RBR247"/>
      <c r="RBS247"/>
      <c r="RBT247"/>
      <c r="RBU247"/>
      <c r="RBV247"/>
      <c r="RBW247"/>
      <c r="RBX247"/>
      <c r="RBY247"/>
      <c r="RBZ247"/>
      <c r="RCA247"/>
      <c r="RCB247"/>
      <c r="RCC247"/>
      <c r="RCD247"/>
      <c r="RCE247"/>
      <c r="RCF247"/>
      <c r="RCG247"/>
      <c r="RCH247"/>
      <c r="RCI247"/>
      <c r="RCJ247"/>
      <c r="RCK247"/>
      <c r="RCL247"/>
      <c r="RCM247"/>
      <c r="RCN247"/>
      <c r="RCO247"/>
      <c r="RCP247"/>
      <c r="RCQ247"/>
      <c r="RCR247"/>
      <c r="RCS247"/>
      <c r="RCT247"/>
      <c r="RCU247"/>
      <c r="RCV247"/>
      <c r="RCW247"/>
      <c r="RCX247"/>
      <c r="RCY247"/>
      <c r="RCZ247"/>
      <c r="RDA247"/>
      <c r="RDB247"/>
      <c r="RDC247"/>
      <c r="RDD247"/>
      <c r="RDE247"/>
      <c r="RDF247"/>
      <c r="RDG247"/>
      <c r="RDH247"/>
      <c r="RDI247"/>
      <c r="RDJ247"/>
      <c r="RDK247"/>
      <c r="RDL247"/>
      <c r="RDM247"/>
      <c r="RDN247"/>
      <c r="RDO247"/>
      <c r="RDP247"/>
      <c r="RDQ247"/>
      <c r="RDR247"/>
      <c r="RDS247"/>
      <c r="RDT247"/>
      <c r="RDU247"/>
      <c r="RDV247"/>
      <c r="RDW247"/>
      <c r="RDX247"/>
      <c r="RDY247"/>
      <c r="RDZ247"/>
      <c r="REA247"/>
      <c r="REB247"/>
      <c r="REC247"/>
      <c r="RED247"/>
      <c r="REE247"/>
      <c r="REF247"/>
      <c r="REG247"/>
      <c r="REH247"/>
      <c r="REI247"/>
      <c r="REJ247"/>
      <c r="REK247"/>
      <c r="REL247"/>
      <c r="REM247"/>
      <c r="REN247"/>
      <c r="REO247"/>
      <c r="REP247"/>
      <c r="REQ247"/>
      <c r="RER247"/>
      <c r="RES247"/>
      <c r="RET247"/>
      <c r="REU247"/>
      <c r="REV247"/>
      <c r="REW247"/>
      <c r="REX247"/>
      <c r="REY247"/>
      <c r="REZ247"/>
      <c r="RFA247"/>
      <c r="RFB247"/>
      <c r="RFC247"/>
      <c r="RFD247"/>
      <c r="RFE247"/>
      <c r="RFF247"/>
      <c r="RFG247"/>
      <c r="RFH247"/>
      <c r="RFI247"/>
      <c r="RFJ247"/>
      <c r="RFK247"/>
      <c r="RFL247"/>
      <c r="RFM247"/>
      <c r="RFN247"/>
      <c r="RFO247"/>
      <c r="RFP247"/>
      <c r="RFQ247"/>
      <c r="RFR247"/>
      <c r="RFS247"/>
      <c r="RFT247"/>
      <c r="RFU247"/>
      <c r="RFV247"/>
      <c r="RFW247"/>
      <c r="RFX247"/>
      <c r="RFY247"/>
      <c r="RFZ247"/>
      <c r="RGA247"/>
      <c r="RGB247"/>
      <c r="RGC247"/>
      <c r="RGD247"/>
      <c r="RGE247"/>
      <c r="RGF247"/>
      <c r="RGG247"/>
      <c r="RGH247"/>
      <c r="RGI247"/>
      <c r="RGJ247"/>
      <c r="RGK247"/>
      <c r="RGL247"/>
      <c r="RGM247"/>
      <c r="RGN247"/>
      <c r="RGO247"/>
      <c r="RGP247"/>
      <c r="RGQ247"/>
      <c r="RGR247"/>
      <c r="RGS247"/>
      <c r="RGT247"/>
      <c r="RGU247"/>
      <c r="RGV247"/>
      <c r="RGW247"/>
      <c r="RGX247"/>
      <c r="RGY247"/>
      <c r="RGZ247"/>
      <c r="RHA247"/>
      <c r="RHB247"/>
      <c r="RHC247"/>
      <c r="RHD247"/>
      <c r="RHE247"/>
      <c r="RHF247"/>
      <c r="RHG247"/>
      <c r="RHH247"/>
      <c r="RHI247"/>
      <c r="RHJ247"/>
      <c r="RHK247"/>
      <c r="RHL247"/>
      <c r="RHM247"/>
      <c r="RHN247"/>
      <c r="RHO247"/>
      <c r="RHP247"/>
      <c r="RHQ247"/>
      <c r="RHR247"/>
      <c r="RHS247"/>
      <c r="RHT247"/>
      <c r="RHU247"/>
      <c r="RHV247"/>
      <c r="RHW247"/>
      <c r="RHX247"/>
      <c r="RHY247"/>
      <c r="RHZ247"/>
      <c r="RIA247"/>
      <c r="RIB247"/>
      <c r="RIC247"/>
      <c r="RID247"/>
      <c r="RIE247"/>
      <c r="RIF247"/>
      <c r="RIG247"/>
      <c r="RIH247"/>
      <c r="RII247"/>
      <c r="RIJ247"/>
      <c r="RIK247"/>
      <c r="RIL247"/>
      <c r="RIM247"/>
      <c r="RIN247"/>
      <c r="RIO247"/>
      <c r="RIP247"/>
      <c r="RIQ247"/>
      <c r="RIR247"/>
      <c r="RIS247"/>
      <c r="RIT247"/>
      <c r="RIU247"/>
      <c r="RIV247"/>
      <c r="RIW247"/>
      <c r="RIX247"/>
      <c r="RIY247"/>
      <c r="RIZ247"/>
      <c r="RJA247"/>
      <c r="RJB247"/>
      <c r="RJC247"/>
      <c r="RJD247"/>
      <c r="RJE247"/>
      <c r="RJF247"/>
      <c r="RJG247"/>
      <c r="RJH247"/>
      <c r="RJI247"/>
      <c r="RJJ247"/>
      <c r="RJK247"/>
      <c r="RJL247"/>
      <c r="RJM247"/>
      <c r="RJN247"/>
      <c r="RJO247"/>
      <c r="RJP247"/>
      <c r="RJQ247"/>
      <c r="RJR247"/>
      <c r="RJS247"/>
      <c r="RJT247"/>
      <c r="RJU247"/>
      <c r="RJV247"/>
      <c r="RJW247"/>
      <c r="RJX247"/>
      <c r="RJY247"/>
      <c r="RJZ247"/>
      <c r="RKA247"/>
      <c r="RKB247"/>
      <c r="RKC247"/>
      <c r="RKD247"/>
      <c r="RKE247"/>
      <c r="RKF247"/>
      <c r="RKG247"/>
      <c r="RKH247"/>
      <c r="RKI247"/>
      <c r="RKJ247"/>
      <c r="RKK247"/>
      <c r="RKL247"/>
      <c r="RKM247"/>
      <c r="RKN247"/>
      <c r="RKO247"/>
      <c r="RKP247"/>
      <c r="RKQ247"/>
      <c r="RKR247"/>
      <c r="RKS247"/>
      <c r="RKT247"/>
      <c r="RKU247"/>
      <c r="RKV247"/>
      <c r="RKW247"/>
      <c r="RKX247"/>
      <c r="RKY247"/>
      <c r="RKZ247"/>
      <c r="RLA247"/>
      <c r="RLB247"/>
      <c r="RLC247"/>
      <c r="RLD247"/>
      <c r="RLE247"/>
      <c r="RLF247"/>
      <c r="RLG247"/>
      <c r="RLH247"/>
      <c r="RLI247"/>
      <c r="RLJ247"/>
      <c r="RLK247"/>
      <c r="RLL247"/>
      <c r="RLM247"/>
      <c r="RLN247"/>
      <c r="RLO247"/>
      <c r="RLP247"/>
      <c r="RLQ247"/>
      <c r="RLR247"/>
      <c r="RLS247"/>
      <c r="RLT247"/>
      <c r="RLU247"/>
      <c r="RLV247"/>
      <c r="RLW247"/>
      <c r="RLX247"/>
      <c r="RLY247"/>
      <c r="RLZ247"/>
      <c r="RMA247"/>
      <c r="RMB247"/>
      <c r="RMC247"/>
      <c r="RMD247"/>
      <c r="RME247"/>
      <c r="RMF247"/>
      <c r="RMG247"/>
      <c r="RMH247"/>
      <c r="RMI247"/>
      <c r="RMJ247"/>
      <c r="RMK247"/>
      <c r="RML247"/>
      <c r="RMM247"/>
      <c r="RMN247"/>
      <c r="RMO247"/>
      <c r="RMP247"/>
      <c r="RMQ247"/>
      <c r="RMR247"/>
      <c r="RMS247"/>
      <c r="RMT247"/>
      <c r="RMU247"/>
      <c r="RMV247"/>
      <c r="RMW247"/>
      <c r="RMX247"/>
      <c r="RMY247"/>
      <c r="RMZ247"/>
      <c r="RNA247"/>
      <c r="RNB247"/>
      <c r="RNC247"/>
      <c r="RND247"/>
      <c r="RNE247"/>
      <c r="RNF247"/>
      <c r="RNG247"/>
      <c r="RNH247"/>
      <c r="RNI247"/>
      <c r="RNJ247"/>
      <c r="RNK247"/>
      <c r="RNL247"/>
      <c r="RNM247"/>
      <c r="RNN247"/>
      <c r="RNO247"/>
      <c r="RNP247"/>
      <c r="RNQ247"/>
      <c r="RNR247"/>
      <c r="RNS247"/>
      <c r="RNT247"/>
      <c r="RNU247"/>
      <c r="RNV247"/>
      <c r="RNW247"/>
      <c r="RNX247"/>
      <c r="RNY247"/>
      <c r="RNZ247"/>
      <c r="ROA247"/>
      <c r="ROB247"/>
      <c r="ROC247"/>
      <c r="ROD247"/>
      <c r="ROE247"/>
      <c r="ROF247"/>
      <c r="ROG247"/>
      <c r="ROH247"/>
      <c r="ROI247"/>
      <c r="ROJ247"/>
      <c r="ROK247"/>
      <c r="ROL247"/>
      <c r="ROM247"/>
      <c r="RON247"/>
      <c r="ROO247"/>
      <c r="ROP247"/>
      <c r="ROQ247"/>
      <c r="ROR247"/>
      <c r="ROS247"/>
      <c r="ROT247"/>
      <c r="ROU247"/>
      <c r="ROV247"/>
      <c r="ROW247"/>
      <c r="ROX247"/>
      <c r="ROY247"/>
      <c r="ROZ247"/>
      <c r="RPA247"/>
      <c r="RPB247"/>
      <c r="RPC247"/>
      <c r="RPD247"/>
      <c r="RPE247"/>
      <c r="RPF247"/>
      <c r="RPG247"/>
      <c r="RPH247"/>
      <c r="RPI247"/>
      <c r="RPJ247"/>
      <c r="RPK247"/>
      <c r="RPL247"/>
      <c r="RPM247"/>
      <c r="RPN247"/>
      <c r="RPO247"/>
      <c r="RPP247"/>
      <c r="RPQ247"/>
      <c r="RPR247"/>
      <c r="RPS247"/>
      <c r="RPT247"/>
      <c r="RPU247"/>
      <c r="RPV247"/>
      <c r="RPW247"/>
      <c r="RPX247"/>
      <c r="RPY247"/>
      <c r="RPZ247"/>
      <c r="RQA247"/>
      <c r="RQB247"/>
      <c r="RQC247"/>
      <c r="RQD247"/>
      <c r="RQE247"/>
      <c r="RQF247"/>
      <c r="RQG247"/>
      <c r="RQH247"/>
      <c r="RQI247"/>
      <c r="RQJ247"/>
      <c r="RQK247"/>
      <c r="RQL247"/>
      <c r="RQM247"/>
      <c r="RQN247"/>
      <c r="RQO247"/>
      <c r="RQP247"/>
      <c r="RQQ247"/>
      <c r="RQR247"/>
      <c r="RQS247"/>
      <c r="RQT247"/>
      <c r="RQU247"/>
      <c r="RQV247"/>
      <c r="RQW247"/>
      <c r="RQX247"/>
      <c r="RQY247"/>
      <c r="RQZ247"/>
      <c r="RRA247"/>
      <c r="RRB247"/>
      <c r="RRC247"/>
      <c r="RRD247"/>
      <c r="RRE247"/>
      <c r="RRF247"/>
      <c r="RRG247"/>
      <c r="RRH247"/>
      <c r="RRI247"/>
      <c r="RRJ247"/>
      <c r="RRK247"/>
      <c r="RRL247"/>
      <c r="RRM247"/>
      <c r="RRN247"/>
      <c r="RRO247"/>
      <c r="RRP247"/>
      <c r="RRQ247"/>
      <c r="RRR247"/>
      <c r="RRS247"/>
      <c r="RRT247"/>
      <c r="RRU247"/>
      <c r="RRV247"/>
      <c r="RRW247"/>
      <c r="RRX247"/>
      <c r="RRY247"/>
      <c r="RRZ247"/>
      <c r="RSA247"/>
      <c r="RSB247"/>
      <c r="RSC247"/>
      <c r="RSD247"/>
      <c r="RSE247"/>
      <c r="RSF247"/>
      <c r="RSG247"/>
      <c r="RSH247"/>
      <c r="RSI247"/>
      <c r="RSJ247"/>
      <c r="RSK247"/>
      <c r="RSL247"/>
      <c r="RSM247"/>
      <c r="RSN247"/>
      <c r="RSO247"/>
      <c r="RSP247"/>
      <c r="RSQ247"/>
      <c r="RSR247"/>
      <c r="RSS247"/>
      <c r="RST247"/>
      <c r="RSU247"/>
      <c r="RSV247"/>
      <c r="RSW247"/>
      <c r="RSX247"/>
      <c r="RSY247"/>
      <c r="RSZ247"/>
      <c r="RTA247"/>
      <c r="RTB247"/>
      <c r="RTC247"/>
      <c r="RTD247"/>
      <c r="RTE247"/>
      <c r="RTF247"/>
      <c r="RTG247"/>
      <c r="RTH247"/>
      <c r="RTI247"/>
      <c r="RTJ247"/>
      <c r="RTK247"/>
      <c r="RTL247"/>
      <c r="RTM247"/>
      <c r="RTN247"/>
      <c r="RTO247"/>
      <c r="RTP247"/>
      <c r="RTQ247"/>
      <c r="RTR247"/>
      <c r="RTS247"/>
      <c r="RTT247"/>
      <c r="RTU247"/>
      <c r="RTV247"/>
      <c r="RTW247"/>
      <c r="RTX247"/>
      <c r="RTY247"/>
      <c r="RTZ247"/>
      <c r="RUA247"/>
      <c r="RUB247"/>
      <c r="RUC247"/>
      <c r="RUD247"/>
      <c r="RUE247"/>
      <c r="RUF247"/>
      <c r="RUG247"/>
      <c r="RUH247"/>
      <c r="RUI247"/>
      <c r="RUJ247"/>
      <c r="RUK247"/>
      <c r="RUL247"/>
      <c r="RUM247"/>
      <c r="RUN247"/>
      <c r="RUO247"/>
      <c r="RUP247"/>
      <c r="RUQ247"/>
      <c r="RUR247"/>
      <c r="RUS247"/>
      <c r="RUT247"/>
      <c r="RUU247"/>
      <c r="RUV247"/>
      <c r="RUW247"/>
      <c r="RUX247"/>
      <c r="RUY247"/>
      <c r="RUZ247"/>
      <c r="RVA247"/>
      <c r="RVB247"/>
      <c r="RVC247"/>
      <c r="RVD247"/>
      <c r="RVE247"/>
      <c r="RVF247"/>
      <c r="RVG247"/>
      <c r="RVH247"/>
      <c r="RVI247"/>
      <c r="RVJ247"/>
      <c r="RVK247"/>
      <c r="RVL247"/>
      <c r="RVM247"/>
      <c r="RVN247"/>
      <c r="RVO247"/>
      <c r="RVP247"/>
      <c r="RVQ247"/>
      <c r="RVR247"/>
      <c r="RVS247"/>
      <c r="RVT247"/>
      <c r="RVU247"/>
      <c r="RVV247"/>
      <c r="RVW247"/>
      <c r="RVX247"/>
      <c r="RVY247"/>
      <c r="RVZ247"/>
      <c r="RWA247"/>
      <c r="RWB247"/>
      <c r="RWC247"/>
      <c r="RWD247"/>
      <c r="RWE247"/>
      <c r="RWF247"/>
      <c r="RWG247"/>
      <c r="RWH247"/>
      <c r="RWI247"/>
      <c r="RWJ247"/>
      <c r="RWK247"/>
      <c r="RWL247"/>
      <c r="RWM247"/>
      <c r="RWN247"/>
      <c r="RWO247"/>
      <c r="RWP247"/>
      <c r="RWQ247"/>
      <c r="RWR247"/>
      <c r="RWS247"/>
      <c r="RWT247"/>
      <c r="RWU247"/>
      <c r="RWV247"/>
      <c r="RWW247"/>
      <c r="RWX247"/>
      <c r="RWY247"/>
      <c r="RWZ247"/>
      <c r="RXA247"/>
      <c r="RXB247"/>
      <c r="RXC247"/>
      <c r="RXD247"/>
      <c r="RXE247"/>
      <c r="RXF247"/>
      <c r="RXG247"/>
      <c r="RXH247"/>
      <c r="RXI247"/>
      <c r="RXJ247"/>
      <c r="RXK247"/>
      <c r="RXL247"/>
      <c r="RXM247"/>
      <c r="RXN247"/>
      <c r="RXO247"/>
      <c r="RXP247"/>
      <c r="RXQ247"/>
      <c r="RXR247"/>
      <c r="RXS247"/>
      <c r="RXT247"/>
      <c r="RXU247"/>
      <c r="RXV247"/>
      <c r="RXW247"/>
      <c r="RXX247"/>
      <c r="RXY247"/>
      <c r="RXZ247"/>
      <c r="RYA247"/>
      <c r="RYB247"/>
      <c r="RYC247"/>
      <c r="RYD247"/>
      <c r="RYE247"/>
      <c r="RYF247"/>
      <c r="RYG247"/>
      <c r="RYH247"/>
      <c r="RYI247"/>
      <c r="RYJ247"/>
      <c r="RYK247"/>
      <c r="RYL247"/>
      <c r="RYM247"/>
      <c r="RYN247"/>
      <c r="RYO247"/>
      <c r="RYP247"/>
      <c r="RYQ247"/>
      <c r="RYR247"/>
      <c r="RYS247"/>
      <c r="RYT247"/>
      <c r="RYU247"/>
      <c r="RYV247"/>
      <c r="RYW247"/>
      <c r="RYX247"/>
      <c r="RYY247"/>
      <c r="RYZ247"/>
      <c r="RZA247"/>
      <c r="RZB247"/>
      <c r="RZC247"/>
      <c r="RZD247"/>
      <c r="RZE247"/>
      <c r="RZF247"/>
      <c r="RZG247"/>
      <c r="RZH247"/>
      <c r="RZI247"/>
      <c r="RZJ247"/>
      <c r="RZK247"/>
      <c r="RZL247"/>
      <c r="RZM247"/>
      <c r="RZN247"/>
      <c r="RZO247"/>
      <c r="RZP247"/>
      <c r="RZQ247"/>
      <c r="RZR247"/>
      <c r="RZS247"/>
      <c r="RZT247"/>
      <c r="RZU247"/>
      <c r="RZV247"/>
      <c r="RZW247"/>
      <c r="RZX247"/>
      <c r="RZY247"/>
      <c r="RZZ247"/>
      <c r="SAA247"/>
      <c r="SAB247"/>
      <c r="SAC247"/>
      <c r="SAD247"/>
      <c r="SAE247"/>
      <c r="SAF247"/>
      <c r="SAG247"/>
      <c r="SAH247"/>
      <c r="SAI247"/>
      <c r="SAJ247"/>
      <c r="SAK247"/>
      <c r="SAL247"/>
      <c r="SAM247"/>
      <c r="SAN247"/>
      <c r="SAO247"/>
      <c r="SAP247"/>
      <c r="SAQ247"/>
      <c r="SAR247"/>
      <c r="SAS247"/>
      <c r="SAT247"/>
      <c r="SAU247"/>
      <c r="SAV247"/>
      <c r="SAW247"/>
      <c r="SAX247"/>
      <c r="SAY247"/>
      <c r="SAZ247"/>
      <c r="SBA247"/>
      <c r="SBB247"/>
      <c r="SBC247"/>
      <c r="SBD247"/>
      <c r="SBE247"/>
      <c r="SBF247"/>
      <c r="SBG247"/>
      <c r="SBH247"/>
      <c r="SBI247"/>
      <c r="SBJ247"/>
      <c r="SBK247"/>
      <c r="SBL247"/>
      <c r="SBM247"/>
      <c r="SBN247"/>
      <c r="SBO247"/>
      <c r="SBP247"/>
      <c r="SBQ247"/>
      <c r="SBR247"/>
      <c r="SBS247"/>
      <c r="SBT247"/>
      <c r="SBU247"/>
      <c r="SBV247"/>
      <c r="SBW247"/>
      <c r="SBX247"/>
      <c r="SBY247"/>
      <c r="SBZ247"/>
      <c r="SCA247"/>
      <c r="SCB247"/>
      <c r="SCC247"/>
      <c r="SCD247"/>
      <c r="SCE247"/>
      <c r="SCF247"/>
      <c r="SCG247"/>
      <c r="SCH247"/>
      <c r="SCI247"/>
      <c r="SCJ247"/>
      <c r="SCK247"/>
      <c r="SCL247"/>
      <c r="SCM247"/>
      <c r="SCN247"/>
      <c r="SCO247"/>
      <c r="SCP247"/>
      <c r="SCQ247"/>
      <c r="SCR247"/>
      <c r="SCS247"/>
      <c r="SCT247"/>
      <c r="SCU247"/>
      <c r="SCV247"/>
      <c r="SCW247"/>
      <c r="SCX247"/>
      <c r="SCY247"/>
      <c r="SCZ247"/>
      <c r="SDA247"/>
      <c r="SDB247"/>
      <c r="SDC247"/>
      <c r="SDD247"/>
      <c r="SDE247"/>
      <c r="SDF247"/>
      <c r="SDG247"/>
      <c r="SDH247"/>
      <c r="SDI247"/>
      <c r="SDJ247"/>
      <c r="SDK247"/>
      <c r="SDL247"/>
      <c r="SDM247"/>
      <c r="SDN247"/>
      <c r="SDO247"/>
      <c r="SDP247"/>
      <c r="SDQ247"/>
      <c r="SDR247"/>
      <c r="SDS247"/>
      <c r="SDT247"/>
      <c r="SDU247"/>
      <c r="SDV247"/>
      <c r="SDW247"/>
      <c r="SDX247"/>
      <c r="SDY247"/>
      <c r="SDZ247"/>
      <c r="SEA247"/>
      <c r="SEB247"/>
      <c r="SEC247"/>
      <c r="SED247"/>
      <c r="SEE247"/>
      <c r="SEF247"/>
      <c r="SEG247"/>
      <c r="SEH247"/>
      <c r="SEI247"/>
      <c r="SEJ247"/>
      <c r="SEK247"/>
      <c r="SEL247"/>
      <c r="SEM247"/>
      <c r="SEN247"/>
      <c r="SEO247"/>
      <c r="SEP247"/>
      <c r="SEQ247"/>
      <c r="SER247"/>
      <c r="SES247"/>
      <c r="SET247"/>
      <c r="SEU247"/>
      <c r="SEV247"/>
      <c r="SEW247"/>
      <c r="SEX247"/>
      <c r="SEY247"/>
      <c r="SEZ247"/>
      <c r="SFA247"/>
      <c r="SFB247"/>
      <c r="SFC247"/>
      <c r="SFD247"/>
      <c r="SFE247"/>
      <c r="SFF247"/>
      <c r="SFG247"/>
      <c r="SFH247"/>
      <c r="SFI247"/>
      <c r="SFJ247"/>
      <c r="SFK247"/>
      <c r="SFL247"/>
      <c r="SFM247"/>
      <c r="SFN247"/>
      <c r="SFO247"/>
      <c r="SFP247"/>
      <c r="SFQ247"/>
      <c r="SFR247"/>
      <c r="SFS247"/>
      <c r="SFT247"/>
      <c r="SFU247"/>
      <c r="SFV247"/>
      <c r="SFW247"/>
      <c r="SFX247"/>
      <c r="SFY247"/>
      <c r="SFZ247"/>
      <c r="SGA247"/>
      <c r="SGB247"/>
      <c r="SGC247"/>
      <c r="SGD247"/>
      <c r="SGE247"/>
      <c r="SGF247"/>
      <c r="SGG247"/>
      <c r="SGH247"/>
      <c r="SGI247"/>
      <c r="SGJ247"/>
      <c r="SGK247"/>
      <c r="SGL247"/>
      <c r="SGM247"/>
      <c r="SGN247"/>
      <c r="SGO247"/>
      <c r="SGP247"/>
      <c r="SGQ247"/>
      <c r="SGR247"/>
      <c r="SGS247"/>
      <c r="SGT247"/>
      <c r="SGU247"/>
      <c r="SGV247"/>
      <c r="SGW247"/>
      <c r="SGX247"/>
      <c r="SGY247"/>
      <c r="SGZ247"/>
      <c r="SHA247"/>
      <c r="SHB247"/>
      <c r="SHC247"/>
      <c r="SHD247"/>
      <c r="SHE247"/>
      <c r="SHF247"/>
      <c r="SHG247"/>
      <c r="SHH247"/>
      <c r="SHI247"/>
      <c r="SHJ247"/>
      <c r="SHK247"/>
      <c r="SHL247"/>
      <c r="SHM247"/>
      <c r="SHN247"/>
      <c r="SHO247"/>
      <c r="SHP247"/>
      <c r="SHQ247"/>
      <c r="SHR247"/>
      <c r="SHS247"/>
      <c r="SHT247"/>
      <c r="SHU247"/>
      <c r="SHV247"/>
      <c r="SHW247"/>
      <c r="SHX247"/>
      <c r="SHY247"/>
      <c r="SHZ247"/>
      <c r="SIA247"/>
      <c r="SIB247"/>
      <c r="SIC247"/>
      <c r="SID247"/>
      <c r="SIE247"/>
      <c r="SIF247"/>
      <c r="SIG247"/>
      <c r="SIH247"/>
      <c r="SII247"/>
      <c r="SIJ247"/>
      <c r="SIK247"/>
      <c r="SIL247"/>
      <c r="SIM247"/>
      <c r="SIN247"/>
      <c r="SIO247"/>
      <c r="SIP247"/>
      <c r="SIQ247"/>
      <c r="SIR247"/>
      <c r="SIS247"/>
      <c r="SIT247"/>
      <c r="SIU247"/>
      <c r="SIV247"/>
      <c r="SIW247"/>
      <c r="SIX247"/>
      <c r="SIY247"/>
      <c r="SIZ247"/>
      <c r="SJA247"/>
      <c r="SJB247"/>
      <c r="SJC247"/>
      <c r="SJD247"/>
      <c r="SJE247"/>
      <c r="SJF247"/>
      <c r="SJG247"/>
      <c r="SJH247"/>
      <c r="SJI247"/>
      <c r="SJJ247"/>
      <c r="SJK247"/>
      <c r="SJL247"/>
      <c r="SJM247"/>
      <c r="SJN247"/>
      <c r="SJO247"/>
      <c r="SJP247"/>
      <c r="SJQ247"/>
      <c r="SJR247"/>
      <c r="SJS247"/>
      <c r="SJT247"/>
      <c r="SJU247"/>
      <c r="SJV247"/>
      <c r="SJW247"/>
      <c r="SJX247"/>
      <c r="SJY247"/>
      <c r="SJZ247"/>
      <c r="SKA247"/>
      <c r="SKB247"/>
      <c r="SKC247"/>
      <c r="SKD247"/>
      <c r="SKE247"/>
      <c r="SKF247"/>
      <c r="SKG247"/>
      <c r="SKH247"/>
      <c r="SKI247"/>
      <c r="SKJ247"/>
      <c r="SKK247"/>
      <c r="SKL247"/>
      <c r="SKM247"/>
      <c r="SKN247"/>
      <c r="SKO247"/>
      <c r="SKP247"/>
      <c r="SKQ247"/>
      <c r="SKR247"/>
      <c r="SKS247"/>
      <c r="SKT247"/>
      <c r="SKU247"/>
      <c r="SKV247"/>
      <c r="SKW247"/>
      <c r="SKX247"/>
      <c r="SKY247"/>
      <c r="SKZ247"/>
      <c r="SLA247"/>
      <c r="SLB247"/>
      <c r="SLC247"/>
      <c r="SLD247"/>
      <c r="SLE247"/>
      <c r="SLF247"/>
      <c r="SLG247"/>
      <c r="SLH247"/>
      <c r="SLI247"/>
      <c r="SLJ247"/>
      <c r="SLK247"/>
      <c r="SLL247"/>
      <c r="SLM247"/>
      <c r="SLN247"/>
      <c r="SLO247"/>
      <c r="SLP247"/>
      <c r="SLQ247"/>
      <c r="SLR247"/>
      <c r="SLS247"/>
      <c r="SLT247"/>
      <c r="SLU247"/>
      <c r="SLV247"/>
      <c r="SLW247"/>
      <c r="SLX247"/>
      <c r="SLY247"/>
      <c r="SLZ247"/>
      <c r="SMA247"/>
      <c r="SMB247"/>
      <c r="SMC247"/>
      <c r="SMD247"/>
      <c r="SME247"/>
      <c r="SMF247"/>
      <c r="SMG247"/>
      <c r="SMH247"/>
      <c r="SMI247"/>
      <c r="SMJ247"/>
      <c r="SMK247"/>
      <c r="SML247"/>
      <c r="SMM247"/>
      <c r="SMN247"/>
      <c r="SMO247"/>
      <c r="SMP247"/>
      <c r="SMQ247"/>
      <c r="SMR247"/>
      <c r="SMS247"/>
      <c r="SMT247"/>
      <c r="SMU247"/>
      <c r="SMV247"/>
      <c r="SMW247"/>
      <c r="SMX247"/>
      <c r="SMY247"/>
      <c r="SMZ247"/>
      <c r="SNA247"/>
      <c r="SNB247"/>
      <c r="SNC247"/>
      <c r="SND247"/>
      <c r="SNE247"/>
      <c r="SNF247"/>
      <c r="SNG247"/>
      <c r="SNH247"/>
      <c r="SNI247"/>
      <c r="SNJ247"/>
      <c r="SNK247"/>
      <c r="SNL247"/>
      <c r="SNM247"/>
      <c r="SNN247"/>
      <c r="SNO247"/>
      <c r="SNP247"/>
      <c r="SNQ247"/>
      <c r="SNR247"/>
      <c r="SNS247"/>
      <c r="SNT247"/>
      <c r="SNU247"/>
      <c r="SNV247"/>
      <c r="SNW247"/>
      <c r="SNX247"/>
      <c r="SNY247"/>
      <c r="SNZ247"/>
      <c r="SOA247"/>
      <c r="SOB247"/>
      <c r="SOC247"/>
      <c r="SOD247"/>
      <c r="SOE247"/>
      <c r="SOF247"/>
      <c r="SOG247"/>
      <c r="SOH247"/>
      <c r="SOI247"/>
      <c r="SOJ247"/>
      <c r="SOK247"/>
      <c r="SOL247"/>
      <c r="SOM247"/>
      <c r="SON247"/>
      <c r="SOO247"/>
      <c r="SOP247"/>
      <c r="SOQ247"/>
      <c r="SOR247"/>
      <c r="SOS247"/>
      <c r="SOT247"/>
      <c r="SOU247"/>
      <c r="SOV247"/>
      <c r="SOW247"/>
      <c r="SOX247"/>
      <c r="SOY247"/>
      <c r="SOZ247"/>
      <c r="SPA247"/>
      <c r="SPB247"/>
      <c r="SPC247"/>
      <c r="SPD247"/>
      <c r="SPE247"/>
      <c r="SPF247"/>
      <c r="SPG247"/>
      <c r="SPH247"/>
      <c r="SPI247"/>
      <c r="SPJ247"/>
      <c r="SPK247"/>
      <c r="SPL247"/>
      <c r="SPM247"/>
      <c r="SPN247"/>
      <c r="SPO247"/>
      <c r="SPP247"/>
      <c r="SPQ247"/>
      <c r="SPR247"/>
      <c r="SPS247"/>
      <c r="SPT247"/>
      <c r="SPU247"/>
      <c r="SPV247"/>
      <c r="SPW247"/>
      <c r="SPX247"/>
      <c r="SPY247"/>
      <c r="SPZ247"/>
      <c r="SQA247"/>
      <c r="SQB247"/>
      <c r="SQC247"/>
      <c r="SQD247"/>
      <c r="SQE247"/>
      <c r="SQF247"/>
      <c r="SQG247"/>
      <c r="SQH247"/>
      <c r="SQI247"/>
      <c r="SQJ247"/>
      <c r="SQK247"/>
      <c r="SQL247"/>
      <c r="SQM247"/>
      <c r="SQN247"/>
      <c r="SQO247"/>
      <c r="SQP247"/>
      <c r="SQQ247"/>
      <c r="SQR247"/>
      <c r="SQS247"/>
      <c r="SQT247"/>
      <c r="SQU247"/>
      <c r="SQV247"/>
      <c r="SQW247"/>
      <c r="SQX247"/>
      <c r="SQY247"/>
      <c r="SQZ247"/>
      <c r="SRA247"/>
      <c r="SRB247"/>
      <c r="SRC247"/>
      <c r="SRD247"/>
      <c r="SRE247"/>
      <c r="SRF247"/>
      <c r="SRG247"/>
      <c r="SRH247"/>
      <c r="SRI247"/>
      <c r="SRJ247"/>
      <c r="SRK247"/>
      <c r="SRL247"/>
      <c r="SRM247"/>
      <c r="SRN247"/>
      <c r="SRO247"/>
      <c r="SRP247"/>
      <c r="SRQ247"/>
      <c r="SRR247"/>
      <c r="SRS247"/>
      <c r="SRT247"/>
      <c r="SRU247"/>
      <c r="SRV247"/>
      <c r="SRW247"/>
      <c r="SRX247"/>
      <c r="SRY247"/>
      <c r="SRZ247"/>
      <c r="SSA247"/>
      <c r="SSB247"/>
      <c r="SSC247"/>
      <c r="SSD247"/>
      <c r="SSE247"/>
      <c r="SSF247"/>
      <c r="SSG247"/>
      <c r="SSH247"/>
      <c r="SSI247"/>
      <c r="SSJ247"/>
      <c r="SSK247"/>
      <c r="SSL247"/>
      <c r="SSM247"/>
      <c r="SSN247"/>
      <c r="SSO247"/>
      <c r="SSP247"/>
      <c r="SSQ247"/>
      <c r="SSR247"/>
      <c r="SSS247"/>
      <c r="SST247"/>
      <c r="SSU247"/>
      <c r="SSV247"/>
      <c r="SSW247"/>
      <c r="SSX247"/>
      <c r="SSY247"/>
      <c r="SSZ247"/>
      <c r="STA247"/>
      <c r="STB247"/>
      <c r="STC247"/>
      <c r="STD247"/>
      <c r="STE247"/>
      <c r="STF247"/>
      <c r="STG247"/>
      <c r="STH247"/>
      <c r="STI247"/>
      <c r="STJ247"/>
      <c r="STK247"/>
      <c r="STL247"/>
      <c r="STM247"/>
      <c r="STN247"/>
      <c r="STO247"/>
      <c r="STP247"/>
      <c r="STQ247"/>
      <c r="STR247"/>
      <c r="STS247"/>
      <c r="STT247"/>
      <c r="STU247"/>
      <c r="STV247"/>
      <c r="STW247"/>
      <c r="STX247"/>
      <c r="STY247"/>
      <c r="STZ247"/>
      <c r="SUA247"/>
      <c r="SUB247"/>
      <c r="SUC247"/>
      <c r="SUD247"/>
      <c r="SUE247"/>
      <c r="SUF247"/>
      <c r="SUG247"/>
      <c r="SUH247"/>
      <c r="SUI247"/>
      <c r="SUJ247"/>
      <c r="SUK247"/>
      <c r="SUL247"/>
      <c r="SUM247"/>
      <c r="SUN247"/>
      <c r="SUO247"/>
      <c r="SUP247"/>
      <c r="SUQ247"/>
      <c r="SUR247"/>
      <c r="SUS247"/>
      <c r="SUT247"/>
      <c r="SUU247"/>
      <c r="SUV247"/>
      <c r="SUW247"/>
      <c r="SUX247"/>
      <c r="SUY247"/>
      <c r="SUZ247"/>
      <c r="SVA247"/>
      <c r="SVB247"/>
      <c r="SVC247"/>
      <c r="SVD247"/>
      <c r="SVE247"/>
      <c r="SVF247"/>
      <c r="SVG247"/>
      <c r="SVH247"/>
      <c r="SVI247"/>
      <c r="SVJ247"/>
      <c r="SVK247"/>
      <c r="SVL247"/>
      <c r="SVM247"/>
      <c r="SVN247"/>
      <c r="SVO247"/>
      <c r="SVP247"/>
      <c r="SVQ247"/>
      <c r="SVR247"/>
      <c r="SVS247"/>
      <c r="SVT247"/>
      <c r="SVU247"/>
      <c r="SVV247"/>
      <c r="SVW247"/>
      <c r="SVX247"/>
      <c r="SVY247"/>
      <c r="SVZ247"/>
      <c r="SWA247"/>
      <c r="SWB247"/>
      <c r="SWC247"/>
      <c r="SWD247"/>
      <c r="SWE247"/>
      <c r="SWF247"/>
      <c r="SWG247"/>
      <c r="SWH247"/>
      <c r="SWI247"/>
      <c r="SWJ247"/>
      <c r="SWK247"/>
      <c r="SWL247"/>
      <c r="SWM247"/>
      <c r="SWN247"/>
      <c r="SWO247"/>
      <c r="SWP247"/>
      <c r="SWQ247"/>
      <c r="SWR247"/>
      <c r="SWS247"/>
      <c r="SWT247"/>
      <c r="SWU247"/>
      <c r="SWV247"/>
      <c r="SWW247"/>
      <c r="SWX247"/>
      <c r="SWY247"/>
      <c r="SWZ247"/>
      <c r="SXA247"/>
      <c r="SXB247"/>
      <c r="SXC247"/>
      <c r="SXD247"/>
      <c r="SXE247"/>
      <c r="SXF247"/>
      <c r="SXG247"/>
      <c r="SXH247"/>
      <c r="SXI247"/>
      <c r="SXJ247"/>
      <c r="SXK247"/>
      <c r="SXL247"/>
      <c r="SXM247"/>
      <c r="SXN247"/>
      <c r="SXO247"/>
      <c r="SXP247"/>
      <c r="SXQ247"/>
      <c r="SXR247"/>
      <c r="SXS247"/>
      <c r="SXT247"/>
      <c r="SXU247"/>
      <c r="SXV247"/>
      <c r="SXW247"/>
      <c r="SXX247"/>
      <c r="SXY247"/>
      <c r="SXZ247"/>
      <c r="SYA247"/>
      <c r="SYB247"/>
      <c r="SYC247"/>
      <c r="SYD247"/>
      <c r="SYE247"/>
      <c r="SYF247"/>
      <c r="SYG247"/>
      <c r="SYH247"/>
      <c r="SYI247"/>
      <c r="SYJ247"/>
      <c r="SYK247"/>
      <c r="SYL247"/>
      <c r="SYM247"/>
      <c r="SYN247"/>
      <c r="SYO247"/>
      <c r="SYP247"/>
      <c r="SYQ247"/>
      <c r="SYR247"/>
      <c r="SYS247"/>
      <c r="SYT247"/>
      <c r="SYU247"/>
      <c r="SYV247"/>
      <c r="SYW247"/>
      <c r="SYX247"/>
      <c r="SYY247"/>
      <c r="SYZ247"/>
      <c r="SZA247"/>
      <c r="SZB247"/>
      <c r="SZC247"/>
      <c r="SZD247"/>
      <c r="SZE247"/>
      <c r="SZF247"/>
      <c r="SZG247"/>
      <c r="SZH247"/>
      <c r="SZI247"/>
      <c r="SZJ247"/>
      <c r="SZK247"/>
      <c r="SZL247"/>
      <c r="SZM247"/>
      <c r="SZN247"/>
      <c r="SZO247"/>
      <c r="SZP247"/>
      <c r="SZQ247"/>
      <c r="SZR247"/>
      <c r="SZS247"/>
      <c r="SZT247"/>
      <c r="SZU247"/>
      <c r="SZV247"/>
      <c r="SZW247"/>
      <c r="SZX247"/>
      <c r="SZY247"/>
      <c r="SZZ247"/>
      <c r="TAA247"/>
      <c r="TAB247"/>
      <c r="TAC247"/>
      <c r="TAD247"/>
      <c r="TAE247"/>
      <c r="TAF247"/>
      <c r="TAG247"/>
      <c r="TAH247"/>
      <c r="TAI247"/>
      <c r="TAJ247"/>
      <c r="TAK247"/>
      <c r="TAL247"/>
      <c r="TAM247"/>
      <c r="TAN247"/>
      <c r="TAO247"/>
      <c r="TAP247"/>
      <c r="TAQ247"/>
      <c r="TAR247"/>
      <c r="TAS247"/>
      <c r="TAT247"/>
      <c r="TAU247"/>
      <c r="TAV247"/>
      <c r="TAW247"/>
      <c r="TAX247"/>
      <c r="TAY247"/>
      <c r="TAZ247"/>
      <c r="TBA247"/>
      <c r="TBB247"/>
      <c r="TBC247"/>
      <c r="TBD247"/>
      <c r="TBE247"/>
      <c r="TBF247"/>
      <c r="TBG247"/>
      <c r="TBH247"/>
      <c r="TBI247"/>
      <c r="TBJ247"/>
      <c r="TBK247"/>
      <c r="TBL247"/>
      <c r="TBM247"/>
      <c r="TBN247"/>
      <c r="TBO247"/>
      <c r="TBP247"/>
      <c r="TBQ247"/>
      <c r="TBR247"/>
      <c r="TBS247"/>
      <c r="TBT247"/>
      <c r="TBU247"/>
      <c r="TBV247"/>
      <c r="TBW247"/>
      <c r="TBX247"/>
      <c r="TBY247"/>
      <c r="TBZ247"/>
      <c r="TCA247"/>
      <c r="TCB247"/>
      <c r="TCC247"/>
      <c r="TCD247"/>
      <c r="TCE247"/>
      <c r="TCF247"/>
      <c r="TCG247"/>
      <c r="TCH247"/>
      <c r="TCI247"/>
      <c r="TCJ247"/>
      <c r="TCK247"/>
      <c r="TCL247"/>
      <c r="TCM247"/>
      <c r="TCN247"/>
      <c r="TCO247"/>
      <c r="TCP247"/>
      <c r="TCQ247"/>
      <c r="TCR247"/>
      <c r="TCS247"/>
      <c r="TCT247"/>
      <c r="TCU247"/>
      <c r="TCV247"/>
      <c r="TCW247"/>
      <c r="TCX247"/>
      <c r="TCY247"/>
      <c r="TCZ247"/>
      <c r="TDA247"/>
      <c r="TDB247"/>
      <c r="TDC247"/>
      <c r="TDD247"/>
      <c r="TDE247"/>
      <c r="TDF247"/>
      <c r="TDG247"/>
      <c r="TDH247"/>
      <c r="TDI247"/>
      <c r="TDJ247"/>
      <c r="TDK247"/>
      <c r="TDL247"/>
      <c r="TDM247"/>
      <c r="TDN247"/>
      <c r="TDO247"/>
      <c r="TDP247"/>
      <c r="TDQ247"/>
      <c r="TDR247"/>
      <c r="TDS247"/>
      <c r="TDT247"/>
      <c r="TDU247"/>
      <c r="TDV247"/>
      <c r="TDW247"/>
      <c r="TDX247"/>
      <c r="TDY247"/>
      <c r="TDZ247"/>
      <c r="TEA247"/>
      <c r="TEB247"/>
      <c r="TEC247"/>
      <c r="TED247"/>
      <c r="TEE247"/>
      <c r="TEF247"/>
      <c r="TEG247"/>
      <c r="TEH247"/>
      <c r="TEI247"/>
      <c r="TEJ247"/>
      <c r="TEK247"/>
      <c r="TEL247"/>
      <c r="TEM247"/>
      <c r="TEN247"/>
      <c r="TEO247"/>
      <c r="TEP247"/>
      <c r="TEQ247"/>
      <c r="TER247"/>
      <c r="TES247"/>
      <c r="TET247"/>
      <c r="TEU247"/>
      <c r="TEV247"/>
      <c r="TEW247"/>
      <c r="TEX247"/>
      <c r="TEY247"/>
      <c r="TEZ247"/>
      <c r="TFA247"/>
      <c r="TFB247"/>
      <c r="TFC247"/>
      <c r="TFD247"/>
      <c r="TFE247"/>
      <c r="TFF247"/>
      <c r="TFG247"/>
      <c r="TFH247"/>
      <c r="TFI247"/>
      <c r="TFJ247"/>
      <c r="TFK247"/>
      <c r="TFL247"/>
      <c r="TFM247"/>
      <c r="TFN247"/>
      <c r="TFO247"/>
      <c r="TFP247"/>
      <c r="TFQ247"/>
      <c r="TFR247"/>
      <c r="TFS247"/>
      <c r="TFT247"/>
      <c r="TFU247"/>
      <c r="TFV247"/>
      <c r="TFW247"/>
      <c r="TFX247"/>
      <c r="TFY247"/>
      <c r="TFZ247"/>
      <c r="TGA247"/>
      <c r="TGB247"/>
      <c r="TGC247"/>
      <c r="TGD247"/>
      <c r="TGE247"/>
      <c r="TGF247"/>
      <c r="TGG247"/>
      <c r="TGH247"/>
      <c r="TGI247"/>
      <c r="TGJ247"/>
      <c r="TGK247"/>
      <c r="TGL247"/>
      <c r="TGM247"/>
      <c r="TGN247"/>
      <c r="TGO247"/>
      <c r="TGP247"/>
      <c r="TGQ247"/>
      <c r="TGR247"/>
      <c r="TGS247"/>
      <c r="TGT247"/>
      <c r="TGU247"/>
      <c r="TGV247"/>
      <c r="TGW247"/>
      <c r="TGX247"/>
      <c r="TGY247"/>
      <c r="TGZ247"/>
      <c r="THA247"/>
      <c r="THB247"/>
      <c r="THC247"/>
      <c r="THD247"/>
      <c r="THE247"/>
      <c r="THF247"/>
      <c r="THG247"/>
      <c r="THH247"/>
      <c r="THI247"/>
      <c r="THJ247"/>
      <c r="THK247"/>
      <c r="THL247"/>
      <c r="THM247"/>
      <c r="THN247"/>
      <c r="THO247"/>
      <c r="THP247"/>
      <c r="THQ247"/>
      <c r="THR247"/>
      <c r="THS247"/>
      <c r="THT247"/>
      <c r="THU247"/>
      <c r="THV247"/>
      <c r="THW247"/>
      <c r="THX247"/>
      <c r="THY247"/>
      <c r="THZ247"/>
      <c r="TIA247"/>
      <c r="TIB247"/>
      <c r="TIC247"/>
      <c r="TID247"/>
      <c r="TIE247"/>
      <c r="TIF247"/>
      <c r="TIG247"/>
      <c r="TIH247"/>
      <c r="TII247"/>
      <c r="TIJ247"/>
      <c r="TIK247"/>
      <c r="TIL247"/>
      <c r="TIM247"/>
      <c r="TIN247"/>
      <c r="TIO247"/>
      <c r="TIP247"/>
      <c r="TIQ247"/>
      <c r="TIR247"/>
      <c r="TIS247"/>
      <c r="TIT247"/>
      <c r="TIU247"/>
      <c r="TIV247"/>
      <c r="TIW247"/>
      <c r="TIX247"/>
      <c r="TIY247"/>
      <c r="TIZ247"/>
      <c r="TJA247"/>
      <c r="TJB247"/>
      <c r="TJC247"/>
      <c r="TJD247"/>
      <c r="TJE247"/>
      <c r="TJF247"/>
      <c r="TJG247"/>
      <c r="TJH247"/>
      <c r="TJI247"/>
      <c r="TJJ247"/>
      <c r="TJK247"/>
      <c r="TJL247"/>
      <c r="TJM247"/>
      <c r="TJN247"/>
      <c r="TJO247"/>
      <c r="TJP247"/>
      <c r="TJQ247"/>
      <c r="TJR247"/>
      <c r="TJS247"/>
      <c r="TJT247"/>
      <c r="TJU247"/>
      <c r="TJV247"/>
      <c r="TJW247"/>
      <c r="TJX247"/>
      <c r="TJY247"/>
      <c r="TJZ247"/>
      <c r="TKA247"/>
      <c r="TKB247"/>
      <c r="TKC247"/>
      <c r="TKD247"/>
      <c r="TKE247"/>
      <c r="TKF247"/>
      <c r="TKG247"/>
      <c r="TKH247"/>
      <c r="TKI247"/>
      <c r="TKJ247"/>
      <c r="TKK247"/>
      <c r="TKL247"/>
      <c r="TKM247"/>
      <c r="TKN247"/>
      <c r="TKO247"/>
      <c r="TKP247"/>
      <c r="TKQ247"/>
      <c r="TKR247"/>
      <c r="TKS247"/>
      <c r="TKT247"/>
      <c r="TKU247"/>
      <c r="TKV247"/>
      <c r="TKW247"/>
      <c r="TKX247"/>
      <c r="TKY247"/>
      <c r="TKZ247"/>
      <c r="TLA247"/>
      <c r="TLB247"/>
      <c r="TLC247"/>
      <c r="TLD247"/>
      <c r="TLE247"/>
      <c r="TLF247"/>
      <c r="TLG247"/>
      <c r="TLH247"/>
      <c r="TLI247"/>
      <c r="TLJ247"/>
      <c r="TLK247"/>
      <c r="TLL247"/>
      <c r="TLM247"/>
      <c r="TLN247"/>
      <c r="TLO247"/>
      <c r="TLP247"/>
      <c r="TLQ247"/>
      <c r="TLR247"/>
      <c r="TLS247"/>
      <c r="TLT247"/>
      <c r="TLU247"/>
      <c r="TLV247"/>
      <c r="TLW247"/>
      <c r="TLX247"/>
      <c r="TLY247"/>
      <c r="TLZ247"/>
      <c r="TMA247"/>
      <c r="TMB247"/>
      <c r="TMC247"/>
      <c r="TMD247"/>
      <c r="TME247"/>
      <c r="TMF247"/>
      <c r="TMG247"/>
      <c r="TMH247"/>
      <c r="TMI247"/>
      <c r="TMJ247"/>
      <c r="TMK247"/>
      <c r="TML247"/>
      <c r="TMM247"/>
      <c r="TMN247"/>
      <c r="TMO247"/>
      <c r="TMP247"/>
      <c r="TMQ247"/>
      <c r="TMR247"/>
      <c r="TMS247"/>
      <c r="TMT247"/>
      <c r="TMU247"/>
      <c r="TMV247"/>
      <c r="TMW247"/>
      <c r="TMX247"/>
      <c r="TMY247"/>
      <c r="TMZ247"/>
      <c r="TNA247"/>
      <c r="TNB247"/>
      <c r="TNC247"/>
      <c r="TND247"/>
      <c r="TNE247"/>
      <c r="TNF247"/>
      <c r="TNG247"/>
      <c r="TNH247"/>
      <c r="TNI247"/>
      <c r="TNJ247"/>
      <c r="TNK247"/>
      <c r="TNL247"/>
      <c r="TNM247"/>
      <c r="TNN247"/>
      <c r="TNO247"/>
      <c r="TNP247"/>
      <c r="TNQ247"/>
      <c r="TNR247"/>
      <c r="TNS247"/>
      <c r="TNT247"/>
      <c r="TNU247"/>
      <c r="TNV247"/>
      <c r="TNW247"/>
      <c r="TNX247"/>
      <c r="TNY247"/>
      <c r="TNZ247"/>
      <c r="TOA247"/>
      <c r="TOB247"/>
      <c r="TOC247"/>
      <c r="TOD247"/>
      <c r="TOE247"/>
      <c r="TOF247"/>
      <c r="TOG247"/>
      <c r="TOH247"/>
      <c r="TOI247"/>
      <c r="TOJ247"/>
      <c r="TOK247"/>
      <c r="TOL247"/>
      <c r="TOM247"/>
      <c r="TON247"/>
      <c r="TOO247"/>
      <c r="TOP247"/>
      <c r="TOQ247"/>
      <c r="TOR247"/>
      <c r="TOS247"/>
      <c r="TOT247"/>
      <c r="TOU247"/>
      <c r="TOV247"/>
      <c r="TOW247"/>
      <c r="TOX247"/>
      <c r="TOY247"/>
      <c r="TOZ247"/>
      <c r="TPA247"/>
      <c r="TPB247"/>
      <c r="TPC247"/>
      <c r="TPD247"/>
      <c r="TPE247"/>
      <c r="TPF247"/>
      <c r="TPG247"/>
      <c r="TPH247"/>
      <c r="TPI247"/>
      <c r="TPJ247"/>
      <c r="TPK247"/>
      <c r="TPL247"/>
      <c r="TPM247"/>
      <c r="TPN247"/>
      <c r="TPO247"/>
      <c r="TPP247"/>
      <c r="TPQ247"/>
      <c r="TPR247"/>
      <c r="TPS247"/>
      <c r="TPT247"/>
      <c r="TPU247"/>
      <c r="TPV247"/>
      <c r="TPW247"/>
      <c r="TPX247"/>
      <c r="TPY247"/>
      <c r="TPZ247"/>
      <c r="TQA247"/>
      <c r="TQB247"/>
      <c r="TQC247"/>
      <c r="TQD247"/>
      <c r="TQE247"/>
      <c r="TQF247"/>
      <c r="TQG247"/>
      <c r="TQH247"/>
      <c r="TQI247"/>
      <c r="TQJ247"/>
      <c r="TQK247"/>
      <c r="TQL247"/>
      <c r="TQM247"/>
      <c r="TQN247"/>
      <c r="TQO247"/>
      <c r="TQP247"/>
      <c r="TQQ247"/>
      <c r="TQR247"/>
      <c r="TQS247"/>
      <c r="TQT247"/>
      <c r="TQU247"/>
      <c r="TQV247"/>
      <c r="TQW247"/>
      <c r="TQX247"/>
      <c r="TQY247"/>
      <c r="TQZ247"/>
      <c r="TRA247"/>
      <c r="TRB247"/>
      <c r="TRC247"/>
      <c r="TRD247"/>
      <c r="TRE247"/>
      <c r="TRF247"/>
      <c r="TRG247"/>
      <c r="TRH247"/>
      <c r="TRI247"/>
      <c r="TRJ247"/>
      <c r="TRK247"/>
      <c r="TRL247"/>
      <c r="TRM247"/>
      <c r="TRN247"/>
      <c r="TRO247"/>
      <c r="TRP247"/>
      <c r="TRQ247"/>
      <c r="TRR247"/>
      <c r="TRS247"/>
      <c r="TRT247"/>
      <c r="TRU247"/>
      <c r="TRV247"/>
      <c r="TRW247"/>
      <c r="TRX247"/>
      <c r="TRY247"/>
      <c r="TRZ247"/>
      <c r="TSA247"/>
      <c r="TSB247"/>
      <c r="TSC247"/>
      <c r="TSD247"/>
      <c r="TSE247"/>
      <c r="TSF247"/>
      <c r="TSG247"/>
      <c r="TSH247"/>
      <c r="TSI247"/>
      <c r="TSJ247"/>
      <c r="TSK247"/>
      <c r="TSL247"/>
      <c r="TSM247"/>
      <c r="TSN247"/>
      <c r="TSO247"/>
      <c r="TSP247"/>
      <c r="TSQ247"/>
      <c r="TSR247"/>
      <c r="TSS247"/>
      <c r="TST247"/>
      <c r="TSU247"/>
      <c r="TSV247"/>
      <c r="TSW247"/>
      <c r="TSX247"/>
      <c r="TSY247"/>
      <c r="TSZ247"/>
      <c r="TTA247"/>
      <c r="TTB247"/>
      <c r="TTC247"/>
      <c r="TTD247"/>
      <c r="TTE247"/>
      <c r="TTF247"/>
      <c r="TTG247"/>
      <c r="TTH247"/>
      <c r="TTI247"/>
      <c r="TTJ247"/>
      <c r="TTK247"/>
      <c r="TTL247"/>
      <c r="TTM247"/>
      <c r="TTN247"/>
      <c r="TTO247"/>
      <c r="TTP247"/>
      <c r="TTQ247"/>
      <c r="TTR247"/>
      <c r="TTS247"/>
      <c r="TTT247"/>
      <c r="TTU247"/>
      <c r="TTV247"/>
      <c r="TTW247"/>
      <c r="TTX247"/>
      <c r="TTY247"/>
      <c r="TTZ247"/>
      <c r="TUA247"/>
      <c r="TUB247"/>
      <c r="TUC247"/>
      <c r="TUD247"/>
      <c r="TUE247"/>
      <c r="TUF247"/>
      <c r="TUG247"/>
      <c r="TUH247"/>
      <c r="TUI247"/>
      <c r="TUJ247"/>
      <c r="TUK247"/>
      <c r="TUL247"/>
      <c r="TUM247"/>
      <c r="TUN247"/>
      <c r="TUO247"/>
      <c r="TUP247"/>
      <c r="TUQ247"/>
      <c r="TUR247"/>
      <c r="TUS247"/>
      <c r="TUT247"/>
      <c r="TUU247"/>
      <c r="TUV247"/>
      <c r="TUW247"/>
      <c r="TUX247"/>
      <c r="TUY247"/>
      <c r="TUZ247"/>
      <c r="TVA247"/>
      <c r="TVB247"/>
      <c r="TVC247"/>
      <c r="TVD247"/>
      <c r="TVE247"/>
      <c r="TVF247"/>
      <c r="TVG247"/>
      <c r="TVH247"/>
      <c r="TVI247"/>
      <c r="TVJ247"/>
      <c r="TVK247"/>
      <c r="TVL247"/>
      <c r="TVM247"/>
      <c r="TVN247"/>
      <c r="TVO247"/>
      <c r="TVP247"/>
      <c r="TVQ247"/>
      <c r="TVR247"/>
      <c r="TVS247"/>
      <c r="TVT247"/>
      <c r="TVU247"/>
      <c r="TVV247"/>
      <c r="TVW247"/>
      <c r="TVX247"/>
      <c r="TVY247"/>
      <c r="TVZ247"/>
      <c r="TWA247"/>
      <c r="TWB247"/>
      <c r="TWC247"/>
      <c r="TWD247"/>
      <c r="TWE247"/>
      <c r="TWF247"/>
      <c r="TWG247"/>
      <c r="TWH247"/>
      <c r="TWI247"/>
      <c r="TWJ247"/>
      <c r="TWK247"/>
      <c r="TWL247"/>
      <c r="TWM247"/>
      <c r="TWN247"/>
      <c r="TWO247"/>
      <c r="TWP247"/>
      <c r="TWQ247"/>
      <c r="TWR247"/>
      <c r="TWS247"/>
      <c r="TWT247"/>
      <c r="TWU247"/>
      <c r="TWV247"/>
      <c r="TWW247"/>
      <c r="TWX247"/>
      <c r="TWY247"/>
      <c r="TWZ247"/>
      <c r="TXA247"/>
      <c r="TXB247"/>
      <c r="TXC247"/>
      <c r="TXD247"/>
      <c r="TXE247"/>
      <c r="TXF247"/>
      <c r="TXG247"/>
      <c r="TXH247"/>
      <c r="TXI247"/>
      <c r="TXJ247"/>
      <c r="TXK247"/>
      <c r="TXL247"/>
      <c r="TXM247"/>
      <c r="TXN247"/>
      <c r="TXO247"/>
      <c r="TXP247"/>
      <c r="TXQ247"/>
      <c r="TXR247"/>
      <c r="TXS247"/>
      <c r="TXT247"/>
      <c r="TXU247"/>
      <c r="TXV247"/>
      <c r="TXW247"/>
      <c r="TXX247"/>
      <c r="TXY247"/>
      <c r="TXZ247"/>
      <c r="TYA247"/>
      <c r="TYB247"/>
      <c r="TYC247"/>
      <c r="TYD247"/>
      <c r="TYE247"/>
      <c r="TYF247"/>
      <c r="TYG247"/>
      <c r="TYH247"/>
      <c r="TYI247"/>
      <c r="TYJ247"/>
      <c r="TYK247"/>
      <c r="TYL247"/>
      <c r="TYM247"/>
      <c r="TYN247"/>
      <c r="TYO247"/>
      <c r="TYP247"/>
      <c r="TYQ247"/>
      <c r="TYR247"/>
      <c r="TYS247"/>
      <c r="TYT247"/>
      <c r="TYU247"/>
      <c r="TYV247"/>
      <c r="TYW247"/>
      <c r="TYX247"/>
      <c r="TYY247"/>
      <c r="TYZ247"/>
      <c r="TZA247"/>
      <c r="TZB247"/>
      <c r="TZC247"/>
      <c r="TZD247"/>
      <c r="TZE247"/>
      <c r="TZF247"/>
      <c r="TZG247"/>
      <c r="TZH247"/>
      <c r="TZI247"/>
      <c r="TZJ247"/>
      <c r="TZK247"/>
      <c r="TZL247"/>
      <c r="TZM247"/>
      <c r="TZN247"/>
      <c r="TZO247"/>
      <c r="TZP247"/>
      <c r="TZQ247"/>
      <c r="TZR247"/>
      <c r="TZS247"/>
      <c r="TZT247"/>
      <c r="TZU247"/>
      <c r="TZV247"/>
      <c r="TZW247"/>
      <c r="TZX247"/>
      <c r="TZY247"/>
      <c r="TZZ247"/>
      <c r="UAA247"/>
      <c r="UAB247"/>
      <c r="UAC247"/>
      <c r="UAD247"/>
      <c r="UAE247"/>
      <c r="UAF247"/>
      <c r="UAG247"/>
      <c r="UAH247"/>
      <c r="UAI247"/>
      <c r="UAJ247"/>
      <c r="UAK247"/>
      <c r="UAL247"/>
      <c r="UAM247"/>
      <c r="UAN247"/>
      <c r="UAO247"/>
      <c r="UAP247"/>
      <c r="UAQ247"/>
      <c r="UAR247"/>
      <c r="UAS247"/>
      <c r="UAT247"/>
      <c r="UAU247"/>
      <c r="UAV247"/>
      <c r="UAW247"/>
      <c r="UAX247"/>
      <c r="UAY247"/>
      <c r="UAZ247"/>
      <c r="UBA247"/>
      <c r="UBB247"/>
      <c r="UBC247"/>
      <c r="UBD247"/>
      <c r="UBE247"/>
      <c r="UBF247"/>
      <c r="UBG247"/>
      <c r="UBH247"/>
      <c r="UBI247"/>
      <c r="UBJ247"/>
      <c r="UBK247"/>
      <c r="UBL247"/>
      <c r="UBM247"/>
      <c r="UBN247"/>
      <c r="UBO247"/>
      <c r="UBP247"/>
      <c r="UBQ247"/>
      <c r="UBR247"/>
      <c r="UBS247"/>
      <c r="UBT247"/>
      <c r="UBU247"/>
      <c r="UBV247"/>
      <c r="UBW247"/>
      <c r="UBX247"/>
      <c r="UBY247"/>
      <c r="UBZ247"/>
      <c r="UCA247"/>
      <c r="UCB247"/>
      <c r="UCC247"/>
      <c r="UCD247"/>
      <c r="UCE247"/>
      <c r="UCF247"/>
      <c r="UCG247"/>
      <c r="UCH247"/>
      <c r="UCI247"/>
      <c r="UCJ247"/>
      <c r="UCK247"/>
      <c r="UCL247"/>
      <c r="UCM247"/>
      <c r="UCN247"/>
      <c r="UCO247"/>
      <c r="UCP247"/>
      <c r="UCQ247"/>
      <c r="UCR247"/>
      <c r="UCS247"/>
      <c r="UCT247"/>
      <c r="UCU247"/>
      <c r="UCV247"/>
      <c r="UCW247"/>
      <c r="UCX247"/>
      <c r="UCY247"/>
      <c r="UCZ247"/>
      <c r="UDA247"/>
      <c r="UDB247"/>
      <c r="UDC247"/>
      <c r="UDD247"/>
      <c r="UDE247"/>
      <c r="UDF247"/>
      <c r="UDG247"/>
      <c r="UDH247"/>
      <c r="UDI247"/>
      <c r="UDJ247"/>
      <c r="UDK247"/>
      <c r="UDL247"/>
      <c r="UDM247"/>
      <c r="UDN247"/>
      <c r="UDO247"/>
      <c r="UDP247"/>
      <c r="UDQ247"/>
      <c r="UDR247"/>
      <c r="UDS247"/>
      <c r="UDT247"/>
      <c r="UDU247"/>
      <c r="UDV247"/>
      <c r="UDW247"/>
      <c r="UDX247"/>
      <c r="UDY247"/>
      <c r="UDZ247"/>
      <c r="UEA247"/>
      <c r="UEB247"/>
      <c r="UEC247"/>
      <c r="UED247"/>
      <c r="UEE247"/>
      <c r="UEF247"/>
      <c r="UEG247"/>
      <c r="UEH247"/>
      <c r="UEI247"/>
      <c r="UEJ247"/>
      <c r="UEK247"/>
      <c r="UEL247"/>
      <c r="UEM247"/>
      <c r="UEN247"/>
      <c r="UEO247"/>
      <c r="UEP247"/>
      <c r="UEQ247"/>
      <c r="UER247"/>
      <c r="UES247"/>
      <c r="UET247"/>
      <c r="UEU247"/>
      <c r="UEV247"/>
      <c r="UEW247"/>
      <c r="UEX247"/>
      <c r="UEY247"/>
      <c r="UEZ247"/>
      <c r="UFA247"/>
      <c r="UFB247"/>
      <c r="UFC247"/>
      <c r="UFD247"/>
      <c r="UFE247"/>
      <c r="UFF247"/>
      <c r="UFG247"/>
      <c r="UFH247"/>
      <c r="UFI247"/>
      <c r="UFJ247"/>
      <c r="UFK247"/>
      <c r="UFL247"/>
      <c r="UFM247"/>
      <c r="UFN247"/>
      <c r="UFO247"/>
      <c r="UFP247"/>
      <c r="UFQ247"/>
      <c r="UFR247"/>
      <c r="UFS247"/>
      <c r="UFT247"/>
      <c r="UFU247"/>
      <c r="UFV247"/>
      <c r="UFW247"/>
      <c r="UFX247"/>
      <c r="UFY247"/>
      <c r="UFZ247"/>
      <c r="UGA247"/>
      <c r="UGB247"/>
      <c r="UGC247"/>
      <c r="UGD247"/>
      <c r="UGE247"/>
      <c r="UGF247"/>
      <c r="UGG247"/>
      <c r="UGH247"/>
      <c r="UGI247"/>
      <c r="UGJ247"/>
      <c r="UGK247"/>
      <c r="UGL247"/>
      <c r="UGM247"/>
      <c r="UGN247"/>
      <c r="UGO247"/>
      <c r="UGP247"/>
      <c r="UGQ247"/>
      <c r="UGR247"/>
      <c r="UGS247"/>
      <c r="UGT247"/>
      <c r="UGU247"/>
      <c r="UGV247"/>
      <c r="UGW247"/>
      <c r="UGX247"/>
      <c r="UGY247"/>
      <c r="UGZ247"/>
      <c r="UHA247"/>
      <c r="UHB247"/>
      <c r="UHC247"/>
      <c r="UHD247"/>
      <c r="UHE247"/>
      <c r="UHF247"/>
      <c r="UHG247"/>
      <c r="UHH247"/>
      <c r="UHI247"/>
      <c r="UHJ247"/>
      <c r="UHK247"/>
      <c r="UHL247"/>
      <c r="UHM247"/>
      <c r="UHN247"/>
      <c r="UHO247"/>
      <c r="UHP247"/>
      <c r="UHQ247"/>
      <c r="UHR247"/>
      <c r="UHS247"/>
      <c r="UHT247"/>
      <c r="UHU247"/>
      <c r="UHV247"/>
      <c r="UHW247"/>
      <c r="UHX247"/>
      <c r="UHY247"/>
      <c r="UHZ247"/>
      <c r="UIA247"/>
      <c r="UIB247"/>
      <c r="UIC247"/>
      <c r="UID247"/>
      <c r="UIE247"/>
      <c r="UIF247"/>
      <c r="UIG247"/>
      <c r="UIH247"/>
      <c r="UII247"/>
      <c r="UIJ247"/>
      <c r="UIK247"/>
      <c r="UIL247"/>
      <c r="UIM247"/>
      <c r="UIN247"/>
      <c r="UIO247"/>
      <c r="UIP247"/>
      <c r="UIQ247"/>
      <c r="UIR247"/>
      <c r="UIS247"/>
      <c r="UIT247"/>
      <c r="UIU247"/>
      <c r="UIV247"/>
      <c r="UIW247"/>
      <c r="UIX247"/>
      <c r="UIY247"/>
      <c r="UIZ247"/>
      <c r="UJA247"/>
      <c r="UJB247"/>
      <c r="UJC247"/>
      <c r="UJD247"/>
      <c r="UJE247"/>
      <c r="UJF247"/>
      <c r="UJG247"/>
      <c r="UJH247"/>
      <c r="UJI247"/>
      <c r="UJJ247"/>
      <c r="UJK247"/>
      <c r="UJL247"/>
      <c r="UJM247"/>
      <c r="UJN247"/>
      <c r="UJO247"/>
      <c r="UJP247"/>
      <c r="UJQ247"/>
      <c r="UJR247"/>
      <c r="UJS247"/>
      <c r="UJT247"/>
      <c r="UJU247"/>
      <c r="UJV247"/>
      <c r="UJW247"/>
      <c r="UJX247"/>
      <c r="UJY247"/>
      <c r="UJZ247"/>
      <c r="UKA247"/>
      <c r="UKB247"/>
      <c r="UKC247"/>
      <c r="UKD247"/>
      <c r="UKE247"/>
      <c r="UKF247"/>
      <c r="UKG247"/>
      <c r="UKH247"/>
      <c r="UKI247"/>
      <c r="UKJ247"/>
      <c r="UKK247"/>
      <c r="UKL247"/>
      <c r="UKM247"/>
      <c r="UKN247"/>
      <c r="UKO247"/>
      <c r="UKP247"/>
      <c r="UKQ247"/>
      <c r="UKR247"/>
      <c r="UKS247"/>
      <c r="UKT247"/>
      <c r="UKU247"/>
      <c r="UKV247"/>
      <c r="UKW247"/>
      <c r="UKX247"/>
      <c r="UKY247"/>
      <c r="UKZ247"/>
      <c r="ULA247"/>
      <c r="ULB247"/>
      <c r="ULC247"/>
      <c r="ULD247"/>
      <c r="ULE247"/>
      <c r="ULF247"/>
      <c r="ULG247"/>
      <c r="ULH247"/>
      <c r="ULI247"/>
      <c r="ULJ247"/>
      <c r="ULK247"/>
      <c r="ULL247"/>
      <c r="ULM247"/>
      <c r="ULN247"/>
      <c r="ULO247"/>
      <c r="ULP247"/>
      <c r="ULQ247"/>
      <c r="ULR247"/>
      <c r="ULS247"/>
      <c r="ULT247"/>
      <c r="ULU247"/>
      <c r="ULV247"/>
      <c r="ULW247"/>
      <c r="ULX247"/>
      <c r="ULY247"/>
      <c r="ULZ247"/>
      <c r="UMA247"/>
      <c r="UMB247"/>
      <c r="UMC247"/>
      <c r="UMD247"/>
      <c r="UME247"/>
      <c r="UMF247"/>
      <c r="UMG247"/>
      <c r="UMH247"/>
      <c r="UMI247"/>
      <c r="UMJ247"/>
      <c r="UMK247"/>
      <c r="UML247"/>
      <c r="UMM247"/>
      <c r="UMN247"/>
      <c r="UMO247"/>
      <c r="UMP247"/>
      <c r="UMQ247"/>
      <c r="UMR247"/>
      <c r="UMS247"/>
      <c r="UMT247"/>
      <c r="UMU247"/>
      <c r="UMV247"/>
      <c r="UMW247"/>
      <c r="UMX247"/>
      <c r="UMY247"/>
      <c r="UMZ247"/>
      <c r="UNA247"/>
      <c r="UNB247"/>
      <c r="UNC247"/>
      <c r="UND247"/>
      <c r="UNE247"/>
      <c r="UNF247"/>
      <c r="UNG247"/>
      <c r="UNH247"/>
      <c r="UNI247"/>
      <c r="UNJ247"/>
      <c r="UNK247"/>
      <c r="UNL247"/>
      <c r="UNM247"/>
      <c r="UNN247"/>
      <c r="UNO247"/>
      <c r="UNP247"/>
      <c r="UNQ247"/>
      <c r="UNR247"/>
      <c r="UNS247"/>
      <c r="UNT247"/>
      <c r="UNU247"/>
      <c r="UNV247"/>
      <c r="UNW247"/>
      <c r="UNX247"/>
      <c r="UNY247"/>
      <c r="UNZ247"/>
      <c r="UOA247"/>
      <c r="UOB247"/>
      <c r="UOC247"/>
      <c r="UOD247"/>
      <c r="UOE247"/>
      <c r="UOF247"/>
      <c r="UOG247"/>
      <c r="UOH247"/>
      <c r="UOI247"/>
      <c r="UOJ247"/>
      <c r="UOK247"/>
      <c r="UOL247"/>
      <c r="UOM247"/>
      <c r="UON247"/>
      <c r="UOO247"/>
      <c r="UOP247"/>
      <c r="UOQ247"/>
      <c r="UOR247"/>
      <c r="UOS247"/>
      <c r="UOT247"/>
      <c r="UOU247"/>
      <c r="UOV247"/>
      <c r="UOW247"/>
      <c r="UOX247"/>
      <c r="UOY247"/>
      <c r="UOZ247"/>
      <c r="UPA247"/>
      <c r="UPB247"/>
      <c r="UPC247"/>
      <c r="UPD247"/>
      <c r="UPE247"/>
      <c r="UPF247"/>
      <c r="UPG247"/>
      <c r="UPH247"/>
      <c r="UPI247"/>
      <c r="UPJ247"/>
      <c r="UPK247"/>
      <c r="UPL247"/>
      <c r="UPM247"/>
      <c r="UPN247"/>
      <c r="UPO247"/>
      <c r="UPP247"/>
      <c r="UPQ247"/>
      <c r="UPR247"/>
      <c r="UPS247"/>
      <c r="UPT247"/>
      <c r="UPU247"/>
      <c r="UPV247"/>
      <c r="UPW247"/>
      <c r="UPX247"/>
      <c r="UPY247"/>
      <c r="UPZ247"/>
      <c r="UQA247"/>
      <c r="UQB247"/>
      <c r="UQC247"/>
      <c r="UQD247"/>
      <c r="UQE247"/>
      <c r="UQF247"/>
      <c r="UQG247"/>
      <c r="UQH247"/>
      <c r="UQI247"/>
      <c r="UQJ247"/>
      <c r="UQK247"/>
      <c r="UQL247"/>
      <c r="UQM247"/>
      <c r="UQN247"/>
      <c r="UQO247"/>
      <c r="UQP247"/>
      <c r="UQQ247"/>
      <c r="UQR247"/>
      <c r="UQS247"/>
      <c r="UQT247"/>
      <c r="UQU247"/>
      <c r="UQV247"/>
      <c r="UQW247"/>
      <c r="UQX247"/>
      <c r="UQY247"/>
      <c r="UQZ247"/>
      <c r="URA247"/>
      <c r="URB247"/>
      <c r="URC247"/>
      <c r="URD247"/>
      <c r="URE247"/>
      <c r="URF247"/>
      <c r="URG247"/>
      <c r="URH247"/>
      <c r="URI247"/>
      <c r="URJ247"/>
      <c r="URK247"/>
      <c r="URL247"/>
      <c r="URM247"/>
      <c r="URN247"/>
      <c r="URO247"/>
      <c r="URP247"/>
      <c r="URQ247"/>
      <c r="URR247"/>
      <c r="URS247"/>
      <c r="URT247"/>
      <c r="URU247"/>
      <c r="URV247"/>
      <c r="URW247"/>
      <c r="URX247"/>
      <c r="URY247"/>
      <c r="URZ247"/>
      <c r="USA247"/>
      <c r="USB247"/>
      <c r="USC247"/>
      <c r="USD247"/>
      <c r="USE247"/>
      <c r="USF247"/>
      <c r="USG247"/>
      <c r="USH247"/>
      <c r="USI247"/>
      <c r="USJ247"/>
      <c r="USK247"/>
      <c r="USL247"/>
      <c r="USM247"/>
      <c r="USN247"/>
      <c r="USO247"/>
      <c r="USP247"/>
      <c r="USQ247"/>
      <c r="USR247"/>
      <c r="USS247"/>
      <c r="UST247"/>
      <c r="USU247"/>
      <c r="USV247"/>
      <c r="USW247"/>
      <c r="USX247"/>
      <c r="USY247"/>
      <c r="USZ247"/>
      <c r="UTA247"/>
      <c r="UTB247"/>
      <c r="UTC247"/>
      <c r="UTD247"/>
      <c r="UTE247"/>
      <c r="UTF247"/>
      <c r="UTG247"/>
      <c r="UTH247"/>
      <c r="UTI247"/>
      <c r="UTJ247"/>
      <c r="UTK247"/>
      <c r="UTL247"/>
      <c r="UTM247"/>
      <c r="UTN247"/>
      <c r="UTO247"/>
      <c r="UTP247"/>
      <c r="UTQ247"/>
      <c r="UTR247"/>
      <c r="UTS247"/>
      <c r="UTT247"/>
      <c r="UTU247"/>
      <c r="UTV247"/>
      <c r="UTW247"/>
      <c r="UTX247"/>
      <c r="UTY247"/>
      <c r="UTZ247"/>
      <c r="UUA247"/>
      <c r="UUB247"/>
      <c r="UUC247"/>
      <c r="UUD247"/>
      <c r="UUE247"/>
      <c r="UUF247"/>
      <c r="UUG247"/>
      <c r="UUH247"/>
      <c r="UUI247"/>
      <c r="UUJ247"/>
      <c r="UUK247"/>
      <c r="UUL247"/>
      <c r="UUM247"/>
      <c r="UUN247"/>
      <c r="UUO247"/>
      <c r="UUP247"/>
      <c r="UUQ247"/>
      <c r="UUR247"/>
      <c r="UUS247"/>
      <c r="UUT247"/>
      <c r="UUU247"/>
      <c r="UUV247"/>
      <c r="UUW247"/>
      <c r="UUX247"/>
      <c r="UUY247"/>
      <c r="UUZ247"/>
      <c r="UVA247"/>
      <c r="UVB247"/>
      <c r="UVC247"/>
      <c r="UVD247"/>
      <c r="UVE247"/>
      <c r="UVF247"/>
      <c r="UVG247"/>
      <c r="UVH247"/>
      <c r="UVI247"/>
      <c r="UVJ247"/>
      <c r="UVK247"/>
      <c r="UVL247"/>
      <c r="UVM247"/>
      <c r="UVN247"/>
      <c r="UVO247"/>
      <c r="UVP247"/>
      <c r="UVQ247"/>
      <c r="UVR247"/>
      <c r="UVS247"/>
      <c r="UVT247"/>
      <c r="UVU247"/>
      <c r="UVV247"/>
      <c r="UVW247"/>
      <c r="UVX247"/>
      <c r="UVY247"/>
      <c r="UVZ247"/>
      <c r="UWA247"/>
      <c r="UWB247"/>
      <c r="UWC247"/>
      <c r="UWD247"/>
      <c r="UWE247"/>
      <c r="UWF247"/>
      <c r="UWG247"/>
      <c r="UWH247"/>
      <c r="UWI247"/>
      <c r="UWJ247"/>
      <c r="UWK247"/>
      <c r="UWL247"/>
      <c r="UWM247"/>
      <c r="UWN247"/>
      <c r="UWO247"/>
      <c r="UWP247"/>
      <c r="UWQ247"/>
      <c r="UWR247"/>
      <c r="UWS247"/>
      <c r="UWT247"/>
      <c r="UWU247"/>
      <c r="UWV247"/>
      <c r="UWW247"/>
      <c r="UWX247"/>
      <c r="UWY247"/>
      <c r="UWZ247"/>
      <c r="UXA247"/>
      <c r="UXB247"/>
      <c r="UXC247"/>
      <c r="UXD247"/>
      <c r="UXE247"/>
      <c r="UXF247"/>
      <c r="UXG247"/>
      <c r="UXH247"/>
      <c r="UXI247"/>
      <c r="UXJ247"/>
      <c r="UXK247"/>
      <c r="UXL247"/>
      <c r="UXM247"/>
      <c r="UXN247"/>
      <c r="UXO247"/>
      <c r="UXP247"/>
      <c r="UXQ247"/>
      <c r="UXR247"/>
      <c r="UXS247"/>
      <c r="UXT247"/>
      <c r="UXU247"/>
      <c r="UXV247"/>
      <c r="UXW247"/>
      <c r="UXX247"/>
      <c r="UXY247"/>
      <c r="UXZ247"/>
      <c r="UYA247"/>
      <c r="UYB247"/>
      <c r="UYC247"/>
      <c r="UYD247"/>
      <c r="UYE247"/>
      <c r="UYF247"/>
      <c r="UYG247"/>
      <c r="UYH247"/>
      <c r="UYI247"/>
      <c r="UYJ247"/>
      <c r="UYK247"/>
      <c r="UYL247"/>
      <c r="UYM247"/>
      <c r="UYN247"/>
      <c r="UYO247"/>
      <c r="UYP247"/>
      <c r="UYQ247"/>
      <c r="UYR247"/>
      <c r="UYS247"/>
      <c r="UYT247"/>
      <c r="UYU247"/>
      <c r="UYV247"/>
      <c r="UYW247"/>
      <c r="UYX247"/>
      <c r="UYY247"/>
      <c r="UYZ247"/>
      <c r="UZA247"/>
      <c r="UZB247"/>
      <c r="UZC247"/>
      <c r="UZD247"/>
      <c r="UZE247"/>
      <c r="UZF247"/>
      <c r="UZG247"/>
      <c r="UZH247"/>
      <c r="UZI247"/>
      <c r="UZJ247"/>
      <c r="UZK247"/>
      <c r="UZL247"/>
      <c r="UZM247"/>
      <c r="UZN247"/>
      <c r="UZO247"/>
      <c r="UZP247"/>
      <c r="UZQ247"/>
      <c r="UZR247"/>
      <c r="UZS247"/>
      <c r="UZT247"/>
      <c r="UZU247"/>
      <c r="UZV247"/>
      <c r="UZW247"/>
      <c r="UZX247"/>
      <c r="UZY247"/>
      <c r="UZZ247"/>
      <c r="VAA247"/>
      <c r="VAB247"/>
      <c r="VAC247"/>
      <c r="VAD247"/>
      <c r="VAE247"/>
      <c r="VAF247"/>
      <c r="VAG247"/>
      <c r="VAH247"/>
      <c r="VAI247"/>
      <c r="VAJ247"/>
      <c r="VAK247"/>
      <c r="VAL247"/>
      <c r="VAM247"/>
      <c r="VAN247"/>
      <c r="VAO247"/>
      <c r="VAP247"/>
      <c r="VAQ247"/>
      <c r="VAR247"/>
      <c r="VAS247"/>
      <c r="VAT247"/>
      <c r="VAU247"/>
      <c r="VAV247"/>
      <c r="VAW247"/>
      <c r="VAX247"/>
      <c r="VAY247"/>
      <c r="VAZ247"/>
      <c r="VBA247"/>
      <c r="VBB247"/>
      <c r="VBC247"/>
      <c r="VBD247"/>
      <c r="VBE247"/>
      <c r="VBF247"/>
      <c r="VBG247"/>
      <c r="VBH247"/>
      <c r="VBI247"/>
      <c r="VBJ247"/>
      <c r="VBK247"/>
      <c r="VBL247"/>
      <c r="VBM247"/>
      <c r="VBN247"/>
      <c r="VBO247"/>
      <c r="VBP247"/>
      <c r="VBQ247"/>
      <c r="VBR247"/>
      <c r="VBS247"/>
      <c r="VBT247"/>
      <c r="VBU247"/>
      <c r="VBV247"/>
      <c r="VBW247"/>
      <c r="VBX247"/>
      <c r="VBY247"/>
      <c r="VBZ247"/>
      <c r="VCA247"/>
      <c r="VCB247"/>
      <c r="VCC247"/>
      <c r="VCD247"/>
      <c r="VCE247"/>
      <c r="VCF247"/>
      <c r="VCG247"/>
      <c r="VCH247"/>
      <c r="VCI247"/>
      <c r="VCJ247"/>
      <c r="VCK247"/>
      <c r="VCL247"/>
      <c r="VCM247"/>
      <c r="VCN247"/>
      <c r="VCO247"/>
      <c r="VCP247"/>
      <c r="VCQ247"/>
      <c r="VCR247"/>
      <c r="VCS247"/>
      <c r="VCT247"/>
      <c r="VCU247"/>
      <c r="VCV247"/>
      <c r="VCW247"/>
      <c r="VCX247"/>
      <c r="VCY247"/>
      <c r="VCZ247"/>
      <c r="VDA247"/>
      <c r="VDB247"/>
      <c r="VDC247"/>
      <c r="VDD247"/>
      <c r="VDE247"/>
      <c r="VDF247"/>
      <c r="VDG247"/>
      <c r="VDH247"/>
      <c r="VDI247"/>
      <c r="VDJ247"/>
      <c r="VDK247"/>
      <c r="VDL247"/>
      <c r="VDM247"/>
      <c r="VDN247"/>
      <c r="VDO247"/>
      <c r="VDP247"/>
      <c r="VDQ247"/>
      <c r="VDR247"/>
      <c r="VDS247"/>
      <c r="VDT247"/>
      <c r="VDU247"/>
      <c r="VDV247"/>
      <c r="VDW247"/>
      <c r="VDX247"/>
      <c r="VDY247"/>
      <c r="VDZ247"/>
      <c r="VEA247"/>
      <c r="VEB247"/>
      <c r="VEC247"/>
      <c r="VED247"/>
      <c r="VEE247"/>
      <c r="VEF247"/>
      <c r="VEG247"/>
      <c r="VEH247"/>
      <c r="VEI247"/>
      <c r="VEJ247"/>
      <c r="VEK247"/>
      <c r="VEL247"/>
      <c r="VEM247"/>
      <c r="VEN247"/>
      <c r="VEO247"/>
      <c r="VEP247"/>
      <c r="VEQ247"/>
      <c r="VER247"/>
      <c r="VES247"/>
      <c r="VET247"/>
      <c r="VEU247"/>
      <c r="VEV247"/>
      <c r="VEW247"/>
      <c r="VEX247"/>
      <c r="VEY247"/>
      <c r="VEZ247"/>
      <c r="VFA247"/>
      <c r="VFB247"/>
      <c r="VFC247"/>
      <c r="VFD247"/>
      <c r="VFE247"/>
      <c r="VFF247"/>
      <c r="VFG247"/>
      <c r="VFH247"/>
      <c r="VFI247"/>
      <c r="VFJ247"/>
      <c r="VFK247"/>
      <c r="VFL247"/>
      <c r="VFM247"/>
      <c r="VFN247"/>
      <c r="VFO247"/>
      <c r="VFP247"/>
      <c r="VFQ247"/>
      <c r="VFR247"/>
      <c r="VFS247"/>
      <c r="VFT247"/>
      <c r="VFU247"/>
      <c r="VFV247"/>
      <c r="VFW247"/>
      <c r="VFX247"/>
      <c r="VFY247"/>
      <c r="VFZ247"/>
      <c r="VGA247"/>
      <c r="VGB247"/>
      <c r="VGC247"/>
      <c r="VGD247"/>
      <c r="VGE247"/>
      <c r="VGF247"/>
      <c r="VGG247"/>
      <c r="VGH247"/>
      <c r="VGI247"/>
      <c r="VGJ247"/>
      <c r="VGK247"/>
      <c r="VGL247"/>
      <c r="VGM247"/>
      <c r="VGN247"/>
      <c r="VGO247"/>
      <c r="VGP247"/>
      <c r="VGQ247"/>
      <c r="VGR247"/>
      <c r="VGS247"/>
      <c r="VGT247"/>
      <c r="VGU247"/>
      <c r="VGV247"/>
      <c r="VGW247"/>
      <c r="VGX247"/>
      <c r="VGY247"/>
      <c r="VGZ247"/>
      <c r="VHA247"/>
      <c r="VHB247"/>
      <c r="VHC247"/>
      <c r="VHD247"/>
      <c r="VHE247"/>
      <c r="VHF247"/>
      <c r="VHG247"/>
      <c r="VHH247"/>
      <c r="VHI247"/>
      <c r="VHJ247"/>
      <c r="VHK247"/>
      <c r="VHL247"/>
      <c r="VHM247"/>
      <c r="VHN247"/>
      <c r="VHO247"/>
      <c r="VHP247"/>
      <c r="VHQ247"/>
      <c r="VHR247"/>
      <c r="VHS247"/>
      <c r="VHT247"/>
      <c r="VHU247"/>
      <c r="VHV247"/>
      <c r="VHW247"/>
      <c r="VHX247"/>
      <c r="VHY247"/>
      <c r="VHZ247"/>
      <c r="VIA247"/>
      <c r="VIB247"/>
      <c r="VIC247"/>
      <c r="VID247"/>
      <c r="VIE247"/>
      <c r="VIF247"/>
      <c r="VIG247"/>
      <c r="VIH247"/>
      <c r="VII247"/>
      <c r="VIJ247"/>
      <c r="VIK247"/>
      <c r="VIL247"/>
      <c r="VIM247"/>
      <c r="VIN247"/>
      <c r="VIO247"/>
      <c r="VIP247"/>
      <c r="VIQ247"/>
      <c r="VIR247"/>
      <c r="VIS247"/>
      <c r="VIT247"/>
      <c r="VIU247"/>
      <c r="VIV247"/>
      <c r="VIW247"/>
      <c r="VIX247"/>
      <c r="VIY247"/>
      <c r="VIZ247"/>
      <c r="VJA247"/>
      <c r="VJB247"/>
      <c r="VJC247"/>
      <c r="VJD247"/>
      <c r="VJE247"/>
      <c r="VJF247"/>
      <c r="VJG247"/>
      <c r="VJH247"/>
      <c r="VJI247"/>
      <c r="VJJ247"/>
      <c r="VJK247"/>
      <c r="VJL247"/>
      <c r="VJM247"/>
      <c r="VJN247"/>
      <c r="VJO247"/>
      <c r="VJP247"/>
      <c r="VJQ247"/>
      <c r="VJR247"/>
      <c r="VJS247"/>
      <c r="VJT247"/>
      <c r="VJU247"/>
      <c r="VJV247"/>
      <c r="VJW247"/>
      <c r="VJX247"/>
      <c r="VJY247"/>
      <c r="VJZ247"/>
      <c r="VKA247"/>
      <c r="VKB247"/>
      <c r="VKC247"/>
      <c r="VKD247"/>
      <c r="VKE247"/>
      <c r="VKF247"/>
      <c r="VKG247"/>
      <c r="VKH247"/>
      <c r="VKI247"/>
      <c r="VKJ247"/>
      <c r="VKK247"/>
      <c r="VKL247"/>
      <c r="VKM247"/>
      <c r="VKN247"/>
      <c r="VKO247"/>
      <c r="VKP247"/>
      <c r="VKQ247"/>
      <c r="VKR247"/>
      <c r="VKS247"/>
      <c r="VKT247"/>
      <c r="VKU247"/>
      <c r="VKV247"/>
      <c r="VKW247"/>
      <c r="VKX247"/>
      <c r="VKY247"/>
      <c r="VKZ247"/>
      <c r="VLA247"/>
      <c r="VLB247"/>
      <c r="VLC247"/>
      <c r="VLD247"/>
      <c r="VLE247"/>
      <c r="VLF247"/>
      <c r="VLG247"/>
      <c r="VLH247"/>
      <c r="VLI247"/>
      <c r="VLJ247"/>
      <c r="VLK247"/>
      <c r="VLL247"/>
      <c r="VLM247"/>
      <c r="VLN247"/>
      <c r="VLO247"/>
      <c r="VLP247"/>
      <c r="VLQ247"/>
      <c r="VLR247"/>
      <c r="VLS247"/>
      <c r="VLT247"/>
      <c r="VLU247"/>
      <c r="VLV247"/>
      <c r="VLW247"/>
      <c r="VLX247"/>
      <c r="VLY247"/>
      <c r="VLZ247"/>
      <c r="VMA247"/>
      <c r="VMB247"/>
      <c r="VMC247"/>
      <c r="VMD247"/>
      <c r="VME247"/>
      <c r="VMF247"/>
      <c r="VMG247"/>
      <c r="VMH247"/>
      <c r="VMI247"/>
      <c r="VMJ247"/>
      <c r="VMK247"/>
      <c r="VML247"/>
      <c r="VMM247"/>
      <c r="VMN247"/>
      <c r="VMO247"/>
      <c r="VMP247"/>
      <c r="VMQ247"/>
      <c r="VMR247"/>
      <c r="VMS247"/>
      <c r="VMT247"/>
      <c r="VMU247"/>
      <c r="VMV247"/>
      <c r="VMW247"/>
      <c r="VMX247"/>
      <c r="VMY247"/>
      <c r="VMZ247"/>
      <c r="VNA247"/>
      <c r="VNB247"/>
      <c r="VNC247"/>
      <c r="VND247"/>
      <c r="VNE247"/>
      <c r="VNF247"/>
      <c r="VNG247"/>
      <c r="VNH247"/>
      <c r="VNI247"/>
      <c r="VNJ247"/>
      <c r="VNK247"/>
      <c r="VNL247"/>
      <c r="VNM247"/>
      <c r="VNN247"/>
      <c r="VNO247"/>
      <c r="VNP247"/>
      <c r="VNQ247"/>
      <c r="VNR247"/>
      <c r="VNS247"/>
      <c r="VNT247"/>
      <c r="VNU247"/>
      <c r="VNV247"/>
      <c r="VNW247"/>
      <c r="VNX247"/>
      <c r="VNY247"/>
      <c r="VNZ247"/>
      <c r="VOA247"/>
      <c r="VOB247"/>
      <c r="VOC247"/>
      <c r="VOD247"/>
      <c r="VOE247"/>
      <c r="VOF247"/>
      <c r="VOG247"/>
      <c r="VOH247"/>
      <c r="VOI247"/>
      <c r="VOJ247"/>
      <c r="VOK247"/>
      <c r="VOL247"/>
      <c r="VOM247"/>
      <c r="VON247"/>
      <c r="VOO247"/>
      <c r="VOP247"/>
      <c r="VOQ247"/>
      <c r="VOR247"/>
      <c r="VOS247"/>
      <c r="VOT247"/>
      <c r="VOU247"/>
      <c r="VOV247"/>
      <c r="VOW247"/>
      <c r="VOX247"/>
      <c r="VOY247"/>
      <c r="VOZ247"/>
      <c r="VPA247"/>
      <c r="VPB247"/>
      <c r="VPC247"/>
      <c r="VPD247"/>
      <c r="VPE247"/>
      <c r="VPF247"/>
      <c r="VPG247"/>
      <c r="VPH247"/>
      <c r="VPI247"/>
      <c r="VPJ247"/>
      <c r="VPK247"/>
      <c r="VPL247"/>
      <c r="VPM247"/>
      <c r="VPN247"/>
      <c r="VPO247"/>
      <c r="VPP247"/>
      <c r="VPQ247"/>
      <c r="VPR247"/>
      <c r="VPS247"/>
      <c r="VPT247"/>
      <c r="VPU247"/>
      <c r="VPV247"/>
      <c r="VPW247"/>
      <c r="VPX247"/>
      <c r="VPY247"/>
      <c r="VPZ247"/>
      <c r="VQA247"/>
      <c r="VQB247"/>
      <c r="VQC247"/>
      <c r="VQD247"/>
      <c r="VQE247"/>
      <c r="VQF247"/>
      <c r="VQG247"/>
      <c r="VQH247"/>
      <c r="VQI247"/>
      <c r="VQJ247"/>
      <c r="VQK247"/>
      <c r="VQL247"/>
      <c r="VQM247"/>
      <c r="VQN247"/>
      <c r="VQO247"/>
      <c r="VQP247"/>
      <c r="VQQ247"/>
      <c r="VQR247"/>
      <c r="VQS247"/>
      <c r="VQT247"/>
      <c r="VQU247"/>
      <c r="VQV247"/>
      <c r="VQW247"/>
      <c r="VQX247"/>
      <c r="VQY247"/>
      <c r="VQZ247"/>
      <c r="VRA247"/>
      <c r="VRB247"/>
      <c r="VRC247"/>
      <c r="VRD247"/>
      <c r="VRE247"/>
      <c r="VRF247"/>
      <c r="VRG247"/>
      <c r="VRH247"/>
      <c r="VRI247"/>
      <c r="VRJ247"/>
      <c r="VRK247"/>
      <c r="VRL247"/>
      <c r="VRM247"/>
      <c r="VRN247"/>
      <c r="VRO247"/>
      <c r="VRP247"/>
      <c r="VRQ247"/>
      <c r="VRR247"/>
      <c r="VRS247"/>
      <c r="VRT247"/>
      <c r="VRU247"/>
      <c r="VRV247"/>
      <c r="VRW247"/>
      <c r="VRX247"/>
      <c r="VRY247"/>
      <c r="VRZ247"/>
      <c r="VSA247"/>
      <c r="VSB247"/>
      <c r="VSC247"/>
      <c r="VSD247"/>
      <c r="VSE247"/>
      <c r="VSF247"/>
      <c r="VSG247"/>
      <c r="VSH247"/>
      <c r="VSI247"/>
      <c r="VSJ247"/>
      <c r="VSK247"/>
      <c r="VSL247"/>
      <c r="VSM247"/>
      <c r="VSN247"/>
      <c r="VSO247"/>
      <c r="VSP247"/>
      <c r="VSQ247"/>
      <c r="VSR247"/>
      <c r="VSS247"/>
      <c r="VST247"/>
      <c r="VSU247"/>
      <c r="VSV247"/>
      <c r="VSW247"/>
      <c r="VSX247"/>
      <c r="VSY247"/>
      <c r="VSZ247"/>
      <c r="VTA247"/>
      <c r="VTB247"/>
      <c r="VTC247"/>
      <c r="VTD247"/>
      <c r="VTE247"/>
      <c r="VTF247"/>
      <c r="VTG247"/>
      <c r="VTH247"/>
      <c r="VTI247"/>
      <c r="VTJ247"/>
      <c r="VTK247"/>
      <c r="VTL247"/>
      <c r="VTM247"/>
      <c r="VTN247"/>
      <c r="VTO247"/>
      <c r="VTP247"/>
      <c r="VTQ247"/>
      <c r="VTR247"/>
      <c r="VTS247"/>
      <c r="VTT247"/>
      <c r="VTU247"/>
      <c r="VTV247"/>
      <c r="VTW247"/>
      <c r="VTX247"/>
      <c r="VTY247"/>
      <c r="VTZ247"/>
      <c r="VUA247"/>
      <c r="VUB247"/>
      <c r="VUC247"/>
      <c r="VUD247"/>
      <c r="VUE247"/>
      <c r="VUF247"/>
      <c r="VUG247"/>
      <c r="VUH247"/>
      <c r="VUI247"/>
      <c r="VUJ247"/>
      <c r="VUK247"/>
      <c r="VUL247"/>
      <c r="VUM247"/>
      <c r="VUN247"/>
      <c r="VUO247"/>
      <c r="VUP247"/>
      <c r="VUQ247"/>
      <c r="VUR247"/>
      <c r="VUS247"/>
      <c r="VUT247"/>
      <c r="VUU247"/>
      <c r="VUV247"/>
      <c r="VUW247"/>
      <c r="VUX247"/>
      <c r="VUY247"/>
      <c r="VUZ247"/>
      <c r="VVA247"/>
      <c r="VVB247"/>
      <c r="VVC247"/>
      <c r="VVD247"/>
      <c r="VVE247"/>
      <c r="VVF247"/>
      <c r="VVG247"/>
      <c r="VVH247"/>
      <c r="VVI247"/>
      <c r="VVJ247"/>
      <c r="VVK247"/>
      <c r="VVL247"/>
      <c r="VVM247"/>
      <c r="VVN247"/>
      <c r="VVO247"/>
      <c r="VVP247"/>
      <c r="VVQ247"/>
      <c r="VVR247"/>
      <c r="VVS247"/>
      <c r="VVT247"/>
      <c r="VVU247"/>
      <c r="VVV247"/>
      <c r="VVW247"/>
      <c r="VVX247"/>
      <c r="VVY247"/>
      <c r="VVZ247"/>
      <c r="VWA247"/>
      <c r="VWB247"/>
      <c r="VWC247"/>
      <c r="VWD247"/>
      <c r="VWE247"/>
      <c r="VWF247"/>
      <c r="VWG247"/>
      <c r="VWH247"/>
      <c r="VWI247"/>
      <c r="VWJ247"/>
      <c r="VWK247"/>
      <c r="VWL247"/>
      <c r="VWM247"/>
      <c r="VWN247"/>
      <c r="VWO247"/>
      <c r="VWP247"/>
      <c r="VWQ247"/>
      <c r="VWR247"/>
      <c r="VWS247"/>
      <c r="VWT247"/>
      <c r="VWU247"/>
      <c r="VWV247"/>
      <c r="VWW247"/>
      <c r="VWX247"/>
      <c r="VWY247"/>
      <c r="VWZ247"/>
      <c r="VXA247"/>
      <c r="VXB247"/>
      <c r="VXC247"/>
      <c r="VXD247"/>
      <c r="VXE247"/>
      <c r="VXF247"/>
      <c r="VXG247"/>
      <c r="VXH247"/>
      <c r="VXI247"/>
      <c r="VXJ247"/>
      <c r="VXK247"/>
      <c r="VXL247"/>
      <c r="VXM247"/>
      <c r="VXN247"/>
      <c r="VXO247"/>
      <c r="VXP247"/>
      <c r="VXQ247"/>
      <c r="VXR247"/>
      <c r="VXS247"/>
      <c r="VXT247"/>
      <c r="VXU247"/>
      <c r="VXV247"/>
      <c r="VXW247"/>
      <c r="VXX247"/>
      <c r="VXY247"/>
      <c r="VXZ247"/>
      <c r="VYA247"/>
      <c r="VYB247"/>
      <c r="VYC247"/>
      <c r="VYD247"/>
      <c r="VYE247"/>
      <c r="VYF247"/>
      <c r="VYG247"/>
      <c r="VYH247"/>
      <c r="VYI247"/>
      <c r="VYJ247"/>
      <c r="VYK247"/>
      <c r="VYL247"/>
      <c r="VYM247"/>
      <c r="VYN247"/>
      <c r="VYO247"/>
      <c r="VYP247"/>
      <c r="VYQ247"/>
      <c r="VYR247"/>
      <c r="VYS247"/>
      <c r="VYT247"/>
      <c r="VYU247"/>
      <c r="VYV247"/>
      <c r="VYW247"/>
      <c r="VYX247"/>
      <c r="VYY247"/>
      <c r="VYZ247"/>
      <c r="VZA247"/>
      <c r="VZB247"/>
      <c r="VZC247"/>
      <c r="VZD247"/>
      <c r="VZE247"/>
      <c r="VZF247"/>
      <c r="VZG247"/>
      <c r="VZH247"/>
      <c r="VZI247"/>
      <c r="VZJ247"/>
      <c r="VZK247"/>
      <c r="VZL247"/>
      <c r="VZM247"/>
      <c r="VZN247"/>
      <c r="VZO247"/>
      <c r="VZP247"/>
      <c r="VZQ247"/>
      <c r="VZR247"/>
      <c r="VZS247"/>
      <c r="VZT247"/>
      <c r="VZU247"/>
      <c r="VZV247"/>
      <c r="VZW247"/>
      <c r="VZX247"/>
      <c r="VZY247"/>
      <c r="VZZ247"/>
      <c r="WAA247"/>
      <c r="WAB247"/>
      <c r="WAC247"/>
      <c r="WAD247"/>
      <c r="WAE247"/>
      <c r="WAF247"/>
      <c r="WAG247"/>
      <c r="WAH247"/>
      <c r="WAI247"/>
      <c r="WAJ247"/>
      <c r="WAK247"/>
      <c r="WAL247"/>
      <c r="WAM247"/>
      <c r="WAN247"/>
      <c r="WAO247"/>
      <c r="WAP247"/>
      <c r="WAQ247"/>
      <c r="WAR247"/>
      <c r="WAS247"/>
      <c r="WAT247"/>
      <c r="WAU247"/>
      <c r="WAV247"/>
      <c r="WAW247"/>
      <c r="WAX247"/>
      <c r="WAY247"/>
      <c r="WAZ247"/>
      <c r="WBA247"/>
      <c r="WBB247"/>
      <c r="WBC247"/>
      <c r="WBD247"/>
      <c r="WBE247"/>
      <c r="WBF247"/>
      <c r="WBG247"/>
      <c r="WBH247"/>
      <c r="WBI247"/>
      <c r="WBJ247"/>
      <c r="WBK247"/>
      <c r="WBL247"/>
      <c r="WBM247"/>
      <c r="WBN247"/>
      <c r="WBO247"/>
      <c r="WBP247"/>
      <c r="WBQ247"/>
      <c r="WBR247"/>
      <c r="WBS247"/>
      <c r="WBT247"/>
      <c r="WBU247"/>
      <c r="WBV247"/>
      <c r="WBW247"/>
      <c r="WBX247"/>
      <c r="WBY247"/>
      <c r="WBZ247"/>
      <c r="WCA247"/>
      <c r="WCB247"/>
      <c r="WCC247"/>
      <c r="WCD247"/>
      <c r="WCE247"/>
      <c r="WCF247"/>
      <c r="WCG247"/>
      <c r="WCH247"/>
      <c r="WCI247"/>
      <c r="WCJ247"/>
      <c r="WCK247"/>
      <c r="WCL247"/>
      <c r="WCM247"/>
      <c r="WCN247"/>
      <c r="WCO247"/>
      <c r="WCP247"/>
      <c r="WCQ247"/>
      <c r="WCR247"/>
      <c r="WCS247"/>
      <c r="WCT247"/>
      <c r="WCU247"/>
      <c r="WCV247"/>
      <c r="WCW247"/>
      <c r="WCX247"/>
      <c r="WCY247"/>
      <c r="WCZ247"/>
      <c r="WDA247"/>
      <c r="WDB247"/>
      <c r="WDC247"/>
      <c r="WDD247"/>
      <c r="WDE247"/>
      <c r="WDF247"/>
      <c r="WDG247"/>
      <c r="WDH247"/>
      <c r="WDI247"/>
      <c r="WDJ247"/>
      <c r="WDK247"/>
      <c r="WDL247"/>
      <c r="WDM247"/>
      <c r="WDN247"/>
      <c r="WDO247"/>
      <c r="WDP247"/>
      <c r="WDQ247"/>
      <c r="WDR247"/>
      <c r="WDS247"/>
      <c r="WDT247"/>
      <c r="WDU247"/>
      <c r="WDV247"/>
      <c r="WDW247"/>
      <c r="WDX247"/>
      <c r="WDY247"/>
      <c r="WDZ247"/>
      <c r="WEA247"/>
      <c r="WEB247"/>
      <c r="WEC247"/>
      <c r="WED247"/>
      <c r="WEE247"/>
      <c r="WEF247"/>
      <c r="WEG247"/>
      <c r="WEH247"/>
      <c r="WEI247"/>
      <c r="WEJ247"/>
      <c r="WEK247"/>
      <c r="WEL247"/>
      <c r="WEM247"/>
      <c r="WEN247"/>
      <c r="WEO247"/>
      <c r="WEP247"/>
      <c r="WEQ247"/>
      <c r="WER247"/>
      <c r="WES247"/>
      <c r="WET247"/>
      <c r="WEU247"/>
      <c r="WEV247"/>
      <c r="WEW247"/>
      <c r="WEX247"/>
      <c r="WEY247"/>
      <c r="WEZ247"/>
      <c r="WFA247"/>
      <c r="WFB247"/>
      <c r="WFC247"/>
      <c r="WFD247"/>
      <c r="WFE247"/>
      <c r="WFF247"/>
      <c r="WFG247"/>
      <c r="WFH247"/>
      <c r="WFI247"/>
      <c r="WFJ247"/>
      <c r="WFK247"/>
      <c r="WFL247"/>
      <c r="WFM247"/>
      <c r="WFN247"/>
      <c r="WFO247"/>
      <c r="WFP247"/>
      <c r="WFQ247"/>
      <c r="WFR247"/>
      <c r="WFS247"/>
      <c r="WFT247"/>
      <c r="WFU247"/>
      <c r="WFV247"/>
      <c r="WFW247"/>
      <c r="WFX247"/>
      <c r="WFY247"/>
      <c r="WFZ247"/>
      <c r="WGA247"/>
      <c r="WGB247"/>
      <c r="WGC247"/>
      <c r="WGD247"/>
      <c r="WGE247"/>
      <c r="WGF247"/>
      <c r="WGG247"/>
      <c r="WGH247"/>
      <c r="WGI247"/>
      <c r="WGJ247"/>
      <c r="WGK247"/>
      <c r="WGL247"/>
      <c r="WGM247"/>
      <c r="WGN247"/>
      <c r="WGO247"/>
      <c r="WGP247"/>
      <c r="WGQ247"/>
      <c r="WGR247"/>
      <c r="WGS247"/>
      <c r="WGT247"/>
      <c r="WGU247"/>
      <c r="WGV247"/>
      <c r="WGW247"/>
      <c r="WGX247"/>
      <c r="WGY247"/>
      <c r="WGZ247"/>
      <c r="WHA247"/>
      <c r="WHB247"/>
      <c r="WHC247"/>
      <c r="WHD247"/>
      <c r="WHE247"/>
      <c r="WHF247"/>
      <c r="WHG247"/>
      <c r="WHH247"/>
      <c r="WHI247"/>
      <c r="WHJ247"/>
      <c r="WHK247"/>
      <c r="WHL247"/>
      <c r="WHM247"/>
      <c r="WHN247"/>
      <c r="WHO247"/>
      <c r="WHP247"/>
      <c r="WHQ247"/>
      <c r="WHR247"/>
      <c r="WHS247"/>
      <c r="WHT247"/>
      <c r="WHU247"/>
      <c r="WHV247"/>
      <c r="WHW247"/>
      <c r="WHX247"/>
      <c r="WHY247"/>
      <c r="WHZ247"/>
      <c r="WIA247"/>
      <c r="WIB247"/>
      <c r="WIC247"/>
      <c r="WID247"/>
      <c r="WIE247"/>
      <c r="WIF247"/>
      <c r="WIG247"/>
      <c r="WIH247"/>
      <c r="WII247"/>
      <c r="WIJ247"/>
      <c r="WIK247"/>
      <c r="WIL247"/>
      <c r="WIM247"/>
      <c r="WIN247"/>
      <c r="WIO247"/>
      <c r="WIP247"/>
      <c r="WIQ247"/>
      <c r="WIR247"/>
      <c r="WIS247"/>
      <c r="WIT247"/>
      <c r="WIU247"/>
      <c r="WIV247"/>
      <c r="WIW247"/>
      <c r="WIX247"/>
      <c r="WIY247"/>
      <c r="WIZ247"/>
      <c r="WJA247"/>
      <c r="WJB247"/>
      <c r="WJC247"/>
      <c r="WJD247"/>
      <c r="WJE247"/>
      <c r="WJF247"/>
      <c r="WJG247"/>
      <c r="WJH247"/>
      <c r="WJI247"/>
      <c r="WJJ247"/>
      <c r="WJK247"/>
      <c r="WJL247"/>
      <c r="WJM247"/>
      <c r="WJN247"/>
      <c r="WJO247"/>
      <c r="WJP247"/>
      <c r="WJQ247"/>
      <c r="WJR247"/>
      <c r="WJS247"/>
      <c r="WJT247"/>
      <c r="WJU247"/>
      <c r="WJV247"/>
      <c r="WJW247"/>
      <c r="WJX247"/>
      <c r="WJY247"/>
      <c r="WJZ247"/>
      <c r="WKA247"/>
      <c r="WKB247"/>
      <c r="WKC247"/>
      <c r="WKD247"/>
      <c r="WKE247"/>
      <c r="WKF247"/>
      <c r="WKG247"/>
      <c r="WKH247"/>
      <c r="WKI247"/>
      <c r="WKJ247"/>
      <c r="WKK247"/>
      <c r="WKL247"/>
      <c r="WKM247"/>
      <c r="WKN247"/>
      <c r="WKO247"/>
      <c r="WKP247"/>
      <c r="WKQ247"/>
      <c r="WKR247"/>
      <c r="WKS247"/>
      <c r="WKT247"/>
      <c r="WKU247"/>
      <c r="WKV247"/>
      <c r="WKW247"/>
      <c r="WKX247"/>
      <c r="WKY247"/>
      <c r="WKZ247"/>
      <c r="WLA247"/>
      <c r="WLB247"/>
      <c r="WLC247"/>
      <c r="WLD247"/>
      <c r="WLE247"/>
      <c r="WLF247"/>
      <c r="WLG247"/>
      <c r="WLH247"/>
      <c r="WLI247"/>
      <c r="WLJ247"/>
      <c r="WLK247"/>
      <c r="WLL247"/>
      <c r="WLM247"/>
      <c r="WLN247"/>
      <c r="WLO247"/>
      <c r="WLP247"/>
      <c r="WLQ247"/>
      <c r="WLR247"/>
      <c r="WLS247"/>
      <c r="WLT247"/>
      <c r="WLU247"/>
      <c r="WLV247"/>
      <c r="WLW247"/>
      <c r="WLX247"/>
      <c r="WLY247"/>
      <c r="WLZ247"/>
      <c r="WMA247"/>
      <c r="WMB247"/>
      <c r="WMC247"/>
      <c r="WMD247"/>
      <c r="WME247"/>
      <c r="WMF247"/>
      <c r="WMG247"/>
      <c r="WMH247"/>
      <c r="WMI247"/>
      <c r="WMJ247"/>
      <c r="WMK247"/>
      <c r="WML247"/>
      <c r="WMM247"/>
      <c r="WMN247"/>
      <c r="WMO247"/>
      <c r="WMP247"/>
      <c r="WMQ247"/>
      <c r="WMR247"/>
      <c r="WMS247"/>
      <c r="WMT247"/>
      <c r="WMU247"/>
      <c r="WMV247"/>
      <c r="WMW247"/>
      <c r="WMX247"/>
      <c r="WMY247"/>
      <c r="WMZ247"/>
      <c r="WNA247"/>
      <c r="WNB247"/>
      <c r="WNC247"/>
      <c r="WND247"/>
      <c r="WNE247"/>
      <c r="WNF247"/>
      <c r="WNG247"/>
      <c r="WNH247"/>
      <c r="WNI247"/>
      <c r="WNJ247"/>
      <c r="WNK247"/>
      <c r="WNL247"/>
      <c r="WNM247"/>
      <c r="WNN247"/>
      <c r="WNO247"/>
      <c r="WNP247"/>
      <c r="WNQ247"/>
      <c r="WNR247"/>
      <c r="WNS247"/>
      <c r="WNT247"/>
      <c r="WNU247"/>
      <c r="WNV247"/>
      <c r="WNW247"/>
      <c r="WNX247"/>
      <c r="WNY247"/>
      <c r="WNZ247"/>
      <c r="WOA247"/>
      <c r="WOB247"/>
      <c r="WOC247"/>
      <c r="WOD247"/>
      <c r="WOE247"/>
      <c r="WOF247"/>
      <c r="WOG247"/>
      <c r="WOH247"/>
      <c r="WOI247"/>
      <c r="WOJ247"/>
      <c r="WOK247"/>
      <c r="WOL247"/>
      <c r="WOM247"/>
      <c r="WON247"/>
      <c r="WOO247"/>
      <c r="WOP247"/>
      <c r="WOQ247"/>
      <c r="WOR247"/>
      <c r="WOS247"/>
      <c r="WOT247"/>
      <c r="WOU247"/>
      <c r="WOV247"/>
      <c r="WOW247"/>
      <c r="WOX247"/>
      <c r="WOY247"/>
      <c r="WOZ247"/>
      <c r="WPA247"/>
      <c r="WPB247"/>
      <c r="WPC247"/>
      <c r="WPD247"/>
      <c r="WPE247"/>
      <c r="WPF247"/>
      <c r="WPG247"/>
      <c r="WPH247"/>
      <c r="WPI247"/>
      <c r="WPJ247"/>
      <c r="WPK247"/>
      <c r="WPL247"/>
      <c r="WPM247"/>
      <c r="WPN247"/>
      <c r="WPO247"/>
      <c r="WPP247"/>
      <c r="WPQ247"/>
      <c r="WPR247"/>
      <c r="WPS247"/>
      <c r="WPT247"/>
      <c r="WPU247"/>
      <c r="WPV247"/>
      <c r="WPW247"/>
      <c r="WPX247"/>
      <c r="WPY247"/>
      <c r="WPZ247"/>
      <c r="WQA247"/>
      <c r="WQB247"/>
      <c r="WQC247"/>
      <c r="WQD247"/>
      <c r="WQE247"/>
      <c r="WQF247"/>
      <c r="WQG247"/>
      <c r="WQH247"/>
      <c r="WQI247"/>
      <c r="WQJ247"/>
      <c r="WQK247"/>
      <c r="WQL247"/>
      <c r="WQM247"/>
      <c r="WQN247"/>
      <c r="WQO247"/>
      <c r="WQP247"/>
      <c r="WQQ247"/>
      <c r="WQR247"/>
      <c r="WQS247"/>
      <c r="WQT247"/>
      <c r="WQU247"/>
      <c r="WQV247"/>
      <c r="WQW247"/>
      <c r="WQX247"/>
      <c r="WQY247"/>
      <c r="WQZ247"/>
      <c r="WRA247"/>
      <c r="WRB247"/>
      <c r="WRC247"/>
      <c r="WRD247"/>
      <c r="WRE247"/>
      <c r="WRF247"/>
      <c r="WRG247"/>
      <c r="WRH247"/>
      <c r="WRI247"/>
      <c r="WRJ247"/>
      <c r="WRK247"/>
      <c r="WRL247"/>
      <c r="WRM247"/>
      <c r="WRN247"/>
      <c r="WRO247"/>
      <c r="WRP247"/>
      <c r="WRQ247"/>
      <c r="WRR247"/>
      <c r="WRS247"/>
      <c r="WRT247"/>
      <c r="WRU247"/>
      <c r="WRV247"/>
      <c r="WRW247"/>
      <c r="WRX247"/>
      <c r="WRY247"/>
      <c r="WRZ247"/>
      <c r="WSA247"/>
      <c r="WSB247"/>
      <c r="WSC247"/>
      <c r="WSD247"/>
      <c r="WSE247"/>
      <c r="WSF247"/>
      <c r="WSG247"/>
      <c r="WSH247"/>
      <c r="WSI247"/>
      <c r="WSJ247"/>
      <c r="WSK247"/>
      <c r="WSL247"/>
      <c r="WSM247"/>
      <c r="WSN247"/>
      <c r="WSO247"/>
      <c r="WSP247"/>
      <c r="WSQ247"/>
      <c r="WSR247"/>
      <c r="WSS247"/>
      <c r="WST247"/>
      <c r="WSU247"/>
      <c r="WSV247"/>
      <c r="WSW247"/>
      <c r="WSX247"/>
      <c r="WSY247"/>
      <c r="WSZ247"/>
      <c r="WTA247"/>
      <c r="WTB247"/>
      <c r="WTC247"/>
      <c r="WTD247"/>
      <c r="WTE247"/>
      <c r="WTF247"/>
      <c r="WTG247"/>
      <c r="WTH247"/>
      <c r="WTI247"/>
      <c r="WTJ247"/>
      <c r="WTK247"/>
      <c r="WTL247"/>
      <c r="WTM247"/>
      <c r="WTN247"/>
      <c r="WTO247"/>
      <c r="WTP247"/>
      <c r="WTQ247"/>
      <c r="WTR247"/>
      <c r="WTS247"/>
      <c r="WTT247"/>
      <c r="WTU247"/>
      <c r="WTV247"/>
      <c r="WTW247"/>
      <c r="WTX247"/>
      <c r="WTY247"/>
      <c r="WTZ247"/>
      <c r="WUA247"/>
      <c r="WUB247"/>
      <c r="WUC247"/>
      <c r="WUD247"/>
      <c r="WUE247"/>
      <c r="WUF247"/>
      <c r="WUG247"/>
      <c r="WUH247"/>
      <c r="WUI247"/>
      <c r="WUJ247"/>
      <c r="WUK247"/>
      <c r="WUL247"/>
      <c r="WUM247"/>
      <c r="WUN247"/>
      <c r="WUO247"/>
      <c r="WUP247"/>
      <c r="WUQ247"/>
      <c r="WUR247"/>
      <c r="WUS247"/>
      <c r="WUT247"/>
      <c r="WUU247"/>
      <c r="WUV247"/>
      <c r="WUW247"/>
      <c r="WUX247"/>
      <c r="WUY247"/>
      <c r="WUZ247"/>
      <c r="WVA247"/>
      <c r="WVB247"/>
      <c r="WVC247"/>
      <c r="WVD247"/>
      <c r="WVE247"/>
      <c r="WVF247"/>
      <c r="WVG247"/>
      <c r="WVH247"/>
      <c r="WVI247"/>
      <c r="WVJ247"/>
      <c r="WVK247"/>
      <c r="WVL247"/>
      <c r="WVM247"/>
      <c r="WVN247"/>
      <c r="WVO247"/>
      <c r="WVP247"/>
      <c r="WVQ247"/>
      <c r="WVR247"/>
      <c r="WVS247"/>
      <c r="WVT247"/>
      <c r="WVU247"/>
      <c r="WVV247"/>
      <c r="WVW247"/>
      <c r="WVX247"/>
      <c r="WVY247"/>
      <c r="WVZ247"/>
      <c r="WWA247"/>
      <c r="WWB247"/>
      <c r="WWC247"/>
      <c r="WWD247"/>
      <c r="WWE247"/>
      <c r="WWF247"/>
      <c r="WWG247"/>
      <c r="WWH247"/>
      <c r="WWI247"/>
      <c r="WWJ247"/>
      <c r="WWK247"/>
      <c r="WWL247"/>
      <c r="WWM247"/>
      <c r="WWN247"/>
      <c r="WWO247"/>
      <c r="WWP247"/>
      <c r="WWQ247"/>
      <c r="WWR247"/>
      <c r="WWS247"/>
      <c r="WWT247"/>
      <c r="WWU247"/>
      <c r="WWV247"/>
      <c r="WWW247"/>
      <c r="WWX247"/>
      <c r="WWY247"/>
      <c r="WWZ247"/>
      <c r="WXA247"/>
      <c r="WXB247"/>
      <c r="WXC247"/>
      <c r="WXD247"/>
      <c r="WXE247"/>
      <c r="WXF247"/>
      <c r="WXG247"/>
      <c r="WXH247"/>
      <c r="WXI247"/>
      <c r="WXJ247"/>
      <c r="WXK247"/>
      <c r="WXL247"/>
      <c r="WXM247"/>
      <c r="WXN247"/>
      <c r="WXO247"/>
      <c r="WXP247"/>
      <c r="WXQ247"/>
      <c r="WXR247"/>
      <c r="WXS247"/>
      <c r="WXT247"/>
      <c r="WXU247"/>
      <c r="WXV247"/>
      <c r="WXW247"/>
      <c r="WXX247"/>
      <c r="WXY247"/>
      <c r="WXZ247"/>
      <c r="WYA247"/>
      <c r="WYB247"/>
      <c r="WYC247"/>
      <c r="WYD247"/>
      <c r="WYE247"/>
      <c r="WYF247"/>
      <c r="WYG247"/>
      <c r="WYH247"/>
      <c r="WYI247"/>
      <c r="WYJ247"/>
      <c r="WYK247"/>
      <c r="WYL247"/>
      <c r="WYM247"/>
      <c r="WYN247"/>
      <c r="WYO247"/>
      <c r="WYP247"/>
      <c r="WYQ247"/>
      <c r="WYR247"/>
      <c r="WYS247"/>
      <c r="WYT247"/>
      <c r="WYU247"/>
      <c r="WYV247"/>
      <c r="WYW247"/>
      <c r="WYX247"/>
      <c r="WYY247"/>
      <c r="WYZ247"/>
      <c r="WZA247"/>
      <c r="WZB247"/>
      <c r="WZC247"/>
      <c r="WZD247"/>
      <c r="WZE247"/>
      <c r="WZF247"/>
      <c r="WZG247"/>
      <c r="WZH247"/>
      <c r="WZI247"/>
      <c r="WZJ247"/>
      <c r="WZK247"/>
      <c r="WZL247"/>
      <c r="WZM247"/>
      <c r="WZN247"/>
      <c r="WZO247"/>
      <c r="WZP247"/>
      <c r="WZQ247"/>
      <c r="WZR247"/>
      <c r="WZS247"/>
      <c r="WZT247"/>
      <c r="WZU247"/>
      <c r="WZV247"/>
      <c r="WZW247"/>
      <c r="WZX247"/>
      <c r="WZY247"/>
      <c r="WZZ247"/>
      <c r="XAA247"/>
      <c r="XAB247"/>
      <c r="XAC247"/>
      <c r="XAD247"/>
      <c r="XAE247"/>
      <c r="XAF247"/>
      <c r="XAG247"/>
      <c r="XAH247"/>
      <c r="XAI247"/>
      <c r="XAJ247"/>
      <c r="XAK247"/>
      <c r="XAL247"/>
      <c r="XAM247"/>
      <c r="XAN247"/>
      <c r="XAO247"/>
      <c r="XAP247"/>
      <c r="XAQ247"/>
      <c r="XAR247"/>
      <c r="XAS247"/>
      <c r="XAT247"/>
      <c r="XAU247"/>
      <c r="XAV247"/>
      <c r="XAW247"/>
      <c r="XAX247"/>
      <c r="XAY247"/>
      <c r="XAZ247"/>
      <c r="XBA247"/>
      <c r="XBB247"/>
      <c r="XBC247"/>
      <c r="XBD247"/>
      <c r="XBE247"/>
      <c r="XBF247"/>
      <c r="XBG247"/>
      <c r="XBH247"/>
      <c r="XBI247"/>
      <c r="XBJ247"/>
      <c r="XBK247"/>
      <c r="XBL247"/>
      <c r="XBM247"/>
      <c r="XBN247"/>
      <c r="XBO247"/>
      <c r="XBP247"/>
      <c r="XBQ247"/>
      <c r="XBR247"/>
      <c r="XBS247"/>
      <c r="XBT247"/>
      <c r="XBU247"/>
      <c r="XBV247"/>
      <c r="XBW247"/>
      <c r="XBX247"/>
      <c r="XBY247"/>
      <c r="XBZ247"/>
      <c r="XCA247"/>
      <c r="XCB247"/>
      <c r="XCC247"/>
      <c r="XCD247"/>
      <c r="XCE247"/>
      <c r="XCF247"/>
      <c r="XCG247"/>
      <c r="XCH247"/>
      <c r="XCI247"/>
      <c r="XCJ247"/>
      <c r="XCK247"/>
      <c r="XCL247"/>
      <c r="XCM247"/>
      <c r="XCN247"/>
      <c r="XCO247"/>
      <c r="XCP247"/>
      <c r="XCQ247"/>
      <c r="XCR247"/>
      <c r="XCS247"/>
      <c r="XCT247"/>
      <c r="XCU247"/>
      <c r="XCV247"/>
      <c r="XCW247"/>
      <c r="XCX247"/>
      <c r="XCY247"/>
      <c r="XCZ247"/>
      <c r="XDA247"/>
      <c r="XDB247"/>
      <c r="XDC247"/>
      <c r="XDD247"/>
      <c r="XDE247"/>
      <c r="XDF247"/>
      <c r="XDG247"/>
      <c r="XDH247"/>
      <c r="XDI247"/>
      <c r="XDJ247"/>
      <c r="XDK247"/>
      <c r="XDL247"/>
      <c r="XDM247"/>
      <c r="XDN247"/>
      <c r="XDO247"/>
      <c r="XDP247"/>
      <c r="XDQ247"/>
      <c r="XDR247"/>
      <c r="XDS247"/>
      <c r="XDT247"/>
      <c r="XDU247"/>
      <c r="XDV247"/>
      <c r="XDW247"/>
      <c r="XDX247"/>
      <c r="XDY247"/>
      <c r="XDZ247"/>
      <c r="XEA247"/>
      <c r="XEB247"/>
      <c r="XEC247"/>
      <c r="XED247"/>
      <c r="XEE247"/>
      <c r="XEF247"/>
      <c r="XEG247"/>
      <c r="XEH247"/>
      <c r="XEI247"/>
      <c r="XEJ247"/>
      <c r="XEK247"/>
      <c r="XEL247"/>
      <c r="XEM247"/>
      <c r="XEN247"/>
      <c r="XEO247"/>
      <c r="XEP247"/>
      <c r="XEQ247"/>
      <c r="XER247"/>
      <c r="XES247"/>
      <c r="XET247"/>
      <c r="XEU247"/>
      <c r="XEV247"/>
      <c r="XEW247"/>
      <c r="XEX247"/>
      <c r="XEY247"/>
      <c r="XEZ247"/>
      <c r="XFA247"/>
      <c r="XFB247"/>
      <c r="XFC247"/>
      <c r="XFD247"/>
    </row>
    <row r="248" spans="2:16384" s="131" customFormat="1" x14ac:dyDescent="0.25">
      <c r="E248" s="175"/>
      <c r="F248" s="67" t="s">
        <v>140</v>
      </c>
      <c r="G248" s="140" t="s">
        <v>388</v>
      </c>
      <c r="H248" s="574"/>
      <c r="I248" s="574"/>
      <c r="J248" s="579"/>
      <c r="K248" s="579"/>
      <c r="L248" s="579"/>
      <c r="M248" s="579"/>
      <c r="N248" s="579"/>
      <c r="O248" s="579"/>
      <c r="P248" s="579"/>
      <c r="Q248" s="579"/>
      <c r="R248" s="579"/>
      <c r="S248" s="579"/>
      <c r="T248" s="579"/>
      <c r="U248" s="579"/>
      <c r="V248" s="579"/>
      <c r="W248" s="579"/>
      <c r="X248" s="579"/>
      <c r="Y248" s="579"/>
      <c r="Z248" s="579"/>
      <c r="AA248" s="579"/>
      <c r="AB248" s="579"/>
      <c r="AC248" s="579"/>
      <c r="AD248" s="579"/>
      <c r="AE248" s="579"/>
      <c r="AF248" s="579"/>
      <c r="AG248" s="579"/>
      <c r="AH248" s="579"/>
      <c r="AI248" s="579"/>
      <c r="AJ248" s="579"/>
      <c r="AK248" s="579"/>
      <c r="AL248" s="579"/>
      <c r="AM248" s="579"/>
      <c r="AN248" s="579"/>
      <c r="AO248" s="579"/>
      <c r="AP248" s="579"/>
      <c r="AQ248" s="571"/>
      <c r="AR248" s="571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  <c r="FV248"/>
      <c r="FW248"/>
      <c r="FX248"/>
      <c r="FY248"/>
      <c r="FZ248"/>
      <c r="GA248"/>
      <c r="GB248"/>
      <c r="GC248"/>
      <c r="GD248"/>
      <c r="GE248"/>
      <c r="GF248"/>
      <c r="GG248"/>
      <c r="GH248"/>
      <c r="GI248"/>
      <c r="GJ248"/>
      <c r="GK248"/>
      <c r="GL248"/>
      <c r="GM248"/>
      <c r="GN248"/>
      <c r="GO248"/>
      <c r="GP248"/>
      <c r="GQ248"/>
      <c r="GR248"/>
      <c r="GS248"/>
      <c r="GT248"/>
      <c r="GU248"/>
      <c r="GV248"/>
      <c r="GW248"/>
      <c r="GX248"/>
      <c r="GY248"/>
      <c r="GZ248"/>
      <c r="HA248"/>
      <c r="HB248"/>
      <c r="HC248"/>
      <c r="HD248"/>
      <c r="HE248"/>
      <c r="HF248"/>
      <c r="HG248"/>
      <c r="HH248"/>
      <c r="HI248"/>
      <c r="HJ248"/>
      <c r="HK248"/>
      <c r="HL248"/>
      <c r="HM248"/>
      <c r="HN248"/>
      <c r="HO248"/>
      <c r="HP248"/>
      <c r="HQ248"/>
      <c r="HR248"/>
      <c r="HS248"/>
      <c r="HT248"/>
      <c r="HU248"/>
      <c r="HV248"/>
      <c r="HW248"/>
      <c r="HX248"/>
      <c r="HY248"/>
      <c r="HZ248"/>
      <c r="IA248"/>
      <c r="IB248"/>
      <c r="IC248"/>
      <c r="ID248"/>
      <c r="IE248"/>
      <c r="IF248"/>
      <c r="IG248"/>
      <c r="IH248"/>
      <c r="II248"/>
      <c r="IJ248"/>
      <c r="IK248"/>
      <c r="IL248"/>
      <c r="IM248"/>
      <c r="IN248"/>
      <c r="IO248"/>
      <c r="IP248"/>
      <c r="IQ248"/>
      <c r="IR248"/>
      <c r="IS248"/>
      <c r="IT248"/>
      <c r="IU248"/>
      <c r="IV248"/>
      <c r="IW248"/>
      <c r="IX248"/>
      <c r="IY248"/>
      <c r="IZ248"/>
      <c r="JA248"/>
      <c r="JB248"/>
      <c r="JC248"/>
      <c r="JD248"/>
      <c r="JE248"/>
      <c r="JF248"/>
      <c r="JG248"/>
      <c r="JH248"/>
      <c r="JI248"/>
      <c r="JJ248"/>
      <c r="JK248"/>
      <c r="JL248"/>
      <c r="JM248"/>
      <c r="JN248"/>
      <c r="JO248"/>
      <c r="JP248"/>
      <c r="JQ248"/>
      <c r="JR248"/>
      <c r="JS248"/>
      <c r="JT248"/>
      <c r="JU248"/>
      <c r="JV248"/>
      <c r="JW248"/>
      <c r="JX248"/>
      <c r="JY248"/>
      <c r="JZ248"/>
      <c r="KA248"/>
      <c r="KB248"/>
      <c r="KC248"/>
      <c r="KD248"/>
      <c r="KE248"/>
      <c r="KF248"/>
      <c r="KG248"/>
      <c r="KH248"/>
      <c r="KI248"/>
      <c r="KJ248"/>
      <c r="KK248"/>
      <c r="KL248"/>
      <c r="KM248"/>
      <c r="KN248"/>
      <c r="KO248"/>
      <c r="KP248"/>
      <c r="KQ248"/>
      <c r="KR248"/>
      <c r="KS248"/>
      <c r="KT248"/>
      <c r="KU248"/>
      <c r="KV248"/>
      <c r="KW248"/>
      <c r="KX248"/>
      <c r="KY248"/>
      <c r="KZ248"/>
      <c r="LA248"/>
      <c r="LB248"/>
      <c r="LC248"/>
      <c r="LD248"/>
      <c r="LE248"/>
      <c r="LF248"/>
      <c r="LG248"/>
      <c r="LH248"/>
      <c r="LI248"/>
      <c r="LJ248"/>
      <c r="LK248"/>
      <c r="LL248"/>
      <c r="LM248"/>
      <c r="LN248"/>
      <c r="LO248"/>
      <c r="LP248"/>
      <c r="LQ248"/>
      <c r="LR248"/>
      <c r="LS248"/>
      <c r="LT248"/>
      <c r="LU248"/>
      <c r="LV248"/>
      <c r="LW248"/>
      <c r="LX248"/>
      <c r="LY248"/>
      <c r="LZ248"/>
      <c r="MA248"/>
      <c r="MB248"/>
      <c r="MC248"/>
      <c r="MD248"/>
      <c r="ME248"/>
      <c r="MF248"/>
      <c r="MG248"/>
      <c r="MH248"/>
      <c r="MI248"/>
      <c r="MJ248"/>
      <c r="MK248"/>
      <c r="ML248"/>
      <c r="MM248"/>
      <c r="MN248"/>
      <c r="MO248"/>
      <c r="MP248"/>
      <c r="MQ248"/>
      <c r="MR248"/>
      <c r="MS248"/>
      <c r="MT248"/>
      <c r="MU248"/>
      <c r="MV248"/>
      <c r="MW248"/>
      <c r="MX248"/>
      <c r="MY248"/>
      <c r="MZ248"/>
      <c r="NA248"/>
      <c r="NB248"/>
      <c r="NC248"/>
      <c r="ND248"/>
      <c r="NE248"/>
      <c r="NF248"/>
      <c r="NG248"/>
      <c r="NH248"/>
      <c r="NI248"/>
      <c r="NJ248"/>
      <c r="NK248"/>
      <c r="NL248"/>
      <c r="NM248"/>
      <c r="NN248"/>
      <c r="NO248"/>
      <c r="NP248"/>
      <c r="NQ248"/>
      <c r="NR248"/>
      <c r="NS248"/>
      <c r="NT248"/>
      <c r="NU248"/>
      <c r="NV248"/>
      <c r="NW248"/>
      <c r="NX248"/>
      <c r="NY248"/>
      <c r="NZ248"/>
      <c r="OA248"/>
      <c r="OB248"/>
      <c r="OC248"/>
      <c r="OD248"/>
      <c r="OE248"/>
      <c r="OF248"/>
      <c r="OG248"/>
      <c r="OH248"/>
      <c r="OI248"/>
      <c r="OJ248"/>
      <c r="OK248"/>
      <c r="OL248"/>
      <c r="OM248"/>
      <c r="ON248"/>
      <c r="OO248"/>
      <c r="OP248"/>
      <c r="OQ248"/>
      <c r="OR248"/>
      <c r="OS248"/>
      <c r="OT248"/>
      <c r="OU248"/>
      <c r="OV248"/>
      <c r="OW248"/>
      <c r="OX248"/>
      <c r="OY248"/>
      <c r="OZ248"/>
      <c r="PA248"/>
      <c r="PB248"/>
      <c r="PC248"/>
      <c r="PD248"/>
      <c r="PE248"/>
      <c r="PF248"/>
      <c r="PG248"/>
      <c r="PH248"/>
      <c r="PI248"/>
      <c r="PJ248"/>
      <c r="PK248"/>
      <c r="PL248"/>
      <c r="PM248"/>
      <c r="PN248"/>
      <c r="PO248"/>
      <c r="PP248"/>
      <c r="PQ248"/>
      <c r="PR248"/>
      <c r="PS248"/>
      <c r="PT248"/>
      <c r="PU248"/>
      <c r="PV248"/>
      <c r="PW248"/>
      <c r="PX248"/>
      <c r="PY248"/>
      <c r="PZ248"/>
      <c r="QA248"/>
      <c r="QB248"/>
      <c r="QC248"/>
      <c r="QD248"/>
      <c r="QE248"/>
      <c r="QF248"/>
      <c r="QG248"/>
      <c r="QH248"/>
      <c r="QI248"/>
      <c r="QJ248"/>
      <c r="QK248"/>
      <c r="QL248"/>
      <c r="QM248"/>
      <c r="QN248"/>
      <c r="QO248"/>
      <c r="QP248"/>
      <c r="QQ248"/>
      <c r="QR248"/>
      <c r="QS248"/>
      <c r="QT248"/>
      <c r="QU248"/>
      <c r="QV248"/>
      <c r="QW248"/>
      <c r="QX248"/>
      <c r="QY248"/>
      <c r="QZ248"/>
      <c r="RA248"/>
      <c r="RB248"/>
      <c r="RC248"/>
      <c r="RD248"/>
      <c r="RE248"/>
      <c r="RF248"/>
      <c r="RG248"/>
      <c r="RH248"/>
      <c r="RI248"/>
      <c r="RJ248"/>
      <c r="RK248"/>
      <c r="RL248"/>
      <c r="RM248"/>
      <c r="RN248"/>
      <c r="RO248"/>
      <c r="RP248"/>
      <c r="RQ248"/>
      <c r="RR248"/>
      <c r="RS248"/>
      <c r="RT248"/>
      <c r="RU248"/>
      <c r="RV248"/>
      <c r="RW248"/>
      <c r="RX248"/>
      <c r="RY248"/>
      <c r="RZ248"/>
      <c r="SA248"/>
      <c r="SB248"/>
      <c r="SC248"/>
      <c r="SD248"/>
      <c r="SE248"/>
      <c r="SF248"/>
      <c r="SG248"/>
      <c r="SH248"/>
      <c r="SI248"/>
      <c r="SJ248"/>
      <c r="SK248"/>
      <c r="SL248"/>
      <c r="SM248"/>
      <c r="SN248"/>
      <c r="SO248"/>
      <c r="SP248"/>
      <c r="SQ248"/>
      <c r="SR248"/>
      <c r="SS248"/>
      <c r="ST248"/>
      <c r="SU248"/>
      <c r="SV248"/>
      <c r="SW248"/>
      <c r="SX248"/>
      <c r="SY248"/>
      <c r="SZ248"/>
      <c r="TA248"/>
      <c r="TB248"/>
      <c r="TC248"/>
      <c r="TD248"/>
      <c r="TE248"/>
      <c r="TF248"/>
      <c r="TG248"/>
      <c r="TH248"/>
      <c r="TI248"/>
      <c r="TJ248"/>
      <c r="TK248"/>
      <c r="TL248"/>
      <c r="TM248"/>
      <c r="TN248"/>
      <c r="TO248"/>
      <c r="TP248"/>
      <c r="TQ248"/>
      <c r="TR248"/>
      <c r="TS248"/>
      <c r="TT248"/>
      <c r="TU248"/>
      <c r="TV248"/>
      <c r="TW248"/>
      <c r="TX248"/>
      <c r="TY248"/>
      <c r="TZ248"/>
      <c r="UA248"/>
      <c r="UB248"/>
      <c r="UC248"/>
      <c r="UD248"/>
      <c r="UE248"/>
      <c r="UF248"/>
      <c r="UG248"/>
      <c r="UH248"/>
      <c r="UI248"/>
      <c r="UJ248"/>
      <c r="UK248"/>
      <c r="UL248"/>
      <c r="UM248"/>
      <c r="UN248"/>
      <c r="UO248"/>
      <c r="UP248"/>
      <c r="UQ248"/>
      <c r="UR248"/>
      <c r="US248"/>
      <c r="UT248"/>
      <c r="UU248"/>
      <c r="UV248"/>
      <c r="UW248"/>
      <c r="UX248"/>
      <c r="UY248"/>
      <c r="UZ248"/>
      <c r="VA248"/>
      <c r="VB248"/>
      <c r="VC248"/>
      <c r="VD248"/>
      <c r="VE248"/>
      <c r="VF248"/>
      <c r="VG248"/>
      <c r="VH248"/>
      <c r="VI248"/>
      <c r="VJ248"/>
      <c r="VK248"/>
      <c r="VL248"/>
      <c r="VM248"/>
      <c r="VN248"/>
      <c r="VO248"/>
      <c r="VP248"/>
      <c r="VQ248"/>
      <c r="VR248"/>
      <c r="VS248"/>
      <c r="VT248"/>
      <c r="VU248"/>
      <c r="VV248"/>
      <c r="VW248"/>
      <c r="VX248"/>
      <c r="VY248"/>
      <c r="VZ248"/>
      <c r="WA248"/>
      <c r="WB248"/>
      <c r="WC248"/>
      <c r="WD248"/>
      <c r="WE248"/>
      <c r="WF248"/>
      <c r="WG248"/>
      <c r="WH248"/>
      <c r="WI248"/>
      <c r="WJ248"/>
      <c r="WK248"/>
      <c r="WL248"/>
      <c r="WM248"/>
      <c r="WN248"/>
      <c r="WO248"/>
      <c r="WP248"/>
      <c r="WQ248"/>
      <c r="WR248"/>
      <c r="WS248"/>
      <c r="WT248"/>
      <c r="WU248"/>
      <c r="WV248"/>
      <c r="WW248"/>
      <c r="WX248"/>
      <c r="WY248"/>
      <c r="WZ248"/>
      <c r="XA248"/>
      <c r="XB248"/>
      <c r="XC248"/>
      <c r="XD248"/>
      <c r="XE248"/>
      <c r="XF248"/>
      <c r="XG248"/>
      <c r="XH248"/>
      <c r="XI248"/>
      <c r="XJ248"/>
      <c r="XK248"/>
      <c r="XL248"/>
      <c r="XM248"/>
      <c r="XN248"/>
      <c r="XO248"/>
      <c r="XP248"/>
      <c r="XQ248"/>
      <c r="XR248"/>
      <c r="XS248"/>
      <c r="XT248"/>
      <c r="XU248"/>
      <c r="XV248"/>
      <c r="XW248"/>
      <c r="XX248"/>
      <c r="XY248"/>
      <c r="XZ248"/>
      <c r="YA248"/>
      <c r="YB248"/>
      <c r="YC248"/>
      <c r="YD248"/>
      <c r="YE248"/>
      <c r="YF248"/>
      <c r="YG248"/>
      <c r="YH248"/>
      <c r="YI248"/>
      <c r="YJ248"/>
      <c r="YK248"/>
      <c r="YL248"/>
      <c r="YM248"/>
      <c r="YN248"/>
      <c r="YO248"/>
      <c r="YP248"/>
      <c r="YQ248"/>
      <c r="YR248"/>
      <c r="YS248"/>
      <c r="YT248"/>
      <c r="YU248"/>
      <c r="YV248"/>
      <c r="YW248"/>
      <c r="YX248"/>
      <c r="YY248"/>
      <c r="YZ248"/>
      <c r="ZA248"/>
      <c r="ZB248"/>
      <c r="ZC248"/>
      <c r="ZD248"/>
      <c r="ZE248"/>
      <c r="ZF248"/>
      <c r="ZG248"/>
      <c r="ZH248"/>
      <c r="ZI248"/>
      <c r="ZJ248"/>
      <c r="ZK248"/>
      <c r="ZL248"/>
      <c r="ZM248"/>
      <c r="ZN248"/>
      <c r="ZO248"/>
      <c r="ZP248"/>
      <c r="ZQ248"/>
      <c r="ZR248"/>
      <c r="ZS248"/>
      <c r="ZT248"/>
      <c r="ZU248"/>
      <c r="ZV248"/>
      <c r="ZW248"/>
      <c r="ZX248"/>
      <c r="ZY248"/>
      <c r="ZZ248"/>
      <c r="AAA248"/>
      <c r="AAB248"/>
      <c r="AAC248"/>
      <c r="AAD248"/>
      <c r="AAE248"/>
      <c r="AAF248"/>
      <c r="AAG248"/>
      <c r="AAH248"/>
      <c r="AAI248"/>
      <c r="AAJ248"/>
      <c r="AAK248"/>
      <c r="AAL248"/>
      <c r="AAM248"/>
      <c r="AAN248"/>
      <c r="AAO248"/>
      <c r="AAP248"/>
      <c r="AAQ248"/>
      <c r="AAR248"/>
      <c r="AAS248"/>
      <c r="AAT248"/>
      <c r="AAU248"/>
      <c r="AAV248"/>
      <c r="AAW248"/>
      <c r="AAX248"/>
      <c r="AAY248"/>
      <c r="AAZ248"/>
      <c r="ABA248"/>
      <c r="ABB248"/>
      <c r="ABC248"/>
      <c r="ABD248"/>
      <c r="ABE248"/>
      <c r="ABF248"/>
      <c r="ABG248"/>
      <c r="ABH248"/>
      <c r="ABI248"/>
      <c r="ABJ248"/>
      <c r="ABK248"/>
      <c r="ABL248"/>
      <c r="ABM248"/>
      <c r="ABN248"/>
      <c r="ABO248"/>
      <c r="ABP248"/>
      <c r="ABQ248"/>
      <c r="ABR248"/>
      <c r="ABS248"/>
      <c r="ABT248"/>
      <c r="ABU248"/>
      <c r="ABV248"/>
      <c r="ABW248"/>
      <c r="ABX248"/>
      <c r="ABY248"/>
      <c r="ABZ248"/>
      <c r="ACA248"/>
      <c r="ACB248"/>
      <c r="ACC248"/>
      <c r="ACD248"/>
      <c r="ACE248"/>
      <c r="ACF248"/>
      <c r="ACG248"/>
      <c r="ACH248"/>
      <c r="ACI248"/>
      <c r="ACJ248"/>
      <c r="ACK248"/>
      <c r="ACL248"/>
      <c r="ACM248"/>
      <c r="ACN248"/>
      <c r="ACO248"/>
      <c r="ACP248"/>
      <c r="ACQ248"/>
      <c r="ACR248"/>
      <c r="ACS248"/>
      <c r="ACT248"/>
      <c r="ACU248"/>
      <c r="ACV248"/>
      <c r="ACW248"/>
      <c r="ACX248"/>
      <c r="ACY248"/>
      <c r="ACZ248"/>
      <c r="ADA248"/>
      <c r="ADB248"/>
      <c r="ADC248"/>
      <c r="ADD248"/>
      <c r="ADE248"/>
      <c r="ADF248"/>
      <c r="ADG248"/>
      <c r="ADH248"/>
      <c r="ADI248"/>
      <c r="ADJ248"/>
      <c r="ADK248"/>
      <c r="ADL248"/>
      <c r="ADM248"/>
      <c r="ADN248"/>
      <c r="ADO248"/>
      <c r="ADP248"/>
      <c r="ADQ248"/>
      <c r="ADR248"/>
      <c r="ADS248"/>
      <c r="ADT248"/>
      <c r="ADU248"/>
      <c r="ADV248"/>
      <c r="ADW248"/>
      <c r="ADX248"/>
      <c r="ADY248"/>
      <c r="ADZ248"/>
      <c r="AEA248"/>
      <c r="AEB248"/>
      <c r="AEC248"/>
      <c r="AED248"/>
      <c r="AEE248"/>
      <c r="AEF248"/>
      <c r="AEG248"/>
      <c r="AEH248"/>
      <c r="AEI248"/>
      <c r="AEJ248"/>
      <c r="AEK248"/>
      <c r="AEL248"/>
      <c r="AEM248"/>
      <c r="AEN248"/>
      <c r="AEO248"/>
      <c r="AEP248"/>
      <c r="AEQ248"/>
      <c r="AER248"/>
      <c r="AES248"/>
      <c r="AET248"/>
      <c r="AEU248"/>
      <c r="AEV248"/>
      <c r="AEW248"/>
      <c r="AEX248"/>
      <c r="AEY248"/>
      <c r="AEZ248"/>
      <c r="AFA248"/>
      <c r="AFB248"/>
      <c r="AFC248"/>
      <c r="AFD248"/>
      <c r="AFE248"/>
      <c r="AFF248"/>
      <c r="AFG248"/>
      <c r="AFH248"/>
      <c r="AFI248"/>
      <c r="AFJ248"/>
      <c r="AFK248"/>
      <c r="AFL248"/>
      <c r="AFM248"/>
      <c r="AFN248"/>
      <c r="AFO248"/>
      <c r="AFP248"/>
      <c r="AFQ248"/>
      <c r="AFR248"/>
      <c r="AFS248"/>
      <c r="AFT248"/>
      <c r="AFU248"/>
      <c r="AFV248"/>
      <c r="AFW248"/>
      <c r="AFX248"/>
      <c r="AFY248"/>
      <c r="AFZ248"/>
      <c r="AGA248"/>
      <c r="AGB248"/>
      <c r="AGC248"/>
      <c r="AGD248"/>
      <c r="AGE248"/>
      <c r="AGF248"/>
      <c r="AGG248"/>
      <c r="AGH248"/>
      <c r="AGI248"/>
      <c r="AGJ248"/>
      <c r="AGK248"/>
      <c r="AGL248"/>
      <c r="AGM248"/>
      <c r="AGN248"/>
      <c r="AGO248"/>
      <c r="AGP248"/>
      <c r="AGQ248"/>
      <c r="AGR248"/>
      <c r="AGS248"/>
      <c r="AGT248"/>
      <c r="AGU248"/>
      <c r="AGV248"/>
      <c r="AGW248"/>
      <c r="AGX248"/>
      <c r="AGY248"/>
      <c r="AGZ248"/>
      <c r="AHA248"/>
      <c r="AHB248"/>
      <c r="AHC248"/>
      <c r="AHD248"/>
      <c r="AHE248"/>
      <c r="AHF248"/>
      <c r="AHG248"/>
      <c r="AHH248"/>
      <c r="AHI248"/>
      <c r="AHJ248"/>
      <c r="AHK248"/>
      <c r="AHL248"/>
      <c r="AHM248"/>
      <c r="AHN248"/>
      <c r="AHO248"/>
      <c r="AHP248"/>
      <c r="AHQ248"/>
      <c r="AHR248"/>
      <c r="AHS248"/>
      <c r="AHT248"/>
      <c r="AHU248"/>
      <c r="AHV248"/>
      <c r="AHW248"/>
      <c r="AHX248"/>
      <c r="AHY248"/>
      <c r="AHZ248"/>
      <c r="AIA248"/>
      <c r="AIB248"/>
      <c r="AIC248"/>
      <c r="AID248"/>
      <c r="AIE248"/>
      <c r="AIF248"/>
      <c r="AIG248"/>
      <c r="AIH248"/>
      <c r="AII248"/>
      <c r="AIJ248"/>
      <c r="AIK248"/>
      <c r="AIL248"/>
      <c r="AIM248"/>
      <c r="AIN248"/>
      <c r="AIO248"/>
      <c r="AIP248"/>
      <c r="AIQ248"/>
      <c r="AIR248"/>
      <c r="AIS248"/>
      <c r="AIT248"/>
      <c r="AIU248"/>
      <c r="AIV248"/>
      <c r="AIW248"/>
      <c r="AIX248"/>
      <c r="AIY248"/>
      <c r="AIZ248"/>
      <c r="AJA248"/>
      <c r="AJB248"/>
      <c r="AJC248"/>
      <c r="AJD248"/>
      <c r="AJE248"/>
      <c r="AJF248"/>
      <c r="AJG248"/>
      <c r="AJH248"/>
      <c r="AJI248"/>
      <c r="AJJ248"/>
      <c r="AJK248"/>
      <c r="AJL248"/>
      <c r="AJM248"/>
      <c r="AJN248"/>
      <c r="AJO248"/>
      <c r="AJP248"/>
      <c r="AJQ248"/>
      <c r="AJR248"/>
      <c r="AJS248"/>
      <c r="AJT248"/>
      <c r="AJU248"/>
      <c r="AJV248"/>
      <c r="AJW248"/>
      <c r="AJX248"/>
      <c r="AJY248"/>
      <c r="AJZ248"/>
      <c r="AKA248"/>
      <c r="AKB248"/>
      <c r="AKC248"/>
      <c r="AKD248"/>
      <c r="AKE248"/>
      <c r="AKF248"/>
      <c r="AKG248"/>
      <c r="AKH248"/>
      <c r="AKI248"/>
      <c r="AKJ248"/>
      <c r="AKK248"/>
      <c r="AKL248"/>
      <c r="AKM248"/>
      <c r="AKN248"/>
      <c r="AKO248"/>
      <c r="AKP248"/>
      <c r="AKQ248"/>
      <c r="AKR248"/>
      <c r="AKS248"/>
      <c r="AKT248"/>
      <c r="AKU248"/>
      <c r="AKV248"/>
      <c r="AKW248"/>
      <c r="AKX248"/>
      <c r="AKY248"/>
      <c r="AKZ248"/>
      <c r="ALA248"/>
      <c r="ALB248"/>
      <c r="ALC248"/>
      <c r="ALD248"/>
      <c r="ALE248"/>
      <c r="ALF248"/>
      <c r="ALG248"/>
      <c r="ALH248"/>
      <c r="ALI248"/>
      <c r="ALJ248"/>
      <c r="ALK248"/>
      <c r="ALL248"/>
      <c r="ALM248"/>
      <c r="ALN248"/>
      <c r="ALO248"/>
      <c r="ALP248"/>
      <c r="ALQ248"/>
      <c r="ALR248"/>
      <c r="ALS248"/>
      <c r="ALT248"/>
      <c r="ALU248"/>
      <c r="ALV248"/>
      <c r="ALW248"/>
      <c r="ALX248"/>
      <c r="ALY248"/>
      <c r="ALZ248"/>
      <c r="AMA248"/>
      <c r="AMB248"/>
      <c r="AMC248"/>
      <c r="AMD248"/>
      <c r="AME248"/>
      <c r="AMF248"/>
      <c r="AMG248"/>
      <c r="AMH248"/>
      <c r="AMI248"/>
      <c r="AMJ248"/>
      <c r="AMK248"/>
      <c r="AML248"/>
      <c r="AMM248"/>
      <c r="AMN248"/>
      <c r="AMO248"/>
      <c r="AMP248"/>
      <c r="AMQ248"/>
      <c r="AMR248"/>
      <c r="AMS248"/>
      <c r="AMT248"/>
      <c r="AMU248"/>
      <c r="AMV248"/>
      <c r="AMW248"/>
      <c r="AMX248"/>
      <c r="AMY248"/>
      <c r="AMZ248"/>
      <c r="ANA248"/>
      <c r="ANB248"/>
      <c r="ANC248"/>
      <c r="AND248"/>
      <c r="ANE248"/>
      <c r="ANF248"/>
      <c r="ANG248"/>
      <c r="ANH248"/>
      <c r="ANI248"/>
      <c r="ANJ248"/>
      <c r="ANK248"/>
      <c r="ANL248"/>
      <c r="ANM248"/>
      <c r="ANN248"/>
      <c r="ANO248"/>
      <c r="ANP248"/>
      <c r="ANQ248"/>
      <c r="ANR248"/>
      <c r="ANS248"/>
      <c r="ANT248"/>
      <c r="ANU248"/>
      <c r="ANV248"/>
      <c r="ANW248"/>
      <c r="ANX248"/>
      <c r="ANY248"/>
      <c r="ANZ248"/>
      <c r="AOA248"/>
      <c r="AOB248"/>
      <c r="AOC248"/>
      <c r="AOD248"/>
      <c r="AOE248"/>
      <c r="AOF248"/>
      <c r="AOG248"/>
      <c r="AOH248"/>
      <c r="AOI248"/>
      <c r="AOJ248"/>
      <c r="AOK248"/>
      <c r="AOL248"/>
      <c r="AOM248"/>
      <c r="AON248"/>
      <c r="AOO248"/>
      <c r="AOP248"/>
      <c r="AOQ248"/>
      <c r="AOR248"/>
      <c r="AOS248"/>
      <c r="AOT248"/>
      <c r="AOU248"/>
      <c r="AOV248"/>
      <c r="AOW248"/>
      <c r="AOX248"/>
      <c r="AOY248"/>
      <c r="AOZ248"/>
      <c r="APA248"/>
      <c r="APB248"/>
      <c r="APC248"/>
      <c r="APD248"/>
      <c r="APE248"/>
      <c r="APF248"/>
      <c r="APG248"/>
      <c r="APH248"/>
      <c r="API248"/>
      <c r="APJ248"/>
      <c r="APK248"/>
      <c r="APL248"/>
      <c r="APM248"/>
      <c r="APN248"/>
      <c r="APO248"/>
      <c r="APP248"/>
      <c r="APQ248"/>
      <c r="APR248"/>
      <c r="APS248"/>
      <c r="APT248"/>
      <c r="APU248"/>
      <c r="APV248"/>
      <c r="APW248"/>
      <c r="APX248"/>
      <c r="APY248"/>
      <c r="APZ248"/>
      <c r="AQA248"/>
      <c r="AQB248"/>
      <c r="AQC248"/>
      <c r="AQD248"/>
      <c r="AQE248"/>
      <c r="AQF248"/>
      <c r="AQG248"/>
      <c r="AQH248"/>
      <c r="AQI248"/>
      <c r="AQJ248"/>
      <c r="AQK248"/>
      <c r="AQL248"/>
      <c r="AQM248"/>
      <c r="AQN248"/>
      <c r="AQO248"/>
      <c r="AQP248"/>
      <c r="AQQ248"/>
      <c r="AQR248"/>
      <c r="AQS248"/>
      <c r="AQT248"/>
      <c r="AQU248"/>
      <c r="AQV248"/>
      <c r="AQW248"/>
      <c r="AQX248"/>
      <c r="AQY248"/>
      <c r="AQZ248"/>
      <c r="ARA248"/>
      <c r="ARB248"/>
      <c r="ARC248"/>
      <c r="ARD248"/>
      <c r="ARE248"/>
      <c r="ARF248"/>
      <c r="ARG248"/>
      <c r="ARH248"/>
      <c r="ARI248"/>
      <c r="ARJ248"/>
      <c r="ARK248"/>
      <c r="ARL248"/>
      <c r="ARM248"/>
      <c r="ARN248"/>
      <c r="ARO248"/>
      <c r="ARP248"/>
      <c r="ARQ248"/>
      <c r="ARR248"/>
      <c r="ARS248"/>
      <c r="ART248"/>
      <c r="ARU248"/>
      <c r="ARV248"/>
      <c r="ARW248"/>
      <c r="ARX248"/>
      <c r="ARY248"/>
      <c r="ARZ248"/>
      <c r="ASA248"/>
      <c r="ASB248"/>
      <c r="ASC248"/>
      <c r="ASD248"/>
      <c r="ASE248"/>
      <c r="ASF248"/>
      <c r="ASG248"/>
      <c r="ASH248"/>
      <c r="ASI248"/>
      <c r="ASJ248"/>
      <c r="ASK248"/>
      <c r="ASL248"/>
      <c r="ASM248"/>
      <c r="ASN248"/>
      <c r="ASO248"/>
      <c r="ASP248"/>
      <c r="ASQ248"/>
      <c r="ASR248"/>
      <c r="ASS248"/>
      <c r="AST248"/>
      <c r="ASU248"/>
      <c r="ASV248"/>
      <c r="ASW248"/>
      <c r="ASX248"/>
      <c r="ASY248"/>
      <c r="ASZ248"/>
      <c r="ATA248"/>
      <c r="ATB248"/>
      <c r="ATC248"/>
      <c r="ATD248"/>
      <c r="ATE248"/>
      <c r="ATF248"/>
      <c r="ATG248"/>
      <c r="ATH248"/>
      <c r="ATI248"/>
      <c r="ATJ248"/>
      <c r="ATK248"/>
      <c r="ATL248"/>
      <c r="ATM248"/>
      <c r="ATN248"/>
      <c r="ATO248"/>
      <c r="ATP248"/>
      <c r="ATQ248"/>
      <c r="ATR248"/>
      <c r="ATS248"/>
      <c r="ATT248"/>
      <c r="ATU248"/>
      <c r="ATV248"/>
      <c r="ATW248"/>
      <c r="ATX248"/>
      <c r="ATY248"/>
      <c r="ATZ248"/>
      <c r="AUA248"/>
      <c r="AUB248"/>
      <c r="AUC248"/>
      <c r="AUD248"/>
      <c r="AUE248"/>
      <c r="AUF248"/>
      <c r="AUG248"/>
      <c r="AUH248"/>
      <c r="AUI248"/>
      <c r="AUJ248"/>
      <c r="AUK248"/>
      <c r="AUL248"/>
      <c r="AUM248"/>
      <c r="AUN248"/>
      <c r="AUO248"/>
      <c r="AUP248"/>
      <c r="AUQ248"/>
      <c r="AUR248"/>
      <c r="AUS248"/>
      <c r="AUT248"/>
      <c r="AUU248"/>
      <c r="AUV248"/>
      <c r="AUW248"/>
      <c r="AUX248"/>
      <c r="AUY248"/>
      <c r="AUZ248"/>
      <c r="AVA248"/>
      <c r="AVB248"/>
      <c r="AVC248"/>
      <c r="AVD248"/>
      <c r="AVE248"/>
      <c r="AVF248"/>
      <c r="AVG248"/>
      <c r="AVH248"/>
      <c r="AVI248"/>
      <c r="AVJ248"/>
      <c r="AVK248"/>
      <c r="AVL248"/>
      <c r="AVM248"/>
      <c r="AVN248"/>
      <c r="AVO248"/>
      <c r="AVP248"/>
      <c r="AVQ248"/>
      <c r="AVR248"/>
      <c r="AVS248"/>
      <c r="AVT248"/>
      <c r="AVU248"/>
      <c r="AVV248"/>
      <c r="AVW248"/>
      <c r="AVX248"/>
      <c r="AVY248"/>
      <c r="AVZ248"/>
      <c r="AWA248"/>
      <c r="AWB248"/>
      <c r="AWC248"/>
      <c r="AWD248"/>
      <c r="AWE248"/>
      <c r="AWF248"/>
      <c r="AWG248"/>
      <c r="AWH248"/>
      <c r="AWI248"/>
      <c r="AWJ248"/>
      <c r="AWK248"/>
      <c r="AWL248"/>
      <c r="AWM248"/>
      <c r="AWN248"/>
      <c r="AWO248"/>
      <c r="AWP248"/>
      <c r="AWQ248"/>
      <c r="AWR248"/>
      <c r="AWS248"/>
      <c r="AWT248"/>
      <c r="AWU248"/>
      <c r="AWV248"/>
      <c r="AWW248"/>
      <c r="AWX248"/>
      <c r="AWY248"/>
      <c r="AWZ248"/>
      <c r="AXA248"/>
      <c r="AXB248"/>
      <c r="AXC248"/>
      <c r="AXD248"/>
      <c r="AXE248"/>
      <c r="AXF248"/>
      <c r="AXG248"/>
      <c r="AXH248"/>
      <c r="AXI248"/>
      <c r="AXJ248"/>
      <c r="AXK248"/>
      <c r="AXL248"/>
      <c r="AXM248"/>
      <c r="AXN248"/>
      <c r="AXO248"/>
      <c r="AXP248"/>
      <c r="AXQ248"/>
      <c r="AXR248"/>
      <c r="AXS248"/>
      <c r="AXT248"/>
      <c r="AXU248"/>
      <c r="AXV248"/>
      <c r="AXW248"/>
      <c r="AXX248"/>
      <c r="AXY248"/>
      <c r="AXZ248"/>
      <c r="AYA248"/>
      <c r="AYB248"/>
      <c r="AYC248"/>
      <c r="AYD248"/>
      <c r="AYE248"/>
      <c r="AYF248"/>
      <c r="AYG248"/>
      <c r="AYH248"/>
      <c r="AYI248"/>
      <c r="AYJ248"/>
      <c r="AYK248"/>
      <c r="AYL248"/>
      <c r="AYM248"/>
      <c r="AYN248"/>
      <c r="AYO248"/>
      <c r="AYP248"/>
      <c r="AYQ248"/>
      <c r="AYR248"/>
      <c r="AYS248"/>
      <c r="AYT248"/>
      <c r="AYU248"/>
      <c r="AYV248"/>
      <c r="AYW248"/>
      <c r="AYX248"/>
      <c r="AYY248"/>
      <c r="AYZ248"/>
      <c r="AZA248"/>
      <c r="AZB248"/>
      <c r="AZC248"/>
      <c r="AZD248"/>
      <c r="AZE248"/>
      <c r="AZF248"/>
      <c r="AZG248"/>
      <c r="AZH248"/>
      <c r="AZI248"/>
      <c r="AZJ248"/>
      <c r="AZK248"/>
      <c r="AZL248"/>
      <c r="AZM248"/>
      <c r="AZN248"/>
      <c r="AZO248"/>
      <c r="AZP248"/>
      <c r="AZQ248"/>
      <c r="AZR248"/>
      <c r="AZS248"/>
      <c r="AZT248"/>
      <c r="AZU248"/>
      <c r="AZV248"/>
      <c r="AZW248"/>
      <c r="AZX248"/>
      <c r="AZY248"/>
      <c r="AZZ248"/>
      <c r="BAA248"/>
      <c r="BAB248"/>
      <c r="BAC248"/>
      <c r="BAD248"/>
      <c r="BAE248"/>
      <c r="BAF248"/>
      <c r="BAG248"/>
      <c r="BAH248"/>
      <c r="BAI248"/>
      <c r="BAJ248"/>
      <c r="BAK248"/>
      <c r="BAL248"/>
      <c r="BAM248"/>
      <c r="BAN248"/>
      <c r="BAO248"/>
      <c r="BAP248"/>
      <c r="BAQ248"/>
      <c r="BAR248"/>
      <c r="BAS248"/>
      <c r="BAT248"/>
      <c r="BAU248"/>
      <c r="BAV248"/>
      <c r="BAW248"/>
      <c r="BAX248"/>
      <c r="BAY248"/>
      <c r="BAZ248"/>
      <c r="BBA248"/>
      <c r="BBB248"/>
      <c r="BBC248"/>
      <c r="BBD248"/>
      <c r="BBE248"/>
      <c r="BBF248"/>
      <c r="BBG248"/>
      <c r="BBH248"/>
      <c r="BBI248"/>
      <c r="BBJ248"/>
      <c r="BBK248"/>
      <c r="BBL248"/>
      <c r="BBM248"/>
      <c r="BBN248"/>
      <c r="BBO248"/>
      <c r="BBP248"/>
      <c r="BBQ248"/>
      <c r="BBR248"/>
      <c r="BBS248"/>
      <c r="BBT248"/>
      <c r="BBU248"/>
      <c r="BBV248"/>
      <c r="BBW248"/>
      <c r="BBX248"/>
      <c r="BBY248"/>
      <c r="BBZ248"/>
      <c r="BCA248"/>
      <c r="BCB248"/>
      <c r="BCC248"/>
      <c r="BCD248"/>
      <c r="BCE248"/>
      <c r="BCF248"/>
      <c r="BCG248"/>
      <c r="BCH248"/>
      <c r="BCI248"/>
      <c r="BCJ248"/>
      <c r="BCK248"/>
      <c r="BCL248"/>
      <c r="BCM248"/>
      <c r="BCN248"/>
      <c r="BCO248"/>
      <c r="BCP248"/>
      <c r="BCQ248"/>
      <c r="BCR248"/>
      <c r="BCS248"/>
      <c r="BCT248"/>
      <c r="BCU248"/>
      <c r="BCV248"/>
      <c r="BCW248"/>
      <c r="BCX248"/>
      <c r="BCY248"/>
      <c r="BCZ248"/>
      <c r="BDA248"/>
      <c r="BDB248"/>
      <c r="BDC248"/>
      <c r="BDD248"/>
      <c r="BDE248"/>
      <c r="BDF248"/>
      <c r="BDG248"/>
      <c r="BDH248"/>
      <c r="BDI248"/>
      <c r="BDJ248"/>
      <c r="BDK248"/>
      <c r="BDL248"/>
      <c r="BDM248"/>
      <c r="BDN248"/>
      <c r="BDO248"/>
      <c r="BDP248"/>
      <c r="BDQ248"/>
      <c r="BDR248"/>
      <c r="BDS248"/>
      <c r="BDT248"/>
      <c r="BDU248"/>
      <c r="BDV248"/>
      <c r="BDW248"/>
      <c r="BDX248"/>
      <c r="BDY248"/>
      <c r="BDZ248"/>
      <c r="BEA248"/>
      <c r="BEB248"/>
      <c r="BEC248"/>
      <c r="BED248"/>
      <c r="BEE248"/>
      <c r="BEF248"/>
      <c r="BEG248"/>
      <c r="BEH248"/>
      <c r="BEI248"/>
      <c r="BEJ248"/>
      <c r="BEK248"/>
      <c r="BEL248"/>
      <c r="BEM248"/>
      <c r="BEN248"/>
      <c r="BEO248"/>
      <c r="BEP248"/>
      <c r="BEQ248"/>
      <c r="BER248"/>
      <c r="BES248"/>
      <c r="BET248"/>
      <c r="BEU248"/>
      <c r="BEV248"/>
      <c r="BEW248"/>
      <c r="BEX248"/>
      <c r="BEY248"/>
      <c r="BEZ248"/>
      <c r="BFA248"/>
      <c r="BFB248"/>
      <c r="BFC248"/>
      <c r="BFD248"/>
      <c r="BFE248"/>
      <c r="BFF248"/>
      <c r="BFG248"/>
      <c r="BFH248"/>
      <c r="BFI248"/>
      <c r="BFJ248"/>
      <c r="BFK248"/>
      <c r="BFL248"/>
      <c r="BFM248"/>
      <c r="BFN248"/>
      <c r="BFO248"/>
      <c r="BFP248"/>
      <c r="BFQ248"/>
      <c r="BFR248"/>
      <c r="BFS248"/>
      <c r="BFT248"/>
      <c r="BFU248"/>
      <c r="BFV248"/>
      <c r="BFW248"/>
      <c r="BFX248"/>
      <c r="BFY248"/>
      <c r="BFZ248"/>
      <c r="BGA248"/>
      <c r="BGB248"/>
      <c r="BGC248"/>
      <c r="BGD248"/>
      <c r="BGE248"/>
      <c r="BGF248"/>
      <c r="BGG248"/>
      <c r="BGH248"/>
      <c r="BGI248"/>
      <c r="BGJ248"/>
      <c r="BGK248"/>
      <c r="BGL248"/>
      <c r="BGM248"/>
      <c r="BGN248"/>
      <c r="BGO248"/>
      <c r="BGP248"/>
      <c r="BGQ248"/>
      <c r="BGR248"/>
      <c r="BGS248"/>
      <c r="BGT248"/>
      <c r="BGU248"/>
      <c r="BGV248"/>
      <c r="BGW248"/>
      <c r="BGX248"/>
      <c r="BGY248"/>
      <c r="BGZ248"/>
      <c r="BHA248"/>
      <c r="BHB248"/>
      <c r="BHC248"/>
      <c r="BHD248"/>
      <c r="BHE248"/>
      <c r="BHF248"/>
      <c r="BHG248"/>
      <c r="BHH248"/>
      <c r="BHI248"/>
      <c r="BHJ248"/>
      <c r="BHK248"/>
      <c r="BHL248"/>
      <c r="BHM248"/>
      <c r="BHN248"/>
      <c r="BHO248"/>
      <c r="BHP248"/>
      <c r="BHQ248"/>
      <c r="BHR248"/>
      <c r="BHS248"/>
      <c r="BHT248"/>
      <c r="BHU248"/>
      <c r="BHV248"/>
      <c r="BHW248"/>
      <c r="BHX248"/>
      <c r="BHY248"/>
      <c r="BHZ248"/>
      <c r="BIA248"/>
      <c r="BIB248"/>
      <c r="BIC248"/>
      <c r="BID248"/>
      <c r="BIE248"/>
      <c r="BIF248"/>
      <c r="BIG248"/>
      <c r="BIH248"/>
      <c r="BII248"/>
      <c r="BIJ248"/>
      <c r="BIK248"/>
      <c r="BIL248"/>
      <c r="BIM248"/>
      <c r="BIN248"/>
      <c r="BIO248"/>
      <c r="BIP248"/>
      <c r="BIQ248"/>
      <c r="BIR248"/>
      <c r="BIS248"/>
      <c r="BIT248"/>
      <c r="BIU248"/>
      <c r="BIV248"/>
      <c r="BIW248"/>
      <c r="BIX248"/>
      <c r="BIY248"/>
      <c r="BIZ248"/>
      <c r="BJA248"/>
      <c r="BJB248"/>
      <c r="BJC248"/>
      <c r="BJD248"/>
      <c r="BJE248"/>
      <c r="BJF248"/>
      <c r="BJG248"/>
      <c r="BJH248"/>
      <c r="BJI248"/>
      <c r="BJJ248"/>
      <c r="BJK248"/>
      <c r="BJL248"/>
      <c r="BJM248"/>
      <c r="BJN248"/>
      <c r="BJO248"/>
      <c r="BJP248"/>
      <c r="BJQ248"/>
      <c r="BJR248"/>
      <c r="BJS248"/>
      <c r="BJT248"/>
      <c r="BJU248"/>
      <c r="BJV248"/>
      <c r="BJW248"/>
      <c r="BJX248"/>
      <c r="BJY248"/>
      <c r="BJZ248"/>
      <c r="BKA248"/>
      <c r="BKB248"/>
      <c r="BKC248"/>
      <c r="BKD248"/>
      <c r="BKE248"/>
      <c r="BKF248"/>
      <c r="BKG248"/>
      <c r="BKH248"/>
      <c r="BKI248"/>
      <c r="BKJ248"/>
      <c r="BKK248"/>
      <c r="BKL248"/>
      <c r="BKM248"/>
      <c r="BKN248"/>
      <c r="BKO248"/>
      <c r="BKP248"/>
      <c r="BKQ248"/>
      <c r="BKR248"/>
      <c r="BKS248"/>
      <c r="BKT248"/>
      <c r="BKU248"/>
      <c r="BKV248"/>
      <c r="BKW248"/>
      <c r="BKX248"/>
      <c r="BKY248"/>
      <c r="BKZ248"/>
      <c r="BLA248"/>
      <c r="BLB248"/>
      <c r="BLC248"/>
      <c r="BLD248"/>
      <c r="BLE248"/>
      <c r="BLF248"/>
      <c r="BLG248"/>
      <c r="BLH248"/>
      <c r="BLI248"/>
      <c r="BLJ248"/>
      <c r="BLK248"/>
      <c r="BLL248"/>
      <c r="BLM248"/>
      <c r="BLN248"/>
      <c r="BLO248"/>
      <c r="BLP248"/>
      <c r="BLQ248"/>
      <c r="BLR248"/>
      <c r="BLS248"/>
      <c r="BLT248"/>
      <c r="BLU248"/>
      <c r="BLV248"/>
      <c r="BLW248"/>
      <c r="BLX248"/>
      <c r="BLY248"/>
      <c r="BLZ248"/>
      <c r="BMA248"/>
      <c r="BMB248"/>
      <c r="BMC248"/>
      <c r="BMD248"/>
      <c r="BME248"/>
      <c r="BMF248"/>
      <c r="BMG248"/>
      <c r="BMH248"/>
      <c r="BMI248"/>
      <c r="BMJ248"/>
      <c r="BMK248"/>
      <c r="BML248"/>
      <c r="BMM248"/>
      <c r="BMN248"/>
      <c r="BMO248"/>
      <c r="BMP248"/>
      <c r="BMQ248"/>
      <c r="BMR248"/>
      <c r="BMS248"/>
      <c r="BMT248"/>
      <c r="BMU248"/>
      <c r="BMV248"/>
      <c r="BMW248"/>
      <c r="BMX248"/>
      <c r="BMY248"/>
      <c r="BMZ248"/>
      <c r="BNA248"/>
      <c r="BNB248"/>
      <c r="BNC248"/>
      <c r="BND248"/>
      <c r="BNE248"/>
      <c r="BNF248"/>
      <c r="BNG248"/>
      <c r="BNH248"/>
      <c r="BNI248"/>
      <c r="BNJ248"/>
      <c r="BNK248"/>
      <c r="BNL248"/>
      <c r="BNM248"/>
      <c r="BNN248"/>
      <c r="BNO248"/>
      <c r="BNP248"/>
      <c r="BNQ248"/>
      <c r="BNR248"/>
      <c r="BNS248"/>
      <c r="BNT248"/>
      <c r="BNU248"/>
      <c r="BNV248"/>
      <c r="BNW248"/>
      <c r="BNX248"/>
      <c r="BNY248"/>
      <c r="BNZ248"/>
      <c r="BOA248"/>
      <c r="BOB248"/>
      <c r="BOC248"/>
      <c r="BOD248"/>
      <c r="BOE248"/>
      <c r="BOF248"/>
      <c r="BOG248"/>
      <c r="BOH248"/>
      <c r="BOI248"/>
      <c r="BOJ248"/>
      <c r="BOK248"/>
      <c r="BOL248"/>
      <c r="BOM248"/>
      <c r="BON248"/>
      <c r="BOO248"/>
      <c r="BOP248"/>
      <c r="BOQ248"/>
      <c r="BOR248"/>
      <c r="BOS248"/>
      <c r="BOT248"/>
      <c r="BOU248"/>
      <c r="BOV248"/>
      <c r="BOW248"/>
      <c r="BOX248"/>
      <c r="BOY248"/>
      <c r="BOZ248"/>
      <c r="BPA248"/>
      <c r="BPB248"/>
      <c r="BPC248"/>
      <c r="BPD248"/>
      <c r="BPE248"/>
      <c r="BPF248"/>
      <c r="BPG248"/>
      <c r="BPH248"/>
      <c r="BPI248"/>
      <c r="BPJ248"/>
      <c r="BPK248"/>
      <c r="BPL248"/>
      <c r="BPM248"/>
      <c r="BPN248"/>
      <c r="BPO248"/>
      <c r="BPP248"/>
      <c r="BPQ248"/>
      <c r="BPR248"/>
      <c r="BPS248"/>
      <c r="BPT248"/>
      <c r="BPU248"/>
      <c r="BPV248"/>
      <c r="BPW248"/>
      <c r="BPX248"/>
      <c r="BPY248"/>
      <c r="BPZ248"/>
      <c r="BQA248"/>
      <c r="BQB248"/>
      <c r="BQC248"/>
      <c r="BQD248"/>
      <c r="BQE248"/>
      <c r="BQF248"/>
      <c r="BQG248"/>
      <c r="BQH248"/>
      <c r="BQI248"/>
      <c r="BQJ248"/>
      <c r="BQK248"/>
      <c r="BQL248"/>
      <c r="BQM248"/>
      <c r="BQN248"/>
      <c r="BQO248"/>
      <c r="BQP248"/>
      <c r="BQQ248"/>
      <c r="BQR248"/>
      <c r="BQS248"/>
      <c r="BQT248"/>
      <c r="BQU248"/>
      <c r="BQV248"/>
      <c r="BQW248"/>
      <c r="BQX248"/>
      <c r="BQY248"/>
      <c r="BQZ248"/>
      <c r="BRA248"/>
      <c r="BRB248"/>
      <c r="BRC248"/>
      <c r="BRD248"/>
      <c r="BRE248"/>
      <c r="BRF248"/>
      <c r="BRG248"/>
      <c r="BRH248"/>
      <c r="BRI248"/>
      <c r="BRJ248"/>
      <c r="BRK248"/>
      <c r="BRL248"/>
      <c r="BRM248"/>
      <c r="BRN248"/>
      <c r="BRO248"/>
      <c r="BRP248"/>
      <c r="BRQ248"/>
      <c r="BRR248"/>
      <c r="BRS248"/>
      <c r="BRT248"/>
      <c r="BRU248"/>
      <c r="BRV248"/>
      <c r="BRW248"/>
      <c r="BRX248"/>
      <c r="BRY248"/>
      <c r="BRZ248"/>
      <c r="BSA248"/>
      <c r="BSB248"/>
      <c r="BSC248"/>
      <c r="BSD248"/>
      <c r="BSE248"/>
      <c r="BSF248"/>
      <c r="BSG248"/>
      <c r="BSH248"/>
      <c r="BSI248"/>
      <c r="BSJ248"/>
      <c r="BSK248"/>
      <c r="BSL248"/>
      <c r="BSM248"/>
      <c r="BSN248"/>
      <c r="BSO248"/>
      <c r="BSP248"/>
      <c r="BSQ248"/>
      <c r="BSR248"/>
      <c r="BSS248"/>
      <c r="BST248"/>
      <c r="BSU248"/>
      <c r="BSV248"/>
      <c r="BSW248"/>
      <c r="BSX248"/>
      <c r="BSY248"/>
      <c r="BSZ248"/>
      <c r="BTA248"/>
      <c r="BTB248"/>
      <c r="BTC248"/>
      <c r="BTD248"/>
      <c r="BTE248"/>
      <c r="BTF248"/>
      <c r="BTG248"/>
      <c r="BTH248"/>
      <c r="BTI248"/>
      <c r="BTJ248"/>
      <c r="BTK248"/>
      <c r="BTL248"/>
      <c r="BTM248"/>
      <c r="BTN248"/>
      <c r="BTO248"/>
      <c r="BTP248"/>
      <c r="BTQ248"/>
      <c r="BTR248"/>
      <c r="BTS248"/>
      <c r="BTT248"/>
      <c r="BTU248"/>
      <c r="BTV248"/>
      <c r="BTW248"/>
      <c r="BTX248"/>
      <c r="BTY248"/>
      <c r="BTZ248"/>
      <c r="BUA248"/>
      <c r="BUB248"/>
      <c r="BUC248"/>
      <c r="BUD248"/>
      <c r="BUE248"/>
      <c r="BUF248"/>
      <c r="BUG248"/>
      <c r="BUH248"/>
      <c r="BUI248"/>
      <c r="BUJ248"/>
      <c r="BUK248"/>
      <c r="BUL248"/>
      <c r="BUM248"/>
      <c r="BUN248"/>
      <c r="BUO248"/>
      <c r="BUP248"/>
      <c r="BUQ248"/>
      <c r="BUR248"/>
      <c r="BUS248"/>
      <c r="BUT248"/>
      <c r="BUU248"/>
      <c r="BUV248"/>
      <c r="BUW248"/>
      <c r="BUX248"/>
      <c r="BUY248"/>
      <c r="BUZ248"/>
      <c r="BVA248"/>
      <c r="BVB248"/>
      <c r="BVC248"/>
      <c r="BVD248"/>
      <c r="BVE248"/>
      <c r="BVF248"/>
      <c r="BVG248"/>
      <c r="BVH248"/>
      <c r="BVI248"/>
      <c r="BVJ248"/>
      <c r="BVK248"/>
      <c r="BVL248"/>
      <c r="BVM248"/>
      <c r="BVN248"/>
      <c r="BVO248"/>
      <c r="BVP248"/>
      <c r="BVQ248"/>
      <c r="BVR248"/>
      <c r="BVS248"/>
      <c r="BVT248"/>
      <c r="BVU248"/>
      <c r="BVV248"/>
      <c r="BVW248"/>
      <c r="BVX248"/>
      <c r="BVY248"/>
      <c r="BVZ248"/>
      <c r="BWA248"/>
      <c r="BWB248"/>
      <c r="BWC248"/>
      <c r="BWD248"/>
      <c r="BWE248"/>
      <c r="BWF248"/>
      <c r="BWG248"/>
      <c r="BWH248"/>
      <c r="BWI248"/>
      <c r="BWJ248"/>
      <c r="BWK248"/>
      <c r="BWL248"/>
      <c r="BWM248"/>
      <c r="BWN248"/>
      <c r="BWO248"/>
      <c r="BWP248"/>
      <c r="BWQ248"/>
      <c r="BWR248"/>
      <c r="BWS248"/>
      <c r="BWT248"/>
      <c r="BWU248"/>
      <c r="BWV248"/>
      <c r="BWW248"/>
      <c r="BWX248"/>
      <c r="BWY248"/>
      <c r="BWZ248"/>
      <c r="BXA248"/>
      <c r="BXB248"/>
      <c r="BXC248"/>
      <c r="BXD248"/>
      <c r="BXE248"/>
      <c r="BXF248"/>
      <c r="BXG248"/>
      <c r="BXH248"/>
      <c r="BXI248"/>
      <c r="BXJ248"/>
      <c r="BXK248"/>
      <c r="BXL248"/>
      <c r="BXM248"/>
      <c r="BXN248"/>
      <c r="BXO248"/>
      <c r="BXP248"/>
      <c r="BXQ248"/>
      <c r="BXR248"/>
      <c r="BXS248"/>
      <c r="BXT248"/>
      <c r="BXU248"/>
      <c r="BXV248"/>
      <c r="BXW248"/>
      <c r="BXX248"/>
      <c r="BXY248"/>
      <c r="BXZ248"/>
      <c r="BYA248"/>
      <c r="BYB248"/>
      <c r="BYC248"/>
      <c r="BYD248"/>
      <c r="BYE248"/>
      <c r="BYF248"/>
      <c r="BYG248"/>
      <c r="BYH248"/>
      <c r="BYI248"/>
      <c r="BYJ248"/>
      <c r="BYK248"/>
      <c r="BYL248"/>
      <c r="BYM248"/>
      <c r="BYN248"/>
      <c r="BYO248"/>
      <c r="BYP248"/>
      <c r="BYQ248"/>
      <c r="BYR248"/>
      <c r="BYS248"/>
      <c r="BYT248"/>
      <c r="BYU248"/>
      <c r="BYV248"/>
      <c r="BYW248"/>
      <c r="BYX248"/>
      <c r="BYY248"/>
      <c r="BYZ248"/>
      <c r="BZA248"/>
      <c r="BZB248"/>
      <c r="BZC248"/>
      <c r="BZD248"/>
      <c r="BZE248"/>
      <c r="BZF248"/>
      <c r="BZG248"/>
      <c r="BZH248"/>
      <c r="BZI248"/>
      <c r="BZJ248"/>
      <c r="BZK248"/>
      <c r="BZL248"/>
      <c r="BZM248"/>
      <c r="BZN248"/>
      <c r="BZO248"/>
      <c r="BZP248"/>
      <c r="BZQ248"/>
      <c r="BZR248"/>
      <c r="BZS248"/>
      <c r="BZT248"/>
      <c r="BZU248"/>
      <c r="BZV248"/>
      <c r="BZW248"/>
      <c r="BZX248"/>
      <c r="BZY248"/>
      <c r="BZZ248"/>
      <c r="CAA248"/>
      <c r="CAB248"/>
      <c r="CAC248"/>
      <c r="CAD248"/>
      <c r="CAE248"/>
      <c r="CAF248"/>
      <c r="CAG248"/>
      <c r="CAH248"/>
      <c r="CAI248"/>
      <c r="CAJ248"/>
      <c r="CAK248"/>
      <c r="CAL248"/>
      <c r="CAM248"/>
      <c r="CAN248"/>
      <c r="CAO248"/>
      <c r="CAP248"/>
      <c r="CAQ248"/>
      <c r="CAR248"/>
      <c r="CAS248"/>
      <c r="CAT248"/>
      <c r="CAU248"/>
      <c r="CAV248"/>
      <c r="CAW248"/>
      <c r="CAX248"/>
      <c r="CAY248"/>
      <c r="CAZ248"/>
      <c r="CBA248"/>
      <c r="CBB248"/>
      <c r="CBC248"/>
      <c r="CBD248"/>
      <c r="CBE248"/>
      <c r="CBF248"/>
      <c r="CBG248"/>
      <c r="CBH248"/>
      <c r="CBI248"/>
      <c r="CBJ248"/>
      <c r="CBK248"/>
      <c r="CBL248"/>
      <c r="CBM248"/>
      <c r="CBN248"/>
      <c r="CBO248"/>
      <c r="CBP248"/>
      <c r="CBQ248"/>
      <c r="CBR248"/>
      <c r="CBS248"/>
      <c r="CBT248"/>
      <c r="CBU248"/>
      <c r="CBV248"/>
      <c r="CBW248"/>
      <c r="CBX248"/>
      <c r="CBY248"/>
      <c r="CBZ248"/>
      <c r="CCA248"/>
      <c r="CCB248"/>
      <c r="CCC248"/>
      <c r="CCD248"/>
      <c r="CCE248"/>
      <c r="CCF248"/>
      <c r="CCG248"/>
      <c r="CCH248"/>
      <c r="CCI248"/>
      <c r="CCJ248"/>
      <c r="CCK248"/>
      <c r="CCL248"/>
      <c r="CCM248"/>
      <c r="CCN248"/>
      <c r="CCO248"/>
      <c r="CCP248"/>
      <c r="CCQ248"/>
      <c r="CCR248"/>
      <c r="CCS248"/>
      <c r="CCT248"/>
      <c r="CCU248"/>
      <c r="CCV248"/>
      <c r="CCW248"/>
      <c r="CCX248"/>
      <c r="CCY248"/>
      <c r="CCZ248"/>
      <c r="CDA248"/>
      <c r="CDB248"/>
      <c r="CDC248"/>
      <c r="CDD248"/>
      <c r="CDE248"/>
      <c r="CDF248"/>
      <c r="CDG248"/>
      <c r="CDH248"/>
      <c r="CDI248"/>
      <c r="CDJ248"/>
      <c r="CDK248"/>
      <c r="CDL248"/>
      <c r="CDM248"/>
      <c r="CDN248"/>
      <c r="CDO248"/>
      <c r="CDP248"/>
      <c r="CDQ248"/>
      <c r="CDR248"/>
      <c r="CDS248"/>
      <c r="CDT248"/>
      <c r="CDU248"/>
      <c r="CDV248"/>
      <c r="CDW248"/>
      <c r="CDX248"/>
      <c r="CDY248"/>
      <c r="CDZ248"/>
      <c r="CEA248"/>
      <c r="CEB248"/>
      <c r="CEC248"/>
      <c r="CED248"/>
      <c r="CEE248"/>
      <c r="CEF248"/>
      <c r="CEG248"/>
      <c r="CEH248"/>
      <c r="CEI248"/>
      <c r="CEJ248"/>
      <c r="CEK248"/>
      <c r="CEL248"/>
      <c r="CEM248"/>
      <c r="CEN248"/>
      <c r="CEO248"/>
      <c r="CEP248"/>
      <c r="CEQ248"/>
      <c r="CER248"/>
      <c r="CES248"/>
      <c r="CET248"/>
      <c r="CEU248"/>
      <c r="CEV248"/>
      <c r="CEW248"/>
      <c r="CEX248"/>
      <c r="CEY248"/>
      <c r="CEZ248"/>
      <c r="CFA248"/>
      <c r="CFB248"/>
      <c r="CFC248"/>
      <c r="CFD248"/>
      <c r="CFE248"/>
      <c r="CFF248"/>
      <c r="CFG248"/>
      <c r="CFH248"/>
      <c r="CFI248"/>
      <c r="CFJ248"/>
      <c r="CFK248"/>
      <c r="CFL248"/>
      <c r="CFM248"/>
      <c r="CFN248"/>
      <c r="CFO248"/>
      <c r="CFP248"/>
      <c r="CFQ248"/>
      <c r="CFR248"/>
      <c r="CFS248"/>
      <c r="CFT248"/>
      <c r="CFU248"/>
      <c r="CFV248"/>
      <c r="CFW248"/>
      <c r="CFX248"/>
      <c r="CFY248"/>
      <c r="CFZ248"/>
      <c r="CGA248"/>
      <c r="CGB248"/>
      <c r="CGC248"/>
      <c r="CGD248"/>
      <c r="CGE248"/>
      <c r="CGF248"/>
      <c r="CGG248"/>
      <c r="CGH248"/>
      <c r="CGI248"/>
      <c r="CGJ248"/>
      <c r="CGK248"/>
      <c r="CGL248"/>
      <c r="CGM248"/>
      <c r="CGN248"/>
      <c r="CGO248"/>
      <c r="CGP248"/>
      <c r="CGQ248"/>
      <c r="CGR248"/>
      <c r="CGS248"/>
      <c r="CGT248"/>
      <c r="CGU248"/>
      <c r="CGV248"/>
      <c r="CGW248"/>
      <c r="CGX248"/>
      <c r="CGY248"/>
      <c r="CGZ248"/>
      <c r="CHA248"/>
      <c r="CHB248"/>
      <c r="CHC248"/>
      <c r="CHD248"/>
      <c r="CHE248"/>
      <c r="CHF248"/>
      <c r="CHG248"/>
      <c r="CHH248"/>
      <c r="CHI248"/>
      <c r="CHJ248"/>
      <c r="CHK248"/>
      <c r="CHL248"/>
      <c r="CHM248"/>
      <c r="CHN248"/>
      <c r="CHO248"/>
      <c r="CHP248"/>
      <c r="CHQ248"/>
      <c r="CHR248"/>
      <c r="CHS248"/>
      <c r="CHT248"/>
      <c r="CHU248"/>
      <c r="CHV248"/>
      <c r="CHW248"/>
      <c r="CHX248"/>
      <c r="CHY248"/>
      <c r="CHZ248"/>
      <c r="CIA248"/>
      <c r="CIB248"/>
      <c r="CIC248"/>
      <c r="CID248"/>
      <c r="CIE248"/>
      <c r="CIF248"/>
      <c r="CIG248"/>
      <c r="CIH248"/>
      <c r="CII248"/>
      <c r="CIJ248"/>
      <c r="CIK248"/>
      <c r="CIL248"/>
      <c r="CIM248"/>
      <c r="CIN248"/>
      <c r="CIO248"/>
      <c r="CIP248"/>
      <c r="CIQ248"/>
      <c r="CIR248"/>
      <c r="CIS248"/>
      <c r="CIT248"/>
      <c r="CIU248"/>
      <c r="CIV248"/>
      <c r="CIW248"/>
      <c r="CIX248"/>
      <c r="CIY248"/>
      <c r="CIZ248"/>
      <c r="CJA248"/>
      <c r="CJB248"/>
      <c r="CJC248"/>
      <c r="CJD248"/>
      <c r="CJE248"/>
      <c r="CJF248"/>
      <c r="CJG248"/>
      <c r="CJH248"/>
      <c r="CJI248"/>
      <c r="CJJ248"/>
      <c r="CJK248"/>
      <c r="CJL248"/>
      <c r="CJM248"/>
      <c r="CJN248"/>
      <c r="CJO248"/>
      <c r="CJP248"/>
      <c r="CJQ248"/>
      <c r="CJR248"/>
      <c r="CJS248"/>
      <c r="CJT248"/>
      <c r="CJU248"/>
      <c r="CJV248"/>
      <c r="CJW248"/>
      <c r="CJX248"/>
      <c r="CJY248"/>
      <c r="CJZ248"/>
      <c r="CKA248"/>
      <c r="CKB248"/>
      <c r="CKC248"/>
      <c r="CKD248"/>
      <c r="CKE248"/>
      <c r="CKF248"/>
      <c r="CKG248"/>
      <c r="CKH248"/>
      <c r="CKI248"/>
      <c r="CKJ248"/>
      <c r="CKK248"/>
      <c r="CKL248"/>
      <c r="CKM248"/>
      <c r="CKN248"/>
      <c r="CKO248"/>
      <c r="CKP248"/>
      <c r="CKQ248"/>
      <c r="CKR248"/>
      <c r="CKS248"/>
      <c r="CKT248"/>
      <c r="CKU248"/>
      <c r="CKV248"/>
      <c r="CKW248"/>
      <c r="CKX248"/>
      <c r="CKY248"/>
      <c r="CKZ248"/>
      <c r="CLA248"/>
      <c r="CLB248"/>
      <c r="CLC248"/>
      <c r="CLD248"/>
      <c r="CLE248"/>
      <c r="CLF248"/>
      <c r="CLG248"/>
      <c r="CLH248"/>
      <c r="CLI248"/>
      <c r="CLJ248"/>
      <c r="CLK248"/>
      <c r="CLL248"/>
      <c r="CLM248"/>
      <c r="CLN248"/>
      <c r="CLO248"/>
      <c r="CLP248"/>
      <c r="CLQ248"/>
      <c r="CLR248"/>
      <c r="CLS248"/>
      <c r="CLT248"/>
      <c r="CLU248"/>
      <c r="CLV248"/>
      <c r="CLW248"/>
      <c r="CLX248"/>
      <c r="CLY248"/>
      <c r="CLZ248"/>
      <c r="CMA248"/>
      <c r="CMB248"/>
      <c r="CMC248"/>
      <c r="CMD248"/>
      <c r="CME248"/>
      <c r="CMF248"/>
      <c r="CMG248"/>
      <c r="CMH248"/>
      <c r="CMI248"/>
      <c r="CMJ248"/>
      <c r="CMK248"/>
      <c r="CML248"/>
      <c r="CMM248"/>
      <c r="CMN248"/>
      <c r="CMO248"/>
      <c r="CMP248"/>
      <c r="CMQ248"/>
      <c r="CMR248"/>
      <c r="CMS248"/>
      <c r="CMT248"/>
      <c r="CMU248"/>
      <c r="CMV248"/>
      <c r="CMW248"/>
      <c r="CMX248"/>
      <c r="CMY248"/>
      <c r="CMZ248"/>
      <c r="CNA248"/>
      <c r="CNB248"/>
      <c r="CNC248"/>
      <c r="CND248"/>
      <c r="CNE248"/>
      <c r="CNF248"/>
      <c r="CNG248"/>
      <c r="CNH248"/>
      <c r="CNI248"/>
      <c r="CNJ248"/>
      <c r="CNK248"/>
      <c r="CNL248"/>
      <c r="CNM248"/>
      <c r="CNN248"/>
      <c r="CNO248"/>
      <c r="CNP248"/>
      <c r="CNQ248"/>
      <c r="CNR248"/>
      <c r="CNS248"/>
      <c r="CNT248"/>
      <c r="CNU248"/>
      <c r="CNV248"/>
      <c r="CNW248"/>
      <c r="CNX248"/>
      <c r="CNY248"/>
      <c r="CNZ248"/>
      <c r="COA248"/>
      <c r="COB248"/>
      <c r="COC248"/>
      <c r="COD248"/>
      <c r="COE248"/>
      <c r="COF248"/>
      <c r="COG248"/>
      <c r="COH248"/>
      <c r="COI248"/>
      <c r="COJ248"/>
      <c r="COK248"/>
      <c r="COL248"/>
      <c r="COM248"/>
      <c r="CON248"/>
      <c r="COO248"/>
      <c r="COP248"/>
      <c r="COQ248"/>
      <c r="COR248"/>
      <c r="COS248"/>
      <c r="COT248"/>
      <c r="COU248"/>
      <c r="COV248"/>
      <c r="COW248"/>
      <c r="COX248"/>
      <c r="COY248"/>
      <c r="COZ248"/>
      <c r="CPA248"/>
      <c r="CPB248"/>
      <c r="CPC248"/>
      <c r="CPD248"/>
      <c r="CPE248"/>
      <c r="CPF248"/>
      <c r="CPG248"/>
      <c r="CPH248"/>
      <c r="CPI248"/>
      <c r="CPJ248"/>
      <c r="CPK248"/>
      <c r="CPL248"/>
      <c r="CPM248"/>
      <c r="CPN248"/>
      <c r="CPO248"/>
      <c r="CPP248"/>
      <c r="CPQ248"/>
      <c r="CPR248"/>
      <c r="CPS248"/>
      <c r="CPT248"/>
      <c r="CPU248"/>
      <c r="CPV248"/>
      <c r="CPW248"/>
      <c r="CPX248"/>
      <c r="CPY248"/>
      <c r="CPZ248"/>
      <c r="CQA248"/>
      <c r="CQB248"/>
      <c r="CQC248"/>
      <c r="CQD248"/>
      <c r="CQE248"/>
      <c r="CQF248"/>
      <c r="CQG248"/>
      <c r="CQH248"/>
      <c r="CQI248"/>
      <c r="CQJ248"/>
      <c r="CQK248"/>
      <c r="CQL248"/>
      <c r="CQM248"/>
      <c r="CQN248"/>
      <c r="CQO248"/>
      <c r="CQP248"/>
      <c r="CQQ248"/>
      <c r="CQR248"/>
      <c r="CQS248"/>
      <c r="CQT248"/>
      <c r="CQU248"/>
      <c r="CQV248"/>
      <c r="CQW248"/>
      <c r="CQX248"/>
      <c r="CQY248"/>
      <c r="CQZ248"/>
      <c r="CRA248"/>
      <c r="CRB248"/>
      <c r="CRC248"/>
      <c r="CRD248"/>
      <c r="CRE248"/>
      <c r="CRF248"/>
      <c r="CRG248"/>
      <c r="CRH248"/>
      <c r="CRI248"/>
      <c r="CRJ248"/>
      <c r="CRK248"/>
      <c r="CRL248"/>
      <c r="CRM248"/>
      <c r="CRN248"/>
      <c r="CRO248"/>
      <c r="CRP248"/>
      <c r="CRQ248"/>
      <c r="CRR248"/>
      <c r="CRS248"/>
      <c r="CRT248"/>
      <c r="CRU248"/>
      <c r="CRV248"/>
      <c r="CRW248"/>
      <c r="CRX248"/>
      <c r="CRY248"/>
      <c r="CRZ248"/>
      <c r="CSA248"/>
      <c r="CSB248"/>
      <c r="CSC248"/>
      <c r="CSD248"/>
      <c r="CSE248"/>
      <c r="CSF248"/>
      <c r="CSG248"/>
      <c r="CSH248"/>
      <c r="CSI248"/>
      <c r="CSJ248"/>
      <c r="CSK248"/>
      <c r="CSL248"/>
      <c r="CSM248"/>
      <c r="CSN248"/>
      <c r="CSO248"/>
      <c r="CSP248"/>
      <c r="CSQ248"/>
      <c r="CSR248"/>
      <c r="CSS248"/>
      <c r="CST248"/>
      <c r="CSU248"/>
      <c r="CSV248"/>
      <c r="CSW248"/>
      <c r="CSX248"/>
      <c r="CSY248"/>
      <c r="CSZ248"/>
      <c r="CTA248"/>
      <c r="CTB248"/>
      <c r="CTC248"/>
      <c r="CTD248"/>
      <c r="CTE248"/>
      <c r="CTF248"/>
      <c r="CTG248"/>
      <c r="CTH248"/>
      <c r="CTI248"/>
      <c r="CTJ248"/>
      <c r="CTK248"/>
      <c r="CTL248"/>
      <c r="CTM248"/>
      <c r="CTN248"/>
      <c r="CTO248"/>
      <c r="CTP248"/>
      <c r="CTQ248"/>
      <c r="CTR248"/>
      <c r="CTS248"/>
      <c r="CTT248"/>
      <c r="CTU248"/>
      <c r="CTV248"/>
      <c r="CTW248"/>
      <c r="CTX248"/>
      <c r="CTY248"/>
      <c r="CTZ248"/>
      <c r="CUA248"/>
      <c r="CUB248"/>
      <c r="CUC248"/>
      <c r="CUD248"/>
      <c r="CUE248"/>
      <c r="CUF248"/>
      <c r="CUG248"/>
      <c r="CUH248"/>
      <c r="CUI248"/>
      <c r="CUJ248"/>
      <c r="CUK248"/>
      <c r="CUL248"/>
      <c r="CUM248"/>
      <c r="CUN248"/>
      <c r="CUO248"/>
      <c r="CUP248"/>
      <c r="CUQ248"/>
      <c r="CUR248"/>
      <c r="CUS248"/>
      <c r="CUT248"/>
      <c r="CUU248"/>
      <c r="CUV248"/>
      <c r="CUW248"/>
      <c r="CUX248"/>
      <c r="CUY248"/>
      <c r="CUZ248"/>
      <c r="CVA248"/>
      <c r="CVB248"/>
      <c r="CVC248"/>
      <c r="CVD248"/>
      <c r="CVE248"/>
      <c r="CVF248"/>
      <c r="CVG248"/>
      <c r="CVH248"/>
      <c r="CVI248"/>
      <c r="CVJ248"/>
      <c r="CVK248"/>
      <c r="CVL248"/>
      <c r="CVM248"/>
      <c r="CVN248"/>
      <c r="CVO248"/>
      <c r="CVP248"/>
      <c r="CVQ248"/>
      <c r="CVR248"/>
      <c r="CVS248"/>
      <c r="CVT248"/>
      <c r="CVU248"/>
      <c r="CVV248"/>
      <c r="CVW248"/>
      <c r="CVX248"/>
      <c r="CVY248"/>
      <c r="CVZ248"/>
      <c r="CWA248"/>
      <c r="CWB248"/>
      <c r="CWC248"/>
      <c r="CWD248"/>
      <c r="CWE248"/>
      <c r="CWF248"/>
      <c r="CWG248"/>
      <c r="CWH248"/>
      <c r="CWI248"/>
      <c r="CWJ248"/>
      <c r="CWK248"/>
      <c r="CWL248"/>
      <c r="CWM248"/>
      <c r="CWN248"/>
      <c r="CWO248"/>
      <c r="CWP248"/>
      <c r="CWQ248"/>
      <c r="CWR248"/>
      <c r="CWS248"/>
      <c r="CWT248"/>
      <c r="CWU248"/>
      <c r="CWV248"/>
      <c r="CWW248"/>
      <c r="CWX248"/>
      <c r="CWY248"/>
      <c r="CWZ248"/>
      <c r="CXA248"/>
      <c r="CXB248"/>
      <c r="CXC248"/>
      <c r="CXD248"/>
      <c r="CXE248"/>
      <c r="CXF248"/>
      <c r="CXG248"/>
      <c r="CXH248"/>
      <c r="CXI248"/>
      <c r="CXJ248"/>
      <c r="CXK248"/>
      <c r="CXL248"/>
      <c r="CXM248"/>
      <c r="CXN248"/>
      <c r="CXO248"/>
      <c r="CXP248"/>
      <c r="CXQ248"/>
      <c r="CXR248"/>
      <c r="CXS248"/>
      <c r="CXT248"/>
      <c r="CXU248"/>
      <c r="CXV248"/>
      <c r="CXW248"/>
      <c r="CXX248"/>
      <c r="CXY248"/>
      <c r="CXZ248"/>
      <c r="CYA248"/>
      <c r="CYB248"/>
      <c r="CYC248"/>
      <c r="CYD248"/>
      <c r="CYE248"/>
      <c r="CYF248"/>
      <c r="CYG248"/>
      <c r="CYH248"/>
      <c r="CYI248"/>
      <c r="CYJ248"/>
      <c r="CYK248"/>
      <c r="CYL248"/>
      <c r="CYM248"/>
      <c r="CYN248"/>
      <c r="CYO248"/>
      <c r="CYP248"/>
      <c r="CYQ248"/>
      <c r="CYR248"/>
      <c r="CYS248"/>
      <c r="CYT248"/>
      <c r="CYU248"/>
      <c r="CYV248"/>
      <c r="CYW248"/>
      <c r="CYX248"/>
      <c r="CYY248"/>
      <c r="CYZ248"/>
      <c r="CZA248"/>
      <c r="CZB248"/>
      <c r="CZC248"/>
      <c r="CZD248"/>
      <c r="CZE248"/>
      <c r="CZF248"/>
      <c r="CZG248"/>
      <c r="CZH248"/>
      <c r="CZI248"/>
      <c r="CZJ248"/>
      <c r="CZK248"/>
      <c r="CZL248"/>
      <c r="CZM248"/>
      <c r="CZN248"/>
      <c r="CZO248"/>
      <c r="CZP248"/>
      <c r="CZQ248"/>
      <c r="CZR248"/>
      <c r="CZS248"/>
      <c r="CZT248"/>
      <c r="CZU248"/>
      <c r="CZV248"/>
      <c r="CZW248"/>
      <c r="CZX248"/>
      <c r="CZY248"/>
      <c r="CZZ248"/>
      <c r="DAA248"/>
      <c r="DAB248"/>
      <c r="DAC248"/>
      <c r="DAD248"/>
      <c r="DAE248"/>
      <c r="DAF248"/>
      <c r="DAG248"/>
      <c r="DAH248"/>
      <c r="DAI248"/>
      <c r="DAJ248"/>
      <c r="DAK248"/>
      <c r="DAL248"/>
      <c r="DAM248"/>
      <c r="DAN248"/>
      <c r="DAO248"/>
      <c r="DAP248"/>
      <c r="DAQ248"/>
      <c r="DAR248"/>
      <c r="DAS248"/>
      <c r="DAT248"/>
      <c r="DAU248"/>
      <c r="DAV248"/>
      <c r="DAW248"/>
      <c r="DAX248"/>
      <c r="DAY248"/>
      <c r="DAZ248"/>
      <c r="DBA248"/>
      <c r="DBB248"/>
      <c r="DBC248"/>
      <c r="DBD248"/>
      <c r="DBE248"/>
      <c r="DBF248"/>
      <c r="DBG248"/>
      <c r="DBH248"/>
      <c r="DBI248"/>
      <c r="DBJ248"/>
      <c r="DBK248"/>
      <c r="DBL248"/>
      <c r="DBM248"/>
      <c r="DBN248"/>
      <c r="DBO248"/>
      <c r="DBP248"/>
      <c r="DBQ248"/>
      <c r="DBR248"/>
      <c r="DBS248"/>
      <c r="DBT248"/>
      <c r="DBU248"/>
      <c r="DBV248"/>
      <c r="DBW248"/>
      <c r="DBX248"/>
      <c r="DBY248"/>
      <c r="DBZ248"/>
      <c r="DCA248"/>
      <c r="DCB248"/>
      <c r="DCC248"/>
      <c r="DCD248"/>
      <c r="DCE248"/>
      <c r="DCF248"/>
      <c r="DCG248"/>
      <c r="DCH248"/>
      <c r="DCI248"/>
      <c r="DCJ248"/>
      <c r="DCK248"/>
      <c r="DCL248"/>
      <c r="DCM248"/>
      <c r="DCN248"/>
      <c r="DCO248"/>
      <c r="DCP248"/>
      <c r="DCQ248"/>
      <c r="DCR248"/>
      <c r="DCS248"/>
      <c r="DCT248"/>
      <c r="DCU248"/>
      <c r="DCV248"/>
      <c r="DCW248"/>
      <c r="DCX248"/>
      <c r="DCY248"/>
      <c r="DCZ248"/>
      <c r="DDA248"/>
      <c r="DDB248"/>
      <c r="DDC248"/>
      <c r="DDD248"/>
      <c r="DDE248"/>
      <c r="DDF248"/>
      <c r="DDG248"/>
      <c r="DDH248"/>
      <c r="DDI248"/>
      <c r="DDJ248"/>
      <c r="DDK248"/>
      <c r="DDL248"/>
      <c r="DDM248"/>
      <c r="DDN248"/>
      <c r="DDO248"/>
      <c r="DDP248"/>
      <c r="DDQ248"/>
      <c r="DDR248"/>
      <c r="DDS248"/>
      <c r="DDT248"/>
      <c r="DDU248"/>
      <c r="DDV248"/>
      <c r="DDW248"/>
      <c r="DDX248"/>
      <c r="DDY248"/>
      <c r="DDZ248"/>
      <c r="DEA248"/>
      <c r="DEB248"/>
      <c r="DEC248"/>
      <c r="DED248"/>
      <c r="DEE248"/>
      <c r="DEF248"/>
      <c r="DEG248"/>
      <c r="DEH248"/>
      <c r="DEI248"/>
      <c r="DEJ248"/>
      <c r="DEK248"/>
      <c r="DEL248"/>
      <c r="DEM248"/>
      <c r="DEN248"/>
      <c r="DEO248"/>
      <c r="DEP248"/>
      <c r="DEQ248"/>
      <c r="DER248"/>
      <c r="DES248"/>
      <c r="DET248"/>
      <c r="DEU248"/>
      <c r="DEV248"/>
      <c r="DEW248"/>
      <c r="DEX248"/>
      <c r="DEY248"/>
      <c r="DEZ248"/>
      <c r="DFA248"/>
      <c r="DFB248"/>
      <c r="DFC248"/>
      <c r="DFD248"/>
      <c r="DFE248"/>
      <c r="DFF248"/>
      <c r="DFG248"/>
      <c r="DFH248"/>
      <c r="DFI248"/>
      <c r="DFJ248"/>
      <c r="DFK248"/>
      <c r="DFL248"/>
      <c r="DFM248"/>
      <c r="DFN248"/>
      <c r="DFO248"/>
      <c r="DFP248"/>
      <c r="DFQ248"/>
      <c r="DFR248"/>
      <c r="DFS248"/>
      <c r="DFT248"/>
      <c r="DFU248"/>
      <c r="DFV248"/>
      <c r="DFW248"/>
      <c r="DFX248"/>
      <c r="DFY248"/>
      <c r="DFZ248"/>
      <c r="DGA248"/>
      <c r="DGB248"/>
      <c r="DGC248"/>
      <c r="DGD248"/>
      <c r="DGE248"/>
      <c r="DGF248"/>
      <c r="DGG248"/>
      <c r="DGH248"/>
      <c r="DGI248"/>
      <c r="DGJ248"/>
      <c r="DGK248"/>
      <c r="DGL248"/>
      <c r="DGM248"/>
      <c r="DGN248"/>
      <c r="DGO248"/>
      <c r="DGP248"/>
      <c r="DGQ248"/>
      <c r="DGR248"/>
      <c r="DGS248"/>
      <c r="DGT248"/>
      <c r="DGU248"/>
      <c r="DGV248"/>
      <c r="DGW248"/>
      <c r="DGX248"/>
      <c r="DGY248"/>
      <c r="DGZ248"/>
      <c r="DHA248"/>
      <c r="DHB248"/>
      <c r="DHC248"/>
      <c r="DHD248"/>
      <c r="DHE248"/>
      <c r="DHF248"/>
      <c r="DHG248"/>
      <c r="DHH248"/>
      <c r="DHI248"/>
      <c r="DHJ248"/>
      <c r="DHK248"/>
      <c r="DHL248"/>
      <c r="DHM248"/>
      <c r="DHN248"/>
      <c r="DHO248"/>
      <c r="DHP248"/>
      <c r="DHQ248"/>
      <c r="DHR248"/>
      <c r="DHS248"/>
      <c r="DHT248"/>
      <c r="DHU248"/>
      <c r="DHV248"/>
      <c r="DHW248"/>
      <c r="DHX248"/>
      <c r="DHY248"/>
      <c r="DHZ248"/>
      <c r="DIA248"/>
      <c r="DIB248"/>
      <c r="DIC248"/>
      <c r="DID248"/>
      <c r="DIE248"/>
      <c r="DIF248"/>
      <c r="DIG248"/>
      <c r="DIH248"/>
      <c r="DII248"/>
      <c r="DIJ248"/>
      <c r="DIK248"/>
      <c r="DIL248"/>
      <c r="DIM248"/>
      <c r="DIN248"/>
      <c r="DIO248"/>
      <c r="DIP248"/>
      <c r="DIQ248"/>
      <c r="DIR248"/>
      <c r="DIS248"/>
      <c r="DIT248"/>
      <c r="DIU248"/>
      <c r="DIV248"/>
      <c r="DIW248"/>
      <c r="DIX248"/>
      <c r="DIY248"/>
      <c r="DIZ248"/>
      <c r="DJA248"/>
      <c r="DJB248"/>
      <c r="DJC248"/>
      <c r="DJD248"/>
      <c r="DJE248"/>
      <c r="DJF248"/>
      <c r="DJG248"/>
      <c r="DJH248"/>
      <c r="DJI248"/>
      <c r="DJJ248"/>
      <c r="DJK248"/>
      <c r="DJL248"/>
      <c r="DJM248"/>
      <c r="DJN248"/>
      <c r="DJO248"/>
      <c r="DJP248"/>
      <c r="DJQ248"/>
      <c r="DJR248"/>
      <c r="DJS248"/>
      <c r="DJT248"/>
      <c r="DJU248"/>
      <c r="DJV248"/>
      <c r="DJW248"/>
      <c r="DJX248"/>
      <c r="DJY248"/>
      <c r="DJZ248"/>
      <c r="DKA248"/>
      <c r="DKB248"/>
      <c r="DKC248"/>
      <c r="DKD248"/>
      <c r="DKE248"/>
      <c r="DKF248"/>
      <c r="DKG248"/>
      <c r="DKH248"/>
      <c r="DKI248"/>
      <c r="DKJ248"/>
      <c r="DKK248"/>
      <c r="DKL248"/>
      <c r="DKM248"/>
      <c r="DKN248"/>
      <c r="DKO248"/>
      <c r="DKP248"/>
      <c r="DKQ248"/>
      <c r="DKR248"/>
      <c r="DKS248"/>
      <c r="DKT248"/>
      <c r="DKU248"/>
      <c r="DKV248"/>
      <c r="DKW248"/>
      <c r="DKX248"/>
      <c r="DKY248"/>
      <c r="DKZ248"/>
      <c r="DLA248"/>
      <c r="DLB248"/>
      <c r="DLC248"/>
      <c r="DLD248"/>
      <c r="DLE248"/>
      <c r="DLF248"/>
      <c r="DLG248"/>
      <c r="DLH248"/>
      <c r="DLI248"/>
      <c r="DLJ248"/>
      <c r="DLK248"/>
      <c r="DLL248"/>
      <c r="DLM248"/>
      <c r="DLN248"/>
      <c r="DLO248"/>
      <c r="DLP248"/>
      <c r="DLQ248"/>
      <c r="DLR248"/>
      <c r="DLS248"/>
      <c r="DLT248"/>
      <c r="DLU248"/>
      <c r="DLV248"/>
      <c r="DLW248"/>
      <c r="DLX248"/>
      <c r="DLY248"/>
      <c r="DLZ248"/>
      <c r="DMA248"/>
      <c r="DMB248"/>
      <c r="DMC248"/>
      <c r="DMD248"/>
      <c r="DME248"/>
      <c r="DMF248"/>
      <c r="DMG248"/>
      <c r="DMH248"/>
      <c r="DMI248"/>
      <c r="DMJ248"/>
      <c r="DMK248"/>
      <c r="DML248"/>
      <c r="DMM248"/>
      <c r="DMN248"/>
      <c r="DMO248"/>
      <c r="DMP248"/>
      <c r="DMQ248"/>
      <c r="DMR248"/>
      <c r="DMS248"/>
      <c r="DMT248"/>
      <c r="DMU248"/>
      <c r="DMV248"/>
      <c r="DMW248"/>
      <c r="DMX248"/>
      <c r="DMY248"/>
      <c r="DMZ248"/>
      <c r="DNA248"/>
      <c r="DNB248"/>
      <c r="DNC248"/>
      <c r="DND248"/>
      <c r="DNE248"/>
      <c r="DNF248"/>
      <c r="DNG248"/>
      <c r="DNH248"/>
      <c r="DNI248"/>
      <c r="DNJ248"/>
      <c r="DNK248"/>
      <c r="DNL248"/>
      <c r="DNM248"/>
      <c r="DNN248"/>
      <c r="DNO248"/>
      <c r="DNP248"/>
      <c r="DNQ248"/>
      <c r="DNR248"/>
      <c r="DNS248"/>
      <c r="DNT248"/>
      <c r="DNU248"/>
      <c r="DNV248"/>
      <c r="DNW248"/>
      <c r="DNX248"/>
      <c r="DNY248"/>
      <c r="DNZ248"/>
      <c r="DOA248"/>
      <c r="DOB248"/>
      <c r="DOC248"/>
      <c r="DOD248"/>
      <c r="DOE248"/>
      <c r="DOF248"/>
      <c r="DOG248"/>
      <c r="DOH248"/>
      <c r="DOI248"/>
      <c r="DOJ248"/>
      <c r="DOK248"/>
      <c r="DOL248"/>
      <c r="DOM248"/>
      <c r="DON248"/>
      <c r="DOO248"/>
      <c r="DOP248"/>
      <c r="DOQ248"/>
      <c r="DOR248"/>
      <c r="DOS248"/>
      <c r="DOT248"/>
      <c r="DOU248"/>
      <c r="DOV248"/>
      <c r="DOW248"/>
      <c r="DOX248"/>
      <c r="DOY248"/>
      <c r="DOZ248"/>
      <c r="DPA248"/>
      <c r="DPB248"/>
      <c r="DPC248"/>
      <c r="DPD248"/>
      <c r="DPE248"/>
      <c r="DPF248"/>
      <c r="DPG248"/>
      <c r="DPH248"/>
      <c r="DPI248"/>
      <c r="DPJ248"/>
      <c r="DPK248"/>
      <c r="DPL248"/>
      <c r="DPM248"/>
      <c r="DPN248"/>
      <c r="DPO248"/>
      <c r="DPP248"/>
      <c r="DPQ248"/>
      <c r="DPR248"/>
      <c r="DPS248"/>
      <c r="DPT248"/>
      <c r="DPU248"/>
      <c r="DPV248"/>
      <c r="DPW248"/>
      <c r="DPX248"/>
      <c r="DPY248"/>
      <c r="DPZ248"/>
      <c r="DQA248"/>
      <c r="DQB248"/>
      <c r="DQC248"/>
      <c r="DQD248"/>
      <c r="DQE248"/>
      <c r="DQF248"/>
      <c r="DQG248"/>
      <c r="DQH248"/>
      <c r="DQI248"/>
      <c r="DQJ248"/>
      <c r="DQK248"/>
      <c r="DQL248"/>
      <c r="DQM248"/>
      <c r="DQN248"/>
      <c r="DQO248"/>
      <c r="DQP248"/>
      <c r="DQQ248"/>
      <c r="DQR248"/>
      <c r="DQS248"/>
      <c r="DQT248"/>
      <c r="DQU248"/>
      <c r="DQV248"/>
      <c r="DQW248"/>
      <c r="DQX248"/>
      <c r="DQY248"/>
      <c r="DQZ248"/>
      <c r="DRA248"/>
      <c r="DRB248"/>
      <c r="DRC248"/>
      <c r="DRD248"/>
      <c r="DRE248"/>
      <c r="DRF248"/>
      <c r="DRG248"/>
      <c r="DRH248"/>
      <c r="DRI248"/>
      <c r="DRJ248"/>
      <c r="DRK248"/>
      <c r="DRL248"/>
      <c r="DRM248"/>
      <c r="DRN248"/>
      <c r="DRO248"/>
      <c r="DRP248"/>
      <c r="DRQ248"/>
      <c r="DRR248"/>
      <c r="DRS248"/>
      <c r="DRT248"/>
      <c r="DRU248"/>
      <c r="DRV248"/>
      <c r="DRW248"/>
      <c r="DRX248"/>
      <c r="DRY248"/>
      <c r="DRZ248"/>
      <c r="DSA248"/>
      <c r="DSB248"/>
      <c r="DSC248"/>
      <c r="DSD248"/>
      <c r="DSE248"/>
      <c r="DSF248"/>
      <c r="DSG248"/>
      <c r="DSH248"/>
      <c r="DSI248"/>
      <c r="DSJ248"/>
      <c r="DSK248"/>
      <c r="DSL248"/>
      <c r="DSM248"/>
      <c r="DSN248"/>
      <c r="DSO248"/>
      <c r="DSP248"/>
      <c r="DSQ248"/>
      <c r="DSR248"/>
      <c r="DSS248"/>
      <c r="DST248"/>
      <c r="DSU248"/>
      <c r="DSV248"/>
      <c r="DSW248"/>
      <c r="DSX248"/>
      <c r="DSY248"/>
      <c r="DSZ248"/>
      <c r="DTA248"/>
      <c r="DTB248"/>
      <c r="DTC248"/>
      <c r="DTD248"/>
      <c r="DTE248"/>
      <c r="DTF248"/>
      <c r="DTG248"/>
      <c r="DTH248"/>
      <c r="DTI248"/>
      <c r="DTJ248"/>
      <c r="DTK248"/>
      <c r="DTL248"/>
      <c r="DTM248"/>
      <c r="DTN248"/>
      <c r="DTO248"/>
      <c r="DTP248"/>
      <c r="DTQ248"/>
      <c r="DTR248"/>
      <c r="DTS248"/>
      <c r="DTT248"/>
      <c r="DTU248"/>
      <c r="DTV248"/>
      <c r="DTW248"/>
      <c r="DTX248"/>
      <c r="DTY248"/>
      <c r="DTZ248"/>
      <c r="DUA248"/>
      <c r="DUB248"/>
      <c r="DUC248"/>
      <c r="DUD248"/>
      <c r="DUE248"/>
      <c r="DUF248"/>
      <c r="DUG248"/>
      <c r="DUH248"/>
      <c r="DUI248"/>
      <c r="DUJ248"/>
      <c r="DUK248"/>
      <c r="DUL248"/>
      <c r="DUM248"/>
      <c r="DUN248"/>
      <c r="DUO248"/>
      <c r="DUP248"/>
      <c r="DUQ248"/>
      <c r="DUR248"/>
      <c r="DUS248"/>
      <c r="DUT248"/>
      <c r="DUU248"/>
      <c r="DUV248"/>
      <c r="DUW248"/>
      <c r="DUX248"/>
      <c r="DUY248"/>
      <c r="DUZ248"/>
      <c r="DVA248"/>
      <c r="DVB248"/>
      <c r="DVC248"/>
      <c r="DVD248"/>
      <c r="DVE248"/>
      <c r="DVF248"/>
      <c r="DVG248"/>
      <c r="DVH248"/>
      <c r="DVI248"/>
      <c r="DVJ248"/>
      <c r="DVK248"/>
      <c r="DVL248"/>
      <c r="DVM248"/>
      <c r="DVN248"/>
      <c r="DVO248"/>
      <c r="DVP248"/>
      <c r="DVQ248"/>
      <c r="DVR248"/>
      <c r="DVS248"/>
      <c r="DVT248"/>
      <c r="DVU248"/>
      <c r="DVV248"/>
      <c r="DVW248"/>
      <c r="DVX248"/>
      <c r="DVY248"/>
      <c r="DVZ248"/>
      <c r="DWA248"/>
      <c r="DWB248"/>
      <c r="DWC248"/>
      <c r="DWD248"/>
      <c r="DWE248"/>
      <c r="DWF248"/>
      <c r="DWG248"/>
      <c r="DWH248"/>
      <c r="DWI248"/>
      <c r="DWJ248"/>
      <c r="DWK248"/>
      <c r="DWL248"/>
      <c r="DWM248"/>
      <c r="DWN248"/>
      <c r="DWO248"/>
      <c r="DWP248"/>
      <c r="DWQ248"/>
      <c r="DWR248"/>
      <c r="DWS248"/>
      <c r="DWT248"/>
      <c r="DWU248"/>
      <c r="DWV248"/>
      <c r="DWW248"/>
      <c r="DWX248"/>
      <c r="DWY248"/>
      <c r="DWZ248"/>
      <c r="DXA248"/>
      <c r="DXB248"/>
      <c r="DXC248"/>
      <c r="DXD248"/>
      <c r="DXE248"/>
      <c r="DXF248"/>
      <c r="DXG248"/>
      <c r="DXH248"/>
      <c r="DXI248"/>
      <c r="DXJ248"/>
      <c r="DXK248"/>
      <c r="DXL248"/>
      <c r="DXM248"/>
      <c r="DXN248"/>
      <c r="DXO248"/>
      <c r="DXP248"/>
      <c r="DXQ248"/>
      <c r="DXR248"/>
      <c r="DXS248"/>
      <c r="DXT248"/>
      <c r="DXU248"/>
      <c r="DXV248"/>
      <c r="DXW248"/>
      <c r="DXX248"/>
      <c r="DXY248"/>
      <c r="DXZ248"/>
      <c r="DYA248"/>
      <c r="DYB248"/>
      <c r="DYC248"/>
      <c r="DYD248"/>
      <c r="DYE248"/>
      <c r="DYF248"/>
      <c r="DYG248"/>
      <c r="DYH248"/>
      <c r="DYI248"/>
      <c r="DYJ248"/>
      <c r="DYK248"/>
      <c r="DYL248"/>
      <c r="DYM248"/>
      <c r="DYN248"/>
      <c r="DYO248"/>
      <c r="DYP248"/>
      <c r="DYQ248"/>
      <c r="DYR248"/>
      <c r="DYS248"/>
      <c r="DYT248"/>
      <c r="DYU248"/>
      <c r="DYV248"/>
      <c r="DYW248"/>
      <c r="DYX248"/>
      <c r="DYY248"/>
      <c r="DYZ248"/>
      <c r="DZA248"/>
      <c r="DZB248"/>
      <c r="DZC248"/>
      <c r="DZD248"/>
      <c r="DZE248"/>
      <c r="DZF248"/>
      <c r="DZG248"/>
      <c r="DZH248"/>
      <c r="DZI248"/>
      <c r="DZJ248"/>
      <c r="DZK248"/>
      <c r="DZL248"/>
      <c r="DZM248"/>
      <c r="DZN248"/>
      <c r="DZO248"/>
      <c r="DZP248"/>
      <c r="DZQ248"/>
      <c r="DZR248"/>
      <c r="DZS248"/>
      <c r="DZT248"/>
      <c r="DZU248"/>
      <c r="DZV248"/>
      <c r="DZW248"/>
      <c r="DZX248"/>
      <c r="DZY248"/>
      <c r="DZZ248"/>
      <c r="EAA248"/>
      <c r="EAB248"/>
      <c r="EAC248"/>
      <c r="EAD248"/>
      <c r="EAE248"/>
      <c r="EAF248"/>
      <c r="EAG248"/>
      <c r="EAH248"/>
      <c r="EAI248"/>
      <c r="EAJ248"/>
      <c r="EAK248"/>
      <c r="EAL248"/>
      <c r="EAM248"/>
      <c r="EAN248"/>
      <c r="EAO248"/>
      <c r="EAP248"/>
      <c r="EAQ248"/>
      <c r="EAR248"/>
      <c r="EAS248"/>
      <c r="EAT248"/>
      <c r="EAU248"/>
      <c r="EAV248"/>
      <c r="EAW248"/>
      <c r="EAX248"/>
      <c r="EAY248"/>
      <c r="EAZ248"/>
      <c r="EBA248"/>
      <c r="EBB248"/>
      <c r="EBC248"/>
      <c r="EBD248"/>
      <c r="EBE248"/>
      <c r="EBF248"/>
      <c r="EBG248"/>
      <c r="EBH248"/>
      <c r="EBI248"/>
      <c r="EBJ248"/>
      <c r="EBK248"/>
      <c r="EBL248"/>
      <c r="EBM248"/>
      <c r="EBN248"/>
      <c r="EBO248"/>
      <c r="EBP248"/>
      <c r="EBQ248"/>
      <c r="EBR248"/>
      <c r="EBS248"/>
      <c r="EBT248"/>
      <c r="EBU248"/>
      <c r="EBV248"/>
      <c r="EBW248"/>
      <c r="EBX248"/>
      <c r="EBY248"/>
      <c r="EBZ248"/>
      <c r="ECA248"/>
      <c r="ECB248"/>
      <c r="ECC248"/>
      <c r="ECD248"/>
      <c r="ECE248"/>
      <c r="ECF248"/>
      <c r="ECG248"/>
      <c r="ECH248"/>
      <c r="ECI248"/>
      <c r="ECJ248"/>
      <c r="ECK248"/>
      <c r="ECL248"/>
      <c r="ECM248"/>
      <c r="ECN248"/>
      <c r="ECO248"/>
      <c r="ECP248"/>
      <c r="ECQ248"/>
      <c r="ECR248"/>
      <c r="ECS248"/>
      <c r="ECT248"/>
      <c r="ECU248"/>
      <c r="ECV248"/>
      <c r="ECW248"/>
      <c r="ECX248"/>
      <c r="ECY248"/>
      <c r="ECZ248"/>
      <c r="EDA248"/>
      <c r="EDB248"/>
      <c r="EDC248"/>
      <c r="EDD248"/>
      <c r="EDE248"/>
      <c r="EDF248"/>
      <c r="EDG248"/>
      <c r="EDH248"/>
      <c r="EDI248"/>
      <c r="EDJ248"/>
      <c r="EDK248"/>
      <c r="EDL248"/>
      <c r="EDM248"/>
      <c r="EDN248"/>
      <c r="EDO248"/>
      <c r="EDP248"/>
      <c r="EDQ248"/>
      <c r="EDR248"/>
      <c r="EDS248"/>
      <c r="EDT248"/>
      <c r="EDU248"/>
      <c r="EDV248"/>
      <c r="EDW248"/>
      <c r="EDX248"/>
      <c r="EDY248"/>
      <c r="EDZ248"/>
      <c r="EEA248"/>
      <c r="EEB248"/>
      <c r="EEC248"/>
      <c r="EED248"/>
      <c r="EEE248"/>
      <c r="EEF248"/>
      <c r="EEG248"/>
      <c r="EEH248"/>
      <c r="EEI248"/>
      <c r="EEJ248"/>
      <c r="EEK248"/>
      <c r="EEL248"/>
      <c r="EEM248"/>
      <c r="EEN248"/>
      <c r="EEO248"/>
      <c r="EEP248"/>
      <c r="EEQ248"/>
      <c r="EER248"/>
      <c r="EES248"/>
      <c r="EET248"/>
      <c r="EEU248"/>
      <c r="EEV248"/>
      <c r="EEW248"/>
      <c r="EEX248"/>
      <c r="EEY248"/>
      <c r="EEZ248"/>
      <c r="EFA248"/>
      <c r="EFB248"/>
      <c r="EFC248"/>
      <c r="EFD248"/>
      <c r="EFE248"/>
      <c r="EFF248"/>
      <c r="EFG248"/>
      <c r="EFH248"/>
      <c r="EFI248"/>
      <c r="EFJ248"/>
      <c r="EFK248"/>
      <c r="EFL248"/>
      <c r="EFM248"/>
      <c r="EFN248"/>
      <c r="EFO248"/>
      <c r="EFP248"/>
      <c r="EFQ248"/>
      <c r="EFR248"/>
      <c r="EFS248"/>
      <c r="EFT248"/>
      <c r="EFU248"/>
      <c r="EFV248"/>
      <c r="EFW248"/>
      <c r="EFX248"/>
      <c r="EFY248"/>
      <c r="EFZ248"/>
      <c r="EGA248"/>
      <c r="EGB248"/>
      <c r="EGC248"/>
      <c r="EGD248"/>
      <c r="EGE248"/>
      <c r="EGF248"/>
      <c r="EGG248"/>
      <c r="EGH248"/>
      <c r="EGI248"/>
      <c r="EGJ248"/>
      <c r="EGK248"/>
      <c r="EGL248"/>
      <c r="EGM248"/>
      <c r="EGN248"/>
      <c r="EGO248"/>
      <c r="EGP248"/>
      <c r="EGQ248"/>
      <c r="EGR248"/>
      <c r="EGS248"/>
      <c r="EGT248"/>
      <c r="EGU248"/>
      <c r="EGV248"/>
      <c r="EGW248"/>
      <c r="EGX248"/>
      <c r="EGY248"/>
      <c r="EGZ248"/>
      <c r="EHA248"/>
      <c r="EHB248"/>
      <c r="EHC248"/>
      <c r="EHD248"/>
      <c r="EHE248"/>
      <c r="EHF248"/>
      <c r="EHG248"/>
      <c r="EHH248"/>
      <c r="EHI248"/>
      <c r="EHJ248"/>
      <c r="EHK248"/>
      <c r="EHL248"/>
      <c r="EHM248"/>
      <c r="EHN248"/>
      <c r="EHO248"/>
      <c r="EHP248"/>
      <c r="EHQ248"/>
      <c r="EHR248"/>
      <c r="EHS248"/>
      <c r="EHT248"/>
      <c r="EHU248"/>
      <c r="EHV248"/>
      <c r="EHW248"/>
      <c r="EHX248"/>
      <c r="EHY248"/>
      <c r="EHZ248"/>
      <c r="EIA248"/>
      <c r="EIB248"/>
      <c r="EIC248"/>
      <c r="EID248"/>
      <c r="EIE248"/>
      <c r="EIF248"/>
      <c r="EIG248"/>
      <c r="EIH248"/>
      <c r="EII248"/>
      <c r="EIJ248"/>
      <c r="EIK248"/>
      <c r="EIL248"/>
      <c r="EIM248"/>
      <c r="EIN248"/>
      <c r="EIO248"/>
      <c r="EIP248"/>
      <c r="EIQ248"/>
      <c r="EIR248"/>
      <c r="EIS248"/>
      <c r="EIT248"/>
      <c r="EIU248"/>
      <c r="EIV248"/>
      <c r="EIW248"/>
      <c r="EIX248"/>
      <c r="EIY248"/>
      <c r="EIZ248"/>
      <c r="EJA248"/>
      <c r="EJB248"/>
      <c r="EJC248"/>
      <c r="EJD248"/>
      <c r="EJE248"/>
      <c r="EJF248"/>
      <c r="EJG248"/>
      <c r="EJH248"/>
      <c r="EJI248"/>
      <c r="EJJ248"/>
      <c r="EJK248"/>
      <c r="EJL248"/>
      <c r="EJM248"/>
      <c r="EJN248"/>
      <c r="EJO248"/>
      <c r="EJP248"/>
      <c r="EJQ248"/>
      <c r="EJR248"/>
      <c r="EJS248"/>
      <c r="EJT248"/>
      <c r="EJU248"/>
      <c r="EJV248"/>
      <c r="EJW248"/>
      <c r="EJX248"/>
      <c r="EJY248"/>
      <c r="EJZ248"/>
      <c r="EKA248"/>
      <c r="EKB248"/>
      <c r="EKC248"/>
      <c r="EKD248"/>
      <c r="EKE248"/>
      <c r="EKF248"/>
      <c r="EKG248"/>
      <c r="EKH248"/>
      <c r="EKI248"/>
      <c r="EKJ248"/>
      <c r="EKK248"/>
      <c r="EKL248"/>
      <c r="EKM248"/>
      <c r="EKN248"/>
      <c r="EKO248"/>
      <c r="EKP248"/>
      <c r="EKQ248"/>
      <c r="EKR248"/>
      <c r="EKS248"/>
      <c r="EKT248"/>
      <c r="EKU248"/>
      <c r="EKV248"/>
      <c r="EKW248"/>
      <c r="EKX248"/>
      <c r="EKY248"/>
      <c r="EKZ248"/>
      <c r="ELA248"/>
      <c r="ELB248"/>
      <c r="ELC248"/>
      <c r="ELD248"/>
      <c r="ELE248"/>
      <c r="ELF248"/>
      <c r="ELG248"/>
      <c r="ELH248"/>
      <c r="ELI248"/>
      <c r="ELJ248"/>
      <c r="ELK248"/>
      <c r="ELL248"/>
      <c r="ELM248"/>
      <c r="ELN248"/>
      <c r="ELO248"/>
      <c r="ELP248"/>
      <c r="ELQ248"/>
      <c r="ELR248"/>
      <c r="ELS248"/>
      <c r="ELT248"/>
      <c r="ELU248"/>
      <c r="ELV248"/>
      <c r="ELW248"/>
      <c r="ELX248"/>
      <c r="ELY248"/>
      <c r="ELZ248"/>
      <c r="EMA248"/>
      <c r="EMB248"/>
      <c r="EMC248"/>
      <c r="EMD248"/>
      <c r="EME248"/>
      <c r="EMF248"/>
      <c r="EMG248"/>
      <c r="EMH248"/>
      <c r="EMI248"/>
      <c r="EMJ248"/>
      <c r="EMK248"/>
      <c r="EML248"/>
      <c r="EMM248"/>
      <c r="EMN248"/>
      <c r="EMO248"/>
      <c r="EMP248"/>
      <c r="EMQ248"/>
      <c r="EMR248"/>
      <c r="EMS248"/>
      <c r="EMT248"/>
      <c r="EMU248"/>
      <c r="EMV248"/>
      <c r="EMW248"/>
      <c r="EMX248"/>
      <c r="EMY248"/>
      <c r="EMZ248"/>
      <c r="ENA248"/>
      <c r="ENB248"/>
      <c r="ENC248"/>
      <c r="END248"/>
      <c r="ENE248"/>
      <c r="ENF248"/>
      <c r="ENG248"/>
      <c r="ENH248"/>
      <c r="ENI248"/>
      <c r="ENJ248"/>
      <c r="ENK248"/>
      <c r="ENL248"/>
      <c r="ENM248"/>
      <c r="ENN248"/>
      <c r="ENO248"/>
      <c r="ENP248"/>
      <c r="ENQ248"/>
      <c r="ENR248"/>
      <c r="ENS248"/>
      <c r="ENT248"/>
      <c r="ENU248"/>
      <c r="ENV248"/>
      <c r="ENW248"/>
      <c r="ENX248"/>
      <c r="ENY248"/>
      <c r="ENZ248"/>
      <c r="EOA248"/>
      <c r="EOB248"/>
      <c r="EOC248"/>
      <c r="EOD248"/>
      <c r="EOE248"/>
      <c r="EOF248"/>
      <c r="EOG248"/>
      <c r="EOH248"/>
      <c r="EOI248"/>
      <c r="EOJ248"/>
      <c r="EOK248"/>
      <c r="EOL248"/>
      <c r="EOM248"/>
      <c r="EON248"/>
      <c r="EOO248"/>
      <c r="EOP248"/>
      <c r="EOQ248"/>
      <c r="EOR248"/>
      <c r="EOS248"/>
      <c r="EOT248"/>
      <c r="EOU248"/>
      <c r="EOV248"/>
      <c r="EOW248"/>
      <c r="EOX248"/>
      <c r="EOY248"/>
      <c r="EOZ248"/>
      <c r="EPA248"/>
      <c r="EPB248"/>
      <c r="EPC248"/>
      <c r="EPD248"/>
      <c r="EPE248"/>
      <c r="EPF248"/>
      <c r="EPG248"/>
      <c r="EPH248"/>
      <c r="EPI248"/>
      <c r="EPJ248"/>
      <c r="EPK248"/>
      <c r="EPL248"/>
      <c r="EPM248"/>
      <c r="EPN248"/>
      <c r="EPO248"/>
      <c r="EPP248"/>
      <c r="EPQ248"/>
      <c r="EPR248"/>
      <c r="EPS248"/>
      <c r="EPT248"/>
      <c r="EPU248"/>
      <c r="EPV248"/>
      <c r="EPW248"/>
      <c r="EPX248"/>
      <c r="EPY248"/>
      <c r="EPZ248"/>
      <c r="EQA248"/>
      <c r="EQB248"/>
      <c r="EQC248"/>
      <c r="EQD248"/>
      <c r="EQE248"/>
      <c r="EQF248"/>
      <c r="EQG248"/>
      <c r="EQH248"/>
      <c r="EQI248"/>
      <c r="EQJ248"/>
      <c r="EQK248"/>
      <c r="EQL248"/>
      <c r="EQM248"/>
      <c r="EQN248"/>
      <c r="EQO248"/>
      <c r="EQP248"/>
      <c r="EQQ248"/>
      <c r="EQR248"/>
      <c r="EQS248"/>
      <c r="EQT248"/>
      <c r="EQU248"/>
      <c r="EQV248"/>
      <c r="EQW248"/>
      <c r="EQX248"/>
      <c r="EQY248"/>
      <c r="EQZ248"/>
      <c r="ERA248"/>
      <c r="ERB248"/>
      <c r="ERC248"/>
      <c r="ERD248"/>
      <c r="ERE248"/>
      <c r="ERF248"/>
      <c r="ERG248"/>
      <c r="ERH248"/>
      <c r="ERI248"/>
      <c r="ERJ248"/>
      <c r="ERK248"/>
      <c r="ERL248"/>
      <c r="ERM248"/>
      <c r="ERN248"/>
      <c r="ERO248"/>
      <c r="ERP248"/>
      <c r="ERQ248"/>
      <c r="ERR248"/>
      <c r="ERS248"/>
      <c r="ERT248"/>
      <c r="ERU248"/>
      <c r="ERV248"/>
      <c r="ERW248"/>
      <c r="ERX248"/>
      <c r="ERY248"/>
      <c r="ERZ248"/>
      <c r="ESA248"/>
      <c r="ESB248"/>
      <c r="ESC248"/>
      <c r="ESD248"/>
      <c r="ESE248"/>
      <c r="ESF248"/>
      <c r="ESG248"/>
      <c r="ESH248"/>
      <c r="ESI248"/>
      <c r="ESJ248"/>
      <c r="ESK248"/>
      <c r="ESL248"/>
      <c r="ESM248"/>
      <c r="ESN248"/>
      <c r="ESO248"/>
      <c r="ESP248"/>
      <c r="ESQ248"/>
      <c r="ESR248"/>
      <c r="ESS248"/>
      <c r="EST248"/>
      <c r="ESU248"/>
      <c r="ESV248"/>
      <c r="ESW248"/>
      <c r="ESX248"/>
      <c r="ESY248"/>
      <c r="ESZ248"/>
      <c r="ETA248"/>
      <c r="ETB248"/>
      <c r="ETC248"/>
      <c r="ETD248"/>
      <c r="ETE248"/>
      <c r="ETF248"/>
      <c r="ETG248"/>
      <c r="ETH248"/>
      <c r="ETI248"/>
      <c r="ETJ248"/>
      <c r="ETK248"/>
      <c r="ETL248"/>
      <c r="ETM248"/>
      <c r="ETN248"/>
      <c r="ETO248"/>
      <c r="ETP248"/>
      <c r="ETQ248"/>
      <c r="ETR248"/>
      <c r="ETS248"/>
      <c r="ETT248"/>
      <c r="ETU248"/>
      <c r="ETV248"/>
      <c r="ETW248"/>
      <c r="ETX248"/>
      <c r="ETY248"/>
      <c r="ETZ248"/>
      <c r="EUA248"/>
      <c r="EUB248"/>
      <c r="EUC248"/>
      <c r="EUD248"/>
      <c r="EUE248"/>
      <c r="EUF248"/>
      <c r="EUG248"/>
      <c r="EUH248"/>
      <c r="EUI248"/>
      <c r="EUJ248"/>
      <c r="EUK248"/>
      <c r="EUL248"/>
      <c r="EUM248"/>
      <c r="EUN248"/>
      <c r="EUO248"/>
      <c r="EUP248"/>
      <c r="EUQ248"/>
      <c r="EUR248"/>
      <c r="EUS248"/>
      <c r="EUT248"/>
      <c r="EUU248"/>
      <c r="EUV248"/>
      <c r="EUW248"/>
      <c r="EUX248"/>
      <c r="EUY248"/>
      <c r="EUZ248"/>
      <c r="EVA248"/>
      <c r="EVB248"/>
      <c r="EVC248"/>
      <c r="EVD248"/>
      <c r="EVE248"/>
      <c r="EVF248"/>
      <c r="EVG248"/>
      <c r="EVH248"/>
      <c r="EVI248"/>
      <c r="EVJ248"/>
      <c r="EVK248"/>
      <c r="EVL248"/>
      <c r="EVM248"/>
      <c r="EVN248"/>
      <c r="EVO248"/>
      <c r="EVP248"/>
      <c r="EVQ248"/>
      <c r="EVR248"/>
      <c r="EVS248"/>
      <c r="EVT248"/>
      <c r="EVU248"/>
      <c r="EVV248"/>
      <c r="EVW248"/>
      <c r="EVX248"/>
      <c r="EVY248"/>
      <c r="EVZ248"/>
      <c r="EWA248"/>
      <c r="EWB248"/>
      <c r="EWC248"/>
      <c r="EWD248"/>
      <c r="EWE248"/>
      <c r="EWF248"/>
      <c r="EWG248"/>
      <c r="EWH248"/>
      <c r="EWI248"/>
      <c r="EWJ248"/>
      <c r="EWK248"/>
      <c r="EWL248"/>
      <c r="EWM248"/>
      <c r="EWN248"/>
      <c r="EWO248"/>
      <c r="EWP248"/>
      <c r="EWQ248"/>
      <c r="EWR248"/>
      <c r="EWS248"/>
      <c r="EWT248"/>
      <c r="EWU248"/>
      <c r="EWV248"/>
      <c r="EWW248"/>
      <c r="EWX248"/>
      <c r="EWY248"/>
      <c r="EWZ248"/>
      <c r="EXA248"/>
      <c r="EXB248"/>
      <c r="EXC248"/>
      <c r="EXD248"/>
      <c r="EXE248"/>
      <c r="EXF248"/>
      <c r="EXG248"/>
      <c r="EXH248"/>
      <c r="EXI248"/>
      <c r="EXJ248"/>
      <c r="EXK248"/>
      <c r="EXL248"/>
      <c r="EXM248"/>
      <c r="EXN248"/>
      <c r="EXO248"/>
      <c r="EXP248"/>
      <c r="EXQ248"/>
      <c r="EXR248"/>
      <c r="EXS248"/>
      <c r="EXT248"/>
      <c r="EXU248"/>
      <c r="EXV248"/>
      <c r="EXW248"/>
      <c r="EXX248"/>
      <c r="EXY248"/>
      <c r="EXZ248"/>
      <c r="EYA248"/>
      <c r="EYB248"/>
      <c r="EYC248"/>
      <c r="EYD248"/>
      <c r="EYE248"/>
      <c r="EYF248"/>
      <c r="EYG248"/>
      <c r="EYH248"/>
      <c r="EYI248"/>
      <c r="EYJ248"/>
      <c r="EYK248"/>
      <c r="EYL248"/>
      <c r="EYM248"/>
      <c r="EYN248"/>
      <c r="EYO248"/>
      <c r="EYP248"/>
      <c r="EYQ248"/>
      <c r="EYR248"/>
      <c r="EYS248"/>
      <c r="EYT248"/>
      <c r="EYU248"/>
      <c r="EYV248"/>
      <c r="EYW248"/>
      <c r="EYX248"/>
      <c r="EYY248"/>
      <c r="EYZ248"/>
      <c r="EZA248"/>
      <c r="EZB248"/>
      <c r="EZC248"/>
      <c r="EZD248"/>
      <c r="EZE248"/>
      <c r="EZF248"/>
      <c r="EZG248"/>
      <c r="EZH248"/>
      <c r="EZI248"/>
      <c r="EZJ248"/>
      <c r="EZK248"/>
      <c r="EZL248"/>
      <c r="EZM248"/>
      <c r="EZN248"/>
      <c r="EZO248"/>
      <c r="EZP248"/>
      <c r="EZQ248"/>
      <c r="EZR248"/>
      <c r="EZS248"/>
      <c r="EZT248"/>
      <c r="EZU248"/>
      <c r="EZV248"/>
      <c r="EZW248"/>
      <c r="EZX248"/>
      <c r="EZY248"/>
      <c r="EZZ248"/>
      <c r="FAA248"/>
      <c r="FAB248"/>
      <c r="FAC248"/>
      <c r="FAD248"/>
      <c r="FAE248"/>
      <c r="FAF248"/>
      <c r="FAG248"/>
      <c r="FAH248"/>
      <c r="FAI248"/>
      <c r="FAJ248"/>
      <c r="FAK248"/>
      <c r="FAL248"/>
      <c r="FAM248"/>
      <c r="FAN248"/>
      <c r="FAO248"/>
      <c r="FAP248"/>
      <c r="FAQ248"/>
      <c r="FAR248"/>
      <c r="FAS248"/>
      <c r="FAT248"/>
      <c r="FAU248"/>
      <c r="FAV248"/>
      <c r="FAW248"/>
      <c r="FAX248"/>
      <c r="FAY248"/>
      <c r="FAZ248"/>
      <c r="FBA248"/>
      <c r="FBB248"/>
      <c r="FBC248"/>
      <c r="FBD248"/>
      <c r="FBE248"/>
      <c r="FBF248"/>
      <c r="FBG248"/>
      <c r="FBH248"/>
      <c r="FBI248"/>
      <c r="FBJ248"/>
      <c r="FBK248"/>
      <c r="FBL248"/>
      <c r="FBM248"/>
      <c r="FBN248"/>
      <c r="FBO248"/>
      <c r="FBP248"/>
      <c r="FBQ248"/>
      <c r="FBR248"/>
      <c r="FBS248"/>
      <c r="FBT248"/>
      <c r="FBU248"/>
      <c r="FBV248"/>
      <c r="FBW248"/>
      <c r="FBX248"/>
      <c r="FBY248"/>
      <c r="FBZ248"/>
      <c r="FCA248"/>
      <c r="FCB248"/>
      <c r="FCC248"/>
      <c r="FCD248"/>
      <c r="FCE248"/>
      <c r="FCF248"/>
      <c r="FCG248"/>
      <c r="FCH248"/>
      <c r="FCI248"/>
      <c r="FCJ248"/>
      <c r="FCK248"/>
      <c r="FCL248"/>
      <c r="FCM248"/>
      <c r="FCN248"/>
      <c r="FCO248"/>
      <c r="FCP248"/>
      <c r="FCQ248"/>
      <c r="FCR248"/>
      <c r="FCS248"/>
      <c r="FCT248"/>
      <c r="FCU248"/>
      <c r="FCV248"/>
      <c r="FCW248"/>
      <c r="FCX248"/>
      <c r="FCY248"/>
      <c r="FCZ248"/>
      <c r="FDA248"/>
      <c r="FDB248"/>
      <c r="FDC248"/>
      <c r="FDD248"/>
      <c r="FDE248"/>
      <c r="FDF248"/>
      <c r="FDG248"/>
      <c r="FDH248"/>
      <c r="FDI248"/>
      <c r="FDJ248"/>
      <c r="FDK248"/>
      <c r="FDL248"/>
      <c r="FDM248"/>
      <c r="FDN248"/>
      <c r="FDO248"/>
      <c r="FDP248"/>
      <c r="FDQ248"/>
      <c r="FDR248"/>
      <c r="FDS248"/>
      <c r="FDT248"/>
      <c r="FDU248"/>
      <c r="FDV248"/>
      <c r="FDW248"/>
      <c r="FDX248"/>
      <c r="FDY248"/>
      <c r="FDZ248"/>
      <c r="FEA248"/>
      <c r="FEB248"/>
      <c r="FEC248"/>
      <c r="FED248"/>
      <c r="FEE248"/>
      <c r="FEF248"/>
      <c r="FEG248"/>
      <c r="FEH248"/>
      <c r="FEI248"/>
      <c r="FEJ248"/>
      <c r="FEK248"/>
      <c r="FEL248"/>
      <c r="FEM248"/>
      <c r="FEN248"/>
      <c r="FEO248"/>
      <c r="FEP248"/>
      <c r="FEQ248"/>
      <c r="FER248"/>
      <c r="FES248"/>
      <c r="FET248"/>
      <c r="FEU248"/>
      <c r="FEV248"/>
      <c r="FEW248"/>
      <c r="FEX248"/>
      <c r="FEY248"/>
      <c r="FEZ248"/>
      <c r="FFA248"/>
      <c r="FFB248"/>
      <c r="FFC248"/>
      <c r="FFD248"/>
      <c r="FFE248"/>
      <c r="FFF248"/>
      <c r="FFG248"/>
      <c r="FFH248"/>
      <c r="FFI248"/>
      <c r="FFJ248"/>
      <c r="FFK248"/>
      <c r="FFL248"/>
      <c r="FFM248"/>
      <c r="FFN248"/>
      <c r="FFO248"/>
      <c r="FFP248"/>
      <c r="FFQ248"/>
      <c r="FFR248"/>
      <c r="FFS248"/>
      <c r="FFT248"/>
      <c r="FFU248"/>
      <c r="FFV248"/>
      <c r="FFW248"/>
      <c r="FFX248"/>
      <c r="FFY248"/>
      <c r="FFZ248"/>
      <c r="FGA248"/>
      <c r="FGB248"/>
      <c r="FGC248"/>
      <c r="FGD248"/>
      <c r="FGE248"/>
      <c r="FGF248"/>
      <c r="FGG248"/>
      <c r="FGH248"/>
      <c r="FGI248"/>
      <c r="FGJ248"/>
      <c r="FGK248"/>
      <c r="FGL248"/>
      <c r="FGM248"/>
      <c r="FGN248"/>
      <c r="FGO248"/>
      <c r="FGP248"/>
      <c r="FGQ248"/>
      <c r="FGR248"/>
      <c r="FGS248"/>
      <c r="FGT248"/>
      <c r="FGU248"/>
      <c r="FGV248"/>
      <c r="FGW248"/>
      <c r="FGX248"/>
      <c r="FGY248"/>
      <c r="FGZ248"/>
      <c r="FHA248"/>
      <c r="FHB248"/>
      <c r="FHC248"/>
      <c r="FHD248"/>
      <c r="FHE248"/>
      <c r="FHF248"/>
      <c r="FHG248"/>
      <c r="FHH248"/>
      <c r="FHI248"/>
      <c r="FHJ248"/>
      <c r="FHK248"/>
      <c r="FHL248"/>
      <c r="FHM248"/>
      <c r="FHN248"/>
      <c r="FHO248"/>
      <c r="FHP248"/>
      <c r="FHQ248"/>
      <c r="FHR248"/>
      <c r="FHS248"/>
      <c r="FHT248"/>
      <c r="FHU248"/>
      <c r="FHV248"/>
      <c r="FHW248"/>
      <c r="FHX248"/>
      <c r="FHY248"/>
      <c r="FHZ248"/>
      <c r="FIA248"/>
      <c r="FIB248"/>
      <c r="FIC248"/>
      <c r="FID248"/>
      <c r="FIE248"/>
      <c r="FIF248"/>
      <c r="FIG248"/>
      <c r="FIH248"/>
      <c r="FII248"/>
      <c r="FIJ248"/>
      <c r="FIK248"/>
      <c r="FIL248"/>
      <c r="FIM248"/>
      <c r="FIN248"/>
      <c r="FIO248"/>
      <c r="FIP248"/>
      <c r="FIQ248"/>
      <c r="FIR248"/>
      <c r="FIS248"/>
      <c r="FIT248"/>
      <c r="FIU248"/>
      <c r="FIV248"/>
      <c r="FIW248"/>
      <c r="FIX248"/>
      <c r="FIY248"/>
      <c r="FIZ248"/>
      <c r="FJA248"/>
      <c r="FJB248"/>
      <c r="FJC248"/>
      <c r="FJD248"/>
      <c r="FJE248"/>
      <c r="FJF248"/>
      <c r="FJG248"/>
      <c r="FJH248"/>
      <c r="FJI248"/>
      <c r="FJJ248"/>
      <c r="FJK248"/>
      <c r="FJL248"/>
      <c r="FJM248"/>
      <c r="FJN248"/>
      <c r="FJO248"/>
      <c r="FJP248"/>
      <c r="FJQ248"/>
      <c r="FJR248"/>
      <c r="FJS248"/>
      <c r="FJT248"/>
      <c r="FJU248"/>
      <c r="FJV248"/>
      <c r="FJW248"/>
      <c r="FJX248"/>
      <c r="FJY248"/>
      <c r="FJZ248"/>
      <c r="FKA248"/>
      <c r="FKB248"/>
      <c r="FKC248"/>
      <c r="FKD248"/>
      <c r="FKE248"/>
      <c r="FKF248"/>
      <c r="FKG248"/>
      <c r="FKH248"/>
      <c r="FKI248"/>
      <c r="FKJ248"/>
      <c r="FKK248"/>
      <c r="FKL248"/>
      <c r="FKM248"/>
      <c r="FKN248"/>
      <c r="FKO248"/>
      <c r="FKP248"/>
      <c r="FKQ248"/>
      <c r="FKR248"/>
      <c r="FKS248"/>
      <c r="FKT248"/>
      <c r="FKU248"/>
      <c r="FKV248"/>
      <c r="FKW248"/>
      <c r="FKX248"/>
      <c r="FKY248"/>
      <c r="FKZ248"/>
      <c r="FLA248"/>
      <c r="FLB248"/>
      <c r="FLC248"/>
      <c r="FLD248"/>
      <c r="FLE248"/>
      <c r="FLF248"/>
      <c r="FLG248"/>
      <c r="FLH248"/>
      <c r="FLI248"/>
      <c r="FLJ248"/>
      <c r="FLK248"/>
      <c r="FLL248"/>
      <c r="FLM248"/>
      <c r="FLN248"/>
      <c r="FLO248"/>
      <c r="FLP248"/>
      <c r="FLQ248"/>
      <c r="FLR248"/>
      <c r="FLS248"/>
      <c r="FLT248"/>
      <c r="FLU248"/>
      <c r="FLV248"/>
      <c r="FLW248"/>
      <c r="FLX248"/>
      <c r="FLY248"/>
      <c r="FLZ248"/>
      <c r="FMA248"/>
      <c r="FMB248"/>
      <c r="FMC248"/>
      <c r="FMD248"/>
      <c r="FME248"/>
      <c r="FMF248"/>
      <c r="FMG248"/>
      <c r="FMH248"/>
      <c r="FMI248"/>
      <c r="FMJ248"/>
      <c r="FMK248"/>
      <c r="FML248"/>
      <c r="FMM248"/>
      <c r="FMN248"/>
      <c r="FMO248"/>
      <c r="FMP248"/>
      <c r="FMQ248"/>
      <c r="FMR248"/>
      <c r="FMS248"/>
      <c r="FMT248"/>
      <c r="FMU248"/>
      <c r="FMV248"/>
      <c r="FMW248"/>
      <c r="FMX248"/>
      <c r="FMY248"/>
      <c r="FMZ248"/>
      <c r="FNA248"/>
      <c r="FNB248"/>
      <c r="FNC248"/>
      <c r="FND248"/>
      <c r="FNE248"/>
      <c r="FNF248"/>
      <c r="FNG248"/>
      <c r="FNH248"/>
      <c r="FNI248"/>
      <c r="FNJ248"/>
      <c r="FNK248"/>
      <c r="FNL248"/>
      <c r="FNM248"/>
      <c r="FNN248"/>
      <c r="FNO248"/>
      <c r="FNP248"/>
      <c r="FNQ248"/>
      <c r="FNR248"/>
      <c r="FNS248"/>
      <c r="FNT248"/>
      <c r="FNU248"/>
      <c r="FNV248"/>
      <c r="FNW248"/>
      <c r="FNX248"/>
      <c r="FNY248"/>
      <c r="FNZ248"/>
      <c r="FOA248"/>
      <c r="FOB248"/>
      <c r="FOC248"/>
      <c r="FOD248"/>
      <c r="FOE248"/>
      <c r="FOF248"/>
      <c r="FOG248"/>
      <c r="FOH248"/>
      <c r="FOI248"/>
      <c r="FOJ248"/>
      <c r="FOK248"/>
      <c r="FOL248"/>
      <c r="FOM248"/>
      <c r="FON248"/>
      <c r="FOO248"/>
      <c r="FOP248"/>
      <c r="FOQ248"/>
      <c r="FOR248"/>
      <c r="FOS248"/>
      <c r="FOT248"/>
      <c r="FOU248"/>
      <c r="FOV248"/>
      <c r="FOW248"/>
      <c r="FOX248"/>
      <c r="FOY248"/>
      <c r="FOZ248"/>
      <c r="FPA248"/>
      <c r="FPB248"/>
      <c r="FPC248"/>
      <c r="FPD248"/>
      <c r="FPE248"/>
      <c r="FPF248"/>
      <c r="FPG248"/>
      <c r="FPH248"/>
      <c r="FPI248"/>
      <c r="FPJ248"/>
      <c r="FPK248"/>
      <c r="FPL248"/>
      <c r="FPM248"/>
      <c r="FPN248"/>
      <c r="FPO248"/>
      <c r="FPP248"/>
      <c r="FPQ248"/>
      <c r="FPR248"/>
      <c r="FPS248"/>
      <c r="FPT248"/>
      <c r="FPU248"/>
      <c r="FPV248"/>
      <c r="FPW248"/>
      <c r="FPX248"/>
      <c r="FPY248"/>
      <c r="FPZ248"/>
      <c r="FQA248"/>
      <c r="FQB248"/>
      <c r="FQC248"/>
      <c r="FQD248"/>
      <c r="FQE248"/>
      <c r="FQF248"/>
      <c r="FQG248"/>
      <c r="FQH248"/>
      <c r="FQI248"/>
      <c r="FQJ248"/>
      <c r="FQK248"/>
      <c r="FQL248"/>
      <c r="FQM248"/>
      <c r="FQN248"/>
      <c r="FQO248"/>
      <c r="FQP248"/>
      <c r="FQQ248"/>
      <c r="FQR248"/>
      <c r="FQS248"/>
      <c r="FQT248"/>
      <c r="FQU248"/>
      <c r="FQV248"/>
      <c r="FQW248"/>
      <c r="FQX248"/>
      <c r="FQY248"/>
      <c r="FQZ248"/>
      <c r="FRA248"/>
      <c r="FRB248"/>
      <c r="FRC248"/>
      <c r="FRD248"/>
      <c r="FRE248"/>
      <c r="FRF248"/>
      <c r="FRG248"/>
      <c r="FRH248"/>
      <c r="FRI248"/>
      <c r="FRJ248"/>
      <c r="FRK248"/>
      <c r="FRL248"/>
      <c r="FRM248"/>
      <c r="FRN248"/>
      <c r="FRO248"/>
      <c r="FRP248"/>
      <c r="FRQ248"/>
      <c r="FRR248"/>
      <c r="FRS248"/>
      <c r="FRT248"/>
      <c r="FRU248"/>
      <c r="FRV248"/>
      <c r="FRW248"/>
      <c r="FRX248"/>
      <c r="FRY248"/>
      <c r="FRZ248"/>
      <c r="FSA248"/>
      <c r="FSB248"/>
      <c r="FSC248"/>
      <c r="FSD248"/>
      <c r="FSE248"/>
      <c r="FSF248"/>
      <c r="FSG248"/>
      <c r="FSH248"/>
      <c r="FSI248"/>
      <c r="FSJ248"/>
      <c r="FSK248"/>
      <c r="FSL248"/>
      <c r="FSM248"/>
      <c r="FSN248"/>
      <c r="FSO248"/>
      <c r="FSP248"/>
      <c r="FSQ248"/>
      <c r="FSR248"/>
      <c r="FSS248"/>
      <c r="FST248"/>
      <c r="FSU248"/>
      <c r="FSV248"/>
      <c r="FSW248"/>
      <c r="FSX248"/>
      <c r="FSY248"/>
      <c r="FSZ248"/>
      <c r="FTA248"/>
      <c r="FTB248"/>
      <c r="FTC248"/>
      <c r="FTD248"/>
      <c r="FTE248"/>
      <c r="FTF248"/>
      <c r="FTG248"/>
      <c r="FTH248"/>
      <c r="FTI248"/>
      <c r="FTJ248"/>
      <c r="FTK248"/>
      <c r="FTL248"/>
      <c r="FTM248"/>
      <c r="FTN248"/>
      <c r="FTO248"/>
      <c r="FTP248"/>
      <c r="FTQ248"/>
      <c r="FTR248"/>
      <c r="FTS248"/>
      <c r="FTT248"/>
      <c r="FTU248"/>
      <c r="FTV248"/>
      <c r="FTW248"/>
      <c r="FTX248"/>
      <c r="FTY248"/>
      <c r="FTZ248"/>
      <c r="FUA248"/>
      <c r="FUB248"/>
      <c r="FUC248"/>
      <c r="FUD248"/>
      <c r="FUE248"/>
      <c r="FUF248"/>
      <c r="FUG248"/>
      <c r="FUH248"/>
      <c r="FUI248"/>
      <c r="FUJ248"/>
      <c r="FUK248"/>
      <c r="FUL248"/>
      <c r="FUM248"/>
      <c r="FUN248"/>
      <c r="FUO248"/>
      <c r="FUP248"/>
      <c r="FUQ248"/>
      <c r="FUR248"/>
      <c r="FUS248"/>
      <c r="FUT248"/>
      <c r="FUU248"/>
      <c r="FUV248"/>
      <c r="FUW248"/>
      <c r="FUX248"/>
      <c r="FUY248"/>
      <c r="FUZ248"/>
      <c r="FVA248"/>
      <c r="FVB248"/>
      <c r="FVC248"/>
      <c r="FVD248"/>
      <c r="FVE248"/>
      <c r="FVF248"/>
      <c r="FVG248"/>
      <c r="FVH248"/>
      <c r="FVI248"/>
      <c r="FVJ248"/>
      <c r="FVK248"/>
      <c r="FVL248"/>
      <c r="FVM248"/>
      <c r="FVN248"/>
      <c r="FVO248"/>
      <c r="FVP248"/>
      <c r="FVQ248"/>
      <c r="FVR248"/>
      <c r="FVS248"/>
      <c r="FVT248"/>
      <c r="FVU248"/>
      <c r="FVV248"/>
      <c r="FVW248"/>
      <c r="FVX248"/>
      <c r="FVY248"/>
      <c r="FVZ248"/>
      <c r="FWA248"/>
      <c r="FWB248"/>
      <c r="FWC248"/>
      <c r="FWD248"/>
      <c r="FWE248"/>
      <c r="FWF248"/>
      <c r="FWG248"/>
      <c r="FWH248"/>
      <c r="FWI248"/>
      <c r="FWJ248"/>
      <c r="FWK248"/>
      <c r="FWL248"/>
      <c r="FWM248"/>
      <c r="FWN248"/>
      <c r="FWO248"/>
      <c r="FWP248"/>
      <c r="FWQ248"/>
      <c r="FWR248"/>
      <c r="FWS248"/>
      <c r="FWT248"/>
      <c r="FWU248"/>
      <c r="FWV248"/>
      <c r="FWW248"/>
      <c r="FWX248"/>
      <c r="FWY248"/>
      <c r="FWZ248"/>
      <c r="FXA248"/>
      <c r="FXB248"/>
      <c r="FXC248"/>
      <c r="FXD248"/>
      <c r="FXE248"/>
      <c r="FXF248"/>
      <c r="FXG248"/>
      <c r="FXH248"/>
      <c r="FXI248"/>
      <c r="FXJ248"/>
      <c r="FXK248"/>
      <c r="FXL248"/>
      <c r="FXM248"/>
      <c r="FXN248"/>
      <c r="FXO248"/>
      <c r="FXP248"/>
      <c r="FXQ248"/>
      <c r="FXR248"/>
      <c r="FXS248"/>
      <c r="FXT248"/>
      <c r="FXU248"/>
      <c r="FXV248"/>
      <c r="FXW248"/>
      <c r="FXX248"/>
      <c r="FXY248"/>
      <c r="FXZ248"/>
      <c r="FYA248"/>
      <c r="FYB248"/>
      <c r="FYC248"/>
      <c r="FYD248"/>
      <c r="FYE248"/>
      <c r="FYF248"/>
      <c r="FYG248"/>
      <c r="FYH248"/>
      <c r="FYI248"/>
      <c r="FYJ248"/>
      <c r="FYK248"/>
      <c r="FYL248"/>
      <c r="FYM248"/>
      <c r="FYN248"/>
      <c r="FYO248"/>
      <c r="FYP248"/>
      <c r="FYQ248"/>
      <c r="FYR248"/>
      <c r="FYS248"/>
      <c r="FYT248"/>
      <c r="FYU248"/>
      <c r="FYV248"/>
      <c r="FYW248"/>
      <c r="FYX248"/>
      <c r="FYY248"/>
      <c r="FYZ248"/>
      <c r="FZA248"/>
      <c r="FZB248"/>
      <c r="FZC248"/>
      <c r="FZD248"/>
      <c r="FZE248"/>
      <c r="FZF248"/>
      <c r="FZG248"/>
      <c r="FZH248"/>
      <c r="FZI248"/>
      <c r="FZJ248"/>
      <c r="FZK248"/>
      <c r="FZL248"/>
      <c r="FZM248"/>
      <c r="FZN248"/>
      <c r="FZO248"/>
      <c r="FZP248"/>
      <c r="FZQ248"/>
      <c r="FZR248"/>
      <c r="FZS248"/>
      <c r="FZT248"/>
      <c r="FZU248"/>
      <c r="FZV248"/>
      <c r="FZW248"/>
      <c r="FZX248"/>
      <c r="FZY248"/>
      <c r="FZZ248"/>
      <c r="GAA248"/>
      <c r="GAB248"/>
      <c r="GAC248"/>
      <c r="GAD248"/>
      <c r="GAE248"/>
      <c r="GAF248"/>
      <c r="GAG248"/>
      <c r="GAH248"/>
      <c r="GAI248"/>
      <c r="GAJ248"/>
      <c r="GAK248"/>
      <c r="GAL248"/>
      <c r="GAM248"/>
      <c r="GAN248"/>
      <c r="GAO248"/>
      <c r="GAP248"/>
      <c r="GAQ248"/>
      <c r="GAR248"/>
      <c r="GAS248"/>
      <c r="GAT248"/>
      <c r="GAU248"/>
      <c r="GAV248"/>
      <c r="GAW248"/>
      <c r="GAX248"/>
      <c r="GAY248"/>
      <c r="GAZ248"/>
      <c r="GBA248"/>
      <c r="GBB248"/>
      <c r="GBC248"/>
      <c r="GBD248"/>
      <c r="GBE248"/>
      <c r="GBF248"/>
      <c r="GBG248"/>
      <c r="GBH248"/>
      <c r="GBI248"/>
      <c r="GBJ248"/>
      <c r="GBK248"/>
      <c r="GBL248"/>
      <c r="GBM248"/>
      <c r="GBN248"/>
      <c r="GBO248"/>
      <c r="GBP248"/>
      <c r="GBQ248"/>
      <c r="GBR248"/>
      <c r="GBS248"/>
      <c r="GBT248"/>
      <c r="GBU248"/>
      <c r="GBV248"/>
      <c r="GBW248"/>
      <c r="GBX248"/>
      <c r="GBY248"/>
      <c r="GBZ248"/>
      <c r="GCA248"/>
      <c r="GCB248"/>
      <c r="GCC248"/>
      <c r="GCD248"/>
      <c r="GCE248"/>
      <c r="GCF248"/>
      <c r="GCG248"/>
      <c r="GCH248"/>
      <c r="GCI248"/>
      <c r="GCJ248"/>
      <c r="GCK248"/>
      <c r="GCL248"/>
      <c r="GCM248"/>
      <c r="GCN248"/>
      <c r="GCO248"/>
      <c r="GCP248"/>
      <c r="GCQ248"/>
      <c r="GCR248"/>
      <c r="GCS248"/>
      <c r="GCT248"/>
      <c r="GCU248"/>
      <c r="GCV248"/>
      <c r="GCW248"/>
      <c r="GCX248"/>
      <c r="GCY248"/>
      <c r="GCZ248"/>
      <c r="GDA248"/>
      <c r="GDB248"/>
      <c r="GDC248"/>
      <c r="GDD248"/>
      <c r="GDE248"/>
      <c r="GDF248"/>
      <c r="GDG248"/>
      <c r="GDH248"/>
      <c r="GDI248"/>
      <c r="GDJ248"/>
      <c r="GDK248"/>
      <c r="GDL248"/>
      <c r="GDM248"/>
      <c r="GDN248"/>
      <c r="GDO248"/>
      <c r="GDP248"/>
      <c r="GDQ248"/>
      <c r="GDR248"/>
      <c r="GDS248"/>
      <c r="GDT248"/>
      <c r="GDU248"/>
      <c r="GDV248"/>
      <c r="GDW248"/>
      <c r="GDX248"/>
      <c r="GDY248"/>
      <c r="GDZ248"/>
      <c r="GEA248"/>
      <c r="GEB248"/>
      <c r="GEC248"/>
      <c r="GED248"/>
      <c r="GEE248"/>
      <c r="GEF248"/>
      <c r="GEG248"/>
      <c r="GEH248"/>
      <c r="GEI248"/>
      <c r="GEJ248"/>
      <c r="GEK248"/>
      <c r="GEL248"/>
      <c r="GEM248"/>
      <c r="GEN248"/>
      <c r="GEO248"/>
      <c r="GEP248"/>
      <c r="GEQ248"/>
      <c r="GER248"/>
      <c r="GES248"/>
      <c r="GET248"/>
      <c r="GEU248"/>
      <c r="GEV248"/>
      <c r="GEW248"/>
      <c r="GEX248"/>
      <c r="GEY248"/>
      <c r="GEZ248"/>
      <c r="GFA248"/>
      <c r="GFB248"/>
      <c r="GFC248"/>
      <c r="GFD248"/>
      <c r="GFE248"/>
      <c r="GFF248"/>
      <c r="GFG248"/>
      <c r="GFH248"/>
      <c r="GFI248"/>
      <c r="GFJ248"/>
      <c r="GFK248"/>
      <c r="GFL248"/>
      <c r="GFM248"/>
      <c r="GFN248"/>
      <c r="GFO248"/>
      <c r="GFP248"/>
      <c r="GFQ248"/>
      <c r="GFR248"/>
      <c r="GFS248"/>
      <c r="GFT248"/>
      <c r="GFU248"/>
      <c r="GFV248"/>
      <c r="GFW248"/>
      <c r="GFX248"/>
      <c r="GFY248"/>
      <c r="GFZ248"/>
      <c r="GGA248"/>
      <c r="GGB248"/>
      <c r="GGC248"/>
      <c r="GGD248"/>
      <c r="GGE248"/>
      <c r="GGF248"/>
      <c r="GGG248"/>
      <c r="GGH248"/>
      <c r="GGI248"/>
      <c r="GGJ248"/>
      <c r="GGK248"/>
      <c r="GGL248"/>
      <c r="GGM248"/>
      <c r="GGN248"/>
      <c r="GGO248"/>
      <c r="GGP248"/>
      <c r="GGQ248"/>
      <c r="GGR248"/>
      <c r="GGS248"/>
      <c r="GGT248"/>
      <c r="GGU248"/>
      <c r="GGV248"/>
      <c r="GGW248"/>
      <c r="GGX248"/>
      <c r="GGY248"/>
      <c r="GGZ248"/>
      <c r="GHA248"/>
      <c r="GHB248"/>
      <c r="GHC248"/>
      <c r="GHD248"/>
      <c r="GHE248"/>
      <c r="GHF248"/>
      <c r="GHG248"/>
      <c r="GHH248"/>
      <c r="GHI248"/>
      <c r="GHJ248"/>
      <c r="GHK248"/>
      <c r="GHL248"/>
      <c r="GHM248"/>
      <c r="GHN248"/>
      <c r="GHO248"/>
      <c r="GHP248"/>
      <c r="GHQ248"/>
      <c r="GHR248"/>
      <c r="GHS248"/>
      <c r="GHT248"/>
      <c r="GHU248"/>
      <c r="GHV248"/>
      <c r="GHW248"/>
      <c r="GHX248"/>
      <c r="GHY248"/>
      <c r="GHZ248"/>
      <c r="GIA248"/>
      <c r="GIB248"/>
      <c r="GIC248"/>
      <c r="GID248"/>
      <c r="GIE248"/>
      <c r="GIF248"/>
      <c r="GIG248"/>
      <c r="GIH248"/>
      <c r="GII248"/>
      <c r="GIJ248"/>
      <c r="GIK248"/>
      <c r="GIL248"/>
      <c r="GIM248"/>
      <c r="GIN248"/>
      <c r="GIO248"/>
      <c r="GIP248"/>
      <c r="GIQ248"/>
      <c r="GIR248"/>
      <c r="GIS248"/>
      <c r="GIT248"/>
      <c r="GIU248"/>
      <c r="GIV248"/>
      <c r="GIW248"/>
      <c r="GIX248"/>
      <c r="GIY248"/>
      <c r="GIZ248"/>
      <c r="GJA248"/>
      <c r="GJB248"/>
      <c r="GJC248"/>
      <c r="GJD248"/>
      <c r="GJE248"/>
      <c r="GJF248"/>
      <c r="GJG248"/>
      <c r="GJH248"/>
      <c r="GJI248"/>
      <c r="GJJ248"/>
      <c r="GJK248"/>
      <c r="GJL248"/>
      <c r="GJM248"/>
      <c r="GJN248"/>
      <c r="GJO248"/>
      <c r="GJP248"/>
      <c r="GJQ248"/>
      <c r="GJR248"/>
      <c r="GJS248"/>
      <c r="GJT248"/>
      <c r="GJU248"/>
      <c r="GJV248"/>
      <c r="GJW248"/>
      <c r="GJX248"/>
      <c r="GJY248"/>
      <c r="GJZ248"/>
      <c r="GKA248"/>
      <c r="GKB248"/>
      <c r="GKC248"/>
      <c r="GKD248"/>
      <c r="GKE248"/>
      <c r="GKF248"/>
      <c r="GKG248"/>
      <c r="GKH248"/>
      <c r="GKI248"/>
      <c r="GKJ248"/>
      <c r="GKK248"/>
      <c r="GKL248"/>
      <c r="GKM248"/>
      <c r="GKN248"/>
      <c r="GKO248"/>
      <c r="GKP248"/>
      <c r="GKQ248"/>
      <c r="GKR248"/>
      <c r="GKS248"/>
      <c r="GKT248"/>
      <c r="GKU248"/>
      <c r="GKV248"/>
      <c r="GKW248"/>
      <c r="GKX248"/>
      <c r="GKY248"/>
      <c r="GKZ248"/>
      <c r="GLA248"/>
      <c r="GLB248"/>
      <c r="GLC248"/>
      <c r="GLD248"/>
      <c r="GLE248"/>
      <c r="GLF248"/>
      <c r="GLG248"/>
      <c r="GLH248"/>
      <c r="GLI248"/>
      <c r="GLJ248"/>
      <c r="GLK248"/>
      <c r="GLL248"/>
      <c r="GLM248"/>
      <c r="GLN248"/>
      <c r="GLO248"/>
      <c r="GLP248"/>
      <c r="GLQ248"/>
      <c r="GLR248"/>
      <c r="GLS248"/>
      <c r="GLT248"/>
      <c r="GLU248"/>
      <c r="GLV248"/>
      <c r="GLW248"/>
      <c r="GLX248"/>
      <c r="GLY248"/>
      <c r="GLZ248"/>
      <c r="GMA248"/>
      <c r="GMB248"/>
      <c r="GMC248"/>
      <c r="GMD248"/>
      <c r="GME248"/>
      <c r="GMF248"/>
      <c r="GMG248"/>
      <c r="GMH248"/>
      <c r="GMI248"/>
      <c r="GMJ248"/>
      <c r="GMK248"/>
      <c r="GML248"/>
      <c r="GMM248"/>
      <c r="GMN248"/>
      <c r="GMO248"/>
      <c r="GMP248"/>
      <c r="GMQ248"/>
      <c r="GMR248"/>
      <c r="GMS248"/>
      <c r="GMT248"/>
      <c r="GMU248"/>
      <c r="GMV248"/>
      <c r="GMW248"/>
      <c r="GMX248"/>
      <c r="GMY248"/>
      <c r="GMZ248"/>
      <c r="GNA248"/>
      <c r="GNB248"/>
      <c r="GNC248"/>
      <c r="GND248"/>
      <c r="GNE248"/>
      <c r="GNF248"/>
      <c r="GNG248"/>
      <c r="GNH248"/>
      <c r="GNI248"/>
      <c r="GNJ248"/>
      <c r="GNK248"/>
      <c r="GNL248"/>
      <c r="GNM248"/>
      <c r="GNN248"/>
      <c r="GNO248"/>
      <c r="GNP248"/>
      <c r="GNQ248"/>
      <c r="GNR248"/>
      <c r="GNS248"/>
      <c r="GNT248"/>
      <c r="GNU248"/>
      <c r="GNV248"/>
      <c r="GNW248"/>
      <c r="GNX248"/>
      <c r="GNY248"/>
      <c r="GNZ248"/>
      <c r="GOA248"/>
      <c r="GOB248"/>
      <c r="GOC248"/>
      <c r="GOD248"/>
      <c r="GOE248"/>
      <c r="GOF248"/>
      <c r="GOG248"/>
      <c r="GOH248"/>
      <c r="GOI248"/>
      <c r="GOJ248"/>
      <c r="GOK248"/>
      <c r="GOL248"/>
      <c r="GOM248"/>
      <c r="GON248"/>
      <c r="GOO248"/>
      <c r="GOP248"/>
      <c r="GOQ248"/>
      <c r="GOR248"/>
      <c r="GOS248"/>
      <c r="GOT248"/>
      <c r="GOU248"/>
      <c r="GOV248"/>
      <c r="GOW248"/>
      <c r="GOX248"/>
      <c r="GOY248"/>
      <c r="GOZ248"/>
      <c r="GPA248"/>
      <c r="GPB248"/>
      <c r="GPC248"/>
      <c r="GPD248"/>
      <c r="GPE248"/>
      <c r="GPF248"/>
      <c r="GPG248"/>
      <c r="GPH248"/>
      <c r="GPI248"/>
      <c r="GPJ248"/>
      <c r="GPK248"/>
      <c r="GPL248"/>
      <c r="GPM248"/>
      <c r="GPN248"/>
      <c r="GPO248"/>
      <c r="GPP248"/>
      <c r="GPQ248"/>
      <c r="GPR248"/>
      <c r="GPS248"/>
      <c r="GPT248"/>
      <c r="GPU248"/>
      <c r="GPV248"/>
      <c r="GPW248"/>
      <c r="GPX248"/>
      <c r="GPY248"/>
      <c r="GPZ248"/>
      <c r="GQA248"/>
      <c r="GQB248"/>
      <c r="GQC248"/>
      <c r="GQD248"/>
      <c r="GQE248"/>
      <c r="GQF248"/>
      <c r="GQG248"/>
      <c r="GQH248"/>
      <c r="GQI248"/>
      <c r="GQJ248"/>
      <c r="GQK248"/>
      <c r="GQL248"/>
      <c r="GQM248"/>
      <c r="GQN248"/>
      <c r="GQO248"/>
      <c r="GQP248"/>
      <c r="GQQ248"/>
      <c r="GQR248"/>
      <c r="GQS248"/>
      <c r="GQT248"/>
      <c r="GQU248"/>
      <c r="GQV248"/>
      <c r="GQW248"/>
      <c r="GQX248"/>
      <c r="GQY248"/>
      <c r="GQZ248"/>
      <c r="GRA248"/>
      <c r="GRB248"/>
      <c r="GRC248"/>
      <c r="GRD248"/>
      <c r="GRE248"/>
      <c r="GRF248"/>
      <c r="GRG248"/>
      <c r="GRH248"/>
      <c r="GRI248"/>
      <c r="GRJ248"/>
      <c r="GRK248"/>
      <c r="GRL248"/>
      <c r="GRM248"/>
      <c r="GRN248"/>
      <c r="GRO248"/>
      <c r="GRP248"/>
      <c r="GRQ248"/>
      <c r="GRR248"/>
      <c r="GRS248"/>
      <c r="GRT248"/>
      <c r="GRU248"/>
      <c r="GRV248"/>
      <c r="GRW248"/>
      <c r="GRX248"/>
      <c r="GRY248"/>
      <c r="GRZ248"/>
      <c r="GSA248"/>
      <c r="GSB248"/>
      <c r="GSC248"/>
      <c r="GSD248"/>
      <c r="GSE248"/>
      <c r="GSF248"/>
      <c r="GSG248"/>
      <c r="GSH248"/>
      <c r="GSI248"/>
      <c r="GSJ248"/>
      <c r="GSK248"/>
      <c r="GSL248"/>
      <c r="GSM248"/>
      <c r="GSN248"/>
      <c r="GSO248"/>
      <c r="GSP248"/>
      <c r="GSQ248"/>
      <c r="GSR248"/>
      <c r="GSS248"/>
      <c r="GST248"/>
      <c r="GSU248"/>
      <c r="GSV248"/>
      <c r="GSW248"/>
      <c r="GSX248"/>
      <c r="GSY248"/>
      <c r="GSZ248"/>
      <c r="GTA248"/>
      <c r="GTB248"/>
      <c r="GTC248"/>
      <c r="GTD248"/>
      <c r="GTE248"/>
      <c r="GTF248"/>
      <c r="GTG248"/>
      <c r="GTH248"/>
      <c r="GTI248"/>
      <c r="GTJ248"/>
      <c r="GTK248"/>
      <c r="GTL248"/>
      <c r="GTM248"/>
      <c r="GTN248"/>
      <c r="GTO248"/>
      <c r="GTP248"/>
      <c r="GTQ248"/>
      <c r="GTR248"/>
      <c r="GTS248"/>
      <c r="GTT248"/>
      <c r="GTU248"/>
      <c r="GTV248"/>
      <c r="GTW248"/>
      <c r="GTX248"/>
      <c r="GTY248"/>
      <c r="GTZ248"/>
      <c r="GUA248"/>
      <c r="GUB248"/>
      <c r="GUC248"/>
      <c r="GUD248"/>
      <c r="GUE248"/>
      <c r="GUF248"/>
      <c r="GUG248"/>
      <c r="GUH248"/>
      <c r="GUI248"/>
      <c r="GUJ248"/>
      <c r="GUK248"/>
      <c r="GUL248"/>
      <c r="GUM248"/>
      <c r="GUN248"/>
      <c r="GUO248"/>
      <c r="GUP248"/>
      <c r="GUQ248"/>
      <c r="GUR248"/>
      <c r="GUS248"/>
      <c r="GUT248"/>
      <c r="GUU248"/>
      <c r="GUV248"/>
      <c r="GUW248"/>
      <c r="GUX248"/>
      <c r="GUY248"/>
      <c r="GUZ248"/>
      <c r="GVA248"/>
      <c r="GVB248"/>
      <c r="GVC248"/>
      <c r="GVD248"/>
      <c r="GVE248"/>
      <c r="GVF248"/>
      <c r="GVG248"/>
      <c r="GVH248"/>
      <c r="GVI248"/>
      <c r="GVJ248"/>
      <c r="GVK248"/>
      <c r="GVL248"/>
      <c r="GVM248"/>
      <c r="GVN248"/>
      <c r="GVO248"/>
      <c r="GVP248"/>
      <c r="GVQ248"/>
      <c r="GVR248"/>
      <c r="GVS248"/>
      <c r="GVT248"/>
      <c r="GVU248"/>
      <c r="GVV248"/>
      <c r="GVW248"/>
      <c r="GVX248"/>
      <c r="GVY248"/>
      <c r="GVZ248"/>
      <c r="GWA248"/>
      <c r="GWB248"/>
      <c r="GWC248"/>
      <c r="GWD248"/>
      <c r="GWE248"/>
      <c r="GWF248"/>
      <c r="GWG248"/>
      <c r="GWH248"/>
      <c r="GWI248"/>
      <c r="GWJ248"/>
      <c r="GWK248"/>
      <c r="GWL248"/>
      <c r="GWM248"/>
      <c r="GWN248"/>
      <c r="GWO248"/>
      <c r="GWP248"/>
      <c r="GWQ248"/>
      <c r="GWR248"/>
      <c r="GWS248"/>
      <c r="GWT248"/>
      <c r="GWU248"/>
      <c r="GWV248"/>
      <c r="GWW248"/>
      <c r="GWX248"/>
      <c r="GWY248"/>
      <c r="GWZ248"/>
      <c r="GXA248"/>
      <c r="GXB248"/>
      <c r="GXC248"/>
      <c r="GXD248"/>
      <c r="GXE248"/>
      <c r="GXF248"/>
      <c r="GXG248"/>
      <c r="GXH248"/>
      <c r="GXI248"/>
      <c r="GXJ248"/>
      <c r="GXK248"/>
      <c r="GXL248"/>
      <c r="GXM248"/>
      <c r="GXN248"/>
      <c r="GXO248"/>
      <c r="GXP248"/>
      <c r="GXQ248"/>
      <c r="GXR248"/>
      <c r="GXS248"/>
      <c r="GXT248"/>
      <c r="GXU248"/>
      <c r="GXV248"/>
      <c r="GXW248"/>
      <c r="GXX248"/>
      <c r="GXY248"/>
      <c r="GXZ248"/>
      <c r="GYA248"/>
      <c r="GYB248"/>
      <c r="GYC248"/>
      <c r="GYD248"/>
      <c r="GYE248"/>
      <c r="GYF248"/>
      <c r="GYG248"/>
      <c r="GYH248"/>
      <c r="GYI248"/>
      <c r="GYJ248"/>
      <c r="GYK248"/>
      <c r="GYL248"/>
      <c r="GYM248"/>
      <c r="GYN248"/>
      <c r="GYO248"/>
      <c r="GYP248"/>
      <c r="GYQ248"/>
      <c r="GYR248"/>
      <c r="GYS248"/>
      <c r="GYT248"/>
      <c r="GYU248"/>
      <c r="GYV248"/>
      <c r="GYW248"/>
      <c r="GYX248"/>
      <c r="GYY248"/>
      <c r="GYZ248"/>
      <c r="GZA248"/>
      <c r="GZB248"/>
      <c r="GZC248"/>
      <c r="GZD248"/>
      <c r="GZE248"/>
      <c r="GZF248"/>
      <c r="GZG248"/>
      <c r="GZH248"/>
      <c r="GZI248"/>
      <c r="GZJ248"/>
      <c r="GZK248"/>
      <c r="GZL248"/>
      <c r="GZM248"/>
      <c r="GZN248"/>
      <c r="GZO248"/>
      <c r="GZP248"/>
      <c r="GZQ248"/>
      <c r="GZR248"/>
      <c r="GZS248"/>
      <c r="GZT248"/>
      <c r="GZU248"/>
      <c r="GZV248"/>
      <c r="GZW248"/>
      <c r="GZX248"/>
      <c r="GZY248"/>
      <c r="GZZ248"/>
      <c r="HAA248"/>
      <c r="HAB248"/>
      <c r="HAC248"/>
      <c r="HAD248"/>
      <c r="HAE248"/>
      <c r="HAF248"/>
      <c r="HAG248"/>
      <c r="HAH248"/>
      <c r="HAI248"/>
      <c r="HAJ248"/>
      <c r="HAK248"/>
      <c r="HAL248"/>
      <c r="HAM248"/>
      <c r="HAN248"/>
      <c r="HAO248"/>
      <c r="HAP248"/>
      <c r="HAQ248"/>
      <c r="HAR248"/>
      <c r="HAS248"/>
      <c r="HAT248"/>
      <c r="HAU248"/>
      <c r="HAV248"/>
      <c r="HAW248"/>
      <c r="HAX248"/>
      <c r="HAY248"/>
      <c r="HAZ248"/>
      <c r="HBA248"/>
      <c r="HBB248"/>
      <c r="HBC248"/>
      <c r="HBD248"/>
      <c r="HBE248"/>
      <c r="HBF248"/>
      <c r="HBG248"/>
      <c r="HBH248"/>
      <c r="HBI248"/>
      <c r="HBJ248"/>
      <c r="HBK248"/>
      <c r="HBL248"/>
      <c r="HBM248"/>
      <c r="HBN248"/>
      <c r="HBO248"/>
      <c r="HBP248"/>
      <c r="HBQ248"/>
      <c r="HBR248"/>
      <c r="HBS248"/>
      <c r="HBT248"/>
      <c r="HBU248"/>
      <c r="HBV248"/>
      <c r="HBW248"/>
      <c r="HBX248"/>
      <c r="HBY248"/>
      <c r="HBZ248"/>
      <c r="HCA248"/>
      <c r="HCB248"/>
      <c r="HCC248"/>
      <c r="HCD248"/>
      <c r="HCE248"/>
      <c r="HCF248"/>
      <c r="HCG248"/>
      <c r="HCH248"/>
      <c r="HCI248"/>
      <c r="HCJ248"/>
      <c r="HCK248"/>
      <c r="HCL248"/>
      <c r="HCM248"/>
      <c r="HCN248"/>
      <c r="HCO248"/>
      <c r="HCP248"/>
      <c r="HCQ248"/>
      <c r="HCR248"/>
      <c r="HCS248"/>
      <c r="HCT248"/>
      <c r="HCU248"/>
      <c r="HCV248"/>
      <c r="HCW248"/>
      <c r="HCX248"/>
      <c r="HCY248"/>
      <c r="HCZ248"/>
      <c r="HDA248"/>
      <c r="HDB248"/>
      <c r="HDC248"/>
      <c r="HDD248"/>
      <c r="HDE248"/>
      <c r="HDF248"/>
      <c r="HDG248"/>
      <c r="HDH248"/>
      <c r="HDI248"/>
      <c r="HDJ248"/>
      <c r="HDK248"/>
      <c r="HDL248"/>
      <c r="HDM248"/>
      <c r="HDN248"/>
      <c r="HDO248"/>
      <c r="HDP248"/>
      <c r="HDQ248"/>
      <c r="HDR248"/>
      <c r="HDS248"/>
      <c r="HDT248"/>
      <c r="HDU248"/>
      <c r="HDV248"/>
      <c r="HDW248"/>
      <c r="HDX248"/>
      <c r="HDY248"/>
      <c r="HDZ248"/>
      <c r="HEA248"/>
      <c r="HEB248"/>
      <c r="HEC248"/>
      <c r="HED248"/>
      <c r="HEE248"/>
      <c r="HEF248"/>
      <c r="HEG248"/>
      <c r="HEH248"/>
      <c r="HEI248"/>
      <c r="HEJ248"/>
      <c r="HEK248"/>
      <c r="HEL248"/>
      <c r="HEM248"/>
      <c r="HEN248"/>
      <c r="HEO248"/>
      <c r="HEP248"/>
      <c r="HEQ248"/>
      <c r="HER248"/>
      <c r="HES248"/>
      <c r="HET248"/>
      <c r="HEU248"/>
      <c r="HEV248"/>
      <c r="HEW248"/>
      <c r="HEX248"/>
      <c r="HEY248"/>
      <c r="HEZ248"/>
      <c r="HFA248"/>
      <c r="HFB248"/>
      <c r="HFC248"/>
      <c r="HFD248"/>
      <c r="HFE248"/>
      <c r="HFF248"/>
      <c r="HFG248"/>
      <c r="HFH248"/>
      <c r="HFI248"/>
      <c r="HFJ248"/>
      <c r="HFK248"/>
      <c r="HFL248"/>
      <c r="HFM248"/>
      <c r="HFN248"/>
      <c r="HFO248"/>
      <c r="HFP248"/>
      <c r="HFQ248"/>
      <c r="HFR248"/>
      <c r="HFS248"/>
      <c r="HFT248"/>
      <c r="HFU248"/>
      <c r="HFV248"/>
      <c r="HFW248"/>
      <c r="HFX248"/>
      <c r="HFY248"/>
      <c r="HFZ248"/>
      <c r="HGA248"/>
      <c r="HGB248"/>
      <c r="HGC248"/>
      <c r="HGD248"/>
      <c r="HGE248"/>
      <c r="HGF248"/>
      <c r="HGG248"/>
      <c r="HGH248"/>
      <c r="HGI248"/>
      <c r="HGJ248"/>
      <c r="HGK248"/>
      <c r="HGL248"/>
      <c r="HGM248"/>
      <c r="HGN248"/>
      <c r="HGO248"/>
      <c r="HGP248"/>
      <c r="HGQ248"/>
      <c r="HGR248"/>
      <c r="HGS248"/>
      <c r="HGT248"/>
      <c r="HGU248"/>
      <c r="HGV248"/>
      <c r="HGW248"/>
      <c r="HGX248"/>
      <c r="HGY248"/>
      <c r="HGZ248"/>
      <c r="HHA248"/>
      <c r="HHB248"/>
      <c r="HHC248"/>
      <c r="HHD248"/>
      <c r="HHE248"/>
      <c r="HHF248"/>
      <c r="HHG248"/>
      <c r="HHH248"/>
      <c r="HHI248"/>
      <c r="HHJ248"/>
      <c r="HHK248"/>
      <c r="HHL248"/>
      <c r="HHM248"/>
      <c r="HHN248"/>
      <c r="HHO248"/>
      <c r="HHP248"/>
      <c r="HHQ248"/>
      <c r="HHR248"/>
      <c r="HHS248"/>
      <c r="HHT248"/>
      <c r="HHU248"/>
      <c r="HHV248"/>
      <c r="HHW248"/>
      <c r="HHX248"/>
      <c r="HHY248"/>
      <c r="HHZ248"/>
      <c r="HIA248"/>
      <c r="HIB248"/>
      <c r="HIC248"/>
      <c r="HID248"/>
      <c r="HIE248"/>
      <c r="HIF248"/>
      <c r="HIG248"/>
      <c r="HIH248"/>
      <c r="HII248"/>
      <c r="HIJ248"/>
      <c r="HIK248"/>
      <c r="HIL248"/>
      <c r="HIM248"/>
      <c r="HIN248"/>
      <c r="HIO248"/>
      <c r="HIP248"/>
      <c r="HIQ248"/>
      <c r="HIR248"/>
      <c r="HIS248"/>
      <c r="HIT248"/>
      <c r="HIU248"/>
      <c r="HIV248"/>
      <c r="HIW248"/>
      <c r="HIX248"/>
      <c r="HIY248"/>
      <c r="HIZ248"/>
      <c r="HJA248"/>
      <c r="HJB248"/>
      <c r="HJC248"/>
      <c r="HJD248"/>
      <c r="HJE248"/>
      <c r="HJF248"/>
      <c r="HJG248"/>
      <c r="HJH248"/>
      <c r="HJI248"/>
      <c r="HJJ248"/>
      <c r="HJK248"/>
      <c r="HJL248"/>
      <c r="HJM248"/>
      <c r="HJN248"/>
      <c r="HJO248"/>
      <c r="HJP248"/>
      <c r="HJQ248"/>
      <c r="HJR248"/>
      <c r="HJS248"/>
      <c r="HJT248"/>
      <c r="HJU248"/>
      <c r="HJV248"/>
      <c r="HJW248"/>
      <c r="HJX248"/>
      <c r="HJY248"/>
      <c r="HJZ248"/>
      <c r="HKA248"/>
      <c r="HKB248"/>
      <c r="HKC248"/>
      <c r="HKD248"/>
      <c r="HKE248"/>
      <c r="HKF248"/>
      <c r="HKG248"/>
      <c r="HKH248"/>
      <c r="HKI248"/>
      <c r="HKJ248"/>
      <c r="HKK248"/>
      <c r="HKL248"/>
      <c r="HKM248"/>
      <c r="HKN248"/>
      <c r="HKO248"/>
      <c r="HKP248"/>
      <c r="HKQ248"/>
      <c r="HKR248"/>
      <c r="HKS248"/>
      <c r="HKT248"/>
      <c r="HKU248"/>
      <c r="HKV248"/>
      <c r="HKW248"/>
      <c r="HKX248"/>
      <c r="HKY248"/>
      <c r="HKZ248"/>
      <c r="HLA248"/>
      <c r="HLB248"/>
      <c r="HLC248"/>
      <c r="HLD248"/>
      <c r="HLE248"/>
      <c r="HLF248"/>
      <c r="HLG248"/>
      <c r="HLH248"/>
      <c r="HLI248"/>
      <c r="HLJ248"/>
      <c r="HLK248"/>
      <c r="HLL248"/>
      <c r="HLM248"/>
      <c r="HLN248"/>
      <c r="HLO248"/>
      <c r="HLP248"/>
      <c r="HLQ248"/>
      <c r="HLR248"/>
      <c r="HLS248"/>
      <c r="HLT248"/>
      <c r="HLU248"/>
      <c r="HLV248"/>
      <c r="HLW248"/>
      <c r="HLX248"/>
      <c r="HLY248"/>
      <c r="HLZ248"/>
      <c r="HMA248"/>
      <c r="HMB248"/>
      <c r="HMC248"/>
      <c r="HMD248"/>
      <c r="HME248"/>
      <c r="HMF248"/>
      <c r="HMG248"/>
      <c r="HMH248"/>
      <c r="HMI248"/>
      <c r="HMJ248"/>
      <c r="HMK248"/>
      <c r="HML248"/>
      <c r="HMM248"/>
      <c r="HMN248"/>
      <c r="HMO248"/>
      <c r="HMP248"/>
      <c r="HMQ248"/>
      <c r="HMR248"/>
      <c r="HMS248"/>
      <c r="HMT248"/>
      <c r="HMU248"/>
      <c r="HMV248"/>
      <c r="HMW248"/>
      <c r="HMX248"/>
      <c r="HMY248"/>
      <c r="HMZ248"/>
      <c r="HNA248"/>
      <c r="HNB248"/>
      <c r="HNC248"/>
      <c r="HND248"/>
      <c r="HNE248"/>
      <c r="HNF248"/>
      <c r="HNG248"/>
      <c r="HNH248"/>
      <c r="HNI248"/>
      <c r="HNJ248"/>
      <c r="HNK248"/>
      <c r="HNL248"/>
      <c r="HNM248"/>
      <c r="HNN248"/>
      <c r="HNO248"/>
      <c r="HNP248"/>
      <c r="HNQ248"/>
      <c r="HNR248"/>
      <c r="HNS248"/>
      <c r="HNT248"/>
      <c r="HNU248"/>
      <c r="HNV248"/>
      <c r="HNW248"/>
      <c r="HNX248"/>
      <c r="HNY248"/>
      <c r="HNZ248"/>
      <c r="HOA248"/>
      <c r="HOB248"/>
      <c r="HOC248"/>
      <c r="HOD248"/>
      <c r="HOE248"/>
      <c r="HOF248"/>
      <c r="HOG248"/>
      <c r="HOH248"/>
      <c r="HOI248"/>
      <c r="HOJ248"/>
      <c r="HOK248"/>
      <c r="HOL248"/>
      <c r="HOM248"/>
      <c r="HON248"/>
      <c r="HOO248"/>
      <c r="HOP248"/>
      <c r="HOQ248"/>
      <c r="HOR248"/>
      <c r="HOS248"/>
      <c r="HOT248"/>
      <c r="HOU248"/>
      <c r="HOV248"/>
      <c r="HOW248"/>
      <c r="HOX248"/>
      <c r="HOY248"/>
      <c r="HOZ248"/>
      <c r="HPA248"/>
      <c r="HPB248"/>
      <c r="HPC248"/>
      <c r="HPD248"/>
      <c r="HPE248"/>
      <c r="HPF248"/>
      <c r="HPG248"/>
      <c r="HPH248"/>
      <c r="HPI248"/>
      <c r="HPJ248"/>
      <c r="HPK248"/>
      <c r="HPL248"/>
      <c r="HPM248"/>
      <c r="HPN248"/>
      <c r="HPO248"/>
      <c r="HPP248"/>
      <c r="HPQ248"/>
      <c r="HPR248"/>
      <c r="HPS248"/>
      <c r="HPT248"/>
      <c r="HPU248"/>
      <c r="HPV248"/>
      <c r="HPW248"/>
      <c r="HPX248"/>
      <c r="HPY248"/>
      <c r="HPZ248"/>
      <c r="HQA248"/>
      <c r="HQB248"/>
      <c r="HQC248"/>
      <c r="HQD248"/>
      <c r="HQE248"/>
      <c r="HQF248"/>
      <c r="HQG248"/>
      <c r="HQH248"/>
      <c r="HQI248"/>
      <c r="HQJ248"/>
      <c r="HQK248"/>
      <c r="HQL248"/>
      <c r="HQM248"/>
      <c r="HQN248"/>
      <c r="HQO248"/>
      <c r="HQP248"/>
      <c r="HQQ248"/>
      <c r="HQR248"/>
      <c r="HQS248"/>
      <c r="HQT248"/>
      <c r="HQU248"/>
      <c r="HQV248"/>
      <c r="HQW248"/>
      <c r="HQX248"/>
      <c r="HQY248"/>
      <c r="HQZ248"/>
      <c r="HRA248"/>
      <c r="HRB248"/>
      <c r="HRC248"/>
      <c r="HRD248"/>
      <c r="HRE248"/>
      <c r="HRF248"/>
      <c r="HRG248"/>
      <c r="HRH248"/>
      <c r="HRI248"/>
      <c r="HRJ248"/>
      <c r="HRK248"/>
      <c r="HRL248"/>
      <c r="HRM248"/>
      <c r="HRN248"/>
      <c r="HRO248"/>
      <c r="HRP248"/>
      <c r="HRQ248"/>
      <c r="HRR248"/>
      <c r="HRS248"/>
      <c r="HRT248"/>
      <c r="HRU248"/>
      <c r="HRV248"/>
      <c r="HRW248"/>
      <c r="HRX248"/>
      <c r="HRY248"/>
      <c r="HRZ248"/>
      <c r="HSA248"/>
      <c r="HSB248"/>
      <c r="HSC248"/>
      <c r="HSD248"/>
      <c r="HSE248"/>
      <c r="HSF248"/>
      <c r="HSG248"/>
      <c r="HSH248"/>
      <c r="HSI248"/>
      <c r="HSJ248"/>
      <c r="HSK248"/>
      <c r="HSL248"/>
      <c r="HSM248"/>
      <c r="HSN248"/>
      <c r="HSO248"/>
      <c r="HSP248"/>
      <c r="HSQ248"/>
      <c r="HSR248"/>
      <c r="HSS248"/>
      <c r="HST248"/>
      <c r="HSU248"/>
      <c r="HSV248"/>
      <c r="HSW248"/>
      <c r="HSX248"/>
      <c r="HSY248"/>
      <c r="HSZ248"/>
      <c r="HTA248"/>
      <c r="HTB248"/>
      <c r="HTC248"/>
      <c r="HTD248"/>
      <c r="HTE248"/>
      <c r="HTF248"/>
      <c r="HTG248"/>
      <c r="HTH248"/>
      <c r="HTI248"/>
      <c r="HTJ248"/>
      <c r="HTK248"/>
      <c r="HTL248"/>
      <c r="HTM248"/>
      <c r="HTN248"/>
      <c r="HTO248"/>
      <c r="HTP248"/>
      <c r="HTQ248"/>
      <c r="HTR248"/>
      <c r="HTS248"/>
      <c r="HTT248"/>
      <c r="HTU248"/>
      <c r="HTV248"/>
      <c r="HTW248"/>
      <c r="HTX248"/>
      <c r="HTY248"/>
      <c r="HTZ248"/>
      <c r="HUA248"/>
      <c r="HUB248"/>
      <c r="HUC248"/>
      <c r="HUD248"/>
      <c r="HUE248"/>
      <c r="HUF248"/>
      <c r="HUG248"/>
      <c r="HUH248"/>
      <c r="HUI248"/>
      <c r="HUJ248"/>
      <c r="HUK248"/>
      <c r="HUL248"/>
      <c r="HUM248"/>
      <c r="HUN248"/>
      <c r="HUO248"/>
      <c r="HUP248"/>
      <c r="HUQ248"/>
      <c r="HUR248"/>
      <c r="HUS248"/>
      <c r="HUT248"/>
      <c r="HUU248"/>
      <c r="HUV248"/>
      <c r="HUW248"/>
      <c r="HUX248"/>
      <c r="HUY248"/>
      <c r="HUZ248"/>
      <c r="HVA248"/>
      <c r="HVB248"/>
      <c r="HVC248"/>
      <c r="HVD248"/>
      <c r="HVE248"/>
      <c r="HVF248"/>
      <c r="HVG248"/>
      <c r="HVH248"/>
      <c r="HVI248"/>
      <c r="HVJ248"/>
      <c r="HVK248"/>
      <c r="HVL248"/>
      <c r="HVM248"/>
      <c r="HVN248"/>
      <c r="HVO248"/>
      <c r="HVP248"/>
      <c r="HVQ248"/>
      <c r="HVR248"/>
      <c r="HVS248"/>
      <c r="HVT248"/>
      <c r="HVU248"/>
      <c r="HVV248"/>
      <c r="HVW248"/>
      <c r="HVX248"/>
      <c r="HVY248"/>
      <c r="HVZ248"/>
      <c r="HWA248"/>
      <c r="HWB248"/>
      <c r="HWC248"/>
      <c r="HWD248"/>
      <c r="HWE248"/>
      <c r="HWF248"/>
      <c r="HWG248"/>
      <c r="HWH248"/>
      <c r="HWI248"/>
      <c r="HWJ248"/>
      <c r="HWK248"/>
      <c r="HWL248"/>
      <c r="HWM248"/>
      <c r="HWN248"/>
      <c r="HWO248"/>
      <c r="HWP248"/>
      <c r="HWQ248"/>
      <c r="HWR248"/>
      <c r="HWS248"/>
      <c r="HWT248"/>
      <c r="HWU248"/>
      <c r="HWV248"/>
      <c r="HWW248"/>
      <c r="HWX248"/>
      <c r="HWY248"/>
      <c r="HWZ248"/>
      <c r="HXA248"/>
      <c r="HXB248"/>
      <c r="HXC248"/>
      <c r="HXD248"/>
      <c r="HXE248"/>
      <c r="HXF248"/>
      <c r="HXG248"/>
      <c r="HXH248"/>
      <c r="HXI248"/>
      <c r="HXJ248"/>
      <c r="HXK248"/>
      <c r="HXL248"/>
      <c r="HXM248"/>
      <c r="HXN248"/>
      <c r="HXO248"/>
      <c r="HXP248"/>
      <c r="HXQ248"/>
      <c r="HXR248"/>
      <c r="HXS248"/>
      <c r="HXT248"/>
      <c r="HXU248"/>
      <c r="HXV248"/>
      <c r="HXW248"/>
      <c r="HXX248"/>
      <c r="HXY248"/>
      <c r="HXZ248"/>
      <c r="HYA248"/>
      <c r="HYB248"/>
      <c r="HYC248"/>
      <c r="HYD248"/>
      <c r="HYE248"/>
      <c r="HYF248"/>
      <c r="HYG248"/>
      <c r="HYH248"/>
      <c r="HYI248"/>
      <c r="HYJ248"/>
      <c r="HYK248"/>
      <c r="HYL248"/>
      <c r="HYM248"/>
      <c r="HYN248"/>
      <c r="HYO248"/>
      <c r="HYP248"/>
      <c r="HYQ248"/>
      <c r="HYR248"/>
      <c r="HYS248"/>
      <c r="HYT248"/>
      <c r="HYU248"/>
      <c r="HYV248"/>
      <c r="HYW248"/>
      <c r="HYX248"/>
      <c r="HYY248"/>
      <c r="HYZ248"/>
      <c r="HZA248"/>
      <c r="HZB248"/>
      <c r="HZC248"/>
      <c r="HZD248"/>
      <c r="HZE248"/>
      <c r="HZF248"/>
      <c r="HZG248"/>
      <c r="HZH248"/>
      <c r="HZI248"/>
      <c r="HZJ248"/>
      <c r="HZK248"/>
      <c r="HZL248"/>
      <c r="HZM248"/>
      <c r="HZN248"/>
      <c r="HZO248"/>
      <c r="HZP248"/>
      <c r="HZQ248"/>
      <c r="HZR248"/>
      <c r="HZS248"/>
      <c r="HZT248"/>
      <c r="HZU248"/>
      <c r="HZV248"/>
      <c r="HZW248"/>
      <c r="HZX248"/>
      <c r="HZY248"/>
      <c r="HZZ248"/>
      <c r="IAA248"/>
      <c r="IAB248"/>
      <c r="IAC248"/>
      <c r="IAD248"/>
      <c r="IAE248"/>
      <c r="IAF248"/>
      <c r="IAG248"/>
      <c r="IAH248"/>
      <c r="IAI248"/>
      <c r="IAJ248"/>
      <c r="IAK248"/>
      <c r="IAL248"/>
      <c r="IAM248"/>
      <c r="IAN248"/>
      <c r="IAO248"/>
      <c r="IAP248"/>
      <c r="IAQ248"/>
      <c r="IAR248"/>
      <c r="IAS248"/>
      <c r="IAT248"/>
      <c r="IAU248"/>
      <c r="IAV248"/>
      <c r="IAW248"/>
      <c r="IAX248"/>
      <c r="IAY248"/>
      <c r="IAZ248"/>
      <c r="IBA248"/>
      <c r="IBB248"/>
      <c r="IBC248"/>
      <c r="IBD248"/>
      <c r="IBE248"/>
      <c r="IBF248"/>
      <c r="IBG248"/>
      <c r="IBH248"/>
      <c r="IBI248"/>
      <c r="IBJ248"/>
      <c r="IBK248"/>
      <c r="IBL248"/>
      <c r="IBM248"/>
      <c r="IBN248"/>
      <c r="IBO248"/>
      <c r="IBP248"/>
      <c r="IBQ248"/>
      <c r="IBR248"/>
      <c r="IBS248"/>
      <c r="IBT248"/>
      <c r="IBU248"/>
      <c r="IBV248"/>
      <c r="IBW248"/>
      <c r="IBX248"/>
      <c r="IBY248"/>
      <c r="IBZ248"/>
      <c r="ICA248"/>
      <c r="ICB248"/>
      <c r="ICC248"/>
      <c r="ICD248"/>
      <c r="ICE248"/>
      <c r="ICF248"/>
      <c r="ICG248"/>
      <c r="ICH248"/>
      <c r="ICI248"/>
      <c r="ICJ248"/>
      <c r="ICK248"/>
      <c r="ICL248"/>
      <c r="ICM248"/>
      <c r="ICN248"/>
      <c r="ICO248"/>
      <c r="ICP248"/>
      <c r="ICQ248"/>
      <c r="ICR248"/>
      <c r="ICS248"/>
      <c r="ICT248"/>
      <c r="ICU248"/>
      <c r="ICV248"/>
      <c r="ICW248"/>
      <c r="ICX248"/>
      <c r="ICY248"/>
      <c r="ICZ248"/>
      <c r="IDA248"/>
      <c r="IDB248"/>
      <c r="IDC248"/>
      <c r="IDD248"/>
      <c r="IDE248"/>
      <c r="IDF248"/>
      <c r="IDG248"/>
      <c r="IDH248"/>
      <c r="IDI248"/>
      <c r="IDJ248"/>
      <c r="IDK248"/>
      <c r="IDL248"/>
      <c r="IDM248"/>
      <c r="IDN248"/>
      <c r="IDO248"/>
      <c r="IDP248"/>
      <c r="IDQ248"/>
      <c r="IDR248"/>
      <c r="IDS248"/>
      <c r="IDT248"/>
      <c r="IDU248"/>
      <c r="IDV248"/>
      <c r="IDW248"/>
      <c r="IDX248"/>
      <c r="IDY248"/>
      <c r="IDZ248"/>
      <c r="IEA248"/>
      <c r="IEB248"/>
      <c r="IEC248"/>
      <c r="IED248"/>
      <c r="IEE248"/>
      <c r="IEF248"/>
      <c r="IEG248"/>
      <c r="IEH248"/>
      <c r="IEI248"/>
      <c r="IEJ248"/>
      <c r="IEK248"/>
      <c r="IEL248"/>
      <c r="IEM248"/>
      <c r="IEN248"/>
      <c r="IEO248"/>
      <c r="IEP248"/>
      <c r="IEQ248"/>
      <c r="IER248"/>
      <c r="IES248"/>
      <c r="IET248"/>
      <c r="IEU248"/>
      <c r="IEV248"/>
      <c r="IEW248"/>
      <c r="IEX248"/>
      <c r="IEY248"/>
      <c r="IEZ248"/>
      <c r="IFA248"/>
      <c r="IFB248"/>
      <c r="IFC248"/>
      <c r="IFD248"/>
      <c r="IFE248"/>
      <c r="IFF248"/>
      <c r="IFG248"/>
      <c r="IFH248"/>
      <c r="IFI248"/>
      <c r="IFJ248"/>
      <c r="IFK248"/>
      <c r="IFL248"/>
      <c r="IFM248"/>
      <c r="IFN248"/>
      <c r="IFO248"/>
      <c r="IFP248"/>
      <c r="IFQ248"/>
      <c r="IFR248"/>
      <c r="IFS248"/>
      <c r="IFT248"/>
      <c r="IFU248"/>
      <c r="IFV248"/>
      <c r="IFW248"/>
      <c r="IFX248"/>
      <c r="IFY248"/>
      <c r="IFZ248"/>
      <c r="IGA248"/>
      <c r="IGB248"/>
      <c r="IGC248"/>
      <c r="IGD248"/>
      <c r="IGE248"/>
      <c r="IGF248"/>
      <c r="IGG248"/>
      <c r="IGH248"/>
      <c r="IGI248"/>
      <c r="IGJ248"/>
      <c r="IGK248"/>
      <c r="IGL248"/>
      <c r="IGM248"/>
      <c r="IGN248"/>
      <c r="IGO248"/>
      <c r="IGP248"/>
      <c r="IGQ248"/>
      <c r="IGR248"/>
      <c r="IGS248"/>
      <c r="IGT248"/>
      <c r="IGU248"/>
      <c r="IGV248"/>
      <c r="IGW248"/>
      <c r="IGX248"/>
      <c r="IGY248"/>
      <c r="IGZ248"/>
      <c r="IHA248"/>
      <c r="IHB248"/>
      <c r="IHC248"/>
      <c r="IHD248"/>
      <c r="IHE248"/>
      <c r="IHF248"/>
      <c r="IHG248"/>
      <c r="IHH248"/>
      <c r="IHI248"/>
      <c r="IHJ248"/>
      <c r="IHK248"/>
      <c r="IHL248"/>
      <c r="IHM248"/>
      <c r="IHN248"/>
      <c r="IHO248"/>
      <c r="IHP248"/>
      <c r="IHQ248"/>
      <c r="IHR248"/>
      <c r="IHS248"/>
      <c r="IHT248"/>
      <c r="IHU248"/>
      <c r="IHV248"/>
      <c r="IHW248"/>
      <c r="IHX248"/>
      <c r="IHY248"/>
      <c r="IHZ248"/>
      <c r="IIA248"/>
      <c r="IIB248"/>
      <c r="IIC248"/>
      <c r="IID248"/>
      <c r="IIE248"/>
      <c r="IIF248"/>
      <c r="IIG248"/>
      <c r="IIH248"/>
      <c r="III248"/>
      <c r="IIJ248"/>
      <c r="IIK248"/>
      <c r="IIL248"/>
      <c r="IIM248"/>
      <c r="IIN248"/>
      <c r="IIO248"/>
      <c r="IIP248"/>
      <c r="IIQ248"/>
      <c r="IIR248"/>
      <c r="IIS248"/>
      <c r="IIT248"/>
      <c r="IIU248"/>
      <c r="IIV248"/>
      <c r="IIW248"/>
      <c r="IIX248"/>
      <c r="IIY248"/>
      <c r="IIZ248"/>
      <c r="IJA248"/>
      <c r="IJB248"/>
      <c r="IJC248"/>
      <c r="IJD248"/>
      <c r="IJE248"/>
      <c r="IJF248"/>
      <c r="IJG248"/>
      <c r="IJH248"/>
      <c r="IJI248"/>
      <c r="IJJ248"/>
      <c r="IJK248"/>
      <c r="IJL248"/>
      <c r="IJM248"/>
      <c r="IJN248"/>
      <c r="IJO248"/>
      <c r="IJP248"/>
      <c r="IJQ248"/>
      <c r="IJR248"/>
      <c r="IJS248"/>
      <c r="IJT248"/>
      <c r="IJU248"/>
      <c r="IJV248"/>
      <c r="IJW248"/>
      <c r="IJX248"/>
      <c r="IJY248"/>
      <c r="IJZ248"/>
      <c r="IKA248"/>
      <c r="IKB248"/>
      <c r="IKC248"/>
      <c r="IKD248"/>
      <c r="IKE248"/>
      <c r="IKF248"/>
      <c r="IKG248"/>
      <c r="IKH248"/>
      <c r="IKI248"/>
      <c r="IKJ248"/>
      <c r="IKK248"/>
      <c r="IKL248"/>
      <c r="IKM248"/>
      <c r="IKN248"/>
      <c r="IKO248"/>
      <c r="IKP248"/>
      <c r="IKQ248"/>
      <c r="IKR248"/>
      <c r="IKS248"/>
      <c r="IKT248"/>
      <c r="IKU248"/>
      <c r="IKV248"/>
      <c r="IKW248"/>
      <c r="IKX248"/>
      <c r="IKY248"/>
      <c r="IKZ248"/>
      <c r="ILA248"/>
      <c r="ILB248"/>
      <c r="ILC248"/>
      <c r="ILD248"/>
      <c r="ILE248"/>
      <c r="ILF248"/>
      <c r="ILG248"/>
      <c r="ILH248"/>
      <c r="ILI248"/>
      <c r="ILJ248"/>
      <c r="ILK248"/>
      <c r="ILL248"/>
      <c r="ILM248"/>
      <c r="ILN248"/>
      <c r="ILO248"/>
      <c r="ILP248"/>
      <c r="ILQ248"/>
      <c r="ILR248"/>
      <c r="ILS248"/>
      <c r="ILT248"/>
      <c r="ILU248"/>
      <c r="ILV248"/>
      <c r="ILW248"/>
      <c r="ILX248"/>
      <c r="ILY248"/>
      <c r="ILZ248"/>
      <c r="IMA248"/>
      <c r="IMB248"/>
      <c r="IMC248"/>
      <c r="IMD248"/>
      <c r="IME248"/>
      <c r="IMF248"/>
      <c r="IMG248"/>
      <c r="IMH248"/>
      <c r="IMI248"/>
      <c r="IMJ248"/>
      <c r="IMK248"/>
      <c r="IML248"/>
      <c r="IMM248"/>
      <c r="IMN248"/>
      <c r="IMO248"/>
      <c r="IMP248"/>
      <c r="IMQ248"/>
      <c r="IMR248"/>
      <c r="IMS248"/>
      <c r="IMT248"/>
      <c r="IMU248"/>
      <c r="IMV248"/>
      <c r="IMW248"/>
      <c r="IMX248"/>
      <c r="IMY248"/>
      <c r="IMZ248"/>
      <c r="INA248"/>
      <c r="INB248"/>
      <c r="INC248"/>
      <c r="IND248"/>
      <c r="INE248"/>
      <c r="INF248"/>
      <c r="ING248"/>
      <c r="INH248"/>
      <c r="INI248"/>
      <c r="INJ248"/>
      <c r="INK248"/>
      <c r="INL248"/>
      <c r="INM248"/>
      <c r="INN248"/>
      <c r="INO248"/>
      <c r="INP248"/>
      <c r="INQ248"/>
      <c r="INR248"/>
      <c r="INS248"/>
      <c r="INT248"/>
      <c r="INU248"/>
      <c r="INV248"/>
      <c r="INW248"/>
      <c r="INX248"/>
      <c r="INY248"/>
      <c r="INZ248"/>
      <c r="IOA248"/>
      <c r="IOB248"/>
      <c r="IOC248"/>
      <c r="IOD248"/>
      <c r="IOE248"/>
      <c r="IOF248"/>
      <c r="IOG248"/>
      <c r="IOH248"/>
      <c r="IOI248"/>
      <c r="IOJ248"/>
      <c r="IOK248"/>
      <c r="IOL248"/>
      <c r="IOM248"/>
      <c r="ION248"/>
      <c r="IOO248"/>
      <c r="IOP248"/>
      <c r="IOQ248"/>
      <c r="IOR248"/>
      <c r="IOS248"/>
      <c r="IOT248"/>
      <c r="IOU248"/>
      <c r="IOV248"/>
      <c r="IOW248"/>
      <c r="IOX248"/>
      <c r="IOY248"/>
      <c r="IOZ248"/>
      <c r="IPA248"/>
      <c r="IPB248"/>
      <c r="IPC248"/>
      <c r="IPD248"/>
      <c r="IPE248"/>
      <c r="IPF248"/>
      <c r="IPG248"/>
      <c r="IPH248"/>
      <c r="IPI248"/>
      <c r="IPJ248"/>
      <c r="IPK248"/>
      <c r="IPL248"/>
      <c r="IPM248"/>
      <c r="IPN248"/>
      <c r="IPO248"/>
      <c r="IPP248"/>
      <c r="IPQ248"/>
      <c r="IPR248"/>
      <c r="IPS248"/>
      <c r="IPT248"/>
      <c r="IPU248"/>
      <c r="IPV248"/>
      <c r="IPW248"/>
      <c r="IPX248"/>
      <c r="IPY248"/>
      <c r="IPZ248"/>
      <c r="IQA248"/>
      <c r="IQB248"/>
      <c r="IQC248"/>
      <c r="IQD248"/>
      <c r="IQE248"/>
      <c r="IQF248"/>
      <c r="IQG248"/>
      <c r="IQH248"/>
      <c r="IQI248"/>
      <c r="IQJ248"/>
      <c r="IQK248"/>
      <c r="IQL248"/>
      <c r="IQM248"/>
      <c r="IQN248"/>
      <c r="IQO248"/>
      <c r="IQP248"/>
      <c r="IQQ248"/>
      <c r="IQR248"/>
      <c r="IQS248"/>
      <c r="IQT248"/>
      <c r="IQU248"/>
      <c r="IQV248"/>
      <c r="IQW248"/>
      <c r="IQX248"/>
      <c r="IQY248"/>
      <c r="IQZ248"/>
      <c r="IRA248"/>
      <c r="IRB248"/>
      <c r="IRC248"/>
      <c r="IRD248"/>
      <c r="IRE248"/>
      <c r="IRF248"/>
      <c r="IRG248"/>
      <c r="IRH248"/>
      <c r="IRI248"/>
      <c r="IRJ248"/>
      <c r="IRK248"/>
      <c r="IRL248"/>
      <c r="IRM248"/>
      <c r="IRN248"/>
      <c r="IRO248"/>
      <c r="IRP248"/>
      <c r="IRQ248"/>
      <c r="IRR248"/>
      <c r="IRS248"/>
      <c r="IRT248"/>
      <c r="IRU248"/>
      <c r="IRV248"/>
      <c r="IRW248"/>
      <c r="IRX248"/>
      <c r="IRY248"/>
      <c r="IRZ248"/>
      <c r="ISA248"/>
      <c r="ISB248"/>
      <c r="ISC248"/>
      <c r="ISD248"/>
      <c r="ISE248"/>
      <c r="ISF248"/>
      <c r="ISG248"/>
      <c r="ISH248"/>
      <c r="ISI248"/>
      <c r="ISJ248"/>
      <c r="ISK248"/>
      <c r="ISL248"/>
      <c r="ISM248"/>
      <c r="ISN248"/>
      <c r="ISO248"/>
      <c r="ISP248"/>
      <c r="ISQ248"/>
      <c r="ISR248"/>
      <c r="ISS248"/>
      <c r="IST248"/>
      <c r="ISU248"/>
      <c r="ISV248"/>
      <c r="ISW248"/>
      <c r="ISX248"/>
      <c r="ISY248"/>
      <c r="ISZ248"/>
      <c r="ITA248"/>
      <c r="ITB248"/>
      <c r="ITC248"/>
      <c r="ITD248"/>
      <c r="ITE248"/>
      <c r="ITF248"/>
      <c r="ITG248"/>
      <c r="ITH248"/>
      <c r="ITI248"/>
      <c r="ITJ248"/>
      <c r="ITK248"/>
      <c r="ITL248"/>
      <c r="ITM248"/>
      <c r="ITN248"/>
      <c r="ITO248"/>
      <c r="ITP248"/>
      <c r="ITQ248"/>
      <c r="ITR248"/>
      <c r="ITS248"/>
      <c r="ITT248"/>
      <c r="ITU248"/>
      <c r="ITV248"/>
      <c r="ITW248"/>
      <c r="ITX248"/>
      <c r="ITY248"/>
      <c r="ITZ248"/>
      <c r="IUA248"/>
      <c r="IUB248"/>
      <c r="IUC248"/>
      <c r="IUD248"/>
      <c r="IUE248"/>
      <c r="IUF248"/>
      <c r="IUG248"/>
      <c r="IUH248"/>
      <c r="IUI248"/>
      <c r="IUJ248"/>
      <c r="IUK248"/>
      <c r="IUL248"/>
      <c r="IUM248"/>
      <c r="IUN248"/>
      <c r="IUO248"/>
      <c r="IUP248"/>
      <c r="IUQ248"/>
      <c r="IUR248"/>
      <c r="IUS248"/>
      <c r="IUT248"/>
      <c r="IUU248"/>
      <c r="IUV248"/>
      <c r="IUW248"/>
      <c r="IUX248"/>
      <c r="IUY248"/>
      <c r="IUZ248"/>
      <c r="IVA248"/>
      <c r="IVB248"/>
      <c r="IVC248"/>
      <c r="IVD248"/>
      <c r="IVE248"/>
      <c r="IVF248"/>
      <c r="IVG248"/>
      <c r="IVH248"/>
      <c r="IVI248"/>
      <c r="IVJ248"/>
      <c r="IVK248"/>
      <c r="IVL248"/>
      <c r="IVM248"/>
      <c r="IVN248"/>
      <c r="IVO248"/>
      <c r="IVP248"/>
      <c r="IVQ248"/>
      <c r="IVR248"/>
      <c r="IVS248"/>
      <c r="IVT248"/>
      <c r="IVU248"/>
      <c r="IVV248"/>
      <c r="IVW248"/>
      <c r="IVX248"/>
      <c r="IVY248"/>
      <c r="IVZ248"/>
      <c r="IWA248"/>
      <c r="IWB248"/>
      <c r="IWC248"/>
      <c r="IWD248"/>
      <c r="IWE248"/>
      <c r="IWF248"/>
      <c r="IWG248"/>
      <c r="IWH248"/>
      <c r="IWI248"/>
      <c r="IWJ248"/>
      <c r="IWK248"/>
      <c r="IWL248"/>
      <c r="IWM248"/>
      <c r="IWN248"/>
      <c r="IWO248"/>
      <c r="IWP248"/>
      <c r="IWQ248"/>
      <c r="IWR248"/>
      <c r="IWS248"/>
      <c r="IWT248"/>
      <c r="IWU248"/>
      <c r="IWV248"/>
      <c r="IWW248"/>
      <c r="IWX248"/>
      <c r="IWY248"/>
      <c r="IWZ248"/>
      <c r="IXA248"/>
      <c r="IXB248"/>
      <c r="IXC248"/>
      <c r="IXD248"/>
      <c r="IXE248"/>
      <c r="IXF248"/>
      <c r="IXG248"/>
      <c r="IXH248"/>
      <c r="IXI248"/>
      <c r="IXJ248"/>
      <c r="IXK248"/>
      <c r="IXL248"/>
      <c r="IXM248"/>
      <c r="IXN248"/>
      <c r="IXO248"/>
      <c r="IXP248"/>
      <c r="IXQ248"/>
      <c r="IXR248"/>
      <c r="IXS248"/>
      <c r="IXT248"/>
      <c r="IXU248"/>
      <c r="IXV248"/>
      <c r="IXW248"/>
      <c r="IXX248"/>
      <c r="IXY248"/>
      <c r="IXZ248"/>
      <c r="IYA248"/>
      <c r="IYB248"/>
      <c r="IYC248"/>
      <c r="IYD248"/>
      <c r="IYE248"/>
      <c r="IYF248"/>
      <c r="IYG248"/>
      <c r="IYH248"/>
      <c r="IYI248"/>
      <c r="IYJ248"/>
      <c r="IYK248"/>
      <c r="IYL248"/>
      <c r="IYM248"/>
      <c r="IYN248"/>
      <c r="IYO248"/>
      <c r="IYP248"/>
      <c r="IYQ248"/>
      <c r="IYR248"/>
      <c r="IYS248"/>
      <c r="IYT248"/>
      <c r="IYU248"/>
      <c r="IYV248"/>
      <c r="IYW248"/>
      <c r="IYX248"/>
      <c r="IYY248"/>
      <c r="IYZ248"/>
      <c r="IZA248"/>
      <c r="IZB248"/>
      <c r="IZC248"/>
      <c r="IZD248"/>
      <c r="IZE248"/>
      <c r="IZF248"/>
      <c r="IZG248"/>
      <c r="IZH248"/>
      <c r="IZI248"/>
      <c r="IZJ248"/>
      <c r="IZK248"/>
      <c r="IZL248"/>
      <c r="IZM248"/>
      <c r="IZN248"/>
      <c r="IZO248"/>
      <c r="IZP248"/>
      <c r="IZQ248"/>
      <c r="IZR248"/>
      <c r="IZS248"/>
      <c r="IZT248"/>
      <c r="IZU248"/>
      <c r="IZV248"/>
      <c r="IZW248"/>
      <c r="IZX248"/>
      <c r="IZY248"/>
      <c r="IZZ248"/>
      <c r="JAA248"/>
      <c r="JAB248"/>
      <c r="JAC248"/>
      <c r="JAD248"/>
      <c r="JAE248"/>
      <c r="JAF248"/>
      <c r="JAG248"/>
      <c r="JAH248"/>
      <c r="JAI248"/>
      <c r="JAJ248"/>
      <c r="JAK248"/>
      <c r="JAL248"/>
      <c r="JAM248"/>
      <c r="JAN248"/>
      <c r="JAO248"/>
      <c r="JAP248"/>
      <c r="JAQ248"/>
      <c r="JAR248"/>
      <c r="JAS248"/>
      <c r="JAT248"/>
      <c r="JAU248"/>
      <c r="JAV248"/>
      <c r="JAW248"/>
      <c r="JAX248"/>
      <c r="JAY248"/>
      <c r="JAZ248"/>
      <c r="JBA248"/>
      <c r="JBB248"/>
      <c r="JBC248"/>
      <c r="JBD248"/>
      <c r="JBE248"/>
      <c r="JBF248"/>
      <c r="JBG248"/>
      <c r="JBH248"/>
      <c r="JBI248"/>
      <c r="JBJ248"/>
      <c r="JBK248"/>
      <c r="JBL248"/>
      <c r="JBM248"/>
      <c r="JBN248"/>
      <c r="JBO248"/>
      <c r="JBP248"/>
      <c r="JBQ248"/>
      <c r="JBR248"/>
      <c r="JBS248"/>
      <c r="JBT248"/>
      <c r="JBU248"/>
      <c r="JBV248"/>
      <c r="JBW248"/>
      <c r="JBX248"/>
      <c r="JBY248"/>
      <c r="JBZ248"/>
      <c r="JCA248"/>
      <c r="JCB248"/>
      <c r="JCC248"/>
      <c r="JCD248"/>
      <c r="JCE248"/>
      <c r="JCF248"/>
      <c r="JCG248"/>
      <c r="JCH248"/>
      <c r="JCI248"/>
      <c r="JCJ248"/>
      <c r="JCK248"/>
      <c r="JCL248"/>
      <c r="JCM248"/>
      <c r="JCN248"/>
      <c r="JCO248"/>
      <c r="JCP248"/>
      <c r="JCQ248"/>
      <c r="JCR248"/>
      <c r="JCS248"/>
      <c r="JCT248"/>
      <c r="JCU248"/>
      <c r="JCV248"/>
      <c r="JCW248"/>
      <c r="JCX248"/>
      <c r="JCY248"/>
      <c r="JCZ248"/>
      <c r="JDA248"/>
      <c r="JDB248"/>
      <c r="JDC248"/>
      <c r="JDD248"/>
      <c r="JDE248"/>
      <c r="JDF248"/>
      <c r="JDG248"/>
      <c r="JDH248"/>
      <c r="JDI248"/>
      <c r="JDJ248"/>
      <c r="JDK248"/>
      <c r="JDL248"/>
      <c r="JDM248"/>
      <c r="JDN248"/>
      <c r="JDO248"/>
      <c r="JDP248"/>
      <c r="JDQ248"/>
      <c r="JDR248"/>
      <c r="JDS248"/>
      <c r="JDT248"/>
      <c r="JDU248"/>
      <c r="JDV248"/>
      <c r="JDW248"/>
      <c r="JDX248"/>
      <c r="JDY248"/>
      <c r="JDZ248"/>
      <c r="JEA248"/>
      <c r="JEB248"/>
      <c r="JEC248"/>
      <c r="JED248"/>
      <c r="JEE248"/>
      <c r="JEF248"/>
      <c r="JEG248"/>
      <c r="JEH248"/>
      <c r="JEI248"/>
      <c r="JEJ248"/>
      <c r="JEK248"/>
      <c r="JEL248"/>
      <c r="JEM248"/>
      <c r="JEN248"/>
      <c r="JEO248"/>
      <c r="JEP248"/>
      <c r="JEQ248"/>
      <c r="JER248"/>
      <c r="JES248"/>
      <c r="JET248"/>
      <c r="JEU248"/>
      <c r="JEV248"/>
      <c r="JEW248"/>
      <c r="JEX248"/>
      <c r="JEY248"/>
      <c r="JEZ248"/>
      <c r="JFA248"/>
      <c r="JFB248"/>
      <c r="JFC248"/>
      <c r="JFD248"/>
      <c r="JFE248"/>
      <c r="JFF248"/>
      <c r="JFG248"/>
      <c r="JFH248"/>
      <c r="JFI248"/>
      <c r="JFJ248"/>
      <c r="JFK248"/>
      <c r="JFL248"/>
      <c r="JFM248"/>
      <c r="JFN248"/>
      <c r="JFO248"/>
      <c r="JFP248"/>
      <c r="JFQ248"/>
      <c r="JFR248"/>
      <c r="JFS248"/>
      <c r="JFT248"/>
      <c r="JFU248"/>
      <c r="JFV248"/>
      <c r="JFW248"/>
      <c r="JFX248"/>
      <c r="JFY248"/>
      <c r="JFZ248"/>
      <c r="JGA248"/>
      <c r="JGB248"/>
      <c r="JGC248"/>
      <c r="JGD248"/>
      <c r="JGE248"/>
      <c r="JGF248"/>
      <c r="JGG248"/>
      <c r="JGH248"/>
      <c r="JGI248"/>
      <c r="JGJ248"/>
      <c r="JGK248"/>
      <c r="JGL248"/>
      <c r="JGM248"/>
      <c r="JGN248"/>
      <c r="JGO248"/>
      <c r="JGP248"/>
      <c r="JGQ248"/>
      <c r="JGR248"/>
      <c r="JGS248"/>
      <c r="JGT248"/>
      <c r="JGU248"/>
      <c r="JGV248"/>
      <c r="JGW248"/>
      <c r="JGX248"/>
      <c r="JGY248"/>
      <c r="JGZ248"/>
      <c r="JHA248"/>
      <c r="JHB248"/>
      <c r="JHC248"/>
      <c r="JHD248"/>
      <c r="JHE248"/>
      <c r="JHF248"/>
      <c r="JHG248"/>
      <c r="JHH248"/>
      <c r="JHI248"/>
      <c r="JHJ248"/>
      <c r="JHK248"/>
      <c r="JHL248"/>
      <c r="JHM248"/>
      <c r="JHN248"/>
      <c r="JHO248"/>
      <c r="JHP248"/>
      <c r="JHQ248"/>
      <c r="JHR248"/>
      <c r="JHS248"/>
      <c r="JHT248"/>
      <c r="JHU248"/>
      <c r="JHV248"/>
      <c r="JHW248"/>
      <c r="JHX248"/>
      <c r="JHY248"/>
      <c r="JHZ248"/>
      <c r="JIA248"/>
      <c r="JIB248"/>
      <c r="JIC248"/>
      <c r="JID248"/>
      <c r="JIE248"/>
      <c r="JIF248"/>
      <c r="JIG248"/>
      <c r="JIH248"/>
      <c r="JII248"/>
      <c r="JIJ248"/>
      <c r="JIK248"/>
      <c r="JIL248"/>
      <c r="JIM248"/>
      <c r="JIN248"/>
      <c r="JIO248"/>
      <c r="JIP248"/>
      <c r="JIQ248"/>
      <c r="JIR248"/>
      <c r="JIS248"/>
      <c r="JIT248"/>
      <c r="JIU248"/>
      <c r="JIV248"/>
      <c r="JIW248"/>
      <c r="JIX248"/>
      <c r="JIY248"/>
      <c r="JIZ248"/>
      <c r="JJA248"/>
      <c r="JJB248"/>
      <c r="JJC248"/>
      <c r="JJD248"/>
      <c r="JJE248"/>
      <c r="JJF248"/>
      <c r="JJG248"/>
      <c r="JJH248"/>
      <c r="JJI248"/>
      <c r="JJJ248"/>
      <c r="JJK248"/>
      <c r="JJL248"/>
      <c r="JJM248"/>
      <c r="JJN248"/>
      <c r="JJO248"/>
      <c r="JJP248"/>
      <c r="JJQ248"/>
      <c r="JJR248"/>
      <c r="JJS248"/>
      <c r="JJT248"/>
      <c r="JJU248"/>
      <c r="JJV248"/>
      <c r="JJW248"/>
      <c r="JJX248"/>
      <c r="JJY248"/>
      <c r="JJZ248"/>
      <c r="JKA248"/>
      <c r="JKB248"/>
      <c r="JKC248"/>
      <c r="JKD248"/>
      <c r="JKE248"/>
      <c r="JKF248"/>
      <c r="JKG248"/>
      <c r="JKH248"/>
      <c r="JKI248"/>
      <c r="JKJ248"/>
      <c r="JKK248"/>
      <c r="JKL248"/>
      <c r="JKM248"/>
      <c r="JKN248"/>
      <c r="JKO248"/>
      <c r="JKP248"/>
      <c r="JKQ248"/>
      <c r="JKR248"/>
      <c r="JKS248"/>
      <c r="JKT248"/>
      <c r="JKU248"/>
      <c r="JKV248"/>
      <c r="JKW248"/>
      <c r="JKX248"/>
      <c r="JKY248"/>
      <c r="JKZ248"/>
      <c r="JLA248"/>
      <c r="JLB248"/>
      <c r="JLC248"/>
      <c r="JLD248"/>
      <c r="JLE248"/>
      <c r="JLF248"/>
      <c r="JLG248"/>
      <c r="JLH248"/>
      <c r="JLI248"/>
      <c r="JLJ248"/>
      <c r="JLK248"/>
      <c r="JLL248"/>
      <c r="JLM248"/>
      <c r="JLN248"/>
      <c r="JLO248"/>
      <c r="JLP248"/>
      <c r="JLQ248"/>
      <c r="JLR248"/>
      <c r="JLS248"/>
      <c r="JLT248"/>
      <c r="JLU248"/>
      <c r="JLV248"/>
      <c r="JLW248"/>
      <c r="JLX248"/>
      <c r="JLY248"/>
      <c r="JLZ248"/>
      <c r="JMA248"/>
      <c r="JMB248"/>
      <c r="JMC248"/>
      <c r="JMD248"/>
      <c r="JME248"/>
      <c r="JMF248"/>
      <c r="JMG248"/>
      <c r="JMH248"/>
      <c r="JMI248"/>
      <c r="JMJ248"/>
      <c r="JMK248"/>
      <c r="JML248"/>
      <c r="JMM248"/>
      <c r="JMN248"/>
      <c r="JMO248"/>
      <c r="JMP248"/>
      <c r="JMQ248"/>
      <c r="JMR248"/>
      <c r="JMS248"/>
      <c r="JMT248"/>
      <c r="JMU248"/>
      <c r="JMV248"/>
      <c r="JMW248"/>
      <c r="JMX248"/>
      <c r="JMY248"/>
      <c r="JMZ248"/>
      <c r="JNA248"/>
      <c r="JNB248"/>
      <c r="JNC248"/>
      <c r="JND248"/>
      <c r="JNE248"/>
      <c r="JNF248"/>
      <c r="JNG248"/>
      <c r="JNH248"/>
      <c r="JNI248"/>
      <c r="JNJ248"/>
      <c r="JNK248"/>
      <c r="JNL248"/>
      <c r="JNM248"/>
      <c r="JNN248"/>
      <c r="JNO248"/>
      <c r="JNP248"/>
      <c r="JNQ248"/>
      <c r="JNR248"/>
      <c r="JNS248"/>
      <c r="JNT248"/>
      <c r="JNU248"/>
      <c r="JNV248"/>
      <c r="JNW248"/>
      <c r="JNX248"/>
      <c r="JNY248"/>
      <c r="JNZ248"/>
      <c r="JOA248"/>
      <c r="JOB248"/>
      <c r="JOC248"/>
      <c r="JOD248"/>
      <c r="JOE248"/>
      <c r="JOF248"/>
      <c r="JOG248"/>
      <c r="JOH248"/>
      <c r="JOI248"/>
      <c r="JOJ248"/>
      <c r="JOK248"/>
      <c r="JOL248"/>
      <c r="JOM248"/>
      <c r="JON248"/>
      <c r="JOO248"/>
      <c r="JOP248"/>
      <c r="JOQ248"/>
      <c r="JOR248"/>
      <c r="JOS248"/>
      <c r="JOT248"/>
      <c r="JOU248"/>
      <c r="JOV248"/>
      <c r="JOW248"/>
      <c r="JOX248"/>
      <c r="JOY248"/>
      <c r="JOZ248"/>
      <c r="JPA248"/>
      <c r="JPB248"/>
      <c r="JPC248"/>
      <c r="JPD248"/>
      <c r="JPE248"/>
      <c r="JPF248"/>
      <c r="JPG248"/>
      <c r="JPH248"/>
      <c r="JPI248"/>
      <c r="JPJ248"/>
      <c r="JPK248"/>
      <c r="JPL248"/>
      <c r="JPM248"/>
      <c r="JPN248"/>
      <c r="JPO248"/>
      <c r="JPP248"/>
      <c r="JPQ248"/>
      <c r="JPR248"/>
      <c r="JPS248"/>
      <c r="JPT248"/>
      <c r="JPU248"/>
      <c r="JPV248"/>
      <c r="JPW248"/>
      <c r="JPX248"/>
      <c r="JPY248"/>
      <c r="JPZ248"/>
      <c r="JQA248"/>
      <c r="JQB248"/>
      <c r="JQC248"/>
      <c r="JQD248"/>
      <c r="JQE248"/>
      <c r="JQF248"/>
      <c r="JQG248"/>
      <c r="JQH248"/>
      <c r="JQI248"/>
      <c r="JQJ248"/>
      <c r="JQK248"/>
      <c r="JQL248"/>
      <c r="JQM248"/>
      <c r="JQN248"/>
      <c r="JQO248"/>
      <c r="JQP248"/>
      <c r="JQQ248"/>
      <c r="JQR248"/>
      <c r="JQS248"/>
      <c r="JQT248"/>
      <c r="JQU248"/>
      <c r="JQV248"/>
      <c r="JQW248"/>
      <c r="JQX248"/>
      <c r="JQY248"/>
      <c r="JQZ248"/>
      <c r="JRA248"/>
      <c r="JRB248"/>
      <c r="JRC248"/>
      <c r="JRD248"/>
      <c r="JRE248"/>
      <c r="JRF248"/>
      <c r="JRG248"/>
      <c r="JRH248"/>
      <c r="JRI248"/>
      <c r="JRJ248"/>
      <c r="JRK248"/>
      <c r="JRL248"/>
      <c r="JRM248"/>
      <c r="JRN248"/>
      <c r="JRO248"/>
      <c r="JRP248"/>
      <c r="JRQ248"/>
      <c r="JRR248"/>
      <c r="JRS248"/>
      <c r="JRT248"/>
      <c r="JRU248"/>
      <c r="JRV248"/>
      <c r="JRW248"/>
      <c r="JRX248"/>
      <c r="JRY248"/>
      <c r="JRZ248"/>
      <c r="JSA248"/>
      <c r="JSB248"/>
      <c r="JSC248"/>
      <c r="JSD248"/>
      <c r="JSE248"/>
      <c r="JSF248"/>
      <c r="JSG248"/>
      <c r="JSH248"/>
      <c r="JSI248"/>
      <c r="JSJ248"/>
      <c r="JSK248"/>
      <c r="JSL248"/>
      <c r="JSM248"/>
      <c r="JSN248"/>
      <c r="JSO248"/>
      <c r="JSP248"/>
      <c r="JSQ248"/>
      <c r="JSR248"/>
      <c r="JSS248"/>
      <c r="JST248"/>
      <c r="JSU248"/>
      <c r="JSV248"/>
      <c r="JSW248"/>
      <c r="JSX248"/>
      <c r="JSY248"/>
      <c r="JSZ248"/>
      <c r="JTA248"/>
      <c r="JTB248"/>
      <c r="JTC248"/>
      <c r="JTD248"/>
      <c r="JTE248"/>
      <c r="JTF248"/>
      <c r="JTG248"/>
      <c r="JTH248"/>
      <c r="JTI248"/>
      <c r="JTJ248"/>
      <c r="JTK248"/>
      <c r="JTL248"/>
      <c r="JTM248"/>
      <c r="JTN248"/>
      <c r="JTO248"/>
      <c r="JTP248"/>
      <c r="JTQ248"/>
      <c r="JTR248"/>
      <c r="JTS248"/>
      <c r="JTT248"/>
      <c r="JTU248"/>
      <c r="JTV248"/>
      <c r="JTW248"/>
      <c r="JTX248"/>
      <c r="JTY248"/>
      <c r="JTZ248"/>
      <c r="JUA248"/>
      <c r="JUB248"/>
      <c r="JUC248"/>
      <c r="JUD248"/>
      <c r="JUE248"/>
      <c r="JUF248"/>
      <c r="JUG248"/>
      <c r="JUH248"/>
      <c r="JUI248"/>
      <c r="JUJ248"/>
      <c r="JUK248"/>
      <c r="JUL248"/>
      <c r="JUM248"/>
      <c r="JUN248"/>
      <c r="JUO248"/>
      <c r="JUP248"/>
      <c r="JUQ248"/>
      <c r="JUR248"/>
      <c r="JUS248"/>
      <c r="JUT248"/>
      <c r="JUU248"/>
      <c r="JUV248"/>
      <c r="JUW248"/>
      <c r="JUX248"/>
      <c r="JUY248"/>
      <c r="JUZ248"/>
      <c r="JVA248"/>
      <c r="JVB248"/>
      <c r="JVC248"/>
      <c r="JVD248"/>
      <c r="JVE248"/>
      <c r="JVF248"/>
      <c r="JVG248"/>
      <c r="JVH248"/>
      <c r="JVI248"/>
      <c r="JVJ248"/>
      <c r="JVK248"/>
      <c r="JVL248"/>
      <c r="JVM248"/>
      <c r="JVN248"/>
      <c r="JVO248"/>
      <c r="JVP248"/>
      <c r="JVQ248"/>
      <c r="JVR248"/>
      <c r="JVS248"/>
      <c r="JVT248"/>
      <c r="JVU248"/>
      <c r="JVV248"/>
      <c r="JVW248"/>
      <c r="JVX248"/>
      <c r="JVY248"/>
      <c r="JVZ248"/>
      <c r="JWA248"/>
      <c r="JWB248"/>
      <c r="JWC248"/>
      <c r="JWD248"/>
      <c r="JWE248"/>
      <c r="JWF248"/>
      <c r="JWG248"/>
      <c r="JWH248"/>
      <c r="JWI248"/>
      <c r="JWJ248"/>
      <c r="JWK248"/>
      <c r="JWL248"/>
      <c r="JWM248"/>
      <c r="JWN248"/>
      <c r="JWO248"/>
      <c r="JWP248"/>
      <c r="JWQ248"/>
      <c r="JWR248"/>
      <c r="JWS248"/>
      <c r="JWT248"/>
      <c r="JWU248"/>
      <c r="JWV248"/>
      <c r="JWW248"/>
      <c r="JWX248"/>
      <c r="JWY248"/>
      <c r="JWZ248"/>
      <c r="JXA248"/>
      <c r="JXB248"/>
      <c r="JXC248"/>
      <c r="JXD248"/>
      <c r="JXE248"/>
      <c r="JXF248"/>
      <c r="JXG248"/>
      <c r="JXH248"/>
      <c r="JXI248"/>
      <c r="JXJ248"/>
      <c r="JXK248"/>
      <c r="JXL248"/>
      <c r="JXM248"/>
      <c r="JXN248"/>
      <c r="JXO248"/>
      <c r="JXP248"/>
      <c r="JXQ248"/>
      <c r="JXR248"/>
      <c r="JXS248"/>
      <c r="JXT248"/>
      <c r="JXU248"/>
      <c r="JXV248"/>
      <c r="JXW248"/>
      <c r="JXX248"/>
      <c r="JXY248"/>
      <c r="JXZ248"/>
      <c r="JYA248"/>
      <c r="JYB248"/>
      <c r="JYC248"/>
      <c r="JYD248"/>
      <c r="JYE248"/>
      <c r="JYF248"/>
      <c r="JYG248"/>
      <c r="JYH248"/>
      <c r="JYI248"/>
      <c r="JYJ248"/>
      <c r="JYK248"/>
      <c r="JYL248"/>
      <c r="JYM248"/>
      <c r="JYN248"/>
      <c r="JYO248"/>
      <c r="JYP248"/>
      <c r="JYQ248"/>
      <c r="JYR248"/>
      <c r="JYS248"/>
      <c r="JYT248"/>
      <c r="JYU248"/>
      <c r="JYV248"/>
      <c r="JYW248"/>
      <c r="JYX248"/>
      <c r="JYY248"/>
      <c r="JYZ248"/>
      <c r="JZA248"/>
      <c r="JZB248"/>
      <c r="JZC248"/>
      <c r="JZD248"/>
      <c r="JZE248"/>
      <c r="JZF248"/>
      <c r="JZG248"/>
      <c r="JZH248"/>
      <c r="JZI248"/>
      <c r="JZJ248"/>
      <c r="JZK248"/>
      <c r="JZL248"/>
      <c r="JZM248"/>
      <c r="JZN248"/>
      <c r="JZO248"/>
      <c r="JZP248"/>
      <c r="JZQ248"/>
      <c r="JZR248"/>
      <c r="JZS248"/>
      <c r="JZT248"/>
      <c r="JZU248"/>
      <c r="JZV248"/>
      <c r="JZW248"/>
      <c r="JZX248"/>
      <c r="JZY248"/>
      <c r="JZZ248"/>
      <c r="KAA248"/>
      <c r="KAB248"/>
      <c r="KAC248"/>
      <c r="KAD248"/>
      <c r="KAE248"/>
      <c r="KAF248"/>
      <c r="KAG248"/>
      <c r="KAH248"/>
      <c r="KAI248"/>
      <c r="KAJ248"/>
      <c r="KAK248"/>
      <c r="KAL248"/>
      <c r="KAM248"/>
      <c r="KAN248"/>
      <c r="KAO248"/>
      <c r="KAP248"/>
      <c r="KAQ248"/>
      <c r="KAR248"/>
      <c r="KAS248"/>
      <c r="KAT248"/>
      <c r="KAU248"/>
      <c r="KAV248"/>
      <c r="KAW248"/>
      <c r="KAX248"/>
      <c r="KAY248"/>
      <c r="KAZ248"/>
      <c r="KBA248"/>
      <c r="KBB248"/>
      <c r="KBC248"/>
      <c r="KBD248"/>
      <c r="KBE248"/>
      <c r="KBF248"/>
      <c r="KBG248"/>
      <c r="KBH248"/>
      <c r="KBI248"/>
      <c r="KBJ248"/>
      <c r="KBK248"/>
      <c r="KBL248"/>
      <c r="KBM248"/>
      <c r="KBN248"/>
      <c r="KBO248"/>
      <c r="KBP248"/>
      <c r="KBQ248"/>
      <c r="KBR248"/>
      <c r="KBS248"/>
      <c r="KBT248"/>
      <c r="KBU248"/>
      <c r="KBV248"/>
      <c r="KBW248"/>
      <c r="KBX248"/>
      <c r="KBY248"/>
      <c r="KBZ248"/>
      <c r="KCA248"/>
      <c r="KCB248"/>
      <c r="KCC248"/>
      <c r="KCD248"/>
      <c r="KCE248"/>
      <c r="KCF248"/>
      <c r="KCG248"/>
      <c r="KCH248"/>
      <c r="KCI248"/>
      <c r="KCJ248"/>
      <c r="KCK248"/>
      <c r="KCL248"/>
      <c r="KCM248"/>
      <c r="KCN248"/>
      <c r="KCO248"/>
      <c r="KCP248"/>
      <c r="KCQ248"/>
      <c r="KCR248"/>
      <c r="KCS248"/>
      <c r="KCT248"/>
      <c r="KCU248"/>
      <c r="KCV248"/>
      <c r="KCW248"/>
      <c r="KCX248"/>
      <c r="KCY248"/>
      <c r="KCZ248"/>
      <c r="KDA248"/>
      <c r="KDB248"/>
      <c r="KDC248"/>
      <c r="KDD248"/>
      <c r="KDE248"/>
      <c r="KDF248"/>
      <c r="KDG248"/>
      <c r="KDH248"/>
      <c r="KDI248"/>
      <c r="KDJ248"/>
      <c r="KDK248"/>
      <c r="KDL248"/>
      <c r="KDM248"/>
      <c r="KDN248"/>
      <c r="KDO248"/>
      <c r="KDP248"/>
      <c r="KDQ248"/>
      <c r="KDR248"/>
      <c r="KDS248"/>
      <c r="KDT248"/>
      <c r="KDU248"/>
      <c r="KDV248"/>
      <c r="KDW248"/>
      <c r="KDX248"/>
      <c r="KDY248"/>
      <c r="KDZ248"/>
      <c r="KEA248"/>
      <c r="KEB248"/>
      <c r="KEC248"/>
      <c r="KED248"/>
      <c r="KEE248"/>
      <c r="KEF248"/>
      <c r="KEG248"/>
      <c r="KEH248"/>
      <c r="KEI248"/>
      <c r="KEJ248"/>
      <c r="KEK248"/>
      <c r="KEL248"/>
      <c r="KEM248"/>
      <c r="KEN248"/>
      <c r="KEO248"/>
      <c r="KEP248"/>
      <c r="KEQ248"/>
      <c r="KER248"/>
      <c r="KES248"/>
      <c r="KET248"/>
      <c r="KEU248"/>
      <c r="KEV248"/>
      <c r="KEW248"/>
      <c r="KEX248"/>
      <c r="KEY248"/>
      <c r="KEZ248"/>
      <c r="KFA248"/>
      <c r="KFB248"/>
      <c r="KFC248"/>
      <c r="KFD248"/>
      <c r="KFE248"/>
      <c r="KFF248"/>
      <c r="KFG248"/>
      <c r="KFH248"/>
      <c r="KFI248"/>
      <c r="KFJ248"/>
      <c r="KFK248"/>
      <c r="KFL248"/>
      <c r="KFM248"/>
      <c r="KFN248"/>
      <c r="KFO248"/>
      <c r="KFP248"/>
      <c r="KFQ248"/>
      <c r="KFR248"/>
      <c r="KFS248"/>
      <c r="KFT248"/>
      <c r="KFU248"/>
      <c r="KFV248"/>
      <c r="KFW248"/>
      <c r="KFX248"/>
      <c r="KFY248"/>
      <c r="KFZ248"/>
      <c r="KGA248"/>
      <c r="KGB248"/>
      <c r="KGC248"/>
      <c r="KGD248"/>
      <c r="KGE248"/>
      <c r="KGF248"/>
      <c r="KGG248"/>
      <c r="KGH248"/>
      <c r="KGI248"/>
      <c r="KGJ248"/>
      <c r="KGK248"/>
      <c r="KGL248"/>
      <c r="KGM248"/>
      <c r="KGN248"/>
      <c r="KGO248"/>
      <c r="KGP248"/>
      <c r="KGQ248"/>
      <c r="KGR248"/>
      <c r="KGS248"/>
      <c r="KGT248"/>
      <c r="KGU248"/>
      <c r="KGV248"/>
      <c r="KGW248"/>
      <c r="KGX248"/>
      <c r="KGY248"/>
      <c r="KGZ248"/>
      <c r="KHA248"/>
      <c r="KHB248"/>
      <c r="KHC248"/>
      <c r="KHD248"/>
      <c r="KHE248"/>
      <c r="KHF248"/>
      <c r="KHG248"/>
      <c r="KHH248"/>
      <c r="KHI248"/>
      <c r="KHJ248"/>
      <c r="KHK248"/>
      <c r="KHL248"/>
      <c r="KHM248"/>
      <c r="KHN248"/>
      <c r="KHO248"/>
      <c r="KHP248"/>
      <c r="KHQ248"/>
      <c r="KHR248"/>
      <c r="KHS248"/>
      <c r="KHT248"/>
      <c r="KHU248"/>
      <c r="KHV248"/>
      <c r="KHW248"/>
      <c r="KHX248"/>
      <c r="KHY248"/>
      <c r="KHZ248"/>
      <c r="KIA248"/>
      <c r="KIB248"/>
      <c r="KIC248"/>
      <c r="KID248"/>
      <c r="KIE248"/>
      <c r="KIF248"/>
      <c r="KIG248"/>
      <c r="KIH248"/>
      <c r="KII248"/>
      <c r="KIJ248"/>
      <c r="KIK248"/>
      <c r="KIL248"/>
      <c r="KIM248"/>
      <c r="KIN248"/>
      <c r="KIO248"/>
      <c r="KIP248"/>
      <c r="KIQ248"/>
      <c r="KIR248"/>
      <c r="KIS248"/>
      <c r="KIT248"/>
      <c r="KIU248"/>
      <c r="KIV248"/>
      <c r="KIW248"/>
      <c r="KIX248"/>
      <c r="KIY248"/>
      <c r="KIZ248"/>
      <c r="KJA248"/>
      <c r="KJB248"/>
      <c r="KJC248"/>
      <c r="KJD248"/>
      <c r="KJE248"/>
      <c r="KJF248"/>
      <c r="KJG248"/>
      <c r="KJH248"/>
      <c r="KJI248"/>
      <c r="KJJ248"/>
      <c r="KJK248"/>
      <c r="KJL248"/>
      <c r="KJM248"/>
      <c r="KJN248"/>
      <c r="KJO248"/>
      <c r="KJP248"/>
      <c r="KJQ248"/>
      <c r="KJR248"/>
      <c r="KJS248"/>
      <c r="KJT248"/>
      <c r="KJU248"/>
      <c r="KJV248"/>
      <c r="KJW248"/>
      <c r="KJX248"/>
      <c r="KJY248"/>
      <c r="KJZ248"/>
      <c r="KKA248"/>
      <c r="KKB248"/>
      <c r="KKC248"/>
      <c r="KKD248"/>
      <c r="KKE248"/>
      <c r="KKF248"/>
      <c r="KKG248"/>
      <c r="KKH248"/>
      <c r="KKI248"/>
      <c r="KKJ248"/>
      <c r="KKK248"/>
      <c r="KKL248"/>
      <c r="KKM248"/>
      <c r="KKN248"/>
      <c r="KKO248"/>
      <c r="KKP248"/>
      <c r="KKQ248"/>
      <c r="KKR248"/>
      <c r="KKS248"/>
      <c r="KKT248"/>
      <c r="KKU248"/>
      <c r="KKV248"/>
      <c r="KKW248"/>
      <c r="KKX248"/>
      <c r="KKY248"/>
      <c r="KKZ248"/>
      <c r="KLA248"/>
      <c r="KLB248"/>
      <c r="KLC248"/>
      <c r="KLD248"/>
      <c r="KLE248"/>
      <c r="KLF248"/>
      <c r="KLG248"/>
      <c r="KLH248"/>
      <c r="KLI248"/>
      <c r="KLJ248"/>
      <c r="KLK248"/>
      <c r="KLL248"/>
      <c r="KLM248"/>
      <c r="KLN248"/>
      <c r="KLO248"/>
      <c r="KLP248"/>
      <c r="KLQ248"/>
      <c r="KLR248"/>
      <c r="KLS248"/>
      <c r="KLT248"/>
      <c r="KLU248"/>
      <c r="KLV248"/>
      <c r="KLW248"/>
      <c r="KLX248"/>
      <c r="KLY248"/>
      <c r="KLZ248"/>
      <c r="KMA248"/>
      <c r="KMB248"/>
      <c r="KMC248"/>
      <c r="KMD248"/>
      <c r="KME248"/>
      <c r="KMF248"/>
      <c r="KMG248"/>
      <c r="KMH248"/>
      <c r="KMI248"/>
      <c r="KMJ248"/>
      <c r="KMK248"/>
      <c r="KML248"/>
      <c r="KMM248"/>
      <c r="KMN248"/>
      <c r="KMO248"/>
      <c r="KMP248"/>
      <c r="KMQ248"/>
      <c r="KMR248"/>
      <c r="KMS248"/>
      <c r="KMT248"/>
      <c r="KMU248"/>
      <c r="KMV248"/>
      <c r="KMW248"/>
      <c r="KMX248"/>
      <c r="KMY248"/>
      <c r="KMZ248"/>
      <c r="KNA248"/>
      <c r="KNB248"/>
      <c r="KNC248"/>
      <c r="KND248"/>
      <c r="KNE248"/>
      <c r="KNF248"/>
      <c r="KNG248"/>
      <c r="KNH248"/>
      <c r="KNI248"/>
      <c r="KNJ248"/>
      <c r="KNK248"/>
      <c r="KNL248"/>
      <c r="KNM248"/>
      <c r="KNN248"/>
      <c r="KNO248"/>
      <c r="KNP248"/>
      <c r="KNQ248"/>
      <c r="KNR248"/>
      <c r="KNS248"/>
      <c r="KNT248"/>
      <c r="KNU248"/>
      <c r="KNV248"/>
      <c r="KNW248"/>
      <c r="KNX248"/>
      <c r="KNY248"/>
      <c r="KNZ248"/>
      <c r="KOA248"/>
      <c r="KOB248"/>
      <c r="KOC248"/>
      <c r="KOD248"/>
      <c r="KOE248"/>
      <c r="KOF248"/>
      <c r="KOG248"/>
      <c r="KOH248"/>
      <c r="KOI248"/>
      <c r="KOJ248"/>
      <c r="KOK248"/>
      <c r="KOL248"/>
      <c r="KOM248"/>
      <c r="KON248"/>
      <c r="KOO248"/>
      <c r="KOP248"/>
      <c r="KOQ248"/>
      <c r="KOR248"/>
      <c r="KOS248"/>
      <c r="KOT248"/>
      <c r="KOU248"/>
      <c r="KOV248"/>
      <c r="KOW248"/>
      <c r="KOX248"/>
      <c r="KOY248"/>
      <c r="KOZ248"/>
      <c r="KPA248"/>
      <c r="KPB248"/>
      <c r="KPC248"/>
      <c r="KPD248"/>
      <c r="KPE248"/>
      <c r="KPF248"/>
      <c r="KPG248"/>
      <c r="KPH248"/>
      <c r="KPI248"/>
      <c r="KPJ248"/>
      <c r="KPK248"/>
      <c r="KPL248"/>
      <c r="KPM248"/>
      <c r="KPN248"/>
      <c r="KPO248"/>
      <c r="KPP248"/>
      <c r="KPQ248"/>
      <c r="KPR248"/>
      <c r="KPS248"/>
      <c r="KPT248"/>
      <c r="KPU248"/>
      <c r="KPV248"/>
      <c r="KPW248"/>
      <c r="KPX248"/>
      <c r="KPY248"/>
      <c r="KPZ248"/>
      <c r="KQA248"/>
      <c r="KQB248"/>
      <c r="KQC248"/>
      <c r="KQD248"/>
      <c r="KQE248"/>
      <c r="KQF248"/>
      <c r="KQG248"/>
      <c r="KQH248"/>
      <c r="KQI248"/>
      <c r="KQJ248"/>
      <c r="KQK248"/>
      <c r="KQL248"/>
      <c r="KQM248"/>
      <c r="KQN248"/>
      <c r="KQO248"/>
      <c r="KQP248"/>
      <c r="KQQ248"/>
      <c r="KQR248"/>
      <c r="KQS248"/>
      <c r="KQT248"/>
      <c r="KQU248"/>
      <c r="KQV248"/>
      <c r="KQW248"/>
      <c r="KQX248"/>
      <c r="KQY248"/>
      <c r="KQZ248"/>
      <c r="KRA248"/>
      <c r="KRB248"/>
      <c r="KRC248"/>
      <c r="KRD248"/>
      <c r="KRE248"/>
      <c r="KRF248"/>
      <c r="KRG248"/>
      <c r="KRH248"/>
      <c r="KRI248"/>
      <c r="KRJ248"/>
      <c r="KRK248"/>
      <c r="KRL248"/>
      <c r="KRM248"/>
      <c r="KRN248"/>
      <c r="KRO248"/>
      <c r="KRP248"/>
      <c r="KRQ248"/>
      <c r="KRR248"/>
      <c r="KRS248"/>
      <c r="KRT248"/>
      <c r="KRU248"/>
      <c r="KRV248"/>
      <c r="KRW248"/>
      <c r="KRX248"/>
      <c r="KRY248"/>
      <c r="KRZ248"/>
      <c r="KSA248"/>
      <c r="KSB248"/>
      <c r="KSC248"/>
      <c r="KSD248"/>
      <c r="KSE248"/>
      <c r="KSF248"/>
      <c r="KSG248"/>
      <c r="KSH248"/>
      <c r="KSI248"/>
      <c r="KSJ248"/>
      <c r="KSK248"/>
      <c r="KSL248"/>
      <c r="KSM248"/>
      <c r="KSN248"/>
      <c r="KSO248"/>
      <c r="KSP248"/>
      <c r="KSQ248"/>
      <c r="KSR248"/>
      <c r="KSS248"/>
      <c r="KST248"/>
      <c r="KSU248"/>
      <c r="KSV248"/>
      <c r="KSW248"/>
      <c r="KSX248"/>
      <c r="KSY248"/>
      <c r="KSZ248"/>
      <c r="KTA248"/>
      <c r="KTB248"/>
      <c r="KTC248"/>
      <c r="KTD248"/>
      <c r="KTE248"/>
      <c r="KTF248"/>
      <c r="KTG248"/>
      <c r="KTH248"/>
      <c r="KTI248"/>
      <c r="KTJ248"/>
      <c r="KTK248"/>
      <c r="KTL248"/>
      <c r="KTM248"/>
      <c r="KTN248"/>
      <c r="KTO248"/>
      <c r="KTP248"/>
      <c r="KTQ248"/>
      <c r="KTR248"/>
      <c r="KTS248"/>
      <c r="KTT248"/>
      <c r="KTU248"/>
      <c r="KTV248"/>
      <c r="KTW248"/>
      <c r="KTX248"/>
      <c r="KTY248"/>
      <c r="KTZ248"/>
      <c r="KUA248"/>
      <c r="KUB248"/>
      <c r="KUC248"/>
      <c r="KUD248"/>
      <c r="KUE248"/>
      <c r="KUF248"/>
      <c r="KUG248"/>
      <c r="KUH248"/>
      <c r="KUI248"/>
      <c r="KUJ248"/>
      <c r="KUK248"/>
      <c r="KUL248"/>
      <c r="KUM248"/>
      <c r="KUN248"/>
      <c r="KUO248"/>
      <c r="KUP248"/>
      <c r="KUQ248"/>
      <c r="KUR248"/>
      <c r="KUS248"/>
      <c r="KUT248"/>
      <c r="KUU248"/>
      <c r="KUV248"/>
      <c r="KUW248"/>
      <c r="KUX248"/>
      <c r="KUY248"/>
      <c r="KUZ248"/>
      <c r="KVA248"/>
      <c r="KVB248"/>
      <c r="KVC248"/>
      <c r="KVD248"/>
      <c r="KVE248"/>
      <c r="KVF248"/>
      <c r="KVG248"/>
      <c r="KVH248"/>
      <c r="KVI248"/>
      <c r="KVJ248"/>
      <c r="KVK248"/>
      <c r="KVL248"/>
      <c r="KVM248"/>
      <c r="KVN248"/>
      <c r="KVO248"/>
      <c r="KVP248"/>
      <c r="KVQ248"/>
      <c r="KVR248"/>
      <c r="KVS248"/>
      <c r="KVT248"/>
      <c r="KVU248"/>
      <c r="KVV248"/>
      <c r="KVW248"/>
      <c r="KVX248"/>
      <c r="KVY248"/>
      <c r="KVZ248"/>
      <c r="KWA248"/>
      <c r="KWB248"/>
      <c r="KWC248"/>
      <c r="KWD248"/>
      <c r="KWE248"/>
      <c r="KWF248"/>
      <c r="KWG248"/>
      <c r="KWH248"/>
      <c r="KWI248"/>
      <c r="KWJ248"/>
      <c r="KWK248"/>
      <c r="KWL248"/>
      <c r="KWM248"/>
      <c r="KWN248"/>
      <c r="KWO248"/>
      <c r="KWP248"/>
      <c r="KWQ248"/>
      <c r="KWR248"/>
      <c r="KWS248"/>
      <c r="KWT248"/>
      <c r="KWU248"/>
      <c r="KWV248"/>
      <c r="KWW248"/>
      <c r="KWX248"/>
      <c r="KWY248"/>
      <c r="KWZ248"/>
      <c r="KXA248"/>
      <c r="KXB248"/>
      <c r="KXC248"/>
      <c r="KXD248"/>
      <c r="KXE248"/>
      <c r="KXF248"/>
      <c r="KXG248"/>
      <c r="KXH248"/>
      <c r="KXI248"/>
      <c r="KXJ248"/>
      <c r="KXK248"/>
      <c r="KXL248"/>
      <c r="KXM248"/>
      <c r="KXN248"/>
      <c r="KXO248"/>
      <c r="KXP248"/>
      <c r="KXQ248"/>
      <c r="KXR248"/>
      <c r="KXS248"/>
      <c r="KXT248"/>
      <c r="KXU248"/>
      <c r="KXV248"/>
      <c r="KXW248"/>
      <c r="KXX248"/>
      <c r="KXY248"/>
      <c r="KXZ248"/>
      <c r="KYA248"/>
      <c r="KYB248"/>
      <c r="KYC248"/>
      <c r="KYD248"/>
      <c r="KYE248"/>
      <c r="KYF248"/>
      <c r="KYG248"/>
      <c r="KYH248"/>
      <c r="KYI248"/>
      <c r="KYJ248"/>
      <c r="KYK248"/>
      <c r="KYL248"/>
      <c r="KYM248"/>
      <c r="KYN248"/>
      <c r="KYO248"/>
      <c r="KYP248"/>
      <c r="KYQ248"/>
      <c r="KYR248"/>
      <c r="KYS248"/>
      <c r="KYT248"/>
      <c r="KYU248"/>
      <c r="KYV248"/>
      <c r="KYW248"/>
      <c r="KYX248"/>
      <c r="KYY248"/>
      <c r="KYZ248"/>
      <c r="KZA248"/>
      <c r="KZB248"/>
      <c r="KZC248"/>
      <c r="KZD248"/>
      <c r="KZE248"/>
      <c r="KZF248"/>
      <c r="KZG248"/>
      <c r="KZH248"/>
      <c r="KZI248"/>
      <c r="KZJ248"/>
      <c r="KZK248"/>
      <c r="KZL248"/>
      <c r="KZM248"/>
      <c r="KZN248"/>
      <c r="KZO248"/>
      <c r="KZP248"/>
      <c r="KZQ248"/>
      <c r="KZR248"/>
      <c r="KZS248"/>
      <c r="KZT248"/>
      <c r="KZU248"/>
      <c r="KZV248"/>
      <c r="KZW248"/>
      <c r="KZX248"/>
      <c r="KZY248"/>
      <c r="KZZ248"/>
      <c r="LAA248"/>
      <c r="LAB248"/>
      <c r="LAC248"/>
      <c r="LAD248"/>
      <c r="LAE248"/>
      <c r="LAF248"/>
      <c r="LAG248"/>
      <c r="LAH248"/>
      <c r="LAI248"/>
      <c r="LAJ248"/>
      <c r="LAK248"/>
      <c r="LAL248"/>
      <c r="LAM248"/>
      <c r="LAN248"/>
      <c r="LAO248"/>
      <c r="LAP248"/>
      <c r="LAQ248"/>
      <c r="LAR248"/>
      <c r="LAS248"/>
      <c r="LAT248"/>
      <c r="LAU248"/>
      <c r="LAV248"/>
      <c r="LAW248"/>
      <c r="LAX248"/>
      <c r="LAY248"/>
      <c r="LAZ248"/>
      <c r="LBA248"/>
      <c r="LBB248"/>
      <c r="LBC248"/>
      <c r="LBD248"/>
      <c r="LBE248"/>
      <c r="LBF248"/>
      <c r="LBG248"/>
      <c r="LBH248"/>
      <c r="LBI248"/>
      <c r="LBJ248"/>
      <c r="LBK248"/>
      <c r="LBL248"/>
      <c r="LBM248"/>
      <c r="LBN248"/>
      <c r="LBO248"/>
      <c r="LBP248"/>
      <c r="LBQ248"/>
      <c r="LBR248"/>
      <c r="LBS248"/>
      <c r="LBT248"/>
      <c r="LBU248"/>
      <c r="LBV248"/>
      <c r="LBW248"/>
      <c r="LBX248"/>
      <c r="LBY248"/>
      <c r="LBZ248"/>
      <c r="LCA248"/>
      <c r="LCB248"/>
      <c r="LCC248"/>
      <c r="LCD248"/>
      <c r="LCE248"/>
      <c r="LCF248"/>
      <c r="LCG248"/>
      <c r="LCH248"/>
      <c r="LCI248"/>
      <c r="LCJ248"/>
      <c r="LCK248"/>
      <c r="LCL248"/>
      <c r="LCM248"/>
      <c r="LCN248"/>
      <c r="LCO248"/>
      <c r="LCP248"/>
      <c r="LCQ248"/>
      <c r="LCR248"/>
      <c r="LCS248"/>
      <c r="LCT248"/>
      <c r="LCU248"/>
      <c r="LCV248"/>
      <c r="LCW248"/>
      <c r="LCX248"/>
      <c r="LCY248"/>
      <c r="LCZ248"/>
      <c r="LDA248"/>
      <c r="LDB248"/>
      <c r="LDC248"/>
      <c r="LDD248"/>
      <c r="LDE248"/>
      <c r="LDF248"/>
      <c r="LDG248"/>
      <c r="LDH248"/>
      <c r="LDI248"/>
      <c r="LDJ248"/>
      <c r="LDK248"/>
      <c r="LDL248"/>
      <c r="LDM248"/>
      <c r="LDN248"/>
      <c r="LDO248"/>
      <c r="LDP248"/>
      <c r="LDQ248"/>
      <c r="LDR248"/>
      <c r="LDS248"/>
      <c r="LDT248"/>
      <c r="LDU248"/>
      <c r="LDV248"/>
      <c r="LDW248"/>
      <c r="LDX248"/>
      <c r="LDY248"/>
      <c r="LDZ248"/>
      <c r="LEA248"/>
      <c r="LEB248"/>
      <c r="LEC248"/>
      <c r="LED248"/>
      <c r="LEE248"/>
      <c r="LEF248"/>
      <c r="LEG248"/>
      <c r="LEH248"/>
      <c r="LEI248"/>
      <c r="LEJ248"/>
      <c r="LEK248"/>
      <c r="LEL248"/>
      <c r="LEM248"/>
      <c r="LEN248"/>
      <c r="LEO248"/>
      <c r="LEP248"/>
      <c r="LEQ248"/>
      <c r="LER248"/>
      <c r="LES248"/>
      <c r="LET248"/>
      <c r="LEU248"/>
      <c r="LEV248"/>
      <c r="LEW248"/>
      <c r="LEX248"/>
      <c r="LEY248"/>
      <c r="LEZ248"/>
      <c r="LFA248"/>
      <c r="LFB248"/>
      <c r="LFC248"/>
      <c r="LFD248"/>
      <c r="LFE248"/>
      <c r="LFF248"/>
      <c r="LFG248"/>
      <c r="LFH248"/>
      <c r="LFI248"/>
      <c r="LFJ248"/>
      <c r="LFK248"/>
      <c r="LFL248"/>
      <c r="LFM248"/>
      <c r="LFN248"/>
      <c r="LFO248"/>
      <c r="LFP248"/>
      <c r="LFQ248"/>
      <c r="LFR248"/>
      <c r="LFS248"/>
      <c r="LFT248"/>
      <c r="LFU248"/>
      <c r="LFV248"/>
      <c r="LFW248"/>
      <c r="LFX248"/>
      <c r="LFY248"/>
      <c r="LFZ248"/>
      <c r="LGA248"/>
      <c r="LGB248"/>
      <c r="LGC248"/>
      <c r="LGD248"/>
      <c r="LGE248"/>
      <c r="LGF248"/>
      <c r="LGG248"/>
      <c r="LGH248"/>
      <c r="LGI248"/>
      <c r="LGJ248"/>
      <c r="LGK248"/>
      <c r="LGL248"/>
      <c r="LGM248"/>
      <c r="LGN248"/>
      <c r="LGO248"/>
      <c r="LGP248"/>
      <c r="LGQ248"/>
      <c r="LGR248"/>
      <c r="LGS248"/>
      <c r="LGT248"/>
      <c r="LGU248"/>
      <c r="LGV248"/>
      <c r="LGW248"/>
      <c r="LGX248"/>
      <c r="LGY248"/>
      <c r="LGZ248"/>
      <c r="LHA248"/>
      <c r="LHB248"/>
      <c r="LHC248"/>
      <c r="LHD248"/>
      <c r="LHE248"/>
      <c r="LHF248"/>
      <c r="LHG248"/>
      <c r="LHH248"/>
      <c r="LHI248"/>
      <c r="LHJ248"/>
      <c r="LHK248"/>
      <c r="LHL248"/>
      <c r="LHM248"/>
      <c r="LHN248"/>
      <c r="LHO248"/>
      <c r="LHP248"/>
      <c r="LHQ248"/>
      <c r="LHR248"/>
      <c r="LHS248"/>
      <c r="LHT248"/>
      <c r="LHU248"/>
      <c r="LHV248"/>
      <c r="LHW248"/>
      <c r="LHX248"/>
      <c r="LHY248"/>
      <c r="LHZ248"/>
      <c r="LIA248"/>
      <c r="LIB248"/>
      <c r="LIC248"/>
      <c r="LID248"/>
      <c r="LIE248"/>
      <c r="LIF248"/>
      <c r="LIG248"/>
      <c r="LIH248"/>
      <c r="LII248"/>
      <c r="LIJ248"/>
      <c r="LIK248"/>
      <c r="LIL248"/>
      <c r="LIM248"/>
      <c r="LIN248"/>
      <c r="LIO248"/>
      <c r="LIP248"/>
      <c r="LIQ248"/>
      <c r="LIR248"/>
      <c r="LIS248"/>
      <c r="LIT248"/>
      <c r="LIU248"/>
      <c r="LIV248"/>
      <c r="LIW248"/>
      <c r="LIX248"/>
      <c r="LIY248"/>
      <c r="LIZ248"/>
      <c r="LJA248"/>
      <c r="LJB248"/>
      <c r="LJC248"/>
      <c r="LJD248"/>
      <c r="LJE248"/>
      <c r="LJF248"/>
      <c r="LJG248"/>
      <c r="LJH248"/>
      <c r="LJI248"/>
      <c r="LJJ248"/>
      <c r="LJK248"/>
      <c r="LJL248"/>
      <c r="LJM248"/>
      <c r="LJN248"/>
      <c r="LJO248"/>
      <c r="LJP248"/>
      <c r="LJQ248"/>
      <c r="LJR248"/>
      <c r="LJS248"/>
      <c r="LJT248"/>
      <c r="LJU248"/>
      <c r="LJV248"/>
      <c r="LJW248"/>
      <c r="LJX248"/>
      <c r="LJY248"/>
      <c r="LJZ248"/>
      <c r="LKA248"/>
      <c r="LKB248"/>
      <c r="LKC248"/>
      <c r="LKD248"/>
      <c r="LKE248"/>
      <c r="LKF248"/>
      <c r="LKG248"/>
      <c r="LKH248"/>
      <c r="LKI248"/>
      <c r="LKJ248"/>
      <c r="LKK248"/>
      <c r="LKL248"/>
      <c r="LKM248"/>
      <c r="LKN248"/>
      <c r="LKO248"/>
      <c r="LKP248"/>
      <c r="LKQ248"/>
      <c r="LKR248"/>
      <c r="LKS248"/>
      <c r="LKT248"/>
      <c r="LKU248"/>
      <c r="LKV248"/>
      <c r="LKW248"/>
      <c r="LKX248"/>
      <c r="LKY248"/>
      <c r="LKZ248"/>
      <c r="LLA248"/>
      <c r="LLB248"/>
      <c r="LLC248"/>
      <c r="LLD248"/>
      <c r="LLE248"/>
      <c r="LLF248"/>
      <c r="LLG248"/>
      <c r="LLH248"/>
      <c r="LLI248"/>
      <c r="LLJ248"/>
      <c r="LLK248"/>
      <c r="LLL248"/>
      <c r="LLM248"/>
      <c r="LLN248"/>
      <c r="LLO248"/>
      <c r="LLP248"/>
      <c r="LLQ248"/>
      <c r="LLR248"/>
      <c r="LLS248"/>
      <c r="LLT248"/>
      <c r="LLU248"/>
      <c r="LLV248"/>
      <c r="LLW248"/>
      <c r="LLX248"/>
      <c r="LLY248"/>
      <c r="LLZ248"/>
      <c r="LMA248"/>
      <c r="LMB248"/>
      <c r="LMC248"/>
      <c r="LMD248"/>
      <c r="LME248"/>
      <c r="LMF248"/>
      <c r="LMG248"/>
      <c r="LMH248"/>
      <c r="LMI248"/>
      <c r="LMJ248"/>
      <c r="LMK248"/>
      <c r="LML248"/>
      <c r="LMM248"/>
      <c r="LMN248"/>
      <c r="LMO248"/>
      <c r="LMP248"/>
      <c r="LMQ248"/>
      <c r="LMR248"/>
      <c r="LMS248"/>
      <c r="LMT248"/>
      <c r="LMU248"/>
      <c r="LMV248"/>
      <c r="LMW248"/>
      <c r="LMX248"/>
      <c r="LMY248"/>
      <c r="LMZ248"/>
      <c r="LNA248"/>
      <c r="LNB248"/>
      <c r="LNC248"/>
      <c r="LND248"/>
      <c r="LNE248"/>
      <c r="LNF248"/>
      <c r="LNG248"/>
      <c r="LNH248"/>
      <c r="LNI248"/>
      <c r="LNJ248"/>
      <c r="LNK248"/>
      <c r="LNL248"/>
      <c r="LNM248"/>
      <c r="LNN248"/>
      <c r="LNO248"/>
      <c r="LNP248"/>
      <c r="LNQ248"/>
      <c r="LNR248"/>
      <c r="LNS248"/>
      <c r="LNT248"/>
      <c r="LNU248"/>
      <c r="LNV248"/>
      <c r="LNW248"/>
      <c r="LNX248"/>
      <c r="LNY248"/>
      <c r="LNZ248"/>
      <c r="LOA248"/>
      <c r="LOB248"/>
      <c r="LOC248"/>
      <c r="LOD248"/>
      <c r="LOE248"/>
      <c r="LOF248"/>
      <c r="LOG248"/>
      <c r="LOH248"/>
      <c r="LOI248"/>
      <c r="LOJ248"/>
      <c r="LOK248"/>
      <c r="LOL248"/>
      <c r="LOM248"/>
      <c r="LON248"/>
      <c r="LOO248"/>
      <c r="LOP248"/>
      <c r="LOQ248"/>
      <c r="LOR248"/>
      <c r="LOS248"/>
      <c r="LOT248"/>
      <c r="LOU248"/>
      <c r="LOV248"/>
      <c r="LOW248"/>
      <c r="LOX248"/>
      <c r="LOY248"/>
      <c r="LOZ248"/>
      <c r="LPA248"/>
      <c r="LPB248"/>
      <c r="LPC248"/>
      <c r="LPD248"/>
      <c r="LPE248"/>
      <c r="LPF248"/>
      <c r="LPG248"/>
      <c r="LPH248"/>
      <c r="LPI248"/>
      <c r="LPJ248"/>
      <c r="LPK248"/>
      <c r="LPL248"/>
      <c r="LPM248"/>
      <c r="LPN248"/>
      <c r="LPO248"/>
      <c r="LPP248"/>
      <c r="LPQ248"/>
      <c r="LPR248"/>
      <c r="LPS248"/>
      <c r="LPT248"/>
      <c r="LPU248"/>
      <c r="LPV248"/>
      <c r="LPW248"/>
      <c r="LPX248"/>
      <c r="LPY248"/>
      <c r="LPZ248"/>
      <c r="LQA248"/>
      <c r="LQB248"/>
      <c r="LQC248"/>
      <c r="LQD248"/>
      <c r="LQE248"/>
      <c r="LQF248"/>
      <c r="LQG248"/>
      <c r="LQH248"/>
      <c r="LQI248"/>
      <c r="LQJ248"/>
      <c r="LQK248"/>
      <c r="LQL248"/>
      <c r="LQM248"/>
      <c r="LQN248"/>
      <c r="LQO248"/>
      <c r="LQP248"/>
      <c r="LQQ248"/>
      <c r="LQR248"/>
      <c r="LQS248"/>
      <c r="LQT248"/>
      <c r="LQU248"/>
      <c r="LQV248"/>
      <c r="LQW248"/>
      <c r="LQX248"/>
      <c r="LQY248"/>
      <c r="LQZ248"/>
      <c r="LRA248"/>
      <c r="LRB248"/>
      <c r="LRC248"/>
      <c r="LRD248"/>
      <c r="LRE248"/>
      <c r="LRF248"/>
      <c r="LRG248"/>
      <c r="LRH248"/>
      <c r="LRI248"/>
      <c r="LRJ248"/>
      <c r="LRK248"/>
      <c r="LRL248"/>
      <c r="LRM248"/>
      <c r="LRN248"/>
      <c r="LRO248"/>
      <c r="LRP248"/>
      <c r="LRQ248"/>
      <c r="LRR248"/>
      <c r="LRS248"/>
      <c r="LRT248"/>
      <c r="LRU248"/>
      <c r="LRV248"/>
      <c r="LRW248"/>
      <c r="LRX248"/>
      <c r="LRY248"/>
      <c r="LRZ248"/>
      <c r="LSA248"/>
      <c r="LSB248"/>
      <c r="LSC248"/>
      <c r="LSD248"/>
      <c r="LSE248"/>
      <c r="LSF248"/>
      <c r="LSG248"/>
      <c r="LSH248"/>
      <c r="LSI248"/>
      <c r="LSJ248"/>
      <c r="LSK248"/>
      <c r="LSL248"/>
      <c r="LSM248"/>
      <c r="LSN248"/>
      <c r="LSO248"/>
      <c r="LSP248"/>
      <c r="LSQ248"/>
      <c r="LSR248"/>
      <c r="LSS248"/>
      <c r="LST248"/>
      <c r="LSU248"/>
      <c r="LSV248"/>
      <c r="LSW248"/>
      <c r="LSX248"/>
      <c r="LSY248"/>
      <c r="LSZ248"/>
      <c r="LTA248"/>
      <c r="LTB248"/>
      <c r="LTC248"/>
      <c r="LTD248"/>
      <c r="LTE248"/>
      <c r="LTF248"/>
      <c r="LTG248"/>
      <c r="LTH248"/>
      <c r="LTI248"/>
      <c r="LTJ248"/>
      <c r="LTK248"/>
      <c r="LTL248"/>
      <c r="LTM248"/>
      <c r="LTN248"/>
      <c r="LTO248"/>
      <c r="LTP248"/>
      <c r="LTQ248"/>
      <c r="LTR248"/>
      <c r="LTS248"/>
      <c r="LTT248"/>
      <c r="LTU248"/>
      <c r="LTV248"/>
      <c r="LTW248"/>
      <c r="LTX248"/>
      <c r="LTY248"/>
      <c r="LTZ248"/>
      <c r="LUA248"/>
      <c r="LUB248"/>
      <c r="LUC248"/>
      <c r="LUD248"/>
      <c r="LUE248"/>
      <c r="LUF248"/>
      <c r="LUG248"/>
      <c r="LUH248"/>
      <c r="LUI248"/>
      <c r="LUJ248"/>
      <c r="LUK248"/>
      <c r="LUL248"/>
      <c r="LUM248"/>
      <c r="LUN248"/>
      <c r="LUO248"/>
      <c r="LUP248"/>
      <c r="LUQ248"/>
      <c r="LUR248"/>
      <c r="LUS248"/>
      <c r="LUT248"/>
      <c r="LUU248"/>
      <c r="LUV248"/>
      <c r="LUW248"/>
      <c r="LUX248"/>
      <c r="LUY248"/>
      <c r="LUZ248"/>
      <c r="LVA248"/>
      <c r="LVB248"/>
      <c r="LVC248"/>
      <c r="LVD248"/>
      <c r="LVE248"/>
      <c r="LVF248"/>
      <c r="LVG248"/>
      <c r="LVH248"/>
      <c r="LVI248"/>
      <c r="LVJ248"/>
      <c r="LVK248"/>
      <c r="LVL248"/>
      <c r="LVM248"/>
      <c r="LVN248"/>
      <c r="LVO248"/>
      <c r="LVP248"/>
      <c r="LVQ248"/>
      <c r="LVR248"/>
      <c r="LVS248"/>
      <c r="LVT248"/>
      <c r="LVU248"/>
      <c r="LVV248"/>
      <c r="LVW248"/>
      <c r="LVX248"/>
      <c r="LVY248"/>
      <c r="LVZ248"/>
      <c r="LWA248"/>
      <c r="LWB248"/>
      <c r="LWC248"/>
      <c r="LWD248"/>
      <c r="LWE248"/>
      <c r="LWF248"/>
      <c r="LWG248"/>
      <c r="LWH248"/>
      <c r="LWI248"/>
      <c r="LWJ248"/>
      <c r="LWK248"/>
      <c r="LWL248"/>
      <c r="LWM248"/>
      <c r="LWN248"/>
      <c r="LWO248"/>
      <c r="LWP248"/>
      <c r="LWQ248"/>
      <c r="LWR248"/>
      <c r="LWS248"/>
      <c r="LWT248"/>
      <c r="LWU248"/>
      <c r="LWV248"/>
      <c r="LWW248"/>
      <c r="LWX248"/>
      <c r="LWY248"/>
      <c r="LWZ248"/>
      <c r="LXA248"/>
      <c r="LXB248"/>
      <c r="LXC248"/>
      <c r="LXD248"/>
      <c r="LXE248"/>
      <c r="LXF248"/>
      <c r="LXG248"/>
      <c r="LXH248"/>
      <c r="LXI248"/>
      <c r="LXJ248"/>
      <c r="LXK248"/>
      <c r="LXL248"/>
      <c r="LXM248"/>
      <c r="LXN248"/>
      <c r="LXO248"/>
      <c r="LXP248"/>
      <c r="LXQ248"/>
      <c r="LXR248"/>
      <c r="LXS248"/>
      <c r="LXT248"/>
      <c r="LXU248"/>
      <c r="LXV248"/>
      <c r="LXW248"/>
      <c r="LXX248"/>
      <c r="LXY248"/>
      <c r="LXZ248"/>
      <c r="LYA248"/>
      <c r="LYB248"/>
      <c r="LYC248"/>
      <c r="LYD248"/>
      <c r="LYE248"/>
      <c r="LYF248"/>
      <c r="LYG248"/>
      <c r="LYH248"/>
      <c r="LYI248"/>
      <c r="LYJ248"/>
      <c r="LYK248"/>
      <c r="LYL248"/>
      <c r="LYM248"/>
      <c r="LYN248"/>
      <c r="LYO248"/>
      <c r="LYP248"/>
      <c r="LYQ248"/>
      <c r="LYR248"/>
      <c r="LYS248"/>
      <c r="LYT248"/>
      <c r="LYU248"/>
      <c r="LYV248"/>
      <c r="LYW248"/>
      <c r="LYX248"/>
      <c r="LYY248"/>
      <c r="LYZ248"/>
      <c r="LZA248"/>
      <c r="LZB248"/>
      <c r="LZC248"/>
      <c r="LZD248"/>
      <c r="LZE248"/>
      <c r="LZF248"/>
      <c r="LZG248"/>
      <c r="LZH248"/>
      <c r="LZI248"/>
      <c r="LZJ248"/>
      <c r="LZK248"/>
      <c r="LZL248"/>
      <c r="LZM248"/>
      <c r="LZN248"/>
      <c r="LZO248"/>
      <c r="LZP248"/>
      <c r="LZQ248"/>
      <c r="LZR248"/>
      <c r="LZS248"/>
      <c r="LZT248"/>
      <c r="LZU248"/>
      <c r="LZV248"/>
      <c r="LZW248"/>
      <c r="LZX248"/>
      <c r="LZY248"/>
      <c r="LZZ248"/>
      <c r="MAA248"/>
      <c r="MAB248"/>
      <c r="MAC248"/>
      <c r="MAD248"/>
      <c r="MAE248"/>
      <c r="MAF248"/>
      <c r="MAG248"/>
      <c r="MAH248"/>
      <c r="MAI248"/>
      <c r="MAJ248"/>
      <c r="MAK248"/>
      <c r="MAL248"/>
      <c r="MAM248"/>
      <c r="MAN248"/>
      <c r="MAO248"/>
      <c r="MAP248"/>
      <c r="MAQ248"/>
      <c r="MAR248"/>
      <c r="MAS248"/>
      <c r="MAT248"/>
      <c r="MAU248"/>
      <c r="MAV248"/>
      <c r="MAW248"/>
      <c r="MAX248"/>
      <c r="MAY248"/>
      <c r="MAZ248"/>
      <c r="MBA248"/>
      <c r="MBB248"/>
      <c r="MBC248"/>
      <c r="MBD248"/>
      <c r="MBE248"/>
      <c r="MBF248"/>
      <c r="MBG248"/>
      <c r="MBH248"/>
      <c r="MBI248"/>
      <c r="MBJ248"/>
      <c r="MBK248"/>
      <c r="MBL248"/>
      <c r="MBM248"/>
      <c r="MBN248"/>
      <c r="MBO248"/>
      <c r="MBP248"/>
      <c r="MBQ248"/>
      <c r="MBR248"/>
      <c r="MBS248"/>
      <c r="MBT248"/>
      <c r="MBU248"/>
      <c r="MBV248"/>
      <c r="MBW248"/>
      <c r="MBX248"/>
      <c r="MBY248"/>
      <c r="MBZ248"/>
      <c r="MCA248"/>
      <c r="MCB248"/>
      <c r="MCC248"/>
      <c r="MCD248"/>
      <c r="MCE248"/>
      <c r="MCF248"/>
      <c r="MCG248"/>
      <c r="MCH248"/>
      <c r="MCI248"/>
      <c r="MCJ248"/>
      <c r="MCK248"/>
      <c r="MCL248"/>
      <c r="MCM248"/>
      <c r="MCN248"/>
      <c r="MCO248"/>
      <c r="MCP248"/>
      <c r="MCQ248"/>
      <c r="MCR248"/>
      <c r="MCS248"/>
      <c r="MCT248"/>
      <c r="MCU248"/>
      <c r="MCV248"/>
      <c r="MCW248"/>
      <c r="MCX248"/>
      <c r="MCY248"/>
      <c r="MCZ248"/>
      <c r="MDA248"/>
      <c r="MDB248"/>
      <c r="MDC248"/>
      <c r="MDD248"/>
      <c r="MDE248"/>
      <c r="MDF248"/>
      <c r="MDG248"/>
      <c r="MDH248"/>
      <c r="MDI248"/>
      <c r="MDJ248"/>
      <c r="MDK248"/>
      <c r="MDL248"/>
      <c r="MDM248"/>
      <c r="MDN248"/>
      <c r="MDO248"/>
      <c r="MDP248"/>
      <c r="MDQ248"/>
      <c r="MDR248"/>
      <c r="MDS248"/>
      <c r="MDT248"/>
      <c r="MDU248"/>
      <c r="MDV248"/>
      <c r="MDW248"/>
      <c r="MDX248"/>
      <c r="MDY248"/>
      <c r="MDZ248"/>
      <c r="MEA248"/>
      <c r="MEB248"/>
      <c r="MEC248"/>
      <c r="MED248"/>
      <c r="MEE248"/>
      <c r="MEF248"/>
      <c r="MEG248"/>
      <c r="MEH248"/>
      <c r="MEI248"/>
      <c r="MEJ248"/>
      <c r="MEK248"/>
      <c r="MEL248"/>
      <c r="MEM248"/>
      <c r="MEN248"/>
      <c r="MEO248"/>
      <c r="MEP248"/>
      <c r="MEQ248"/>
      <c r="MER248"/>
      <c r="MES248"/>
      <c r="MET248"/>
      <c r="MEU248"/>
      <c r="MEV248"/>
      <c r="MEW248"/>
      <c r="MEX248"/>
      <c r="MEY248"/>
      <c r="MEZ248"/>
      <c r="MFA248"/>
      <c r="MFB248"/>
      <c r="MFC248"/>
      <c r="MFD248"/>
      <c r="MFE248"/>
      <c r="MFF248"/>
      <c r="MFG248"/>
      <c r="MFH248"/>
      <c r="MFI248"/>
      <c r="MFJ248"/>
      <c r="MFK248"/>
      <c r="MFL248"/>
      <c r="MFM248"/>
      <c r="MFN248"/>
      <c r="MFO248"/>
      <c r="MFP248"/>
      <c r="MFQ248"/>
      <c r="MFR248"/>
      <c r="MFS248"/>
      <c r="MFT248"/>
      <c r="MFU248"/>
      <c r="MFV248"/>
      <c r="MFW248"/>
      <c r="MFX248"/>
      <c r="MFY248"/>
      <c r="MFZ248"/>
      <c r="MGA248"/>
      <c r="MGB248"/>
      <c r="MGC248"/>
      <c r="MGD248"/>
      <c r="MGE248"/>
      <c r="MGF248"/>
      <c r="MGG248"/>
      <c r="MGH248"/>
      <c r="MGI248"/>
      <c r="MGJ248"/>
      <c r="MGK248"/>
      <c r="MGL248"/>
      <c r="MGM248"/>
      <c r="MGN248"/>
      <c r="MGO248"/>
      <c r="MGP248"/>
      <c r="MGQ248"/>
      <c r="MGR248"/>
      <c r="MGS248"/>
      <c r="MGT248"/>
      <c r="MGU248"/>
      <c r="MGV248"/>
      <c r="MGW248"/>
      <c r="MGX248"/>
      <c r="MGY248"/>
      <c r="MGZ248"/>
      <c r="MHA248"/>
      <c r="MHB248"/>
      <c r="MHC248"/>
      <c r="MHD248"/>
      <c r="MHE248"/>
      <c r="MHF248"/>
      <c r="MHG248"/>
      <c r="MHH248"/>
      <c r="MHI248"/>
      <c r="MHJ248"/>
      <c r="MHK248"/>
      <c r="MHL248"/>
      <c r="MHM248"/>
      <c r="MHN248"/>
      <c r="MHO248"/>
      <c r="MHP248"/>
      <c r="MHQ248"/>
      <c r="MHR248"/>
      <c r="MHS248"/>
      <c r="MHT248"/>
      <c r="MHU248"/>
      <c r="MHV248"/>
      <c r="MHW248"/>
      <c r="MHX248"/>
      <c r="MHY248"/>
      <c r="MHZ248"/>
      <c r="MIA248"/>
      <c r="MIB248"/>
      <c r="MIC248"/>
      <c r="MID248"/>
      <c r="MIE248"/>
      <c r="MIF248"/>
      <c r="MIG248"/>
      <c r="MIH248"/>
      <c r="MII248"/>
      <c r="MIJ248"/>
      <c r="MIK248"/>
      <c r="MIL248"/>
      <c r="MIM248"/>
      <c r="MIN248"/>
      <c r="MIO248"/>
      <c r="MIP248"/>
      <c r="MIQ248"/>
      <c r="MIR248"/>
      <c r="MIS248"/>
      <c r="MIT248"/>
      <c r="MIU248"/>
      <c r="MIV248"/>
      <c r="MIW248"/>
      <c r="MIX248"/>
      <c r="MIY248"/>
      <c r="MIZ248"/>
      <c r="MJA248"/>
      <c r="MJB248"/>
      <c r="MJC248"/>
      <c r="MJD248"/>
      <c r="MJE248"/>
      <c r="MJF248"/>
      <c r="MJG248"/>
      <c r="MJH248"/>
      <c r="MJI248"/>
      <c r="MJJ248"/>
      <c r="MJK248"/>
      <c r="MJL248"/>
      <c r="MJM248"/>
      <c r="MJN248"/>
      <c r="MJO248"/>
      <c r="MJP248"/>
      <c r="MJQ248"/>
      <c r="MJR248"/>
      <c r="MJS248"/>
      <c r="MJT248"/>
      <c r="MJU248"/>
      <c r="MJV248"/>
      <c r="MJW248"/>
      <c r="MJX248"/>
      <c r="MJY248"/>
      <c r="MJZ248"/>
      <c r="MKA248"/>
      <c r="MKB248"/>
      <c r="MKC248"/>
      <c r="MKD248"/>
      <c r="MKE248"/>
      <c r="MKF248"/>
      <c r="MKG248"/>
      <c r="MKH248"/>
      <c r="MKI248"/>
      <c r="MKJ248"/>
      <c r="MKK248"/>
      <c r="MKL248"/>
      <c r="MKM248"/>
      <c r="MKN248"/>
      <c r="MKO248"/>
      <c r="MKP248"/>
      <c r="MKQ248"/>
      <c r="MKR248"/>
      <c r="MKS248"/>
      <c r="MKT248"/>
      <c r="MKU248"/>
      <c r="MKV248"/>
      <c r="MKW248"/>
      <c r="MKX248"/>
      <c r="MKY248"/>
      <c r="MKZ248"/>
      <c r="MLA248"/>
      <c r="MLB248"/>
      <c r="MLC248"/>
      <c r="MLD248"/>
      <c r="MLE248"/>
      <c r="MLF248"/>
      <c r="MLG248"/>
      <c r="MLH248"/>
      <c r="MLI248"/>
      <c r="MLJ248"/>
      <c r="MLK248"/>
      <c r="MLL248"/>
      <c r="MLM248"/>
      <c r="MLN248"/>
      <c r="MLO248"/>
      <c r="MLP248"/>
      <c r="MLQ248"/>
      <c r="MLR248"/>
      <c r="MLS248"/>
      <c r="MLT248"/>
      <c r="MLU248"/>
      <c r="MLV248"/>
      <c r="MLW248"/>
      <c r="MLX248"/>
      <c r="MLY248"/>
      <c r="MLZ248"/>
      <c r="MMA248"/>
      <c r="MMB248"/>
      <c r="MMC248"/>
      <c r="MMD248"/>
      <c r="MME248"/>
      <c r="MMF248"/>
      <c r="MMG248"/>
      <c r="MMH248"/>
      <c r="MMI248"/>
      <c r="MMJ248"/>
      <c r="MMK248"/>
      <c r="MML248"/>
      <c r="MMM248"/>
      <c r="MMN248"/>
      <c r="MMO248"/>
      <c r="MMP248"/>
      <c r="MMQ248"/>
      <c r="MMR248"/>
      <c r="MMS248"/>
      <c r="MMT248"/>
      <c r="MMU248"/>
      <c r="MMV248"/>
      <c r="MMW248"/>
      <c r="MMX248"/>
      <c r="MMY248"/>
      <c r="MMZ248"/>
      <c r="MNA248"/>
      <c r="MNB248"/>
      <c r="MNC248"/>
      <c r="MND248"/>
      <c r="MNE248"/>
      <c r="MNF248"/>
      <c r="MNG248"/>
      <c r="MNH248"/>
      <c r="MNI248"/>
      <c r="MNJ248"/>
      <c r="MNK248"/>
      <c r="MNL248"/>
      <c r="MNM248"/>
      <c r="MNN248"/>
      <c r="MNO248"/>
      <c r="MNP248"/>
      <c r="MNQ248"/>
      <c r="MNR248"/>
      <c r="MNS248"/>
      <c r="MNT248"/>
      <c r="MNU248"/>
      <c r="MNV248"/>
      <c r="MNW248"/>
      <c r="MNX248"/>
      <c r="MNY248"/>
      <c r="MNZ248"/>
      <c r="MOA248"/>
      <c r="MOB248"/>
      <c r="MOC248"/>
      <c r="MOD248"/>
      <c r="MOE248"/>
      <c r="MOF248"/>
      <c r="MOG248"/>
      <c r="MOH248"/>
      <c r="MOI248"/>
      <c r="MOJ248"/>
      <c r="MOK248"/>
      <c r="MOL248"/>
      <c r="MOM248"/>
      <c r="MON248"/>
      <c r="MOO248"/>
      <c r="MOP248"/>
      <c r="MOQ248"/>
      <c r="MOR248"/>
      <c r="MOS248"/>
      <c r="MOT248"/>
      <c r="MOU248"/>
      <c r="MOV248"/>
      <c r="MOW248"/>
      <c r="MOX248"/>
      <c r="MOY248"/>
      <c r="MOZ248"/>
      <c r="MPA248"/>
      <c r="MPB248"/>
      <c r="MPC248"/>
      <c r="MPD248"/>
      <c r="MPE248"/>
      <c r="MPF248"/>
      <c r="MPG248"/>
      <c r="MPH248"/>
      <c r="MPI248"/>
      <c r="MPJ248"/>
      <c r="MPK248"/>
      <c r="MPL248"/>
      <c r="MPM248"/>
      <c r="MPN248"/>
      <c r="MPO248"/>
      <c r="MPP248"/>
      <c r="MPQ248"/>
      <c r="MPR248"/>
      <c r="MPS248"/>
      <c r="MPT248"/>
      <c r="MPU248"/>
      <c r="MPV248"/>
      <c r="MPW248"/>
      <c r="MPX248"/>
      <c r="MPY248"/>
      <c r="MPZ248"/>
      <c r="MQA248"/>
      <c r="MQB248"/>
      <c r="MQC248"/>
      <c r="MQD248"/>
      <c r="MQE248"/>
      <c r="MQF248"/>
      <c r="MQG248"/>
      <c r="MQH248"/>
      <c r="MQI248"/>
      <c r="MQJ248"/>
      <c r="MQK248"/>
      <c r="MQL248"/>
      <c r="MQM248"/>
      <c r="MQN248"/>
      <c r="MQO248"/>
      <c r="MQP248"/>
      <c r="MQQ248"/>
      <c r="MQR248"/>
      <c r="MQS248"/>
      <c r="MQT248"/>
      <c r="MQU248"/>
      <c r="MQV248"/>
      <c r="MQW248"/>
      <c r="MQX248"/>
      <c r="MQY248"/>
      <c r="MQZ248"/>
      <c r="MRA248"/>
      <c r="MRB248"/>
      <c r="MRC248"/>
      <c r="MRD248"/>
      <c r="MRE248"/>
      <c r="MRF248"/>
      <c r="MRG248"/>
      <c r="MRH248"/>
      <c r="MRI248"/>
      <c r="MRJ248"/>
      <c r="MRK248"/>
      <c r="MRL248"/>
      <c r="MRM248"/>
      <c r="MRN248"/>
      <c r="MRO248"/>
      <c r="MRP248"/>
      <c r="MRQ248"/>
      <c r="MRR248"/>
      <c r="MRS248"/>
      <c r="MRT248"/>
      <c r="MRU248"/>
      <c r="MRV248"/>
      <c r="MRW248"/>
      <c r="MRX248"/>
      <c r="MRY248"/>
      <c r="MRZ248"/>
      <c r="MSA248"/>
      <c r="MSB248"/>
      <c r="MSC248"/>
      <c r="MSD248"/>
      <c r="MSE248"/>
      <c r="MSF248"/>
      <c r="MSG248"/>
      <c r="MSH248"/>
      <c r="MSI248"/>
      <c r="MSJ248"/>
      <c r="MSK248"/>
      <c r="MSL248"/>
      <c r="MSM248"/>
      <c r="MSN248"/>
      <c r="MSO248"/>
      <c r="MSP248"/>
      <c r="MSQ248"/>
      <c r="MSR248"/>
      <c r="MSS248"/>
      <c r="MST248"/>
      <c r="MSU248"/>
      <c r="MSV248"/>
      <c r="MSW248"/>
      <c r="MSX248"/>
      <c r="MSY248"/>
      <c r="MSZ248"/>
      <c r="MTA248"/>
      <c r="MTB248"/>
      <c r="MTC248"/>
      <c r="MTD248"/>
      <c r="MTE248"/>
      <c r="MTF248"/>
      <c r="MTG248"/>
      <c r="MTH248"/>
      <c r="MTI248"/>
      <c r="MTJ248"/>
      <c r="MTK248"/>
      <c r="MTL248"/>
      <c r="MTM248"/>
      <c r="MTN248"/>
      <c r="MTO248"/>
      <c r="MTP248"/>
      <c r="MTQ248"/>
      <c r="MTR248"/>
      <c r="MTS248"/>
      <c r="MTT248"/>
      <c r="MTU248"/>
      <c r="MTV248"/>
      <c r="MTW248"/>
      <c r="MTX248"/>
      <c r="MTY248"/>
      <c r="MTZ248"/>
      <c r="MUA248"/>
      <c r="MUB248"/>
      <c r="MUC248"/>
      <c r="MUD248"/>
      <c r="MUE248"/>
      <c r="MUF248"/>
      <c r="MUG248"/>
      <c r="MUH248"/>
      <c r="MUI248"/>
      <c r="MUJ248"/>
      <c r="MUK248"/>
      <c r="MUL248"/>
      <c r="MUM248"/>
      <c r="MUN248"/>
      <c r="MUO248"/>
      <c r="MUP248"/>
      <c r="MUQ248"/>
      <c r="MUR248"/>
      <c r="MUS248"/>
      <c r="MUT248"/>
      <c r="MUU248"/>
      <c r="MUV248"/>
      <c r="MUW248"/>
      <c r="MUX248"/>
      <c r="MUY248"/>
      <c r="MUZ248"/>
      <c r="MVA248"/>
      <c r="MVB248"/>
      <c r="MVC248"/>
      <c r="MVD248"/>
      <c r="MVE248"/>
      <c r="MVF248"/>
      <c r="MVG248"/>
      <c r="MVH248"/>
      <c r="MVI248"/>
      <c r="MVJ248"/>
      <c r="MVK248"/>
      <c r="MVL248"/>
      <c r="MVM248"/>
      <c r="MVN248"/>
      <c r="MVO248"/>
      <c r="MVP248"/>
      <c r="MVQ248"/>
      <c r="MVR248"/>
      <c r="MVS248"/>
      <c r="MVT248"/>
      <c r="MVU248"/>
      <c r="MVV248"/>
      <c r="MVW248"/>
      <c r="MVX248"/>
      <c r="MVY248"/>
      <c r="MVZ248"/>
      <c r="MWA248"/>
      <c r="MWB248"/>
      <c r="MWC248"/>
      <c r="MWD248"/>
      <c r="MWE248"/>
      <c r="MWF248"/>
      <c r="MWG248"/>
      <c r="MWH248"/>
      <c r="MWI248"/>
      <c r="MWJ248"/>
      <c r="MWK248"/>
      <c r="MWL248"/>
      <c r="MWM248"/>
      <c r="MWN248"/>
      <c r="MWO248"/>
      <c r="MWP248"/>
      <c r="MWQ248"/>
      <c r="MWR248"/>
      <c r="MWS248"/>
      <c r="MWT248"/>
      <c r="MWU248"/>
      <c r="MWV248"/>
      <c r="MWW248"/>
      <c r="MWX248"/>
      <c r="MWY248"/>
      <c r="MWZ248"/>
      <c r="MXA248"/>
      <c r="MXB248"/>
      <c r="MXC248"/>
      <c r="MXD248"/>
      <c r="MXE248"/>
      <c r="MXF248"/>
      <c r="MXG248"/>
      <c r="MXH248"/>
      <c r="MXI248"/>
      <c r="MXJ248"/>
      <c r="MXK248"/>
      <c r="MXL248"/>
      <c r="MXM248"/>
      <c r="MXN248"/>
      <c r="MXO248"/>
      <c r="MXP248"/>
      <c r="MXQ248"/>
      <c r="MXR248"/>
      <c r="MXS248"/>
      <c r="MXT248"/>
      <c r="MXU248"/>
      <c r="MXV248"/>
      <c r="MXW248"/>
      <c r="MXX248"/>
      <c r="MXY248"/>
      <c r="MXZ248"/>
      <c r="MYA248"/>
      <c r="MYB248"/>
      <c r="MYC248"/>
      <c r="MYD248"/>
      <c r="MYE248"/>
      <c r="MYF248"/>
      <c r="MYG248"/>
      <c r="MYH248"/>
      <c r="MYI248"/>
      <c r="MYJ248"/>
      <c r="MYK248"/>
      <c r="MYL248"/>
      <c r="MYM248"/>
      <c r="MYN248"/>
      <c r="MYO248"/>
      <c r="MYP248"/>
      <c r="MYQ248"/>
      <c r="MYR248"/>
      <c r="MYS248"/>
      <c r="MYT248"/>
      <c r="MYU248"/>
      <c r="MYV248"/>
      <c r="MYW248"/>
      <c r="MYX248"/>
      <c r="MYY248"/>
      <c r="MYZ248"/>
      <c r="MZA248"/>
      <c r="MZB248"/>
      <c r="MZC248"/>
      <c r="MZD248"/>
      <c r="MZE248"/>
      <c r="MZF248"/>
      <c r="MZG248"/>
      <c r="MZH248"/>
      <c r="MZI248"/>
      <c r="MZJ248"/>
      <c r="MZK248"/>
      <c r="MZL248"/>
      <c r="MZM248"/>
      <c r="MZN248"/>
      <c r="MZO248"/>
      <c r="MZP248"/>
      <c r="MZQ248"/>
      <c r="MZR248"/>
      <c r="MZS248"/>
      <c r="MZT248"/>
      <c r="MZU248"/>
      <c r="MZV248"/>
      <c r="MZW248"/>
      <c r="MZX248"/>
      <c r="MZY248"/>
      <c r="MZZ248"/>
      <c r="NAA248"/>
      <c r="NAB248"/>
      <c r="NAC248"/>
      <c r="NAD248"/>
      <c r="NAE248"/>
      <c r="NAF248"/>
      <c r="NAG248"/>
      <c r="NAH248"/>
      <c r="NAI248"/>
      <c r="NAJ248"/>
      <c r="NAK248"/>
      <c r="NAL248"/>
      <c r="NAM248"/>
      <c r="NAN248"/>
      <c r="NAO248"/>
      <c r="NAP248"/>
      <c r="NAQ248"/>
      <c r="NAR248"/>
      <c r="NAS248"/>
      <c r="NAT248"/>
      <c r="NAU248"/>
      <c r="NAV248"/>
      <c r="NAW248"/>
      <c r="NAX248"/>
      <c r="NAY248"/>
      <c r="NAZ248"/>
      <c r="NBA248"/>
      <c r="NBB248"/>
      <c r="NBC248"/>
      <c r="NBD248"/>
      <c r="NBE248"/>
      <c r="NBF248"/>
      <c r="NBG248"/>
      <c r="NBH248"/>
      <c r="NBI248"/>
      <c r="NBJ248"/>
      <c r="NBK248"/>
      <c r="NBL248"/>
      <c r="NBM248"/>
      <c r="NBN248"/>
      <c r="NBO248"/>
      <c r="NBP248"/>
      <c r="NBQ248"/>
      <c r="NBR248"/>
      <c r="NBS248"/>
      <c r="NBT248"/>
      <c r="NBU248"/>
      <c r="NBV248"/>
      <c r="NBW248"/>
      <c r="NBX248"/>
      <c r="NBY248"/>
      <c r="NBZ248"/>
      <c r="NCA248"/>
      <c r="NCB248"/>
      <c r="NCC248"/>
      <c r="NCD248"/>
      <c r="NCE248"/>
      <c r="NCF248"/>
      <c r="NCG248"/>
      <c r="NCH248"/>
      <c r="NCI248"/>
      <c r="NCJ248"/>
      <c r="NCK248"/>
      <c r="NCL248"/>
      <c r="NCM248"/>
      <c r="NCN248"/>
      <c r="NCO248"/>
      <c r="NCP248"/>
      <c r="NCQ248"/>
      <c r="NCR248"/>
      <c r="NCS248"/>
      <c r="NCT248"/>
      <c r="NCU248"/>
      <c r="NCV248"/>
      <c r="NCW248"/>
      <c r="NCX248"/>
      <c r="NCY248"/>
      <c r="NCZ248"/>
      <c r="NDA248"/>
      <c r="NDB248"/>
      <c r="NDC248"/>
      <c r="NDD248"/>
      <c r="NDE248"/>
      <c r="NDF248"/>
      <c r="NDG248"/>
      <c r="NDH248"/>
      <c r="NDI248"/>
      <c r="NDJ248"/>
      <c r="NDK248"/>
      <c r="NDL248"/>
      <c r="NDM248"/>
      <c r="NDN248"/>
      <c r="NDO248"/>
      <c r="NDP248"/>
      <c r="NDQ248"/>
      <c r="NDR248"/>
      <c r="NDS248"/>
      <c r="NDT248"/>
      <c r="NDU248"/>
      <c r="NDV248"/>
      <c r="NDW248"/>
      <c r="NDX248"/>
      <c r="NDY248"/>
      <c r="NDZ248"/>
      <c r="NEA248"/>
      <c r="NEB248"/>
      <c r="NEC248"/>
      <c r="NED248"/>
      <c r="NEE248"/>
      <c r="NEF248"/>
      <c r="NEG248"/>
      <c r="NEH248"/>
      <c r="NEI248"/>
      <c r="NEJ248"/>
      <c r="NEK248"/>
      <c r="NEL248"/>
      <c r="NEM248"/>
      <c r="NEN248"/>
      <c r="NEO248"/>
      <c r="NEP248"/>
      <c r="NEQ248"/>
      <c r="NER248"/>
      <c r="NES248"/>
      <c r="NET248"/>
      <c r="NEU248"/>
      <c r="NEV248"/>
      <c r="NEW248"/>
      <c r="NEX248"/>
      <c r="NEY248"/>
      <c r="NEZ248"/>
      <c r="NFA248"/>
      <c r="NFB248"/>
      <c r="NFC248"/>
      <c r="NFD248"/>
      <c r="NFE248"/>
      <c r="NFF248"/>
      <c r="NFG248"/>
      <c r="NFH248"/>
      <c r="NFI248"/>
      <c r="NFJ248"/>
      <c r="NFK248"/>
      <c r="NFL248"/>
      <c r="NFM248"/>
      <c r="NFN248"/>
      <c r="NFO248"/>
      <c r="NFP248"/>
      <c r="NFQ248"/>
      <c r="NFR248"/>
      <c r="NFS248"/>
      <c r="NFT248"/>
      <c r="NFU248"/>
      <c r="NFV248"/>
      <c r="NFW248"/>
      <c r="NFX248"/>
      <c r="NFY248"/>
      <c r="NFZ248"/>
      <c r="NGA248"/>
      <c r="NGB248"/>
      <c r="NGC248"/>
      <c r="NGD248"/>
      <c r="NGE248"/>
      <c r="NGF248"/>
      <c r="NGG248"/>
      <c r="NGH248"/>
      <c r="NGI248"/>
      <c r="NGJ248"/>
      <c r="NGK248"/>
      <c r="NGL248"/>
      <c r="NGM248"/>
      <c r="NGN248"/>
      <c r="NGO248"/>
      <c r="NGP248"/>
      <c r="NGQ248"/>
      <c r="NGR248"/>
      <c r="NGS248"/>
      <c r="NGT248"/>
      <c r="NGU248"/>
      <c r="NGV248"/>
      <c r="NGW248"/>
      <c r="NGX248"/>
      <c r="NGY248"/>
      <c r="NGZ248"/>
      <c r="NHA248"/>
      <c r="NHB248"/>
      <c r="NHC248"/>
      <c r="NHD248"/>
      <c r="NHE248"/>
      <c r="NHF248"/>
      <c r="NHG248"/>
      <c r="NHH248"/>
      <c r="NHI248"/>
      <c r="NHJ248"/>
      <c r="NHK248"/>
      <c r="NHL248"/>
      <c r="NHM248"/>
      <c r="NHN248"/>
      <c r="NHO248"/>
      <c r="NHP248"/>
      <c r="NHQ248"/>
      <c r="NHR248"/>
      <c r="NHS248"/>
      <c r="NHT248"/>
      <c r="NHU248"/>
      <c r="NHV248"/>
      <c r="NHW248"/>
      <c r="NHX248"/>
      <c r="NHY248"/>
      <c r="NHZ248"/>
      <c r="NIA248"/>
      <c r="NIB248"/>
      <c r="NIC248"/>
      <c r="NID248"/>
      <c r="NIE248"/>
      <c r="NIF248"/>
      <c r="NIG248"/>
      <c r="NIH248"/>
      <c r="NII248"/>
      <c r="NIJ248"/>
      <c r="NIK248"/>
      <c r="NIL248"/>
      <c r="NIM248"/>
      <c r="NIN248"/>
      <c r="NIO248"/>
      <c r="NIP248"/>
      <c r="NIQ248"/>
      <c r="NIR248"/>
      <c r="NIS248"/>
      <c r="NIT248"/>
      <c r="NIU248"/>
      <c r="NIV248"/>
      <c r="NIW248"/>
      <c r="NIX248"/>
      <c r="NIY248"/>
      <c r="NIZ248"/>
      <c r="NJA248"/>
      <c r="NJB248"/>
      <c r="NJC248"/>
      <c r="NJD248"/>
      <c r="NJE248"/>
      <c r="NJF248"/>
      <c r="NJG248"/>
      <c r="NJH248"/>
      <c r="NJI248"/>
      <c r="NJJ248"/>
      <c r="NJK248"/>
      <c r="NJL248"/>
      <c r="NJM248"/>
      <c r="NJN248"/>
      <c r="NJO248"/>
      <c r="NJP248"/>
      <c r="NJQ248"/>
      <c r="NJR248"/>
      <c r="NJS248"/>
      <c r="NJT248"/>
      <c r="NJU248"/>
      <c r="NJV248"/>
      <c r="NJW248"/>
      <c r="NJX248"/>
      <c r="NJY248"/>
      <c r="NJZ248"/>
      <c r="NKA248"/>
      <c r="NKB248"/>
      <c r="NKC248"/>
      <c r="NKD248"/>
      <c r="NKE248"/>
      <c r="NKF248"/>
      <c r="NKG248"/>
      <c r="NKH248"/>
      <c r="NKI248"/>
      <c r="NKJ248"/>
      <c r="NKK248"/>
      <c r="NKL248"/>
      <c r="NKM248"/>
      <c r="NKN248"/>
      <c r="NKO248"/>
      <c r="NKP248"/>
      <c r="NKQ248"/>
      <c r="NKR248"/>
      <c r="NKS248"/>
      <c r="NKT248"/>
      <c r="NKU248"/>
      <c r="NKV248"/>
      <c r="NKW248"/>
      <c r="NKX248"/>
      <c r="NKY248"/>
      <c r="NKZ248"/>
      <c r="NLA248"/>
      <c r="NLB248"/>
      <c r="NLC248"/>
      <c r="NLD248"/>
      <c r="NLE248"/>
      <c r="NLF248"/>
      <c r="NLG248"/>
      <c r="NLH248"/>
      <c r="NLI248"/>
      <c r="NLJ248"/>
      <c r="NLK248"/>
      <c r="NLL248"/>
      <c r="NLM248"/>
      <c r="NLN248"/>
      <c r="NLO248"/>
      <c r="NLP248"/>
      <c r="NLQ248"/>
      <c r="NLR248"/>
      <c r="NLS248"/>
      <c r="NLT248"/>
      <c r="NLU248"/>
      <c r="NLV248"/>
      <c r="NLW248"/>
      <c r="NLX248"/>
      <c r="NLY248"/>
      <c r="NLZ248"/>
      <c r="NMA248"/>
      <c r="NMB248"/>
      <c r="NMC248"/>
      <c r="NMD248"/>
      <c r="NME248"/>
      <c r="NMF248"/>
      <c r="NMG248"/>
      <c r="NMH248"/>
      <c r="NMI248"/>
      <c r="NMJ248"/>
      <c r="NMK248"/>
      <c r="NML248"/>
      <c r="NMM248"/>
      <c r="NMN248"/>
      <c r="NMO248"/>
      <c r="NMP248"/>
      <c r="NMQ248"/>
      <c r="NMR248"/>
      <c r="NMS248"/>
      <c r="NMT248"/>
      <c r="NMU248"/>
      <c r="NMV248"/>
      <c r="NMW248"/>
      <c r="NMX248"/>
      <c r="NMY248"/>
      <c r="NMZ248"/>
      <c r="NNA248"/>
      <c r="NNB248"/>
      <c r="NNC248"/>
      <c r="NND248"/>
      <c r="NNE248"/>
      <c r="NNF248"/>
      <c r="NNG248"/>
      <c r="NNH248"/>
      <c r="NNI248"/>
      <c r="NNJ248"/>
      <c r="NNK248"/>
      <c r="NNL248"/>
      <c r="NNM248"/>
      <c r="NNN248"/>
      <c r="NNO248"/>
      <c r="NNP248"/>
      <c r="NNQ248"/>
      <c r="NNR248"/>
      <c r="NNS248"/>
      <c r="NNT248"/>
      <c r="NNU248"/>
      <c r="NNV248"/>
      <c r="NNW248"/>
      <c r="NNX248"/>
      <c r="NNY248"/>
      <c r="NNZ248"/>
      <c r="NOA248"/>
      <c r="NOB248"/>
      <c r="NOC248"/>
      <c r="NOD248"/>
      <c r="NOE248"/>
      <c r="NOF248"/>
      <c r="NOG248"/>
      <c r="NOH248"/>
      <c r="NOI248"/>
      <c r="NOJ248"/>
      <c r="NOK248"/>
      <c r="NOL248"/>
      <c r="NOM248"/>
      <c r="NON248"/>
      <c r="NOO248"/>
      <c r="NOP248"/>
      <c r="NOQ248"/>
      <c r="NOR248"/>
      <c r="NOS248"/>
      <c r="NOT248"/>
      <c r="NOU248"/>
      <c r="NOV248"/>
      <c r="NOW248"/>
      <c r="NOX248"/>
      <c r="NOY248"/>
      <c r="NOZ248"/>
      <c r="NPA248"/>
      <c r="NPB248"/>
      <c r="NPC248"/>
      <c r="NPD248"/>
      <c r="NPE248"/>
      <c r="NPF248"/>
      <c r="NPG248"/>
      <c r="NPH248"/>
      <c r="NPI248"/>
      <c r="NPJ248"/>
      <c r="NPK248"/>
      <c r="NPL248"/>
      <c r="NPM248"/>
      <c r="NPN248"/>
      <c r="NPO248"/>
      <c r="NPP248"/>
      <c r="NPQ248"/>
      <c r="NPR248"/>
      <c r="NPS248"/>
      <c r="NPT248"/>
      <c r="NPU248"/>
      <c r="NPV248"/>
      <c r="NPW248"/>
      <c r="NPX248"/>
      <c r="NPY248"/>
      <c r="NPZ248"/>
      <c r="NQA248"/>
      <c r="NQB248"/>
      <c r="NQC248"/>
      <c r="NQD248"/>
      <c r="NQE248"/>
      <c r="NQF248"/>
      <c r="NQG248"/>
      <c r="NQH248"/>
      <c r="NQI248"/>
      <c r="NQJ248"/>
      <c r="NQK248"/>
      <c r="NQL248"/>
      <c r="NQM248"/>
      <c r="NQN248"/>
      <c r="NQO248"/>
      <c r="NQP248"/>
      <c r="NQQ248"/>
      <c r="NQR248"/>
      <c r="NQS248"/>
      <c r="NQT248"/>
      <c r="NQU248"/>
      <c r="NQV248"/>
      <c r="NQW248"/>
      <c r="NQX248"/>
      <c r="NQY248"/>
      <c r="NQZ248"/>
      <c r="NRA248"/>
      <c r="NRB248"/>
      <c r="NRC248"/>
      <c r="NRD248"/>
      <c r="NRE248"/>
      <c r="NRF248"/>
      <c r="NRG248"/>
      <c r="NRH248"/>
      <c r="NRI248"/>
      <c r="NRJ248"/>
      <c r="NRK248"/>
      <c r="NRL248"/>
      <c r="NRM248"/>
      <c r="NRN248"/>
      <c r="NRO248"/>
      <c r="NRP248"/>
      <c r="NRQ248"/>
      <c r="NRR248"/>
      <c r="NRS248"/>
      <c r="NRT248"/>
      <c r="NRU248"/>
      <c r="NRV248"/>
      <c r="NRW248"/>
      <c r="NRX248"/>
      <c r="NRY248"/>
      <c r="NRZ248"/>
      <c r="NSA248"/>
      <c r="NSB248"/>
      <c r="NSC248"/>
      <c r="NSD248"/>
      <c r="NSE248"/>
      <c r="NSF248"/>
      <c r="NSG248"/>
      <c r="NSH248"/>
      <c r="NSI248"/>
      <c r="NSJ248"/>
      <c r="NSK248"/>
      <c r="NSL248"/>
      <c r="NSM248"/>
      <c r="NSN248"/>
      <c r="NSO248"/>
      <c r="NSP248"/>
      <c r="NSQ248"/>
      <c r="NSR248"/>
      <c r="NSS248"/>
      <c r="NST248"/>
      <c r="NSU248"/>
      <c r="NSV248"/>
      <c r="NSW248"/>
      <c r="NSX248"/>
      <c r="NSY248"/>
      <c r="NSZ248"/>
      <c r="NTA248"/>
      <c r="NTB248"/>
      <c r="NTC248"/>
      <c r="NTD248"/>
      <c r="NTE248"/>
      <c r="NTF248"/>
      <c r="NTG248"/>
      <c r="NTH248"/>
      <c r="NTI248"/>
      <c r="NTJ248"/>
      <c r="NTK248"/>
      <c r="NTL248"/>
      <c r="NTM248"/>
      <c r="NTN248"/>
      <c r="NTO248"/>
      <c r="NTP248"/>
      <c r="NTQ248"/>
      <c r="NTR248"/>
      <c r="NTS248"/>
      <c r="NTT248"/>
      <c r="NTU248"/>
      <c r="NTV248"/>
      <c r="NTW248"/>
      <c r="NTX248"/>
      <c r="NTY248"/>
      <c r="NTZ248"/>
      <c r="NUA248"/>
      <c r="NUB248"/>
      <c r="NUC248"/>
      <c r="NUD248"/>
      <c r="NUE248"/>
      <c r="NUF248"/>
      <c r="NUG248"/>
      <c r="NUH248"/>
      <c r="NUI248"/>
      <c r="NUJ248"/>
      <c r="NUK248"/>
      <c r="NUL248"/>
      <c r="NUM248"/>
      <c r="NUN248"/>
      <c r="NUO248"/>
      <c r="NUP248"/>
      <c r="NUQ248"/>
      <c r="NUR248"/>
      <c r="NUS248"/>
      <c r="NUT248"/>
      <c r="NUU248"/>
      <c r="NUV248"/>
      <c r="NUW248"/>
      <c r="NUX248"/>
      <c r="NUY248"/>
      <c r="NUZ248"/>
      <c r="NVA248"/>
      <c r="NVB248"/>
      <c r="NVC248"/>
      <c r="NVD248"/>
      <c r="NVE248"/>
      <c r="NVF248"/>
      <c r="NVG248"/>
      <c r="NVH248"/>
      <c r="NVI248"/>
      <c r="NVJ248"/>
      <c r="NVK248"/>
      <c r="NVL248"/>
      <c r="NVM248"/>
      <c r="NVN248"/>
      <c r="NVO248"/>
      <c r="NVP248"/>
      <c r="NVQ248"/>
      <c r="NVR248"/>
      <c r="NVS248"/>
      <c r="NVT248"/>
      <c r="NVU248"/>
      <c r="NVV248"/>
      <c r="NVW248"/>
      <c r="NVX248"/>
      <c r="NVY248"/>
      <c r="NVZ248"/>
      <c r="NWA248"/>
      <c r="NWB248"/>
      <c r="NWC248"/>
      <c r="NWD248"/>
      <c r="NWE248"/>
      <c r="NWF248"/>
      <c r="NWG248"/>
      <c r="NWH248"/>
      <c r="NWI248"/>
      <c r="NWJ248"/>
      <c r="NWK248"/>
      <c r="NWL248"/>
      <c r="NWM248"/>
      <c r="NWN248"/>
      <c r="NWO248"/>
      <c r="NWP248"/>
      <c r="NWQ248"/>
      <c r="NWR248"/>
      <c r="NWS248"/>
      <c r="NWT248"/>
      <c r="NWU248"/>
      <c r="NWV248"/>
      <c r="NWW248"/>
      <c r="NWX248"/>
      <c r="NWY248"/>
      <c r="NWZ248"/>
      <c r="NXA248"/>
      <c r="NXB248"/>
      <c r="NXC248"/>
      <c r="NXD248"/>
      <c r="NXE248"/>
      <c r="NXF248"/>
      <c r="NXG248"/>
      <c r="NXH248"/>
      <c r="NXI248"/>
      <c r="NXJ248"/>
      <c r="NXK248"/>
      <c r="NXL248"/>
      <c r="NXM248"/>
      <c r="NXN248"/>
      <c r="NXO248"/>
      <c r="NXP248"/>
      <c r="NXQ248"/>
      <c r="NXR248"/>
      <c r="NXS248"/>
      <c r="NXT248"/>
      <c r="NXU248"/>
      <c r="NXV248"/>
      <c r="NXW248"/>
      <c r="NXX248"/>
      <c r="NXY248"/>
      <c r="NXZ248"/>
      <c r="NYA248"/>
      <c r="NYB248"/>
      <c r="NYC248"/>
      <c r="NYD248"/>
      <c r="NYE248"/>
      <c r="NYF248"/>
      <c r="NYG248"/>
      <c r="NYH248"/>
      <c r="NYI248"/>
      <c r="NYJ248"/>
      <c r="NYK248"/>
      <c r="NYL248"/>
      <c r="NYM248"/>
      <c r="NYN248"/>
      <c r="NYO248"/>
      <c r="NYP248"/>
      <c r="NYQ248"/>
      <c r="NYR248"/>
      <c r="NYS248"/>
      <c r="NYT248"/>
      <c r="NYU248"/>
      <c r="NYV248"/>
      <c r="NYW248"/>
      <c r="NYX248"/>
      <c r="NYY248"/>
      <c r="NYZ248"/>
      <c r="NZA248"/>
      <c r="NZB248"/>
      <c r="NZC248"/>
      <c r="NZD248"/>
      <c r="NZE248"/>
      <c r="NZF248"/>
      <c r="NZG248"/>
      <c r="NZH248"/>
      <c r="NZI248"/>
      <c r="NZJ248"/>
      <c r="NZK248"/>
      <c r="NZL248"/>
      <c r="NZM248"/>
      <c r="NZN248"/>
      <c r="NZO248"/>
      <c r="NZP248"/>
      <c r="NZQ248"/>
      <c r="NZR248"/>
      <c r="NZS248"/>
      <c r="NZT248"/>
      <c r="NZU248"/>
      <c r="NZV248"/>
      <c r="NZW248"/>
      <c r="NZX248"/>
      <c r="NZY248"/>
      <c r="NZZ248"/>
      <c r="OAA248"/>
      <c r="OAB248"/>
      <c r="OAC248"/>
      <c r="OAD248"/>
      <c r="OAE248"/>
      <c r="OAF248"/>
      <c r="OAG248"/>
      <c r="OAH248"/>
      <c r="OAI248"/>
      <c r="OAJ248"/>
      <c r="OAK248"/>
      <c r="OAL248"/>
      <c r="OAM248"/>
      <c r="OAN248"/>
      <c r="OAO248"/>
      <c r="OAP248"/>
      <c r="OAQ248"/>
      <c r="OAR248"/>
      <c r="OAS248"/>
      <c r="OAT248"/>
      <c r="OAU248"/>
      <c r="OAV248"/>
      <c r="OAW248"/>
      <c r="OAX248"/>
      <c r="OAY248"/>
      <c r="OAZ248"/>
      <c r="OBA248"/>
      <c r="OBB248"/>
      <c r="OBC248"/>
      <c r="OBD248"/>
      <c r="OBE248"/>
      <c r="OBF248"/>
      <c r="OBG248"/>
      <c r="OBH248"/>
      <c r="OBI248"/>
      <c r="OBJ248"/>
      <c r="OBK248"/>
      <c r="OBL248"/>
      <c r="OBM248"/>
      <c r="OBN248"/>
      <c r="OBO248"/>
      <c r="OBP248"/>
      <c r="OBQ248"/>
      <c r="OBR248"/>
      <c r="OBS248"/>
      <c r="OBT248"/>
      <c r="OBU248"/>
      <c r="OBV248"/>
      <c r="OBW248"/>
      <c r="OBX248"/>
      <c r="OBY248"/>
      <c r="OBZ248"/>
      <c r="OCA248"/>
      <c r="OCB248"/>
      <c r="OCC248"/>
      <c r="OCD248"/>
      <c r="OCE248"/>
      <c r="OCF248"/>
      <c r="OCG248"/>
      <c r="OCH248"/>
      <c r="OCI248"/>
      <c r="OCJ248"/>
      <c r="OCK248"/>
      <c r="OCL248"/>
      <c r="OCM248"/>
      <c r="OCN248"/>
      <c r="OCO248"/>
      <c r="OCP248"/>
      <c r="OCQ248"/>
      <c r="OCR248"/>
      <c r="OCS248"/>
      <c r="OCT248"/>
      <c r="OCU248"/>
      <c r="OCV248"/>
      <c r="OCW248"/>
      <c r="OCX248"/>
      <c r="OCY248"/>
      <c r="OCZ248"/>
      <c r="ODA248"/>
      <c r="ODB248"/>
      <c r="ODC248"/>
      <c r="ODD248"/>
      <c r="ODE248"/>
      <c r="ODF248"/>
      <c r="ODG248"/>
      <c r="ODH248"/>
      <c r="ODI248"/>
      <c r="ODJ248"/>
      <c r="ODK248"/>
      <c r="ODL248"/>
      <c r="ODM248"/>
      <c r="ODN248"/>
      <c r="ODO248"/>
      <c r="ODP248"/>
      <c r="ODQ248"/>
      <c r="ODR248"/>
      <c r="ODS248"/>
      <c r="ODT248"/>
      <c r="ODU248"/>
      <c r="ODV248"/>
      <c r="ODW248"/>
      <c r="ODX248"/>
      <c r="ODY248"/>
      <c r="ODZ248"/>
      <c r="OEA248"/>
      <c r="OEB248"/>
      <c r="OEC248"/>
      <c r="OED248"/>
      <c r="OEE248"/>
      <c r="OEF248"/>
      <c r="OEG248"/>
      <c r="OEH248"/>
      <c r="OEI248"/>
      <c r="OEJ248"/>
      <c r="OEK248"/>
      <c r="OEL248"/>
      <c r="OEM248"/>
      <c r="OEN248"/>
      <c r="OEO248"/>
      <c r="OEP248"/>
      <c r="OEQ248"/>
      <c r="OER248"/>
      <c r="OES248"/>
      <c r="OET248"/>
      <c r="OEU248"/>
      <c r="OEV248"/>
      <c r="OEW248"/>
      <c r="OEX248"/>
      <c r="OEY248"/>
      <c r="OEZ248"/>
      <c r="OFA248"/>
      <c r="OFB248"/>
      <c r="OFC248"/>
      <c r="OFD248"/>
      <c r="OFE248"/>
      <c r="OFF248"/>
      <c r="OFG248"/>
      <c r="OFH248"/>
      <c r="OFI248"/>
      <c r="OFJ248"/>
      <c r="OFK248"/>
      <c r="OFL248"/>
      <c r="OFM248"/>
      <c r="OFN248"/>
      <c r="OFO248"/>
      <c r="OFP248"/>
      <c r="OFQ248"/>
      <c r="OFR248"/>
      <c r="OFS248"/>
      <c r="OFT248"/>
      <c r="OFU248"/>
      <c r="OFV248"/>
      <c r="OFW248"/>
      <c r="OFX248"/>
      <c r="OFY248"/>
      <c r="OFZ248"/>
      <c r="OGA248"/>
      <c r="OGB248"/>
      <c r="OGC248"/>
      <c r="OGD248"/>
      <c r="OGE248"/>
      <c r="OGF248"/>
      <c r="OGG248"/>
      <c r="OGH248"/>
      <c r="OGI248"/>
      <c r="OGJ248"/>
      <c r="OGK248"/>
      <c r="OGL248"/>
      <c r="OGM248"/>
      <c r="OGN248"/>
      <c r="OGO248"/>
      <c r="OGP248"/>
      <c r="OGQ248"/>
      <c r="OGR248"/>
      <c r="OGS248"/>
      <c r="OGT248"/>
      <c r="OGU248"/>
      <c r="OGV248"/>
      <c r="OGW248"/>
      <c r="OGX248"/>
      <c r="OGY248"/>
      <c r="OGZ248"/>
      <c r="OHA248"/>
      <c r="OHB248"/>
      <c r="OHC248"/>
      <c r="OHD248"/>
      <c r="OHE248"/>
      <c r="OHF248"/>
      <c r="OHG248"/>
      <c r="OHH248"/>
      <c r="OHI248"/>
      <c r="OHJ248"/>
      <c r="OHK248"/>
      <c r="OHL248"/>
      <c r="OHM248"/>
      <c r="OHN248"/>
      <c r="OHO248"/>
      <c r="OHP248"/>
      <c r="OHQ248"/>
      <c r="OHR248"/>
      <c r="OHS248"/>
      <c r="OHT248"/>
      <c r="OHU248"/>
      <c r="OHV248"/>
      <c r="OHW248"/>
      <c r="OHX248"/>
      <c r="OHY248"/>
      <c r="OHZ248"/>
      <c r="OIA248"/>
      <c r="OIB248"/>
      <c r="OIC248"/>
      <c r="OID248"/>
      <c r="OIE248"/>
      <c r="OIF248"/>
      <c r="OIG248"/>
      <c r="OIH248"/>
      <c r="OII248"/>
      <c r="OIJ248"/>
      <c r="OIK248"/>
      <c r="OIL248"/>
      <c r="OIM248"/>
      <c r="OIN248"/>
      <c r="OIO248"/>
      <c r="OIP248"/>
      <c r="OIQ248"/>
      <c r="OIR248"/>
      <c r="OIS248"/>
      <c r="OIT248"/>
      <c r="OIU248"/>
      <c r="OIV248"/>
      <c r="OIW248"/>
      <c r="OIX248"/>
      <c r="OIY248"/>
      <c r="OIZ248"/>
      <c r="OJA248"/>
      <c r="OJB248"/>
      <c r="OJC248"/>
      <c r="OJD248"/>
      <c r="OJE248"/>
      <c r="OJF248"/>
      <c r="OJG248"/>
      <c r="OJH248"/>
      <c r="OJI248"/>
      <c r="OJJ248"/>
      <c r="OJK248"/>
      <c r="OJL248"/>
      <c r="OJM248"/>
      <c r="OJN248"/>
      <c r="OJO248"/>
      <c r="OJP248"/>
      <c r="OJQ248"/>
      <c r="OJR248"/>
      <c r="OJS248"/>
      <c r="OJT248"/>
      <c r="OJU248"/>
      <c r="OJV248"/>
      <c r="OJW248"/>
      <c r="OJX248"/>
      <c r="OJY248"/>
      <c r="OJZ248"/>
      <c r="OKA248"/>
      <c r="OKB248"/>
      <c r="OKC248"/>
      <c r="OKD248"/>
      <c r="OKE248"/>
      <c r="OKF248"/>
      <c r="OKG248"/>
      <c r="OKH248"/>
      <c r="OKI248"/>
      <c r="OKJ248"/>
      <c r="OKK248"/>
      <c r="OKL248"/>
      <c r="OKM248"/>
      <c r="OKN248"/>
      <c r="OKO248"/>
      <c r="OKP248"/>
      <c r="OKQ248"/>
      <c r="OKR248"/>
      <c r="OKS248"/>
      <c r="OKT248"/>
      <c r="OKU248"/>
      <c r="OKV248"/>
      <c r="OKW248"/>
      <c r="OKX248"/>
      <c r="OKY248"/>
      <c r="OKZ248"/>
      <c r="OLA248"/>
      <c r="OLB248"/>
      <c r="OLC248"/>
      <c r="OLD248"/>
      <c r="OLE248"/>
      <c r="OLF248"/>
      <c r="OLG248"/>
      <c r="OLH248"/>
      <c r="OLI248"/>
      <c r="OLJ248"/>
      <c r="OLK248"/>
      <c r="OLL248"/>
      <c r="OLM248"/>
      <c r="OLN248"/>
      <c r="OLO248"/>
      <c r="OLP248"/>
      <c r="OLQ248"/>
      <c r="OLR248"/>
      <c r="OLS248"/>
      <c r="OLT248"/>
      <c r="OLU248"/>
      <c r="OLV248"/>
      <c r="OLW248"/>
      <c r="OLX248"/>
      <c r="OLY248"/>
      <c r="OLZ248"/>
      <c r="OMA248"/>
      <c r="OMB248"/>
      <c r="OMC248"/>
      <c r="OMD248"/>
      <c r="OME248"/>
      <c r="OMF248"/>
      <c r="OMG248"/>
      <c r="OMH248"/>
      <c r="OMI248"/>
      <c r="OMJ248"/>
      <c r="OMK248"/>
      <c r="OML248"/>
      <c r="OMM248"/>
      <c r="OMN248"/>
      <c r="OMO248"/>
      <c r="OMP248"/>
      <c r="OMQ248"/>
      <c r="OMR248"/>
      <c r="OMS248"/>
      <c r="OMT248"/>
      <c r="OMU248"/>
      <c r="OMV248"/>
      <c r="OMW248"/>
      <c r="OMX248"/>
      <c r="OMY248"/>
      <c r="OMZ248"/>
      <c r="ONA248"/>
      <c r="ONB248"/>
      <c r="ONC248"/>
      <c r="OND248"/>
      <c r="ONE248"/>
      <c r="ONF248"/>
      <c r="ONG248"/>
      <c r="ONH248"/>
      <c r="ONI248"/>
      <c r="ONJ248"/>
      <c r="ONK248"/>
      <c r="ONL248"/>
      <c r="ONM248"/>
      <c r="ONN248"/>
      <c r="ONO248"/>
      <c r="ONP248"/>
      <c r="ONQ248"/>
      <c r="ONR248"/>
      <c r="ONS248"/>
      <c r="ONT248"/>
      <c r="ONU248"/>
      <c r="ONV248"/>
      <c r="ONW248"/>
      <c r="ONX248"/>
      <c r="ONY248"/>
      <c r="ONZ248"/>
      <c r="OOA248"/>
      <c r="OOB248"/>
      <c r="OOC248"/>
      <c r="OOD248"/>
      <c r="OOE248"/>
      <c r="OOF248"/>
      <c r="OOG248"/>
      <c r="OOH248"/>
      <c r="OOI248"/>
      <c r="OOJ248"/>
      <c r="OOK248"/>
      <c r="OOL248"/>
      <c r="OOM248"/>
      <c r="OON248"/>
      <c r="OOO248"/>
      <c r="OOP248"/>
      <c r="OOQ248"/>
      <c r="OOR248"/>
      <c r="OOS248"/>
      <c r="OOT248"/>
      <c r="OOU248"/>
      <c r="OOV248"/>
      <c r="OOW248"/>
      <c r="OOX248"/>
      <c r="OOY248"/>
      <c r="OOZ248"/>
      <c r="OPA248"/>
      <c r="OPB248"/>
      <c r="OPC248"/>
      <c r="OPD248"/>
      <c r="OPE248"/>
      <c r="OPF248"/>
      <c r="OPG248"/>
      <c r="OPH248"/>
      <c r="OPI248"/>
      <c r="OPJ248"/>
      <c r="OPK248"/>
      <c r="OPL248"/>
      <c r="OPM248"/>
      <c r="OPN248"/>
      <c r="OPO248"/>
      <c r="OPP248"/>
      <c r="OPQ248"/>
      <c r="OPR248"/>
      <c r="OPS248"/>
      <c r="OPT248"/>
      <c r="OPU248"/>
      <c r="OPV248"/>
      <c r="OPW248"/>
      <c r="OPX248"/>
      <c r="OPY248"/>
      <c r="OPZ248"/>
      <c r="OQA248"/>
      <c r="OQB248"/>
      <c r="OQC248"/>
      <c r="OQD248"/>
      <c r="OQE248"/>
      <c r="OQF248"/>
      <c r="OQG248"/>
      <c r="OQH248"/>
      <c r="OQI248"/>
      <c r="OQJ248"/>
      <c r="OQK248"/>
      <c r="OQL248"/>
      <c r="OQM248"/>
      <c r="OQN248"/>
      <c r="OQO248"/>
      <c r="OQP248"/>
      <c r="OQQ248"/>
      <c r="OQR248"/>
      <c r="OQS248"/>
      <c r="OQT248"/>
      <c r="OQU248"/>
      <c r="OQV248"/>
      <c r="OQW248"/>
      <c r="OQX248"/>
      <c r="OQY248"/>
      <c r="OQZ248"/>
      <c r="ORA248"/>
      <c r="ORB248"/>
      <c r="ORC248"/>
      <c r="ORD248"/>
      <c r="ORE248"/>
      <c r="ORF248"/>
      <c r="ORG248"/>
      <c r="ORH248"/>
      <c r="ORI248"/>
      <c r="ORJ248"/>
      <c r="ORK248"/>
      <c r="ORL248"/>
      <c r="ORM248"/>
      <c r="ORN248"/>
      <c r="ORO248"/>
      <c r="ORP248"/>
      <c r="ORQ248"/>
      <c r="ORR248"/>
      <c r="ORS248"/>
      <c r="ORT248"/>
      <c r="ORU248"/>
      <c r="ORV248"/>
      <c r="ORW248"/>
      <c r="ORX248"/>
      <c r="ORY248"/>
      <c r="ORZ248"/>
      <c r="OSA248"/>
      <c r="OSB248"/>
      <c r="OSC248"/>
      <c r="OSD248"/>
      <c r="OSE248"/>
      <c r="OSF248"/>
      <c r="OSG248"/>
      <c r="OSH248"/>
      <c r="OSI248"/>
      <c r="OSJ248"/>
      <c r="OSK248"/>
      <c r="OSL248"/>
      <c r="OSM248"/>
      <c r="OSN248"/>
      <c r="OSO248"/>
      <c r="OSP248"/>
      <c r="OSQ248"/>
      <c r="OSR248"/>
      <c r="OSS248"/>
      <c r="OST248"/>
      <c r="OSU248"/>
      <c r="OSV248"/>
      <c r="OSW248"/>
      <c r="OSX248"/>
      <c r="OSY248"/>
      <c r="OSZ248"/>
      <c r="OTA248"/>
      <c r="OTB248"/>
      <c r="OTC248"/>
      <c r="OTD248"/>
      <c r="OTE248"/>
      <c r="OTF248"/>
      <c r="OTG248"/>
      <c r="OTH248"/>
      <c r="OTI248"/>
      <c r="OTJ248"/>
      <c r="OTK248"/>
      <c r="OTL248"/>
      <c r="OTM248"/>
      <c r="OTN248"/>
      <c r="OTO248"/>
      <c r="OTP248"/>
      <c r="OTQ248"/>
      <c r="OTR248"/>
      <c r="OTS248"/>
      <c r="OTT248"/>
      <c r="OTU248"/>
      <c r="OTV248"/>
      <c r="OTW248"/>
      <c r="OTX248"/>
      <c r="OTY248"/>
      <c r="OTZ248"/>
      <c r="OUA248"/>
      <c r="OUB248"/>
      <c r="OUC248"/>
      <c r="OUD248"/>
      <c r="OUE248"/>
      <c r="OUF248"/>
      <c r="OUG248"/>
      <c r="OUH248"/>
      <c r="OUI248"/>
      <c r="OUJ248"/>
      <c r="OUK248"/>
      <c r="OUL248"/>
      <c r="OUM248"/>
      <c r="OUN248"/>
      <c r="OUO248"/>
      <c r="OUP248"/>
      <c r="OUQ248"/>
      <c r="OUR248"/>
      <c r="OUS248"/>
      <c r="OUT248"/>
      <c r="OUU248"/>
      <c r="OUV248"/>
      <c r="OUW248"/>
      <c r="OUX248"/>
      <c r="OUY248"/>
      <c r="OUZ248"/>
      <c r="OVA248"/>
      <c r="OVB248"/>
      <c r="OVC248"/>
      <c r="OVD248"/>
      <c r="OVE248"/>
      <c r="OVF248"/>
      <c r="OVG248"/>
      <c r="OVH248"/>
      <c r="OVI248"/>
      <c r="OVJ248"/>
      <c r="OVK248"/>
      <c r="OVL248"/>
      <c r="OVM248"/>
      <c r="OVN248"/>
      <c r="OVO248"/>
      <c r="OVP248"/>
      <c r="OVQ248"/>
      <c r="OVR248"/>
      <c r="OVS248"/>
      <c r="OVT248"/>
      <c r="OVU248"/>
      <c r="OVV248"/>
      <c r="OVW248"/>
      <c r="OVX248"/>
      <c r="OVY248"/>
      <c r="OVZ248"/>
      <c r="OWA248"/>
      <c r="OWB248"/>
      <c r="OWC248"/>
      <c r="OWD248"/>
      <c r="OWE248"/>
      <c r="OWF248"/>
      <c r="OWG248"/>
      <c r="OWH248"/>
      <c r="OWI248"/>
      <c r="OWJ248"/>
      <c r="OWK248"/>
      <c r="OWL248"/>
      <c r="OWM248"/>
      <c r="OWN248"/>
      <c r="OWO248"/>
      <c r="OWP248"/>
      <c r="OWQ248"/>
      <c r="OWR248"/>
      <c r="OWS248"/>
      <c r="OWT248"/>
      <c r="OWU248"/>
      <c r="OWV248"/>
      <c r="OWW248"/>
      <c r="OWX248"/>
      <c r="OWY248"/>
      <c r="OWZ248"/>
      <c r="OXA248"/>
      <c r="OXB248"/>
      <c r="OXC248"/>
      <c r="OXD248"/>
      <c r="OXE248"/>
      <c r="OXF248"/>
      <c r="OXG248"/>
      <c r="OXH248"/>
      <c r="OXI248"/>
      <c r="OXJ248"/>
      <c r="OXK248"/>
      <c r="OXL248"/>
      <c r="OXM248"/>
      <c r="OXN248"/>
      <c r="OXO248"/>
      <c r="OXP248"/>
      <c r="OXQ248"/>
      <c r="OXR248"/>
      <c r="OXS248"/>
      <c r="OXT248"/>
      <c r="OXU248"/>
      <c r="OXV248"/>
      <c r="OXW248"/>
      <c r="OXX248"/>
      <c r="OXY248"/>
      <c r="OXZ248"/>
      <c r="OYA248"/>
      <c r="OYB248"/>
      <c r="OYC248"/>
      <c r="OYD248"/>
      <c r="OYE248"/>
      <c r="OYF248"/>
      <c r="OYG248"/>
      <c r="OYH248"/>
      <c r="OYI248"/>
      <c r="OYJ248"/>
      <c r="OYK248"/>
      <c r="OYL248"/>
      <c r="OYM248"/>
      <c r="OYN248"/>
      <c r="OYO248"/>
      <c r="OYP248"/>
      <c r="OYQ248"/>
      <c r="OYR248"/>
      <c r="OYS248"/>
      <c r="OYT248"/>
      <c r="OYU248"/>
      <c r="OYV248"/>
      <c r="OYW248"/>
      <c r="OYX248"/>
      <c r="OYY248"/>
      <c r="OYZ248"/>
      <c r="OZA248"/>
      <c r="OZB248"/>
      <c r="OZC248"/>
      <c r="OZD248"/>
      <c r="OZE248"/>
      <c r="OZF248"/>
      <c r="OZG248"/>
      <c r="OZH248"/>
      <c r="OZI248"/>
      <c r="OZJ248"/>
      <c r="OZK248"/>
      <c r="OZL248"/>
      <c r="OZM248"/>
      <c r="OZN248"/>
      <c r="OZO248"/>
      <c r="OZP248"/>
      <c r="OZQ248"/>
      <c r="OZR248"/>
      <c r="OZS248"/>
      <c r="OZT248"/>
      <c r="OZU248"/>
      <c r="OZV248"/>
      <c r="OZW248"/>
      <c r="OZX248"/>
      <c r="OZY248"/>
      <c r="OZZ248"/>
      <c r="PAA248"/>
      <c r="PAB248"/>
      <c r="PAC248"/>
      <c r="PAD248"/>
      <c r="PAE248"/>
      <c r="PAF248"/>
      <c r="PAG248"/>
      <c r="PAH248"/>
      <c r="PAI248"/>
      <c r="PAJ248"/>
      <c r="PAK248"/>
      <c r="PAL248"/>
      <c r="PAM248"/>
      <c r="PAN248"/>
      <c r="PAO248"/>
      <c r="PAP248"/>
      <c r="PAQ248"/>
      <c r="PAR248"/>
      <c r="PAS248"/>
      <c r="PAT248"/>
      <c r="PAU248"/>
      <c r="PAV248"/>
      <c r="PAW248"/>
      <c r="PAX248"/>
      <c r="PAY248"/>
      <c r="PAZ248"/>
      <c r="PBA248"/>
      <c r="PBB248"/>
      <c r="PBC248"/>
      <c r="PBD248"/>
      <c r="PBE248"/>
      <c r="PBF248"/>
      <c r="PBG248"/>
      <c r="PBH248"/>
      <c r="PBI248"/>
      <c r="PBJ248"/>
      <c r="PBK248"/>
      <c r="PBL248"/>
      <c r="PBM248"/>
      <c r="PBN248"/>
      <c r="PBO248"/>
      <c r="PBP248"/>
      <c r="PBQ248"/>
      <c r="PBR248"/>
      <c r="PBS248"/>
      <c r="PBT248"/>
      <c r="PBU248"/>
      <c r="PBV248"/>
      <c r="PBW248"/>
      <c r="PBX248"/>
      <c r="PBY248"/>
      <c r="PBZ248"/>
      <c r="PCA248"/>
      <c r="PCB248"/>
      <c r="PCC248"/>
      <c r="PCD248"/>
      <c r="PCE248"/>
      <c r="PCF248"/>
      <c r="PCG248"/>
      <c r="PCH248"/>
      <c r="PCI248"/>
      <c r="PCJ248"/>
      <c r="PCK248"/>
      <c r="PCL248"/>
      <c r="PCM248"/>
      <c r="PCN248"/>
      <c r="PCO248"/>
      <c r="PCP248"/>
      <c r="PCQ248"/>
      <c r="PCR248"/>
      <c r="PCS248"/>
      <c r="PCT248"/>
      <c r="PCU248"/>
      <c r="PCV248"/>
      <c r="PCW248"/>
      <c r="PCX248"/>
      <c r="PCY248"/>
      <c r="PCZ248"/>
      <c r="PDA248"/>
      <c r="PDB248"/>
      <c r="PDC248"/>
      <c r="PDD248"/>
      <c r="PDE248"/>
      <c r="PDF248"/>
      <c r="PDG248"/>
      <c r="PDH248"/>
      <c r="PDI248"/>
      <c r="PDJ248"/>
      <c r="PDK248"/>
      <c r="PDL248"/>
      <c r="PDM248"/>
      <c r="PDN248"/>
      <c r="PDO248"/>
      <c r="PDP248"/>
      <c r="PDQ248"/>
      <c r="PDR248"/>
      <c r="PDS248"/>
      <c r="PDT248"/>
      <c r="PDU248"/>
      <c r="PDV248"/>
      <c r="PDW248"/>
      <c r="PDX248"/>
      <c r="PDY248"/>
      <c r="PDZ248"/>
      <c r="PEA248"/>
      <c r="PEB248"/>
      <c r="PEC248"/>
      <c r="PED248"/>
      <c r="PEE248"/>
      <c r="PEF248"/>
      <c r="PEG248"/>
      <c r="PEH248"/>
      <c r="PEI248"/>
      <c r="PEJ248"/>
      <c r="PEK248"/>
      <c r="PEL248"/>
      <c r="PEM248"/>
      <c r="PEN248"/>
      <c r="PEO248"/>
      <c r="PEP248"/>
      <c r="PEQ248"/>
      <c r="PER248"/>
      <c r="PES248"/>
      <c r="PET248"/>
      <c r="PEU248"/>
      <c r="PEV248"/>
      <c r="PEW248"/>
      <c r="PEX248"/>
      <c r="PEY248"/>
      <c r="PEZ248"/>
      <c r="PFA248"/>
      <c r="PFB248"/>
      <c r="PFC248"/>
      <c r="PFD248"/>
      <c r="PFE248"/>
      <c r="PFF248"/>
      <c r="PFG248"/>
      <c r="PFH248"/>
      <c r="PFI248"/>
      <c r="PFJ248"/>
      <c r="PFK248"/>
      <c r="PFL248"/>
      <c r="PFM248"/>
      <c r="PFN248"/>
      <c r="PFO248"/>
      <c r="PFP248"/>
      <c r="PFQ248"/>
      <c r="PFR248"/>
      <c r="PFS248"/>
      <c r="PFT248"/>
      <c r="PFU248"/>
      <c r="PFV248"/>
      <c r="PFW248"/>
      <c r="PFX248"/>
      <c r="PFY248"/>
      <c r="PFZ248"/>
      <c r="PGA248"/>
      <c r="PGB248"/>
      <c r="PGC248"/>
      <c r="PGD248"/>
      <c r="PGE248"/>
      <c r="PGF248"/>
      <c r="PGG248"/>
      <c r="PGH248"/>
      <c r="PGI248"/>
      <c r="PGJ248"/>
      <c r="PGK248"/>
      <c r="PGL248"/>
      <c r="PGM248"/>
      <c r="PGN248"/>
      <c r="PGO248"/>
      <c r="PGP248"/>
      <c r="PGQ248"/>
      <c r="PGR248"/>
      <c r="PGS248"/>
      <c r="PGT248"/>
      <c r="PGU248"/>
      <c r="PGV248"/>
      <c r="PGW248"/>
      <c r="PGX248"/>
      <c r="PGY248"/>
      <c r="PGZ248"/>
      <c r="PHA248"/>
      <c r="PHB248"/>
      <c r="PHC248"/>
      <c r="PHD248"/>
      <c r="PHE248"/>
      <c r="PHF248"/>
      <c r="PHG248"/>
      <c r="PHH248"/>
      <c r="PHI248"/>
      <c r="PHJ248"/>
      <c r="PHK248"/>
      <c r="PHL248"/>
      <c r="PHM248"/>
      <c r="PHN248"/>
      <c r="PHO248"/>
      <c r="PHP248"/>
      <c r="PHQ248"/>
      <c r="PHR248"/>
      <c r="PHS248"/>
      <c r="PHT248"/>
      <c r="PHU248"/>
      <c r="PHV248"/>
      <c r="PHW248"/>
      <c r="PHX248"/>
      <c r="PHY248"/>
      <c r="PHZ248"/>
      <c r="PIA248"/>
      <c r="PIB248"/>
      <c r="PIC248"/>
      <c r="PID248"/>
      <c r="PIE248"/>
      <c r="PIF248"/>
      <c r="PIG248"/>
      <c r="PIH248"/>
      <c r="PII248"/>
      <c r="PIJ248"/>
      <c r="PIK248"/>
      <c r="PIL248"/>
      <c r="PIM248"/>
      <c r="PIN248"/>
      <c r="PIO248"/>
      <c r="PIP248"/>
      <c r="PIQ248"/>
      <c r="PIR248"/>
      <c r="PIS248"/>
      <c r="PIT248"/>
      <c r="PIU248"/>
      <c r="PIV248"/>
      <c r="PIW248"/>
      <c r="PIX248"/>
      <c r="PIY248"/>
      <c r="PIZ248"/>
      <c r="PJA248"/>
      <c r="PJB248"/>
      <c r="PJC248"/>
      <c r="PJD248"/>
      <c r="PJE248"/>
      <c r="PJF248"/>
      <c r="PJG248"/>
      <c r="PJH248"/>
      <c r="PJI248"/>
      <c r="PJJ248"/>
      <c r="PJK248"/>
      <c r="PJL248"/>
      <c r="PJM248"/>
      <c r="PJN248"/>
      <c r="PJO248"/>
      <c r="PJP248"/>
      <c r="PJQ248"/>
      <c r="PJR248"/>
      <c r="PJS248"/>
      <c r="PJT248"/>
      <c r="PJU248"/>
      <c r="PJV248"/>
      <c r="PJW248"/>
      <c r="PJX248"/>
      <c r="PJY248"/>
      <c r="PJZ248"/>
      <c r="PKA248"/>
      <c r="PKB248"/>
      <c r="PKC248"/>
      <c r="PKD248"/>
      <c r="PKE248"/>
      <c r="PKF248"/>
      <c r="PKG248"/>
      <c r="PKH248"/>
      <c r="PKI248"/>
      <c r="PKJ248"/>
      <c r="PKK248"/>
      <c r="PKL248"/>
      <c r="PKM248"/>
      <c r="PKN248"/>
      <c r="PKO248"/>
      <c r="PKP248"/>
      <c r="PKQ248"/>
      <c r="PKR248"/>
      <c r="PKS248"/>
      <c r="PKT248"/>
      <c r="PKU248"/>
      <c r="PKV248"/>
      <c r="PKW248"/>
      <c r="PKX248"/>
      <c r="PKY248"/>
      <c r="PKZ248"/>
      <c r="PLA248"/>
      <c r="PLB248"/>
      <c r="PLC248"/>
      <c r="PLD248"/>
      <c r="PLE248"/>
      <c r="PLF248"/>
      <c r="PLG248"/>
      <c r="PLH248"/>
      <c r="PLI248"/>
      <c r="PLJ248"/>
      <c r="PLK248"/>
      <c r="PLL248"/>
      <c r="PLM248"/>
      <c r="PLN248"/>
      <c r="PLO248"/>
      <c r="PLP248"/>
      <c r="PLQ248"/>
      <c r="PLR248"/>
      <c r="PLS248"/>
      <c r="PLT248"/>
      <c r="PLU248"/>
      <c r="PLV248"/>
      <c r="PLW248"/>
      <c r="PLX248"/>
      <c r="PLY248"/>
      <c r="PLZ248"/>
      <c r="PMA248"/>
      <c r="PMB248"/>
      <c r="PMC248"/>
      <c r="PMD248"/>
      <c r="PME248"/>
      <c r="PMF248"/>
      <c r="PMG248"/>
      <c r="PMH248"/>
      <c r="PMI248"/>
      <c r="PMJ248"/>
      <c r="PMK248"/>
      <c r="PML248"/>
      <c r="PMM248"/>
      <c r="PMN248"/>
      <c r="PMO248"/>
      <c r="PMP248"/>
      <c r="PMQ248"/>
      <c r="PMR248"/>
      <c r="PMS248"/>
      <c r="PMT248"/>
      <c r="PMU248"/>
      <c r="PMV248"/>
      <c r="PMW248"/>
      <c r="PMX248"/>
      <c r="PMY248"/>
      <c r="PMZ248"/>
      <c r="PNA248"/>
      <c r="PNB248"/>
      <c r="PNC248"/>
      <c r="PND248"/>
      <c r="PNE248"/>
      <c r="PNF248"/>
      <c r="PNG248"/>
      <c r="PNH248"/>
      <c r="PNI248"/>
      <c r="PNJ248"/>
      <c r="PNK248"/>
      <c r="PNL248"/>
      <c r="PNM248"/>
      <c r="PNN248"/>
      <c r="PNO248"/>
      <c r="PNP248"/>
      <c r="PNQ248"/>
      <c r="PNR248"/>
      <c r="PNS248"/>
      <c r="PNT248"/>
      <c r="PNU248"/>
      <c r="PNV248"/>
      <c r="PNW248"/>
      <c r="PNX248"/>
      <c r="PNY248"/>
      <c r="PNZ248"/>
      <c r="POA248"/>
      <c r="POB248"/>
      <c r="POC248"/>
      <c r="POD248"/>
      <c r="POE248"/>
      <c r="POF248"/>
      <c r="POG248"/>
      <c r="POH248"/>
      <c r="POI248"/>
      <c r="POJ248"/>
      <c r="POK248"/>
      <c r="POL248"/>
      <c r="POM248"/>
      <c r="PON248"/>
      <c r="POO248"/>
      <c r="POP248"/>
      <c r="POQ248"/>
      <c r="POR248"/>
      <c r="POS248"/>
      <c r="POT248"/>
      <c r="POU248"/>
      <c r="POV248"/>
      <c r="POW248"/>
      <c r="POX248"/>
      <c r="POY248"/>
      <c r="POZ248"/>
      <c r="PPA248"/>
      <c r="PPB248"/>
      <c r="PPC248"/>
      <c r="PPD248"/>
      <c r="PPE248"/>
      <c r="PPF248"/>
      <c r="PPG248"/>
      <c r="PPH248"/>
      <c r="PPI248"/>
      <c r="PPJ248"/>
      <c r="PPK248"/>
      <c r="PPL248"/>
      <c r="PPM248"/>
      <c r="PPN248"/>
      <c r="PPO248"/>
      <c r="PPP248"/>
      <c r="PPQ248"/>
      <c r="PPR248"/>
      <c r="PPS248"/>
      <c r="PPT248"/>
      <c r="PPU248"/>
      <c r="PPV248"/>
      <c r="PPW248"/>
      <c r="PPX248"/>
      <c r="PPY248"/>
      <c r="PPZ248"/>
      <c r="PQA248"/>
      <c r="PQB248"/>
      <c r="PQC248"/>
      <c r="PQD248"/>
      <c r="PQE248"/>
      <c r="PQF248"/>
      <c r="PQG248"/>
      <c r="PQH248"/>
      <c r="PQI248"/>
      <c r="PQJ248"/>
      <c r="PQK248"/>
      <c r="PQL248"/>
      <c r="PQM248"/>
      <c r="PQN248"/>
      <c r="PQO248"/>
      <c r="PQP248"/>
      <c r="PQQ248"/>
      <c r="PQR248"/>
      <c r="PQS248"/>
      <c r="PQT248"/>
      <c r="PQU248"/>
      <c r="PQV248"/>
      <c r="PQW248"/>
      <c r="PQX248"/>
      <c r="PQY248"/>
      <c r="PQZ248"/>
      <c r="PRA248"/>
      <c r="PRB248"/>
      <c r="PRC248"/>
      <c r="PRD248"/>
      <c r="PRE248"/>
      <c r="PRF248"/>
      <c r="PRG248"/>
      <c r="PRH248"/>
      <c r="PRI248"/>
      <c r="PRJ248"/>
      <c r="PRK248"/>
      <c r="PRL248"/>
      <c r="PRM248"/>
      <c r="PRN248"/>
      <c r="PRO248"/>
      <c r="PRP248"/>
      <c r="PRQ248"/>
      <c r="PRR248"/>
      <c r="PRS248"/>
      <c r="PRT248"/>
      <c r="PRU248"/>
      <c r="PRV248"/>
      <c r="PRW248"/>
      <c r="PRX248"/>
      <c r="PRY248"/>
      <c r="PRZ248"/>
      <c r="PSA248"/>
      <c r="PSB248"/>
      <c r="PSC248"/>
      <c r="PSD248"/>
      <c r="PSE248"/>
      <c r="PSF248"/>
      <c r="PSG248"/>
      <c r="PSH248"/>
      <c r="PSI248"/>
      <c r="PSJ248"/>
      <c r="PSK248"/>
      <c r="PSL248"/>
      <c r="PSM248"/>
      <c r="PSN248"/>
      <c r="PSO248"/>
      <c r="PSP248"/>
      <c r="PSQ248"/>
      <c r="PSR248"/>
      <c r="PSS248"/>
      <c r="PST248"/>
      <c r="PSU248"/>
      <c r="PSV248"/>
      <c r="PSW248"/>
      <c r="PSX248"/>
      <c r="PSY248"/>
      <c r="PSZ248"/>
      <c r="PTA248"/>
      <c r="PTB248"/>
      <c r="PTC248"/>
      <c r="PTD248"/>
      <c r="PTE248"/>
      <c r="PTF248"/>
      <c r="PTG248"/>
      <c r="PTH248"/>
      <c r="PTI248"/>
      <c r="PTJ248"/>
      <c r="PTK248"/>
      <c r="PTL248"/>
      <c r="PTM248"/>
      <c r="PTN248"/>
      <c r="PTO248"/>
      <c r="PTP248"/>
      <c r="PTQ248"/>
      <c r="PTR248"/>
      <c r="PTS248"/>
      <c r="PTT248"/>
      <c r="PTU248"/>
      <c r="PTV248"/>
      <c r="PTW248"/>
      <c r="PTX248"/>
      <c r="PTY248"/>
      <c r="PTZ248"/>
      <c r="PUA248"/>
      <c r="PUB248"/>
      <c r="PUC248"/>
      <c r="PUD248"/>
      <c r="PUE248"/>
      <c r="PUF248"/>
      <c r="PUG248"/>
      <c r="PUH248"/>
      <c r="PUI248"/>
      <c r="PUJ248"/>
      <c r="PUK248"/>
      <c r="PUL248"/>
      <c r="PUM248"/>
      <c r="PUN248"/>
      <c r="PUO248"/>
      <c r="PUP248"/>
      <c r="PUQ248"/>
      <c r="PUR248"/>
      <c r="PUS248"/>
      <c r="PUT248"/>
      <c r="PUU248"/>
      <c r="PUV248"/>
      <c r="PUW248"/>
      <c r="PUX248"/>
      <c r="PUY248"/>
      <c r="PUZ248"/>
      <c r="PVA248"/>
      <c r="PVB248"/>
      <c r="PVC248"/>
      <c r="PVD248"/>
      <c r="PVE248"/>
      <c r="PVF248"/>
      <c r="PVG248"/>
      <c r="PVH248"/>
      <c r="PVI248"/>
      <c r="PVJ248"/>
      <c r="PVK248"/>
      <c r="PVL248"/>
      <c r="PVM248"/>
      <c r="PVN248"/>
      <c r="PVO248"/>
      <c r="PVP248"/>
      <c r="PVQ248"/>
      <c r="PVR248"/>
      <c r="PVS248"/>
      <c r="PVT248"/>
      <c r="PVU248"/>
      <c r="PVV248"/>
      <c r="PVW248"/>
      <c r="PVX248"/>
      <c r="PVY248"/>
      <c r="PVZ248"/>
      <c r="PWA248"/>
      <c r="PWB248"/>
      <c r="PWC248"/>
      <c r="PWD248"/>
      <c r="PWE248"/>
      <c r="PWF248"/>
      <c r="PWG248"/>
      <c r="PWH248"/>
      <c r="PWI248"/>
      <c r="PWJ248"/>
      <c r="PWK248"/>
      <c r="PWL248"/>
      <c r="PWM248"/>
      <c r="PWN248"/>
      <c r="PWO248"/>
      <c r="PWP248"/>
      <c r="PWQ248"/>
      <c r="PWR248"/>
      <c r="PWS248"/>
      <c r="PWT248"/>
      <c r="PWU248"/>
      <c r="PWV248"/>
      <c r="PWW248"/>
      <c r="PWX248"/>
      <c r="PWY248"/>
      <c r="PWZ248"/>
      <c r="PXA248"/>
      <c r="PXB248"/>
      <c r="PXC248"/>
      <c r="PXD248"/>
      <c r="PXE248"/>
      <c r="PXF248"/>
      <c r="PXG248"/>
      <c r="PXH248"/>
      <c r="PXI248"/>
      <c r="PXJ248"/>
      <c r="PXK248"/>
      <c r="PXL248"/>
      <c r="PXM248"/>
      <c r="PXN248"/>
      <c r="PXO248"/>
      <c r="PXP248"/>
      <c r="PXQ248"/>
      <c r="PXR248"/>
      <c r="PXS248"/>
      <c r="PXT248"/>
      <c r="PXU248"/>
      <c r="PXV248"/>
      <c r="PXW248"/>
      <c r="PXX248"/>
      <c r="PXY248"/>
      <c r="PXZ248"/>
      <c r="PYA248"/>
      <c r="PYB248"/>
      <c r="PYC248"/>
      <c r="PYD248"/>
      <c r="PYE248"/>
      <c r="PYF248"/>
      <c r="PYG248"/>
      <c r="PYH248"/>
      <c r="PYI248"/>
      <c r="PYJ248"/>
      <c r="PYK248"/>
      <c r="PYL248"/>
      <c r="PYM248"/>
      <c r="PYN248"/>
      <c r="PYO248"/>
      <c r="PYP248"/>
      <c r="PYQ248"/>
      <c r="PYR248"/>
      <c r="PYS248"/>
      <c r="PYT248"/>
      <c r="PYU248"/>
      <c r="PYV248"/>
      <c r="PYW248"/>
      <c r="PYX248"/>
      <c r="PYY248"/>
      <c r="PYZ248"/>
      <c r="PZA248"/>
      <c r="PZB248"/>
      <c r="PZC248"/>
      <c r="PZD248"/>
      <c r="PZE248"/>
      <c r="PZF248"/>
      <c r="PZG248"/>
      <c r="PZH248"/>
      <c r="PZI248"/>
      <c r="PZJ248"/>
      <c r="PZK248"/>
      <c r="PZL248"/>
      <c r="PZM248"/>
      <c r="PZN248"/>
      <c r="PZO248"/>
      <c r="PZP248"/>
      <c r="PZQ248"/>
      <c r="PZR248"/>
      <c r="PZS248"/>
      <c r="PZT248"/>
      <c r="PZU248"/>
      <c r="PZV248"/>
      <c r="PZW248"/>
      <c r="PZX248"/>
      <c r="PZY248"/>
      <c r="PZZ248"/>
      <c r="QAA248"/>
      <c r="QAB248"/>
      <c r="QAC248"/>
      <c r="QAD248"/>
      <c r="QAE248"/>
      <c r="QAF248"/>
      <c r="QAG248"/>
      <c r="QAH248"/>
      <c r="QAI248"/>
      <c r="QAJ248"/>
      <c r="QAK248"/>
      <c r="QAL248"/>
      <c r="QAM248"/>
      <c r="QAN248"/>
      <c r="QAO248"/>
      <c r="QAP248"/>
      <c r="QAQ248"/>
      <c r="QAR248"/>
      <c r="QAS248"/>
      <c r="QAT248"/>
      <c r="QAU248"/>
      <c r="QAV248"/>
      <c r="QAW248"/>
      <c r="QAX248"/>
      <c r="QAY248"/>
      <c r="QAZ248"/>
      <c r="QBA248"/>
      <c r="QBB248"/>
      <c r="QBC248"/>
      <c r="QBD248"/>
      <c r="QBE248"/>
      <c r="QBF248"/>
      <c r="QBG248"/>
      <c r="QBH248"/>
      <c r="QBI248"/>
      <c r="QBJ248"/>
      <c r="QBK248"/>
      <c r="QBL248"/>
      <c r="QBM248"/>
      <c r="QBN248"/>
      <c r="QBO248"/>
      <c r="QBP248"/>
      <c r="QBQ248"/>
      <c r="QBR248"/>
      <c r="QBS248"/>
      <c r="QBT248"/>
      <c r="QBU248"/>
      <c r="QBV248"/>
      <c r="QBW248"/>
      <c r="QBX248"/>
      <c r="QBY248"/>
      <c r="QBZ248"/>
      <c r="QCA248"/>
      <c r="QCB248"/>
      <c r="QCC248"/>
      <c r="QCD248"/>
      <c r="QCE248"/>
      <c r="QCF248"/>
      <c r="QCG248"/>
      <c r="QCH248"/>
      <c r="QCI248"/>
      <c r="QCJ248"/>
      <c r="QCK248"/>
      <c r="QCL248"/>
      <c r="QCM248"/>
      <c r="QCN248"/>
      <c r="QCO248"/>
      <c r="QCP248"/>
      <c r="QCQ248"/>
      <c r="QCR248"/>
      <c r="QCS248"/>
      <c r="QCT248"/>
      <c r="QCU248"/>
      <c r="QCV248"/>
      <c r="QCW248"/>
      <c r="QCX248"/>
      <c r="QCY248"/>
      <c r="QCZ248"/>
      <c r="QDA248"/>
      <c r="QDB248"/>
      <c r="QDC248"/>
      <c r="QDD248"/>
      <c r="QDE248"/>
      <c r="QDF248"/>
      <c r="QDG248"/>
      <c r="QDH248"/>
      <c r="QDI248"/>
      <c r="QDJ248"/>
      <c r="QDK248"/>
      <c r="QDL248"/>
      <c r="QDM248"/>
      <c r="QDN248"/>
      <c r="QDO248"/>
      <c r="QDP248"/>
      <c r="QDQ248"/>
      <c r="QDR248"/>
      <c r="QDS248"/>
      <c r="QDT248"/>
      <c r="QDU248"/>
      <c r="QDV248"/>
      <c r="QDW248"/>
      <c r="QDX248"/>
      <c r="QDY248"/>
      <c r="QDZ248"/>
      <c r="QEA248"/>
      <c r="QEB248"/>
      <c r="QEC248"/>
      <c r="QED248"/>
      <c r="QEE248"/>
      <c r="QEF248"/>
      <c r="QEG248"/>
      <c r="QEH248"/>
      <c r="QEI248"/>
      <c r="QEJ248"/>
      <c r="QEK248"/>
      <c r="QEL248"/>
      <c r="QEM248"/>
      <c r="QEN248"/>
      <c r="QEO248"/>
      <c r="QEP248"/>
      <c r="QEQ248"/>
      <c r="QER248"/>
      <c r="QES248"/>
      <c r="QET248"/>
      <c r="QEU248"/>
      <c r="QEV248"/>
      <c r="QEW248"/>
      <c r="QEX248"/>
      <c r="QEY248"/>
      <c r="QEZ248"/>
      <c r="QFA248"/>
      <c r="QFB248"/>
      <c r="QFC248"/>
      <c r="QFD248"/>
      <c r="QFE248"/>
      <c r="QFF248"/>
      <c r="QFG248"/>
      <c r="QFH248"/>
      <c r="QFI248"/>
      <c r="QFJ248"/>
      <c r="QFK248"/>
      <c r="QFL248"/>
      <c r="QFM248"/>
      <c r="QFN248"/>
      <c r="QFO248"/>
      <c r="QFP248"/>
      <c r="QFQ248"/>
      <c r="QFR248"/>
      <c r="QFS248"/>
      <c r="QFT248"/>
      <c r="QFU248"/>
      <c r="QFV248"/>
      <c r="QFW248"/>
      <c r="QFX248"/>
      <c r="QFY248"/>
      <c r="QFZ248"/>
      <c r="QGA248"/>
      <c r="QGB248"/>
      <c r="QGC248"/>
      <c r="QGD248"/>
      <c r="QGE248"/>
      <c r="QGF248"/>
      <c r="QGG248"/>
      <c r="QGH248"/>
      <c r="QGI248"/>
      <c r="QGJ248"/>
      <c r="QGK248"/>
      <c r="QGL248"/>
      <c r="QGM248"/>
      <c r="QGN248"/>
      <c r="QGO248"/>
      <c r="QGP248"/>
      <c r="QGQ248"/>
      <c r="QGR248"/>
      <c r="QGS248"/>
      <c r="QGT248"/>
      <c r="QGU248"/>
      <c r="QGV248"/>
      <c r="QGW248"/>
      <c r="QGX248"/>
      <c r="QGY248"/>
      <c r="QGZ248"/>
      <c r="QHA248"/>
      <c r="QHB248"/>
      <c r="QHC248"/>
      <c r="QHD248"/>
      <c r="QHE248"/>
      <c r="QHF248"/>
      <c r="QHG248"/>
      <c r="QHH248"/>
      <c r="QHI248"/>
      <c r="QHJ248"/>
      <c r="QHK248"/>
      <c r="QHL248"/>
      <c r="QHM248"/>
      <c r="QHN248"/>
      <c r="QHO248"/>
      <c r="QHP248"/>
      <c r="QHQ248"/>
      <c r="QHR248"/>
      <c r="QHS248"/>
      <c r="QHT248"/>
      <c r="QHU248"/>
      <c r="QHV248"/>
      <c r="QHW248"/>
      <c r="QHX248"/>
      <c r="QHY248"/>
      <c r="QHZ248"/>
      <c r="QIA248"/>
      <c r="QIB248"/>
      <c r="QIC248"/>
      <c r="QID248"/>
      <c r="QIE248"/>
      <c r="QIF248"/>
      <c r="QIG248"/>
      <c r="QIH248"/>
      <c r="QII248"/>
      <c r="QIJ248"/>
      <c r="QIK248"/>
      <c r="QIL248"/>
      <c r="QIM248"/>
      <c r="QIN248"/>
      <c r="QIO248"/>
      <c r="QIP248"/>
      <c r="QIQ248"/>
      <c r="QIR248"/>
      <c r="QIS248"/>
      <c r="QIT248"/>
      <c r="QIU248"/>
      <c r="QIV248"/>
      <c r="QIW248"/>
      <c r="QIX248"/>
      <c r="QIY248"/>
      <c r="QIZ248"/>
      <c r="QJA248"/>
      <c r="QJB248"/>
      <c r="QJC248"/>
      <c r="QJD248"/>
      <c r="QJE248"/>
      <c r="QJF248"/>
      <c r="QJG248"/>
      <c r="QJH248"/>
      <c r="QJI248"/>
      <c r="QJJ248"/>
      <c r="QJK248"/>
      <c r="QJL248"/>
      <c r="QJM248"/>
      <c r="QJN248"/>
      <c r="QJO248"/>
      <c r="QJP248"/>
      <c r="QJQ248"/>
      <c r="QJR248"/>
      <c r="QJS248"/>
      <c r="QJT248"/>
      <c r="QJU248"/>
      <c r="QJV248"/>
      <c r="QJW248"/>
      <c r="QJX248"/>
      <c r="QJY248"/>
      <c r="QJZ248"/>
      <c r="QKA248"/>
      <c r="QKB248"/>
      <c r="QKC248"/>
      <c r="QKD248"/>
      <c r="QKE248"/>
      <c r="QKF248"/>
      <c r="QKG248"/>
      <c r="QKH248"/>
      <c r="QKI248"/>
      <c r="QKJ248"/>
      <c r="QKK248"/>
      <c r="QKL248"/>
      <c r="QKM248"/>
      <c r="QKN248"/>
      <c r="QKO248"/>
      <c r="QKP248"/>
      <c r="QKQ248"/>
      <c r="QKR248"/>
      <c r="QKS248"/>
      <c r="QKT248"/>
      <c r="QKU248"/>
      <c r="QKV248"/>
      <c r="QKW248"/>
      <c r="QKX248"/>
      <c r="QKY248"/>
      <c r="QKZ248"/>
      <c r="QLA248"/>
      <c r="QLB248"/>
      <c r="QLC248"/>
      <c r="QLD248"/>
      <c r="QLE248"/>
      <c r="QLF248"/>
      <c r="QLG248"/>
      <c r="QLH248"/>
      <c r="QLI248"/>
      <c r="QLJ248"/>
      <c r="QLK248"/>
      <c r="QLL248"/>
      <c r="QLM248"/>
      <c r="QLN248"/>
      <c r="QLO248"/>
      <c r="QLP248"/>
      <c r="QLQ248"/>
      <c r="QLR248"/>
      <c r="QLS248"/>
      <c r="QLT248"/>
      <c r="QLU248"/>
      <c r="QLV248"/>
      <c r="QLW248"/>
      <c r="QLX248"/>
      <c r="QLY248"/>
      <c r="QLZ248"/>
      <c r="QMA248"/>
      <c r="QMB248"/>
      <c r="QMC248"/>
      <c r="QMD248"/>
      <c r="QME248"/>
      <c r="QMF248"/>
      <c r="QMG248"/>
      <c r="QMH248"/>
      <c r="QMI248"/>
      <c r="QMJ248"/>
      <c r="QMK248"/>
      <c r="QML248"/>
      <c r="QMM248"/>
      <c r="QMN248"/>
      <c r="QMO248"/>
      <c r="QMP248"/>
      <c r="QMQ248"/>
      <c r="QMR248"/>
      <c r="QMS248"/>
      <c r="QMT248"/>
      <c r="QMU248"/>
      <c r="QMV248"/>
      <c r="QMW248"/>
      <c r="QMX248"/>
      <c r="QMY248"/>
      <c r="QMZ248"/>
      <c r="QNA248"/>
      <c r="QNB248"/>
      <c r="QNC248"/>
      <c r="QND248"/>
      <c r="QNE248"/>
      <c r="QNF248"/>
      <c r="QNG248"/>
      <c r="QNH248"/>
      <c r="QNI248"/>
      <c r="QNJ248"/>
      <c r="QNK248"/>
      <c r="QNL248"/>
      <c r="QNM248"/>
      <c r="QNN248"/>
      <c r="QNO248"/>
      <c r="QNP248"/>
      <c r="QNQ248"/>
      <c r="QNR248"/>
      <c r="QNS248"/>
      <c r="QNT248"/>
      <c r="QNU248"/>
      <c r="QNV248"/>
      <c r="QNW248"/>
      <c r="QNX248"/>
      <c r="QNY248"/>
      <c r="QNZ248"/>
      <c r="QOA248"/>
      <c r="QOB248"/>
      <c r="QOC248"/>
      <c r="QOD248"/>
      <c r="QOE248"/>
      <c r="QOF248"/>
      <c r="QOG248"/>
      <c r="QOH248"/>
      <c r="QOI248"/>
      <c r="QOJ248"/>
      <c r="QOK248"/>
      <c r="QOL248"/>
      <c r="QOM248"/>
      <c r="QON248"/>
      <c r="QOO248"/>
      <c r="QOP248"/>
      <c r="QOQ248"/>
      <c r="QOR248"/>
      <c r="QOS248"/>
      <c r="QOT248"/>
      <c r="QOU248"/>
      <c r="QOV248"/>
      <c r="QOW248"/>
      <c r="QOX248"/>
      <c r="QOY248"/>
      <c r="QOZ248"/>
      <c r="QPA248"/>
      <c r="QPB248"/>
      <c r="QPC248"/>
      <c r="QPD248"/>
      <c r="QPE248"/>
      <c r="QPF248"/>
      <c r="QPG248"/>
      <c r="QPH248"/>
      <c r="QPI248"/>
      <c r="QPJ248"/>
      <c r="QPK248"/>
      <c r="QPL248"/>
      <c r="QPM248"/>
      <c r="QPN248"/>
      <c r="QPO248"/>
      <c r="QPP248"/>
      <c r="QPQ248"/>
      <c r="QPR248"/>
      <c r="QPS248"/>
      <c r="QPT248"/>
      <c r="QPU248"/>
      <c r="QPV248"/>
      <c r="QPW248"/>
      <c r="QPX248"/>
      <c r="QPY248"/>
      <c r="QPZ248"/>
      <c r="QQA248"/>
      <c r="QQB248"/>
      <c r="QQC248"/>
      <c r="QQD248"/>
      <c r="QQE248"/>
      <c r="QQF248"/>
      <c r="QQG248"/>
      <c r="QQH248"/>
      <c r="QQI248"/>
      <c r="QQJ248"/>
      <c r="QQK248"/>
      <c r="QQL248"/>
      <c r="QQM248"/>
      <c r="QQN248"/>
      <c r="QQO248"/>
      <c r="QQP248"/>
      <c r="QQQ248"/>
      <c r="QQR248"/>
      <c r="QQS248"/>
      <c r="QQT248"/>
      <c r="QQU248"/>
      <c r="QQV248"/>
      <c r="QQW248"/>
      <c r="QQX248"/>
      <c r="QQY248"/>
      <c r="QQZ248"/>
      <c r="QRA248"/>
      <c r="QRB248"/>
      <c r="QRC248"/>
      <c r="QRD248"/>
      <c r="QRE248"/>
      <c r="QRF248"/>
      <c r="QRG248"/>
      <c r="QRH248"/>
      <c r="QRI248"/>
      <c r="QRJ248"/>
      <c r="QRK248"/>
      <c r="QRL248"/>
      <c r="QRM248"/>
      <c r="QRN248"/>
      <c r="QRO248"/>
      <c r="QRP248"/>
      <c r="QRQ248"/>
      <c r="QRR248"/>
      <c r="QRS248"/>
      <c r="QRT248"/>
      <c r="QRU248"/>
      <c r="QRV248"/>
      <c r="QRW248"/>
      <c r="QRX248"/>
      <c r="QRY248"/>
      <c r="QRZ248"/>
      <c r="QSA248"/>
      <c r="QSB248"/>
      <c r="QSC248"/>
      <c r="QSD248"/>
      <c r="QSE248"/>
      <c r="QSF248"/>
      <c r="QSG248"/>
      <c r="QSH248"/>
      <c r="QSI248"/>
      <c r="QSJ248"/>
      <c r="QSK248"/>
      <c r="QSL248"/>
      <c r="QSM248"/>
      <c r="QSN248"/>
      <c r="QSO248"/>
      <c r="QSP248"/>
      <c r="QSQ248"/>
      <c r="QSR248"/>
      <c r="QSS248"/>
      <c r="QST248"/>
      <c r="QSU248"/>
      <c r="QSV248"/>
      <c r="QSW248"/>
      <c r="QSX248"/>
      <c r="QSY248"/>
      <c r="QSZ248"/>
      <c r="QTA248"/>
      <c r="QTB248"/>
      <c r="QTC248"/>
      <c r="QTD248"/>
      <c r="QTE248"/>
      <c r="QTF248"/>
      <c r="QTG248"/>
      <c r="QTH248"/>
      <c r="QTI248"/>
      <c r="QTJ248"/>
      <c r="QTK248"/>
      <c r="QTL248"/>
      <c r="QTM248"/>
      <c r="QTN248"/>
      <c r="QTO248"/>
      <c r="QTP248"/>
      <c r="QTQ248"/>
      <c r="QTR248"/>
      <c r="QTS248"/>
      <c r="QTT248"/>
      <c r="QTU248"/>
      <c r="QTV248"/>
      <c r="QTW248"/>
      <c r="QTX248"/>
      <c r="QTY248"/>
      <c r="QTZ248"/>
      <c r="QUA248"/>
      <c r="QUB248"/>
      <c r="QUC248"/>
      <c r="QUD248"/>
      <c r="QUE248"/>
      <c r="QUF248"/>
      <c r="QUG248"/>
      <c r="QUH248"/>
      <c r="QUI248"/>
      <c r="QUJ248"/>
      <c r="QUK248"/>
      <c r="QUL248"/>
      <c r="QUM248"/>
      <c r="QUN248"/>
      <c r="QUO248"/>
      <c r="QUP248"/>
      <c r="QUQ248"/>
      <c r="QUR248"/>
      <c r="QUS248"/>
      <c r="QUT248"/>
      <c r="QUU248"/>
      <c r="QUV248"/>
      <c r="QUW248"/>
      <c r="QUX248"/>
      <c r="QUY248"/>
      <c r="QUZ248"/>
      <c r="QVA248"/>
      <c r="QVB248"/>
      <c r="QVC248"/>
      <c r="QVD248"/>
      <c r="QVE248"/>
      <c r="QVF248"/>
      <c r="QVG248"/>
      <c r="QVH248"/>
      <c r="QVI248"/>
      <c r="QVJ248"/>
      <c r="QVK248"/>
      <c r="QVL248"/>
      <c r="QVM248"/>
      <c r="QVN248"/>
      <c r="QVO248"/>
      <c r="QVP248"/>
      <c r="QVQ248"/>
      <c r="QVR248"/>
      <c r="QVS248"/>
      <c r="QVT248"/>
      <c r="QVU248"/>
      <c r="QVV248"/>
      <c r="QVW248"/>
      <c r="QVX248"/>
      <c r="QVY248"/>
      <c r="QVZ248"/>
      <c r="QWA248"/>
      <c r="QWB248"/>
      <c r="QWC248"/>
      <c r="QWD248"/>
      <c r="QWE248"/>
      <c r="QWF248"/>
      <c r="QWG248"/>
      <c r="QWH248"/>
      <c r="QWI248"/>
      <c r="QWJ248"/>
      <c r="QWK248"/>
      <c r="QWL248"/>
      <c r="QWM248"/>
      <c r="QWN248"/>
      <c r="QWO248"/>
      <c r="QWP248"/>
      <c r="QWQ248"/>
      <c r="QWR248"/>
      <c r="QWS248"/>
      <c r="QWT248"/>
      <c r="QWU248"/>
      <c r="QWV248"/>
      <c r="QWW248"/>
      <c r="QWX248"/>
      <c r="QWY248"/>
      <c r="QWZ248"/>
      <c r="QXA248"/>
      <c r="QXB248"/>
      <c r="QXC248"/>
      <c r="QXD248"/>
      <c r="QXE248"/>
      <c r="QXF248"/>
      <c r="QXG248"/>
      <c r="QXH248"/>
      <c r="QXI248"/>
      <c r="QXJ248"/>
      <c r="QXK248"/>
      <c r="QXL248"/>
      <c r="QXM248"/>
      <c r="QXN248"/>
      <c r="QXO248"/>
      <c r="QXP248"/>
      <c r="QXQ248"/>
      <c r="QXR248"/>
      <c r="QXS248"/>
      <c r="QXT248"/>
      <c r="QXU248"/>
      <c r="QXV248"/>
      <c r="QXW248"/>
      <c r="QXX248"/>
      <c r="QXY248"/>
      <c r="QXZ248"/>
      <c r="QYA248"/>
      <c r="QYB248"/>
      <c r="QYC248"/>
      <c r="QYD248"/>
      <c r="QYE248"/>
      <c r="QYF248"/>
      <c r="QYG248"/>
      <c r="QYH248"/>
      <c r="QYI248"/>
      <c r="QYJ248"/>
      <c r="QYK248"/>
      <c r="QYL248"/>
      <c r="QYM248"/>
      <c r="QYN248"/>
      <c r="QYO248"/>
      <c r="QYP248"/>
      <c r="QYQ248"/>
      <c r="QYR248"/>
      <c r="QYS248"/>
      <c r="QYT248"/>
      <c r="QYU248"/>
      <c r="QYV248"/>
      <c r="QYW248"/>
      <c r="QYX248"/>
      <c r="QYY248"/>
      <c r="QYZ248"/>
      <c r="QZA248"/>
      <c r="QZB248"/>
      <c r="QZC248"/>
      <c r="QZD248"/>
      <c r="QZE248"/>
      <c r="QZF248"/>
      <c r="QZG248"/>
      <c r="QZH248"/>
      <c r="QZI248"/>
      <c r="QZJ248"/>
      <c r="QZK248"/>
      <c r="QZL248"/>
      <c r="QZM248"/>
      <c r="QZN248"/>
      <c r="QZO248"/>
      <c r="QZP248"/>
      <c r="QZQ248"/>
      <c r="QZR248"/>
      <c r="QZS248"/>
      <c r="QZT248"/>
      <c r="QZU248"/>
      <c r="QZV248"/>
      <c r="QZW248"/>
      <c r="QZX248"/>
      <c r="QZY248"/>
      <c r="QZZ248"/>
      <c r="RAA248"/>
      <c r="RAB248"/>
      <c r="RAC248"/>
      <c r="RAD248"/>
      <c r="RAE248"/>
      <c r="RAF248"/>
      <c r="RAG248"/>
      <c r="RAH248"/>
      <c r="RAI248"/>
      <c r="RAJ248"/>
      <c r="RAK248"/>
      <c r="RAL248"/>
      <c r="RAM248"/>
      <c r="RAN248"/>
      <c r="RAO248"/>
      <c r="RAP248"/>
      <c r="RAQ248"/>
      <c r="RAR248"/>
      <c r="RAS248"/>
      <c r="RAT248"/>
      <c r="RAU248"/>
      <c r="RAV248"/>
      <c r="RAW248"/>
      <c r="RAX248"/>
      <c r="RAY248"/>
      <c r="RAZ248"/>
      <c r="RBA248"/>
      <c r="RBB248"/>
      <c r="RBC248"/>
      <c r="RBD248"/>
      <c r="RBE248"/>
      <c r="RBF248"/>
      <c r="RBG248"/>
      <c r="RBH248"/>
      <c r="RBI248"/>
      <c r="RBJ248"/>
      <c r="RBK248"/>
      <c r="RBL248"/>
      <c r="RBM248"/>
      <c r="RBN248"/>
      <c r="RBO248"/>
      <c r="RBP248"/>
      <c r="RBQ248"/>
      <c r="RBR248"/>
      <c r="RBS248"/>
      <c r="RBT248"/>
      <c r="RBU248"/>
      <c r="RBV248"/>
      <c r="RBW248"/>
      <c r="RBX248"/>
      <c r="RBY248"/>
      <c r="RBZ248"/>
      <c r="RCA248"/>
      <c r="RCB248"/>
      <c r="RCC248"/>
      <c r="RCD248"/>
      <c r="RCE248"/>
      <c r="RCF248"/>
      <c r="RCG248"/>
      <c r="RCH248"/>
      <c r="RCI248"/>
      <c r="RCJ248"/>
      <c r="RCK248"/>
      <c r="RCL248"/>
      <c r="RCM248"/>
      <c r="RCN248"/>
      <c r="RCO248"/>
      <c r="RCP248"/>
      <c r="RCQ248"/>
      <c r="RCR248"/>
      <c r="RCS248"/>
      <c r="RCT248"/>
      <c r="RCU248"/>
      <c r="RCV248"/>
      <c r="RCW248"/>
      <c r="RCX248"/>
      <c r="RCY248"/>
      <c r="RCZ248"/>
      <c r="RDA248"/>
      <c r="RDB248"/>
      <c r="RDC248"/>
      <c r="RDD248"/>
      <c r="RDE248"/>
      <c r="RDF248"/>
      <c r="RDG248"/>
      <c r="RDH248"/>
      <c r="RDI248"/>
      <c r="RDJ248"/>
      <c r="RDK248"/>
      <c r="RDL248"/>
      <c r="RDM248"/>
      <c r="RDN248"/>
      <c r="RDO248"/>
      <c r="RDP248"/>
      <c r="RDQ248"/>
      <c r="RDR248"/>
      <c r="RDS248"/>
      <c r="RDT248"/>
      <c r="RDU248"/>
      <c r="RDV248"/>
      <c r="RDW248"/>
      <c r="RDX248"/>
      <c r="RDY248"/>
      <c r="RDZ248"/>
      <c r="REA248"/>
      <c r="REB248"/>
      <c r="REC248"/>
      <c r="RED248"/>
      <c r="REE248"/>
      <c r="REF248"/>
      <c r="REG248"/>
      <c r="REH248"/>
      <c r="REI248"/>
      <c r="REJ248"/>
      <c r="REK248"/>
      <c r="REL248"/>
      <c r="REM248"/>
      <c r="REN248"/>
      <c r="REO248"/>
      <c r="REP248"/>
      <c r="REQ248"/>
      <c r="RER248"/>
      <c r="RES248"/>
      <c r="RET248"/>
      <c r="REU248"/>
      <c r="REV248"/>
      <c r="REW248"/>
      <c r="REX248"/>
      <c r="REY248"/>
      <c r="REZ248"/>
      <c r="RFA248"/>
      <c r="RFB248"/>
      <c r="RFC248"/>
      <c r="RFD248"/>
      <c r="RFE248"/>
      <c r="RFF248"/>
      <c r="RFG248"/>
      <c r="RFH248"/>
      <c r="RFI248"/>
      <c r="RFJ248"/>
      <c r="RFK248"/>
      <c r="RFL248"/>
      <c r="RFM248"/>
      <c r="RFN248"/>
      <c r="RFO248"/>
      <c r="RFP248"/>
      <c r="RFQ248"/>
      <c r="RFR248"/>
      <c r="RFS248"/>
      <c r="RFT248"/>
      <c r="RFU248"/>
      <c r="RFV248"/>
      <c r="RFW248"/>
      <c r="RFX248"/>
      <c r="RFY248"/>
      <c r="RFZ248"/>
      <c r="RGA248"/>
      <c r="RGB248"/>
      <c r="RGC248"/>
      <c r="RGD248"/>
      <c r="RGE248"/>
      <c r="RGF248"/>
      <c r="RGG248"/>
      <c r="RGH248"/>
      <c r="RGI248"/>
      <c r="RGJ248"/>
      <c r="RGK248"/>
      <c r="RGL248"/>
      <c r="RGM248"/>
      <c r="RGN248"/>
      <c r="RGO248"/>
      <c r="RGP248"/>
      <c r="RGQ248"/>
      <c r="RGR248"/>
      <c r="RGS248"/>
      <c r="RGT248"/>
      <c r="RGU248"/>
      <c r="RGV248"/>
      <c r="RGW248"/>
      <c r="RGX248"/>
      <c r="RGY248"/>
      <c r="RGZ248"/>
      <c r="RHA248"/>
      <c r="RHB248"/>
      <c r="RHC248"/>
      <c r="RHD248"/>
      <c r="RHE248"/>
      <c r="RHF248"/>
      <c r="RHG248"/>
      <c r="RHH248"/>
      <c r="RHI248"/>
      <c r="RHJ248"/>
      <c r="RHK248"/>
      <c r="RHL248"/>
      <c r="RHM248"/>
      <c r="RHN248"/>
      <c r="RHO248"/>
      <c r="RHP248"/>
      <c r="RHQ248"/>
      <c r="RHR248"/>
      <c r="RHS248"/>
      <c r="RHT248"/>
      <c r="RHU248"/>
      <c r="RHV248"/>
      <c r="RHW248"/>
      <c r="RHX248"/>
      <c r="RHY248"/>
      <c r="RHZ248"/>
      <c r="RIA248"/>
      <c r="RIB248"/>
      <c r="RIC248"/>
      <c r="RID248"/>
      <c r="RIE248"/>
      <c r="RIF248"/>
      <c r="RIG248"/>
      <c r="RIH248"/>
      <c r="RII248"/>
      <c r="RIJ248"/>
      <c r="RIK248"/>
      <c r="RIL248"/>
      <c r="RIM248"/>
      <c r="RIN248"/>
      <c r="RIO248"/>
      <c r="RIP248"/>
      <c r="RIQ248"/>
      <c r="RIR248"/>
      <c r="RIS248"/>
      <c r="RIT248"/>
      <c r="RIU248"/>
      <c r="RIV248"/>
      <c r="RIW248"/>
      <c r="RIX248"/>
      <c r="RIY248"/>
      <c r="RIZ248"/>
      <c r="RJA248"/>
      <c r="RJB248"/>
      <c r="RJC248"/>
      <c r="RJD248"/>
      <c r="RJE248"/>
      <c r="RJF248"/>
      <c r="RJG248"/>
      <c r="RJH248"/>
      <c r="RJI248"/>
      <c r="RJJ248"/>
      <c r="RJK248"/>
      <c r="RJL248"/>
      <c r="RJM248"/>
      <c r="RJN248"/>
      <c r="RJO248"/>
      <c r="RJP248"/>
      <c r="RJQ248"/>
      <c r="RJR248"/>
      <c r="RJS248"/>
      <c r="RJT248"/>
      <c r="RJU248"/>
      <c r="RJV248"/>
      <c r="RJW248"/>
      <c r="RJX248"/>
      <c r="RJY248"/>
      <c r="RJZ248"/>
      <c r="RKA248"/>
      <c r="RKB248"/>
      <c r="RKC248"/>
      <c r="RKD248"/>
      <c r="RKE248"/>
      <c r="RKF248"/>
      <c r="RKG248"/>
      <c r="RKH248"/>
      <c r="RKI248"/>
      <c r="RKJ248"/>
      <c r="RKK248"/>
      <c r="RKL248"/>
      <c r="RKM248"/>
      <c r="RKN248"/>
      <c r="RKO248"/>
      <c r="RKP248"/>
      <c r="RKQ248"/>
      <c r="RKR248"/>
      <c r="RKS248"/>
      <c r="RKT248"/>
      <c r="RKU248"/>
      <c r="RKV248"/>
      <c r="RKW248"/>
      <c r="RKX248"/>
      <c r="RKY248"/>
      <c r="RKZ248"/>
      <c r="RLA248"/>
      <c r="RLB248"/>
      <c r="RLC248"/>
      <c r="RLD248"/>
      <c r="RLE248"/>
      <c r="RLF248"/>
      <c r="RLG248"/>
      <c r="RLH248"/>
      <c r="RLI248"/>
      <c r="RLJ248"/>
      <c r="RLK248"/>
      <c r="RLL248"/>
      <c r="RLM248"/>
      <c r="RLN248"/>
      <c r="RLO248"/>
      <c r="RLP248"/>
      <c r="RLQ248"/>
      <c r="RLR248"/>
      <c r="RLS248"/>
      <c r="RLT248"/>
      <c r="RLU248"/>
      <c r="RLV248"/>
      <c r="RLW248"/>
      <c r="RLX248"/>
      <c r="RLY248"/>
      <c r="RLZ248"/>
      <c r="RMA248"/>
      <c r="RMB248"/>
      <c r="RMC248"/>
      <c r="RMD248"/>
      <c r="RME248"/>
      <c r="RMF248"/>
      <c r="RMG248"/>
      <c r="RMH248"/>
      <c r="RMI248"/>
      <c r="RMJ248"/>
      <c r="RMK248"/>
      <c r="RML248"/>
      <c r="RMM248"/>
      <c r="RMN248"/>
      <c r="RMO248"/>
      <c r="RMP248"/>
      <c r="RMQ248"/>
      <c r="RMR248"/>
      <c r="RMS248"/>
      <c r="RMT248"/>
      <c r="RMU248"/>
      <c r="RMV248"/>
      <c r="RMW248"/>
      <c r="RMX248"/>
      <c r="RMY248"/>
      <c r="RMZ248"/>
      <c r="RNA248"/>
      <c r="RNB248"/>
      <c r="RNC248"/>
      <c r="RND248"/>
      <c r="RNE248"/>
      <c r="RNF248"/>
      <c r="RNG248"/>
      <c r="RNH248"/>
      <c r="RNI248"/>
      <c r="RNJ248"/>
      <c r="RNK248"/>
      <c r="RNL248"/>
      <c r="RNM248"/>
      <c r="RNN248"/>
      <c r="RNO248"/>
      <c r="RNP248"/>
      <c r="RNQ248"/>
      <c r="RNR248"/>
      <c r="RNS248"/>
      <c r="RNT248"/>
      <c r="RNU248"/>
      <c r="RNV248"/>
      <c r="RNW248"/>
      <c r="RNX248"/>
      <c r="RNY248"/>
      <c r="RNZ248"/>
      <c r="ROA248"/>
      <c r="ROB248"/>
      <c r="ROC248"/>
      <c r="ROD248"/>
      <c r="ROE248"/>
      <c r="ROF248"/>
      <c r="ROG248"/>
      <c r="ROH248"/>
      <c r="ROI248"/>
      <c r="ROJ248"/>
      <c r="ROK248"/>
      <c r="ROL248"/>
      <c r="ROM248"/>
      <c r="RON248"/>
      <c r="ROO248"/>
      <c r="ROP248"/>
      <c r="ROQ248"/>
      <c r="ROR248"/>
      <c r="ROS248"/>
      <c r="ROT248"/>
      <c r="ROU248"/>
      <c r="ROV248"/>
      <c r="ROW248"/>
      <c r="ROX248"/>
      <c r="ROY248"/>
      <c r="ROZ248"/>
      <c r="RPA248"/>
      <c r="RPB248"/>
      <c r="RPC248"/>
      <c r="RPD248"/>
      <c r="RPE248"/>
      <c r="RPF248"/>
      <c r="RPG248"/>
      <c r="RPH248"/>
      <c r="RPI248"/>
      <c r="RPJ248"/>
      <c r="RPK248"/>
      <c r="RPL248"/>
      <c r="RPM248"/>
      <c r="RPN248"/>
      <c r="RPO248"/>
      <c r="RPP248"/>
      <c r="RPQ248"/>
      <c r="RPR248"/>
      <c r="RPS248"/>
      <c r="RPT248"/>
      <c r="RPU248"/>
      <c r="RPV248"/>
      <c r="RPW248"/>
      <c r="RPX248"/>
      <c r="RPY248"/>
      <c r="RPZ248"/>
      <c r="RQA248"/>
      <c r="RQB248"/>
      <c r="RQC248"/>
      <c r="RQD248"/>
      <c r="RQE248"/>
      <c r="RQF248"/>
      <c r="RQG248"/>
      <c r="RQH248"/>
      <c r="RQI248"/>
      <c r="RQJ248"/>
      <c r="RQK248"/>
      <c r="RQL248"/>
      <c r="RQM248"/>
      <c r="RQN248"/>
      <c r="RQO248"/>
      <c r="RQP248"/>
      <c r="RQQ248"/>
      <c r="RQR248"/>
      <c r="RQS248"/>
      <c r="RQT248"/>
      <c r="RQU248"/>
      <c r="RQV248"/>
      <c r="RQW248"/>
      <c r="RQX248"/>
      <c r="RQY248"/>
      <c r="RQZ248"/>
      <c r="RRA248"/>
      <c r="RRB248"/>
      <c r="RRC248"/>
      <c r="RRD248"/>
      <c r="RRE248"/>
      <c r="RRF248"/>
      <c r="RRG248"/>
      <c r="RRH248"/>
      <c r="RRI248"/>
      <c r="RRJ248"/>
      <c r="RRK248"/>
      <c r="RRL248"/>
      <c r="RRM248"/>
      <c r="RRN248"/>
      <c r="RRO248"/>
      <c r="RRP248"/>
      <c r="RRQ248"/>
      <c r="RRR248"/>
      <c r="RRS248"/>
      <c r="RRT248"/>
      <c r="RRU248"/>
      <c r="RRV248"/>
      <c r="RRW248"/>
      <c r="RRX248"/>
      <c r="RRY248"/>
      <c r="RRZ248"/>
      <c r="RSA248"/>
      <c r="RSB248"/>
      <c r="RSC248"/>
      <c r="RSD248"/>
      <c r="RSE248"/>
      <c r="RSF248"/>
      <c r="RSG248"/>
      <c r="RSH248"/>
      <c r="RSI248"/>
      <c r="RSJ248"/>
      <c r="RSK248"/>
      <c r="RSL248"/>
      <c r="RSM248"/>
      <c r="RSN248"/>
      <c r="RSO248"/>
      <c r="RSP248"/>
      <c r="RSQ248"/>
      <c r="RSR248"/>
      <c r="RSS248"/>
      <c r="RST248"/>
      <c r="RSU248"/>
      <c r="RSV248"/>
      <c r="RSW248"/>
      <c r="RSX248"/>
      <c r="RSY248"/>
      <c r="RSZ248"/>
      <c r="RTA248"/>
      <c r="RTB248"/>
      <c r="RTC248"/>
      <c r="RTD248"/>
      <c r="RTE248"/>
      <c r="RTF248"/>
      <c r="RTG248"/>
      <c r="RTH248"/>
      <c r="RTI248"/>
      <c r="RTJ248"/>
      <c r="RTK248"/>
      <c r="RTL248"/>
      <c r="RTM248"/>
      <c r="RTN248"/>
      <c r="RTO248"/>
      <c r="RTP248"/>
      <c r="RTQ248"/>
      <c r="RTR248"/>
      <c r="RTS248"/>
      <c r="RTT248"/>
      <c r="RTU248"/>
      <c r="RTV248"/>
      <c r="RTW248"/>
      <c r="RTX248"/>
      <c r="RTY248"/>
      <c r="RTZ248"/>
      <c r="RUA248"/>
      <c r="RUB248"/>
      <c r="RUC248"/>
      <c r="RUD248"/>
      <c r="RUE248"/>
      <c r="RUF248"/>
      <c r="RUG248"/>
      <c r="RUH248"/>
      <c r="RUI248"/>
      <c r="RUJ248"/>
      <c r="RUK248"/>
      <c r="RUL248"/>
      <c r="RUM248"/>
      <c r="RUN248"/>
      <c r="RUO248"/>
      <c r="RUP248"/>
      <c r="RUQ248"/>
      <c r="RUR248"/>
      <c r="RUS248"/>
      <c r="RUT248"/>
      <c r="RUU248"/>
      <c r="RUV248"/>
      <c r="RUW248"/>
      <c r="RUX248"/>
      <c r="RUY248"/>
      <c r="RUZ248"/>
      <c r="RVA248"/>
      <c r="RVB248"/>
      <c r="RVC248"/>
      <c r="RVD248"/>
      <c r="RVE248"/>
      <c r="RVF248"/>
      <c r="RVG248"/>
      <c r="RVH248"/>
      <c r="RVI248"/>
      <c r="RVJ248"/>
      <c r="RVK248"/>
      <c r="RVL248"/>
      <c r="RVM248"/>
      <c r="RVN248"/>
      <c r="RVO248"/>
      <c r="RVP248"/>
      <c r="RVQ248"/>
      <c r="RVR248"/>
      <c r="RVS248"/>
      <c r="RVT248"/>
      <c r="RVU248"/>
      <c r="RVV248"/>
      <c r="RVW248"/>
      <c r="RVX248"/>
      <c r="RVY248"/>
      <c r="RVZ248"/>
      <c r="RWA248"/>
      <c r="RWB248"/>
      <c r="RWC248"/>
      <c r="RWD248"/>
      <c r="RWE248"/>
      <c r="RWF248"/>
      <c r="RWG248"/>
      <c r="RWH248"/>
      <c r="RWI248"/>
      <c r="RWJ248"/>
      <c r="RWK248"/>
      <c r="RWL248"/>
      <c r="RWM248"/>
      <c r="RWN248"/>
      <c r="RWO248"/>
      <c r="RWP248"/>
      <c r="RWQ248"/>
      <c r="RWR248"/>
      <c r="RWS248"/>
      <c r="RWT248"/>
      <c r="RWU248"/>
      <c r="RWV248"/>
      <c r="RWW248"/>
      <c r="RWX248"/>
      <c r="RWY248"/>
      <c r="RWZ248"/>
      <c r="RXA248"/>
      <c r="RXB248"/>
      <c r="RXC248"/>
      <c r="RXD248"/>
      <c r="RXE248"/>
      <c r="RXF248"/>
      <c r="RXG248"/>
      <c r="RXH248"/>
      <c r="RXI248"/>
      <c r="RXJ248"/>
      <c r="RXK248"/>
      <c r="RXL248"/>
      <c r="RXM248"/>
      <c r="RXN248"/>
      <c r="RXO248"/>
      <c r="RXP248"/>
      <c r="RXQ248"/>
      <c r="RXR248"/>
      <c r="RXS248"/>
      <c r="RXT248"/>
      <c r="RXU248"/>
      <c r="RXV248"/>
      <c r="RXW248"/>
      <c r="RXX248"/>
      <c r="RXY248"/>
      <c r="RXZ248"/>
      <c r="RYA248"/>
      <c r="RYB248"/>
      <c r="RYC248"/>
      <c r="RYD248"/>
      <c r="RYE248"/>
      <c r="RYF248"/>
      <c r="RYG248"/>
      <c r="RYH248"/>
      <c r="RYI248"/>
      <c r="RYJ248"/>
      <c r="RYK248"/>
      <c r="RYL248"/>
      <c r="RYM248"/>
      <c r="RYN248"/>
      <c r="RYO248"/>
      <c r="RYP248"/>
      <c r="RYQ248"/>
      <c r="RYR248"/>
      <c r="RYS248"/>
      <c r="RYT248"/>
      <c r="RYU248"/>
      <c r="RYV248"/>
      <c r="RYW248"/>
      <c r="RYX248"/>
      <c r="RYY248"/>
      <c r="RYZ248"/>
      <c r="RZA248"/>
      <c r="RZB248"/>
      <c r="RZC248"/>
      <c r="RZD248"/>
      <c r="RZE248"/>
      <c r="RZF248"/>
      <c r="RZG248"/>
      <c r="RZH248"/>
      <c r="RZI248"/>
      <c r="RZJ248"/>
      <c r="RZK248"/>
      <c r="RZL248"/>
      <c r="RZM248"/>
      <c r="RZN248"/>
      <c r="RZO248"/>
      <c r="RZP248"/>
      <c r="RZQ248"/>
      <c r="RZR248"/>
      <c r="RZS248"/>
      <c r="RZT248"/>
      <c r="RZU248"/>
      <c r="RZV248"/>
      <c r="RZW248"/>
      <c r="RZX248"/>
      <c r="RZY248"/>
      <c r="RZZ248"/>
      <c r="SAA248"/>
      <c r="SAB248"/>
      <c r="SAC248"/>
      <c r="SAD248"/>
      <c r="SAE248"/>
      <c r="SAF248"/>
      <c r="SAG248"/>
      <c r="SAH248"/>
      <c r="SAI248"/>
      <c r="SAJ248"/>
      <c r="SAK248"/>
      <c r="SAL248"/>
      <c r="SAM248"/>
      <c r="SAN248"/>
      <c r="SAO248"/>
      <c r="SAP248"/>
      <c r="SAQ248"/>
      <c r="SAR248"/>
      <c r="SAS248"/>
      <c r="SAT248"/>
      <c r="SAU248"/>
      <c r="SAV248"/>
      <c r="SAW248"/>
      <c r="SAX248"/>
      <c r="SAY248"/>
      <c r="SAZ248"/>
      <c r="SBA248"/>
      <c r="SBB248"/>
      <c r="SBC248"/>
      <c r="SBD248"/>
      <c r="SBE248"/>
      <c r="SBF248"/>
      <c r="SBG248"/>
      <c r="SBH248"/>
      <c r="SBI248"/>
      <c r="SBJ248"/>
      <c r="SBK248"/>
      <c r="SBL248"/>
      <c r="SBM248"/>
      <c r="SBN248"/>
      <c r="SBO248"/>
      <c r="SBP248"/>
      <c r="SBQ248"/>
      <c r="SBR248"/>
      <c r="SBS248"/>
      <c r="SBT248"/>
      <c r="SBU248"/>
      <c r="SBV248"/>
      <c r="SBW248"/>
      <c r="SBX248"/>
      <c r="SBY248"/>
      <c r="SBZ248"/>
      <c r="SCA248"/>
      <c r="SCB248"/>
      <c r="SCC248"/>
      <c r="SCD248"/>
      <c r="SCE248"/>
      <c r="SCF248"/>
      <c r="SCG248"/>
      <c r="SCH248"/>
      <c r="SCI248"/>
      <c r="SCJ248"/>
      <c r="SCK248"/>
      <c r="SCL248"/>
      <c r="SCM248"/>
      <c r="SCN248"/>
      <c r="SCO248"/>
      <c r="SCP248"/>
      <c r="SCQ248"/>
      <c r="SCR248"/>
      <c r="SCS248"/>
      <c r="SCT248"/>
      <c r="SCU248"/>
      <c r="SCV248"/>
      <c r="SCW248"/>
      <c r="SCX248"/>
      <c r="SCY248"/>
      <c r="SCZ248"/>
      <c r="SDA248"/>
      <c r="SDB248"/>
      <c r="SDC248"/>
      <c r="SDD248"/>
      <c r="SDE248"/>
      <c r="SDF248"/>
      <c r="SDG248"/>
      <c r="SDH248"/>
      <c r="SDI248"/>
      <c r="SDJ248"/>
      <c r="SDK248"/>
      <c r="SDL248"/>
      <c r="SDM248"/>
      <c r="SDN248"/>
      <c r="SDO248"/>
      <c r="SDP248"/>
      <c r="SDQ248"/>
      <c r="SDR248"/>
      <c r="SDS248"/>
      <c r="SDT248"/>
      <c r="SDU248"/>
      <c r="SDV248"/>
      <c r="SDW248"/>
      <c r="SDX248"/>
      <c r="SDY248"/>
      <c r="SDZ248"/>
      <c r="SEA248"/>
      <c r="SEB248"/>
      <c r="SEC248"/>
      <c r="SED248"/>
      <c r="SEE248"/>
      <c r="SEF248"/>
      <c r="SEG248"/>
      <c r="SEH248"/>
      <c r="SEI248"/>
      <c r="SEJ248"/>
      <c r="SEK248"/>
      <c r="SEL248"/>
      <c r="SEM248"/>
      <c r="SEN248"/>
      <c r="SEO248"/>
      <c r="SEP248"/>
      <c r="SEQ248"/>
      <c r="SER248"/>
      <c r="SES248"/>
      <c r="SET248"/>
      <c r="SEU248"/>
      <c r="SEV248"/>
      <c r="SEW248"/>
      <c r="SEX248"/>
      <c r="SEY248"/>
      <c r="SEZ248"/>
      <c r="SFA248"/>
      <c r="SFB248"/>
      <c r="SFC248"/>
      <c r="SFD248"/>
      <c r="SFE248"/>
      <c r="SFF248"/>
      <c r="SFG248"/>
      <c r="SFH248"/>
      <c r="SFI248"/>
      <c r="SFJ248"/>
      <c r="SFK248"/>
      <c r="SFL248"/>
      <c r="SFM248"/>
      <c r="SFN248"/>
      <c r="SFO248"/>
      <c r="SFP248"/>
      <c r="SFQ248"/>
      <c r="SFR248"/>
      <c r="SFS248"/>
      <c r="SFT248"/>
      <c r="SFU248"/>
      <c r="SFV248"/>
      <c r="SFW248"/>
      <c r="SFX248"/>
      <c r="SFY248"/>
      <c r="SFZ248"/>
      <c r="SGA248"/>
      <c r="SGB248"/>
      <c r="SGC248"/>
      <c r="SGD248"/>
      <c r="SGE248"/>
      <c r="SGF248"/>
      <c r="SGG248"/>
      <c r="SGH248"/>
      <c r="SGI248"/>
      <c r="SGJ248"/>
      <c r="SGK248"/>
      <c r="SGL248"/>
      <c r="SGM248"/>
      <c r="SGN248"/>
      <c r="SGO248"/>
      <c r="SGP248"/>
      <c r="SGQ248"/>
      <c r="SGR248"/>
      <c r="SGS248"/>
      <c r="SGT248"/>
      <c r="SGU248"/>
      <c r="SGV248"/>
      <c r="SGW248"/>
      <c r="SGX248"/>
      <c r="SGY248"/>
      <c r="SGZ248"/>
      <c r="SHA248"/>
      <c r="SHB248"/>
      <c r="SHC248"/>
      <c r="SHD248"/>
      <c r="SHE248"/>
      <c r="SHF248"/>
      <c r="SHG248"/>
      <c r="SHH248"/>
      <c r="SHI248"/>
      <c r="SHJ248"/>
      <c r="SHK248"/>
      <c r="SHL248"/>
      <c r="SHM248"/>
      <c r="SHN248"/>
      <c r="SHO248"/>
      <c r="SHP248"/>
      <c r="SHQ248"/>
      <c r="SHR248"/>
      <c r="SHS248"/>
      <c r="SHT248"/>
      <c r="SHU248"/>
      <c r="SHV248"/>
      <c r="SHW248"/>
      <c r="SHX248"/>
      <c r="SHY248"/>
      <c r="SHZ248"/>
      <c r="SIA248"/>
      <c r="SIB248"/>
      <c r="SIC248"/>
      <c r="SID248"/>
      <c r="SIE248"/>
      <c r="SIF248"/>
      <c r="SIG248"/>
      <c r="SIH248"/>
      <c r="SII248"/>
      <c r="SIJ248"/>
      <c r="SIK248"/>
      <c r="SIL248"/>
      <c r="SIM248"/>
      <c r="SIN248"/>
      <c r="SIO248"/>
      <c r="SIP248"/>
      <c r="SIQ248"/>
      <c r="SIR248"/>
      <c r="SIS248"/>
      <c r="SIT248"/>
      <c r="SIU248"/>
      <c r="SIV248"/>
      <c r="SIW248"/>
      <c r="SIX248"/>
      <c r="SIY248"/>
      <c r="SIZ248"/>
      <c r="SJA248"/>
      <c r="SJB248"/>
      <c r="SJC248"/>
      <c r="SJD248"/>
      <c r="SJE248"/>
      <c r="SJF248"/>
      <c r="SJG248"/>
      <c r="SJH248"/>
      <c r="SJI248"/>
      <c r="SJJ248"/>
      <c r="SJK248"/>
      <c r="SJL248"/>
      <c r="SJM248"/>
      <c r="SJN248"/>
      <c r="SJO248"/>
      <c r="SJP248"/>
      <c r="SJQ248"/>
      <c r="SJR248"/>
      <c r="SJS248"/>
      <c r="SJT248"/>
      <c r="SJU248"/>
      <c r="SJV248"/>
      <c r="SJW248"/>
      <c r="SJX248"/>
      <c r="SJY248"/>
      <c r="SJZ248"/>
      <c r="SKA248"/>
      <c r="SKB248"/>
      <c r="SKC248"/>
      <c r="SKD248"/>
      <c r="SKE248"/>
      <c r="SKF248"/>
      <c r="SKG248"/>
      <c r="SKH248"/>
      <c r="SKI248"/>
      <c r="SKJ248"/>
      <c r="SKK248"/>
      <c r="SKL248"/>
      <c r="SKM248"/>
      <c r="SKN248"/>
      <c r="SKO248"/>
      <c r="SKP248"/>
      <c r="SKQ248"/>
      <c r="SKR248"/>
      <c r="SKS248"/>
      <c r="SKT248"/>
      <c r="SKU248"/>
      <c r="SKV248"/>
      <c r="SKW248"/>
      <c r="SKX248"/>
      <c r="SKY248"/>
      <c r="SKZ248"/>
      <c r="SLA248"/>
      <c r="SLB248"/>
      <c r="SLC248"/>
      <c r="SLD248"/>
      <c r="SLE248"/>
      <c r="SLF248"/>
      <c r="SLG248"/>
      <c r="SLH248"/>
      <c r="SLI248"/>
      <c r="SLJ248"/>
      <c r="SLK248"/>
      <c r="SLL248"/>
      <c r="SLM248"/>
      <c r="SLN248"/>
      <c r="SLO248"/>
      <c r="SLP248"/>
      <c r="SLQ248"/>
      <c r="SLR248"/>
      <c r="SLS248"/>
      <c r="SLT248"/>
      <c r="SLU248"/>
      <c r="SLV248"/>
      <c r="SLW248"/>
      <c r="SLX248"/>
      <c r="SLY248"/>
      <c r="SLZ248"/>
      <c r="SMA248"/>
      <c r="SMB248"/>
      <c r="SMC248"/>
      <c r="SMD248"/>
      <c r="SME248"/>
      <c r="SMF248"/>
      <c r="SMG248"/>
      <c r="SMH248"/>
      <c r="SMI248"/>
      <c r="SMJ248"/>
      <c r="SMK248"/>
      <c r="SML248"/>
      <c r="SMM248"/>
      <c r="SMN248"/>
      <c r="SMO248"/>
      <c r="SMP248"/>
      <c r="SMQ248"/>
      <c r="SMR248"/>
      <c r="SMS248"/>
      <c r="SMT248"/>
      <c r="SMU248"/>
      <c r="SMV248"/>
      <c r="SMW248"/>
      <c r="SMX248"/>
      <c r="SMY248"/>
      <c r="SMZ248"/>
      <c r="SNA248"/>
      <c r="SNB248"/>
      <c r="SNC248"/>
      <c r="SND248"/>
      <c r="SNE248"/>
      <c r="SNF248"/>
      <c r="SNG248"/>
      <c r="SNH248"/>
      <c r="SNI248"/>
      <c r="SNJ248"/>
      <c r="SNK248"/>
      <c r="SNL248"/>
      <c r="SNM248"/>
      <c r="SNN248"/>
      <c r="SNO248"/>
      <c r="SNP248"/>
      <c r="SNQ248"/>
      <c r="SNR248"/>
      <c r="SNS248"/>
      <c r="SNT248"/>
      <c r="SNU248"/>
      <c r="SNV248"/>
      <c r="SNW248"/>
      <c r="SNX248"/>
      <c r="SNY248"/>
      <c r="SNZ248"/>
      <c r="SOA248"/>
      <c r="SOB248"/>
      <c r="SOC248"/>
      <c r="SOD248"/>
      <c r="SOE248"/>
      <c r="SOF248"/>
      <c r="SOG248"/>
      <c r="SOH248"/>
      <c r="SOI248"/>
      <c r="SOJ248"/>
      <c r="SOK248"/>
      <c r="SOL248"/>
      <c r="SOM248"/>
      <c r="SON248"/>
      <c r="SOO248"/>
      <c r="SOP248"/>
      <c r="SOQ248"/>
      <c r="SOR248"/>
      <c r="SOS248"/>
      <c r="SOT248"/>
      <c r="SOU248"/>
      <c r="SOV248"/>
      <c r="SOW248"/>
      <c r="SOX248"/>
      <c r="SOY248"/>
      <c r="SOZ248"/>
      <c r="SPA248"/>
      <c r="SPB248"/>
      <c r="SPC248"/>
      <c r="SPD248"/>
      <c r="SPE248"/>
      <c r="SPF248"/>
      <c r="SPG248"/>
      <c r="SPH248"/>
      <c r="SPI248"/>
      <c r="SPJ248"/>
      <c r="SPK248"/>
      <c r="SPL248"/>
      <c r="SPM248"/>
      <c r="SPN248"/>
      <c r="SPO248"/>
      <c r="SPP248"/>
      <c r="SPQ248"/>
      <c r="SPR248"/>
      <c r="SPS248"/>
      <c r="SPT248"/>
      <c r="SPU248"/>
      <c r="SPV248"/>
      <c r="SPW248"/>
      <c r="SPX248"/>
      <c r="SPY248"/>
      <c r="SPZ248"/>
      <c r="SQA248"/>
      <c r="SQB248"/>
      <c r="SQC248"/>
      <c r="SQD248"/>
      <c r="SQE248"/>
      <c r="SQF248"/>
      <c r="SQG248"/>
      <c r="SQH248"/>
      <c r="SQI248"/>
      <c r="SQJ248"/>
      <c r="SQK248"/>
      <c r="SQL248"/>
      <c r="SQM248"/>
      <c r="SQN248"/>
      <c r="SQO248"/>
      <c r="SQP248"/>
      <c r="SQQ248"/>
      <c r="SQR248"/>
      <c r="SQS248"/>
      <c r="SQT248"/>
      <c r="SQU248"/>
      <c r="SQV248"/>
      <c r="SQW248"/>
      <c r="SQX248"/>
      <c r="SQY248"/>
      <c r="SQZ248"/>
      <c r="SRA248"/>
      <c r="SRB248"/>
      <c r="SRC248"/>
      <c r="SRD248"/>
      <c r="SRE248"/>
      <c r="SRF248"/>
      <c r="SRG248"/>
      <c r="SRH248"/>
      <c r="SRI248"/>
      <c r="SRJ248"/>
      <c r="SRK248"/>
      <c r="SRL248"/>
      <c r="SRM248"/>
      <c r="SRN248"/>
      <c r="SRO248"/>
      <c r="SRP248"/>
      <c r="SRQ248"/>
      <c r="SRR248"/>
      <c r="SRS248"/>
      <c r="SRT248"/>
      <c r="SRU248"/>
      <c r="SRV248"/>
      <c r="SRW248"/>
      <c r="SRX248"/>
      <c r="SRY248"/>
      <c r="SRZ248"/>
      <c r="SSA248"/>
      <c r="SSB248"/>
      <c r="SSC248"/>
      <c r="SSD248"/>
      <c r="SSE248"/>
      <c r="SSF248"/>
      <c r="SSG248"/>
      <c r="SSH248"/>
      <c r="SSI248"/>
      <c r="SSJ248"/>
      <c r="SSK248"/>
      <c r="SSL248"/>
      <c r="SSM248"/>
      <c r="SSN248"/>
      <c r="SSO248"/>
      <c r="SSP248"/>
      <c r="SSQ248"/>
      <c r="SSR248"/>
      <c r="SSS248"/>
      <c r="SST248"/>
      <c r="SSU248"/>
      <c r="SSV248"/>
      <c r="SSW248"/>
      <c r="SSX248"/>
      <c r="SSY248"/>
      <c r="SSZ248"/>
      <c r="STA248"/>
      <c r="STB248"/>
      <c r="STC248"/>
      <c r="STD248"/>
      <c r="STE248"/>
      <c r="STF248"/>
      <c r="STG248"/>
      <c r="STH248"/>
      <c r="STI248"/>
      <c r="STJ248"/>
      <c r="STK248"/>
      <c r="STL248"/>
      <c r="STM248"/>
      <c r="STN248"/>
      <c r="STO248"/>
      <c r="STP248"/>
      <c r="STQ248"/>
      <c r="STR248"/>
      <c r="STS248"/>
      <c r="STT248"/>
      <c r="STU248"/>
      <c r="STV248"/>
      <c r="STW248"/>
      <c r="STX248"/>
      <c r="STY248"/>
      <c r="STZ248"/>
      <c r="SUA248"/>
      <c r="SUB248"/>
      <c r="SUC248"/>
      <c r="SUD248"/>
      <c r="SUE248"/>
      <c r="SUF248"/>
      <c r="SUG248"/>
      <c r="SUH248"/>
      <c r="SUI248"/>
      <c r="SUJ248"/>
      <c r="SUK248"/>
      <c r="SUL248"/>
      <c r="SUM248"/>
      <c r="SUN248"/>
      <c r="SUO248"/>
      <c r="SUP248"/>
      <c r="SUQ248"/>
      <c r="SUR248"/>
      <c r="SUS248"/>
      <c r="SUT248"/>
      <c r="SUU248"/>
      <c r="SUV248"/>
      <c r="SUW248"/>
      <c r="SUX248"/>
      <c r="SUY248"/>
      <c r="SUZ248"/>
      <c r="SVA248"/>
      <c r="SVB248"/>
      <c r="SVC248"/>
      <c r="SVD248"/>
      <c r="SVE248"/>
      <c r="SVF248"/>
      <c r="SVG248"/>
      <c r="SVH248"/>
      <c r="SVI248"/>
      <c r="SVJ248"/>
      <c r="SVK248"/>
      <c r="SVL248"/>
      <c r="SVM248"/>
      <c r="SVN248"/>
      <c r="SVO248"/>
      <c r="SVP248"/>
      <c r="SVQ248"/>
      <c r="SVR248"/>
      <c r="SVS248"/>
      <c r="SVT248"/>
      <c r="SVU248"/>
      <c r="SVV248"/>
      <c r="SVW248"/>
      <c r="SVX248"/>
      <c r="SVY248"/>
      <c r="SVZ248"/>
      <c r="SWA248"/>
      <c r="SWB248"/>
      <c r="SWC248"/>
      <c r="SWD248"/>
      <c r="SWE248"/>
      <c r="SWF248"/>
      <c r="SWG248"/>
      <c r="SWH248"/>
      <c r="SWI248"/>
      <c r="SWJ248"/>
      <c r="SWK248"/>
      <c r="SWL248"/>
      <c r="SWM248"/>
      <c r="SWN248"/>
      <c r="SWO248"/>
      <c r="SWP248"/>
      <c r="SWQ248"/>
      <c r="SWR248"/>
      <c r="SWS248"/>
      <c r="SWT248"/>
      <c r="SWU248"/>
      <c r="SWV248"/>
      <c r="SWW248"/>
      <c r="SWX248"/>
      <c r="SWY248"/>
      <c r="SWZ248"/>
      <c r="SXA248"/>
      <c r="SXB248"/>
      <c r="SXC248"/>
      <c r="SXD248"/>
      <c r="SXE248"/>
      <c r="SXF248"/>
      <c r="SXG248"/>
      <c r="SXH248"/>
      <c r="SXI248"/>
      <c r="SXJ248"/>
      <c r="SXK248"/>
      <c r="SXL248"/>
      <c r="SXM248"/>
      <c r="SXN248"/>
      <c r="SXO248"/>
      <c r="SXP248"/>
      <c r="SXQ248"/>
      <c r="SXR248"/>
      <c r="SXS248"/>
      <c r="SXT248"/>
      <c r="SXU248"/>
      <c r="SXV248"/>
      <c r="SXW248"/>
      <c r="SXX248"/>
      <c r="SXY248"/>
      <c r="SXZ248"/>
      <c r="SYA248"/>
      <c r="SYB248"/>
      <c r="SYC248"/>
      <c r="SYD248"/>
      <c r="SYE248"/>
      <c r="SYF248"/>
      <c r="SYG248"/>
      <c r="SYH248"/>
      <c r="SYI248"/>
      <c r="SYJ248"/>
      <c r="SYK248"/>
      <c r="SYL248"/>
      <c r="SYM248"/>
      <c r="SYN248"/>
      <c r="SYO248"/>
      <c r="SYP248"/>
      <c r="SYQ248"/>
      <c r="SYR248"/>
      <c r="SYS248"/>
      <c r="SYT248"/>
      <c r="SYU248"/>
      <c r="SYV248"/>
      <c r="SYW248"/>
      <c r="SYX248"/>
      <c r="SYY248"/>
      <c r="SYZ248"/>
      <c r="SZA248"/>
      <c r="SZB248"/>
      <c r="SZC248"/>
      <c r="SZD248"/>
      <c r="SZE248"/>
      <c r="SZF248"/>
      <c r="SZG248"/>
      <c r="SZH248"/>
      <c r="SZI248"/>
      <c r="SZJ248"/>
      <c r="SZK248"/>
      <c r="SZL248"/>
      <c r="SZM248"/>
      <c r="SZN248"/>
      <c r="SZO248"/>
      <c r="SZP248"/>
      <c r="SZQ248"/>
      <c r="SZR248"/>
      <c r="SZS248"/>
      <c r="SZT248"/>
      <c r="SZU248"/>
      <c r="SZV248"/>
      <c r="SZW248"/>
      <c r="SZX248"/>
      <c r="SZY248"/>
      <c r="SZZ248"/>
      <c r="TAA248"/>
      <c r="TAB248"/>
      <c r="TAC248"/>
      <c r="TAD248"/>
      <c r="TAE248"/>
      <c r="TAF248"/>
      <c r="TAG248"/>
      <c r="TAH248"/>
      <c r="TAI248"/>
      <c r="TAJ248"/>
      <c r="TAK248"/>
      <c r="TAL248"/>
      <c r="TAM248"/>
      <c r="TAN248"/>
      <c r="TAO248"/>
      <c r="TAP248"/>
      <c r="TAQ248"/>
      <c r="TAR248"/>
      <c r="TAS248"/>
      <c r="TAT248"/>
      <c r="TAU248"/>
      <c r="TAV248"/>
      <c r="TAW248"/>
      <c r="TAX248"/>
      <c r="TAY248"/>
      <c r="TAZ248"/>
      <c r="TBA248"/>
      <c r="TBB248"/>
      <c r="TBC248"/>
      <c r="TBD248"/>
      <c r="TBE248"/>
      <c r="TBF248"/>
      <c r="TBG248"/>
      <c r="TBH248"/>
      <c r="TBI248"/>
      <c r="TBJ248"/>
      <c r="TBK248"/>
      <c r="TBL248"/>
      <c r="TBM248"/>
      <c r="TBN248"/>
      <c r="TBO248"/>
      <c r="TBP248"/>
      <c r="TBQ248"/>
      <c r="TBR248"/>
      <c r="TBS248"/>
      <c r="TBT248"/>
      <c r="TBU248"/>
      <c r="TBV248"/>
      <c r="TBW248"/>
      <c r="TBX248"/>
      <c r="TBY248"/>
      <c r="TBZ248"/>
      <c r="TCA248"/>
      <c r="TCB248"/>
      <c r="TCC248"/>
      <c r="TCD248"/>
      <c r="TCE248"/>
      <c r="TCF248"/>
      <c r="TCG248"/>
      <c r="TCH248"/>
      <c r="TCI248"/>
      <c r="TCJ248"/>
      <c r="TCK248"/>
      <c r="TCL248"/>
      <c r="TCM248"/>
      <c r="TCN248"/>
      <c r="TCO248"/>
      <c r="TCP248"/>
      <c r="TCQ248"/>
      <c r="TCR248"/>
      <c r="TCS248"/>
      <c r="TCT248"/>
      <c r="TCU248"/>
      <c r="TCV248"/>
      <c r="TCW248"/>
      <c r="TCX248"/>
      <c r="TCY248"/>
      <c r="TCZ248"/>
      <c r="TDA248"/>
      <c r="TDB248"/>
      <c r="TDC248"/>
      <c r="TDD248"/>
      <c r="TDE248"/>
      <c r="TDF248"/>
      <c r="TDG248"/>
      <c r="TDH248"/>
      <c r="TDI248"/>
      <c r="TDJ248"/>
      <c r="TDK248"/>
      <c r="TDL248"/>
      <c r="TDM248"/>
      <c r="TDN248"/>
      <c r="TDO248"/>
      <c r="TDP248"/>
      <c r="TDQ248"/>
      <c r="TDR248"/>
      <c r="TDS248"/>
      <c r="TDT248"/>
      <c r="TDU248"/>
      <c r="TDV248"/>
      <c r="TDW248"/>
      <c r="TDX248"/>
      <c r="TDY248"/>
      <c r="TDZ248"/>
      <c r="TEA248"/>
      <c r="TEB248"/>
      <c r="TEC248"/>
      <c r="TED248"/>
      <c r="TEE248"/>
      <c r="TEF248"/>
      <c r="TEG248"/>
      <c r="TEH248"/>
      <c r="TEI248"/>
      <c r="TEJ248"/>
      <c r="TEK248"/>
      <c r="TEL248"/>
      <c r="TEM248"/>
      <c r="TEN248"/>
      <c r="TEO248"/>
      <c r="TEP248"/>
      <c r="TEQ248"/>
      <c r="TER248"/>
      <c r="TES248"/>
      <c r="TET248"/>
      <c r="TEU248"/>
      <c r="TEV248"/>
      <c r="TEW248"/>
      <c r="TEX248"/>
      <c r="TEY248"/>
      <c r="TEZ248"/>
      <c r="TFA248"/>
      <c r="TFB248"/>
      <c r="TFC248"/>
      <c r="TFD248"/>
      <c r="TFE248"/>
      <c r="TFF248"/>
      <c r="TFG248"/>
      <c r="TFH248"/>
      <c r="TFI248"/>
      <c r="TFJ248"/>
      <c r="TFK248"/>
      <c r="TFL248"/>
      <c r="TFM248"/>
      <c r="TFN248"/>
      <c r="TFO248"/>
      <c r="TFP248"/>
      <c r="TFQ248"/>
      <c r="TFR248"/>
      <c r="TFS248"/>
      <c r="TFT248"/>
      <c r="TFU248"/>
      <c r="TFV248"/>
      <c r="TFW248"/>
      <c r="TFX248"/>
      <c r="TFY248"/>
      <c r="TFZ248"/>
      <c r="TGA248"/>
      <c r="TGB248"/>
      <c r="TGC248"/>
      <c r="TGD248"/>
      <c r="TGE248"/>
      <c r="TGF248"/>
      <c r="TGG248"/>
      <c r="TGH248"/>
      <c r="TGI248"/>
      <c r="TGJ248"/>
      <c r="TGK248"/>
      <c r="TGL248"/>
      <c r="TGM248"/>
      <c r="TGN248"/>
      <c r="TGO248"/>
      <c r="TGP248"/>
      <c r="TGQ248"/>
      <c r="TGR248"/>
      <c r="TGS248"/>
      <c r="TGT248"/>
      <c r="TGU248"/>
      <c r="TGV248"/>
      <c r="TGW248"/>
      <c r="TGX248"/>
      <c r="TGY248"/>
      <c r="TGZ248"/>
      <c r="THA248"/>
      <c r="THB248"/>
      <c r="THC248"/>
      <c r="THD248"/>
      <c r="THE248"/>
      <c r="THF248"/>
      <c r="THG248"/>
      <c r="THH248"/>
      <c r="THI248"/>
      <c r="THJ248"/>
      <c r="THK248"/>
      <c r="THL248"/>
      <c r="THM248"/>
      <c r="THN248"/>
      <c r="THO248"/>
      <c r="THP248"/>
      <c r="THQ248"/>
      <c r="THR248"/>
      <c r="THS248"/>
      <c r="THT248"/>
      <c r="THU248"/>
      <c r="THV248"/>
      <c r="THW248"/>
      <c r="THX248"/>
      <c r="THY248"/>
      <c r="THZ248"/>
      <c r="TIA248"/>
      <c r="TIB248"/>
      <c r="TIC248"/>
      <c r="TID248"/>
      <c r="TIE248"/>
      <c r="TIF248"/>
      <c r="TIG248"/>
      <c r="TIH248"/>
      <c r="TII248"/>
      <c r="TIJ248"/>
      <c r="TIK248"/>
      <c r="TIL248"/>
      <c r="TIM248"/>
      <c r="TIN248"/>
      <c r="TIO248"/>
      <c r="TIP248"/>
      <c r="TIQ248"/>
      <c r="TIR248"/>
      <c r="TIS248"/>
      <c r="TIT248"/>
      <c r="TIU248"/>
      <c r="TIV248"/>
      <c r="TIW248"/>
      <c r="TIX248"/>
      <c r="TIY248"/>
      <c r="TIZ248"/>
      <c r="TJA248"/>
      <c r="TJB248"/>
      <c r="TJC248"/>
      <c r="TJD248"/>
      <c r="TJE248"/>
      <c r="TJF248"/>
      <c r="TJG248"/>
      <c r="TJH248"/>
      <c r="TJI248"/>
      <c r="TJJ248"/>
      <c r="TJK248"/>
      <c r="TJL248"/>
      <c r="TJM248"/>
      <c r="TJN248"/>
      <c r="TJO248"/>
      <c r="TJP248"/>
      <c r="TJQ248"/>
      <c r="TJR248"/>
      <c r="TJS248"/>
      <c r="TJT248"/>
      <c r="TJU248"/>
      <c r="TJV248"/>
      <c r="TJW248"/>
      <c r="TJX248"/>
      <c r="TJY248"/>
      <c r="TJZ248"/>
      <c r="TKA248"/>
      <c r="TKB248"/>
      <c r="TKC248"/>
      <c r="TKD248"/>
      <c r="TKE248"/>
      <c r="TKF248"/>
      <c r="TKG248"/>
      <c r="TKH248"/>
      <c r="TKI248"/>
      <c r="TKJ248"/>
      <c r="TKK248"/>
      <c r="TKL248"/>
      <c r="TKM248"/>
      <c r="TKN248"/>
      <c r="TKO248"/>
      <c r="TKP248"/>
      <c r="TKQ248"/>
      <c r="TKR248"/>
      <c r="TKS248"/>
      <c r="TKT248"/>
      <c r="TKU248"/>
      <c r="TKV248"/>
      <c r="TKW248"/>
      <c r="TKX248"/>
      <c r="TKY248"/>
      <c r="TKZ248"/>
      <c r="TLA248"/>
      <c r="TLB248"/>
      <c r="TLC248"/>
      <c r="TLD248"/>
      <c r="TLE248"/>
      <c r="TLF248"/>
      <c r="TLG248"/>
      <c r="TLH248"/>
      <c r="TLI248"/>
      <c r="TLJ248"/>
      <c r="TLK248"/>
      <c r="TLL248"/>
      <c r="TLM248"/>
      <c r="TLN248"/>
      <c r="TLO248"/>
      <c r="TLP248"/>
      <c r="TLQ248"/>
      <c r="TLR248"/>
      <c r="TLS248"/>
      <c r="TLT248"/>
      <c r="TLU248"/>
      <c r="TLV248"/>
      <c r="TLW248"/>
      <c r="TLX248"/>
      <c r="TLY248"/>
      <c r="TLZ248"/>
      <c r="TMA248"/>
      <c r="TMB248"/>
      <c r="TMC248"/>
      <c r="TMD248"/>
      <c r="TME248"/>
      <c r="TMF248"/>
      <c r="TMG248"/>
      <c r="TMH248"/>
      <c r="TMI248"/>
      <c r="TMJ248"/>
      <c r="TMK248"/>
      <c r="TML248"/>
      <c r="TMM248"/>
      <c r="TMN248"/>
      <c r="TMO248"/>
      <c r="TMP248"/>
      <c r="TMQ248"/>
      <c r="TMR248"/>
      <c r="TMS248"/>
      <c r="TMT248"/>
      <c r="TMU248"/>
      <c r="TMV248"/>
      <c r="TMW248"/>
      <c r="TMX248"/>
      <c r="TMY248"/>
      <c r="TMZ248"/>
      <c r="TNA248"/>
      <c r="TNB248"/>
      <c r="TNC248"/>
      <c r="TND248"/>
      <c r="TNE248"/>
      <c r="TNF248"/>
      <c r="TNG248"/>
      <c r="TNH248"/>
      <c r="TNI248"/>
      <c r="TNJ248"/>
      <c r="TNK248"/>
      <c r="TNL248"/>
      <c r="TNM248"/>
      <c r="TNN248"/>
      <c r="TNO248"/>
      <c r="TNP248"/>
      <c r="TNQ248"/>
      <c r="TNR248"/>
      <c r="TNS248"/>
      <c r="TNT248"/>
      <c r="TNU248"/>
      <c r="TNV248"/>
      <c r="TNW248"/>
      <c r="TNX248"/>
      <c r="TNY248"/>
      <c r="TNZ248"/>
      <c r="TOA248"/>
      <c r="TOB248"/>
      <c r="TOC248"/>
      <c r="TOD248"/>
      <c r="TOE248"/>
      <c r="TOF248"/>
      <c r="TOG248"/>
      <c r="TOH248"/>
      <c r="TOI248"/>
      <c r="TOJ248"/>
      <c r="TOK248"/>
      <c r="TOL248"/>
      <c r="TOM248"/>
      <c r="TON248"/>
      <c r="TOO248"/>
      <c r="TOP248"/>
      <c r="TOQ248"/>
      <c r="TOR248"/>
      <c r="TOS248"/>
      <c r="TOT248"/>
      <c r="TOU248"/>
      <c r="TOV248"/>
      <c r="TOW248"/>
      <c r="TOX248"/>
      <c r="TOY248"/>
      <c r="TOZ248"/>
      <c r="TPA248"/>
      <c r="TPB248"/>
      <c r="TPC248"/>
      <c r="TPD248"/>
      <c r="TPE248"/>
      <c r="TPF248"/>
      <c r="TPG248"/>
      <c r="TPH248"/>
      <c r="TPI248"/>
      <c r="TPJ248"/>
      <c r="TPK248"/>
      <c r="TPL248"/>
      <c r="TPM248"/>
      <c r="TPN248"/>
      <c r="TPO248"/>
      <c r="TPP248"/>
      <c r="TPQ248"/>
      <c r="TPR248"/>
      <c r="TPS248"/>
      <c r="TPT248"/>
      <c r="TPU248"/>
      <c r="TPV248"/>
      <c r="TPW248"/>
      <c r="TPX248"/>
      <c r="TPY248"/>
      <c r="TPZ248"/>
      <c r="TQA248"/>
      <c r="TQB248"/>
      <c r="TQC248"/>
      <c r="TQD248"/>
      <c r="TQE248"/>
      <c r="TQF248"/>
      <c r="TQG248"/>
      <c r="TQH248"/>
      <c r="TQI248"/>
      <c r="TQJ248"/>
      <c r="TQK248"/>
      <c r="TQL248"/>
      <c r="TQM248"/>
      <c r="TQN248"/>
      <c r="TQO248"/>
      <c r="TQP248"/>
      <c r="TQQ248"/>
      <c r="TQR248"/>
      <c r="TQS248"/>
      <c r="TQT248"/>
      <c r="TQU248"/>
      <c r="TQV248"/>
      <c r="TQW248"/>
      <c r="TQX248"/>
      <c r="TQY248"/>
      <c r="TQZ248"/>
      <c r="TRA248"/>
      <c r="TRB248"/>
      <c r="TRC248"/>
      <c r="TRD248"/>
      <c r="TRE248"/>
      <c r="TRF248"/>
      <c r="TRG248"/>
      <c r="TRH248"/>
      <c r="TRI248"/>
      <c r="TRJ248"/>
      <c r="TRK248"/>
      <c r="TRL248"/>
      <c r="TRM248"/>
      <c r="TRN248"/>
      <c r="TRO248"/>
      <c r="TRP248"/>
      <c r="TRQ248"/>
      <c r="TRR248"/>
      <c r="TRS248"/>
      <c r="TRT248"/>
      <c r="TRU248"/>
      <c r="TRV248"/>
      <c r="TRW248"/>
      <c r="TRX248"/>
      <c r="TRY248"/>
      <c r="TRZ248"/>
      <c r="TSA248"/>
      <c r="TSB248"/>
      <c r="TSC248"/>
      <c r="TSD248"/>
      <c r="TSE248"/>
      <c r="TSF248"/>
      <c r="TSG248"/>
      <c r="TSH248"/>
      <c r="TSI248"/>
      <c r="TSJ248"/>
      <c r="TSK248"/>
      <c r="TSL248"/>
      <c r="TSM248"/>
      <c r="TSN248"/>
      <c r="TSO248"/>
      <c r="TSP248"/>
      <c r="TSQ248"/>
      <c r="TSR248"/>
      <c r="TSS248"/>
      <c r="TST248"/>
      <c r="TSU248"/>
      <c r="TSV248"/>
      <c r="TSW248"/>
      <c r="TSX248"/>
      <c r="TSY248"/>
      <c r="TSZ248"/>
      <c r="TTA248"/>
      <c r="TTB248"/>
      <c r="TTC248"/>
      <c r="TTD248"/>
      <c r="TTE248"/>
      <c r="TTF248"/>
      <c r="TTG248"/>
      <c r="TTH248"/>
      <c r="TTI248"/>
      <c r="TTJ248"/>
      <c r="TTK248"/>
      <c r="TTL248"/>
      <c r="TTM248"/>
      <c r="TTN248"/>
      <c r="TTO248"/>
      <c r="TTP248"/>
      <c r="TTQ248"/>
      <c r="TTR248"/>
      <c r="TTS248"/>
      <c r="TTT248"/>
      <c r="TTU248"/>
      <c r="TTV248"/>
      <c r="TTW248"/>
      <c r="TTX248"/>
      <c r="TTY248"/>
      <c r="TTZ248"/>
      <c r="TUA248"/>
      <c r="TUB248"/>
      <c r="TUC248"/>
      <c r="TUD248"/>
      <c r="TUE248"/>
      <c r="TUF248"/>
      <c r="TUG248"/>
      <c r="TUH248"/>
      <c r="TUI248"/>
      <c r="TUJ248"/>
      <c r="TUK248"/>
      <c r="TUL248"/>
      <c r="TUM248"/>
      <c r="TUN248"/>
      <c r="TUO248"/>
      <c r="TUP248"/>
      <c r="TUQ248"/>
      <c r="TUR248"/>
      <c r="TUS248"/>
      <c r="TUT248"/>
      <c r="TUU248"/>
      <c r="TUV248"/>
      <c r="TUW248"/>
      <c r="TUX248"/>
      <c r="TUY248"/>
      <c r="TUZ248"/>
      <c r="TVA248"/>
      <c r="TVB248"/>
      <c r="TVC248"/>
      <c r="TVD248"/>
      <c r="TVE248"/>
      <c r="TVF248"/>
      <c r="TVG248"/>
      <c r="TVH248"/>
      <c r="TVI248"/>
      <c r="TVJ248"/>
      <c r="TVK248"/>
      <c r="TVL248"/>
      <c r="TVM248"/>
      <c r="TVN248"/>
      <c r="TVO248"/>
      <c r="TVP248"/>
      <c r="TVQ248"/>
      <c r="TVR248"/>
      <c r="TVS248"/>
      <c r="TVT248"/>
      <c r="TVU248"/>
      <c r="TVV248"/>
      <c r="TVW248"/>
      <c r="TVX248"/>
      <c r="TVY248"/>
      <c r="TVZ248"/>
      <c r="TWA248"/>
      <c r="TWB248"/>
      <c r="TWC248"/>
      <c r="TWD248"/>
      <c r="TWE248"/>
      <c r="TWF248"/>
      <c r="TWG248"/>
      <c r="TWH248"/>
      <c r="TWI248"/>
      <c r="TWJ248"/>
      <c r="TWK248"/>
      <c r="TWL248"/>
      <c r="TWM248"/>
      <c r="TWN248"/>
      <c r="TWO248"/>
      <c r="TWP248"/>
      <c r="TWQ248"/>
      <c r="TWR248"/>
      <c r="TWS248"/>
      <c r="TWT248"/>
      <c r="TWU248"/>
      <c r="TWV248"/>
      <c r="TWW248"/>
      <c r="TWX248"/>
      <c r="TWY248"/>
      <c r="TWZ248"/>
      <c r="TXA248"/>
      <c r="TXB248"/>
      <c r="TXC248"/>
      <c r="TXD248"/>
      <c r="TXE248"/>
      <c r="TXF248"/>
      <c r="TXG248"/>
      <c r="TXH248"/>
      <c r="TXI248"/>
      <c r="TXJ248"/>
      <c r="TXK248"/>
      <c r="TXL248"/>
      <c r="TXM248"/>
      <c r="TXN248"/>
      <c r="TXO248"/>
      <c r="TXP248"/>
      <c r="TXQ248"/>
      <c r="TXR248"/>
      <c r="TXS248"/>
      <c r="TXT248"/>
      <c r="TXU248"/>
      <c r="TXV248"/>
      <c r="TXW248"/>
      <c r="TXX248"/>
      <c r="TXY248"/>
      <c r="TXZ248"/>
      <c r="TYA248"/>
      <c r="TYB248"/>
      <c r="TYC248"/>
      <c r="TYD248"/>
      <c r="TYE248"/>
      <c r="TYF248"/>
      <c r="TYG248"/>
      <c r="TYH248"/>
      <c r="TYI248"/>
      <c r="TYJ248"/>
      <c r="TYK248"/>
      <c r="TYL248"/>
      <c r="TYM248"/>
      <c r="TYN248"/>
      <c r="TYO248"/>
      <c r="TYP248"/>
      <c r="TYQ248"/>
      <c r="TYR248"/>
      <c r="TYS248"/>
      <c r="TYT248"/>
      <c r="TYU248"/>
      <c r="TYV248"/>
      <c r="TYW248"/>
      <c r="TYX248"/>
      <c r="TYY248"/>
      <c r="TYZ248"/>
      <c r="TZA248"/>
      <c r="TZB248"/>
      <c r="TZC248"/>
      <c r="TZD248"/>
      <c r="TZE248"/>
      <c r="TZF248"/>
      <c r="TZG248"/>
      <c r="TZH248"/>
      <c r="TZI248"/>
      <c r="TZJ248"/>
      <c r="TZK248"/>
      <c r="TZL248"/>
      <c r="TZM248"/>
      <c r="TZN248"/>
      <c r="TZO248"/>
      <c r="TZP248"/>
      <c r="TZQ248"/>
      <c r="TZR248"/>
      <c r="TZS248"/>
      <c r="TZT248"/>
      <c r="TZU248"/>
      <c r="TZV248"/>
      <c r="TZW248"/>
      <c r="TZX248"/>
      <c r="TZY248"/>
      <c r="TZZ248"/>
      <c r="UAA248"/>
      <c r="UAB248"/>
      <c r="UAC248"/>
      <c r="UAD248"/>
      <c r="UAE248"/>
      <c r="UAF248"/>
      <c r="UAG248"/>
      <c r="UAH248"/>
      <c r="UAI248"/>
      <c r="UAJ248"/>
      <c r="UAK248"/>
      <c r="UAL248"/>
      <c r="UAM248"/>
      <c r="UAN248"/>
      <c r="UAO248"/>
      <c r="UAP248"/>
      <c r="UAQ248"/>
      <c r="UAR248"/>
      <c r="UAS248"/>
      <c r="UAT248"/>
      <c r="UAU248"/>
      <c r="UAV248"/>
      <c r="UAW248"/>
      <c r="UAX248"/>
      <c r="UAY248"/>
      <c r="UAZ248"/>
      <c r="UBA248"/>
      <c r="UBB248"/>
      <c r="UBC248"/>
      <c r="UBD248"/>
      <c r="UBE248"/>
      <c r="UBF248"/>
      <c r="UBG248"/>
      <c r="UBH248"/>
      <c r="UBI248"/>
      <c r="UBJ248"/>
      <c r="UBK248"/>
      <c r="UBL248"/>
      <c r="UBM248"/>
      <c r="UBN248"/>
      <c r="UBO248"/>
      <c r="UBP248"/>
      <c r="UBQ248"/>
      <c r="UBR248"/>
      <c r="UBS248"/>
      <c r="UBT248"/>
      <c r="UBU248"/>
      <c r="UBV248"/>
      <c r="UBW248"/>
      <c r="UBX248"/>
      <c r="UBY248"/>
      <c r="UBZ248"/>
      <c r="UCA248"/>
      <c r="UCB248"/>
      <c r="UCC248"/>
      <c r="UCD248"/>
      <c r="UCE248"/>
      <c r="UCF248"/>
      <c r="UCG248"/>
      <c r="UCH248"/>
      <c r="UCI248"/>
      <c r="UCJ248"/>
      <c r="UCK248"/>
      <c r="UCL248"/>
      <c r="UCM248"/>
      <c r="UCN248"/>
      <c r="UCO248"/>
      <c r="UCP248"/>
      <c r="UCQ248"/>
      <c r="UCR248"/>
      <c r="UCS248"/>
      <c r="UCT248"/>
      <c r="UCU248"/>
      <c r="UCV248"/>
      <c r="UCW248"/>
      <c r="UCX248"/>
      <c r="UCY248"/>
      <c r="UCZ248"/>
      <c r="UDA248"/>
      <c r="UDB248"/>
      <c r="UDC248"/>
      <c r="UDD248"/>
      <c r="UDE248"/>
      <c r="UDF248"/>
      <c r="UDG248"/>
      <c r="UDH248"/>
      <c r="UDI248"/>
      <c r="UDJ248"/>
      <c r="UDK248"/>
      <c r="UDL248"/>
      <c r="UDM248"/>
      <c r="UDN248"/>
      <c r="UDO248"/>
      <c r="UDP248"/>
      <c r="UDQ248"/>
      <c r="UDR248"/>
      <c r="UDS248"/>
      <c r="UDT248"/>
      <c r="UDU248"/>
      <c r="UDV248"/>
      <c r="UDW248"/>
      <c r="UDX248"/>
      <c r="UDY248"/>
      <c r="UDZ248"/>
      <c r="UEA248"/>
      <c r="UEB248"/>
      <c r="UEC248"/>
      <c r="UED248"/>
      <c r="UEE248"/>
      <c r="UEF248"/>
      <c r="UEG248"/>
      <c r="UEH248"/>
      <c r="UEI248"/>
      <c r="UEJ248"/>
      <c r="UEK248"/>
      <c r="UEL248"/>
      <c r="UEM248"/>
      <c r="UEN248"/>
      <c r="UEO248"/>
      <c r="UEP248"/>
      <c r="UEQ248"/>
      <c r="UER248"/>
      <c r="UES248"/>
      <c r="UET248"/>
      <c r="UEU248"/>
      <c r="UEV248"/>
      <c r="UEW248"/>
      <c r="UEX248"/>
      <c r="UEY248"/>
      <c r="UEZ248"/>
      <c r="UFA248"/>
      <c r="UFB248"/>
      <c r="UFC248"/>
      <c r="UFD248"/>
      <c r="UFE248"/>
      <c r="UFF248"/>
      <c r="UFG248"/>
      <c r="UFH248"/>
      <c r="UFI248"/>
      <c r="UFJ248"/>
      <c r="UFK248"/>
      <c r="UFL248"/>
      <c r="UFM248"/>
      <c r="UFN248"/>
      <c r="UFO248"/>
      <c r="UFP248"/>
      <c r="UFQ248"/>
      <c r="UFR248"/>
      <c r="UFS248"/>
      <c r="UFT248"/>
      <c r="UFU248"/>
      <c r="UFV248"/>
      <c r="UFW248"/>
      <c r="UFX248"/>
      <c r="UFY248"/>
      <c r="UFZ248"/>
      <c r="UGA248"/>
      <c r="UGB248"/>
      <c r="UGC248"/>
      <c r="UGD248"/>
      <c r="UGE248"/>
      <c r="UGF248"/>
      <c r="UGG248"/>
      <c r="UGH248"/>
      <c r="UGI248"/>
      <c r="UGJ248"/>
      <c r="UGK248"/>
      <c r="UGL248"/>
      <c r="UGM248"/>
      <c r="UGN248"/>
      <c r="UGO248"/>
      <c r="UGP248"/>
      <c r="UGQ248"/>
      <c r="UGR248"/>
      <c r="UGS248"/>
      <c r="UGT248"/>
      <c r="UGU248"/>
      <c r="UGV248"/>
      <c r="UGW248"/>
      <c r="UGX248"/>
      <c r="UGY248"/>
      <c r="UGZ248"/>
      <c r="UHA248"/>
      <c r="UHB248"/>
      <c r="UHC248"/>
      <c r="UHD248"/>
      <c r="UHE248"/>
      <c r="UHF248"/>
      <c r="UHG248"/>
      <c r="UHH248"/>
      <c r="UHI248"/>
      <c r="UHJ248"/>
      <c r="UHK248"/>
      <c r="UHL248"/>
      <c r="UHM248"/>
      <c r="UHN248"/>
      <c r="UHO248"/>
      <c r="UHP248"/>
      <c r="UHQ248"/>
      <c r="UHR248"/>
      <c r="UHS248"/>
      <c r="UHT248"/>
      <c r="UHU248"/>
      <c r="UHV248"/>
      <c r="UHW248"/>
      <c r="UHX248"/>
      <c r="UHY248"/>
      <c r="UHZ248"/>
      <c r="UIA248"/>
      <c r="UIB248"/>
      <c r="UIC248"/>
      <c r="UID248"/>
      <c r="UIE248"/>
      <c r="UIF248"/>
      <c r="UIG248"/>
      <c r="UIH248"/>
      <c r="UII248"/>
      <c r="UIJ248"/>
      <c r="UIK248"/>
      <c r="UIL248"/>
      <c r="UIM248"/>
      <c r="UIN248"/>
      <c r="UIO248"/>
      <c r="UIP248"/>
      <c r="UIQ248"/>
      <c r="UIR248"/>
      <c r="UIS248"/>
      <c r="UIT248"/>
      <c r="UIU248"/>
      <c r="UIV248"/>
      <c r="UIW248"/>
      <c r="UIX248"/>
      <c r="UIY248"/>
      <c r="UIZ248"/>
      <c r="UJA248"/>
      <c r="UJB248"/>
      <c r="UJC248"/>
      <c r="UJD248"/>
      <c r="UJE248"/>
      <c r="UJF248"/>
      <c r="UJG248"/>
      <c r="UJH248"/>
      <c r="UJI248"/>
      <c r="UJJ248"/>
      <c r="UJK248"/>
      <c r="UJL248"/>
      <c r="UJM248"/>
      <c r="UJN248"/>
      <c r="UJO248"/>
      <c r="UJP248"/>
      <c r="UJQ248"/>
      <c r="UJR248"/>
      <c r="UJS248"/>
      <c r="UJT248"/>
      <c r="UJU248"/>
      <c r="UJV248"/>
      <c r="UJW248"/>
      <c r="UJX248"/>
      <c r="UJY248"/>
      <c r="UJZ248"/>
      <c r="UKA248"/>
      <c r="UKB248"/>
      <c r="UKC248"/>
      <c r="UKD248"/>
      <c r="UKE248"/>
      <c r="UKF248"/>
      <c r="UKG248"/>
      <c r="UKH248"/>
      <c r="UKI248"/>
      <c r="UKJ248"/>
      <c r="UKK248"/>
      <c r="UKL248"/>
      <c r="UKM248"/>
      <c r="UKN248"/>
      <c r="UKO248"/>
      <c r="UKP248"/>
      <c r="UKQ248"/>
      <c r="UKR248"/>
      <c r="UKS248"/>
      <c r="UKT248"/>
      <c r="UKU248"/>
      <c r="UKV248"/>
      <c r="UKW248"/>
      <c r="UKX248"/>
      <c r="UKY248"/>
      <c r="UKZ248"/>
      <c r="ULA248"/>
      <c r="ULB248"/>
      <c r="ULC248"/>
      <c r="ULD248"/>
      <c r="ULE248"/>
      <c r="ULF248"/>
      <c r="ULG248"/>
      <c r="ULH248"/>
      <c r="ULI248"/>
      <c r="ULJ248"/>
      <c r="ULK248"/>
      <c r="ULL248"/>
      <c r="ULM248"/>
      <c r="ULN248"/>
      <c r="ULO248"/>
      <c r="ULP248"/>
      <c r="ULQ248"/>
      <c r="ULR248"/>
      <c r="ULS248"/>
      <c r="ULT248"/>
      <c r="ULU248"/>
      <c r="ULV248"/>
      <c r="ULW248"/>
      <c r="ULX248"/>
      <c r="ULY248"/>
      <c r="ULZ248"/>
      <c r="UMA248"/>
      <c r="UMB248"/>
      <c r="UMC248"/>
      <c r="UMD248"/>
      <c r="UME248"/>
      <c r="UMF248"/>
      <c r="UMG248"/>
      <c r="UMH248"/>
      <c r="UMI248"/>
      <c r="UMJ248"/>
      <c r="UMK248"/>
      <c r="UML248"/>
      <c r="UMM248"/>
      <c r="UMN248"/>
      <c r="UMO248"/>
      <c r="UMP248"/>
      <c r="UMQ248"/>
      <c r="UMR248"/>
      <c r="UMS248"/>
      <c r="UMT248"/>
      <c r="UMU248"/>
      <c r="UMV248"/>
      <c r="UMW248"/>
      <c r="UMX248"/>
      <c r="UMY248"/>
      <c r="UMZ248"/>
      <c r="UNA248"/>
      <c r="UNB248"/>
      <c r="UNC248"/>
      <c r="UND248"/>
      <c r="UNE248"/>
      <c r="UNF248"/>
      <c r="UNG248"/>
      <c r="UNH248"/>
      <c r="UNI248"/>
      <c r="UNJ248"/>
      <c r="UNK248"/>
      <c r="UNL248"/>
      <c r="UNM248"/>
      <c r="UNN248"/>
      <c r="UNO248"/>
      <c r="UNP248"/>
      <c r="UNQ248"/>
      <c r="UNR248"/>
      <c r="UNS248"/>
      <c r="UNT248"/>
      <c r="UNU248"/>
      <c r="UNV248"/>
      <c r="UNW248"/>
      <c r="UNX248"/>
      <c r="UNY248"/>
      <c r="UNZ248"/>
      <c r="UOA248"/>
      <c r="UOB248"/>
      <c r="UOC248"/>
      <c r="UOD248"/>
      <c r="UOE248"/>
      <c r="UOF248"/>
      <c r="UOG248"/>
      <c r="UOH248"/>
      <c r="UOI248"/>
      <c r="UOJ248"/>
      <c r="UOK248"/>
      <c r="UOL248"/>
      <c r="UOM248"/>
      <c r="UON248"/>
      <c r="UOO248"/>
      <c r="UOP248"/>
      <c r="UOQ248"/>
      <c r="UOR248"/>
      <c r="UOS248"/>
      <c r="UOT248"/>
      <c r="UOU248"/>
      <c r="UOV248"/>
      <c r="UOW248"/>
      <c r="UOX248"/>
      <c r="UOY248"/>
      <c r="UOZ248"/>
      <c r="UPA248"/>
      <c r="UPB248"/>
      <c r="UPC248"/>
      <c r="UPD248"/>
      <c r="UPE248"/>
      <c r="UPF248"/>
      <c r="UPG248"/>
      <c r="UPH248"/>
      <c r="UPI248"/>
      <c r="UPJ248"/>
      <c r="UPK248"/>
      <c r="UPL248"/>
      <c r="UPM248"/>
      <c r="UPN248"/>
      <c r="UPO248"/>
      <c r="UPP248"/>
      <c r="UPQ248"/>
      <c r="UPR248"/>
      <c r="UPS248"/>
      <c r="UPT248"/>
      <c r="UPU248"/>
      <c r="UPV248"/>
      <c r="UPW248"/>
      <c r="UPX248"/>
      <c r="UPY248"/>
      <c r="UPZ248"/>
      <c r="UQA248"/>
      <c r="UQB248"/>
      <c r="UQC248"/>
      <c r="UQD248"/>
      <c r="UQE248"/>
      <c r="UQF248"/>
      <c r="UQG248"/>
      <c r="UQH248"/>
      <c r="UQI248"/>
      <c r="UQJ248"/>
      <c r="UQK248"/>
      <c r="UQL248"/>
      <c r="UQM248"/>
      <c r="UQN248"/>
      <c r="UQO248"/>
      <c r="UQP248"/>
      <c r="UQQ248"/>
      <c r="UQR248"/>
      <c r="UQS248"/>
      <c r="UQT248"/>
      <c r="UQU248"/>
      <c r="UQV248"/>
      <c r="UQW248"/>
      <c r="UQX248"/>
      <c r="UQY248"/>
      <c r="UQZ248"/>
      <c r="URA248"/>
      <c r="URB248"/>
      <c r="URC248"/>
      <c r="URD248"/>
      <c r="URE248"/>
      <c r="URF248"/>
      <c r="URG248"/>
      <c r="URH248"/>
      <c r="URI248"/>
      <c r="URJ248"/>
      <c r="URK248"/>
      <c r="URL248"/>
      <c r="URM248"/>
      <c r="URN248"/>
      <c r="URO248"/>
      <c r="URP248"/>
      <c r="URQ248"/>
      <c r="URR248"/>
      <c r="URS248"/>
      <c r="URT248"/>
      <c r="URU248"/>
      <c r="URV248"/>
      <c r="URW248"/>
      <c r="URX248"/>
      <c r="URY248"/>
      <c r="URZ248"/>
      <c r="USA248"/>
      <c r="USB248"/>
      <c r="USC248"/>
      <c r="USD248"/>
      <c r="USE248"/>
      <c r="USF248"/>
      <c r="USG248"/>
      <c r="USH248"/>
      <c r="USI248"/>
      <c r="USJ248"/>
      <c r="USK248"/>
      <c r="USL248"/>
      <c r="USM248"/>
      <c r="USN248"/>
      <c r="USO248"/>
      <c r="USP248"/>
      <c r="USQ248"/>
      <c r="USR248"/>
      <c r="USS248"/>
      <c r="UST248"/>
      <c r="USU248"/>
      <c r="USV248"/>
      <c r="USW248"/>
      <c r="USX248"/>
      <c r="USY248"/>
      <c r="USZ248"/>
      <c r="UTA248"/>
      <c r="UTB248"/>
      <c r="UTC248"/>
      <c r="UTD248"/>
      <c r="UTE248"/>
      <c r="UTF248"/>
      <c r="UTG248"/>
      <c r="UTH248"/>
      <c r="UTI248"/>
      <c r="UTJ248"/>
      <c r="UTK248"/>
      <c r="UTL248"/>
      <c r="UTM248"/>
      <c r="UTN248"/>
      <c r="UTO248"/>
      <c r="UTP248"/>
      <c r="UTQ248"/>
      <c r="UTR248"/>
      <c r="UTS248"/>
      <c r="UTT248"/>
      <c r="UTU248"/>
      <c r="UTV248"/>
      <c r="UTW248"/>
      <c r="UTX248"/>
      <c r="UTY248"/>
      <c r="UTZ248"/>
      <c r="UUA248"/>
      <c r="UUB248"/>
      <c r="UUC248"/>
      <c r="UUD248"/>
      <c r="UUE248"/>
      <c r="UUF248"/>
      <c r="UUG248"/>
      <c r="UUH248"/>
      <c r="UUI248"/>
      <c r="UUJ248"/>
      <c r="UUK248"/>
      <c r="UUL248"/>
      <c r="UUM248"/>
      <c r="UUN248"/>
      <c r="UUO248"/>
      <c r="UUP248"/>
      <c r="UUQ248"/>
      <c r="UUR248"/>
      <c r="UUS248"/>
      <c r="UUT248"/>
      <c r="UUU248"/>
      <c r="UUV248"/>
      <c r="UUW248"/>
      <c r="UUX248"/>
      <c r="UUY248"/>
      <c r="UUZ248"/>
      <c r="UVA248"/>
      <c r="UVB248"/>
      <c r="UVC248"/>
      <c r="UVD248"/>
      <c r="UVE248"/>
      <c r="UVF248"/>
      <c r="UVG248"/>
      <c r="UVH248"/>
      <c r="UVI248"/>
      <c r="UVJ248"/>
      <c r="UVK248"/>
      <c r="UVL248"/>
      <c r="UVM248"/>
      <c r="UVN248"/>
      <c r="UVO248"/>
      <c r="UVP248"/>
      <c r="UVQ248"/>
      <c r="UVR248"/>
      <c r="UVS248"/>
      <c r="UVT248"/>
      <c r="UVU248"/>
      <c r="UVV248"/>
      <c r="UVW248"/>
      <c r="UVX248"/>
      <c r="UVY248"/>
      <c r="UVZ248"/>
      <c r="UWA248"/>
      <c r="UWB248"/>
      <c r="UWC248"/>
      <c r="UWD248"/>
      <c r="UWE248"/>
      <c r="UWF248"/>
      <c r="UWG248"/>
      <c r="UWH248"/>
      <c r="UWI248"/>
      <c r="UWJ248"/>
      <c r="UWK248"/>
      <c r="UWL248"/>
      <c r="UWM248"/>
      <c r="UWN248"/>
      <c r="UWO248"/>
      <c r="UWP248"/>
      <c r="UWQ248"/>
      <c r="UWR248"/>
      <c r="UWS248"/>
      <c r="UWT248"/>
      <c r="UWU248"/>
      <c r="UWV248"/>
      <c r="UWW248"/>
      <c r="UWX248"/>
      <c r="UWY248"/>
      <c r="UWZ248"/>
      <c r="UXA248"/>
      <c r="UXB248"/>
      <c r="UXC248"/>
      <c r="UXD248"/>
      <c r="UXE248"/>
      <c r="UXF248"/>
      <c r="UXG248"/>
      <c r="UXH248"/>
      <c r="UXI248"/>
      <c r="UXJ248"/>
      <c r="UXK248"/>
      <c r="UXL248"/>
      <c r="UXM248"/>
      <c r="UXN248"/>
      <c r="UXO248"/>
      <c r="UXP248"/>
      <c r="UXQ248"/>
      <c r="UXR248"/>
      <c r="UXS248"/>
      <c r="UXT248"/>
      <c r="UXU248"/>
      <c r="UXV248"/>
      <c r="UXW248"/>
      <c r="UXX248"/>
      <c r="UXY248"/>
      <c r="UXZ248"/>
      <c r="UYA248"/>
      <c r="UYB248"/>
      <c r="UYC248"/>
      <c r="UYD248"/>
      <c r="UYE248"/>
      <c r="UYF248"/>
      <c r="UYG248"/>
      <c r="UYH248"/>
      <c r="UYI248"/>
      <c r="UYJ248"/>
      <c r="UYK248"/>
      <c r="UYL248"/>
      <c r="UYM248"/>
      <c r="UYN248"/>
      <c r="UYO248"/>
      <c r="UYP248"/>
      <c r="UYQ248"/>
      <c r="UYR248"/>
      <c r="UYS248"/>
      <c r="UYT248"/>
      <c r="UYU248"/>
      <c r="UYV248"/>
      <c r="UYW248"/>
      <c r="UYX248"/>
      <c r="UYY248"/>
      <c r="UYZ248"/>
      <c r="UZA248"/>
      <c r="UZB248"/>
      <c r="UZC248"/>
      <c r="UZD248"/>
      <c r="UZE248"/>
      <c r="UZF248"/>
      <c r="UZG248"/>
      <c r="UZH248"/>
      <c r="UZI248"/>
      <c r="UZJ248"/>
      <c r="UZK248"/>
      <c r="UZL248"/>
      <c r="UZM248"/>
      <c r="UZN248"/>
      <c r="UZO248"/>
      <c r="UZP248"/>
      <c r="UZQ248"/>
      <c r="UZR248"/>
      <c r="UZS248"/>
      <c r="UZT248"/>
      <c r="UZU248"/>
      <c r="UZV248"/>
      <c r="UZW248"/>
      <c r="UZX248"/>
      <c r="UZY248"/>
      <c r="UZZ248"/>
      <c r="VAA248"/>
      <c r="VAB248"/>
      <c r="VAC248"/>
      <c r="VAD248"/>
      <c r="VAE248"/>
      <c r="VAF248"/>
      <c r="VAG248"/>
      <c r="VAH248"/>
      <c r="VAI248"/>
      <c r="VAJ248"/>
      <c r="VAK248"/>
      <c r="VAL248"/>
      <c r="VAM248"/>
      <c r="VAN248"/>
      <c r="VAO248"/>
      <c r="VAP248"/>
      <c r="VAQ248"/>
      <c r="VAR248"/>
      <c r="VAS248"/>
      <c r="VAT248"/>
      <c r="VAU248"/>
      <c r="VAV248"/>
      <c r="VAW248"/>
      <c r="VAX248"/>
      <c r="VAY248"/>
      <c r="VAZ248"/>
      <c r="VBA248"/>
      <c r="VBB248"/>
      <c r="VBC248"/>
      <c r="VBD248"/>
      <c r="VBE248"/>
      <c r="VBF248"/>
      <c r="VBG248"/>
      <c r="VBH248"/>
      <c r="VBI248"/>
      <c r="VBJ248"/>
      <c r="VBK248"/>
      <c r="VBL248"/>
      <c r="VBM248"/>
      <c r="VBN248"/>
      <c r="VBO248"/>
      <c r="VBP248"/>
      <c r="VBQ248"/>
      <c r="VBR248"/>
      <c r="VBS248"/>
      <c r="VBT248"/>
      <c r="VBU248"/>
      <c r="VBV248"/>
      <c r="VBW248"/>
      <c r="VBX248"/>
      <c r="VBY248"/>
      <c r="VBZ248"/>
      <c r="VCA248"/>
      <c r="VCB248"/>
      <c r="VCC248"/>
      <c r="VCD248"/>
      <c r="VCE248"/>
      <c r="VCF248"/>
      <c r="VCG248"/>
      <c r="VCH248"/>
      <c r="VCI248"/>
      <c r="VCJ248"/>
      <c r="VCK248"/>
      <c r="VCL248"/>
      <c r="VCM248"/>
      <c r="VCN248"/>
      <c r="VCO248"/>
      <c r="VCP248"/>
      <c r="VCQ248"/>
      <c r="VCR248"/>
      <c r="VCS248"/>
      <c r="VCT248"/>
      <c r="VCU248"/>
      <c r="VCV248"/>
      <c r="VCW248"/>
      <c r="VCX248"/>
      <c r="VCY248"/>
      <c r="VCZ248"/>
      <c r="VDA248"/>
      <c r="VDB248"/>
      <c r="VDC248"/>
      <c r="VDD248"/>
      <c r="VDE248"/>
      <c r="VDF248"/>
      <c r="VDG248"/>
      <c r="VDH248"/>
      <c r="VDI248"/>
      <c r="VDJ248"/>
      <c r="VDK248"/>
      <c r="VDL248"/>
      <c r="VDM248"/>
      <c r="VDN248"/>
      <c r="VDO248"/>
      <c r="VDP248"/>
      <c r="VDQ248"/>
      <c r="VDR248"/>
      <c r="VDS248"/>
      <c r="VDT248"/>
      <c r="VDU248"/>
      <c r="VDV248"/>
      <c r="VDW248"/>
      <c r="VDX248"/>
      <c r="VDY248"/>
      <c r="VDZ248"/>
      <c r="VEA248"/>
      <c r="VEB248"/>
      <c r="VEC248"/>
      <c r="VED248"/>
      <c r="VEE248"/>
      <c r="VEF248"/>
      <c r="VEG248"/>
      <c r="VEH248"/>
      <c r="VEI248"/>
      <c r="VEJ248"/>
      <c r="VEK248"/>
      <c r="VEL248"/>
      <c r="VEM248"/>
      <c r="VEN248"/>
      <c r="VEO248"/>
      <c r="VEP248"/>
      <c r="VEQ248"/>
      <c r="VER248"/>
      <c r="VES248"/>
      <c r="VET248"/>
      <c r="VEU248"/>
      <c r="VEV248"/>
      <c r="VEW248"/>
      <c r="VEX248"/>
      <c r="VEY248"/>
      <c r="VEZ248"/>
      <c r="VFA248"/>
      <c r="VFB248"/>
      <c r="VFC248"/>
      <c r="VFD248"/>
      <c r="VFE248"/>
      <c r="VFF248"/>
      <c r="VFG248"/>
      <c r="VFH248"/>
      <c r="VFI248"/>
      <c r="VFJ248"/>
      <c r="VFK248"/>
      <c r="VFL248"/>
      <c r="VFM248"/>
      <c r="VFN248"/>
      <c r="VFO248"/>
      <c r="VFP248"/>
      <c r="VFQ248"/>
      <c r="VFR248"/>
      <c r="VFS248"/>
      <c r="VFT248"/>
      <c r="VFU248"/>
      <c r="VFV248"/>
      <c r="VFW248"/>
      <c r="VFX248"/>
      <c r="VFY248"/>
      <c r="VFZ248"/>
      <c r="VGA248"/>
      <c r="VGB248"/>
      <c r="VGC248"/>
      <c r="VGD248"/>
      <c r="VGE248"/>
      <c r="VGF248"/>
      <c r="VGG248"/>
      <c r="VGH248"/>
      <c r="VGI248"/>
      <c r="VGJ248"/>
      <c r="VGK248"/>
      <c r="VGL248"/>
      <c r="VGM248"/>
      <c r="VGN248"/>
      <c r="VGO248"/>
      <c r="VGP248"/>
      <c r="VGQ248"/>
      <c r="VGR248"/>
      <c r="VGS248"/>
      <c r="VGT248"/>
      <c r="VGU248"/>
      <c r="VGV248"/>
      <c r="VGW248"/>
      <c r="VGX248"/>
      <c r="VGY248"/>
      <c r="VGZ248"/>
      <c r="VHA248"/>
      <c r="VHB248"/>
      <c r="VHC248"/>
      <c r="VHD248"/>
      <c r="VHE248"/>
      <c r="VHF248"/>
      <c r="VHG248"/>
      <c r="VHH248"/>
      <c r="VHI248"/>
      <c r="VHJ248"/>
      <c r="VHK248"/>
      <c r="VHL248"/>
      <c r="VHM248"/>
      <c r="VHN248"/>
      <c r="VHO248"/>
      <c r="VHP248"/>
      <c r="VHQ248"/>
      <c r="VHR248"/>
      <c r="VHS248"/>
      <c r="VHT248"/>
      <c r="VHU248"/>
      <c r="VHV248"/>
      <c r="VHW248"/>
      <c r="VHX248"/>
      <c r="VHY248"/>
      <c r="VHZ248"/>
      <c r="VIA248"/>
      <c r="VIB248"/>
      <c r="VIC248"/>
      <c r="VID248"/>
      <c r="VIE248"/>
      <c r="VIF248"/>
      <c r="VIG248"/>
      <c r="VIH248"/>
      <c r="VII248"/>
      <c r="VIJ248"/>
      <c r="VIK248"/>
      <c r="VIL248"/>
      <c r="VIM248"/>
      <c r="VIN248"/>
      <c r="VIO248"/>
      <c r="VIP248"/>
      <c r="VIQ248"/>
      <c r="VIR248"/>
      <c r="VIS248"/>
      <c r="VIT248"/>
      <c r="VIU248"/>
      <c r="VIV248"/>
      <c r="VIW248"/>
      <c r="VIX248"/>
      <c r="VIY248"/>
      <c r="VIZ248"/>
      <c r="VJA248"/>
      <c r="VJB248"/>
      <c r="VJC248"/>
      <c r="VJD248"/>
      <c r="VJE248"/>
      <c r="VJF248"/>
      <c r="VJG248"/>
      <c r="VJH248"/>
      <c r="VJI248"/>
      <c r="VJJ248"/>
      <c r="VJK248"/>
      <c r="VJL248"/>
      <c r="VJM248"/>
      <c r="VJN248"/>
      <c r="VJO248"/>
      <c r="VJP248"/>
      <c r="VJQ248"/>
      <c r="VJR248"/>
      <c r="VJS248"/>
      <c r="VJT248"/>
      <c r="VJU248"/>
      <c r="VJV248"/>
      <c r="VJW248"/>
      <c r="VJX248"/>
      <c r="VJY248"/>
      <c r="VJZ248"/>
      <c r="VKA248"/>
      <c r="VKB248"/>
      <c r="VKC248"/>
      <c r="VKD248"/>
      <c r="VKE248"/>
      <c r="VKF248"/>
      <c r="VKG248"/>
      <c r="VKH248"/>
      <c r="VKI248"/>
      <c r="VKJ248"/>
      <c r="VKK248"/>
      <c r="VKL248"/>
      <c r="VKM248"/>
      <c r="VKN248"/>
      <c r="VKO248"/>
      <c r="VKP248"/>
      <c r="VKQ248"/>
      <c r="VKR248"/>
      <c r="VKS248"/>
      <c r="VKT248"/>
      <c r="VKU248"/>
      <c r="VKV248"/>
      <c r="VKW248"/>
      <c r="VKX248"/>
      <c r="VKY248"/>
      <c r="VKZ248"/>
      <c r="VLA248"/>
      <c r="VLB248"/>
      <c r="VLC248"/>
      <c r="VLD248"/>
      <c r="VLE248"/>
      <c r="VLF248"/>
      <c r="VLG248"/>
      <c r="VLH248"/>
      <c r="VLI248"/>
      <c r="VLJ248"/>
      <c r="VLK248"/>
      <c r="VLL248"/>
      <c r="VLM248"/>
      <c r="VLN248"/>
      <c r="VLO248"/>
      <c r="VLP248"/>
      <c r="VLQ248"/>
      <c r="VLR248"/>
      <c r="VLS248"/>
      <c r="VLT248"/>
      <c r="VLU248"/>
      <c r="VLV248"/>
      <c r="VLW248"/>
      <c r="VLX248"/>
      <c r="VLY248"/>
      <c r="VLZ248"/>
      <c r="VMA248"/>
      <c r="VMB248"/>
      <c r="VMC248"/>
      <c r="VMD248"/>
      <c r="VME248"/>
      <c r="VMF248"/>
      <c r="VMG248"/>
      <c r="VMH248"/>
      <c r="VMI248"/>
      <c r="VMJ248"/>
      <c r="VMK248"/>
      <c r="VML248"/>
      <c r="VMM248"/>
      <c r="VMN248"/>
      <c r="VMO248"/>
      <c r="VMP248"/>
      <c r="VMQ248"/>
      <c r="VMR248"/>
      <c r="VMS248"/>
      <c r="VMT248"/>
      <c r="VMU248"/>
      <c r="VMV248"/>
      <c r="VMW248"/>
      <c r="VMX248"/>
      <c r="VMY248"/>
      <c r="VMZ248"/>
      <c r="VNA248"/>
      <c r="VNB248"/>
      <c r="VNC248"/>
      <c r="VND248"/>
      <c r="VNE248"/>
      <c r="VNF248"/>
      <c r="VNG248"/>
      <c r="VNH248"/>
      <c r="VNI248"/>
      <c r="VNJ248"/>
      <c r="VNK248"/>
      <c r="VNL248"/>
      <c r="VNM248"/>
      <c r="VNN248"/>
      <c r="VNO248"/>
      <c r="VNP248"/>
      <c r="VNQ248"/>
      <c r="VNR248"/>
      <c r="VNS248"/>
      <c r="VNT248"/>
      <c r="VNU248"/>
      <c r="VNV248"/>
      <c r="VNW248"/>
      <c r="VNX248"/>
      <c r="VNY248"/>
      <c r="VNZ248"/>
      <c r="VOA248"/>
      <c r="VOB248"/>
      <c r="VOC248"/>
      <c r="VOD248"/>
      <c r="VOE248"/>
      <c r="VOF248"/>
      <c r="VOG248"/>
      <c r="VOH248"/>
      <c r="VOI248"/>
      <c r="VOJ248"/>
      <c r="VOK248"/>
      <c r="VOL248"/>
      <c r="VOM248"/>
      <c r="VON248"/>
      <c r="VOO248"/>
      <c r="VOP248"/>
      <c r="VOQ248"/>
      <c r="VOR248"/>
      <c r="VOS248"/>
      <c r="VOT248"/>
      <c r="VOU248"/>
      <c r="VOV248"/>
      <c r="VOW248"/>
      <c r="VOX248"/>
      <c r="VOY248"/>
      <c r="VOZ248"/>
      <c r="VPA248"/>
      <c r="VPB248"/>
      <c r="VPC248"/>
      <c r="VPD248"/>
      <c r="VPE248"/>
      <c r="VPF248"/>
      <c r="VPG248"/>
      <c r="VPH248"/>
      <c r="VPI248"/>
      <c r="VPJ248"/>
      <c r="VPK248"/>
      <c r="VPL248"/>
      <c r="VPM248"/>
      <c r="VPN248"/>
      <c r="VPO248"/>
      <c r="VPP248"/>
      <c r="VPQ248"/>
      <c r="VPR248"/>
      <c r="VPS248"/>
      <c r="VPT248"/>
      <c r="VPU248"/>
      <c r="VPV248"/>
      <c r="VPW248"/>
      <c r="VPX248"/>
      <c r="VPY248"/>
      <c r="VPZ248"/>
      <c r="VQA248"/>
      <c r="VQB248"/>
      <c r="VQC248"/>
      <c r="VQD248"/>
      <c r="VQE248"/>
      <c r="VQF248"/>
      <c r="VQG248"/>
      <c r="VQH248"/>
      <c r="VQI248"/>
      <c r="VQJ248"/>
      <c r="VQK248"/>
      <c r="VQL248"/>
      <c r="VQM248"/>
      <c r="VQN248"/>
      <c r="VQO248"/>
      <c r="VQP248"/>
      <c r="VQQ248"/>
      <c r="VQR248"/>
      <c r="VQS248"/>
      <c r="VQT248"/>
      <c r="VQU248"/>
      <c r="VQV248"/>
      <c r="VQW248"/>
      <c r="VQX248"/>
      <c r="VQY248"/>
      <c r="VQZ248"/>
      <c r="VRA248"/>
      <c r="VRB248"/>
      <c r="VRC248"/>
      <c r="VRD248"/>
      <c r="VRE248"/>
      <c r="VRF248"/>
      <c r="VRG248"/>
      <c r="VRH248"/>
      <c r="VRI248"/>
      <c r="VRJ248"/>
      <c r="VRK248"/>
      <c r="VRL248"/>
      <c r="VRM248"/>
      <c r="VRN248"/>
      <c r="VRO248"/>
      <c r="VRP248"/>
      <c r="VRQ248"/>
      <c r="VRR248"/>
      <c r="VRS248"/>
      <c r="VRT248"/>
      <c r="VRU248"/>
      <c r="VRV248"/>
      <c r="VRW248"/>
      <c r="VRX248"/>
      <c r="VRY248"/>
      <c r="VRZ248"/>
      <c r="VSA248"/>
      <c r="VSB248"/>
      <c r="VSC248"/>
      <c r="VSD248"/>
      <c r="VSE248"/>
      <c r="VSF248"/>
      <c r="VSG248"/>
      <c r="VSH248"/>
      <c r="VSI248"/>
      <c r="VSJ248"/>
      <c r="VSK248"/>
      <c r="VSL248"/>
      <c r="VSM248"/>
      <c r="VSN248"/>
      <c r="VSO248"/>
      <c r="VSP248"/>
      <c r="VSQ248"/>
      <c r="VSR248"/>
      <c r="VSS248"/>
      <c r="VST248"/>
      <c r="VSU248"/>
      <c r="VSV248"/>
      <c r="VSW248"/>
      <c r="VSX248"/>
      <c r="VSY248"/>
      <c r="VSZ248"/>
      <c r="VTA248"/>
      <c r="VTB248"/>
      <c r="VTC248"/>
      <c r="VTD248"/>
      <c r="VTE248"/>
      <c r="VTF248"/>
      <c r="VTG248"/>
      <c r="VTH248"/>
      <c r="VTI248"/>
      <c r="VTJ248"/>
      <c r="VTK248"/>
      <c r="VTL248"/>
      <c r="VTM248"/>
      <c r="VTN248"/>
      <c r="VTO248"/>
      <c r="VTP248"/>
      <c r="VTQ248"/>
      <c r="VTR248"/>
      <c r="VTS248"/>
      <c r="VTT248"/>
      <c r="VTU248"/>
      <c r="VTV248"/>
      <c r="VTW248"/>
      <c r="VTX248"/>
      <c r="VTY248"/>
      <c r="VTZ248"/>
      <c r="VUA248"/>
      <c r="VUB248"/>
      <c r="VUC248"/>
      <c r="VUD248"/>
      <c r="VUE248"/>
      <c r="VUF248"/>
      <c r="VUG248"/>
      <c r="VUH248"/>
      <c r="VUI248"/>
      <c r="VUJ248"/>
      <c r="VUK248"/>
      <c r="VUL248"/>
      <c r="VUM248"/>
      <c r="VUN248"/>
      <c r="VUO248"/>
      <c r="VUP248"/>
      <c r="VUQ248"/>
      <c r="VUR248"/>
      <c r="VUS248"/>
      <c r="VUT248"/>
      <c r="VUU248"/>
      <c r="VUV248"/>
      <c r="VUW248"/>
      <c r="VUX248"/>
      <c r="VUY248"/>
      <c r="VUZ248"/>
      <c r="VVA248"/>
      <c r="VVB248"/>
      <c r="VVC248"/>
      <c r="VVD248"/>
      <c r="VVE248"/>
      <c r="VVF248"/>
      <c r="VVG248"/>
      <c r="VVH248"/>
      <c r="VVI248"/>
      <c r="VVJ248"/>
      <c r="VVK248"/>
      <c r="VVL248"/>
      <c r="VVM248"/>
      <c r="VVN248"/>
      <c r="VVO248"/>
      <c r="VVP248"/>
      <c r="VVQ248"/>
      <c r="VVR248"/>
      <c r="VVS248"/>
      <c r="VVT248"/>
      <c r="VVU248"/>
      <c r="VVV248"/>
      <c r="VVW248"/>
      <c r="VVX248"/>
      <c r="VVY248"/>
      <c r="VVZ248"/>
      <c r="VWA248"/>
      <c r="VWB248"/>
      <c r="VWC248"/>
      <c r="VWD248"/>
      <c r="VWE248"/>
      <c r="VWF248"/>
      <c r="VWG248"/>
      <c r="VWH248"/>
      <c r="VWI248"/>
      <c r="VWJ248"/>
      <c r="VWK248"/>
      <c r="VWL248"/>
      <c r="VWM248"/>
      <c r="VWN248"/>
      <c r="VWO248"/>
      <c r="VWP248"/>
      <c r="VWQ248"/>
      <c r="VWR248"/>
      <c r="VWS248"/>
      <c r="VWT248"/>
      <c r="VWU248"/>
      <c r="VWV248"/>
      <c r="VWW248"/>
      <c r="VWX248"/>
      <c r="VWY248"/>
      <c r="VWZ248"/>
      <c r="VXA248"/>
      <c r="VXB248"/>
      <c r="VXC248"/>
      <c r="VXD248"/>
      <c r="VXE248"/>
      <c r="VXF248"/>
      <c r="VXG248"/>
      <c r="VXH248"/>
      <c r="VXI248"/>
      <c r="VXJ248"/>
      <c r="VXK248"/>
      <c r="VXL248"/>
      <c r="VXM248"/>
      <c r="VXN248"/>
      <c r="VXO248"/>
      <c r="VXP248"/>
      <c r="VXQ248"/>
      <c r="VXR248"/>
      <c r="VXS248"/>
      <c r="VXT248"/>
      <c r="VXU248"/>
      <c r="VXV248"/>
      <c r="VXW248"/>
      <c r="VXX248"/>
      <c r="VXY248"/>
      <c r="VXZ248"/>
      <c r="VYA248"/>
      <c r="VYB248"/>
      <c r="VYC248"/>
      <c r="VYD248"/>
      <c r="VYE248"/>
      <c r="VYF248"/>
      <c r="VYG248"/>
      <c r="VYH248"/>
      <c r="VYI248"/>
      <c r="VYJ248"/>
      <c r="VYK248"/>
      <c r="VYL248"/>
      <c r="VYM248"/>
      <c r="VYN248"/>
      <c r="VYO248"/>
      <c r="VYP248"/>
      <c r="VYQ248"/>
      <c r="VYR248"/>
      <c r="VYS248"/>
      <c r="VYT248"/>
      <c r="VYU248"/>
      <c r="VYV248"/>
      <c r="VYW248"/>
      <c r="VYX248"/>
      <c r="VYY248"/>
      <c r="VYZ248"/>
      <c r="VZA248"/>
      <c r="VZB248"/>
      <c r="VZC248"/>
      <c r="VZD248"/>
      <c r="VZE248"/>
      <c r="VZF248"/>
      <c r="VZG248"/>
      <c r="VZH248"/>
      <c r="VZI248"/>
      <c r="VZJ248"/>
      <c r="VZK248"/>
      <c r="VZL248"/>
      <c r="VZM248"/>
      <c r="VZN248"/>
      <c r="VZO248"/>
      <c r="VZP248"/>
      <c r="VZQ248"/>
      <c r="VZR248"/>
      <c r="VZS248"/>
      <c r="VZT248"/>
      <c r="VZU248"/>
      <c r="VZV248"/>
      <c r="VZW248"/>
      <c r="VZX248"/>
      <c r="VZY248"/>
      <c r="VZZ248"/>
      <c r="WAA248"/>
      <c r="WAB248"/>
      <c r="WAC248"/>
      <c r="WAD248"/>
      <c r="WAE248"/>
      <c r="WAF248"/>
      <c r="WAG248"/>
      <c r="WAH248"/>
      <c r="WAI248"/>
      <c r="WAJ248"/>
      <c r="WAK248"/>
      <c r="WAL248"/>
      <c r="WAM248"/>
      <c r="WAN248"/>
      <c r="WAO248"/>
      <c r="WAP248"/>
      <c r="WAQ248"/>
      <c r="WAR248"/>
      <c r="WAS248"/>
      <c r="WAT248"/>
      <c r="WAU248"/>
      <c r="WAV248"/>
      <c r="WAW248"/>
      <c r="WAX248"/>
      <c r="WAY248"/>
      <c r="WAZ248"/>
      <c r="WBA248"/>
      <c r="WBB248"/>
      <c r="WBC248"/>
      <c r="WBD248"/>
      <c r="WBE248"/>
      <c r="WBF248"/>
      <c r="WBG248"/>
      <c r="WBH248"/>
      <c r="WBI248"/>
      <c r="WBJ248"/>
      <c r="WBK248"/>
      <c r="WBL248"/>
      <c r="WBM248"/>
      <c r="WBN248"/>
      <c r="WBO248"/>
      <c r="WBP248"/>
      <c r="WBQ248"/>
      <c r="WBR248"/>
      <c r="WBS248"/>
      <c r="WBT248"/>
      <c r="WBU248"/>
      <c r="WBV248"/>
      <c r="WBW248"/>
      <c r="WBX248"/>
      <c r="WBY248"/>
      <c r="WBZ248"/>
      <c r="WCA248"/>
      <c r="WCB248"/>
      <c r="WCC248"/>
      <c r="WCD248"/>
      <c r="WCE248"/>
      <c r="WCF248"/>
      <c r="WCG248"/>
      <c r="WCH248"/>
      <c r="WCI248"/>
      <c r="WCJ248"/>
      <c r="WCK248"/>
      <c r="WCL248"/>
      <c r="WCM248"/>
      <c r="WCN248"/>
      <c r="WCO248"/>
      <c r="WCP248"/>
      <c r="WCQ248"/>
      <c r="WCR248"/>
      <c r="WCS248"/>
      <c r="WCT248"/>
      <c r="WCU248"/>
      <c r="WCV248"/>
      <c r="WCW248"/>
      <c r="WCX248"/>
      <c r="WCY248"/>
      <c r="WCZ248"/>
      <c r="WDA248"/>
      <c r="WDB248"/>
      <c r="WDC248"/>
      <c r="WDD248"/>
      <c r="WDE248"/>
      <c r="WDF248"/>
      <c r="WDG248"/>
      <c r="WDH248"/>
      <c r="WDI248"/>
      <c r="WDJ248"/>
      <c r="WDK248"/>
      <c r="WDL248"/>
      <c r="WDM248"/>
      <c r="WDN248"/>
      <c r="WDO248"/>
      <c r="WDP248"/>
      <c r="WDQ248"/>
      <c r="WDR248"/>
      <c r="WDS248"/>
      <c r="WDT248"/>
      <c r="WDU248"/>
      <c r="WDV248"/>
      <c r="WDW248"/>
      <c r="WDX248"/>
      <c r="WDY248"/>
      <c r="WDZ248"/>
      <c r="WEA248"/>
      <c r="WEB248"/>
      <c r="WEC248"/>
      <c r="WED248"/>
      <c r="WEE248"/>
      <c r="WEF248"/>
      <c r="WEG248"/>
      <c r="WEH248"/>
      <c r="WEI248"/>
      <c r="WEJ248"/>
      <c r="WEK248"/>
      <c r="WEL248"/>
      <c r="WEM248"/>
      <c r="WEN248"/>
      <c r="WEO248"/>
      <c r="WEP248"/>
      <c r="WEQ248"/>
      <c r="WER248"/>
      <c r="WES248"/>
      <c r="WET248"/>
      <c r="WEU248"/>
      <c r="WEV248"/>
      <c r="WEW248"/>
      <c r="WEX248"/>
      <c r="WEY248"/>
      <c r="WEZ248"/>
      <c r="WFA248"/>
      <c r="WFB248"/>
      <c r="WFC248"/>
      <c r="WFD248"/>
      <c r="WFE248"/>
      <c r="WFF248"/>
      <c r="WFG248"/>
      <c r="WFH248"/>
      <c r="WFI248"/>
      <c r="WFJ248"/>
      <c r="WFK248"/>
      <c r="WFL248"/>
      <c r="WFM248"/>
      <c r="WFN248"/>
      <c r="WFO248"/>
      <c r="WFP248"/>
      <c r="WFQ248"/>
      <c r="WFR248"/>
      <c r="WFS248"/>
      <c r="WFT248"/>
      <c r="WFU248"/>
      <c r="WFV248"/>
      <c r="WFW248"/>
      <c r="WFX248"/>
      <c r="WFY248"/>
      <c r="WFZ248"/>
      <c r="WGA248"/>
      <c r="WGB248"/>
      <c r="WGC248"/>
      <c r="WGD248"/>
      <c r="WGE248"/>
      <c r="WGF248"/>
      <c r="WGG248"/>
      <c r="WGH248"/>
      <c r="WGI248"/>
      <c r="WGJ248"/>
      <c r="WGK248"/>
      <c r="WGL248"/>
      <c r="WGM248"/>
      <c r="WGN248"/>
      <c r="WGO248"/>
      <c r="WGP248"/>
      <c r="WGQ248"/>
      <c r="WGR248"/>
      <c r="WGS248"/>
      <c r="WGT248"/>
      <c r="WGU248"/>
      <c r="WGV248"/>
      <c r="WGW248"/>
      <c r="WGX248"/>
      <c r="WGY248"/>
      <c r="WGZ248"/>
      <c r="WHA248"/>
      <c r="WHB248"/>
      <c r="WHC248"/>
      <c r="WHD248"/>
      <c r="WHE248"/>
      <c r="WHF248"/>
      <c r="WHG248"/>
      <c r="WHH248"/>
      <c r="WHI248"/>
      <c r="WHJ248"/>
      <c r="WHK248"/>
      <c r="WHL248"/>
      <c r="WHM248"/>
      <c r="WHN248"/>
      <c r="WHO248"/>
      <c r="WHP248"/>
      <c r="WHQ248"/>
      <c r="WHR248"/>
      <c r="WHS248"/>
      <c r="WHT248"/>
      <c r="WHU248"/>
      <c r="WHV248"/>
      <c r="WHW248"/>
      <c r="WHX248"/>
      <c r="WHY248"/>
      <c r="WHZ248"/>
      <c r="WIA248"/>
      <c r="WIB248"/>
      <c r="WIC248"/>
      <c r="WID248"/>
      <c r="WIE248"/>
      <c r="WIF248"/>
      <c r="WIG248"/>
      <c r="WIH248"/>
      <c r="WII248"/>
      <c r="WIJ248"/>
      <c r="WIK248"/>
      <c r="WIL248"/>
      <c r="WIM248"/>
      <c r="WIN248"/>
      <c r="WIO248"/>
      <c r="WIP248"/>
      <c r="WIQ248"/>
      <c r="WIR248"/>
      <c r="WIS248"/>
      <c r="WIT248"/>
      <c r="WIU248"/>
      <c r="WIV248"/>
      <c r="WIW248"/>
      <c r="WIX248"/>
      <c r="WIY248"/>
      <c r="WIZ248"/>
      <c r="WJA248"/>
      <c r="WJB248"/>
      <c r="WJC248"/>
      <c r="WJD248"/>
      <c r="WJE248"/>
      <c r="WJF248"/>
      <c r="WJG248"/>
      <c r="WJH248"/>
      <c r="WJI248"/>
      <c r="WJJ248"/>
      <c r="WJK248"/>
      <c r="WJL248"/>
      <c r="WJM248"/>
      <c r="WJN248"/>
      <c r="WJO248"/>
      <c r="WJP248"/>
      <c r="WJQ248"/>
      <c r="WJR248"/>
      <c r="WJS248"/>
      <c r="WJT248"/>
      <c r="WJU248"/>
      <c r="WJV248"/>
      <c r="WJW248"/>
      <c r="WJX248"/>
      <c r="WJY248"/>
      <c r="WJZ248"/>
      <c r="WKA248"/>
      <c r="WKB248"/>
      <c r="WKC248"/>
      <c r="WKD248"/>
      <c r="WKE248"/>
      <c r="WKF248"/>
      <c r="WKG248"/>
      <c r="WKH248"/>
      <c r="WKI248"/>
      <c r="WKJ248"/>
      <c r="WKK248"/>
      <c r="WKL248"/>
      <c r="WKM248"/>
      <c r="WKN248"/>
      <c r="WKO248"/>
      <c r="WKP248"/>
      <c r="WKQ248"/>
      <c r="WKR248"/>
      <c r="WKS248"/>
      <c r="WKT248"/>
      <c r="WKU248"/>
      <c r="WKV248"/>
      <c r="WKW248"/>
      <c r="WKX248"/>
      <c r="WKY248"/>
      <c r="WKZ248"/>
      <c r="WLA248"/>
      <c r="WLB248"/>
      <c r="WLC248"/>
      <c r="WLD248"/>
      <c r="WLE248"/>
      <c r="WLF248"/>
      <c r="WLG248"/>
      <c r="WLH248"/>
      <c r="WLI248"/>
      <c r="WLJ248"/>
      <c r="WLK248"/>
      <c r="WLL248"/>
      <c r="WLM248"/>
      <c r="WLN248"/>
      <c r="WLO248"/>
      <c r="WLP248"/>
      <c r="WLQ248"/>
      <c r="WLR248"/>
      <c r="WLS248"/>
      <c r="WLT248"/>
      <c r="WLU248"/>
      <c r="WLV248"/>
      <c r="WLW248"/>
      <c r="WLX248"/>
      <c r="WLY248"/>
      <c r="WLZ248"/>
      <c r="WMA248"/>
      <c r="WMB248"/>
      <c r="WMC248"/>
      <c r="WMD248"/>
      <c r="WME248"/>
      <c r="WMF248"/>
      <c r="WMG248"/>
      <c r="WMH248"/>
      <c r="WMI248"/>
      <c r="WMJ248"/>
      <c r="WMK248"/>
      <c r="WML248"/>
      <c r="WMM248"/>
      <c r="WMN248"/>
      <c r="WMO248"/>
      <c r="WMP248"/>
      <c r="WMQ248"/>
      <c r="WMR248"/>
      <c r="WMS248"/>
      <c r="WMT248"/>
      <c r="WMU248"/>
      <c r="WMV248"/>
      <c r="WMW248"/>
      <c r="WMX248"/>
      <c r="WMY248"/>
      <c r="WMZ248"/>
      <c r="WNA248"/>
      <c r="WNB248"/>
      <c r="WNC248"/>
      <c r="WND248"/>
      <c r="WNE248"/>
      <c r="WNF248"/>
      <c r="WNG248"/>
      <c r="WNH248"/>
      <c r="WNI248"/>
      <c r="WNJ248"/>
      <c r="WNK248"/>
      <c r="WNL248"/>
      <c r="WNM248"/>
      <c r="WNN248"/>
      <c r="WNO248"/>
      <c r="WNP248"/>
      <c r="WNQ248"/>
      <c r="WNR248"/>
      <c r="WNS248"/>
      <c r="WNT248"/>
      <c r="WNU248"/>
      <c r="WNV248"/>
      <c r="WNW248"/>
      <c r="WNX248"/>
      <c r="WNY248"/>
      <c r="WNZ248"/>
      <c r="WOA248"/>
      <c r="WOB248"/>
      <c r="WOC248"/>
      <c r="WOD248"/>
      <c r="WOE248"/>
      <c r="WOF248"/>
      <c r="WOG248"/>
      <c r="WOH248"/>
      <c r="WOI248"/>
      <c r="WOJ248"/>
      <c r="WOK248"/>
      <c r="WOL248"/>
      <c r="WOM248"/>
      <c r="WON248"/>
      <c r="WOO248"/>
      <c r="WOP248"/>
      <c r="WOQ248"/>
      <c r="WOR248"/>
      <c r="WOS248"/>
      <c r="WOT248"/>
      <c r="WOU248"/>
      <c r="WOV248"/>
      <c r="WOW248"/>
      <c r="WOX248"/>
      <c r="WOY248"/>
      <c r="WOZ248"/>
      <c r="WPA248"/>
      <c r="WPB248"/>
      <c r="WPC248"/>
      <c r="WPD248"/>
      <c r="WPE248"/>
      <c r="WPF248"/>
      <c r="WPG248"/>
      <c r="WPH248"/>
      <c r="WPI248"/>
      <c r="WPJ248"/>
      <c r="WPK248"/>
      <c r="WPL248"/>
      <c r="WPM248"/>
      <c r="WPN248"/>
      <c r="WPO248"/>
      <c r="WPP248"/>
      <c r="WPQ248"/>
      <c r="WPR248"/>
      <c r="WPS248"/>
      <c r="WPT248"/>
      <c r="WPU248"/>
      <c r="WPV248"/>
      <c r="WPW248"/>
      <c r="WPX248"/>
      <c r="WPY248"/>
      <c r="WPZ248"/>
      <c r="WQA248"/>
      <c r="WQB248"/>
      <c r="WQC248"/>
      <c r="WQD248"/>
      <c r="WQE248"/>
      <c r="WQF248"/>
      <c r="WQG248"/>
      <c r="WQH248"/>
      <c r="WQI248"/>
      <c r="WQJ248"/>
      <c r="WQK248"/>
      <c r="WQL248"/>
      <c r="WQM248"/>
      <c r="WQN248"/>
      <c r="WQO248"/>
      <c r="WQP248"/>
      <c r="WQQ248"/>
      <c r="WQR248"/>
      <c r="WQS248"/>
      <c r="WQT248"/>
      <c r="WQU248"/>
      <c r="WQV248"/>
      <c r="WQW248"/>
      <c r="WQX248"/>
      <c r="WQY248"/>
      <c r="WQZ248"/>
      <c r="WRA248"/>
      <c r="WRB248"/>
      <c r="WRC248"/>
      <c r="WRD248"/>
      <c r="WRE248"/>
      <c r="WRF248"/>
      <c r="WRG248"/>
      <c r="WRH248"/>
      <c r="WRI248"/>
      <c r="WRJ248"/>
      <c r="WRK248"/>
      <c r="WRL248"/>
      <c r="WRM248"/>
      <c r="WRN248"/>
      <c r="WRO248"/>
      <c r="WRP248"/>
      <c r="WRQ248"/>
      <c r="WRR248"/>
      <c r="WRS248"/>
      <c r="WRT248"/>
      <c r="WRU248"/>
      <c r="WRV248"/>
      <c r="WRW248"/>
      <c r="WRX248"/>
      <c r="WRY248"/>
      <c r="WRZ248"/>
      <c r="WSA248"/>
      <c r="WSB248"/>
      <c r="WSC248"/>
      <c r="WSD248"/>
      <c r="WSE248"/>
      <c r="WSF248"/>
      <c r="WSG248"/>
      <c r="WSH248"/>
      <c r="WSI248"/>
      <c r="WSJ248"/>
      <c r="WSK248"/>
      <c r="WSL248"/>
      <c r="WSM248"/>
      <c r="WSN248"/>
      <c r="WSO248"/>
      <c r="WSP248"/>
      <c r="WSQ248"/>
      <c r="WSR248"/>
      <c r="WSS248"/>
      <c r="WST248"/>
      <c r="WSU248"/>
      <c r="WSV248"/>
      <c r="WSW248"/>
      <c r="WSX248"/>
      <c r="WSY248"/>
      <c r="WSZ248"/>
      <c r="WTA248"/>
      <c r="WTB248"/>
      <c r="WTC248"/>
      <c r="WTD248"/>
      <c r="WTE248"/>
      <c r="WTF248"/>
      <c r="WTG248"/>
      <c r="WTH248"/>
      <c r="WTI248"/>
      <c r="WTJ248"/>
      <c r="WTK248"/>
      <c r="WTL248"/>
      <c r="WTM248"/>
      <c r="WTN248"/>
      <c r="WTO248"/>
      <c r="WTP248"/>
      <c r="WTQ248"/>
      <c r="WTR248"/>
      <c r="WTS248"/>
      <c r="WTT248"/>
      <c r="WTU248"/>
      <c r="WTV248"/>
      <c r="WTW248"/>
      <c r="WTX248"/>
      <c r="WTY248"/>
      <c r="WTZ248"/>
      <c r="WUA248"/>
      <c r="WUB248"/>
      <c r="WUC248"/>
      <c r="WUD248"/>
      <c r="WUE248"/>
      <c r="WUF248"/>
      <c r="WUG248"/>
      <c r="WUH248"/>
      <c r="WUI248"/>
      <c r="WUJ248"/>
      <c r="WUK248"/>
      <c r="WUL248"/>
      <c r="WUM248"/>
      <c r="WUN248"/>
      <c r="WUO248"/>
      <c r="WUP248"/>
      <c r="WUQ248"/>
      <c r="WUR248"/>
      <c r="WUS248"/>
      <c r="WUT248"/>
      <c r="WUU248"/>
      <c r="WUV248"/>
      <c r="WUW248"/>
      <c r="WUX248"/>
      <c r="WUY248"/>
      <c r="WUZ248"/>
      <c r="WVA248"/>
      <c r="WVB248"/>
      <c r="WVC248"/>
      <c r="WVD248"/>
      <c r="WVE248"/>
      <c r="WVF248"/>
      <c r="WVG248"/>
      <c r="WVH248"/>
      <c r="WVI248"/>
      <c r="WVJ248"/>
      <c r="WVK248"/>
      <c r="WVL248"/>
      <c r="WVM248"/>
      <c r="WVN248"/>
      <c r="WVO248"/>
      <c r="WVP248"/>
      <c r="WVQ248"/>
      <c r="WVR248"/>
      <c r="WVS248"/>
      <c r="WVT248"/>
      <c r="WVU248"/>
      <c r="WVV248"/>
      <c r="WVW248"/>
      <c r="WVX248"/>
      <c r="WVY248"/>
      <c r="WVZ248"/>
      <c r="WWA248"/>
      <c r="WWB248"/>
      <c r="WWC248"/>
      <c r="WWD248"/>
      <c r="WWE248"/>
      <c r="WWF248"/>
      <c r="WWG248"/>
      <c r="WWH248"/>
      <c r="WWI248"/>
      <c r="WWJ248"/>
      <c r="WWK248"/>
      <c r="WWL248"/>
      <c r="WWM248"/>
      <c r="WWN248"/>
      <c r="WWO248"/>
      <c r="WWP248"/>
      <c r="WWQ248"/>
      <c r="WWR248"/>
      <c r="WWS248"/>
      <c r="WWT248"/>
      <c r="WWU248"/>
      <c r="WWV248"/>
      <c r="WWW248"/>
      <c r="WWX248"/>
      <c r="WWY248"/>
      <c r="WWZ248"/>
      <c r="WXA248"/>
      <c r="WXB248"/>
      <c r="WXC248"/>
      <c r="WXD248"/>
      <c r="WXE248"/>
      <c r="WXF248"/>
      <c r="WXG248"/>
      <c r="WXH248"/>
      <c r="WXI248"/>
      <c r="WXJ248"/>
      <c r="WXK248"/>
      <c r="WXL248"/>
      <c r="WXM248"/>
      <c r="WXN248"/>
      <c r="WXO248"/>
      <c r="WXP248"/>
      <c r="WXQ248"/>
      <c r="WXR248"/>
      <c r="WXS248"/>
      <c r="WXT248"/>
      <c r="WXU248"/>
      <c r="WXV248"/>
      <c r="WXW248"/>
      <c r="WXX248"/>
      <c r="WXY248"/>
      <c r="WXZ248"/>
      <c r="WYA248"/>
      <c r="WYB248"/>
      <c r="WYC248"/>
      <c r="WYD248"/>
      <c r="WYE248"/>
      <c r="WYF248"/>
      <c r="WYG248"/>
      <c r="WYH248"/>
      <c r="WYI248"/>
      <c r="WYJ248"/>
      <c r="WYK248"/>
      <c r="WYL248"/>
      <c r="WYM248"/>
      <c r="WYN248"/>
      <c r="WYO248"/>
      <c r="WYP248"/>
      <c r="WYQ248"/>
      <c r="WYR248"/>
      <c r="WYS248"/>
      <c r="WYT248"/>
      <c r="WYU248"/>
      <c r="WYV248"/>
      <c r="WYW248"/>
      <c r="WYX248"/>
      <c r="WYY248"/>
      <c r="WYZ248"/>
      <c r="WZA248"/>
      <c r="WZB248"/>
      <c r="WZC248"/>
      <c r="WZD248"/>
      <c r="WZE248"/>
      <c r="WZF248"/>
      <c r="WZG248"/>
      <c r="WZH248"/>
      <c r="WZI248"/>
      <c r="WZJ248"/>
      <c r="WZK248"/>
      <c r="WZL248"/>
      <c r="WZM248"/>
      <c r="WZN248"/>
      <c r="WZO248"/>
      <c r="WZP248"/>
      <c r="WZQ248"/>
      <c r="WZR248"/>
      <c r="WZS248"/>
      <c r="WZT248"/>
      <c r="WZU248"/>
      <c r="WZV248"/>
      <c r="WZW248"/>
      <c r="WZX248"/>
      <c r="WZY248"/>
      <c r="WZZ248"/>
      <c r="XAA248"/>
      <c r="XAB248"/>
      <c r="XAC248"/>
      <c r="XAD248"/>
      <c r="XAE248"/>
      <c r="XAF248"/>
      <c r="XAG248"/>
      <c r="XAH248"/>
      <c r="XAI248"/>
      <c r="XAJ248"/>
      <c r="XAK248"/>
      <c r="XAL248"/>
      <c r="XAM248"/>
      <c r="XAN248"/>
      <c r="XAO248"/>
      <c r="XAP248"/>
      <c r="XAQ248"/>
      <c r="XAR248"/>
      <c r="XAS248"/>
      <c r="XAT248"/>
      <c r="XAU248"/>
      <c r="XAV248"/>
      <c r="XAW248"/>
      <c r="XAX248"/>
      <c r="XAY248"/>
      <c r="XAZ248"/>
      <c r="XBA248"/>
      <c r="XBB248"/>
      <c r="XBC248"/>
      <c r="XBD248"/>
      <c r="XBE248"/>
      <c r="XBF248"/>
      <c r="XBG248"/>
      <c r="XBH248"/>
      <c r="XBI248"/>
      <c r="XBJ248"/>
      <c r="XBK248"/>
      <c r="XBL248"/>
      <c r="XBM248"/>
      <c r="XBN248"/>
      <c r="XBO248"/>
      <c r="XBP248"/>
      <c r="XBQ248"/>
      <c r="XBR248"/>
      <c r="XBS248"/>
      <c r="XBT248"/>
      <c r="XBU248"/>
      <c r="XBV248"/>
      <c r="XBW248"/>
      <c r="XBX248"/>
      <c r="XBY248"/>
      <c r="XBZ248"/>
      <c r="XCA248"/>
      <c r="XCB248"/>
      <c r="XCC248"/>
      <c r="XCD248"/>
      <c r="XCE248"/>
      <c r="XCF248"/>
      <c r="XCG248"/>
      <c r="XCH248"/>
      <c r="XCI248"/>
      <c r="XCJ248"/>
      <c r="XCK248"/>
      <c r="XCL248"/>
      <c r="XCM248"/>
      <c r="XCN248"/>
      <c r="XCO248"/>
      <c r="XCP248"/>
      <c r="XCQ248"/>
      <c r="XCR248"/>
      <c r="XCS248"/>
      <c r="XCT248"/>
      <c r="XCU248"/>
      <c r="XCV248"/>
      <c r="XCW248"/>
      <c r="XCX248"/>
      <c r="XCY248"/>
      <c r="XCZ248"/>
      <c r="XDA248"/>
      <c r="XDB248"/>
      <c r="XDC248"/>
      <c r="XDD248"/>
      <c r="XDE248"/>
      <c r="XDF248"/>
      <c r="XDG248"/>
      <c r="XDH248"/>
      <c r="XDI248"/>
      <c r="XDJ248"/>
      <c r="XDK248"/>
      <c r="XDL248"/>
      <c r="XDM248"/>
      <c r="XDN248"/>
      <c r="XDO248"/>
      <c r="XDP248"/>
      <c r="XDQ248"/>
      <c r="XDR248"/>
      <c r="XDS248"/>
      <c r="XDT248"/>
      <c r="XDU248"/>
      <c r="XDV248"/>
      <c r="XDW248"/>
      <c r="XDX248"/>
      <c r="XDY248"/>
      <c r="XDZ248"/>
      <c r="XEA248"/>
      <c r="XEB248"/>
      <c r="XEC248"/>
      <c r="XED248"/>
      <c r="XEE248"/>
      <c r="XEF248"/>
      <c r="XEG248"/>
      <c r="XEH248"/>
      <c r="XEI248"/>
      <c r="XEJ248"/>
      <c r="XEK248"/>
      <c r="XEL248"/>
      <c r="XEM248"/>
      <c r="XEN248"/>
      <c r="XEO248"/>
      <c r="XEP248"/>
      <c r="XEQ248"/>
      <c r="XER248"/>
      <c r="XES248"/>
      <c r="XET248"/>
      <c r="XEU248"/>
      <c r="XEV248"/>
      <c r="XEW248"/>
      <c r="XEX248"/>
      <c r="XEY248"/>
      <c r="XEZ248"/>
      <c r="XFA248"/>
      <c r="XFB248"/>
      <c r="XFC248"/>
      <c r="XFD248"/>
    </row>
    <row r="249" spans="2:16384" s="131" customFormat="1" x14ac:dyDescent="0.25">
      <c r="C249" s="132"/>
      <c r="D249" s="147"/>
      <c r="E249" s="175"/>
      <c r="J249" s="416"/>
      <c r="K249" s="416"/>
      <c r="L249" s="416"/>
      <c r="M249" s="416"/>
      <c r="N249" s="416"/>
      <c r="O249" s="416"/>
      <c r="P249" s="416"/>
      <c r="Q249" s="416"/>
      <c r="R249" s="416"/>
      <c r="S249" s="416"/>
      <c r="T249" s="416"/>
      <c r="U249" s="416"/>
      <c r="V249" s="416"/>
      <c r="W249" s="416"/>
      <c r="X249" s="416"/>
      <c r="Y249" s="416"/>
      <c r="Z249" s="416"/>
      <c r="AA249" s="416"/>
      <c r="AB249" s="416"/>
      <c r="AC249" s="416"/>
      <c r="AD249" s="416"/>
      <c r="AE249" s="416"/>
      <c r="AF249" s="416"/>
      <c r="AG249" s="416"/>
      <c r="AH249" s="416"/>
      <c r="AI249" s="416"/>
      <c r="AJ249" s="416"/>
      <c r="AK249" s="416"/>
      <c r="AL249" s="416"/>
      <c r="AM249" s="416"/>
      <c r="AN249" s="416"/>
      <c r="AO249" s="416"/>
      <c r="AP249" s="416"/>
    </row>
    <row r="250" spans="2:16384" s="131" customFormat="1" x14ac:dyDescent="0.25">
      <c r="D250" s="147"/>
      <c r="E250" s="167" t="s">
        <v>628</v>
      </c>
      <c r="G250" s="167" t="s">
        <v>388</v>
      </c>
      <c r="H250" s="572"/>
      <c r="I250" s="571" t="s">
        <v>525</v>
      </c>
      <c r="J250" s="573">
        <f t="shared" ref="J250:AP250" si="54">SUM(J223:J234,J237:J248)</f>
        <v>0</v>
      </c>
      <c r="K250" s="573">
        <f t="shared" si="54"/>
        <v>0</v>
      </c>
      <c r="L250" s="573">
        <f t="shared" si="54"/>
        <v>0</v>
      </c>
      <c r="M250" s="573">
        <f t="shared" si="54"/>
        <v>0</v>
      </c>
      <c r="N250" s="573">
        <f t="shared" si="54"/>
        <v>0</v>
      </c>
      <c r="O250" s="573">
        <f t="shared" si="54"/>
        <v>0</v>
      </c>
      <c r="P250" s="573">
        <f t="shared" si="54"/>
        <v>0</v>
      </c>
      <c r="Q250" s="573">
        <f t="shared" si="54"/>
        <v>0</v>
      </c>
      <c r="R250" s="573">
        <f t="shared" si="54"/>
        <v>0</v>
      </c>
      <c r="S250" s="573">
        <f t="shared" si="54"/>
        <v>0</v>
      </c>
      <c r="T250" s="573">
        <f t="shared" si="54"/>
        <v>0</v>
      </c>
      <c r="U250" s="573">
        <f t="shared" si="54"/>
        <v>0.20429574981631735</v>
      </c>
      <c r="V250" s="573">
        <f t="shared" si="54"/>
        <v>0.1294785680312045</v>
      </c>
      <c r="W250" s="573">
        <f t="shared" si="54"/>
        <v>8.5988859420168706E-2</v>
      </c>
      <c r="X250" s="573">
        <f t="shared" si="54"/>
        <v>0</v>
      </c>
      <c r="Y250" s="573">
        <f t="shared" si="54"/>
        <v>0</v>
      </c>
      <c r="Z250" s="573">
        <f t="shared" si="54"/>
        <v>0</v>
      </c>
      <c r="AA250" s="573">
        <f t="shared" si="54"/>
        <v>0</v>
      </c>
      <c r="AB250" s="573">
        <f t="shared" si="54"/>
        <v>0</v>
      </c>
      <c r="AC250" s="573">
        <f t="shared" si="54"/>
        <v>0</v>
      </c>
      <c r="AD250" s="573">
        <f t="shared" si="54"/>
        <v>0</v>
      </c>
      <c r="AE250" s="573">
        <f t="shared" si="54"/>
        <v>0.18588029896524536</v>
      </c>
      <c r="AF250" s="573">
        <f t="shared" si="54"/>
        <v>0</v>
      </c>
      <c r="AG250" s="573">
        <f t="shared" si="54"/>
        <v>0.18588029896524536</v>
      </c>
      <c r="AH250" s="573">
        <f t="shared" si="54"/>
        <v>0</v>
      </c>
      <c r="AI250" s="573">
        <f t="shared" si="54"/>
        <v>0.16638235815020677</v>
      </c>
      <c r="AJ250" s="573">
        <f t="shared" si="54"/>
        <v>0</v>
      </c>
      <c r="AK250" s="573">
        <f t="shared" si="54"/>
        <v>0.16638235815020677</v>
      </c>
      <c r="AL250" s="573">
        <f t="shared" si="54"/>
        <v>0</v>
      </c>
      <c r="AM250" s="573">
        <f t="shared" si="54"/>
        <v>0.14664466661720621</v>
      </c>
      <c r="AN250" s="573">
        <f t="shared" si="54"/>
        <v>0</v>
      </c>
      <c r="AO250" s="573">
        <f t="shared" si="54"/>
        <v>0.14664466661720621</v>
      </c>
      <c r="AP250" s="573">
        <f t="shared" si="54"/>
        <v>0</v>
      </c>
      <c r="AQ250" s="571"/>
      <c r="AR250" s="571" t="s">
        <v>1076</v>
      </c>
    </row>
    <row r="251" spans="2:16384" s="131" customFormat="1" x14ac:dyDescent="0.25">
      <c r="C251" s="132"/>
      <c r="D251" s="147"/>
      <c r="E251" s="175"/>
    </row>
    <row r="252" spans="2:16384" s="160" customFormat="1" x14ac:dyDescent="0.25">
      <c r="B252" s="171" t="s">
        <v>126</v>
      </c>
      <c r="C252" s="171"/>
      <c r="D252" s="171"/>
      <c r="E252" s="171"/>
      <c r="F252" s="171"/>
      <c r="G252" s="171"/>
      <c r="H252" s="171"/>
      <c r="I252" s="171"/>
      <c r="J252" s="171"/>
      <c r="K252" s="171"/>
      <c r="L252" s="171"/>
      <c r="M252" s="171"/>
      <c r="N252" s="171"/>
      <c r="O252" s="171"/>
      <c r="P252" s="171"/>
      <c r="Q252" s="171"/>
      <c r="R252" s="171"/>
      <c r="S252" s="171"/>
      <c r="T252" s="171"/>
      <c r="U252" s="171"/>
      <c r="V252" s="171"/>
      <c r="W252" s="171"/>
      <c r="X252" s="171"/>
      <c r="Y252" s="171"/>
      <c r="Z252" s="171"/>
      <c r="AA252" s="171"/>
      <c r="AB252" s="171"/>
      <c r="AC252" s="171"/>
      <c r="AD252" s="171"/>
      <c r="AE252" s="171"/>
      <c r="AF252" s="171"/>
      <c r="AG252" s="171"/>
      <c r="AH252" s="171"/>
      <c r="AI252" s="171"/>
      <c r="AJ252" s="171"/>
      <c r="AK252" s="171"/>
      <c r="AL252" s="171"/>
      <c r="AM252" s="171"/>
      <c r="AN252" s="171"/>
      <c r="AO252" s="171"/>
      <c r="AP252" s="171"/>
      <c r="AQ252" s="171"/>
      <c r="AR252" s="171"/>
    </row>
    <row r="253" spans="2:16384" s="160" customFormat="1" x14ac:dyDescent="0.25">
      <c r="D253" s="175"/>
      <c r="E253" s="175"/>
    </row>
    <row r="254" spans="2:16384" s="160" customFormat="1" x14ac:dyDescent="0.25">
      <c r="D254" s="175"/>
      <c r="E254" s="160" t="s">
        <v>622</v>
      </c>
      <c r="G254" s="111" t="s">
        <v>814</v>
      </c>
      <c r="H254" s="362">
        <f t="array" ref="H254">SUM(IF(ISERROR(H21:AP250), 1))</f>
        <v>0</v>
      </c>
    </row>
    <row r="255" spans="2:16384" s="160" customFormat="1" x14ac:dyDescent="0.25">
      <c r="D255" s="175"/>
      <c r="E255" s="175"/>
    </row>
    <row r="256" spans="2:16384" x14ac:dyDescent="0.25">
      <c r="B256" s="171" t="s">
        <v>127</v>
      </c>
      <c r="C256" s="171"/>
      <c r="D256" s="171"/>
      <c r="E256" s="171"/>
      <c r="F256" s="171"/>
      <c r="G256" s="171"/>
      <c r="H256" s="171"/>
      <c r="I256" s="171"/>
      <c r="J256" s="171"/>
      <c r="K256" s="171"/>
      <c r="L256" s="171"/>
      <c r="M256" s="171"/>
      <c r="N256" s="171"/>
      <c r="O256" s="171"/>
      <c r="P256" s="171"/>
      <c r="Q256" s="171"/>
      <c r="R256" s="171"/>
      <c r="S256" s="171"/>
      <c r="T256" s="171"/>
      <c r="U256" s="171"/>
      <c r="V256" s="171"/>
      <c r="W256" s="171"/>
      <c r="X256" s="171"/>
      <c r="Y256" s="171"/>
      <c r="Z256" s="171"/>
      <c r="AA256" s="171"/>
      <c r="AB256" s="171"/>
      <c r="AC256" s="171"/>
      <c r="AD256" s="171"/>
      <c r="AE256" s="171"/>
      <c r="AF256" s="171"/>
      <c r="AG256" s="171"/>
      <c r="AH256" s="171"/>
      <c r="AI256" s="171"/>
      <c r="AJ256" s="171"/>
      <c r="AK256" s="171"/>
      <c r="AL256" s="171"/>
      <c r="AM256" s="171"/>
      <c r="AN256" s="171"/>
      <c r="AO256" s="171"/>
      <c r="AP256" s="171"/>
      <c r="AQ256" s="171"/>
      <c r="AR256" s="171"/>
    </row>
    <row r="265" spans="10:19" x14ac:dyDescent="0.25">
      <c r="J265" s="131"/>
      <c r="K265" s="131"/>
      <c r="L265" s="131"/>
      <c r="M265" s="131"/>
      <c r="N265" s="131"/>
      <c r="O265" s="131"/>
      <c r="P265" s="131"/>
      <c r="Q265" s="131"/>
      <c r="R265" s="131"/>
      <c r="S265" s="131"/>
    </row>
    <row r="266" spans="10:19" x14ac:dyDescent="0.25">
      <c r="J266" s="131"/>
      <c r="K266" s="131"/>
      <c r="L266" s="131"/>
      <c r="M266" s="131"/>
      <c r="N266" s="131"/>
      <c r="O266" s="131"/>
      <c r="P266" s="131"/>
      <c r="Q266" s="131"/>
      <c r="R266" s="131"/>
      <c r="S266" s="131"/>
    </row>
    <row r="267" spans="10:19" x14ac:dyDescent="0.25">
      <c r="J267" s="131"/>
      <c r="K267" s="131"/>
      <c r="L267" s="131"/>
      <c r="M267" s="131"/>
      <c r="N267" s="131"/>
      <c r="O267" s="131"/>
      <c r="P267" s="131"/>
      <c r="Q267" s="131"/>
      <c r="R267" s="131"/>
      <c r="S267" s="131"/>
    </row>
    <row r="268" spans="10:19" x14ac:dyDescent="0.25">
      <c r="J268" s="131"/>
      <c r="K268" s="131"/>
      <c r="L268" s="131"/>
      <c r="M268" s="131"/>
      <c r="N268" s="131"/>
      <c r="O268" s="131"/>
      <c r="P268" s="131"/>
      <c r="Q268" s="131"/>
      <c r="R268" s="131"/>
      <c r="S268" s="131"/>
    </row>
    <row r="269" spans="10:19" x14ac:dyDescent="0.25">
      <c r="J269" s="131"/>
      <c r="K269" s="131"/>
      <c r="L269" s="131"/>
      <c r="M269" s="131"/>
      <c r="N269" s="131"/>
      <c r="O269" s="131"/>
      <c r="P269" s="131"/>
      <c r="Q269" s="131"/>
      <c r="R269" s="131"/>
      <c r="S269" s="131"/>
    </row>
    <row r="270" spans="10:19" x14ac:dyDescent="0.25">
      <c r="J270" s="131"/>
      <c r="K270" s="131"/>
      <c r="L270" s="131"/>
      <c r="M270" s="131"/>
      <c r="N270" s="131"/>
      <c r="O270" s="131"/>
      <c r="P270" s="131"/>
      <c r="Q270" s="131"/>
      <c r="R270" s="131"/>
      <c r="S270" s="131"/>
    </row>
    <row r="271" spans="10:19" x14ac:dyDescent="0.25">
      <c r="J271" s="131"/>
      <c r="K271" s="131"/>
      <c r="L271" s="131"/>
      <c r="M271" s="131"/>
      <c r="N271" s="131"/>
      <c r="O271" s="131"/>
      <c r="P271" s="131"/>
      <c r="Q271" s="131"/>
      <c r="R271" s="131"/>
      <c r="S271" s="131"/>
    </row>
    <row r="272" spans="10:19" x14ac:dyDescent="0.25">
      <c r="J272" s="131"/>
      <c r="K272" s="131"/>
      <c r="L272" s="131"/>
      <c r="M272" s="131"/>
      <c r="N272" s="131"/>
      <c r="O272" s="131"/>
      <c r="P272" s="131"/>
      <c r="Q272" s="131"/>
      <c r="R272" s="131"/>
      <c r="S272" s="131"/>
    </row>
    <row r="273" spans="10:38" x14ac:dyDescent="0.25">
      <c r="J273" s="131"/>
      <c r="K273" s="131"/>
      <c r="L273" s="131"/>
      <c r="M273" s="131"/>
      <c r="N273" s="131"/>
      <c r="O273" s="131"/>
      <c r="P273" s="131"/>
      <c r="Q273" s="131"/>
      <c r="R273" s="131"/>
      <c r="S273" s="131"/>
    </row>
    <row r="274" spans="10:38" x14ac:dyDescent="0.25">
      <c r="J274" s="131"/>
      <c r="K274" s="131"/>
      <c r="L274" s="131"/>
      <c r="M274" s="131"/>
      <c r="N274" s="131"/>
      <c r="O274" s="131"/>
      <c r="P274" s="131"/>
      <c r="Q274" s="131"/>
      <c r="R274" s="131"/>
      <c r="S274" s="131"/>
    </row>
    <row r="275" spans="10:38" x14ac:dyDescent="0.25">
      <c r="J275" s="131"/>
      <c r="K275" s="131"/>
      <c r="L275" s="131"/>
      <c r="M275" s="131"/>
      <c r="N275" s="131"/>
      <c r="O275" s="131"/>
      <c r="P275" s="131"/>
      <c r="Q275" s="131"/>
      <c r="R275" s="131"/>
      <c r="S275" s="131"/>
    </row>
    <row r="276" spans="10:38" x14ac:dyDescent="0.25">
      <c r="J276" s="131"/>
      <c r="K276" s="131"/>
      <c r="L276" s="131"/>
      <c r="M276" s="131"/>
      <c r="N276" s="131"/>
      <c r="O276" s="131"/>
      <c r="P276" s="131"/>
      <c r="Q276" s="131"/>
      <c r="R276" s="131"/>
      <c r="S276" s="131"/>
    </row>
    <row r="277" spans="10:38" x14ac:dyDescent="0.25">
      <c r="J277" s="131"/>
      <c r="K277" s="131"/>
      <c r="L277" s="131"/>
      <c r="M277" s="131"/>
      <c r="N277" s="131"/>
      <c r="O277" s="131"/>
      <c r="P277" s="131"/>
      <c r="Q277" s="131"/>
      <c r="R277" s="131"/>
      <c r="S277" s="131"/>
    </row>
    <row r="278" spans="10:38" x14ac:dyDescent="0.25">
      <c r="J278" s="131"/>
      <c r="K278" s="131"/>
      <c r="L278" s="131"/>
      <c r="M278" s="131"/>
      <c r="N278" s="131"/>
      <c r="O278" s="131"/>
      <c r="P278" s="131"/>
      <c r="Q278" s="131"/>
      <c r="R278" s="131"/>
      <c r="S278" s="131"/>
    </row>
    <row r="279" spans="10:38" x14ac:dyDescent="0.25">
      <c r="J279" s="131"/>
      <c r="K279" s="131"/>
      <c r="L279" s="131"/>
      <c r="M279" s="131"/>
      <c r="N279" s="131"/>
      <c r="O279" s="131"/>
      <c r="P279" s="131"/>
      <c r="Q279" s="131"/>
      <c r="R279" s="131"/>
      <c r="S279" s="131"/>
      <c r="AC279" s="165"/>
      <c r="AD279" s="165"/>
      <c r="AE279" s="165"/>
      <c r="AF279" s="165"/>
      <c r="AG279" s="165"/>
      <c r="AH279" s="165"/>
      <c r="AI279" s="165"/>
      <c r="AJ279" s="165"/>
      <c r="AK279" s="165"/>
      <c r="AL279" s="165"/>
    </row>
    <row r="280" spans="10:38" x14ac:dyDescent="0.25">
      <c r="J280" s="131"/>
      <c r="K280" s="131"/>
      <c r="L280" s="131"/>
      <c r="M280" s="131"/>
      <c r="N280" s="131"/>
      <c r="O280" s="131"/>
      <c r="P280" s="131"/>
      <c r="Q280" s="131"/>
      <c r="R280" s="131"/>
      <c r="S280" s="131"/>
      <c r="AC280" s="165"/>
      <c r="AD280" s="165"/>
      <c r="AE280" s="165"/>
      <c r="AF280" s="165"/>
      <c r="AG280" s="165"/>
      <c r="AH280" s="165"/>
      <c r="AI280" s="165"/>
      <c r="AJ280" s="165"/>
      <c r="AK280" s="165"/>
      <c r="AL280" s="165"/>
    </row>
    <row r="281" spans="10:38" x14ac:dyDescent="0.25">
      <c r="J281" s="131"/>
      <c r="K281" s="131"/>
      <c r="L281" s="131"/>
      <c r="M281" s="131"/>
      <c r="N281" s="131"/>
      <c r="O281" s="131"/>
      <c r="P281" s="131"/>
      <c r="Q281" s="131"/>
      <c r="R281" s="131"/>
      <c r="S281" s="131"/>
      <c r="AC281" s="165"/>
      <c r="AD281" s="165"/>
      <c r="AE281" s="165"/>
      <c r="AF281" s="165"/>
      <c r="AG281" s="165"/>
      <c r="AH281" s="165"/>
      <c r="AI281" s="165"/>
      <c r="AJ281" s="165"/>
      <c r="AK281" s="165"/>
      <c r="AL281" s="165"/>
    </row>
    <row r="282" spans="10:38" x14ac:dyDescent="0.25">
      <c r="J282" s="131"/>
      <c r="K282" s="131"/>
      <c r="L282" s="131"/>
      <c r="M282" s="131"/>
      <c r="N282" s="131"/>
      <c r="O282" s="131"/>
      <c r="P282" s="131"/>
      <c r="Q282" s="131"/>
      <c r="R282" s="131"/>
      <c r="S282" s="131"/>
      <c r="AC282" s="165"/>
      <c r="AD282" s="165"/>
      <c r="AE282" s="165"/>
      <c r="AF282" s="165"/>
      <c r="AG282" s="165"/>
      <c r="AH282" s="165"/>
      <c r="AI282" s="165"/>
      <c r="AJ282" s="165"/>
      <c r="AK282" s="165"/>
      <c r="AL282" s="165"/>
    </row>
    <row r="283" spans="10:38" x14ac:dyDescent="0.25">
      <c r="J283" s="131"/>
      <c r="K283" s="131"/>
      <c r="L283" s="131"/>
      <c r="M283" s="131"/>
      <c r="N283" s="131"/>
      <c r="O283" s="131"/>
      <c r="P283" s="131"/>
      <c r="Q283" s="131"/>
      <c r="R283" s="131"/>
      <c r="S283" s="131"/>
      <c r="AC283" s="165"/>
      <c r="AD283" s="165"/>
      <c r="AE283" s="165"/>
      <c r="AF283" s="165"/>
      <c r="AG283" s="165"/>
      <c r="AH283" s="165"/>
      <c r="AI283" s="165"/>
      <c r="AJ283" s="165"/>
      <c r="AK283" s="165"/>
      <c r="AL283" s="165"/>
    </row>
    <row r="284" spans="10:38" x14ac:dyDescent="0.25">
      <c r="J284" s="131"/>
      <c r="K284" s="131"/>
      <c r="L284" s="131"/>
      <c r="M284" s="131"/>
      <c r="N284" s="131"/>
      <c r="O284" s="131"/>
      <c r="P284" s="131"/>
      <c r="Q284" s="131"/>
      <c r="R284" s="131"/>
      <c r="S284" s="131"/>
      <c r="AC284" s="165"/>
      <c r="AD284" s="165"/>
      <c r="AE284" s="165"/>
      <c r="AF284" s="165"/>
      <c r="AG284" s="165"/>
      <c r="AH284" s="165"/>
      <c r="AI284" s="165"/>
      <c r="AJ284" s="165"/>
      <c r="AK284" s="165"/>
      <c r="AL284" s="165"/>
    </row>
    <row r="285" spans="10:38" x14ac:dyDescent="0.25">
      <c r="J285" s="131"/>
      <c r="K285" s="131"/>
      <c r="L285" s="131"/>
      <c r="M285" s="131"/>
      <c r="N285" s="131"/>
      <c r="O285" s="131"/>
      <c r="P285" s="131"/>
      <c r="Q285" s="131"/>
      <c r="R285" s="131"/>
      <c r="S285" s="131"/>
      <c r="AC285" s="165"/>
      <c r="AD285" s="165"/>
      <c r="AE285" s="165"/>
      <c r="AF285" s="165"/>
      <c r="AG285" s="165"/>
      <c r="AH285" s="165"/>
      <c r="AI285" s="165"/>
      <c r="AJ285" s="165"/>
      <c r="AK285" s="165"/>
      <c r="AL285" s="165"/>
    </row>
    <row r="286" spans="10:38" x14ac:dyDescent="0.25">
      <c r="J286" s="131"/>
      <c r="K286" s="131"/>
      <c r="L286" s="131"/>
      <c r="M286" s="131"/>
      <c r="N286" s="131"/>
      <c r="O286" s="131"/>
      <c r="P286" s="131"/>
      <c r="Q286" s="131"/>
      <c r="R286" s="131"/>
      <c r="S286" s="131"/>
      <c r="AC286" s="165"/>
      <c r="AD286" s="165"/>
      <c r="AE286" s="165"/>
      <c r="AF286" s="165"/>
      <c r="AG286" s="165"/>
      <c r="AH286" s="165"/>
      <c r="AI286" s="165"/>
      <c r="AJ286" s="165"/>
      <c r="AK286" s="165"/>
      <c r="AL286" s="165"/>
    </row>
    <row r="287" spans="10:38" x14ac:dyDescent="0.25">
      <c r="J287" s="131"/>
      <c r="K287" s="131"/>
      <c r="L287" s="131"/>
      <c r="M287" s="131"/>
      <c r="N287" s="131"/>
      <c r="O287" s="131"/>
      <c r="P287" s="131"/>
      <c r="Q287" s="131"/>
      <c r="R287" s="131"/>
      <c r="S287" s="131"/>
      <c r="AC287" s="165"/>
      <c r="AD287" s="165"/>
      <c r="AE287" s="165"/>
      <c r="AF287" s="165"/>
      <c r="AG287" s="165"/>
      <c r="AH287" s="165"/>
      <c r="AI287" s="165"/>
      <c r="AJ287" s="165"/>
      <c r="AK287" s="165"/>
      <c r="AL287" s="165"/>
    </row>
    <row r="288" spans="10:38" x14ac:dyDescent="0.25">
      <c r="J288" s="131"/>
      <c r="K288" s="131"/>
      <c r="L288" s="131"/>
      <c r="M288" s="131"/>
      <c r="N288" s="131"/>
      <c r="O288" s="131"/>
      <c r="P288" s="131"/>
      <c r="Q288" s="131"/>
      <c r="R288" s="131"/>
      <c r="S288" s="131"/>
      <c r="AC288" s="165"/>
      <c r="AD288" s="165"/>
      <c r="AE288" s="165"/>
      <c r="AF288" s="165"/>
      <c r="AG288" s="165"/>
      <c r="AH288" s="165"/>
      <c r="AI288" s="165"/>
      <c r="AJ288" s="165"/>
      <c r="AK288" s="165"/>
      <c r="AL288" s="165"/>
    </row>
    <row r="289" spans="10:38" x14ac:dyDescent="0.25">
      <c r="J289" s="131"/>
      <c r="K289" s="131"/>
      <c r="L289" s="131"/>
      <c r="M289" s="131"/>
      <c r="N289" s="131"/>
      <c r="O289" s="131"/>
      <c r="P289" s="131"/>
      <c r="Q289" s="131"/>
      <c r="R289" s="131"/>
      <c r="S289" s="131"/>
      <c r="AC289" s="165"/>
      <c r="AD289" s="165"/>
      <c r="AE289" s="165"/>
      <c r="AF289" s="165"/>
      <c r="AG289" s="165"/>
      <c r="AH289" s="165"/>
      <c r="AI289" s="165"/>
      <c r="AJ289" s="165"/>
      <c r="AK289" s="165"/>
      <c r="AL289" s="165"/>
    </row>
    <row r="290" spans="10:38" x14ac:dyDescent="0.25">
      <c r="J290" s="131"/>
      <c r="K290" s="131"/>
      <c r="L290" s="131"/>
      <c r="M290" s="131"/>
      <c r="N290" s="131"/>
      <c r="O290" s="131"/>
      <c r="P290" s="131"/>
      <c r="Q290" s="131"/>
      <c r="R290" s="131"/>
      <c r="S290" s="131"/>
      <c r="AC290" s="165"/>
      <c r="AD290" s="165"/>
      <c r="AE290" s="165"/>
      <c r="AF290" s="165"/>
      <c r="AG290" s="165"/>
      <c r="AH290" s="165"/>
      <c r="AI290" s="165"/>
      <c r="AJ290" s="165"/>
      <c r="AK290" s="165"/>
      <c r="AL290" s="165"/>
    </row>
    <row r="291" spans="10:38" x14ac:dyDescent="0.25">
      <c r="J291" s="131"/>
      <c r="K291" s="131"/>
      <c r="L291" s="131"/>
      <c r="M291" s="131"/>
      <c r="N291" s="131"/>
      <c r="O291" s="131"/>
      <c r="P291" s="131"/>
      <c r="Q291" s="131"/>
      <c r="R291" s="131"/>
      <c r="S291" s="131"/>
      <c r="AC291" s="165"/>
      <c r="AD291" s="165"/>
      <c r="AE291" s="165"/>
      <c r="AF291" s="165"/>
      <c r="AG291" s="165"/>
      <c r="AH291" s="165"/>
      <c r="AI291" s="165"/>
      <c r="AJ291" s="165"/>
      <c r="AK291" s="165"/>
      <c r="AL291" s="165"/>
    </row>
    <row r="292" spans="10:38" x14ac:dyDescent="0.25">
      <c r="J292" s="131"/>
      <c r="K292" s="131"/>
      <c r="L292" s="131"/>
      <c r="M292" s="131"/>
      <c r="N292" s="131"/>
      <c r="O292" s="131"/>
      <c r="P292" s="131"/>
      <c r="Q292" s="131"/>
      <c r="R292" s="131"/>
      <c r="S292" s="131"/>
      <c r="AC292" s="165"/>
      <c r="AD292" s="165"/>
      <c r="AE292" s="165"/>
      <c r="AF292" s="165"/>
      <c r="AG292" s="165"/>
      <c r="AH292" s="165"/>
      <c r="AI292" s="165"/>
      <c r="AJ292" s="165"/>
      <c r="AK292" s="165"/>
      <c r="AL292" s="165"/>
    </row>
    <row r="293" spans="10:38" x14ac:dyDescent="0.25">
      <c r="J293" s="131"/>
      <c r="K293" s="131"/>
      <c r="L293" s="131"/>
      <c r="M293" s="131"/>
      <c r="N293" s="131"/>
      <c r="O293" s="131"/>
      <c r="P293" s="131"/>
      <c r="Q293" s="131"/>
      <c r="R293" s="131"/>
      <c r="S293" s="131"/>
    </row>
    <row r="294" spans="10:38" x14ac:dyDescent="0.25">
      <c r="J294" s="131"/>
      <c r="K294" s="131"/>
      <c r="L294" s="131"/>
      <c r="M294" s="131"/>
      <c r="N294" s="131"/>
      <c r="O294" s="131"/>
      <c r="P294" s="131"/>
      <c r="Q294" s="131"/>
      <c r="R294" s="131"/>
      <c r="S294" s="131"/>
    </row>
    <row r="295" spans="10:38" x14ac:dyDescent="0.25">
      <c r="J295" s="131"/>
      <c r="K295" s="131"/>
      <c r="L295" s="131"/>
      <c r="M295" s="131"/>
      <c r="N295" s="131"/>
      <c r="O295" s="131"/>
      <c r="P295" s="131"/>
      <c r="Q295" s="131"/>
      <c r="R295" s="131"/>
      <c r="S295" s="131"/>
    </row>
    <row r="296" spans="10:38" x14ac:dyDescent="0.25">
      <c r="J296" s="131"/>
      <c r="K296" s="131"/>
      <c r="L296" s="131"/>
      <c r="M296" s="131"/>
      <c r="N296" s="131"/>
      <c r="O296" s="131"/>
      <c r="P296" s="131"/>
      <c r="Q296" s="131"/>
      <c r="R296" s="131"/>
      <c r="S296" s="131"/>
    </row>
    <row r="297" spans="10:38" x14ac:dyDescent="0.25">
      <c r="J297" s="131"/>
      <c r="K297" s="131"/>
      <c r="L297" s="131"/>
      <c r="M297" s="131"/>
      <c r="N297" s="131"/>
      <c r="O297" s="131"/>
      <c r="P297" s="131"/>
      <c r="Q297" s="131"/>
      <c r="R297" s="131"/>
      <c r="S297" s="131"/>
    </row>
  </sheetData>
  <sheetProtection sheet="1" objects="1" formatCells="0" formatColumns="0" formatRows="0" sort="0" autoFilter="0"/>
  <conditionalFormatting sqref="H254">
    <cfRule type="cellIs" dxfId="21" priority="2" operator="greaterThan">
      <formula>0</formula>
    </cfRule>
  </conditionalFormatting>
  <conditionalFormatting sqref="A4:XFD4">
    <cfRule type="expression" dxfId="20" priority="1">
      <formula>LEFT($A$4,1) &lt;&gt; "0"</formula>
    </cfRule>
  </conditionalFormatting>
  <hyperlinks>
    <hyperlink ref="B5:F5" location="'Model map'!A1" display="Click here to return to model map"/>
  </hyperlinks>
  <pageMargins left="0.7" right="0.7" top="0.75" bottom="0.75" header="0.3" footer="0.3"/>
  <pageSetup paperSize="9" scale="32" fitToHeight="0" orientation="portrait" r:id="rId1"/>
  <headerFooter>
    <oddHeader>&amp;L&amp;A&amp;C&amp;R&amp;P of &amp;N</oddHeader>
    <oddFooter>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6" tint="0.39997558519241921"/>
    <pageSetUpPr fitToPage="1"/>
  </sheetPr>
  <dimension ref="A1:J62"/>
  <sheetViews>
    <sheetView showGridLines="0" zoomScale="80" zoomScaleNormal="80" workbookViewId="0">
      <pane ySplit="3" topLeftCell="A4" activePane="bottomLeft" state="frozen"/>
      <selection activeCell="A3" sqref="A3"/>
      <selection pane="bottomLeft" activeCell="A4" sqref="A4"/>
    </sheetView>
  </sheetViews>
  <sheetFormatPr defaultColWidth="0" defaultRowHeight="15" customHeight="1" x14ac:dyDescent="0.25"/>
  <cols>
    <col min="1" max="5" width="2.7109375" style="48" customWidth="1"/>
    <col min="6" max="6" width="30.7109375" style="48" customWidth="1"/>
    <col min="7" max="7" width="2.7109375" style="48" customWidth="1"/>
    <col min="8" max="8" width="25.7109375" style="52" customWidth="1"/>
    <col min="9" max="9" width="125.42578125" style="52" customWidth="1"/>
    <col min="10" max="10" width="2.7109375" style="48" customWidth="1"/>
    <col min="11" max="16384" width="9.140625" style="48" hidden="1"/>
  </cols>
  <sheetData>
    <row r="1" spans="1:9" s="25" customFormat="1" x14ac:dyDescent="0.25">
      <c r="A1" s="25" t="str">
        <f ca="1">MID(CELL("filename",A1),FIND("]",CELL("filename",A1))+1,255)</f>
        <v>Model map</v>
      </c>
    </row>
    <row r="2" spans="1:9" s="25" customFormat="1" x14ac:dyDescent="0.25">
      <c r="A2" s="25" t="str">
        <f>Cover!D21&amp;" - "&amp;Cover!D23</f>
        <v>SEPD - Final</v>
      </c>
    </row>
    <row r="3" spans="1:9" s="97" customFormat="1" x14ac:dyDescent="0.25">
      <c r="A3" s="97" t="str">
        <f>Cover!D2&amp;" - "&amp;Cover!D8&amp;" v"&amp;Cover!D10&amp;" - "&amp;Cover!D19</f>
        <v>ARP model - Release for charge setting v3 - 2020/21</v>
      </c>
    </row>
    <row r="5" spans="1:9" s="88" customFormat="1" x14ac:dyDescent="0.25">
      <c r="A5" s="47"/>
      <c r="B5" s="96" t="s">
        <v>639</v>
      </c>
      <c r="C5" s="96"/>
      <c r="D5" s="96"/>
      <c r="E5" s="96"/>
      <c r="F5" s="96"/>
      <c r="G5" s="96"/>
      <c r="H5" s="96"/>
      <c r="I5" s="96"/>
    </row>
    <row r="7" spans="1:9" ht="15" customHeight="1" x14ac:dyDescent="0.25">
      <c r="F7" s="56"/>
      <c r="G7" s="56"/>
      <c r="H7" s="55"/>
      <c r="I7" s="55"/>
    </row>
    <row r="8" spans="1:9" ht="15" customHeight="1" x14ac:dyDescent="0.25">
      <c r="F8" s="56"/>
      <c r="G8" s="56"/>
    </row>
    <row r="9" spans="1:9" ht="15" customHeight="1" x14ac:dyDescent="0.25">
      <c r="F9" s="56"/>
      <c r="G9" s="56"/>
      <c r="H9" s="56"/>
      <c r="I9" s="56"/>
    </row>
    <row r="10" spans="1:9" ht="15" customHeight="1" x14ac:dyDescent="0.25">
      <c r="F10" s="56"/>
      <c r="G10" s="56"/>
      <c r="H10" s="56"/>
      <c r="I10" s="56"/>
    </row>
    <row r="11" spans="1:9" ht="15" customHeight="1" x14ac:dyDescent="0.25">
      <c r="F11" s="56"/>
      <c r="G11" s="56"/>
      <c r="H11" s="56"/>
      <c r="I11" s="48"/>
    </row>
    <row r="12" spans="1:9" ht="15" customHeight="1" x14ac:dyDescent="0.25">
      <c r="F12" s="56"/>
      <c r="H12" s="56"/>
      <c r="I12" s="48"/>
    </row>
    <row r="13" spans="1:9" ht="15" customHeight="1" x14ac:dyDescent="0.25">
      <c r="F13" s="56"/>
      <c r="H13" s="56"/>
      <c r="I13" s="48"/>
    </row>
    <row r="14" spans="1:9" ht="15" customHeight="1" x14ac:dyDescent="0.25">
      <c r="F14" s="56"/>
      <c r="H14" s="56"/>
      <c r="I14" s="48"/>
    </row>
    <row r="15" spans="1:9" x14ac:dyDescent="0.25">
      <c r="F15" s="57"/>
      <c r="G15" s="57"/>
      <c r="H15" s="57"/>
      <c r="I15" s="57"/>
    </row>
    <row r="16" spans="1:9" ht="15" customHeight="1" x14ac:dyDescent="0.25">
      <c r="H16" s="57"/>
      <c r="I16" s="57"/>
    </row>
    <row r="17" spans="6:9" ht="15" customHeight="1" x14ac:dyDescent="0.25">
      <c r="H17" s="57"/>
      <c r="I17" s="57"/>
    </row>
    <row r="18" spans="6:9" ht="15" customHeight="1" x14ac:dyDescent="0.25">
      <c r="H18" s="57"/>
      <c r="I18" s="57"/>
    </row>
    <row r="19" spans="6:9" ht="15" customHeight="1" x14ac:dyDescent="0.25">
      <c r="F19" s="57"/>
      <c r="G19" s="57"/>
      <c r="H19" s="57"/>
      <c r="I19" s="57"/>
    </row>
    <row r="20" spans="6:9" ht="15" customHeight="1" x14ac:dyDescent="0.25">
      <c r="F20" s="57"/>
      <c r="G20" s="57"/>
      <c r="H20" s="57"/>
      <c r="I20" s="57"/>
    </row>
    <row r="21" spans="6:9" ht="15" customHeight="1" x14ac:dyDescent="0.25">
      <c r="F21" s="57"/>
      <c r="G21" s="57"/>
      <c r="H21" s="57"/>
      <c r="I21" s="57"/>
    </row>
    <row r="22" spans="6:9" ht="15" customHeight="1" x14ac:dyDescent="0.25">
      <c r="F22" s="57"/>
      <c r="G22" s="57"/>
      <c r="H22" s="57"/>
      <c r="I22" s="57"/>
    </row>
    <row r="23" spans="6:9" ht="15" customHeight="1" x14ac:dyDescent="0.25">
      <c r="F23" s="57"/>
      <c r="G23" s="57"/>
      <c r="H23" s="57"/>
      <c r="I23" s="57"/>
    </row>
    <row r="24" spans="6:9" ht="15" customHeight="1" x14ac:dyDescent="0.25">
      <c r="F24" s="57"/>
      <c r="G24" s="57"/>
      <c r="H24" s="57"/>
      <c r="I24" s="57"/>
    </row>
    <row r="25" spans="6:9" ht="15" customHeight="1" x14ac:dyDescent="0.25">
      <c r="F25" s="57"/>
      <c r="G25" s="57"/>
      <c r="H25" s="57"/>
      <c r="I25" s="57"/>
    </row>
    <row r="26" spans="6:9" ht="15" customHeight="1" x14ac:dyDescent="0.25">
      <c r="F26" s="57"/>
      <c r="G26" s="57"/>
      <c r="H26" s="57"/>
      <c r="I26" s="57"/>
    </row>
    <row r="27" spans="6:9" ht="15" customHeight="1" x14ac:dyDescent="0.25">
      <c r="F27" s="57"/>
      <c r="G27" s="57"/>
      <c r="H27" s="57"/>
      <c r="I27" s="57"/>
    </row>
    <row r="28" spans="6:9" ht="15" customHeight="1" x14ac:dyDescent="0.25">
      <c r="F28" s="57"/>
      <c r="G28" s="57"/>
      <c r="H28" s="57"/>
      <c r="I28" s="57"/>
    </row>
    <row r="29" spans="6:9" ht="15" customHeight="1" x14ac:dyDescent="0.25">
      <c r="F29" s="57"/>
      <c r="G29" s="57"/>
      <c r="H29" s="57"/>
      <c r="I29" s="57"/>
    </row>
    <row r="30" spans="6:9" ht="15" customHeight="1" x14ac:dyDescent="0.25">
      <c r="F30" s="57"/>
      <c r="G30" s="57"/>
      <c r="H30" s="57"/>
      <c r="I30" s="57"/>
    </row>
    <row r="31" spans="6:9" ht="15" customHeight="1" x14ac:dyDescent="0.25">
      <c r="F31" s="57"/>
      <c r="G31" s="57"/>
      <c r="H31" s="57"/>
      <c r="I31" s="57"/>
    </row>
    <row r="32" spans="6:9" ht="15" customHeight="1" x14ac:dyDescent="0.25">
      <c r="F32" s="57"/>
      <c r="G32" s="57"/>
      <c r="H32" s="57"/>
      <c r="I32" s="57"/>
    </row>
    <row r="33" spans="2:9" ht="15" customHeight="1" x14ac:dyDescent="0.25">
      <c r="F33" s="57"/>
      <c r="G33" s="57"/>
      <c r="H33" s="57"/>
      <c r="I33" s="57"/>
    </row>
    <row r="34" spans="2:9" s="21" customFormat="1" x14ac:dyDescent="0.25">
      <c r="B34" s="88"/>
      <c r="C34" s="88"/>
      <c r="D34" s="160"/>
      <c r="E34" s="88"/>
      <c r="F34" s="57"/>
      <c r="G34" s="57"/>
      <c r="H34" s="57"/>
      <c r="I34" s="57"/>
    </row>
    <row r="35" spans="2:9" s="21" customFormat="1" x14ac:dyDescent="0.25">
      <c r="B35" s="88"/>
      <c r="C35" s="88"/>
      <c r="D35" s="160"/>
      <c r="E35" s="88"/>
      <c r="F35" s="57"/>
      <c r="G35" s="57"/>
      <c r="H35" s="57"/>
      <c r="I35" s="57"/>
    </row>
    <row r="36" spans="2:9" s="21" customFormat="1" x14ac:dyDescent="0.25">
      <c r="B36" s="88"/>
      <c r="C36" s="88"/>
      <c r="D36" s="160"/>
      <c r="E36" s="88"/>
      <c r="F36" s="57"/>
      <c r="G36" s="57"/>
      <c r="H36" s="57"/>
      <c r="I36" s="57"/>
    </row>
    <row r="37" spans="2:9" s="21" customFormat="1" x14ac:dyDescent="0.25">
      <c r="B37" s="88"/>
      <c r="C37" s="88"/>
      <c r="D37" s="160"/>
      <c r="E37" s="88"/>
      <c r="F37" s="57"/>
      <c r="G37" s="57"/>
      <c r="H37" s="57"/>
      <c r="I37" s="57"/>
    </row>
    <row r="38" spans="2:9" s="21" customFormat="1" x14ac:dyDescent="0.25">
      <c r="B38" s="88"/>
      <c r="C38" s="88"/>
      <c r="D38" s="160"/>
      <c r="E38" s="88"/>
      <c r="F38" s="57"/>
      <c r="G38" s="57"/>
      <c r="H38" s="57"/>
      <c r="I38" s="57"/>
    </row>
    <row r="39" spans="2:9" s="21" customFormat="1" x14ac:dyDescent="0.25">
      <c r="B39" s="88"/>
      <c r="C39" s="88"/>
      <c r="D39" s="160"/>
      <c r="E39" s="88"/>
      <c r="F39" s="57"/>
      <c r="G39" s="57"/>
      <c r="H39" s="57"/>
      <c r="I39" s="57"/>
    </row>
    <row r="40" spans="2:9" s="21" customFormat="1" x14ac:dyDescent="0.25">
      <c r="B40" s="88"/>
      <c r="C40" s="88"/>
      <c r="D40" s="160"/>
      <c r="E40" s="88"/>
      <c r="F40" s="57"/>
      <c r="G40" s="57"/>
      <c r="H40" s="57"/>
      <c r="I40" s="57"/>
    </row>
    <row r="41" spans="2:9" ht="15" customHeight="1" x14ac:dyDescent="0.25">
      <c r="F41" s="57"/>
      <c r="G41" s="57"/>
      <c r="H41" s="57"/>
      <c r="I41" s="57"/>
    </row>
    <row r="42" spans="2:9" ht="15" customHeight="1" x14ac:dyDescent="0.25">
      <c r="F42" s="57"/>
      <c r="G42" s="57"/>
      <c r="H42" s="57"/>
      <c r="I42" s="57"/>
    </row>
    <row r="43" spans="2:9" ht="15" customHeight="1" x14ac:dyDescent="0.25">
      <c r="F43" s="57"/>
      <c r="G43" s="57"/>
      <c r="H43" s="57"/>
      <c r="I43" s="57"/>
    </row>
    <row r="44" spans="2:9" ht="15" customHeight="1" x14ac:dyDescent="0.25">
      <c r="F44" s="57"/>
      <c r="G44" s="57"/>
      <c r="H44" s="57"/>
      <c r="I44" s="57"/>
    </row>
    <row r="45" spans="2:9" ht="15" customHeight="1" x14ac:dyDescent="0.25">
      <c r="F45" s="57"/>
      <c r="G45" s="57"/>
      <c r="H45" s="57"/>
      <c r="I45" s="57"/>
    </row>
    <row r="46" spans="2:9" ht="15" customHeight="1" x14ac:dyDescent="0.25">
      <c r="F46" s="57"/>
      <c r="G46" s="57"/>
      <c r="H46" s="57"/>
      <c r="I46" s="57"/>
    </row>
    <row r="47" spans="2:9" ht="15" customHeight="1" x14ac:dyDescent="0.25">
      <c r="F47" s="54"/>
      <c r="H47" s="48"/>
      <c r="I47" s="48"/>
    </row>
    <row r="51" spans="1:10" s="88" customFormat="1" x14ac:dyDescent="0.25">
      <c r="A51" s="47"/>
      <c r="B51" s="47"/>
      <c r="C51" s="47"/>
      <c r="D51" s="47"/>
      <c r="E51" s="47"/>
      <c r="F51" s="47"/>
      <c r="G51" s="47"/>
      <c r="H51" s="47"/>
      <c r="I51" s="47"/>
      <c r="J51" s="47"/>
    </row>
    <row r="62" spans="1:10" ht="15" customHeight="1" x14ac:dyDescent="0.25">
      <c r="A62" s="96" t="s">
        <v>127</v>
      </c>
      <c r="B62" s="96"/>
      <c r="C62" s="96"/>
      <c r="D62" s="96"/>
      <c r="E62" s="96"/>
      <c r="F62" s="96"/>
      <c r="G62" s="96"/>
      <c r="H62" s="96"/>
      <c r="I62" s="96"/>
    </row>
  </sheetData>
  <sheetProtection sheet="1" objects="1" formatCells="0" formatColumns="0" formatRows="0" sort="0" autoFilter="0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Footer>&amp;L&amp;Z&amp;F&amp;C&amp;D&amp;R&amp;P of &amp;N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theme="4" tint="0.59999389629810485"/>
    <pageSetUpPr fitToPage="1"/>
  </sheetPr>
  <dimension ref="A1:KJ297"/>
  <sheetViews>
    <sheetView showGridLines="0" zoomScale="80" zoomScaleNormal="80" workbookViewId="0">
      <pane xSplit="9" ySplit="5" topLeftCell="J6" activePane="bottomRight" state="frozen"/>
      <selection activeCell="N50" sqref="N50"/>
      <selection pane="topRight" activeCell="N50" sqref="N50"/>
      <selection pane="bottomLeft" activeCell="N50" sqref="N50"/>
      <selection pane="bottomRight" activeCell="J6" sqref="J6"/>
    </sheetView>
  </sheetViews>
  <sheetFormatPr defaultColWidth="0" defaultRowHeight="15" x14ac:dyDescent="0.25"/>
  <cols>
    <col min="1" max="3" width="2.7109375" style="88" customWidth="1"/>
    <col min="4" max="4" width="2.7109375" style="91" customWidth="1"/>
    <col min="5" max="5" width="2.7109375" style="175" customWidth="1"/>
    <col min="6" max="6" width="59.5703125" style="88" customWidth="1"/>
    <col min="7" max="8" width="20.7109375" style="88" customWidth="1"/>
    <col min="9" max="9" width="2.28515625" style="88" customWidth="1"/>
    <col min="10" max="42" width="17" style="88" customWidth="1"/>
    <col min="43" max="43" width="2.28515625" style="88" customWidth="1"/>
    <col min="44" max="44" width="50.7109375" style="88" customWidth="1"/>
    <col min="45" max="45" width="2.28515625" style="88" customWidth="1"/>
    <col min="46" max="46" width="24.5703125" style="88" hidden="1" customWidth="1"/>
    <col min="47" max="47" width="3.5703125" style="88" hidden="1" customWidth="1"/>
    <col min="48" max="48" width="15.42578125" style="88" hidden="1" customWidth="1"/>
    <col min="49" max="296" width="24.5703125" style="88" hidden="1" customWidth="1"/>
    <col min="297" max="16384" width="8.7109375" style="88" hidden="1"/>
  </cols>
  <sheetData>
    <row r="1" spans="1:97" s="25" customFormat="1" x14ac:dyDescent="0.25">
      <c r="A1" s="25" t="str">
        <f ca="1">MID(CELL("filename",A1),FIND("]",CELL("filename",A1))+1,255)</f>
        <v>Capacity charges</v>
      </c>
    </row>
    <row r="2" spans="1:97" s="25" customFormat="1" x14ac:dyDescent="0.25">
      <c r="A2" s="25" t="str">
        <f>Cover!D21&amp;" - "&amp;Cover!D23</f>
        <v>SEPD - Final</v>
      </c>
    </row>
    <row r="3" spans="1:97" s="97" customFormat="1" x14ac:dyDescent="0.25">
      <c r="A3" s="97" t="str">
        <f>Cover!D2&amp;" - "&amp;Cover!D8&amp;" v"&amp;Cover!D10&amp;" - "&amp;Cover!D19</f>
        <v>ARP model - Release for charge setting v3 - 2020/21</v>
      </c>
    </row>
    <row r="4" spans="1:97" s="338" customFormat="1" x14ac:dyDescent="0.25">
      <c r="A4" s="392" t="str">
        <f>H295 &amp; IF(H295 = 1, " issue", " issues") &amp;" identified in checks on this sheet"</f>
        <v>0 issues identified in checks on this sheet</v>
      </c>
      <c r="B4" s="393"/>
      <c r="C4" s="393"/>
      <c r="D4" s="393"/>
      <c r="E4" s="393"/>
      <c r="F4" s="393"/>
      <c r="G4" s="393"/>
      <c r="H4" s="394"/>
      <c r="I4" s="394"/>
      <c r="J4" s="393"/>
      <c r="K4" s="383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3"/>
      <c r="AD4" s="383"/>
      <c r="AE4" s="383"/>
      <c r="AF4" s="383"/>
      <c r="AG4" s="383"/>
      <c r="AH4" s="383"/>
      <c r="AI4" s="383"/>
      <c r="AJ4" s="383"/>
      <c r="AK4" s="383"/>
      <c r="AL4" s="383"/>
      <c r="AM4" s="383"/>
      <c r="AN4" s="383"/>
      <c r="AO4" s="383"/>
      <c r="AP4" s="383"/>
      <c r="AQ4" s="383"/>
      <c r="AR4" s="478"/>
      <c r="AS4" s="383"/>
      <c r="AT4" s="383"/>
      <c r="AU4" s="383"/>
      <c r="AV4" s="383"/>
      <c r="AW4" s="383"/>
      <c r="AX4" s="383"/>
      <c r="AY4" s="383"/>
      <c r="AZ4" s="383"/>
      <c r="BA4" s="383"/>
      <c r="BB4" s="383"/>
      <c r="BC4" s="383"/>
      <c r="BD4" s="383"/>
      <c r="BE4" s="383"/>
      <c r="BF4" s="383"/>
      <c r="BG4" s="383"/>
      <c r="BH4" s="383"/>
      <c r="BI4" s="383"/>
      <c r="BJ4" s="383"/>
      <c r="BK4" s="383"/>
      <c r="BL4" s="383"/>
      <c r="BM4" s="383"/>
      <c r="BN4" s="383"/>
      <c r="BO4" s="383"/>
      <c r="BP4" s="383"/>
      <c r="BQ4" s="383"/>
      <c r="BR4" s="383"/>
      <c r="BS4" s="383"/>
      <c r="BT4" s="383"/>
      <c r="BU4" s="383"/>
      <c r="BV4" s="383"/>
      <c r="BW4" s="383"/>
      <c r="BX4" s="383"/>
      <c r="BY4" s="383"/>
      <c r="BZ4" s="383"/>
      <c r="CA4" s="383"/>
      <c r="CB4" s="383"/>
      <c r="CC4" s="383"/>
      <c r="CD4" s="383"/>
      <c r="CE4" s="383"/>
      <c r="CF4" s="383"/>
      <c r="CG4" s="383"/>
      <c r="CH4" s="383"/>
      <c r="CI4" s="383"/>
      <c r="CJ4" s="383"/>
      <c r="CK4" s="383"/>
      <c r="CL4" s="383"/>
      <c r="CM4" s="383"/>
      <c r="CN4" s="383"/>
      <c r="CO4" s="383"/>
      <c r="CP4" s="383"/>
      <c r="CQ4" s="383"/>
      <c r="CR4" s="383"/>
      <c r="CS4" s="383"/>
    </row>
    <row r="5" spans="1:97" ht="60" x14ac:dyDescent="0.25">
      <c r="B5" s="244" t="s">
        <v>667</v>
      </c>
      <c r="C5" s="24"/>
      <c r="D5" s="24"/>
      <c r="E5" s="24"/>
      <c r="F5" s="24"/>
      <c r="G5" s="1" t="s">
        <v>108</v>
      </c>
      <c r="H5" s="2" t="s">
        <v>109</v>
      </c>
      <c r="J5" s="2" t="s">
        <v>52</v>
      </c>
      <c r="K5" s="2" t="s">
        <v>53</v>
      </c>
      <c r="L5" s="2" t="s">
        <v>84</v>
      </c>
      <c r="M5" s="2" t="s">
        <v>54</v>
      </c>
      <c r="N5" s="2" t="s">
        <v>55</v>
      </c>
      <c r="O5" s="2" t="s">
        <v>85</v>
      </c>
      <c r="P5" s="2" t="s">
        <v>56</v>
      </c>
      <c r="Q5" s="2" t="s">
        <v>57</v>
      </c>
      <c r="R5" s="2" t="s">
        <v>72</v>
      </c>
      <c r="S5" s="2" t="s">
        <v>58</v>
      </c>
      <c r="T5" s="2" t="s">
        <v>59</v>
      </c>
      <c r="U5" s="2" t="s">
        <v>60</v>
      </c>
      <c r="V5" s="2" t="s">
        <v>61</v>
      </c>
      <c r="W5" s="2" t="s">
        <v>73</v>
      </c>
      <c r="X5" s="2" t="s">
        <v>86</v>
      </c>
      <c r="Y5" s="2" t="s">
        <v>87</v>
      </c>
      <c r="Z5" s="2" t="s">
        <v>88</v>
      </c>
      <c r="AA5" s="2" t="s">
        <v>89</v>
      </c>
      <c r="AB5" s="2" t="s">
        <v>90</v>
      </c>
      <c r="AC5" s="2" t="s">
        <v>62</v>
      </c>
      <c r="AD5" s="2" t="s">
        <v>63</v>
      </c>
      <c r="AE5" s="2" t="s">
        <v>64</v>
      </c>
      <c r="AF5" s="2" t="s">
        <v>65</v>
      </c>
      <c r="AG5" s="2" t="s">
        <v>66</v>
      </c>
      <c r="AH5" s="2" t="s">
        <v>67</v>
      </c>
      <c r="AI5" s="2" t="s">
        <v>68</v>
      </c>
      <c r="AJ5" s="2" t="s">
        <v>69</v>
      </c>
      <c r="AK5" s="2" t="s">
        <v>70</v>
      </c>
      <c r="AL5" s="2" t="s">
        <v>71</v>
      </c>
      <c r="AM5" s="2" t="s">
        <v>74</v>
      </c>
      <c r="AN5" s="2" t="s">
        <v>75</v>
      </c>
      <c r="AO5" s="2" t="s">
        <v>76</v>
      </c>
      <c r="AP5" s="2" t="s">
        <v>77</v>
      </c>
      <c r="AR5" s="1" t="s">
        <v>110</v>
      </c>
    </row>
    <row r="7" spans="1:97" x14ac:dyDescent="0.25">
      <c r="B7" s="171" t="s">
        <v>107</v>
      </c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</row>
    <row r="9" spans="1:97" x14ac:dyDescent="0.25">
      <c r="D9" s="152" t="s">
        <v>574</v>
      </c>
      <c r="E9" s="160"/>
    </row>
    <row r="10" spans="1:97" s="160" customFormat="1" x14ac:dyDescent="0.25">
      <c r="D10" s="152" t="s">
        <v>989</v>
      </c>
    </row>
    <row r="11" spans="1:97" x14ac:dyDescent="0.25">
      <c r="D11" s="152" t="s">
        <v>1094</v>
      </c>
      <c r="E11" s="88"/>
    </row>
    <row r="12" spans="1:97" s="160" customFormat="1" x14ac:dyDescent="0.25">
      <c r="D12" s="152" t="s">
        <v>1032</v>
      </c>
    </row>
    <row r="13" spans="1:97" s="160" customFormat="1" x14ac:dyDescent="0.25">
      <c r="D13" s="152" t="s">
        <v>752</v>
      </c>
    </row>
    <row r="14" spans="1:97" x14ac:dyDescent="0.25">
      <c r="D14" s="152" t="s">
        <v>1033</v>
      </c>
      <c r="E14" s="88"/>
    </row>
    <row r="15" spans="1:97" x14ac:dyDescent="0.25">
      <c r="D15" s="152" t="s">
        <v>990</v>
      </c>
    </row>
    <row r="16" spans="1:97" s="160" customFormat="1" x14ac:dyDescent="0.25">
      <c r="D16" s="175"/>
      <c r="E16" s="175"/>
    </row>
    <row r="17" spans="2:44" x14ac:dyDescent="0.25">
      <c r="B17" s="171" t="s">
        <v>901</v>
      </c>
      <c r="C17" s="171"/>
      <c r="D17" s="171"/>
      <c r="E17" s="171"/>
      <c r="F17" s="171"/>
      <c r="G17" s="171"/>
      <c r="H17" s="171"/>
      <c r="I17" s="171"/>
      <c r="J17" s="171"/>
      <c r="K17" s="171"/>
      <c r="L17" s="171"/>
      <c r="M17" s="171"/>
      <c r="N17" s="171"/>
      <c r="O17" s="171"/>
      <c r="P17" s="171"/>
      <c r="Q17" s="171"/>
      <c r="R17" s="171"/>
      <c r="S17" s="171"/>
      <c r="T17" s="171"/>
      <c r="U17" s="171"/>
      <c r="V17" s="171"/>
      <c r="W17" s="171"/>
      <c r="X17" s="171"/>
      <c r="Y17" s="171"/>
      <c r="Z17" s="171"/>
      <c r="AA17" s="171"/>
      <c r="AB17" s="171"/>
      <c r="AC17" s="171"/>
      <c r="AD17" s="171"/>
      <c r="AE17" s="171"/>
      <c r="AF17" s="171"/>
      <c r="AG17" s="171"/>
      <c r="AH17" s="171"/>
      <c r="AI17" s="171"/>
      <c r="AJ17" s="171"/>
      <c r="AK17" s="171"/>
      <c r="AL17" s="171"/>
      <c r="AM17" s="171"/>
      <c r="AN17" s="171"/>
      <c r="AO17" s="171"/>
      <c r="AP17" s="171"/>
      <c r="AQ17" s="171"/>
      <c r="AR17" s="171"/>
    </row>
    <row r="18" spans="2:44" x14ac:dyDescent="0.25">
      <c r="D18" s="88"/>
      <c r="E18" s="160"/>
      <c r="AQ18" s="131"/>
    </row>
    <row r="19" spans="2:44" s="338" customFormat="1" x14ac:dyDescent="0.25">
      <c r="C19" s="22" t="str">
        <f ca="1">INDEX('Version control'!$H$34:$H$59,MATCH($A$1,'Version control'!$F$34:$F$59,0),1)&amp;"-A: Inputs to capacity charge calculations"</f>
        <v>Section 516-A: Inputs to capacity charge calculations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</row>
    <row r="20" spans="2:44" s="338" customFormat="1" x14ac:dyDescent="0.25">
      <c r="D20" s="175"/>
      <c r="E20" s="175"/>
    </row>
    <row r="21" spans="2:44" x14ac:dyDescent="0.25">
      <c r="E21" s="74" t="s">
        <v>396</v>
      </c>
      <c r="F21" s="175"/>
    </row>
    <row r="22" spans="2:44" s="160" customFormat="1" x14ac:dyDescent="0.25">
      <c r="E22" s="152" t="s">
        <v>991</v>
      </c>
      <c r="F22" s="175"/>
    </row>
    <row r="23" spans="2:44" x14ac:dyDescent="0.25">
      <c r="C23" s="89"/>
      <c r="E23" s="91"/>
      <c r="F23" s="125" t="s">
        <v>397</v>
      </c>
      <c r="G23" s="138" t="s">
        <v>111</v>
      </c>
      <c r="H23" s="254">
        <f>'System peak demand'!H226</f>
        <v>2.7451056800206652E-2</v>
      </c>
    </row>
    <row r="24" spans="2:44" x14ac:dyDescent="0.25">
      <c r="C24" s="89"/>
      <c r="E24" s="91"/>
      <c r="F24" s="66" t="s">
        <v>43</v>
      </c>
      <c r="G24" s="90" t="s">
        <v>111</v>
      </c>
      <c r="H24" s="260">
        <f>'System peak demand'!H226</f>
        <v>2.7451056800206652E-2</v>
      </c>
    </row>
    <row r="25" spans="2:44" x14ac:dyDescent="0.25">
      <c r="C25" s="89"/>
      <c r="E25" s="91"/>
      <c r="F25" s="66" t="s">
        <v>44</v>
      </c>
      <c r="G25" s="90" t="s">
        <v>111</v>
      </c>
      <c r="H25" s="260">
        <f>'System peak demand'!H227</f>
        <v>6.4098310030310079E-2</v>
      </c>
    </row>
    <row r="26" spans="2:44" x14ac:dyDescent="0.25">
      <c r="C26" s="89"/>
      <c r="E26" s="91"/>
      <c r="F26" s="66" t="s">
        <v>45</v>
      </c>
      <c r="G26" s="90" t="s">
        <v>111</v>
      </c>
      <c r="H26" s="260">
        <f>'System peak demand'!H228</f>
        <v>6.4098310030310079E-2</v>
      </c>
    </row>
    <row r="27" spans="2:44" x14ac:dyDescent="0.25">
      <c r="C27" s="89"/>
      <c r="E27" s="91"/>
      <c r="F27" s="66" t="s">
        <v>46</v>
      </c>
      <c r="G27" s="90" t="s">
        <v>111</v>
      </c>
      <c r="H27" s="260">
        <f>'System peak demand'!H229</f>
        <v>0.13362193228495589</v>
      </c>
    </row>
    <row r="28" spans="2:44" x14ac:dyDescent="0.25">
      <c r="C28" s="89"/>
      <c r="E28" s="91"/>
      <c r="F28" s="66" t="s">
        <v>47</v>
      </c>
      <c r="G28" s="90" t="s">
        <v>111</v>
      </c>
      <c r="H28" s="260">
        <f>'System peak demand'!H230</f>
        <v>0.13362193228495589</v>
      </c>
    </row>
    <row r="29" spans="2:44" x14ac:dyDescent="0.25">
      <c r="C29" s="89"/>
      <c r="E29" s="91"/>
      <c r="F29" s="66" t="s">
        <v>51</v>
      </c>
      <c r="G29" s="90" t="s">
        <v>111</v>
      </c>
      <c r="H29" s="260">
        <f>'System peak demand'!H231</f>
        <v>6.4098310030310079E-2</v>
      </c>
    </row>
    <row r="30" spans="2:44" x14ac:dyDescent="0.25">
      <c r="C30" s="89"/>
      <c r="E30" s="91"/>
      <c r="F30" s="66" t="s">
        <v>48</v>
      </c>
      <c r="G30" s="90" t="s">
        <v>111</v>
      </c>
      <c r="H30" s="260">
        <f>'System peak demand'!H232</f>
        <v>0.55306204723038976</v>
      </c>
    </row>
    <row r="31" spans="2:44" x14ac:dyDescent="0.25">
      <c r="C31" s="89"/>
      <c r="E31" s="91"/>
      <c r="F31" s="66" t="s">
        <v>49</v>
      </c>
      <c r="G31" s="90" t="s">
        <v>111</v>
      </c>
      <c r="H31" s="260">
        <f>'System peak demand'!H233</f>
        <v>0.55306204723038976</v>
      </c>
    </row>
    <row r="32" spans="2:44" x14ac:dyDescent="0.25">
      <c r="C32" s="89"/>
      <c r="E32" s="91"/>
      <c r="F32" s="66" t="s">
        <v>50</v>
      </c>
      <c r="G32" s="90" t="s">
        <v>111</v>
      </c>
      <c r="H32" s="260">
        <f>'System peak demand'!H234</f>
        <v>0.88830430018549822</v>
      </c>
    </row>
    <row r="33" spans="3:20" x14ac:dyDescent="0.25">
      <c r="C33" s="89"/>
      <c r="E33" s="91"/>
      <c r="F33" s="66" t="s">
        <v>141</v>
      </c>
      <c r="G33" s="90" t="s">
        <v>111</v>
      </c>
      <c r="H33" s="178"/>
    </row>
    <row r="34" spans="3:20" x14ac:dyDescent="0.25">
      <c r="C34" s="89"/>
      <c r="E34" s="91"/>
      <c r="F34" s="67" t="s">
        <v>140</v>
      </c>
      <c r="G34" s="16" t="s">
        <v>111</v>
      </c>
      <c r="H34" s="179"/>
    </row>
    <row r="35" spans="3:20" x14ac:dyDescent="0.25">
      <c r="C35" s="89"/>
      <c r="E35" s="91"/>
      <c r="F35" s="175"/>
    </row>
    <row r="36" spans="3:20" x14ac:dyDescent="0.25">
      <c r="E36" s="89" t="s">
        <v>117</v>
      </c>
      <c r="F36" s="175"/>
    </row>
    <row r="37" spans="3:20" x14ac:dyDescent="0.25">
      <c r="C37" s="89"/>
      <c r="E37" s="91"/>
      <c r="F37" s="72" t="s">
        <v>397</v>
      </c>
      <c r="G37" s="40" t="s">
        <v>636</v>
      </c>
      <c r="H37" s="438">
        <f t="array" ref="H37:H46">TRANSPOSE('Load &amp; loss characteristics'!J29:S29)</f>
        <v>1</v>
      </c>
      <c r="L37" s="160"/>
      <c r="M37" s="160"/>
      <c r="N37" s="160"/>
      <c r="O37" s="160"/>
      <c r="P37" s="160"/>
      <c r="Q37" s="160"/>
      <c r="R37" s="160"/>
      <c r="S37" s="160"/>
      <c r="T37" s="160"/>
    </row>
    <row r="38" spans="3:20" x14ac:dyDescent="0.25">
      <c r="C38" s="89"/>
      <c r="E38" s="91"/>
      <c r="F38" s="66" t="s">
        <v>43</v>
      </c>
      <c r="G38" s="145" t="s">
        <v>636</v>
      </c>
      <c r="H38" s="439">
        <v>1</v>
      </c>
    </row>
    <row r="39" spans="3:20" x14ac:dyDescent="0.25">
      <c r="C39" s="89"/>
      <c r="E39" s="91"/>
      <c r="F39" s="66" t="s">
        <v>44</v>
      </c>
      <c r="G39" s="145" t="s">
        <v>636</v>
      </c>
      <c r="H39" s="439">
        <v>1.0049999999999999</v>
      </c>
    </row>
    <row r="40" spans="3:20" x14ac:dyDescent="0.25">
      <c r="C40" s="89"/>
      <c r="E40" s="91"/>
      <c r="F40" s="66" t="s">
        <v>45</v>
      </c>
      <c r="G40" s="145" t="s">
        <v>636</v>
      </c>
      <c r="H40" s="439">
        <v>1.008</v>
      </c>
    </row>
    <row r="41" spans="3:20" x14ac:dyDescent="0.25">
      <c r="C41" s="89"/>
      <c r="E41" s="91"/>
      <c r="F41" s="66" t="s">
        <v>46</v>
      </c>
      <c r="G41" s="145" t="s">
        <v>636</v>
      </c>
      <c r="H41" s="439">
        <v>1.016</v>
      </c>
    </row>
    <row r="42" spans="3:20" x14ac:dyDescent="0.25">
      <c r="C42" s="89"/>
      <c r="E42" s="91"/>
      <c r="F42" s="66" t="s">
        <v>47</v>
      </c>
      <c r="G42" s="145" t="s">
        <v>636</v>
      </c>
      <c r="H42" s="439">
        <v>1.0209999999999999</v>
      </c>
    </row>
    <row r="43" spans="3:20" x14ac:dyDescent="0.25">
      <c r="C43" s="89"/>
      <c r="E43" s="91"/>
      <c r="F43" s="66" t="s">
        <v>51</v>
      </c>
      <c r="G43" s="145" t="s">
        <v>636</v>
      </c>
      <c r="H43" s="439">
        <v>1.0209999999999999</v>
      </c>
    </row>
    <row r="44" spans="3:20" x14ac:dyDescent="0.25">
      <c r="C44" s="89"/>
      <c r="E44" s="91"/>
      <c r="F44" s="66" t="s">
        <v>48</v>
      </c>
      <c r="G44" s="145" t="s">
        <v>636</v>
      </c>
      <c r="H44" s="439">
        <v>1.0309999999999999</v>
      </c>
    </row>
    <row r="45" spans="3:20" x14ac:dyDescent="0.25">
      <c r="C45" s="89"/>
      <c r="E45" s="91"/>
      <c r="F45" s="66" t="s">
        <v>49</v>
      </c>
      <c r="G45" s="145" t="s">
        <v>636</v>
      </c>
      <c r="H45" s="439">
        <v>1.046</v>
      </c>
    </row>
    <row r="46" spans="3:20" x14ac:dyDescent="0.25">
      <c r="C46" s="89"/>
      <c r="E46" s="91"/>
      <c r="F46" s="66" t="s">
        <v>50</v>
      </c>
      <c r="G46" s="145" t="s">
        <v>636</v>
      </c>
      <c r="H46" s="439">
        <v>1.089</v>
      </c>
    </row>
    <row r="47" spans="3:20" x14ac:dyDescent="0.25">
      <c r="C47" s="89"/>
      <c r="E47" s="91"/>
      <c r="F47" s="66" t="s">
        <v>141</v>
      </c>
      <c r="G47" s="145" t="s">
        <v>636</v>
      </c>
      <c r="H47" s="403"/>
    </row>
    <row r="48" spans="3:20" x14ac:dyDescent="0.25">
      <c r="C48" s="89"/>
      <c r="E48" s="91"/>
      <c r="F48" s="67" t="s">
        <v>140</v>
      </c>
      <c r="G48" s="38" t="s">
        <v>636</v>
      </c>
      <c r="H48" s="404"/>
    </row>
    <row r="49" spans="3:11" x14ac:dyDescent="0.25">
      <c r="C49" s="89"/>
      <c r="E49" s="91"/>
      <c r="F49" s="175"/>
      <c r="H49" s="416"/>
    </row>
    <row r="50" spans="3:11" x14ac:dyDescent="0.25">
      <c r="C50" s="89"/>
      <c r="E50" s="161" t="s">
        <v>143</v>
      </c>
      <c r="H50" s="416"/>
    </row>
    <row r="51" spans="3:11" x14ac:dyDescent="0.25">
      <c r="C51" s="89"/>
      <c r="E51" s="152"/>
      <c r="F51" s="72" t="s">
        <v>397</v>
      </c>
      <c r="G51" s="13" t="s">
        <v>125</v>
      </c>
      <c r="H51" s="402"/>
    </row>
    <row r="52" spans="3:11" x14ac:dyDescent="0.25">
      <c r="C52" s="89"/>
      <c r="E52" s="152"/>
      <c r="F52" s="66" t="s">
        <v>43</v>
      </c>
      <c r="G52" s="90" t="s">
        <v>125</v>
      </c>
      <c r="H52" s="403"/>
    </row>
    <row r="53" spans="3:11" x14ac:dyDescent="0.25">
      <c r="C53" s="89"/>
      <c r="E53" s="152"/>
      <c r="F53" s="66" t="s">
        <v>44</v>
      </c>
      <c r="G53" s="90" t="s">
        <v>125</v>
      </c>
      <c r="H53" s="439">
        <f t="array" ref="H53:H60">TRANSPOSE('Unit costs'!L114:S114)</f>
        <v>10.669747730206675</v>
      </c>
      <c r="K53" s="33"/>
    </row>
    <row r="54" spans="3:11" x14ac:dyDescent="0.25">
      <c r="C54" s="89"/>
      <c r="E54" s="152"/>
      <c r="F54" s="66" t="s">
        <v>45</v>
      </c>
      <c r="G54" s="90" t="s">
        <v>125</v>
      </c>
      <c r="H54" s="439">
        <v>2.9782944756569507</v>
      </c>
      <c r="K54" s="33"/>
    </row>
    <row r="55" spans="3:11" x14ac:dyDescent="0.25">
      <c r="C55" s="89"/>
      <c r="E55" s="152"/>
      <c r="F55" s="66" t="s">
        <v>46</v>
      </c>
      <c r="G55" s="90" t="s">
        <v>125</v>
      </c>
      <c r="H55" s="439">
        <v>7.2018523411578244</v>
      </c>
      <c r="K55" s="33"/>
    </row>
    <row r="56" spans="3:11" x14ac:dyDescent="0.25">
      <c r="C56" s="89"/>
      <c r="E56" s="152"/>
      <c r="F56" s="66" t="s">
        <v>47</v>
      </c>
      <c r="G56" s="90" t="s">
        <v>125</v>
      </c>
      <c r="H56" s="439">
        <v>5.5125273828843655</v>
      </c>
      <c r="K56" s="33"/>
    </row>
    <row r="57" spans="3:11" x14ac:dyDescent="0.25">
      <c r="C57" s="89"/>
      <c r="E57" s="152"/>
      <c r="F57" s="66" t="s">
        <v>51</v>
      </c>
      <c r="G57" s="90" t="s">
        <v>125</v>
      </c>
      <c r="H57" s="439">
        <v>0</v>
      </c>
      <c r="K57" s="33"/>
    </row>
    <row r="58" spans="3:11" x14ac:dyDescent="0.25">
      <c r="C58" s="89"/>
      <c r="E58" s="152"/>
      <c r="F58" s="66" t="s">
        <v>48</v>
      </c>
      <c r="G58" s="90" t="s">
        <v>125</v>
      </c>
      <c r="H58" s="439">
        <v>18.200075134476446</v>
      </c>
      <c r="K58" s="33"/>
    </row>
    <row r="59" spans="3:11" x14ac:dyDescent="0.25">
      <c r="C59" s="89"/>
      <c r="E59" s="152"/>
      <c r="F59" s="66" t="s">
        <v>49</v>
      </c>
      <c r="G59" s="90" t="s">
        <v>125</v>
      </c>
      <c r="H59" s="439">
        <v>6.0546457475617759</v>
      </c>
      <c r="K59" s="33"/>
    </row>
    <row r="60" spans="3:11" x14ac:dyDescent="0.25">
      <c r="C60" s="89"/>
      <c r="E60" s="152"/>
      <c r="F60" s="66" t="s">
        <v>50</v>
      </c>
      <c r="G60" s="90" t="s">
        <v>125</v>
      </c>
      <c r="H60" s="439">
        <v>11.338060767875723</v>
      </c>
      <c r="K60" s="33"/>
    </row>
    <row r="61" spans="3:11" x14ac:dyDescent="0.25">
      <c r="C61" s="89"/>
      <c r="E61" s="152"/>
      <c r="F61" s="66" t="s">
        <v>141</v>
      </c>
      <c r="G61" s="90" t="s">
        <v>125</v>
      </c>
      <c r="H61" s="403"/>
      <c r="K61" s="33"/>
    </row>
    <row r="62" spans="3:11" x14ac:dyDescent="0.25">
      <c r="C62" s="89"/>
      <c r="E62" s="152"/>
      <c r="F62" s="67" t="s">
        <v>140</v>
      </c>
      <c r="G62" s="16" t="s">
        <v>125</v>
      </c>
      <c r="H62" s="404"/>
      <c r="K62" s="33"/>
    </row>
    <row r="63" spans="3:11" s="160" customFormat="1" x14ac:dyDescent="0.25">
      <c r="C63" s="161"/>
      <c r="E63" s="152"/>
      <c r="H63" s="416"/>
    </row>
    <row r="64" spans="3:11" x14ac:dyDescent="0.25">
      <c r="C64" s="89"/>
      <c r="E64" s="161" t="s">
        <v>144</v>
      </c>
      <c r="H64" s="416"/>
    </row>
    <row r="65" spans="3:42" x14ac:dyDescent="0.25">
      <c r="C65" s="89"/>
      <c r="F65" s="72" t="s">
        <v>397</v>
      </c>
      <c r="G65" s="13" t="s">
        <v>125</v>
      </c>
      <c r="H65" s="438">
        <f t="array" ref="H65:H74">TRANSPOSE('Unit costs'!J115:S115)</f>
        <v>3.0882569609544062</v>
      </c>
    </row>
    <row r="66" spans="3:42" x14ac:dyDescent="0.25">
      <c r="C66" s="89"/>
      <c r="F66" s="66" t="s">
        <v>43</v>
      </c>
      <c r="G66" s="90" t="s">
        <v>125</v>
      </c>
      <c r="H66" s="439">
        <v>0</v>
      </c>
      <c r="K66" s="33"/>
    </row>
    <row r="67" spans="3:42" x14ac:dyDescent="0.25">
      <c r="C67" s="89"/>
      <c r="F67" s="66" t="s">
        <v>44</v>
      </c>
      <c r="G67" s="90" t="s">
        <v>125</v>
      </c>
      <c r="H67" s="439">
        <v>4.3117941483657196</v>
      </c>
      <c r="K67" s="33"/>
    </row>
    <row r="68" spans="3:42" x14ac:dyDescent="0.25">
      <c r="C68" s="89"/>
      <c r="F68" s="66" t="s">
        <v>45</v>
      </c>
      <c r="G68" s="90" t="s">
        <v>125</v>
      </c>
      <c r="H68" s="439">
        <v>1.2035704139369414</v>
      </c>
      <c r="K68" s="33"/>
    </row>
    <row r="69" spans="3:42" x14ac:dyDescent="0.25">
      <c r="C69" s="89"/>
      <c r="F69" s="66" t="s">
        <v>46</v>
      </c>
      <c r="G69" s="90" t="s">
        <v>125</v>
      </c>
      <c r="H69" s="439">
        <v>2.9103691640324061</v>
      </c>
      <c r="K69" s="33"/>
    </row>
    <row r="70" spans="3:42" x14ac:dyDescent="0.25">
      <c r="C70" s="89"/>
      <c r="F70" s="66" t="s">
        <v>47</v>
      </c>
      <c r="G70" s="90" t="s">
        <v>125</v>
      </c>
      <c r="H70" s="439">
        <v>2.2276893431074773</v>
      </c>
      <c r="K70" s="33"/>
    </row>
    <row r="71" spans="3:42" x14ac:dyDescent="0.25">
      <c r="C71" s="89"/>
      <c r="F71" s="66" t="s">
        <v>51</v>
      </c>
      <c r="G71" s="90" t="s">
        <v>125</v>
      </c>
      <c r="H71" s="439">
        <v>0</v>
      </c>
      <c r="K71" s="33"/>
    </row>
    <row r="72" spans="3:42" x14ac:dyDescent="0.25">
      <c r="C72" s="89"/>
      <c r="F72" s="66" t="s">
        <v>48</v>
      </c>
      <c r="G72" s="90" t="s">
        <v>125</v>
      </c>
      <c r="H72" s="439">
        <v>7.3549046752515768</v>
      </c>
      <c r="K72" s="33"/>
    </row>
    <row r="73" spans="3:42" x14ac:dyDescent="0.25">
      <c r="C73" s="89"/>
      <c r="F73" s="66" t="s">
        <v>49</v>
      </c>
      <c r="G73" s="90" t="s">
        <v>125</v>
      </c>
      <c r="H73" s="439">
        <v>2.4467669494055198</v>
      </c>
      <c r="K73" s="33"/>
    </row>
    <row r="74" spans="3:42" x14ac:dyDescent="0.25">
      <c r="C74" s="89"/>
      <c r="F74" s="66" t="s">
        <v>50</v>
      </c>
      <c r="G74" s="90" t="s">
        <v>125</v>
      </c>
      <c r="H74" s="439">
        <v>4.5818687853639188</v>
      </c>
      <c r="K74" s="33"/>
    </row>
    <row r="75" spans="3:42" x14ac:dyDescent="0.25">
      <c r="C75" s="89"/>
      <c r="F75" s="66" t="s">
        <v>141</v>
      </c>
      <c r="G75" s="90" t="s">
        <v>125</v>
      </c>
      <c r="H75" s="403"/>
      <c r="K75" s="33"/>
    </row>
    <row r="76" spans="3:42" x14ac:dyDescent="0.25">
      <c r="C76" s="89"/>
      <c r="F76" s="67" t="s">
        <v>140</v>
      </c>
      <c r="G76" s="16" t="s">
        <v>125</v>
      </c>
      <c r="H76" s="404"/>
    </row>
    <row r="77" spans="3:42" x14ac:dyDescent="0.25">
      <c r="C77" s="89"/>
      <c r="E77" s="91"/>
      <c r="F77" s="175"/>
    </row>
    <row r="78" spans="3:42" x14ac:dyDescent="0.25">
      <c r="E78" s="172" t="s">
        <v>496</v>
      </c>
      <c r="F78" s="175"/>
    </row>
    <row r="79" spans="3:42" x14ac:dyDescent="0.25">
      <c r="E79" s="152" t="s">
        <v>487</v>
      </c>
      <c r="F79" s="160"/>
    </row>
    <row r="80" spans="3:42" x14ac:dyDescent="0.25">
      <c r="C80" s="89"/>
      <c r="E80" s="91"/>
      <c r="F80" s="72" t="s">
        <v>397</v>
      </c>
      <c r="G80" s="40" t="s">
        <v>636</v>
      </c>
      <c r="H80" s="69"/>
      <c r="I80" s="69"/>
      <c r="J80" s="438">
        <f t="array" ref="J80:AP89">TRANSPOSE('Load &amp; loss characteristics'!J230:S262)</f>
        <v>1.089</v>
      </c>
      <c r="K80" s="438">
        <v>1.089</v>
      </c>
      <c r="L80" s="438">
        <v>1.089</v>
      </c>
      <c r="M80" s="438">
        <v>1.089</v>
      </c>
      <c r="N80" s="438">
        <v>1.089</v>
      </c>
      <c r="O80" s="438">
        <v>1.089</v>
      </c>
      <c r="P80" s="438">
        <v>1.089</v>
      </c>
      <c r="Q80" s="438">
        <v>1.046</v>
      </c>
      <c r="R80" s="438">
        <v>1.0309999999999999</v>
      </c>
      <c r="S80" s="438">
        <v>1.089</v>
      </c>
      <c r="T80" s="438">
        <v>1.089</v>
      </c>
      <c r="U80" s="438">
        <v>1.089</v>
      </c>
      <c r="V80" s="438">
        <v>1.046</v>
      </c>
      <c r="W80" s="438">
        <v>1.0309999999999999</v>
      </c>
      <c r="X80" s="438">
        <v>1.089</v>
      </c>
      <c r="Y80" s="438">
        <v>1.089</v>
      </c>
      <c r="Z80" s="438">
        <v>1.089</v>
      </c>
      <c r="AA80" s="438">
        <v>1.089</v>
      </c>
      <c r="AB80" s="438">
        <v>1.089</v>
      </c>
      <c r="AC80" s="438">
        <v>-1.089</v>
      </c>
      <c r="AD80" s="438">
        <v>-1.046</v>
      </c>
      <c r="AE80" s="438">
        <v>-1.089</v>
      </c>
      <c r="AF80" s="438">
        <v>-1.089</v>
      </c>
      <c r="AG80" s="438">
        <v>-1.089</v>
      </c>
      <c r="AH80" s="438">
        <v>-1.089</v>
      </c>
      <c r="AI80" s="438">
        <v>-1.046</v>
      </c>
      <c r="AJ80" s="438">
        <v>-1.046</v>
      </c>
      <c r="AK80" s="438">
        <v>-1.046</v>
      </c>
      <c r="AL80" s="438">
        <v>-1.046</v>
      </c>
      <c r="AM80" s="438">
        <v>-1.0309999999999999</v>
      </c>
      <c r="AN80" s="438">
        <v>-1.0309999999999999</v>
      </c>
      <c r="AO80" s="438">
        <v>-1.0309999999999999</v>
      </c>
      <c r="AP80" s="438">
        <v>-1.0309999999999999</v>
      </c>
    </row>
    <row r="81" spans="3:59" x14ac:dyDescent="0.25">
      <c r="C81" s="89"/>
      <c r="E81" s="91"/>
      <c r="F81" s="66" t="s">
        <v>43</v>
      </c>
      <c r="G81" s="145" t="s">
        <v>636</v>
      </c>
      <c r="H81" s="255"/>
      <c r="I81" s="255"/>
      <c r="J81" s="439">
        <v>1.089</v>
      </c>
      <c r="K81" s="439">
        <v>1.089</v>
      </c>
      <c r="L81" s="439">
        <v>1.089</v>
      </c>
      <c r="M81" s="439">
        <v>1.089</v>
      </c>
      <c r="N81" s="439">
        <v>1.089</v>
      </c>
      <c r="O81" s="439">
        <v>1.089</v>
      </c>
      <c r="P81" s="439">
        <v>1.089</v>
      </c>
      <c r="Q81" s="439">
        <v>1.046</v>
      </c>
      <c r="R81" s="439">
        <v>1.0309999999999999</v>
      </c>
      <c r="S81" s="439">
        <v>1.089</v>
      </c>
      <c r="T81" s="439">
        <v>1.089</v>
      </c>
      <c r="U81" s="439">
        <v>1.089</v>
      </c>
      <c r="V81" s="439">
        <v>1.046</v>
      </c>
      <c r="W81" s="439">
        <v>1.0309999999999999</v>
      </c>
      <c r="X81" s="439">
        <v>1.089</v>
      </c>
      <c r="Y81" s="439">
        <v>1.089</v>
      </c>
      <c r="Z81" s="439">
        <v>1.089</v>
      </c>
      <c r="AA81" s="439">
        <v>1.089</v>
      </c>
      <c r="AB81" s="439">
        <v>1.089</v>
      </c>
      <c r="AC81" s="439">
        <v>-1.089</v>
      </c>
      <c r="AD81" s="439">
        <v>-1.046</v>
      </c>
      <c r="AE81" s="439">
        <v>-1.089</v>
      </c>
      <c r="AF81" s="439">
        <v>-1.089</v>
      </c>
      <c r="AG81" s="439">
        <v>-1.089</v>
      </c>
      <c r="AH81" s="439">
        <v>-1.089</v>
      </c>
      <c r="AI81" s="439">
        <v>-1.046</v>
      </c>
      <c r="AJ81" s="439">
        <v>-1.046</v>
      </c>
      <c r="AK81" s="439">
        <v>-1.046</v>
      </c>
      <c r="AL81" s="439">
        <v>-1.046</v>
      </c>
      <c r="AM81" s="439">
        <v>-1.0309999999999999</v>
      </c>
      <c r="AN81" s="439">
        <v>-1.0309999999999999</v>
      </c>
      <c r="AO81" s="439">
        <v>-1.0309999999999999</v>
      </c>
      <c r="AP81" s="439">
        <v>-1.0309999999999999</v>
      </c>
    </row>
    <row r="82" spans="3:59" x14ac:dyDescent="0.25">
      <c r="C82" s="89"/>
      <c r="E82" s="91"/>
      <c r="F82" s="66" t="s">
        <v>44</v>
      </c>
      <c r="G82" s="145" t="s">
        <v>636</v>
      </c>
      <c r="H82" s="255"/>
      <c r="I82" s="255"/>
      <c r="J82" s="439">
        <v>1.089</v>
      </c>
      <c r="K82" s="439">
        <v>1.089</v>
      </c>
      <c r="L82" s="439">
        <v>1.089</v>
      </c>
      <c r="M82" s="439">
        <v>1.089</v>
      </c>
      <c r="N82" s="439">
        <v>1.089</v>
      </c>
      <c r="O82" s="439">
        <v>1.089</v>
      </c>
      <c r="P82" s="439">
        <v>1.089</v>
      </c>
      <c r="Q82" s="439">
        <v>1.046</v>
      </c>
      <c r="R82" s="439">
        <v>1.0309999999999999</v>
      </c>
      <c r="S82" s="439">
        <v>1.089</v>
      </c>
      <c r="T82" s="439">
        <v>1.089</v>
      </c>
      <c r="U82" s="439">
        <v>1.089</v>
      </c>
      <c r="V82" s="439">
        <v>1.046</v>
      </c>
      <c r="W82" s="439">
        <v>1.0309999999999999</v>
      </c>
      <c r="X82" s="439">
        <v>1.089</v>
      </c>
      <c r="Y82" s="439">
        <v>1.089</v>
      </c>
      <c r="Z82" s="439">
        <v>1.089</v>
      </c>
      <c r="AA82" s="439">
        <v>1.089</v>
      </c>
      <c r="AB82" s="439">
        <v>1.089</v>
      </c>
      <c r="AC82" s="439">
        <v>-1.089</v>
      </c>
      <c r="AD82" s="439">
        <v>-1.046</v>
      </c>
      <c r="AE82" s="439">
        <v>-1.089</v>
      </c>
      <c r="AF82" s="439">
        <v>-1.089</v>
      </c>
      <c r="AG82" s="439">
        <v>-1.089</v>
      </c>
      <c r="AH82" s="439">
        <v>-1.089</v>
      </c>
      <c r="AI82" s="439">
        <v>-1.046</v>
      </c>
      <c r="AJ82" s="439">
        <v>-1.046</v>
      </c>
      <c r="AK82" s="439">
        <v>-1.046</v>
      </c>
      <c r="AL82" s="439">
        <v>-1.046</v>
      </c>
      <c r="AM82" s="439">
        <v>-1.0309999999999999</v>
      </c>
      <c r="AN82" s="439">
        <v>-1.0309999999999999</v>
      </c>
      <c r="AO82" s="439">
        <v>-1.0309999999999999</v>
      </c>
      <c r="AP82" s="439">
        <v>-1.0309999999999999</v>
      </c>
    </row>
    <row r="83" spans="3:59" x14ac:dyDescent="0.25">
      <c r="C83" s="89"/>
      <c r="E83" s="91"/>
      <c r="F83" s="66" t="s">
        <v>45</v>
      </c>
      <c r="G83" s="145" t="s">
        <v>636</v>
      </c>
      <c r="H83" s="255"/>
      <c r="I83" s="255"/>
      <c r="J83" s="439">
        <v>1.089</v>
      </c>
      <c r="K83" s="439">
        <v>1.089</v>
      </c>
      <c r="L83" s="439">
        <v>1.089</v>
      </c>
      <c r="M83" s="439">
        <v>1.089</v>
      </c>
      <c r="N83" s="439">
        <v>1.089</v>
      </c>
      <c r="O83" s="439">
        <v>1.089</v>
      </c>
      <c r="P83" s="439">
        <v>1.089</v>
      </c>
      <c r="Q83" s="439">
        <v>1.046</v>
      </c>
      <c r="R83" s="439">
        <v>1.0309999999999999</v>
      </c>
      <c r="S83" s="439">
        <v>1.089</v>
      </c>
      <c r="T83" s="439">
        <v>1.089</v>
      </c>
      <c r="U83" s="439">
        <v>1.089</v>
      </c>
      <c r="V83" s="439">
        <v>1.046</v>
      </c>
      <c r="W83" s="439">
        <v>1.0309999999999999</v>
      </c>
      <c r="X83" s="439">
        <v>1.089</v>
      </c>
      <c r="Y83" s="439">
        <v>1.089</v>
      </c>
      <c r="Z83" s="439">
        <v>1.089</v>
      </c>
      <c r="AA83" s="439">
        <v>1.089</v>
      </c>
      <c r="AB83" s="439">
        <v>1.089</v>
      </c>
      <c r="AC83" s="439">
        <v>-1.089</v>
      </c>
      <c r="AD83" s="439">
        <v>-1.046</v>
      </c>
      <c r="AE83" s="439">
        <v>-1.089</v>
      </c>
      <c r="AF83" s="439">
        <v>-1.089</v>
      </c>
      <c r="AG83" s="439">
        <v>-1.089</v>
      </c>
      <c r="AH83" s="439">
        <v>-1.089</v>
      </c>
      <c r="AI83" s="439">
        <v>-1.046</v>
      </c>
      <c r="AJ83" s="439">
        <v>-1.046</v>
      </c>
      <c r="AK83" s="439">
        <v>-1.046</v>
      </c>
      <c r="AL83" s="439">
        <v>-1.046</v>
      </c>
      <c r="AM83" s="439">
        <v>-1.0309999999999999</v>
      </c>
      <c r="AN83" s="439">
        <v>-1.0309999999999999</v>
      </c>
      <c r="AO83" s="439">
        <v>-1.0309999999999999</v>
      </c>
      <c r="AP83" s="439">
        <v>-1.0309999999999999</v>
      </c>
    </row>
    <row r="84" spans="3:59" x14ac:dyDescent="0.25">
      <c r="C84" s="89"/>
      <c r="E84" s="91"/>
      <c r="F84" s="66" t="s">
        <v>46</v>
      </c>
      <c r="G84" s="145" t="s">
        <v>636</v>
      </c>
      <c r="H84" s="255"/>
      <c r="I84" s="255"/>
      <c r="J84" s="439">
        <v>1.089</v>
      </c>
      <c r="K84" s="439">
        <v>1.089</v>
      </c>
      <c r="L84" s="439">
        <v>1.089</v>
      </c>
      <c r="M84" s="439">
        <v>1.089</v>
      </c>
      <c r="N84" s="439">
        <v>1.089</v>
      </c>
      <c r="O84" s="439">
        <v>1.089</v>
      </c>
      <c r="P84" s="439">
        <v>1.089</v>
      </c>
      <c r="Q84" s="439">
        <v>1.046</v>
      </c>
      <c r="R84" s="439">
        <v>1.0309999999999999</v>
      </c>
      <c r="S84" s="439">
        <v>1.089</v>
      </c>
      <c r="T84" s="439">
        <v>1.089</v>
      </c>
      <c r="U84" s="439">
        <v>1.089</v>
      </c>
      <c r="V84" s="439">
        <v>1.046</v>
      </c>
      <c r="W84" s="439">
        <v>1.0309999999999999</v>
      </c>
      <c r="X84" s="439">
        <v>1.089</v>
      </c>
      <c r="Y84" s="439">
        <v>1.089</v>
      </c>
      <c r="Z84" s="439">
        <v>1.089</v>
      </c>
      <c r="AA84" s="439">
        <v>1.089</v>
      </c>
      <c r="AB84" s="439">
        <v>1.089</v>
      </c>
      <c r="AC84" s="439">
        <v>-1.089</v>
      </c>
      <c r="AD84" s="439">
        <v>-1.046</v>
      </c>
      <c r="AE84" s="439">
        <v>-1.089</v>
      </c>
      <c r="AF84" s="439">
        <v>-1.089</v>
      </c>
      <c r="AG84" s="439">
        <v>-1.089</v>
      </c>
      <c r="AH84" s="439">
        <v>-1.089</v>
      </c>
      <c r="AI84" s="439">
        <v>-1.046</v>
      </c>
      <c r="AJ84" s="439">
        <v>-1.046</v>
      </c>
      <c r="AK84" s="439">
        <v>-1.046</v>
      </c>
      <c r="AL84" s="439">
        <v>-1.046</v>
      </c>
      <c r="AM84" s="439">
        <v>-1.0309999999999999</v>
      </c>
      <c r="AN84" s="439">
        <v>-1.0309999999999999</v>
      </c>
      <c r="AO84" s="439">
        <v>-1.0309999999999999</v>
      </c>
      <c r="AP84" s="439">
        <v>-1.0309999999999999</v>
      </c>
    </row>
    <row r="85" spans="3:59" x14ac:dyDescent="0.25">
      <c r="C85" s="89"/>
      <c r="E85" s="91"/>
      <c r="F85" s="66" t="s">
        <v>47</v>
      </c>
      <c r="G85" s="145" t="s">
        <v>636</v>
      </c>
      <c r="H85" s="255"/>
      <c r="I85" s="255"/>
      <c r="J85" s="439">
        <v>1.089</v>
      </c>
      <c r="K85" s="439">
        <v>1.089</v>
      </c>
      <c r="L85" s="439">
        <v>1.089</v>
      </c>
      <c r="M85" s="439">
        <v>1.089</v>
      </c>
      <c r="N85" s="439">
        <v>1.089</v>
      </c>
      <c r="O85" s="439">
        <v>1.089</v>
      </c>
      <c r="P85" s="439">
        <v>1.089</v>
      </c>
      <c r="Q85" s="439">
        <v>1.046</v>
      </c>
      <c r="R85" s="439">
        <v>1.0309999999999999</v>
      </c>
      <c r="S85" s="439">
        <v>1.089</v>
      </c>
      <c r="T85" s="439">
        <v>1.089</v>
      </c>
      <c r="U85" s="439">
        <v>1.089</v>
      </c>
      <c r="V85" s="439">
        <v>1.046</v>
      </c>
      <c r="W85" s="439">
        <v>1.0309999999999999</v>
      </c>
      <c r="X85" s="439">
        <v>1.089</v>
      </c>
      <c r="Y85" s="439">
        <v>1.089</v>
      </c>
      <c r="Z85" s="439">
        <v>1.089</v>
      </c>
      <c r="AA85" s="439">
        <v>1.089</v>
      </c>
      <c r="AB85" s="439">
        <v>1.089</v>
      </c>
      <c r="AC85" s="439">
        <v>-1.089</v>
      </c>
      <c r="AD85" s="439">
        <v>-1.046</v>
      </c>
      <c r="AE85" s="439">
        <v>-1.089</v>
      </c>
      <c r="AF85" s="439">
        <v>-1.089</v>
      </c>
      <c r="AG85" s="439">
        <v>-1.089</v>
      </c>
      <c r="AH85" s="439">
        <v>-1.089</v>
      </c>
      <c r="AI85" s="439">
        <v>-1.046</v>
      </c>
      <c r="AJ85" s="439">
        <v>-1.046</v>
      </c>
      <c r="AK85" s="439">
        <v>-1.046</v>
      </c>
      <c r="AL85" s="439">
        <v>-1.046</v>
      </c>
      <c r="AM85" s="439">
        <v>-1.0309999999999999</v>
      </c>
      <c r="AN85" s="439">
        <v>-1.0309999999999999</v>
      </c>
      <c r="AO85" s="439">
        <v>-1.0309999999999999</v>
      </c>
      <c r="AP85" s="439">
        <v>-1.0309999999999999</v>
      </c>
    </row>
    <row r="86" spans="3:59" x14ac:dyDescent="0.25">
      <c r="C86" s="89"/>
      <c r="E86" s="91"/>
      <c r="F86" s="66" t="s">
        <v>51</v>
      </c>
      <c r="G86" s="145" t="s">
        <v>636</v>
      </c>
      <c r="H86" s="255"/>
      <c r="I86" s="255"/>
      <c r="J86" s="439">
        <v>0</v>
      </c>
      <c r="K86" s="439">
        <v>0</v>
      </c>
      <c r="L86" s="439">
        <v>0</v>
      </c>
      <c r="M86" s="439">
        <v>0</v>
      </c>
      <c r="N86" s="439">
        <v>0</v>
      </c>
      <c r="O86" s="439">
        <v>0</v>
      </c>
      <c r="P86" s="439">
        <v>0</v>
      </c>
      <c r="Q86" s="439">
        <v>0</v>
      </c>
      <c r="R86" s="439">
        <v>0</v>
      </c>
      <c r="S86" s="439">
        <v>0</v>
      </c>
      <c r="T86" s="439">
        <v>0</v>
      </c>
      <c r="U86" s="439">
        <v>0</v>
      </c>
      <c r="V86" s="439">
        <v>0</v>
      </c>
      <c r="W86" s="439">
        <v>0</v>
      </c>
      <c r="X86" s="439">
        <v>0</v>
      </c>
      <c r="Y86" s="439">
        <v>0</v>
      </c>
      <c r="Z86" s="439">
        <v>0</v>
      </c>
      <c r="AA86" s="439">
        <v>0</v>
      </c>
      <c r="AB86" s="439">
        <v>0</v>
      </c>
      <c r="AC86" s="439">
        <v>0</v>
      </c>
      <c r="AD86" s="439">
        <v>0</v>
      </c>
      <c r="AE86" s="439">
        <v>0</v>
      </c>
      <c r="AF86" s="439">
        <v>0</v>
      </c>
      <c r="AG86" s="439">
        <v>0</v>
      </c>
      <c r="AH86" s="439">
        <v>0</v>
      </c>
      <c r="AI86" s="439">
        <v>0</v>
      </c>
      <c r="AJ86" s="439">
        <v>0</v>
      </c>
      <c r="AK86" s="439">
        <v>0</v>
      </c>
      <c r="AL86" s="439">
        <v>0</v>
      </c>
      <c r="AM86" s="439">
        <v>0</v>
      </c>
      <c r="AN86" s="439">
        <v>0</v>
      </c>
      <c r="AO86" s="439">
        <v>0</v>
      </c>
      <c r="AP86" s="439">
        <v>0</v>
      </c>
    </row>
    <row r="87" spans="3:59" x14ac:dyDescent="0.25">
      <c r="C87" s="89"/>
      <c r="E87" s="91"/>
      <c r="F87" s="66" t="s">
        <v>48</v>
      </c>
      <c r="G87" s="145" t="s">
        <v>636</v>
      </c>
      <c r="H87" s="255"/>
      <c r="I87" s="255"/>
      <c r="J87" s="439">
        <v>1.089</v>
      </c>
      <c r="K87" s="439">
        <v>1.089</v>
      </c>
      <c r="L87" s="439">
        <v>1.089</v>
      </c>
      <c r="M87" s="439">
        <v>1.089</v>
      </c>
      <c r="N87" s="439">
        <v>1.089</v>
      </c>
      <c r="O87" s="439">
        <v>1.089</v>
      </c>
      <c r="P87" s="439">
        <v>1.089</v>
      </c>
      <c r="Q87" s="439">
        <v>1.046</v>
      </c>
      <c r="R87" s="439">
        <v>1.0309999999999999</v>
      </c>
      <c r="S87" s="439">
        <v>1.089</v>
      </c>
      <c r="T87" s="439">
        <v>1.089</v>
      </c>
      <c r="U87" s="439">
        <v>1.089</v>
      </c>
      <c r="V87" s="439">
        <v>1.046</v>
      </c>
      <c r="W87" s="439">
        <v>1.0309999999999999</v>
      </c>
      <c r="X87" s="439">
        <v>1.089</v>
      </c>
      <c r="Y87" s="439">
        <v>1.089</v>
      </c>
      <c r="Z87" s="439">
        <v>1.089</v>
      </c>
      <c r="AA87" s="439">
        <v>1.089</v>
      </c>
      <c r="AB87" s="439">
        <v>1.089</v>
      </c>
      <c r="AC87" s="439">
        <v>-1.089</v>
      </c>
      <c r="AD87" s="439">
        <v>-1.046</v>
      </c>
      <c r="AE87" s="439">
        <v>-1.089</v>
      </c>
      <c r="AF87" s="439">
        <v>-1.089</v>
      </c>
      <c r="AG87" s="439">
        <v>-1.089</v>
      </c>
      <c r="AH87" s="439">
        <v>-1.089</v>
      </c>
      <c r="AI87" s="439">
        <v>-1.046</v>
      </c>
      <c r="AJ87" s="439">
        <v>-1.046</v>
      </c>
      <c r="AK87" s="439">
        <v>-1.046</v>
      </c>
      <c r="AL87" s="439">
        <v>-1.046</v>
      </c>
      <c r="AM87" s="439">
        <v>0</v>
      </c>
      <c r="AN87" s="439">
        <v>0</v>
      </c>
      <c r="AO87" s="439">
        <v>0</v>
      </c>
      <c r="AP87" s="439">
        <v>0</v>
      </c>
    </row>
    <row r="88" spans="3:59" x14ac:dyDescent="0.25">
      <c r="C88" s="89"/>
      <c r="E88" s="91"/>
      <c r="F88" s="66" t="s">
        <v>49</v>
      </c>
      <c r="G88" s="145" t="s">
        <v>636</v>
      </c>
      <c r="H88" s="255"/>
      <c r="I88" s="255"/>
      <c r="J88" s="439">
        <v>1.089</v>
      </c>
      <c r="K88" s="439">
        <v>1.089</v>
      </c>
      <c r="L88" s="439">
        <v>1.089</v>
      </c>
      <c r="M88" s="439">
        <v>1.089</v>
      </c>
      <c r="N88" s="439">
        <v>1.089</v>
      </c>
      <c r="O88" s="439">
        <v>1.089</v>
      </c>
      <c r="P88" s="439">
        <v>1.089</v>
      </c>
      <c r="Q88" s="439">
        <v>1.046</v>
      </c>
      <c r="R88" s="439">
        <v>0</v>
      </c>
      <c r="S88" s="439">
        <v>1.089</v>
      </c>
      <c r="T88" s="439">
        <v>1.089</v>
      </c>
      <c r="U88" s="439">
        <v>1.089</v>
      </c>
      <c r="V88" s="439">
        <v>1.046</v>
      </c>
      <c r="W88" s="439">
        <v>0</v>
      </c>
      <c r="X88" s="439">
        <v>1.089</v>
      </c>
      <c r="Y88" s="439">
        <v>1.089</v>
      </c>
      <c r="Z88" s="439">
        <v>1.089</v>
      </c>
      <c r="AA88" s="439">
        <v>1.089</v>
      </c>
      <c r="AB88" s="439">
        <v>1.089</v>
      </c>
      <c r="AC88" s="439">
        <v>-1.089</v>
      </c>
      <c r="AD88" s="439">
        <v>0</v>
      </c>
      <c r="AE88" s="439">
        <v>-1.089</v>
      </c>
      <c r="AF88" s="439">
        <v>-1.089</v>
      </c>
      <c r="AG88" s="439">
        <v>-1.089</v>
      </c>
      <c r="AH88" s="439">
        <v>-1.089</v>
      </c>
      <c r="AI88" s="439">
        <v>0</v>
      </c>
      <c r="AJ88" s="439">
        <v>0</v>
      </c>
      <c r="AK88" s="439">
        <v>0</v>
      </c>
      <c r="AL88" s="439">
        <v>0</v>
      </c>
      <c r="AM88" s="439">
        <v>0</v>
      </c>
      <c r="AN88" s="439">
        <v>0</v>
      </c>
      <c r="AO88" s="439">
        <v>0</v>
      </c>
      <c r="AP88" s="439">
        <v>0</v>
      </c>
    </row>
    <row r="89" spans="3:59" x14ac:dyDescent="0.25">
      <c r="C89" s="89"/>
      <c r="E89" s="91"/>
      <c r="F89" s="66" t="s">
        <v>50</v>
      </c>
      <c r="G89" s="145" t="s">
        <v>636</v>
      </c>
      <c r="H89" s="255"/>
      <c r="I89" s="255"/>
      <c r="J89" s="439">
        <v>1.089</v>
      </c>
      <c r="K89" s="439">
        <v>1.089</v>
      </c>
      <c r="L89" s="439">
        <v>1.089</v>
      </c>
      <c r="M89" s="439">
        <v>1.089</v>
      </c>
      <c r="N89" s="439">
        <v>1.089</v>
      </c>
      <c r="O89" s="439">
        <v>1.089</v>
      </c>
      <c r="P89" s="439">
        <v>1.089</v>
      </c>
      <c r="Q89" s="439">
        <v>0</v>
      </c>
      <c r="R89" s="439">
        <v>0</v>
      </c>
      <c r="S89" s="439">
        <v>1.089</v>
      </c>
      <c r="T89" s="439">
        <v>1.089</v>
      </c>
      <c r="U89" s="439">
        <v>1.089</v>
      </c>
      <c r="V89" s="439">
        <v>0</v>
      </c>
      <c r="W89" s="439">
        <v>0</v>
      </c>
      <c r="X89" s="439">
        <v>1.089</v>
      </c>
      <c r="Y89" s="439">
        <v>1.089</v>
      </c>
      <c r="Z89" s="439">
        <v>1.089</v>
      </c>
      <c r="AA89" s="439">
        <v>1.089</v>
      </c>
      <c r="AB89" s="439">
        <v>1.089</v>
      </c>
      <c r="AC89" s="439">
        <v>0</v>
      </c>
      <c r="AD89" s="439">
        <v>0</v>
      </c>
      <c r="AE89" s="439">
        <v>0</v>
      </c>
      <c r="AF89" s="439">
        <v>0</v>
      </c>
      <c r="AG89" s="439">
        <v>0</v>
      </c>
      <c r="AH89" s="439">
        <v>0</v>
      </c>
      <c r="AI89" s="439">
        <v>0</v>
      </c>
      <c r="AJ89" s="439">
        <v>0</v>
      </c>
      <c r="AK89" s="439">
        <v>0</v>
      </c>
      <c r="AL89" s="439">
        <v>0</v>
      </c>
      <c r="AM89" s="439">
        <v>0</v>
      </c>
      <c r="AN89" s="439">
        <v>0</v>
      </c>
      <c r="AO89" s="439">
        <v>0</v>
      </c>
      <c r="AP89" s="439">
        <v>0</v>
      </c>
    </row>
    <row r="90" spans="3:59" x14ac:dyDescent="0.25">
      <c r="C90" s="89"/>
      <c r="E90" s="91"/>
      <c r="F90" s="66" t="s">
        <v>141</v>
      </c>
      <c r="G90" s="145" t="s">
        <v>636</v>
      </c>
      <c r="H90" s="160"/>
      <c r="I90" s="160"/>
      <c r="J90" s="403"/>
      <c r="K90" s="403"/>
      <c r="L90" s="403"/>
      <c r="M90" s="403"/>
      <c r="N90" s="403"/>
      <c r="O90" s="403"/>
      <c r="P90" s="403"/>
      <c r="Q90" s="403"/>
      <c r="R90" s="403"/>
      <c r="S90" s="403"/>
      <c r="T90" s="403"/>
      <c r="U90" s="403"/>
      <c r="V90" s="403"/>
      <c r="W90" s="403"/>
      <c r="X90" s="403"/>
      <c r="Y90" s="403"/>
      <c r="Z90" s="403"/>
      <c r="AA90" s="403"/>
      <c r="AB90" s="403"/>
      <c r="AC90" s="403"/>
      <c r="AD90" s="403"/>
      <c r="AE90" s="403"/>
      <c r="AF90" s="403"/>
      <c r="AG90" s="403"/>
      <c r="AH90" s="403"/>
      <c r="AI90" s="403"/>
      <c r="AJ90" s="403"/>
      <c r="AK90" s="403"/>
      <c r="AL90" s="403"/>
      <c r="AM90" s="403"/>
      <c r="AN90" s="403"/>
      <c r="AO90" s="403"/>
      <c r="AP90" s="403"/>
    </row>
    <row r="91" spans="3:59" x14ac:dyDescent="0.25">
      <c r="C91" s="89"/>
      <c r="E91" s="91"/>
      <c r="F91" s="67" t="s">
        <v>140</v>
      </c>
      <c r="G91" s="38" t="s">
        <v>636</v>
      </c>
      <c r="H91" s="168"/>
      <c r="I91" s="168"/>
      <c r="J91" s="404"/>
      <c r="K91" s="404"/>
      <c r="L91" s="404"/>
      <c r="M91" s="404"/>
      <c r="N91" s="404"/>
      <c r="O91" s="404"/>
      <c r="P91" s="404"/>
      <c r="Q91" s="404"/>
      <c r="R91" s="404"/>
      <c r="S91" s="404"/>
      <c r="T91" s="404"/>
      <c r="U91" s="404"/>
      <c r="V91" s="404"/>
      <c r="W91" s="404"/>
      <c r="X91" s="404"/>
      <c r="Y91" s="404"/>
      <c r="Z91" s="404"/>
      <c r="AA91" s="404"/>
      <c r="AB91" s="404"/>
      <c r="AC91" s="404"/>
      <c r="AD91" s="404"/>
      <c r="AE91" s="404"/>
      <c r="AF91" s="404"/>
      <c r="AG91" s="404"/>
      <c r="AH91" s="404"/>
      <c r="AI91" s="404"/>
      <c r="AJ91" s="404"/>
      <c r="AK91" s="404"/>
      <c r="AL91" s="404"/>
      <c r="AM91" s="404"/>
      <c r="AN91" s="404"/>
      <c r="AO91" s="404"/>
      <c r="AP91" s="404"/>
    </row>
    <row r="92" spans="3:59" x14ac:dyDescent="0.25">
      <c r="C92" s="89"/>
      <c r="E92" s="91"/>
      <c r="F92" s="175"/>
    </row>
    <row r="93" spans="3:59" s="131" customFormat="1" x14ac:dyDescent="0.25">
      <c r="E93" s="74" t="s">
        <v>393</v>
      </c>
      <c r="F93" s="160"/>
      <c r="G93" s="139"/>
      <c r="H93" s="121"/>
      <c r="I93" s="139"/>
      <c r="J93" s="142"/>
      <c r="K93" s="142"/>
      <c r="L93" s="142"/>
      <c r="M93" s="142"/>
      <c r="N93" s="142"/>
      <c r="O93" s="142"/>
      <c r="P93" s="33"/>
      <c r="Q93" s="33"/>
      <c r="R93" s="33"/>
      <c r="S93" s="33"/>
      <c r="BG93" s="136"/>
    </row>
    <row r="94" spans="3:59" s="131" customFormat="1" x14ac:dyDescent="0.25">
      <c r="C94" s="74"/>
      <c r="F94" s="137" t="s">
        <v>43</v>
      </c>
      <c r="G94" s="137" t="s">
        <v>111</v>
      </c>
      <c r="H94" s="141"/>
      <c r="I94" s="137"/>
      <c r="J94" s="123">
        <f>'Standing charge factors'!J44</f>
        <v>0</v>
      </c>
      <c r="K94" s="123">
        <f>'Standing charge factors'!K44</f>
        <v>0</v>
      </c>
      <c r="L94" s="123">
        <f>'Standing charge factors'!L44</f>
        <v>0</v>
      </c>
      <c r="M94" s="123">
        <f>'Standing charge factors'!M44</f>
        <v>0</v>
      </c>
      <c r="N94" s="123">
        <f>'Standing charge factors'!N44</f>
        <v>0</v>
      </c>
      <c r="O94" s="123">
        <f>'Standing charge factors'!O44</f>
        <v>0</v>
      </c>
      <c r="P94" s="123">
        <f>'Standing charge factors'!P44</f>
        <v>0</v>
      </c>
      <c r="Q94" s="123">
        <f>'Standing charge factors'!Q44</f>
        <v>0</v>
      </c>
      <c r="R94" s="123">
        <f>'Standing charge factors'!R44</f>
        <v>0</v>
      </c>
      <c r="S94" s="123">
        <f>'Standing charge factors'!S44</f>
        <v>0</v>
      </c>
      <c r="T94" s="123">
        <f>'Standing charge factors'!T44</f>
        <v>0</v>
      </c>
      <c r="U94" s="123">
        <f>'Standing charge factors'!U44</f>
        <v>0</v>
      </c>
      <c r="V94" s="123">
        <f>'Standing charge factors'!V44</f>
        <v>0</v>
      </c>
      <c r="W94" s="123">
        <f>'Standing charge factors'!W44</f>
        <v>0</v>
      </c>
      <c r="X94" s="123">
        <f>'Standing charge factors'!X44</f>
        <v>0</v>
      </c>
      <c r="Y94" s="123">
        <f>'Standing charge factors'!Y44</f>
        <v>0</v>
      </c>
      <c r="Z94" s="123">
        <f>'Standing charge factors'!Z44</f>
        <v>0</v>
      </c>
      <c r="AA94" s="123">
        <f>'Standing charge factors'!AA44</f>
        <v>0</v>
      </c>
      <c r="AB94" s="123">
        <f>'Standing charge factors'!AB44</f>
        <v>0</v>
      </c>
      <c r="AC94" s="123">
        <f>'Standing charge factors'!AC44</f>
        <v>0</v>
      </c>
      <c r="AD94" s="123">
        <f>'Standing charge factors'!AD44</f>
        <v>0</v>
      </c>
      <c r="AE94" s="123">
        <f>'Standing charge factors'!AE44</f>
        <v>0</v>
      </c>
      <c r="AF94" s="123">
        <f>'Standing charge factors'!AF44</f>
        <v>0</v>
      </c>
      <c r="AG94" s="123">
        <f>'Standing charge factors'!AG44</f>
        <v>0</v>
      </c>
      <c r="AH94" s="123">
        <f>'Standing charge factors'!AH44</f>
        <v>0</v>
      </c>
      <c r="AI94" s="123">
        <f>'Standing charge factors'!AI44</f>
        <v>0</v>
      </c>
      <c r="AJ94" s="123">
        <f>'Standing charge factors'!AJ44</f>
        <v>0</v>
      </c>
      <c r="AK94" s="123">
        <f>'Standing charge factors'!AK44</f>
        <v>0</v>
      </c>
      <c r="AL94" s="123">
        <f>'Standing charge factors'!AL44</f>
        <v>0</v>
      </c>
      <c r="AM94" s="123">
        <f>'Standing charge factors'!AM44</f>
        <v>0</v>
      </c>
      <c r="AN94" s="123">
        <f>'Standing charge factors'!AN44</f>
        <v>0</v>
      </c>
      <c r="AO94" s="123">
        <f>'Standing charge factors'!AO44</f>
        <v>0</v>
      </c>
      <c r="AP94" s="123">
        <f>'Standing charge factors'!AP44</f>
        <v>0</v>
      </c>
      <c r="BG94" s="136"/>
    </row>
    <row r="95" spans="3:59" s="131" customFormat="1" x14ac:dyDescent="0.25">
      <c r="C95" s="74"/>
      <c r="F95" s="139" t="s">
        <v>44</v>
      </c>
      <c r="G95" s="139" t="s">
        <v>111</v>
      </c>
      <c r="H95" s="142"/>
      <c r="I95" s="139"/>
      <c r="J95" s="79">
        <f>'Standing charge factors'!J45</f>
        <v>0</v>
      </c>
      <c r="K95" s="79">
        <f>'Standing charge factors'!K45</f>
        <v>0</v>
      </c>
      <c r="L95" s="79">
        <f>'Standing charge factors'!L45</f>
        <v>0</v>
      </c>
      <c r="M95" s="79">
        <f>'Standing charge factors'!M45</f>
        <v>0</v>
      </c>
      <c r="N95" s="79">
        <f>'Standing charge factors'!N45</f>
        <v>0</v>
      </c>
      <c r="O95" s="79">
        <f>'Standing charge factors'!O45</f>
        <v>0</v>
      </c>
      <c r="P95" s="79">
        <f>'Standing charge factors'!P45</f>
        <v>0</v>
      </c>
      <c r="Q95" s="79">
        <f>'Standing charge factors'!Q45</f>
        <v>0</v>
      </c>
      <c r="R95" s="79">
        <f>'Standing charge factors'!R45</f>
        <v>0</v>
      </c>
      <c r="S95" s="79">
        <f>'Standing charge factors'!S45</f>
        <v>0</v>
      </c>
      <c r="T95" s="79">
        <f>'Standing charge factors'!T45</f>
        <v>0</v>
      </c>
      <c r="U95" s="79">
        <f>'Standing charge factors'!U45</f>
        <v>0</v>
      </c>
      <c r="V95" s="79">
        <f>'Standing charge factors'!V45</f>
        <v>0</v>
      </c>
      <c r="W95" s="79">
        <f>'Standing charge factors'!W45</f>
        <v>0</v>
      </c>
      <c r="X95" s="79">
        <f>'Standing charge factors'!X45</f>
        <v>0</v>
      </c>
      <c r="Y95" s="79">
        <f>'Standing charge factors'!Y45</f>
        <v>0</v>
      </c>
      <c r="Z95" s="79">
        <f>'Standing charge factors'!Z45</f>
        <v>0</v>
      </c>
      <c r="AA95" s="79">
        <f>'Standing charge factors'!AA45</f>
        <v>0</v>
      </c>
      <c r="AB95" s="79">
        <f>'Standing charge factors'!AB45</f>
        <v>0</v>
      </c>
      <c r="AC95" s="79">
        <f>'Standing charge factors'!AC45</f>
        <v>0</v>
      </c>
      <c r="AD95" s="79">
        <f>'Standing charge factors'!AD45</f>
        <v>0</v>
      </c>
      <c r="AE95" s="79">
        <f>'Standing charge factors'!AE45</f>
        <v>0</v>
      </c>
      <c r="AF95" s="79">
        <f>'Standing charge factors'!AF45</f>
        <v>0</v>
      </c>
      <c r="AG95" s="79">
        <f>'Standing charge factors'!AG45</f>
        <v>0</v>
      </c>
      <c r="AH95" s="79">
        <f>'Standing charge factors'!AH45</f>
        <v>0</v>
      </c>
      <c r="AI95" s="79">
        <f>'Standing charge factors'!AI45</f>
        <v>0</v>
      </c>
      <c r="AJ95" s="79">
        <f>'Standing charge factors'!AJ45</f>
        <v>0</v>
      </c>
      <c r="AK95" s="79">
        <f>'Standing charge factors'!AK45</f>
        <v>0</v>
      </c>
      <c r="AL95" s="79">
        <f>'Standing charge factors'!AL45</f>
        <v>0</v>
      </c>
      <c r="AM95" s="79">
        <f>'Standing charge factors'!AM45</f>
        <v>0</v>
      </c>
      <c r="AN95" s="79">
        <f>'Standing charge factors'!AN45</f>
        <v>0</v>
      </c>
      <c r="AO95" s="79">
        <f>'Standing charge factors'!AO45</f>
        <v>0</v>
      </c>
      <c r="AP95" s="79">
        <f>'Standing charge factors'!AP45</f>
        <v>0</v>
      </c>
      <c r="BG95" s="136"/>
    </row>
    <row r="96" spans="3:59" s="131" customFormat="1" x14ac:dyDescent="0.25">
      <c r="C96" s="74"/>
      <c r="F96" s="139" t="s">
        <v>45</v>
      </c>
      <c r="G96" s="139" t="s">
        <v>111</v>
      </c>
      <c r="H96" s="142"/>
      <c r="I96" s="139"/>
      <c r="J96" s="79">
        <f>'Standing charge factors'!J46</f>
        <v>0</v>
      </c>
      <c r="K96" s="79">
        <f>'Standing charge factors'!K46</f>
        <v>0</v>
      </c>
      <c r="L96" s="79">
        <f>'Standing charge factors'!L46</f>
        <v>0</v>
      </c>
      <c r="M96" s="79">
        <f>'Standing charge factors'!M46</f>
        <v>0</v>
      </c>
      <c r="N96" s="79">
        <f>'Standing charge factors'!N46</f>
        <v>0</v>
      </c>
      <c r="O96" s="79">
        <f>'Standing charge factors'!O46</f>
        <v>0</v>
      </c>
      <c r="P96" s="79">
        <f>'Standing charge factors'!P46</f>
        <v>0</v>
      </c>
      <c r="Q96" s="79">
        <f>'Standing charge factors'!Q46</f>
        <v>0</v>
      </c>
      <c r="R96" s="79">
        <f>'Standing charge factors'!R46</f>
        <v>0</v>
      </c>
      <c r="S96" s="79">
        <f>'Standing charge factors'!S46</f>
        <v>0</v>
      </c>
      <c r="T96" s="79">
        <f>'Standing charge factors'!T46</f>
        <v>0</v>
      </c>
      <c r="U96" s="79">
        <f>'Standing charge factors'!U46</f>
        <v>0</v>
      </c>
      <c r="V96" s="79">
        <f>'Standing charge factors'!V46</f>
        <v>0</v>
      </c>
      <c r="W96" s="79">
        <f>'Standing charge factors'!W46</f>
        <v>0</v>
      </c>
      <c r="X96" s="79">
        <f>'Standing charge factors'!X46</f>
        <v>0</v>
      </c>
      <c r="Y96" s="79">
        <f>'Standing charge factors'!Y46</f>
        <v>0</v>
      </c>
      <c r="Z96" s="79">
        <f>'Standing charge factors'!Z46</f>
        <v>0</v>
      </c>
      <c r="AA96" s="79">
        <f>'Standing charge factors'!AA46</f>
        <v>0</v>
      </c>
      <c r="AB96" s="79">
        <f>'Standing charge factors'!AB46</f>
        <v>0</v>
      </c>
      <c r="AC96" s="79">
        <f>'Standing charge factors'!AC46</f>
        <v>0</v>
      </c>
      <c r="AD96" s="79">
        <f>'Standing charge factors'!AD46</f>
        <v>0</v>
      </c>
      <c r="AE96" s="79">
        <f>'Standing charge factors'!AE46</f>
        <v>0</v>
      </c>
      <c r="AF96" s="79">
        <f>'Standing charge factors'!AF46</f>
        <v>0</v>
      </c>
      <c r="AG96" s="79">
        <f>'Standing charge factors'!AG46</f>
        <v>0</v>
      </c>
      <c r="AH96" s="79">
        <f>'Standing charge factors'!AH46</f>
        <v>0</v>
      </c>
      <c r="AI96" s="79">
        <f>'Standing charge factors'!AI46</f>
        <v>0</v>
      </c>
      <c r="AJ96" s="79">
        <f>'Standing charge factors'!AJ46</f>
        <v>0</v>
      </c>
      <c r="AK96" s="79">
        <f>'Standing charge factors'!AK46</f>
        <v>0</v>
      </c>
      <c r="AL96" s="79">
        <f>'Standing charge factors'!AL46</f>
        <v>0</v>
      </c>
      <c r="AM96" s="79">
        <f>'Standing charge factors'!AM46</f>
        <v>0</v>
      </c>
      <c r="AN96" s="79">
        <f>'Standing charge factors'!AN46</f>
        <v>0</v>
      </c>
      <c r="AO96" s="79">
        <f>'Standing charge factors'!AO46</f>
        <v>0</v>
      </c>
      <c r="AP96" s="79">
        <f>'Standing charge factors'!AP46</f>
        <v>0</v>
      </c>
      <c r="BG96" s="136"/>
    </row>
    <row r="97" spans="3:59" s="131" customFormat="1" x14ac:dyDescent="0.25">
      <c r="C97" s="74"/>
      <c r="F97" s="139" t="s">
        <v>46</v>
      </c>
      <c r="G97" s="139" t="s">
        <v>111</v>
      </c>
      <c r="H97" s="142"/>
      <c r="I97" s="139"/>
      <c r="J97" s="79">
        <f>'Standing charge factors'!J47</f>
        <v>0</v>
      </c>
      <c r="K97" s="79">
        <f>'Standing charge factors'!K47</f>
        <v>0</v>
      </c>
      <c r="L97" s="79">
        <f>'Standing charge factors'!L47</f>
        <v>0</v>
      </c>
      <c r="M97" s="79">
        <f>'Standing charge factors'!M47</f>
        <v>0</v>
      </c>
      <c r="N97" s="79">
        <f>'Standing charge factors'!N47</f>
        <v>0</v>
      </c>
      <c r="O97" s="79">
        <f>'Standing charge factors'!O47</f>
        <v>0</v>
      </c>
      <c r="P97" s="79">
        <f>'Standing charge factors'!P47</f>
        <v>0</v>
      </c>
      <c r="Q97" s="79">
        <f>'Standing charge factors'!Q47</f>
        <v>0</v>
      </c>
      <c r="R97" s="79">
        <f>'Standing charge factors'!R47</f>
        <v>0.2</v>
      </c>
      <c r="S97" s="79">
        <f>'Standing charge factors'!S47</f>
        <v>0</v>
      </c>
      <c r="T97" s="79">
        <f>'Standing charge factors'!T47</f>
        <v>0</v>
      </c>
      <c r="U97" s="79">
        <f>'Standing charge factors'!U47</f>
        <v>0</v>
      </c>
      <c r="V97" s="79">
        <f>'Standing charge factors'!V47</f>
        <v>0</v>
      </c>
      <c r="W97" s="79">
        <f>'Standing charge factors'!W47</f>
        <v>0.2</v>
      </c>
      <c r="X97" s="79">
        <f>'Standing charge factors'!X47</f>
        <v>0</v>
      </c>
      <c r="Y97" s="79">
        <f>'Standing charge factors'!Y47</f>
        <v>0</v>
      </c>
      <c r="Z97" s="79">
        <f>'Standing charge factors'!Z47</f>
        <v>0</v>
      </c>
      <c r="AA97" s="79">
        <f>'Standing charge factors'!AA47</f>
        <v>0</v>
      </c>
      <c r="AB97" s="79">
        <f>'Standing charge factors'!AB47</f>
        <v>0</v>
      </c>
      <c r="AC97" s="79">
        <f>'Standing charge factors'!AC47</f>
        <v>0</v>
      </c>
      <c r="AD97" s="79">
        <f>'Standing charge factors'!AD47</f>
        <v>0</v>
      </c>
      <c r="AE97" s="79">
        <f>'Standing charge factors'!AE47</f>
        <v>0</v>
      </c>
      <c r="AF97" s="79">
        <f>'Standing charge factors'!AF47</f>
        <v>0</v>
      </c>
      <c r="AG97" s="79">
        <f>'Standing charge factors'!AG47</f>
        <v>0</v>
      </c>
      <c r="AH97" s="79">
        <f>'Standing charge factors'!AH47</f>
        <v>0</v>
      </c>
      <c r="AI97" s="79">
        <f>'Standing charge factors'!AI47</f>
        <v>0</v>
      </c>
      <c r="AJ97" s="79">
        <f>'Standing charge factors'!AJ47</f>
        <v>0</v>
      </c>
      <c r="AK97" s="79">
        <f>'Standing charge factors'!AK47</f>
        <v>0</v>
      </c>
      <c r="AL97" s="79">
        <f>'Standing charge factors'!AL47</f>
        <v>0</v>
      </c>
      <c r="AM97" s="79">
        <f>'Standing charge factors'!AM47</f>
        <v>0</v>
      </c>
      <c r="AN97" s="79">
        <f>'Standing charge factors'!AN47</f>
        <v>0</v>
      </c>
      <c r="AO97" s="79">
        <f>'Standing charge factors'!AO47</f>
        <v>0</v>
      </c>
      <c r="AP97" s="79">
        <f>'Standing charge factors'!AP47</f>
        <v>0</v>
      </c>
      <c r="BG97" s="136"/>
    </row>
    <row r="98" spans="3:59" s="131" customFormat="1" x14ac:dyDescent="0.25">
      <c r="C98" s="74"/>
      <c r="F98" s="139" t="s">
        <v>47</v>
      </c>
      <c r="G98" s="139" t="s">
        <v>111</v>
      </c>
      <c r="H98" s="142"/>
      <c r="I98" s="139"/>
      <c r="J98" s="79">
        <f>'Standing charge factors'!J48</f>
        <v>0</v>
      </c>
      <c r="K98" s="79">
        <f>'Standing charge factors'!K48</f>
        <v>0</v>
      </c>
      <c r="L98" s="79">
        <f>'Standing charge factors'!L48</f>
        <v>0</v>
      </c>
      <c r="M98" s="79">
        <f>'Standing charge factors'!M48</f>
        <v>0</v>
      </c>
      <c r="N98" s="79">
        <f>'Standing charge factors'!N48</f>
        <v>0</v>
      </c>
      <c r="O98" s="79">
        <f>'Standing charge factors'!O48</f>
        <v>0</v>
      </c>
      <c r="P98" s="79">
        <f>'Standing charge factors'!P48</f>
        <v>0</v>
      </c>
      <c r="Q98" s="79">
        <f>'Standing charge factors'!Q48</f>
        <v>0</v>
      </c>
      <c r="R98" s="79">
        <f>'Standing charge factors'!R48</f>
        <v>1</v>
      </c>
      <c r="S98" s="79">
        <f>'Standing charge factors'!S48</f>
        <v>0</v>
      </c>
      <c r="T98" s="79">
        <f>'Standing charge factors'!T48</f>
        <v>0</v>
      </c>
      <c r="U98" s="79">
        <f>'Standing charge factors'!U48</f>
        <v>0</v>
      </c>
      <c r="V98" s="79">
        <f>'Standing charge factors'!V48</f>
        <v>0</v>
      </c>
      <c r="W98" s="79">
        <f>'Standing charge factors'!W48</f>
        <v>1</v>
      </c>
      <c r="X98" s="79">
        <f>'Standing charge factors'!X48</f>
        <v>0</v>
      </c>
      <c r="Y98" s="79">
        <f>'Standing charge factors'!Y48</f>
        <v>0</v>
      </c>
      <c r="Z98" s="79">
        <f>'Standing charge factors'!Z48</f>
        <v>0</v>
      </c>
      <c r="AA98" s="79">
        <f>'Standing charge factors'!AA48</f>
        <v>0</v>
      </c>
      <c r="AB98" s="79">
        <f>'Standing charge factors'!AB48</f>
        <v>0</v>
      </c>
      <c r="AC98" s="79">
        <f>'Standing charge factors'!AC48</f>
        <v>0</v>
      </c>
      <c r="AD98" s="79">
        <f>'Standing charge factors'!AD48</f>
        <v>0</v>
      </c>
      <c r="AE98" s="79">
        <f>'Standing charge factors'!AE48</f>
        <v>0</v>
      </c>
      <c r="AF98" s="79">
        <f>'Standing charge factors'!AF48</f>
        <v>0</v>
      </c>
      <c r="AG98" s="79">
        <f>'Standing charge factors'!AG48</f>
        <v>0</v>
      </c>
      <c r="AH98" s="79">
        <f>'Standing charge factors'!AH48</f>
        <v>0</v>
      </c>
      <c r="AI98" s="79">
        <f>'Standing charge factors'!AI48</f>
        <v>0</v>
      </c>
      <c r="AJ98" s="79">
        <f>'Standing charge factors'!AJ48</f>
        <v>0</v>
      </c>
      <c r="AK98" s="79">
        <f>'Standing charge factors'!AK48</f>
        <v>0</v>
      </c>
      <c r="AL98" s="79">
        <f>'Standing charge factors'!AL48</f>
        <v>0</v>
      </c>
      <c r="AM98" s="79">
        <f>'Standing charge factors'!AM48</f>
        <v>0</v>
      </c>
      <c r="AN98" s="79">
        <f>'Standing charge factors'!AN48</f>
        <v>0</v>
      </c>
      <c r="AO98" s="79">
        <f>'Standing charge factors'!AO48</f>
        <v>0</v>
      </c>
      <c r="AP98" s="79">
        <f>'Standing charge factors'!AP48</f>
        <v>0</v>
      </c>
      <c r="BG98" s="136"/>
    </row>
    <row r="99" spans="3:59" s="131" customFormat="1" x14ac:dyDescent="0.25">
      <c r="C99" s="74"/>
      <c r="F99" s="139" t="s">
        <v>51</v>
      </c>
      <c r="G99" s="139" t="s">
        <v>111</v>
      </c>
      <c r="H99" s="142"/>
      <c r="I99" s="139"/>
      <c r="J99" s="79">
        <f>'Standing charge factors'!J49</f>
        <v>0</v>
      </c>
      <c r="K99" s="79">
        <f>'Standing charge factors'!K49</f>
        <v>0</v>
      </c>
      <c r="L99" s="79">
        <f>'Standing charge factors'!L49</f>
        <v>0</v>
      </c>
      <c r="M99" s="79">
        <f>'Standing charge factors'!M49</f>
        <v>0</v>
      </c>
      <c r="N99" s="79">
        <f>'Standing charge factors'!N49</f>
        <v>0</v>
      </c>
      <c r="O99" s="79">
        <f>'Standing charge factors'!O49</f>
        <v>0</v>
      </c>
      <c r="P99" s="79">
        <f>'Standing charge factors'!P49</f>
        <v>0</v>
      </c>
      <c r="Q99" s="79">
        <f>'Standing charge factors'!Q49</f>
        <v>0</v>
      </c>
      <c r="R99" s="79">
        <f>'Standing charge factors'!R49</f>
        <v>1</v>
      </c>
      <c r="S99" s="79">
        <f>'Standing charge factors'!S49</f>
        <v>0</v>
      </c>
      <c r="T99" s="79">
        <f>'Standing charge factors'!T49</f>
        <v>0</v>
      </c>
      <c r="U99" s="79">
        <f>'Standing charge factors'!U49</f>
        <v>0</v>
      </c>
      <c r="V99" s="79">
        <f>'Standing charge factors'!V49</f>
        <v>0</v>
      </c>
      <c r="W99" s="79">
        <f>'Standing charge factors'!W49</f>
        <v>1</v>
      </c>
      <c r="X99" s="79">
        <f>'Standing charge factors'!X49</f>
        <v>0</v>
      </c>
      <c r="Y99" s="79">
        <f>'Standing charge factors'!Y49</f>
        <v>0</v>
      </c>
      <c r="Z99" s="79">
        <f>'Standing charge factors'!Z49</f>
        <v>0</v>
      </c>
      <c r="AA99" s="79">
        <f>'Standing charge factors'!AA49</f>
        <v>0</v>
      </c>
      <c r="AB99" s="79">
        <f>'Standing charge factors'!AB49</f>
        <v>0</v>
      </c>
      <c r="AC99" s="79">
        <f>'Standing charge factors'!AC49</f>
        <v>0</v>
      </c>
      <c r="AD99" s="79">
        <f>'Standing charge factors'!AD49</f>
        <v>0</v>
      </c>
      <c r="AE99" s="79">
        <f>'Standing charge factors'!AE49</f>
        <v>0</v>
      </c>
      <c r="AF99" s="79">
        <f>'Standing charge factors'!AF49</f>
        <v>0</v>
      </c>
      <c r="AG99" s="79">
        <f>'Standing charge factors'!AG49</f>
        <v>0</v>
      </c>
      <c r="AH99" s="79">
        <f>'Standing charge factors'!AH49</f>
        <v>0</v>
      </c>
      <c r="AI99" s="79">
        <f>'Standing charge factors'!AI49</f>
        <v>0</v>
      </c>
      <c r="AJ99" s="79">
        <f>'Standing charge factors'!AJ49</f>
        <v>0</v>
      </c>
      <c r="AK99" s="79">
        <f>'Standing charge factors'!AK49</f>
        <v>0</v>
      </c>
      <c r="AL99" s="79">
        <f>'Standing charge factors'!AL49</f>
        <v>0</v>
      </c>
      <c r="AM99" s="79">
        <f>'Standing charge factors'!AM49</f>
        <v>0</v>
      </c>
      <c r="AN99" s="79">
        <f>'Standing charge factors'!AN49</f>
        <v>0</v>
      </c>
      <c r="AO99" s="79">
        <f>'Standing charge factors'!AO49</f>
        <v>0</v>
      </c>
      <c r="AP99" s="79">
        <f>'Standing charge factors'!AP49</f>
        <v>0</v>
      </c>
      <c r="BG99" s="136"/>
    </row>
    <row r="100" spans="3:59" s="131" customFormat="1" x14ac:dyDescent="0.25">
      <c r="C100" s="74"/>
      <c r="F100" s="139" t="s">
        <v>48</v>
      </c>
      <c r="G100" s="139" t="s">
        <v>111</v>
      </c>
      <c r="H100" s="142"/>
      <c r="I100" s="139"/>
      <c r="J100" s="79">
        <f>'Standing charge factors'!J50</f>
        <v>0</v>
      </c>
      <c r="K100" s="79">
        <f>'Standing charge factors'!K50</f>
        <v>0</v>
      </c>
      <c r="L100" s="79">
        <f>'Standing charge factors'!L50</f>
        <v>0</v>
      </c>
      <c r="M100" s="79">
        <f>'Standing charge factors'!M50</f>
        <v>0</v>
      </c>
      <c r="N100" s="79">
        <f>'Standing charge factors'!N50</f>
        <v>0</v>
      </c>
      <c r="O100" s="79">
        <f>'Standing charge factors'!O50</f>
        <v>0</v>
      </c>
      <c r="P100" s="79">
        <f>'Standing charge factors'!P50</f>
        <v>0</v>
      </c>
      <c r="Q100" s="79">
        <f>'Standing charge factors'!Q50</f>
        <v>0</v>
      </c>
      <c r="R100" s="79">
        <f>'Standing charge factors'!R50</f>
        <v>1</v>
      </c>
      <c r="S100" s="79">
        <f>'Standing charge factors'!S50</f>
        <v>0</v>
      </c>
      <c r="T100" s="79">
        <f>'Standing charge factors'!T50</f>
        <v>0</v>
      </c>
      <c r="U100" s="79">
        <f>'Standing charge factors'!U50</f>
        <v>0.2</v>
      </c>
      <c r="V100" s="79">
        <f>'Standing charge factors'!V50</f>
        <v>1</v>
      </c>
      <c r="W100" s="79">
        <f>'Standing charge factors'!W50</f>
        <v>1</v>
      </c>
      <c r="X100" s="79">
        <f>'Standing charge factors'!X50</f>
        <v>0</v>
      </c>
      <c r="Y100" s="79">
        <f>'Standing charge factors'!Y50</f>
        <v>0</v>
      </c>
      <c r="Z100" s="79">
        <f>'Standing charge factors'!Z50</f>
        <v>0</v>
      </c>
      <c r="AA100" s="79">
        <f>'Standing charge factors'!AA50</f>
        <v>0</v>
      </c>
      <c r="AB100" s="79">
        <f>'Standing charge factors'!AB50</f>
        <v>0</v>
      </c>
      <c r="AC100" s="79">
        <f>'Standing charge factors'!AC50</f>
        <v>0</v>
      </c>
      <c r="AD100" s="79">
        <f>'Standing charge factors'!AD50</f>
        <v>0</v>
      </c>
      <c r="AE100" s="79">
        <f>'Standing charge factors'!AE50</f>
        <v>0</v>
      </c>
      <c r="AF100" s="79">
        <f>'Standing charge factors'!AF50</f>
        <v>0</v>
      </c>
      <c r="AG100" s="79">
        <f>'Standing charge factors'!AG50</f>
        <v>0</v>
      </c>
      <c r="AH100" s="79">
        <f>'Standing charge factors'!AH50</f>
        <v>0</v>
      </c>
      <c r="AI100" s="79">
        <f>'Standing charge factors'!AI50</f>
        <v>0</v>
      </c>
      <c r="AJ100" s="79">
        <f>'Standing charge factors'!AJ50</f>
        <v>0</v>
      </c>
      <c r="AK100" s="79">
        <f>'Standing charge factors'!AK50</f>
        <v>0</v>
      </c>
      <c r="AL100" s="79">
        <f>'Standing charge factors'!AL50</f>
        <v>0</v>
      </c>
      <c r="AM100" s="79">
        <f>'Standing charge factors'!AM50</f>
        <v>0</v>
      </c>
      <c r="AN100" s="79">
        <f>'Standing charge factors'!AN50</f>
        <v>0</v>
      </c>
      <c r="AO100" s="79">
        <f>'Standing charge factors'!AO50</f>
        <v>0</v>
      </c>
      <c r="AP100" s="79">
        <f>'Standing charge factors'!AP50</f>
        <v>0</v>
      </c>
      <c r="BG100" s="136"/>
    </row>
    <row r="101" spans="3:59" s="131" customFormat="1" x14ac:dyDescent="0.25">
      <c r="C101" s="74"/>
      <c r="F101" s="139" t="s">
        <v>49</v>
      </c>
      <c r="G101" s="139" t="s">
        <v>111</v>
      </c>
      <c r="H101" s="142"/>
      <c r="I101" s="139"/>
      <c r="J101" s="79">
        <f>'Standing charge factors'!J51</f>
        <v>0</v>
      </c>
      <c r="K101" s="79">
        <f>'Standing charge factors'!K51</f>
        <v>0</v>
      </c>
      <c r="L101" s="79">
        <f>'Standing charge factors'!L51</f>
        <v>0</v>
      </c>
      <c r="M101" s="79">
        <f>'Standing charge factors'!M51</f>
        <v>0</v>
      </c>
      <c r="N101" s="79">
        <f>'Standing charge factors'!N51</f>
        <v>0</v>
      </c>
      <c r="O101" s="79">
        <f>'Standing charge factors'!O51</f>
        <v>0</v>
      </c>
      <c r="P101" s="79">
        <f>'Standing charge factors'!P51</f>
        <v>0</v>
      </c>
      <c r="Q101" s="79">
        <f>'Standing charge factors'!Q51</f>
        <v>1</v>
      </c>
      <c r="R101" s="79">
        <f>'Standing charge factors'!R51</f>
        <v>0</v>
      </c>
      <c r="S101" s="79">
        <f>'Standing charge factors'!S51</f>
        <v>0</v>
      </c>
      <c r="T101" s="79">
        <f>'Standing charge factors'!T51</f>
        <v>0</v>
      </c>
      <c r="U101" s="79">
        <f>'Standing charge factors'!U51</f>
        <v>1</v>
      </c>
      <c r="V101" s="79">
        <f>'Standing charge factors'!V51</f>
        <v>1</v>
      </c>
      <c r="W101" s="79">
        <f>'Standing charge factors'!W51</f>
        <v>0</v>
      </c>
      <c r="X101" s="79">
        <f>'Standing charge factors'!X51</f>
        <v>0</v>
      </c>
      <c r="Y101" s="79">
        <f>'Standing charge factors'!Y51</f>
        <v>0</v>
      </c>
      <c r="Z101" s="79">
        <f>'Standing charge factors'!Z51</f>
        <v>0</v>
      </c>
      <c r="AA101" s="79">
        <f>'Standing charge factors'!AA51</f>
        <v>0</v>
      </c>
      <c r="AB101" s="79">
        <f>'Standing charge factors'!AB51</f>
        <v>0</v>
      </c>
      <c r="AC101" s="79">
        <f>'Standing charge factors'!AC51</f>
        <v>0</v>
      </c>
      <c r="AD101" s="79">
        <f>'Standing charge factors'!AD51</f>
        <v>0</v>
      </c>
      <c r="AE101" s="79">
        <f>'Standing charge factors'!AE51</f>
        <v>0</v>
      </c>
      <c r="AF101" s="79">
        <f>'Standing charge factors'!AF51</f>
        <v>0</v>
      </c>
      <c r="AG101" s="79">
        <f>'Standing charge factors'!AG51</f>
        <v>0</v>
      </c>
      <c r="AH101" s="79">
        <f>'Standing charge factors'!AH51</f>
        <v>0</v>
      </c>
      <c r="AI101" s="79">
        <f>'Standing charge factors'!AI51</f>
        <v>0</v>
      </c>
      <c r="AJ101" s="79">
        <f>'Standing charge factors'!AJ51</f>
        <v>0</v>
      </c>
      <c r="AK101" s="79">
        <f>'Standing charge factors'!AK51</f>
        <v>0</v>
      </c>
      <c r="AL101" s="79">
        <f>'Standing charge factors'!AL51</f>
        <v>0</v>
      </c>
      <c r="AM101" s="79">
        <f>'Standing charge factors'!AM51</f>
        <v>0</v>
      </c>
      <c r="AN101" s="79">
        <f>'Standing charge factors'!AN51</f>
        <v>0</v>
      </c>
      <c r="AO101" s="79">
        <f>'Standing charge factors'!AO51</f>
        <v>0</v>
      </c>
      <c r="AP101" s="79">
        <f>'Standing charge factors'!AP51</f>
        <v>0</v>
      </c>
      <c r="BG101" s="136"/>
    </row>
    <row r="102" spans="3:59" s="131" customFormat="1" x14ac:dyDescent="0.25">
      <c r="C102" s="74"/>
      <c r="F102" s="140" t="s">
        <v>50</v>
      </c>
      <c r="G102" s="140" t="s">
        <v>111</v>
      </c>
      <c r="H102" s="20"/>
      <c r="I102" s="140"/>
      <c r="J102" s="80">
        <f>'Standing charge factors'!J52</f>
        <v>1</v>
      </c>
      <c r="K102" s="80">
        <f>'Standing charge factors'!K52</f>
        <v>1</v>
      </c>
      <c r="L102" s="80">
        <f>'Standing charge factors'!L52</f>
        <v>1</v>
      </c>
      <c r="M102" s="80">
        <f>'Standing charge factors'!M52</f>
        <v>1</v>
      </c>
      <c r="N102" s="80">
        <f>'Standing charge factors'!N52</f>
        <v>1</v>
      </c>
      <c r="O102" s="80">
        <f>'Standing charge factors'!O52</f>
        <v>1</v>
      </c>
      <c r="P102" s="80">
        <f>'Standing charge factors'!P52</f>
        <v>1</v>
      </c>
      <c r="Q102" s="80">
        <f>'Standing charge factors'!Q52</f>
        <v>0</v>
      </c>
      <c r="R102" s="80">
        <f>'Standing charge factors'!R52</f>
        <v>0</v>
      </c>
      <c r="S102" s="80">
        <f>'Standing charge factors'!S52</f>
        <v>1</v>
      </c>
      <c r="T102" s="80">
        <f>'Standing charge factors'!T52</f>
        <v>1</v>
      </c>
      <c r="U102" s="80">
        <f>'Standing charge factors'!U52</f>
        <v>1</v>
      </c>
      <c r="V102" s="80">
        <f>'Standing charge factors'!V52</f>
        <v>0</v>
      </c>
      <c r="W102" s="80">
        <f>'Standing charge factors'!W52</f>
        <v>0</v>
      </c>
      <c r="X102" s="80">
        <f>'Standing charge factors'!X52</f>
        <v>0</v>
      </c>
      <c r="Y102" s="80">
        <f>'Standing charge factors'!Y52</f>
        <v>0</v>
      </c>
      <c r="Z102" s="80">
        <f>'Standing charge factors'!Z52</f>
        <v>0</v>
      </c>
      <c r="AA102" s="80">
        <f>'Standing charge factors'!AA52</f>
        <v>0</v>
      </c>
      <c r="AB102" s="80">
        <f>'Standing charge factors'!AB52</f>
        <v>0</v>
      </c>
      <c r="AC102" s="80">
        <f>'Standing charge factors'!AC52</f>
        <v>0</v>
      </c>
      <c r="AD102" s="80">
        <f>'Standing charge factors'!AD52</f>
        <v>0</v>
      </c>
      <c r="AE102" s="80">
        <f>'Standing charge factors'!AE52</f>
        <v>0</v>
      </c>
      <c r="AF102" s="80">
        <f>'Standing charge factors'!AF52</f>
        <v>0</v>
      </c>
      <c r="AG102" s="80">
        <f>'Standing charge factors'!AG52</f>
        <v>0</v>
      </c>
      <c r="AH102" s="80">
        <f>'Standing charge factors'!AH52</f>
        <v>0</v>
      </c>
      <c r="AI102" s="80">
        <f>'Standing charge factors'!AI52</f>
        <v>0</v>
      </c>
      <c r="AJ102" s="80">
        <f>'Standing charge factors'!AJ52</f>
        <v>0</v>
      </c>
      <c r="AK102" s="80">
        <f>'Standing charge factors'!AK52</f>
        <v>0</v>
      </c>
      <c r="AL102" s="80">
        <f>'Standing charge factors'!AL52</f>
        <v>0</v>
      </c>
      <c r="AM102" s="80">
        <f>'Standing charge factors'!AM52</f>
        <v>0</v>
      </c>
      <c r="AN102" s="80">
        <f>'Standing charge factors'!AN52</f>
        <v>0</v>
      </c>
      <c r="AO102" s="80">
        <f>'Standing charge factors'!AO52</f>
        <v>0</v>
      </c>
      <c r="AP102" s="80">
        <f>'Standing charge factors'!AP52</f>
        <v>0</v>
      </c>
      <c r="BG102" s="136"/>
    </row>
    <row r="103" spans="3:59" s="131" customFormat="1" x14ac:dyDescent="0.25">
      <c r="C103" s="132"/>
      <c r="E103" s="147"/>
      <c r="F103" s="175"/>
    </row>
    <row r="104" spans="3:59" x14ac:dyDescent="0.25">
      <c r="E104" s="87" t="s">
        <v>171</v>
      </c>
      <c r="F104" s="160"/>
    </row>
    <row r="105" spans="3:59" x14ac:dyDescent="0.25">
      <c r="C105" s="89"/>
      <c r="E105" s="91"/>
      <c r="F105" s="72" t="s">
        <v>397</v>
      </c>
      <c r="G105" s="13" t="s">
        <v>111</v>
      </c>
      <c r="H105" s="69"/>
      <c r="I105" s="69"/>
      <c r="J105" s="185"/>
      <c r="K105" s="185"/>
      <c r="L105" s="185"/>
      <c r="M105" s="185"/>
      <c r="N105" s="185"/>
      <c r="O105" s="185"/>
      <c r="P105" s="185"/>
      <c r="Q105" s="185"/>
      <c r="R105" s="185"/>
      <c r="S105" s="185"/>
      <c r="T105" s="185"/>
      <c r="U105" s="185"/>
      <c r="V105" s="185"/>
      <c r="W105" s="185"/>
      <c r="X105" s="185"/>
      <c r="Y105" s="185"/>
      <c r="Z105" s="185"/>
      <c r="AA105" s="185"/>
      <c r="AB105" s="185"/>
      <c r="AC105" s="185"/>
      <c r="AD105" s="185"/>
      <c r="AE105" s="185"/>
      <c r="AF105" s="185"/>
      <c r="AG105" s="185"/>
      <c r="AH105" s="185"/>
      <c r="AI105" s="185"/>
      <c r="AJ105" s="185"/>
      <c r="AK105" s="185"/>
      <c r="AL105" s="185"/>
      <c r="AM105" s="185"/>
      <c r="AN105" s="185"/>
      <c r="AO105" s="185"/>
      <c r="AP105" s="185"/>
    </row>
    <row r="106" spans="3:59" x14ac:dyDescent="0.25">
      <c r="C106" s="89"/>
      <c r="E106" s="91"/>
      <c r="F106" s="66" t="s">
        <v>43</v>
      </c>
      <c r="G106" s="167" t="s">
        <v>111</v>
      </c>
      <c r="H106" s="255"/>
      <c r="I106" s="255"/>
      <c r="J106" s="178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8"/>
      <c r="W106" s="178"/>
      <c r="X106" s="178"/>
      <c r="Y106" s="178"/>
      <c r="Z106" s="178"/>
      <c r="AA106" s="178"/>
      <c r="AB106" s="178"/>
      <c r="AC106" s="178"/>
      <c r="AD106" s="178"/>
      <c r="AE106" s="178"/>
      <c r="AF106" s="178"/>
      <c r="AG106" s="178"/>
      <c r="AH106" s="178"/>
      <c r="AI106" s="178"/>
      <c r="AJ106" s="178"/>
      <c r="AK106" s="178"/>
      <c r="AL106" s="178"/>
      <c r="AM106" s="178"/>
      <c r="AN106" s="178"/>
      <c r="AO106" s="178"/>
      <c r="AP106" s="178"/>
    </row>
    <row r="107" spans="3:59" x14ac:dyDescent="0.25">
      <c r="C107" s="89"/>
      <c r="E107" s="91"/>
      <c r="F107" s="66" t="s">
        <v>44</v>
      </c>
      <c r="G107" s="90" t="s">
        <v>111</v>
      </c>
      <c r="H107" s="255"/>
      <c r="I107" s="255"/>
      <c r="J107" s="260">
        <f t="array" ref="J107:AP114">TRANSPOSE('Customer contributions'!L68:S100)</f>
        <v>0</v>
      </c>
      <c r="K107" s="260">
        <v>0</v>
      </c>
      <c r="L107" s="260">
        <v>0</v>
      </c>
      <c r="M107" s="260">
        <v>0</v>
      </c>
      <c r="N107" s="260">
        <v>0</v>
      </c>
      <c r="O107" s="260">
        <v>0</v>
      </c>
      <c r="P107" s="260">
        <v>0</v>
      </c>
      <c r="Q107" s="260">
        <v>0</v>
      </c>
      <c r="R107" s="260">
        <v>0</v>
      </c>
      <c r="S107" s="260">
        <v>0</v>
      </c>
      <c r="T107" s="260">
        <v>0</v>
      </c>
      <c r="U107" s="260">
        <v>0</v>
      </c>
      <c r="V107" s="260">
        <v>0</v>
      </c>
      <c r="W107" s="260">
        <v>0</v>
      </c>
      <c r="X107" s="260">
        <v>0</v>
      </c>
      <c r="Y107" s="260">
        <v>0</v>
      </c>
      <c r="Z107" s="260">
        <v>0</v>
      </c>
      <c r="AA107" s="260">
        <v>0</v>
      </c>
      <c r="AB107" s="260">
        <v>0</v>
      </c>
      <c r="AC107" s="260">
        <v>0</v>
      </c>
      <c r="AD107" s="260">
        <v>0</v>
      </c>
      <c r="AE107" s="260">
        <v>0</v>
      </c>
      <c r="AF107" s="260">
        <v>0</v>
      </c>
      <c r="AG107" s="260">
        <v>0</v>
      </c>
      <c r="AH107" s="260">
        <v>0</v>
      </c>
      <c r="AI107" s="260">
        <v>0</v>
      </c>
      <c r="AJ107" s="260">
        <v>0</v>
      </c>
      <c r="AK107" s="260">
        <v>0</v>
      </c>
      <c r="AL107" s="260">
        <v>0</v>
      </c>
      <c r="AM107" s="260">
        <v>0</v>
      </c>
      <c r="AN107" s="260">
        <v>0</v>
      </c>
      <c r="AO107" s="260">
        <v>0</v>
      </c>
      <c r="AP107" s="260">
        <v>0</v>
      </c>
    </row>
    <row r="108" spans="3:59" x14ac:dyDescent="0.25">
      <c r="C108" s="89"/>
      <c r="E108" s="91"/>
      <c r="F108" s="66" t="s">
        <v>45</v>
      </c>
      <c r="G108" s="90" t="s">
        <v>111</v>
      </c>
      <c r="H108" s="255"/>
      <c r="I108" s="255"/>
      <c r="J108" s="260">
        <v>0</v>
      </c>
      <c r="K108" s="260">
        <v>0</v>
      </c>
      <c r="L108" s="260">
        <v>0</v>
      </c>
      <c r="M108" s="260">
        <v>0</v>
      </c>
      <c r="N108" s="260">
        <v>0</v>
      </c>
      <c r="O108" s="260">
        <v>0</v>
      </c>
      <c r="P108" s="260">
        <v>0</v>
      </c>
      <c r="Q108" s="260">
        <v>0</v>
      </c>
      <c r="R108" s="260">
        <v>0</v>
      </c>
      <c r="S108" s="260">
        <v>0</v>
      </c>
      <c r="T108" s="260">
        <v>0</v>
      </c>
      <c r="U108" s="260">
        <v>0</v>
      </c>
      <c r="V108" s="260">
        <v>0</v>
      </c>
      <c r="W108" s="260">
        <v>0</v>
      </c>
      <c r="X108" s="260">
        <v>0</v>
      </c>
      <c r="Y108" s="260">
        <v>0</v>
      </c>
      <c r="Z108" s="260">
        <v>0</v>
      </c>
      <c r="AA108" s="260">
        <v>0</v>
      </c>
      <c r="AB108" s="260">
        <v>0</v>
      </c>
      <c r="AC108" s="260">
        <v>0</v>
      </c>
      <c r="AD108" s="260">
        <v>0</v>
      </c>
      <c r="AE108" s="260">
        <v>0</v>
      </c>
      <c r="AF108" s="260">
        <v>0</v>
      </c>
      <c r="AG108" s="260">
        <v>0</v>
      </c>
      <c r="AH108" s="260">
        <v>0</v>
      </c>
      <c r="AI108" s="260">
        <v>0</v>
      </c>
      <c r="AJ108" s="260">
        <v>0</v>
      </c>
      <c r="AK108" s="260">
        <v>0</v>
      </c>
      <c r="AL108" s="260">
        <v>0</v>
      </c>
      <c r="AM108" s="260">
        <v>0</v>
      </c>
      <c r="AN108" s="260">
        <v>0</v>
      </c>
      <c r="AO108" s="260">
        <v>0</v>
      </c>
      <c r="AP108" s="260">
        <v>0</v>
      </c>
    </row>
    <row r="109" spans="3:59" x14ac:dyDescent="0.25">
      <c r="C109" s="89"/>
      <c r="E109" s="91"/>
      <c r="F109" s="66" t="s">
        <v>46</v>
      </c>
      <c r="G109" s="90" t="s">
        <v>111</v>
      </c>
      <c r="H109" s="255"/>
      <c r="I109" s="255"/>
      <c r="J109" s="260">
        <v>1.2370413198693E-2</v>
      </c>
      <c r="K109" s="260">
        <v>1.2370413198693E-2</v>
      </c>
      <c r="L109" s="260">
        <v>1.2370413198693E-2</v>
      </c>
      <c r="M109" s="260">
        <v>1.2370413198693E-2</v>
      </c>
      <c r="N109" s="260">
        <v>1.2370413198693E-2</v>
      </c>
      <c r="O109" s="260">
        <v>1.2370413198693E-2</v>
      </c>
      <c r="P109" s="260">
        <v>1.2370413198693E-2</v>
      </c>
      <c r="Q109" s="260">
        <v>1.2370413198693E-2</v>
      </c>
      <c r="R109" s="260">
        <v>3.4530744799792602E-2</v>
      </c>
      <c r="S109" s="260">
        <v>1.2370413198693E-2</v>
      </c>
      <c r="T109" s="260">
        <v>1.2370413198693E-2</v>
      </c>
      <c r="U109" s="260">
        <v>1.2370413198693E-2</v>
      </c>
      <c r="V109" s="260">
        <v>1.2370413198693E-2</v>
      </c>
      <c r="W109" s="260">
        <v>3.4530744799792602E-2</v>
      </c>
      <c r="X109" s="260">
        <v>1.2370413198693E-2</v>
      </c>
      <c r="Y109" s="260">
        <v>1.2370413198693E-2</v>
      </c>
      <c r="Z109" s="260">
        <v>1.2370413198693E-2</v>
      </c>
      <c r="AA109" s="260">
        <v>1.2370413198693E-2</v>
      </c>
      <c r="AB109" s="260">
        <v>1.2370413198693E-2</v>
      </c>
      <c r="AC109" s="260">
        <v>1.2370413198693E-2</v>
      </c>
      <c r="AD109" s="260">
        <v>1.2370413198693E-2</v>
      </c>
      <c r="AE109" s="260">
        <v>1.2370413198693E-2</v>
      </c>
      <c r="AF109" s="260">
        <v>1.2370413198693E-2</v>
      </c>
      <c r="AG109" s="260">
        <v>1.2370413198693E-2</v>
      </c>
      <c r="AH109" s="260">
        <v>1.2370413198693E-2</v>
      </c>
      <c r="AI109" s="260">
        <v>1.2370413198693E-2</v>
      </c>
      <c r="AJ109" s="260">
        <v>1.2370413198693E-2</v>
      </c>
      <c r="AK109" s="260">
        <v>1.2370413198693E-2</v>
      </c>
      <c r="AL109" s="260">
        <v>1.2370413198693E-2</v>
      </c>
      <c r="AM109" s="260">
        <v>3.4530744799792602E-2</v>
      </c>
      <c r="AN109" s="260">
        <v>3.4530744799792602E-2</v>
      </c>
      <c r="AO109" s="260">
        <v>3.4530744799792602E-2</v>
      </c>
      <c r="AP109" s="260">
        <v>3.4530744799792602E-2</v>
      </c>
    </row>
    <row r="110" spans="3:59" x14ac:dyDescent="0.25">
      <c r="C110" s="89"/>
      <c r="E110" s="91"/>
      <c r="F110" s="66" t="s">
        <v>47</v>
      </c>
      <c r="G110" s="90" t="s">
        <v>111</v>
      </c>
      <c r="H110" s="255"/>
      <c r="I110" s="255"/>
      <c r="J110" s="260">
        <v>2.4400925983857801E-2</v>
      </c>
      <c r="K110" s="260">
        <v>2.4400925983857801E-2</v>
      </c>
      <c r="L110" s="260">
        <v>2.4400925983857801E-2</v>
      </c>
      <c r="M110" s="260">
        <v>2.4400925983857801E-2</v>
      </c>
      <c r="N110" s="260">
        <v>2.4400925983857801E-2</v>
      </c>
      <c r="O110" s="260">
        <v>2.4400925983857801E-2</v>
      </c>
      <c r="P110" s="260">
        <v>2.4400925983857801E-2</v>
      </c>
      <c r="Q110" s="260">
        <v>2.4400925983857801E-2</v>
      </c>
      <c r="R110" s="260">
        <v>6.6381013698021907E-2</v>
      </c>
      <c r="S110" s="260">
        <v>2.4400925983857801E-2</v>
      </c>
      <c r="T110" s="260">
        <v>2.4400925983857801E-2</v>
      </c>
      <c r="U110" s="260">
        <v>2.4400925983857801E-2</v>
      </c>
      <c r="V110" s="260">
        <v>2.4400925983857801E-2</v>
      </c>
      <c r="W110" s="260">
        <v>6.6381013698021907E-2</v>
      </c>
      <c r="X110" s="260">
        <v>2.4400925983857801E-2</v>
      </c>
      <c r="Y110" s="260">
        <v>2.4400925983857801E-2</v>
      </c>
      <c r="Z110" s="260">
        <v>2.4400925983857801E-2</v>
      </c>
      <c r="AA110" s="260">
        <v>2.4400925983857801E-2</v>
      </c>
      <c r="AB110" s="260">
        <v>2.4400925983857801E-2</v>
      </c>
      <c r="AC110" s="260">
        <v>2.4400925983857801E-2</v>
      </c>
      <c r="AD110" s="260">
        <v>2.4400925983857801E-2</v>
      </c>
      <c r="AE110" s="260">
        <v>2.4400925983857801E-2</v>
      </c>
      <c r="AF110" s="260">
        <v>2.4400925983857801E-2</v>
      </c>
      <c r="AG110" s="260">
        <v>2.4400925983857801E-2</v>
      </c>
      <c r="AH110" s="260">
        <v>2.4400925983857801E-2</v>
      </c>
      <c r="AI110" s="260">
        <v>2.4400925983857801E-2</v>
      </c>
      <c r="AJ110" s="260">
        <v>2.4400925983857801E-2</v>
      </c>
      <c r="AK110" s="260">
        <v>2.4400925983857801E-2</v>
      </c>
      <c r="AL110" s="260">
        <v>2.4400925983857801E-2</v>
      </c>
      <c r="AM110" s="260">
        <v>6.6381013698021907E-2</v>
      </c>
      <c r="AN110" s="260">
        <v>6.6381013698021907E-2</v>
      </c>
      <c r="AO110" s="260">
        <v>6.6381013698021907E-2</v>
      </c>
      <c r="AP110" s="260">
        <v>6.6381013698021907E-2</v>
      </c>
    </row>
    <row r="111" spans="3:59" x14ac:dyDescent="0.25">
      <c r="C111" s="89"/>
      <c r="E111" s="91"/>
      <c r="F111" s="66" t="s">
        <v>51</v>
      </c>
      <c r="G111" s="90" t="s">
        <v>111</v>
      </c>
      <c r="H111" s="255"/>
      <c r="I111" s="255"/>
      <c r="J111" s="260">
        <v>0</v>
      </c>
      <c r="K111" s="260">
        <v>0</v>
      </c>
      <c r="L111" s="260">
        <v>0</v>
      </c>
      <c r="M111" s="260">
        <v>0</v>
      </c>
      <c r="N111" s="260">
        <v>0</v>
      </c>
      <c r="O111" s="260">
        <v>0</v>
      </c>
      <c r="P111" s="260">
        <v>0</v>
      </c>
      <c r="Q111" s="260">
        <v>0</v>
      </c>
      <c r="R111" s="260">
        <v>0</v>
      </c>
      <c r="S111" s="260">
        <v>0</v>
      </c>
      <c r="T111" s="260">
        <v>0</v>
      </c>
      <c r="U111" s="260">
        <v>0</v>
      </c>
      <c r="V111" s="260">
        <v>0</v>
      </c>
      <c r="W111" s="260">
        <v>0</v>
      </c>
      <c r="X111" s="260">
        <v>0</v>
      </c>
      <c r="Y111" s="260">
        <v>0</v>
      </c>
      <c r="Z111" s="260">
        <v>0</v>
      </c>
      <c r="AA111" s="260">
        <v>0</v>
      </c>
      <c r="AB111" s="260">
        <v>0</v>
      </c>
      <c r="AC111" s="260">
        <v>0</v>
      </c>
      <c r="AD111" s="260">
        <v>0</v>
      </c>
      <c r="AE111" s="260">
        <v>0</v>
      </c>
      <c r="AF111" s="260">
        <v>0</v>
      </c>
      <c r="AG111" s="260">
        <v>0</v>
      </c>
      <c r="AH111" s="260">
        <v>0</v>
      </c>
      <c r="AI111" s="260">
        <v>0</v>
      </c>
      <c r="AJ111" s="260">
        <v>0</v>
      </c>
      <c r="AK111" s="260">
        <v>0</v>
      </c>
      <c r="AL111" s="260">
        <v>0</v>
      </c>
      <c r="AM111" s="260">
        <v>0</v>
      </c>
      <c r="AN111" s="260">
        <v>0</v>
      </c>
      <c r="AO111" s="260">
        <v>0</v>
      </c>
      <c r="AP111" s="260">
        <v>0</v>
      </c>
    </row>
    <row r="112" spans="3:59" x14ac:dyDescent="0.25">
      <c r="C112" s="89"/>
      <c r="E112" s="91"/>
      <c r="F112" s="66" t="s">
        <v>48</v>
      </c>
      <c r="G112" s="90" t="s">
        <v>111</v>
      </c>
      <c r="H112" s="255"/>
      <c r="I112" s="255"/>
      <c r="J112" s="260">
        <v>0.34379931777325301</v>
      </c>
      <c r="K112" s="260">
        <v>0.34379931777325301</v>
      </c>
      <c r="L112" s="260">
        <v>0.34379931777325301</v>
      </c>
      <c r="M112" s="260">
        <v>0.34379931777325301</v>
      </c>
      <c r="N112" s="260">
        <v>0.34379931777325301</v>
      </c>
      <c r="O112" s="260">
        <v>0.34379931777325301</v>
      </c>
      <c r="P112" s="260">
        <v>0.34379931777325301</v>
      </c>
      <c r="Q112" s="260">
        <v>0.34379931777325301</v>
      </c>
      <c r="R112" s="260">
        <v>0.38323267678152101</v>
      </c>
      <c r="S112" s="260">
        <v>0.34379931777325301</v>
      </c>
      <c r="T112" s="260">
        <v>0.34379931777325301</v>
      </c>
      <c r="U112" s="260">
        <v>0.34379931777325301</v>
      </c>
      <c r="V112" s="260">
        <v>0.34379931777325301</v>
      </c>
      <c r="W112" s="260">
        <v>0.38323267678152101</v>
      </c>
      <c r="X112" s="260">
        <v>0.34379931777325301</v>
      </c>
      <c r="Y112" s="260">
        <v>0.34379931777325301</v>
      </c>
      <c r="Z112" s="260">
        <v>0.34379931777325301</v>
      </c>
      <c r="AA112" s="260">
        <v>0.34379931777325301</v>
      </c>
      <c r="AB112" s="260">
        <v>0.34379931777325301</v>
      </c>
      <c r="AC112" s="260">
        <v>0.34379931777325301</v>
      </c>
      <c r="AD112" s="260">
        <v>0.34379931777325301</v>
      </c>
      <c r="AE112" s="260">
        <v>0.34379931777325301</v>
      </c>
      <c r="AF112" s="260">
        <v>0.34379931777325301</v>
      </c>
      <c r="AG112" s="260">
        <v>0.34379931777325301</v>
      </c>
      <c r="AH112" s="260">
        <v>0.34379931777325301</v>
      </c>
      <c r="AI112" s="260">
        <v>0.34379931777325301</v>
      </c>
      <c r="AJ112" s="260">
        <v>0.34379931777325301</v>
      </c>
      <c r="AK112" s="260">
        <v>0.34379931777325301</v>
      </c>
      <c r="AL112" s="260">
        <v>0.34379931777325301</v>
      </c>
      <c r="AM112" s="260">
        <v>0.38323267678152101</v>
      </c>
      <c r="AN112" s="260">
        <v>0.38323267678152101</v>
      </c>
      <c r="AO112" s="260">
        <v>0.38323267678152101</v>
      </c>
      <c r="AP112" s="260">
        <v>0.38323267678152101</v>
      </c>
    </row>
    <row r="113" spans="2:44" x14ac:dyDescent="0.25">
      <c r="C113" s="89"/>
      <c r="E113" s="91"/>
      <c r="F113" s="66" t="s">
        <v>49</v>
      </c>
      <c r="G113" s="90" t="s">
        <v>111</v>
      </c>
      <c r="H113" s="255"/>
      <c r="I113" s="255"/>
      <c r="J113" s="260">
        <v>0.42351973684210498</v>
      </c>
      <c r="K113" s="260">
        <v>0.42351973684210498</v>
      </c>
      <c r="L113" s="260">
        <v>0.42351973684210498</v>
      </c>
      <c r="M113" s="260">
        <v>0.42351973684210498</v>
      </c>
      <c r="N113" s="260">
        <v>0.42351973684210498</v>
      </c>
      <c r="O113" s="260">
        <v>0.42351973684210498</v>
      </c>
      <c r="P113" s="260">
        <v>0.42351973684210498</v>
      </c>
      <c r="Q113" s="260">
        <v>0.42351973684210498</v>
      </c>
      <c r="R113" s="260">
        <v>0</v>
      </c>
      <c r="S113" s="260">
        <v>0.42351973684210498</v>
      </c>
      <c r="T113" s="260">
        <v>0.42351973684210498</v>
      </c>
      <c r="U113" s="260">
        <v>0.42351973684210498</v>
      </c>
      <c r="V113" s="260">
        <v>0.42351973684210498</v>
      </c>
      <c r="W113" s="260">
        <v>0</v>
      </c>
      <c r="X113" s="260">
        <v>0.42351973684210498</v>
      </c>
      <c r="Y113" s="260">
        <v>0.42351973684210498</v>
      </c>
      <c r="Z113" s="260">
        <v>0.42351973684210498</v>
      </c>
      <c r="AA113" s="260">
        <v>0.42351973684210498</v>
      </c>
      <c r="AB113" s="260">
        <v>0.42351973684210498</v>
      </c>
      <c r="AC113" s="260">
        <v>0.42351973684210498</v>
      </c>
      <c r="AD113" s="260">
        <v>0.42351973684210498</v>
      </c>
      <c r="AE113" s="260">
        <v>0.42351973684210498</v>
      </c>
      <c r="AF113" s="260">
        <v>0.42351973684210498</v>
      </c>
      <c r="AG113" s="260">
        <v>0.42351973684210498</v>
      </c>
      <c r="AH113" s="260">
        <v>0.42351973684210498</v>
      </c>
      <c r="AI113" s="260">
        <v>0.42351973684210498</v>
      </c>
      <c r="AJ113" s="260">
        <v>0.42351973684210498</v>
      </c>
      <c r="AK113" s="260">
        <v>0.42351973684210498</v>
      </c>
      <c r="AL113" s="260">
        <v>0.42351973684210498</v>
      </c>
      <c r="AM113" s="260">
        <v>0</v>
      </c>
      <c r="AN113" s="260">
        <v>0</v>
      </c>
      <c r="AO113" s="260">
        <v>0</v>
      </c>
      <c r="AP113" s="260">
        <v>0</v>
      </c>
    </row>
    <row r="114" spans="2:44" x14ac:dyDescent="0.25">
      <c r="C114" s="89"/>
      <c r="E114" s="91"/>
      <c r="F114" s="66" t="s">
        <v>50</v>
      </c>
      <c r="G114" s="90" t="s">
        <v>111</v>
      </c>
      <c r="H114" s="255"/>
      <c r="I114" s="255"/>
      <c r="J114" s="260">
        <v>0.95595667870036105</v>
      </c>
      <c r="K114" s="260">
        <v>0.95595667870036105</v>
      </c>
      <c r="L114" s="260">
        <v>0.95595667870036105</v>
      </c>
      <c r="M114" s="260">
        <v>0.95595667870036105</v>
      </c>
      <c r="N114" s="260">
        <v>0.95595667870036105</v>
      </c>
      <c r="O114" s="260">
        <v>0.95595667870036105</v>
      </c>
      <c r="P114" s="260">
        <v>0.95595667870036105</v>
      </c>
      <c r="Q114" s="260">
        <v>0</v>
      </c>
      <c r="R114" s="260">
        <v>0</v>
      </c>
      <c r="S114" s="260">
        <v>0.95595667870036105</v>
      </c>
      <c r="T114" s="260">
        <v>0.95595667870036105</v>
      </c>
      <c r="U114" s="260">
        <v>0.95595667870036105</v>
      </c>
      <c r="V114" s="260">
        <v>0</v>
      </c>
      <c r="W114" s="260">
        <v>0</v>
      </c>
      <c r="X114" s="260">
        <v>0.95595667870036105</v>
      </c>
      <c r="Y114" s="260">
        <v>0.95595667870036105</v>
      </c>
      <c r="Z114" s="260">
        <v>0.95595667870036105</v>
      </c>
      <c r="AA114" s="260">
        <v>0.95595667870036105</v>
      </c>
      <c r="AB114" s="260">
        <v>0.95595667870036105</v>
      </c>
      <c r="AC114" s="260">
        <v>0.95595667870036105</v>
      </c>
      <c r="AD114" s="260">
        <v>0</v>
      </c>
      <c r="AE114" s="260">
        <v>0.95595667870036105</v>
      </c>
      <c r="AF114" s="260">
        <v>0.95595667870036105</v>
      </c>
      <c r="AG114" s="260">
        <v>0.95595667870036105</v>
      </c>
      <c r="AH114" s="260">
        <v>0.95595667870036105</v>
      </c>
      <c r="AI114" s="260">
        <v>0</v>
      </c>
      <c r="AJ114" s="260">
        <v>0</v>
      </c>
      <c r="AK114" s="260">
        <v>0</v>
      </c>
      <c r="AL114" s="260">
        <v>0</v>
      </c>
      <c r="AM114" s="260">
        <v>0</v>
      </c>
      <c r="AN114" s="260">
        <v>0</v>
      </c>
      <c r="AO114" s="260">
        <v>0</v>
      </c>
      <c r="AP114" s="260">
        <v>0</v>
      </c>
    </row>
    <row r="115" spans="2:44" x14ac:dyDescent="0.25">
      <c r="C115" s="89"/>
      <c r="E115" s="91"/>
      <c r="F115" s="66" t="s">
        <v>141</v>
      </c>
      <c r="G115" s="90" t="s">
        <v>111</v>
      </c>
      <c r="H115" s="167"/>
      <c r="I115" s="167"/>
      <c r="J115" s="178"/>
      <c r="K115" s="178"/>
      <c r="L115" s="178"/>
      <c r="M115" s="178"/>
      <c r="N115" s="178"/>
      <c r="O115" s="178"/>
      <c r="P115" s="178"/>
      <c r="Q115" s="178"/>
      <c r="R115" s="178"/>
      <c r="S115" s="178"/>
      <c r="T115" s="178"/>
      <c r="U115" s="178"/>
      <c r="V115" s="178"/>
      <c r="W115" s="178"/>
      <c r="X115" s="178"/>
      <c r="Y115" s="178"/>
      <c r="Z115" s="178"/>
      <c r="AA115" s="178"/>
      <c r="AB115" s="178"/>
      <c r="AC115" s="178"/>
      <c r="AD115" s="178"/>
      <c r="AE115" s="178"/>
      <c r="AF115" s="178"/>
      <c r="AG115" s="178"/>
      <c r="AH115" s="178"/>
      <c r="AI115" s="178"/>
      <c r="AJ115" s="178"/>
      <c r="AK115" s="178"/>
      <c r="AL115" s="178"/>
      <c r="AM115" s="178"/>
      <c r="AN115" s="178"/>
      <c r="AO115" s="178"/>
      <c r="AP115" s="178"/>
    </row>
    <row r="116" spans="2:44" x14ac:dyDescent="0.25">
      <c r="C116" s="89"/>
      <c r="E116" s="91"/>
      <c r="F116" s="67" t="s">
        <v>140</v>
      </c>
      <c r="G116" s="16" t="s">
        <v>111</v>
      </c>
      <c r="H116" s="168"/>
      <c r="I116" s="168"/>
      <c r="J116" s="179"/>
      <c r="K116" s="179"/>
      <c r="L116" s="179"/>
      <c r="M116" s="179"/>
      <c r="N116" s="179"/>
      <c r="O116" s="179"/>
      <c r="P116" s="179"/>
      <c r="Q116" s="179"/>
      <c r="R116" s="179"/>
      <c r="S116" s="179"/>
      <c r="T116" s="179"/>
      <c r="U116" s="179"/>
      <c r="V116" s="179"/>
      <c r="W116" s="179"/>
      <c r="X116" s="179"/>
      <c r="Y116" s="179"/>
      <c r="Z116" s="179"/>
      <c r="AA116" s="179"/>
      <c r="AB116" s="179"/>
      <c r="AC116" s="179"/>
      <c r="AD116" s="179"/>
      <c r="AE116" s="179"/>
      <c r="AF116" s="179"/>
      <c r="AG116" s="179"/>
      <c r="AH116" s="179"/>
      <c r="AI116" s="179"/>
      <c r="AJ116" s="179"/>
      <c r="AK116" s="179"/>
      <c r="AL116" s="179"/>
      <c r="AM116" s="179"/>
      <c r="AN116" s="179"/>
      <c r="AO116" s="179"/>
      <c r="AP116" s="179"/>
    </row>
    <row r="117" spans="2:44" s="131" customFormat="1" x14ac:dyDescent="0.25">
      <c r="C117" s="132"/>
      <c r="E117" s="147"/>
      <c r="F117" s="175"/>
    </row>
    <row r="118" spans="2:44" s="131" customFormat="1" x14ac:dyDescent="0.25">
      <c r="E118" s="144" t="s">
        <v>453</v>
      </c>
      <c r="F118" s="175"/>
      <c r="I118" s="131" t="s">
        <v>525</v>
      </c>
      <c r="AR118" s="160" t="s">
        <v>1095</v>
      </c>
    </row>
    <row r="119" spans="2:44" s="160" customFormat="1" x14ac:dyDescent="0.25">
      <c r="E119" s="152" t="s">
        <v>575</v>
      </c>
      <c r="F119" s="175"/>
    </row>
    <row r="120" spans="2:44" s="160" customFormat="1" x14ac:dyDescent="0.25">
      <c r="E120" s="152" t="s">
        <v>576</v>
      </c>
      <c r="F120" s="175"/>
    </row>
    <row r="121" spans="2:44" s="131" customFormat="1" x14ac:dyDescent="0.25">
      <c r="E121" s="147"/>
      <c r="F121" s="166" t="s">
        <v>454</v>
      </c>
      <c r="G121" s="166" t="s">
        <v>172</v>
      </c>
      <c r="H121" s="166"/>
      <c r="I121" s="166"/>
      <c r="J121" s="344">
        <f>'Fixed inputs'!J141</f>
        <v>0</v>
      </c>
      <c r="K121" s="344">
        <f>'Fixed inputs'!K141</f>
        <v>0</v>
      </c>
      <c r="L121" s="344">
        <f>'Fixed inputs'!L141</f>
        <v>0</v>
      </c>
      <c r="M121" s="344">
        <f>'Fixed inputs'!M141</f>
        <v>0</v>
      </c>
      <c r="N121" s="344">
        <f>'Fixed inputs'!N141</f>
        <v>0</v>
      </c>
      <c r="O121" s="344">
        <f>'Fixed inputs'!O141</f>
        <v>0</v>
      </c>
      <c r="P121" s="344">
        <f>'Fixed inputs'!P141</f>
        <v>0</v>
      </c>
      <c r="Q121" s="344">
        <f>'Fixed inputs'!Q141</f>
        <v>0</v>
      </c>
      <c r="R121" s="344">
        <f>'Fixed inputs'!R141</f>
        <v>0</v>
      </c>
      <c r="S121" s="344">
        <f>'Fixed inputs'!S141</f>
        <v>0</v>
      </c>
      <c r="T121" s="344">
        <f>'Fixed inputs'!T141</f>
        <v>0</v>
      </c>
      <c r="U121" s="344">
        <f>'Fixed inputs'!U141</f>
        <v>1</v>
      </c>
      <c r="V121" s="344">
        <f>'Fixed inputs'!V141</f>
        <v>1</v>
      </c>
      <c r="W121" s="344">
        <f>'Fixed inputs'!W141</f>
        <v>1</v>
      </c>
      <c r="X121" s="344">
        <f>'Fixed inputs'!X141</f>
        <v>0</v>
      </c>
      <c r="Y121" s="344">
        <f>'Fixed inputs'!Y141</f>
        <v>0</v>
      </c>
      <c r="Z121" s="344">
        <f>'Fixed inputs'!Z141</f>
        <v>0</v>
      </c>
      <c r="AA121" s="344">
        <f>'Fixed inputs'!AA141</f>
        <v>0</v>
      </c>
      <c r="AB121" s="344">
        <f>'Fixed inputs'!AB141</f>
        <v>0</v>
      </c>
      <c r="AC121" s="344">
        <f>'Fixed inputs'!AC141</f>
        <v>0</v>
      </c>
      <c r="AD121" s="344">
        <f>'Fixed inputs'!AD141</f>
        <v>0</v>
      </c>
      <c r="AE121" s="344">
        <f>'Fixed inputs'!AE141</f>
        <v>0</v>
      </c>
      <c r="AF121" s="344">
        <f>'Fixed inputs'!AF141</f>
        <v>0</v>
      </c>
      <c r="AG121" s="344">
        <f>'Fixed inputs'!AG141</f>
        <v>0</v>
      </c>
      <c r="AH121" s="344">
        <f>'Fixed inputs'!AH141</f>
        <v>0</v>
      </c>
      <c r="AI121" s="344">
        <f>'Fixed inputs'!AI141</f>
        <v>0</v>
      </c>
      <c r="AJ121" s="344">
        <f>'Fixed inputs'!AJ141</f>
        <v>0</v>
      </c>
      <c r="AK121" s="344">
        <f>'Fixed inputs'!AK141</f>
        <v>0</v>
      </c>
      <c r="AL121" s="344">
        <f>'Fixed inputs'!AL141</f>
        <v>0</v>
      </c>
      <c r="AM121" s="344">
        <f>'Fixed inputs'!AM141</f>
        <v>0</v>
      </c>
      <c r="AN121" s="344">
        <f>'Fixed inputs'!AN141</f>
        <v>0</v>
      </c>
      <c r="AO121" s="344">
        <f>'Fixed inputs'!AO141</f>
        <v>0</v>
      </c>
      <c r="AP121" s="344">
        <f>'Fixed inputs'!AP141</f>
        <v>0</v>
      </c>
      <c r="AR121" s="160"/>
    </row>
    <row r="122" spans="2:44" s="131" customFormat="1" x14ac:dyDescent="0.25">
      <c r="E122" s="147"/>
      <c r="F122" s="339" t="s">
        <v>455</v>
      </c>
      <c r="G122" s="339" t="s">
        <v>172</v>
      </c>
      <c r="H122" s="339"/>
      <c r="I122" s="339"/>
      <c r="J122" s="156">
        <f>'Fixed inputs'!J142</f>
        <v>0</v>
      </c>
      <c r="K122" s="156">
        <f>'Fixed inputs'!K142</f>
        <v>0</v>
      </c>
      <c r="L122" s="156">
        <f>'Fixed inputs'!L142</f>
        <v>0</v>
      </c>
      <c r="M122" s="156">
        <f>'Fixed inputs'!M142</f>
        <v>0</v>
      </c>
      <c r="N122" s="156">
        <f>'Fixed inputs'!N142</f>
        <v>0</v>
      </c>
      <c r="O122" s="156">
        <f>'Fixed inputs'!O142</f>
        <v>0</v>
      </c>
      <c r="P122" s="156">
        <f>'Fixed inputs'!P142</f>
        <v>0</v>
      </c>
      <c r="Q122" s="156">
        <f>'Fixed inputs'!Q142</f>
        <v>0</v>
      </c>
      <c r="R122" s="156">
        <f>'Fixed inputs'!R142</f>
        <v>0</v>
      </c>
      <c r="S122" s="156">
        <f>'Fixed inputs'!S142</f>
        <v>0</v>
      </c>
      <c r="T122" s="156">
        <f>'Fixed inputs'!T142</f>
        <v>0</v>
      </c>
      <c r="U122" s="156">
        <f>'Fixed inputs'!U142</f>
        <v>1</v>
      </c>
      <c r="V122" s="156">
        <f>'Fixed inputs'!V142</f>
        <v>1</v>
      </c>
      <c r="W122" s="156">
        <f>'Fixed inputs'!W142</f>
        <v>1</v>
      </c>
      <c r="X122" s="156">
        <f>'Fixed inputs'!X142</f>
        <v>0</v>
      </c>
      <c r="Y122" s="156">
        <f>'Fixed inputs'!Y142</f>
        <v>0</v>
      </c>
      <c r="Z122" s="156">
        <f>'Fixed inputs'!Z142</f>
        <v>0</v>
      </c>
      <c r="AA122" s="156">
        <f>'Fixed inputs'!AA142</f>
        <v>0</v>
      </c>
      <c r="AB122" s="156">
        <f>'Fixed inputs'!AB142</f>
        <v>0</v>
      </c>
      <c r="AC122" s="156">
        <f>'Fixed inputs'!AC142</f>
        <v>0</v>
      </c>
      <c r="AD122" s="156">
        <f>'Fixed inputs'!AD142</f>
        <v>0</v>
      </c>
      <c r="AE122" s="156">
        <f>'Fixed inputs'!AE142</f>
        <v>0</v>
      </c>
      <c r="AF122" s="156">
        <f>'Fixed inputs'!AF142</f>
        <v>0</v>
      </c>
      <c r="AG122" s="156">
        <f>'Fixed inputs'!AG142</f>
        <v>0</v>
      </c>
      <c r="AH122" s="156">
        <f>'Fixed inputs'!AH142</f>
        <v>0</v>
      </c>
      <c r="AI122" s="156">
        <f>'Fixed inputs'!AI142</f>
        <v>0</v>
      </c>
      <c r="AJ122" s="156">
        <f>'Fixed inputs'!AJ142</f>
        <v>0</v>
      </c>
      <c r="AK122" s="156">
        <f>'Fixed inputs'!AK142</f>
        <v>0</v>
      </c>
      <c r="AL122" s="156">
        <f>'Fixed inputs'!AL142</f>
        <v>0</v>
      </c>
      <c r="AM122" s="156">
        <f>'Fixed inputs'!AM142</f>
        <v>0</v>
      </c>
      <c r="AN122" s="156">
        <f>'Fixed inputs'!AN142</f>
        <v>0</v>
      </c>
      <c r="AO122" s="156">
        <f>'Fixed inputs'!AO142</f>
        <v>0</v>
      </c>
      <c r="AP122" s="156">
        <f>'Fixed inputs'!AP142</f>
        <v>0</v>
      </c>
      <c r="AR122" s="160"/>
    </row>
    <row r="123" spans="2:44" s="131" customFormat="1" x14ac:dyDescent="0.25">
      <c r="E123" s="147"/>
      <c r="F123" s="168" t="s">
        <v>456</v>
      </c>
      <c r="G123" s="168" t="s">
        <v>172</v>
      </c>
      <c r="H123" s="168"/>
      <c r="I123" s="168"/>
      <c r="J123" s="343">
        <f>'Fixed inputs'!J144</f>
        <v>1</v>
      </c>
      <c r="K123" s="343">
        <f>'Fixed inputs'!K144</f>
        <v>1</v>
      </c>
      <c r="L123" s="343">
        <f>'Fixed inputs'!L144</f>
        <v>0</v>
      </c>
      <c r="M123" s="343">
        <f>'Fixed inputs'!M144</f>
        <v>1</v>
      </c>
      <c r="N123" s="343">
        <f>'Fixed inputs'!N144</f>
        <v>1</v>
      </c>
      <c r="O123" s="343">
        <f>'Fixed inputs'!O144</f>
        <v>0</v>
      </c>
      <c r="P123" s="343">
        <f>'Fixed inputs'!P144</f>
        <v>1</v>
      </c>
      <c r="Q123" s="343">
        <f>'Fixed inputs'!Q144</f>
        <v>1</v>
      </c>
      <c r="R123" s="343">
        <f>'Fixed inputs'!R144</f>
        <v>1</v>
      </c>
      <c r="S123" s="343">
        <f>'Fixed inputs'!S144</f>
        <v>1</v>
      </c>
      <c r="T123" s="343">
        <f>'Fixed inputs'!T144</f>
        <v>1</v>
      </c>
      <c r="U123" s="343">
        <f>'Fixed inputs'!U144</f>
        <v>0</v>
      </c>
      <c r="V123" s="343">
        <f>'Fixed inputs'!V144</f>
        <v>0</v>
      </c>
      <c r="W123" s="343">
        <f>'Fixed inputs'!W144</f>
        <v>0</v>
      </c>
      <c r="X123" s="343">
        <f>'Fixed inputs'!X144</f>
        <v>0</v>
      </c>
      <c r="Y123" s="343">
        <f>'Fixed inputs'!Y144</f>
        <v>0</v>
      </c>
      <c r="Z123" s="343">
        <f>'Fixed inputs'!Z144</f>
        <v>0</v>
      </c>
      <c r="AA123" s="343">
        <f>'Fixed inputs'!AA144</f>
        <v>0</v>
      </c>
      <c r="AB123" s="343">
        <f>'Fixed inputs'!AB144</f>
        <v>0</v>
      </c>
      <c r="AC123" s="343">
        <f>'Fixed inputs'!AC144</f>
        <v>0</v>
      </c>
      <c r="AD123" s="343">
        <f>'Fixed inputs'!AD144</f>
        <v>0</v>
      </c>
      <c r="AE123" s="343">
        <f>'Fixed inputs'!AE144</f>
        <v>0</v>
      </c>
      <c r="AF123" s="343">
        <f>'Fixed inputs'!AF144</f>
        <v>0</v>
      </c>
      <c r="AG123" s="343">
        <f>'Fixed inputs'!AG144</f>
        <v>0</v>
      </c>
      <c r="AH123" s="343">
        <f>'Fixed inputs'!AH144</f>
        <v>0</v>
      </c>
      <c r="AI123" s="343">
        <f>'Fixed inputs'!AI144</f>
        <v>0</v>
      </c>
      <c r="AJ123" s="343">
        <f>'Fixed inputs'!AJ144</f>
        <v>0</v>
      </c>
      <c r="AK123" s="343">
        <f>'Fixed inputs'!AK144</f>
        <v>0</v>
      </c>
      <c r="AL123" s="343">
        <f>'Fixed inputs'!AL144</f>
        <v>0</v>
      </c>
      <c r="AM123" s="343">
        <f>'Fixed inputs'!AM144</f>
        <v>0</v>
      </c>
      <c r="AN123" s="343">
        <f>'Fixed inputs'!AN144</f>
        <v>0</v>
      </c>
      <c r="AO123" s="343">
        <f>'Fixed inputs'!AO144</f>
        <v>0</v>
      </c>
      <c r="AP123" s="343">
        <f>'Fixed inputs'!AP144</f>
        <v>0</v>
      </c>
      <c r="AR123" s="160"/>
    </row>
    <row r="124" spans="2:44" x14ac:dyDescent="0.25">
      <c r="C124" s="89"/>
    </row>
    <row r="125" spans="2:44" x14ac:dyDescent="0.25">
      <c r="B125" s="171" t="s">
        <v>577</v>
      </c>
      <c r="C125" s="171"/>
      <c r="D125" s="171"/>
      <c r="E125" s="171"/>
      <c r="F125" s="171"/>
      <c r="G125" s="171"/>
      <c r="H125" s="171"/>
      <c r="I125" s="171"/>
      <c r="J125" s="171"/>
      <c r="K125" s="171"/>
      <c r="L125" s="171"/>
      <c r="M125" s="171"/>
      <c r="N125" s="171"/>
      <c r="O125" s="171"/>
      <c r="P125" s="171"/>
      <c r="Q125" s="171"/>
      <c r="R125" s="171"/>
      <c r="S125" s="171"/>
      <c r="T125" s="171"/>
      <c r="U125" s="171"/>
      <c r="V125" s="171"/>
      <c r="W125" s="171"/>
      <c r="X125" s="171"/>
      <c r="Y125" s="171"/>
      <c r="Z125" s="171"/>
      <c r="AA125" s="171"/>
      <c r="AB125" s="171"/>
      <c r="AC125" s="171"/>
      <c r="AD125" s="171"/>
      <c r="AE125" s="171"/>
      <c r="AF125" s="171"/>
      <c r="AG125" s="171"/>
      <c r="AH125" s="171"/>
      <c r="AI125" s="171"/>
      <c r="AJ125" s="171"/>
      <c r="AK125" s="171"/>
      <c r="AL125" s="171"/>
      <c r="AM125" s="171"/>
      <c r="AN125" s="171"/>
      <c r="AO125" s="171"/>
      <c r="AP125" s="171"/>
      <c r="AQ125" s="171"/>
      <c r="AR125" s="171"/>
    </row>
    <row r="126" spans="2:44" s="160" customFormat="1" x14ac:dyDescent="0.25">
      <c r="C126" s="161"/>
      <c r="D126" s="175"/>
      <c r="E126" s="175"/>
    </row>
    <row r="127" spans="2:44" x14ac:dyDescent="0.25">
      <c r="B127" s="124"/>
      <c r="C127" s="152" t="s">
        <v>992</v>
      </c>
      <c r="D127" s="88"/>
      <c r="E127" s="160"/>
    </row>
    <row r="128" spans="2:44" x14ac:dyDescent="0.25">
      <c r="C128" s="89"/>
    </row>
    <row r="129" spans="3:44" s="131" customFormat="1" x14ac:dyDescent="0.25">
      <c r="C129" s="22" t="str">
        <f ca="1">INDEX('Version control'!$H$34:$H$59,MATCH($A$1,'Version control'!$F$34:$F$59,0),1)&amp;"-B: Capacity-based charge elements (to be split between capacity &amp; fixed charges)"</f>
        <v>Section 516-B: Capacity-based charge elements (to be split between capacity &amp; fixed charges)</v>
      </c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</row>
    <row r="130" spans="3:44" s="131" customFormat="1" x14ac:dyDescent="0.25">
      <c r="D130" s="147"/>
      <c r="E130" s="175"/>
    </row>
    <row r="131" spans="3:44" x14ac:dyDescent="0.25">
      <c r="C131" s="89"/>
      <c r="E131" s="172" t="s">
        <v>156</v>
      </c>
      <c r="I131" s="88" t="s">
        <v>525</v>
      </c>
      <c r="AR131" s="88" t="s">
        <v>993</v>
      </c>
    </row>
    <row r="132" spans="3:44" x14ac:dyDescent="0.25">
      <c r="C132" s="89"/>
      <c r="F132" s="72" t="s">
        <v>397</v>
      </c>
      <c r="G132" s="13" t="s">
        <v>381</v>
      </c>
      <c r="H132" s="13"/>
      <c r="I132" s="13"/>
      <c r="J132" s="402"/>
      <c r="K132" s="402"/>
      <c r="L132" s="402"/>
      <c r="M132" s="402"/>
      <c r="N132" s="402"/>
      <c r="O132" s="402"/>
      <c r="P132" s="402"/>
      <c r="Q132" s="402"/>
      <c r="R132" s="402"/>
      <c r="S132" s="402"/>
      <c r="T132" s="402"/>
      <c r="U132" s="402"/>
      <c r="V132" s="402"/>
      <c r="W132" s="402"/>
      <c r="X132" s="402"/>
      <c r="Y132" s="402"/>
      <c r="Z132" s="402"/>
      <c r="AA132" s="402"/>
      <c r="AB132" s="402"/>
      <c r="AC132" s="402"/>
      <c r="AD132" s="402"/>
      <c r="AE132" s="402"/>
      <c r="AF132" s="402"/>
      <c r="AG132" s="402"/>
      <c r="AH132" s="402"/>
      <c r="AI132" s="402"/>
      <c r="AJ132" s="402"/>
      <c r="AK132" s="402"/>
      <c r="AL132" s="402"/>
      <c r="AM132" s="402"/>
      <c r="AN132" s="402"/>
      <c r="AO132" s="402"/>
      <c r="AP132" s="402"/>
    </row>
    <row r="133" spans="3:44" x14ac:dyDescent="0.25">
      <c r="C133" s="89"/>
      <c r="F133" s="66" t="s">
        <v>43</v>
      </c>
      <c r="G133" s="90" t="s">
        <v>381</v>
      </c>
      <c r="H133" s="90"/>
      <c r="I133" s="90"/>
      <c r="J133" s="403"/>
      <c r="K133" s="403"/>
      <c r="L133" s="403"/>
      <c r="M133" s="403"/>
      <c r="N133" s="403"/>
      <c r="O133" s="403"/>
      <c r="P133" s="403"/>
      <c r="Q133" s="403"/>
      <c r="R133" s="403"/>
      <c r="S133" s="403"/>
      <c r="T133" s="403"/>
      <c r="U133" s="403"/>
      <c r="V133" s="403"/>
      <c r="W133" s="403"/>
      <c r="X133" s="403"/>
      <c r="Y133" s="403"/>
      <c r="Z133" s="403"/>
      <c r="AA133" s="403"/>
      <c r="AB133" s="403"/>
      <c r="AC133" s="403"/>
      <c r="AD133" s="403"/>
      <c r="AE133" s="403"/>
      <c r="AF133" s="403"/>
      <c r="AG133" s="403"/>
      <c r="AH133" s="403"/>
      <c r="AI133" s="403"/>
      <c r="AJ133" s="403"/>
      <c r="AK133" s="403"/>
      <c r="AL133" s="403"/>
      <c r="AM133" s="403"/>
      <c r="AN133" s="403"/>
      <c r="AO133" s="403"/>
      <c r="AP133" s="403"/>
    </row>
    <row r="134" spans="3:44" x14ac:dyDescent="0.25">
      <c r="C134" s="89"/>
      <c r="F134" s="66" t="s">
        <v>44</v>
      </c>
      <c r="G134" s="90" t="s">
        <v>381</v>
      </c>
      <c r="H134" s="90"/>
      <c r="I134" s="90"/>
      <c r="J134" s="428">
        <f t="shared" ref="J134:AB134" si="0">hundred*J95*$H53*J82/$H39*(1-J107)/days_in_year/(1+$H25)*PowerFactor</f>
        <v>0</v>
      </c>
      <c r="K134" s="428">
        <f t="shared" si="0"/>
        <v>0</v>
      </c>
      <c r="L134" s="428">
        <f t="shared" si="0"/>
        <v>0</v>
      </c>
      <c r="M134" s="428">
        <f t="shared" si="0"/>
        <v>0</v>
      </c>
      <c r="N134" s="428">
        <f t="shared" si="0"/>
        <v>0</v>
      </c>
      <c r="O134" s="428">
        <f t="shared" si="0"/>
        <v>0</v>
      </c>
      <c r="P134" s="428">
        <f t="shared" si="0"/>
        <v>0</v>
      </c>
      <c r="Q134" s="428">
        <f t="shared" si="0"/>
        <v>0</v>
      </c>
      <c r="R134" s="428">
        <f t="shared" si="0"/>
        <v>0</v>
      </c>
      <c r="S134" s="428">
        <f t="shared" si="0"/>
        <v>0</v>
      </c>
      <c r="T134" s="428">
        <f t="shared" si="0"/>
        <v>0</v>
      </c>
      <c r="U134" s="428">
        <f t="shared" si="0"/>
        <v>0</v>
      </c>
      <c r="V134" s="428">
        <f t="shared" si="0"/>
        <v>0</v>
      </c>
      <c r="W134" s="428">
        <f t="shared" si="0"/>
        <v>0</v>
      </c>
      <c r="X134" s="428">
        <f t="shared" si="0"/>
        <v>0</v>
      </c>
      <c r="Y134" s="428">
        <f t="shared" si="0"/>
        <v>0</v>
      </c>
      <c r="Z134" s="428">
        <f t="shared" si="0"/>
        <v>0</v>
      </c>
      <c r="AA134" s="428">
        <f t="shared" si="0"/>
        <v>0</v>
      </c>
      <c r="AB134" s="428">
        <f t="shared" si="0"/>
        <v>0</v>
      </c>
      <c r="AC134" s="403"/>
      <c r="AD134" s="403"/>
      <c r="AE134" s="403"/>
      <c r="AF134" s="403"/>
      <c r="AG134" s="403"/>
      <c r="AH134" s="403"/>
      <c r="AI134" s="403"/>
      <c r="AJ134" s="403"/>
      <c r="AK134" s="403"/>
      <c r="AL134" s="403"/>
      <c r="AM134" s="403"/>
      <c r="AN134" s="403"/>
      <c r="AO134" s="403"/>
      <c r="AP134" s="403"/>
    </row>
    <row r="135" spans="3:44" x14ac:dyDescent="0.25">
      <c r="C135" s="89"/>
      <c r="F135" s="66" t="s">
        <v>45</v>
      </c>
      <c r="G135" s="90" t="s">
        <v>381</v>
      </c>
      <c r="H135" s="90"/>
      <c r="I135" s="90"/>
      <c r="J135" s="428">
        <f t="shared" ref="J135:AB135" si="1">hundred*J96*$H54*J83/$H40*(1-J108)/days_in_year/(1+$H26)*PowerFactor</f>
        <v>0</v>
      </c>
      <c r="K135" s="428">
        <f t="shared" si="1"/>
        <v>0</v>
      </c>
      <c r="L135" s="428">
        <f t="shared" si="1"/>
        <v>0</v>
      </c>
      <c r="M135" s="428">
        <f t="shared" si="1"/>
        <v>0</v>
      </c>
      <c r="N135" s="428">
        <f t="shared" si="1"/>
        <v>0</v>
      </c>
      <c r="O135" s="428">
        <f t="shared" si="1"/>
        <v>0</v>
      </c>
      <c r="P135" s="428">
        <f t="shared" si="1"/>
        <v>0</v>
      </c>
      <c r="Q135" s="428">
        <f t="shared" si="1"/>
        <v>0</v>
      </c>
      <c r="R135" s="428">
        <f t="shared" si="1"/>
        <v>0</v>
      </c>
      <c r="S135" s="428">
        <f t="shared" si="1"/>
        <v>0</v>
      </c>
      <c r="T135" s="428">
        <f t="shared" si="1"/>
        <v>0</v>
      </c>
      <c r="U135" s="428">
        <f t="shared" si="1"/>
        <v>0</v>
      </c>
      <c r="V135" s="428">
        <f t="shared" si="1"/>
        <v>0</v>
      </c>
      <c r="W135" s="428">
        <f t="shared" si="1"/>
        <v>0</v>
      </c>
      <c r="X135" s="428">
        <f t="shared" si="1"/>
        <v>0</v>
      </c>
      <c r="Y135" s="428">
        <f t="shared" si="1"/>
        <v>0</v>
      </c>
      <c r="Z135" s="428">
        <f t="shared" si="1"/>
        <v>0</v>
      </c>
      <c r="AA135" s="428">
        <f t="shared" si="1"/>
        <v>0</v>
      </c>
      <c r="AB135" s="428">
        <f t="shared" si="1"/>
        <v>0</v>
      </c>
      <c r="AC135" s="403"/>
      <c r="AD135" s="403"/>
      <c r="AE135" s="403"/>
      <c r="AF135" s="403"/>
      <c r="AG135" s="403"/>
      <c r="AH135" s="403"/>
      <c r="AI135" s="403"/>
      <c r="AJ135" s="403"/>
      <c r="AK135" s="403"/>
      <c r="AL135" s="403"/>
      <c r="AM135" s="403"/>
      <c r="AN135" s="403"/>
      <c r="AO135" s="403"/>
      <c r="AP135" s="403"/>
    </row>
    <row r="136" spans="3:44" x14ac:dyDescent="0.25">
      <c r="C136" s="89"/>
      <c r="F136" s="66" t="s">
        <v>46</v>
      </c>
      <c r="G136" s="90" t="s">
        <v>381</v>
      </c>
      <c r="H136" s="90"/>
      <c r="I136" s="90"/>
      <c r="J136" s="428">
        <f t="shared" ref="J136:AB136" si="2">hundred*J97*$H55*J84/$H41*(1-J109)/days_in_year/(1+$H27)*PowerFactor</f>
        <v>0</v>
      </c>
      <c r="K136" s="428">
        <f t="shared" si="2"/>
        <v>0</v>
      </c>
      <c r="L136" s="428">
        <f t="shared" si="2"/>
        <v>0</v>
      </c>
      <c r="M136" s="428">
        <f t="shared" si="2"/>
        <v>0</v>
      </c>
      <c r="N136" s="428">
        <f t="shared" si="2"/>
        <v>0</v>
      </c>
      <c r="O136" s="428">
        <f t="shared" si="2"/>
        <v>0</v>
      </c>
      <c r="P136" s="428">
        <f t="shared" si="2"/>
        <v>0</v>
      </c>
      <c r="Q136" s="428">
        <f t="shared" si="2"/>
        <v>0</v>
      </c>
      <c r="R136" s="428">
        <f t="shared" si="2"/>
        <v>0.32399634837950669</v>
      </c>
      <c r="S136" s="428">
        <f t="shared" si="2"/>
        <v>0</v>
      </c>
      <c r="T136" s="428">
        <f t="shared" si="2"/>
        <v>0</v>
      </c>
      <c r="U136" s="428">
        <f t="shared" si="2"/>
        <v>0</v>
      </c>
      <c r="V136" s="428">
        <f t="shared" si="2"/>
        <v>0</v>
      </c>
      <c r="W136" s="428">
        <f t="shared" si="2"/>
        <v>0.32399634837950669</v>
      </c>
      <c r="X136" s="428">
        <f t="shared" si="2"/>
        <v>0</v>
      </c>
      <c r="Y136" s="428">
        <f t="shared" si="2"/>
        <v>0</v>
      </c>
      <c r="Z136" s="428">
        <f t="shared" si="2"/>
        <v>0</v>
      </c>
      <c r="AA136" s="428">
        <f t="shared" si="2"/>
        <v>0</v>
      </c>
      <c r="AB136" s="428">
        <f t="shared" si="2"/>
        <v>0</v>
      </c>
      <c r="AC136" s="403"/>
      <c r="AD136" s="403"/>
      <c r="AE136" s="403"/>
      <c r="AF136" s="403"/>
      <c r="AG136" s="403"/>
      <c r="AH136" s="403"/>
      <c r="AI136" s="403"/>
      <c r="AJ136" s="403"/>
      <c r="AK136" s="403"/>
      <c r="AL136" s="403"/>
      <c r="AM136" s="403"/>
      <c r="AN136" s="403"/>
      <c r="AO136" s="403"/>
      <c r="AP136" s="403"/>
    </row>
    <row r="137" spans="3:44" x14ac:dyDescent="0.25">
      <c r="C137" s="89"/>
      <c r="F137" s="66" t="s">
        <v>47</v>
      </c>
      <c r="G137" s="90" t="s">
        <v>381</v>
      </c>
      <c r="H137" s="90"/>
      <c r="I137" s="90"/>
      <c r="J137" s="428">
        <f t="shared" ref="J137:AB137" si="3">hundred*J98*$H56*J85/$H42*(1-J110)/days_in_year/(1+$H28)*PowerFactor</f>
        <v>0</v>
      </c>
      <c r="K137" s="428">
        <f t="shared" si="3"/>
        <v>0</v>
      </c>
      <c r="L137" s="428">
        <f t="shared" si="3"/>
        <v>0</v>
      </c>
      <c r="M137" s="428">
        <f t="shared" si="3"/>
        <v>0</v>
      </c>
      <c r="N137" s="428">
        <f t="shared" si="3"/>
        <v>0</v>
      </c>
      <c r="O137" s="428">
        <f t="shared" si="3"/>
        <v>0</v>
      </c>
      <c r="P137" s="428">
        <f t="shared" si="3"/>
        <v>0</v>
      </c>
      <c r="Q137" s="428">
        <f t="shared" si="3"/>
        <v>0</v>
      </c>
      <c r="R137" s="428">
        <f t="shared" si="3"/>
        <v>1.1932071832736304</v>
      </c>
      <c r="S137" s="428">
        <f t="shared" si="3"/>
        <v>0</v>
      </c>
      <c r="T137" s="428">
        <f t="shared" si="3"/>
        <v>0</v>
      </c>
      <c r="U137" s="428">
        <f t="shared" si="3"/>
        <v>0</v>
      </c>
      <c r="V137" s="428">
        <f t="shared" si="3"/>
        <v>0</v>
      </c>
      <c r="W137" s="428">
        <f t="shared" si="3"/>
        <v>1.1932071832736304</v>
      </c>
      <c r="X137" s="428">
        <f t="shared" si="3"/>
        <v>0</v>
      </c>
      <c r="Y137" s="428">
        <f t="shared" si="3"/>
        <v>0</v>
      </c>
      <c r="Z137" s="428">
        <f t="shared" si="3"/>
        <v>0</v>
      </c>
      <c r="AA137" s="428">
        <f t="shared" si="3"/>
        <v>0</v>
      </c>
      <c r="AB137" s="428">
        <f t="shared" si="3"/>
        <v>0</v>
      </c>
      <c r="AC137" s="403"/>
      <c r="AD137" s="403"/>
      <c r="AE137" s="403"/>
      <c r="AF137" s="403"/>
      <c r="AG137" s="403"/>
      <c r="AH137" s="403"/>
      <c r="AI137" s="403"/>
      <c r="AJ137" s="403"/>
      <c r="AK137" s="403"/>
      <c r="AL137" s="403"/>
      <c r="AM137" s="403"/>
      <c r="AN137" s="403"/>
      <c r="AO137" s="403"/>
      <c r="AP137" s="403"/>
    </row>
    <row r="138" spans="3:44" x14ac:dyDescent="0.25">
      <c r="C138" s="89"/>
      <c r="F138" s="66" t="s">
        <v>51</v>
      </c>
      <c r="G138" s="90" t="s">
        <v>381</v>
      </c>
      <c r="H138" s="90"/>
      <c r="I138" s="90"/>
      <c r="J138" s="428">
        <f t="shared" ref="J138:AB138" si="4">hundred*J99*$H57*J86/$H43*(1-J111)/days_in_year/(1+$H29)*PowerFactor</f>
        <v>0</v>
      </c>
      <c r="K138" s="428">
        <f t="shared" si="4"/>
        <v>0</v>
      </c>
      <c r="L138" s="428">
        <f t="shared" si="4"/>
        <v>0</v>
      </c>
      <c r="M138" s="428">
        <f t="shared" si="4"/>
        <v>0</v>
      </c>
      <c r="N138" s="428">
        <f t="shared" si="4"/>
        <v>0</v>
      </c>
      <c r="O138" s="428">
        <f t="shared" si="4"/>
        <v>0</v>
      </c>
      <c r="P138" s="428">
        <f t="shared" si="4"/>
        <v>0</v>
      </c>
      <c r="Q138" s="428">
        <f t="shared" si="4"/>
        <v>0</v>
      </c>
      <c r="R138" s="428">
        <f t="shared" si="4"/>
        <v>0</v>
      </c>
      <c r="S138" s="428">
        <f t="shared" si="4"/>
        <v>0</v>
      </c>
      <c r="T138" s="428">
        <f t="shared" si="4"/>
        <v>0</v>
      </c>
      <c r="U138" s="428">
        <f t="shared" si="4"/>
        <v>0</v>
      </c>
      <c r="V138" s="428">
        <f t="shared" si="4"/>
        <v>0</v>
      </c>
      <c r="W138" s="428">
        <f t="shared" si="4"/>
        <v>0</v>
      </c>
      <c r="X138" s="428">
        <f t="shared" si="4"/>
        <v>0</v>
      </c>
      <c r="Y138" s="428">
        <f t="shared" si="4"/>
        <v>0</v>
      </c>
      <c r="Z138" s="428">
        <f t="shared" si="4"/>
        <v>0</v>
      </c>
      <c r="AA138" s="428">
        <f t="shared" si="4"/>
        <v>0</v>
      </c>
      <c r="AB138" s="428">
        <f t="shared" si="4"/>
        <v>0</v>
      </c>
      <c r="AC138" s="403"/>
      <c r="AD138" s="403"/>
      <c r="AE138" s="403"/>
      <c r="AF138" s="403"/>
      <c r="AG138" s="403"/>
      <c r="AH138" s="403"/>
      <c r="AI138" s="403"/>
      <c r="AJ138" s="403"/>
      <c r="AK138" s="403"/>
      <c r="AL138" s="403"/>
      <c r="AM138" s="403"/>
      <c r="AN138" s="403"/>
      <c r="AO138" s="403"/>
      <c r="AP138" s="403"/>
    </row>
    <row r="139" spans="3:44" x14ac:dyDescent="0.25">
      <c r="C139" s="89"/>
      <c r="F139" s="66" t="s">
        <v>48</v>
      </c>
      <c r="G139" s="90" t="s">
        <v>381</v>
      </c>
      <c r="H139" s="90"/>
      <c r="I139" s="90"/>
      <c r="J139" s="428">
        <f t="shared" ref="J139:AB139" si="5">hundred*J100*$H58*J87/$H44*(1-J112)/days_in_year/(1+$H30)*PowerFactor</f>
        <v>0</v>
      </c>
      <c r="K139" s="428">
        <f t="shared" si="5"/>
        <v>0</v>
      </c>
      <c r="L139" s="428">
        <f t="shared" si="5"/>
        <v>0</v>
      </c>
      <c r="M139" s="428">
        <f t="shared" si="5"/>
        <v>0</v>
      </c>
      <c r="N139" s="428">
        <f t="shared" si="5"/>
        <v>0</v>
      </c>
      <c r="O139" s="428">
        <f t="shared" si="5"/>
        <v>0</v>
      </c>
      <c r="P139" s="428">
        <f t="shared" si="5"/>
        <v>0</v>
      </c>
      <c r="Q139" s="428">
        <f t="shared" si="5"/>
        <v>0</v>
      </c>
      <c r="R139" s="428">
        <f t="shared" si="5"/>
        <v>1.8812065027614999</v>
      </c>
      <c r="S139" s="428">
        <f t="shared" si="5"/>
        <v>0</v>
      </c>
      <c r="T139" s="428">
        <f t="shared" si="5"/>
        <v>0</v>
      </c>
      <c r="U139" s="428">
        <f t="shared" si="5"/>
        <v>0.42281560013827574</v>
      </c>
      <c r="V139" s="428">
        <f t="shared" si="5"/>
        <v>2.0306020098468154</v>
      </c>
      <c r="W139" s="428">
        <f t="shared" si="5"/>
        <v>1.8812065027614999</v>
      </c>
      <c r="X139" s="428">
        <f t="shared" si="5"/>
        <v>0</v>
      </c>
      <c r="Y139" s="428">
        <f t="shared" si="5"/>
        <v>0</v>
      </c>
      <c r="Z139" s="428">
        <f t="shared" si="5"/>
        <v>0</v>
      </c>
      <c r="AA139" s="428">
        <f t="shared" si="5"/>
        <v>0</v>
      </c>
      <c r="AB139" s="428">
        <f t="shared" si="5"/>
        <v>0</v>
      </c>
      <c r="AC139" s="403"/>
      <c r="AD139" s="403"/>
      <c r="AE139" s="403"/>
      <c r="AF139" s="403"/>
      <c r="AG139" s="403"/>
      <c r="AH139" s="403"/>
      <c r="AI139" s="403"/>
      <c r="AJ139" s="403"/>
      <c r="AK139" s="403"/>
      <c r="AL139" s="403"/>
      <c r="AM139" s="403"/>
      <c r="AN139" s="403"/>
      <c r="AO139" s="403"/>
      <c r="AP139" s="403"/>
    </row>
    <row r="140" spans="3:44" x14ac:dyDescent="0.25">
      <c r="C140" s="89"/>
      <c r="F140" s="66" t="s">
        <v>49</v>
      </c>
      <c r="G140" s="90" t="s">
        <v>381</v>
      </c>
      <c r="H140" s="90"/>
      <c r="I140" s="90"/>
      <c r="J140" s="428">
        <f t="shared" ref="J140:AB140" si="6">hundred*J101*$H59*J88/$H45*(1-J113)/days_in_year/(1+$H31)*PowerFactor</f>
        <v>0</v>
      </c>
      <c r="K140" s="428">
        <f t="shared" si="6"/>
        <v>0</v>
      </c>
      <c r="L140" s="428">
        <f t="shared" si="6"/>
        <v>0</v>
      </c>
      <c r="M140" s="428">
        <f t="shared" si="6"/>
        <v>0</v>
      </c>
      <c r="N140" s="428">
        <f t="shared" si="6"/>
        <v>0</v>
      </c>
      <c r="O140" s="428">
        <f t="shared" si="6"/>
        <v>0</v>
      </c>
      <c r="P140" s="428">
        <f t="shared" si="6"/>
        <v>0</v>
      </c>
      <c r="Q140" s="428">
        <f t="shared" si="6"/>
        <v>0.5849451104394342</v>
      </c>
      <c r="R140" s="428">
        <f t="shared" si="6"/>
        <v>0</v>
      </c>
      <c r="S140" s="428">
        <f t="shared" si="6"/>
        <v>0</v>
      </c>
      <c r="T140" s="428">
        <f t="shared" si="6"/>
        <v>0</v>
      </c>
      <c r="U140" s="428">
        <f t="shared" si="6"/>
        <v>0.60899161115539557</v>
      </c>
      <c r="V140" s="428">
        <f t="shared" si="6"/>
        <v>0.5849451104394342</v>
      </c>
      <c r="W140" s="428">
        <f t="shared" si="6"/>
        <v>0</v>
      </c>
      <c r="X140" s="428">
        <f t="shared" si="6"/>
        <v>0</v>
      </c>
      <c r="Y140" s="428">
        <f t="shared" si="6"/>
        <v>0</v>
      </c>
      <c r="Z140" s="428">
        <f t="shared" si="6"/>
        <v>0</v>
      </c>
      <c r="AA140" s="428">
        <f t="shared" si="6"/>
        <v>0</v>
      </c>
      <c r="AB140" s="428">
        <f t="shared" si="6"/>
        <v>0</v>
      </c>
      <c r="AC140" s="403"/>
      <c r="AD140" s="403"/>
      <c r="AE140" s="403"/>
      <c r="AF140" s="403"/>
      <c r="AG140" s="403"/>
      <c r="AH140" s="403"/>
      <c r="AI140" s="403"/>
      <c r="AJ140" s="403"/>
      <c r="AK140" s="403"/>
      <c r="AL140" s="403"/>
      <c r="AM140" s="403"/>
      <c r="AN140" s="403"/>
      <c r="AO140" s="403"/>
      <c r="AP140" s="403"/>
    </row>
    <row r="141" spans="3:44" x14ac:dyDescent="0.25">
      <c r="C141" s="89"/>
      <c r="F141" s="66" t="s">
        <v>50</v>
      </c>
      <c r="G141" s="90" t="s">
        <v>381</v>
      </c>
      <c r="H141" s="90"/>
      <c r="I141" s="90"/>
      <c r="J141" s="428">
        <f t="shared" ref="J141:AB141" si="7">hundred*J102*$H60*J89/$H46*(1-J114)/days_in_year/(1+$H32)*PowerFactor</f>
        <v>6.882997322599077E-2</v>
      </c>
      <c r="K141" s="428">
        <f t="shared" si="7"/>
        <v>6.882997322599077E-2</v>
      </c>
      <c r="L141" s="428">
        <f t="shared" si="7"/>
        <v>6.882997322599077E-2</v>
      </c>
      <c r="M141" s="428">
        <f t="shared" si="7"/>
        <v>6.882997322599077E-2</v>
      </c>
      <c r="N141" s="428">
        <f t="shared" si="7"/>
        <v>6.882997322599077E-2</v>
      </c>
      <c r="O141" s="428">
        <f t="shared" si="7"/>
        <v>6.882997322599077E-2</v>
      </c>
      <c r="P141" s="428">
        <f t="shared" si="7"/>
        <v>6.882997322599077E-2</v>
      </c>
      <c r="Q141" s="428">
        <f t="shared" si="7"/>
        <v>0</v>
      </c>
      <c r="R141" s="428">
        <f t="shared" si="7"/>
        <v>0</v>
      </c>
      <c r="S141" s="428">
        <f t="shared" si="7"/>
        <v>6.882997322599077E-2</v>
      </c>
      <c r="T141" s="428">
        <f t="shared" si="7"/>
        <v>6.882997322599077E-2</v>
      </c>
      <c r="U141" s="428">
        <f t="shared" si="7"/>
        <v>6.882997322599077E-2</v>
      </c>
      <c r="V141" s="428">
        <f t="shared" si="7"/>
        <v>0</v>
      </c>
      <c r="W141" s="428">
        <f t="shared" si="7"/>
        <v>0</v>
      </c>
      <c r="X141" s="428">
        <f t="shared" si="7"/>
        <v>0</v>
      </c>
      <c r="Y141" s="428">
        <f t="shared" si="7"/>
        <v>0</v>
      </c>
      <c r="Z141" s="428">
        <f t="shared" si="7"/>
        <v>0</v>
      </c>
      <c r="AA141" s="428">
        <f t="shared" si="7"/>
        <v>0</v>
      </c>
      <c r="AB141" s="428">
        <f t="shared" si="7"/>
        <v>0</v>
      </c>
      <c r="AC141" s="403"/>
      <c r="AD141" s="403"/>
      <c r="AE141" s="403"/>
      <c r="AF141" s="403"/>
      <c r="AG141" s="403"/>
      <c r="AH141" s="403"/>
      <c r="AI141" s="403"/>
      <c r="AJ141" s="403"/>
      <c r="AK141" s="403"/>
      <c r="AL141" s="403"/>
      <c r="AM141" s="403"/>
      <c r="AN141" s="403"/>
      <c r="AO141" s="403"/>
      <c r="AP141" s="403"/>
    </row>
    <row r="142" spans="3:44" s="131" customFormat="1" x14ac:dyDescent="0.25">
      <c r="C142" s="132"/>
      <c r="E142" s="175"/>
      <c r="F142" s="66" t="s">
        <v>141</v>
      </c>
      <c r="G142" s="139" t="s">
        <v>381</v>
      </c>
      <c r="H142" s="139"/>
      <c r="I142" s="139"/>
      <c r="J142" s="403"/>
      <c r="K142" s="403"/>
      <c r="L142" s="403"/>
      <c r="M142" s="403"/>
      <c r="N142" s="403"/>
      <c r="O142" s="403"/>
      <c r="P142" s="403"/>
      <c r="Q142" s="403"/>
      <c r="R142" s="403"/>
      <c r="S142" s="403"/>
      <c r="T142" s="403"/>
      <c r="U142" s="403"/>
      <c r="V142" s="403"/>
      <c r="W142" s="403"/>
      <c r="X142" s="403"/>
      <c r="Y142" s="403"/>
      <c r="Z142" s="403"/>
      <c r="AA142" s="403"/>
      <c r="AB142" s="403"/>
      <c r="AC142" s="403"/>
      <c r="AD142" s="403"/>
      <c r="AE142" s="403"/>
      <c r="AF142" s="403"/>
      <c r="AG142" s="403"/>
      <c r="AH142" s="403"/>
      <c r="AI142" s="403"/>
      <c r="AJ142" s="403"/>
      <c r="AK142" s="403"/>
      <c r="AL142" s="403"/>
      <c r="AM142" s="403"/>
      <c r="AN142" s="403"/>
      <c r="AO142" s="403"/>
      <c r="AP142" s="403"/>
    </row>
    <row r="143" spans="3:44" s="131" customFormat="1" x14ac:dyDescent="0.25">
      <c r="C143" s="132"/>
      <c r="E143" s="175"/>
      <c r="F143" s="67" t="s">
        <v>140</v>
      </c>
      <c r="G143" s="140" t="s">
        <v>381</v>
      </c>
      <c r="H143" s="140"/>
      <c r="I143" s="140"/>
      <c r="J143" s="404"/>
      <c r="K143" s="404"/>
      <c r="L143" s="404"/>
      <c r="M143" s="404"/>
      <c r="N143" s="404"/>
      <c r="O143" s="404"/>
      <c r="P143" s="404"/>
      <c r="Q143" s="404"/>
      <c r="R143" s="404"/>
      <c r="S143" s="404"/>
      <c r="T143" s="404"/>
      <c r="U143" s="404"/>
      <c r="V143" s="404"/>
      <c r="W143" s="404"/>
      <c r="X143" s="404"/>
      <c r="Y143" s="404"/>
      <c r="Z143" s="404"/>
      <c r="AA143" s="404"/>
      <c r="AB143" s="404"/>
      <c r="AC143" s="404"/>
      <c r="AD143" s="404"/>
      <c r="AE143" s="404"/>
      <c r="AF143" s="404"/>
      <c r="AG143" s="404"/>
      <c r="AH143" s="404"/>
      <c r="AI143" s="404"/>
      <c r="AJ143" s="404"/>
      <c r="AK143" s="404"/>
      <c r="AL143" s="404"/>
      <c r="AM143" s="404"/>
      <c r="AN143" s="404"/>
      <c r="AO143" s="404"/>
      <c r="AP143" s="404"/>
    </row>
    <row r="144" spans="3:44" s="160" customFormat="1" x14ac:dyDescent="0.25">
      <c r="C144" s="161"/>
      <c r="E144" s="175"/>
      <c r="F144" s="117"/>
      <c r="J144" s="441"/>
      <c r="K144" s="441"/>
      <c r="L144" s="441"/>
      <c r="M144" s="441"/>
      <c r="N144" s="441"/>
      <c r="O144" s="441"/>
      <c r="P144" s="441"/>
      <c r="Q144" s="441"/>
      <c r="R144" s="441"/>
      <c r="S144" s="441"/>
      <c r="T144" s="441"/>
      <c r="U144" s="441"/>
      <c r="V144" s="441"/>
      <c r="W144" s="441"/>
      <c r="X144" s="441"/>
      <c r="Y144" s="441"/>
      <c r="Z144" s="441"/>
      <c r="AA144" s="441"/>
      <c r="AB144" s="441"/>
      <c r="AC144" s="441"/>
      <c r="AD144" s="441"/>
      <c r="AE144" s="441"/>
      <c r="AF144" s="441"/>
      <c r="AG144" s="441"/>
      <c r="AH144" s="441"/>
      <c r="AI144" s="441"/>
      <c r="AJ144" s="441"/>
      <c r="AK144" s="441"/>
      <c r="AL144" s="441"/>
      <c r="AM144" s="441"/>
      <c r="AN144" s="441"/>
      <c r="AO144" s="441"/>
      <c r="AP144" s="441"/>
    </row>
    <row r="145" spans="3:44" x14ac:dyDescent="0.25">
      <c r="C145" s="89"/>
      <c r="E145" s="172" t="s">
        <v>133</v>
      </c>
      <c r="F145" s="117"/>
      <c r="J145" s="441"/>
      <c r="K145" s="441"/>
      <c r="L145" s="441"/>
      <c r="M145" s="441"/>
      <c r="N145" s="441"/>
      <c r="O145" s="441"/>
      <c r="P145" s="441"/>
      <c r="Q145" s="441"/>
      <c r="R145" s="441"/>
      <c r="S145" s="441"/>
      <c r="T145" s="441"/>
      <c r="U145" s="441"/>
      <c r="V145" s="441"/>
      <c r="W145" s="441"/>
      <c r="X145" s="441"/>
      <c r="Y145" s="441"/>
      <c r="Z145" s="441"/>
      <c r="AA145" s="441"/>
      <c r="AB145" s="441"/>
      <c r="AC145" s="441"/>
      <c r="AD145" s="441"/>
      <c r="AE145" s="441"/>
      <c r="AF145" s="441"/>
      <c r="AG145" s="441"/>
      <c r="AH145" s="441"/>
      <c r="AI145" s="441"/>
      <c r="AJ145" s="441"/>
      <c r="AK145" s="441"/>
      <c r="AL145" s="441"/>
      <c r="AM145" s="441"/>
      <c r="AN145" s="441"/>
      <c r="AO145" s="441"/>
      <c r="AP145" s="441"/>
    </row>
    <row r="146" spans="3:44" x14ac:dyDescent="0.25">
      <c r="C146" s="89"/>
      <c r="F146" s="72" t="s">
        <v>397</v>
      </c>
      <c r="G146" s="13" t="s">
        <v>381</v>
      </c>
      <c r="H146" s="13"/>
      <c r="I146" s="13"/>
      <c r="J146" s="431">
        <f t="shared" ref="J146:AB146" si="8">hundred*J94*$H65*J80/$H37/days_in_year/(1+$H23)*PowerFactor</f>
        <v>0</v>
      </c>
      <c r="K146" s="431">
        <f t="shared" si="8"/>
        <v>0</v>
      </c>
      <c r="L146" s="431">
        <f t="shared" si="8"/>
        <v>0</v>
      </c>
      <c r="M146" s="431">
        <f t="shared" si="8"/>
        <v>0</v>
      </c>
      <c r="N146" s="431">
        <f t="shared" si="8"/>
        <v>0</v>
      </c>
      <c r="O146" s="431">
        <f t="shared" si="8"/>
        <v>0</v>
      </c>
      <c r="P146" s="431">
        <f t="shared" si="8"/>
        <v>0</v>
      </c>
      <c r="Q146" s="431">
        <f t="shared" si="8"/>
        <v>0</v>
      </c>
      <c r="R146" s="431">
        <f t="shared" si="8"/>
        <v>0</v>
      </c>
      <c r="S146" s="431">
        <f t="shared" si="8"/>
        <v>0</v>
      </c>
      <c r="T146" s="431">
        <f t="shared" si="8"/>
        <v>0</v>
      </c>
      <c r="U146" s="431">
        <f t="shared" si="8"/>
        <v>0</v>
      </c>
      <c r="V146" s="431">
        <f t="shared" si="8"/>
        <v>0</v>
      </c>
      <c r="W146" s="431">
        <f t="shared" si="8"/>
        <v>0</v>
      </c>
      <c r="X146" s="431">
        <f t="shared" si="8"/>
        <v>0</v>
      </c>
      <c r="Y146" s="431">
        <f t="shared" si="8"/>
        <v>0</v>
      </c>
      <c r="Z146" s="431">
        <f t="shared" si="8"/>
        <v>0</v>
      </c>
      <c r="AA146" s="431">
        <f t="shared" si="8"/>
        <v>0</v>
      </c>
      <c r="AB146" s="431">
        <f t="shared" si="8"/>
        <v>0</v>
      </c>
      <c r="AC146" s="402"/>
      <c r="AD146" s="402"/>
      <c r="AE146" s="402"/>
      <c r="AF146" s="402"/>
      <c r="AG146" s="402"/>
      <c r="AH146" s="402"/>
      <c r="AI146" s="402"/>
      <c r="AJ146" s="402"/>
      <c r="AK146" s="402"/>
      <c r="AL146" s="402"/>
      <c r="AM146" s="402"/>
      <c r="AN146" s="402"/>
      <c r="AO146" s="402"/>
      <c r="AP146" s="402"/>
    </row>
    <row r="147" spans="3:44" x14ac:dyDescent="0.25">
      <c r="C147" s="89"/>
      <c r="F147" s="66" t="s">
        <v>43</v>
      </c>
      <c r="G147" s="90" t="s">
        <v>381</v>
      </c>
      <c r="H147" s="90"/>
      <c r="I147" s="90"/>
      <c r="J147" s="428">
        <f t="shared" ref="J147:AB147" si="9">hundred*J94*$H66*J81/$H38/days_in_year/(1+$H24)*PowerFactor</f>
        <v>0</v>
      </c>
      <c r="K147" s="428">
        <f t="shared" si="9"/>
        <v>0</v>
      </c>
      <c r="L147" s="428">
        <f t="shared" si="9"/>
        <v>0</v>
      </c>
      <c r="M147" s="428">
        <f t="shared" si="9"/>
        <v>0</v>
      </c>
      <c r="N147" s="428">
        <f t="shared" si="9"/>
        <v>0</v>
      </c>
      <c r="O147" s="428">
        <f t="shared" si="9"/>
        <v>0</v>
      </c>
      <c r="P147" s="428">
        <f t="shared" si="9"/>
        <v>0</v>
      </c>
      <c r="Q147" s="428">
        <f t="shared" si="9"/>
        <v>0</v>
      </c>
      <c r="R147" s="428">
        <f t="shared" si="9"/>
        <v>0</v>
      </c>
      <c r="S147" s="428">
        <f t="shared" si="9"/>
        <v>0</v>
      </c>
      <c r="T147" s="428">
        <f t="shared" si="9"/>
        <v>0</v>
      </c>
      <c r="U147" s="428">
        <f t="shared" si="9"/>
        <v>0</v>
      </c>
      <c r="V147" s="428">
        <f t="shared" si="9"/>
        <v>0</v>
      </c>
      <c r="W147" s="428">
        <f t="shared" si="9"/>
        <v>0</v>
      </c>
      <c r="X147" s="428">
        <f t="shared" si="9"/>
        <v>0</v>
      </c>
      <c r="Y147" s="428">
        <f t="shared" si="9"/>
        <v>0</v>
      </c>
      <c r="Z147" s="428">
        <f t="shared" si="9"/>
        <v>0</v>
      </c>
      <c r="AA147" s="428">
        <f t="shared" si="9"/>
        <v>0</v>
      </c>
      <c r="AB147" s="428">
        <f t="shared" si="9"/>
        <v>0</v>
      </c>
      <c r="AC147" s="403"/>
      <c r="AD147" s="403"/>
      <c r="AE147" s="403"/>
      <c r="AF147" s="403"/>
      <c r="AG147" s="403"/>
      <c r="AH147" s="403"/>
      <c r="AI147" s="403"/>
      <c r="AJ147" s="403"/>
      <c r="AK147" s="403"/>
      <c r="AL147" s="403"/>
      <c r="AM147" s="403"/>
      <c r="AN147" s="403"/>
      <c r="AO147" s="403"/>
      <c r="AP147" s="403"/>
    </row>
    <row r="148" spans="3:44" x14ac:dyDescent="0.25">
      <c r="C148" s="89"/>
      <c r="F148" s="66" t="s">
        <v>44</v>
      </c>
      <c r="G148" s="90" t="s">
        <v>381</v>
      </c>
      <c r="H148" s="90"/>
      <c r="I148" s="90"/>
      <c r="J148" s="428">
        <f t="shared" ref="J148:AB148" si="10">hundred*J95*$H67*J82/$H39/days_in_year/(1+$H25)*PowerFactor</f>
        <v>0</v>
      </c>
      <c r="K148" s="428">
        <f t="shared" si="10"/>
        <v>0</v>
      </c>
      <c r="L148" s="428">
        <f t="shared" si="10"/>
        <v>0</v>
      </c>
      <c r="M148" s="428">
        <f t="shared" si="10"/>
        <v>0</v>
      </c>
      <c r="N148" s="428">
        <f t="shared" si="10"/>
        <v>0</v>
      </c>
      <c r="O148" s="428">
        <f t="shared" si="10"/>
        <v>0</v>
      </c>
      <c r="P148" s="428">
        <f t="shared" si="10"/>
        <v>0</v>
      </c>
      <c r="Q148" s="428">
        <f t="shared" si="10"/>
        <v>0</v>
      </c>
      <c r="R148" s="428">
        <f t="shared" si="10"/>
        <v>0</v>
      </c>
      <c r="S148" s="428">
        <f t="shared" si="10"/>
        <v>0</v>
      </c>
      <c r="T148" s="428">
        <f t="shared" si="10"/>
        <v>0</v>
      </c>
      <c r="U148" s="428">
        <f t="shared" si="10"/>
        <v>0</v>
      </c>
      <c r="V148" s="428">
        <f t="shared" si="10"/>
        <v>0</v>
      </c>
      <c r="W148" s="428">
        <f t="shared" si="10"/>
        <v>0</v>
      </c>
      <c r="X148" s="428">
        <f t="shared" si="10"/>
        <v>0</v>
      </c>
      <c r="Y148" s="428">
        <f t="shared" si="10"/>
        <v>0</v>
      </c>
      <c r="Z148" s="428">
        <f t="shared" si="10"/>
        <v>0</v>
      </c>
      <c r="AA148" s="428">
        <f t="shared" si="10"/>
        <v>0</v>
      </c>
      <c r="AB148" s="428">
        <f t="shared" si="10"/>
        <v>0</v>
      </c>
      <c r="AC148" s="403"/>
      <c r="AD148" s="403"/>
      <c r="AE148" s="403"/>
      <c r="AF148" s="403"/>
      <c r="AG148" s="403"/>
      <c r="AH148" s="403"/>
      <c r="AI148" s="403"/>
      <c r="AJ148" s="403"/>
      <c r="AK148" s="403"/>
      <c r="AL148" s="403"/>
      <c r="AM148" s="403"/>
      <c r="AN148" s="403"/>
      <c r="AO148" s="403"/>
      <c r="AP148" s="403"/>
    </row>
    <row r="149" spans="3:44" x14ac:dyDescent="0.25">
      <c r="C149" s="89"/>
      <c r="F149" s="66" t="s">
        <v>45</v>
      </c>
      <c r="G149" s="90" t="s">
        <v>381</v>
      </c>
      <c r="H149" s="90"/>
      <c r="I149" s="90"/>
      <c r="J149" s="428">
        <f t="shared" ref="J149:AB149" si="11">hundred*J96*$H68*J83/$H40/days_in_year/(1+$H26)*PowerFactor</f>
        <v>0</v>
      </c>
      <c r="K149" s="428">
        <f t="shared" si="11"/>
        <v>0</v>
      </c>
      <c r="L149" s="428">
        <f t="shared" si="11"/>
        <v>0</v>
      </c>
      <c r="M149" s="428">
        <f t="shared" si="11"/>
        <v>0</v>
      </c>
      <c r="N149" s="428">
        <f t="shared" si="11"/>
        <v>0</v>
      </c>
      <c r="O149" s="428">
        <f t="shared" si="11"/>
        <v>0</v>
      </c>
      <c r="P149" s="428">
        <f t="shared" si="11"/>
        <v>0</v>
      </c>
      <c r="Q149" s="428">
        <f t="shared" si="11"/>
        <v>0</v>
      </c>
      <c r="R149" s="428">
        <f t="shared" si="11"/>
        <v>0</v>
      </c>
      <c r="S149" s="428">
        <f t="shared" si="11"/>
        <v>0</v>
      </c>
      <c r="T149" s="428">
        <f t="shared" si="11"/>
        <v>0</v>
      </c>
      <c r="U149" s="428">
        <f t="shared" si="11"/>
        <v>0</v>
      </c>
      <c r="V149" s="428">
        <f t="shared" si="11"/>
        <v>0</v>
      </c>
      <c r="W149" s="428">
        <f t="shared" si="11"/>
        <v>0</v>
      </c>
      <c r="X149" s="428">
        <f t="shared" si="11"/>
        <v>0</v>
      </c>
      <c r="Y149" s="428">
        <f t="shared" si="11"/>
        <v>0</v>
      </c>
      <c r="Z149" s="428">
        <f t="shared" si="11"/>
        <v>0</v>
      </c>
      <c r="AA149" s="428">
        <f t="shared" si="11"/>
        <v>0</v>
      </c>
      <c r="AB149" s="428">
        <f t="shared" si="11"/>
        <v>0</v>
      </c>
      <c r="AC149" s="403"/>
      <c r="AD149" s="403"/>
      <c r="AE149" s="403"/>
      <c r="AF149" s="403"/>
      <c r="AG149" s="403"/>
      <c r="AH149" s="403"/>
      <c r="AI149" s="403"/>
      <c r="AJ149" s="403"/>
      <c r="AK149" s="403"/>
      <c r="AL149" s="403"/>
      <c r="AM149" s="403"/>
      <c r="AN149" s="403"/>
      <c r="AO149" s="403"/>
      <c r="AP149" s="403"/>
    </row>
    <row r="150" spans="3:44" x14ac:dyDescent="0.25">
      <c r="C150" s="89"/>
      <c r="F150" s="66" t="s">
        <v>46</v>
      </c>
      <c r="G150" s="90" t="s">
        <v>381</v>
      </c>
      <c r="H150" s="90"/>
      <c r="I150" s="90"/>
      <c r="J150" s="428">
        <f t="shared" ref="J150:AB150" si="12">hundred*J97*$H69*J84/$H41/days_in_year/(1+$H27)*PowerFactor</f>
        <v>0</v>
      </c>
      <c r="K150" s="428">
        <f t="shared" si="12"/>
        <v>0</v>
      </c>
      <c r="L150" s="428">
        <f t="shared" si="12"/>
        <v>0</v>
      </c>
      <c r="M150" s="428">
        <f t="shared" si="12"/>
        <v>0</v>
      </c>
      <c r="N150" s="428">
        <f t="shared" si="12"/>
        <v>0</v>
      </c>
      <c r="O150" s="428">
        <f t="shared" si="12"/>
        <v>0</v>
      </c>
      <c r="P150" s="428">
        <f t="shared" si="12"/>
        <v>0</v>
      </c>
      <c r="Q150" s="428">
        <f t="shared" si="12"/>
        <v>0</v>
      </c>
      <c r="R150" s="428">
        <f t="shared" si="12"/>
        <v>0.13561431494876042</v>
      </c>
      <c r="S150" s="428">
        <f t="shared" si="12"/>
        <v>0</v>
      </c>
      <c r="T150" s="428">
        <f t="shared" si="12"/>
        <v>0</v>
      </c>
      <c r="U150" s="428">
        <f t="shared" si="12"/>
        <v>0</v>
      </c>
      <c r="V150" s="428">
        <f t="shared" si="12"/>
        <v>0</v>
      </c>
      <c r="W150" s="428">
        <f t="shared" si="12"/>
        <v>0.13561431494876042</v>
      </c>
      <c r="X150" s="428">
        <f t="shared" si="12"/>
        <v>0</v>
      </c>
      <c r="Y150" s="428">
        <f t="shared" si="12"/>
        <v>0</v>
      </c>
      <c r="Z150" s="428">
        <f t="shared" si="12"/>
        <v>0</v>
      </c>
      <c r="AA150" s="428">
        <f t="shared" si="12"/>
        <v>0</v>
      </c>
      <c r="AB150" s="428">
        <f t="shared" si="12"/>
        <v>0</v>
      </c>
      <c r="AC150" s="403"/>
      <c r="AD150" s="403"/>
      <c r="AE150" s="403"/>
      <c r="AF150" s="403"/>
      <c r="AG150" s="403"/>
      <c r="AH150" s="403"/>
      <c r="AI150" s="403"/>
      <c r="AJ150" s="403"/>
      <c r="AK150" s="403"/>
      <c r="AL150" s="403"/>
      <c r="AM150" s="403"/>
      <c r="AN150" s="403"/>
      <c r="AO150" s="403"/>
      <c r="AP150" s="403"/>
    </row>
    <row r="151" spans="3:44" x14ac:dyDescent="0.25">
      <c r="C151" s="89"/>
      <c r="F151" s="66" t="s">
        <v>47</v>
      </c>
      <c r="G151" s="90" t="s">
        <v>381</v>
      </c>
      <c r="H151" s="90"/>
      <c r="I151" s="90"/>
      <c r="J151" s="428">
        <f t="shared" ref="J151:AB151" si="13">hundred*J98*$H70*J85/$H42/days_in_year/(1+$H28)*PowerFactor</f>
        <v>0</v>
      </c>
      <c r="K151" s="428">
        <f t="shared" si="13"/>
        <v>0</v>
      </c>
      <c r="L151" s="428">
        <f t="shared" si="13"/>
        <v>0</v>
      </c>
      <c r="M151" s="428">
        <f t="shared" si="13"/>
        <v>0</v>
      </c>
      <c r="N151" s="428">
        <f t="shared" si="13"/>
        <v>0</v>
      </c>
      <c r="O151" s="428">
        <f t="shared" si="13"/>
        <v>0</v>
      </c>
      <c r="P151" s="428">
        <f t="shared" si="13"/>
        <v>0</v>
      </c>
      <c r="Q151" s="428">
        <f t="shared" si="13"/>
        <v>0</v>
      </c>
      <c r="R151" s="428">
        <f t="shared" si="13"/>
        <v>0.51647588873623829</v>
      </c>
      <c r="S151" s="428">
        <f t="shared" si="13"/>
        <v>0</v>
      </c>
      <c r="T151" s="428">
        <f t="shared" si="13"/>
        <v>0</v>
      </c>
      <c r="U151" s="428">
        <f t="shared" si="13"/>
        <v>0</v>
      </c>
      <c r="V151" s="428">
        <f t="shared" si="13"/>
        <v>0</v>
      </c>
      <c r="W151" s="428">
        <f t="shared" si="13"/>
        <v>0.51647588873623829</v>
      </c>
      <c r="X151" s="428">
        <f t="shared" si="13"/>
        <v>0</v>
      </c>
      <c r="Y151" s="428">
        <f t="shared" si="13"/>
        <v>0</v>
      </c>
      <c r="Z151" s="428">
        <f t="shared" si="13"/>
        <v>0</v>
      </c>
      <c r="AA151" s="428">
        <f t="shared" si="13"/>
        <v>0</v>
      </c>
      <c r="AB151" s="428">
        <f t="shared" si="13"/>
        <v>0</v>
      </c>
      <c r="AC151" s="403"/>
      <c r="AD151" s="403"/>
      <c r="AE151" s="403"/>
      <c r="AF151" s="403"/>
      <c r="AG151" s="403"/>
      <c r="AH151" s="403"/>
      <c r="AI151" s="403"/>
      <c r="AJ151" s="403"/>
      <c r="AK151" s="403"/>
      <c r="AL151" s="403"/>
      <c r="AM151" s="403"/>
      <c r="AN151" s="403"/>
      <c r="AO151" s="403"/>
      <c r="AP151" s="403"/>
    </row>
    <row r="152" spans="3:44" x14ac:dyDescent="0.25">
      <c r="C152" s="89"/>
      <c r="F152" s="66" t="s">
        <v>51</v>
      </c>
      <c r="G152" s="90" t="s">
        <v>381</v>
      </c>
      <c r="H152" s="90"/>
      <c r="I152" s="90"/>
      <c r="J152" s="428">
        <f t="shared" ref="J152:AB152" si="14">hundred*J99*$H71*J86/$H43/days_in_year/(1+$H29)*PowerFactor</f>
        <v>0</v>
      </c>
      <c r="K152" s="428">
        <f t="shared" si="14"/>
        <v>0</v>
      </c>
      <c r="L152" s="428">
        <f t="shared" si="14"/>
        <v>0</v>
      </c>
      <c r="M152" s="428">
        <f t="shared" si="14"/>
        <v>0</v>
      </c>
      <c r="N152" s="428">
        <f t="shared" si="14"/>
        <v>0</v>
      </c>
      <c r="O152" s="428">
        <f t="shared" si="14"/>
        <v>0</v>
      </c>
      <c r="P152" s="428">
        <f t="shared" si="14"/>
        <v>0</v>
      </c>
      <c r="Q152" s="428">
        <f t="shared" si="14"/>
        <v>0</v>
      </c>
      <c r="R152" s="428">
        <f t="shared" si="14"/>
        <v>0</v>
      </c>
      <c r="S152" s="428">
        <f t="shared" si="14"/>
        <v>0</v>
      </c>
      <c r="T152" s="428">
        <f t="shared" si="14"/>
        <v>0</v>
      </c>
      <c r="U152" s="428">
        <f t="shared" si="14"/>
        <v>0</v>
      </c>
      <c r="V152" s="428">
        <f t="shared" si="14"/>
        <v>0</v>
      </c>
      <c r="W152" s="428">
        <f t="shared" si="14"/>
        <v>0</v>
      </c>
      <c r="X152" s="428">
        <f t="shared" si="14"/>
        <v>0</v>
      </c>
      <c r="Y152" s="428">
        <f t="shared" si="14"/>
        <v>0</v>
      </c>
      <c r="Z152" s="428">
        <f t="shared" si="14"/>
        <v>0</v>
      </c>
      <c r="AA152" s="428">
        <f t="shared" si="14"/>
        <v>0</v>
      </c>
      <c r="AB152" s="428">
        <f t="shared" si="14"/>
        <v>0</v>
      </c>
      <c r="AC152" s="403"/>
      <c r="AD152" s="403"/>
      <c r="AE152" s="403"/>
      <c r="AF152" s="403"/>
      <c r="AG152" s="403"/>
      <c r="AH152" s="403"/>
      <c r="AI152" s="403"/>
      <c r="AJ152" s="403"/>
      <c r="AK152" s="403"/>
      <c r="AL152" s="403"/>
      <c r="AM152" s="403"/>
      <c r="AN152" s="403"/>
      <c r="AO152" s="403"/>
      <c r="AP152" s="403"/>
    </row>
    <row r="153" spans="3:44" x14ac:dyDescent="0.25">
      <c r="C153" s="89"/>
      <c r="F153" s="66" t="s">
        <v>48</v>
      </c>
      <c r="G153" s="90" t="s">
        <v>381</v>
      </c>
      <c r="H153" s="90"/>
      <c r="I153" s="90"/>
      <c r="J153" s="428">
        <f t="shared" ref="J153:AB153" si="15">hundred*J100*$H72*J87/$H44/days_in_year/(1+$H30)*PowerFactor</f>
        <v>0</v>
      </c>
      <c r="K153" s="428">
        <f t="shared" si="15"/>
        <v>0</v>
      </c>
      <c r="L153" s="428">
        <f t="shared" si="15"/>
        <v>0</v>
      </c>
      <c r="M153" s="428">
        <f t="shared" si="15"/>
        <v>0</v>
      </c>
      <c r="N153" s="428">
        <f t="shared" si="15"/>
        <v>0</v>
      </c>
      <c r="O153" s="428">
        <f t="shared" si="15"/>
        <v>0</v>
      </c>
      <c r="P153" s="428">
        <f t="shared" si="15"/>
        <v>0</v>
      </c>
      <c r="Q153" s="428">
        <f t="shared" si="15"/>
        <v>0</v>
      </c>
      <c r="R153" s="428">
        <f t="shared" si="15"/>
        <v>1.2325909717232404</v>
      </c>
      <c r="S153" s="428">
        <f t="shared" si="15"/>
        <v>0</v>
      </c>
      <c r="T153" s="428">
        <f t="shared" si="15"/>
        <v>0</v>
      </c>
      <c r="U153" s="428">
        <f t="shared" si="15"/>
        <v>0.26038633718847892</v>
      </c>
      <c r="V153" s="428">
        <f t="shared" si="15"/>
        <v>1.2505239150557803</v>
      </c>
      <c r="W153" s="428">
        <f t="shared" si="15"/>
        <v>1.2325909717232404</v>
      </c>
      <c r="X153" s="428">
        <f t="shared" si="15"/>
        <v>0</v>
      </c>
      <c r="Y153" s="428">
        <f t="shared" si="15"/>
        <v>0</v>
      </c>
      <c r="Z153" s="428">
        <f t="shared" si="15"/>
        <v>0</v>
      </c>
      <c r="AA153" s="428">
        <f t="shared" si="15"/>
        <v>0</v>
      </c>
      <c r="AB153" s="428">
        <f t="shared" si="15"/>
        <v>0</v>
      </c>
      <c r="AC153" s="403"/>
      <c r="AD153" s="403"/>
      <c r="AE153" s="403"/>
      <c r="AF153" s="403"/>
      <c r="AG153" s="403"/>
      <c r="AH153" s="403"/>
      <c r="AI153" s="403"/>
      <c r="AJ153" s="403"/>
      <c r="AK153" s="403"/>
      <c r="AL153" s="403"/>
      <c r="AM153" s="403"/>
      <c r="AN153" s="403"/>
      <c r="AO153" s="403"/>
      <c r="AP153" s="403"/>
    </row>
    <row r="154" spans="3:44" x14ac:dyDescent="0.25">
      <c r="C154" s="89"/>
      <c r="F154" s="66" t="s">
        <v>49</v>
      </c>
      <c r="G154" s="90" t="s">
        <v>381</v>
      </c>
      <c r="H154" s="90"/>
      <c r="I154" s="90"/>
      <c r="J154" s="428">
        <f t="shared" ref="J154:AB154" si="16">hundred*J101*$H73*J88/$H45/days_in_year/(1+$H31)*PowerFactor</f>
        <v>0</v>
      </c>
      <c r="K154" s="428">
        <f t="shared" si="16"/>
        <v>0</v>
      </c>
      <c r="L154" s="428">
        <f t="shared" si="16"/>
        <v>0</v>
      </c>
      <c r="M154" s="428">
        <f t="shared" si="16"/>
        <v>0</v>
      </c>
      <c r="N154" s="428">
        <f t="shared" si="16"/>
        <v>0</v>
      </c>
      <c r="O154" s="428">
        <f t="shared" si="16"/>
        <v>0</v>
      </c>
      <c r="P154" s="428">
        <f t="shared" si="16"/>
        <v>0</v>
      </c>
      <c r="Q154" s="428">
        <f t="shared" si="16"/>
        <v>0.41004785036794505</v>
      </c>
      <c r="R154" s="428">
        <f t="shared" si="16"/>
        <v>0</v>
      </c>
      <c r="S154" s="428">
        <f t="shared" si="16"/>
        <v>0</v>
      </c>
      <c r="T154" s="428">
        <f t="shared" si="16"/>
        <v>0</v>
      </c>
      <c r="U154" s="428">
        <f t="shared" si="16"/>
        <v>0.42690450196050872</v>
      </c>
      <c r="V154" s="428">
        <f t="shared" si="16"/>
        <v>0.41004785036794505</v>
      </c>
      <c r="W154" s="428">
        <f t="shared" si="16"/>
        <v>0</v>
      </c>
      <c r="X154" s="428">
        <f t="shared" si="16"/>
        <v>0</v>
      </c>
      <c r="Y154" s="428">
        <f t="shared" si="16"/>
        <v>0</v>
      </c>
      <c r="Z154" s="428">
        <f t="shared" si="16"/>
        <v>0</v>
      </c>
      <c r="AA154" s="428">
        <f t="shared" si="16"/>
        <v>0</v>
      </c>
      <c r="AB154" s="428">
        <f t="shared" si="16"/>
        <v>0</v>
      </c>
      <c r="AC154" s="403"/>
      <c r="AD154" s="403"/>
      <c r="AE154" s="403"/>
      <c r="AF154" s="403"/>
      <c r="AG154" s="403"/>
      <c r="AH154" s="403"/>
      <c r="AI154" s="403"/>
      <c r="AJ154" s="403"/>
      <c r="AK154" s="403"/>
      <c r="AL154" s="403"/>
      <c r="AM154" s="403"/>
      <c r="AN154" s="403"/>
      <c r="AO154" s="403"/>
      <c r="AP154" s="403"/>
    </row>
    <row r="155" spans="3:44" x14ac:dyDescent="0.25">
      <c r="C155" s="89"/>
      <c r="F155" s="66" t="s">
        <v>50</v>
      </c>
      <c r="G155" s="90" t="s">
        <v>381</v>
      </c>
      <c r="H155" s="90"/>
      <c r="I155" s="90"/>
      <c r="J155" s="428">
        <f t="shared" ref="J155:AB155" si="17">hundred*J102*$H74*J89/$H46/days_in_year/(1+$H32)*PowerFactor</f>
        <v>0.63154079064163926</v>
      </c>
      <c r="K155" s="428">
        <f t="shared" si="17"/>
        <v>0.63154079064163926</v>
      </c>
      <c r="L155" s="428">
        <f t="shared" si="17"/>
        <v>0.63154079064163926</v>
      </c>
      <c r="M155" s="428">
        <f t="shared" si="17"/>
        <v>0.63154079064163926</v>
      </c>
      <c r="N155" s="428">
        <f t="shared" si="17"/>
        <v>0.63154079064163926</v>
      </c>
      <c r="O155" s="428">
        <f t="shared" si="17"/>
        <v>0.63154079064163926</v>
      </c>
      <c r="P155" s="428">
        <f t="shared" si="17"/>
        <v>0.63154079064163926</v>
      </c>
      <c r="Q155" s="428">
        <f t="shared" si="17"/>
        <v>0</v>
      </c>
      <c r="R155" s="428">
        <f t="shared" si="17"/>
        <v>0</v>
      </c>
      <c r="S155" s="428">
        <f t="shared" si="17"/>
        <v>0.63154079064163926</v>
      </c>
      <c r="T155" s="428">
        <f t="shared" si="17"/>
        <v>0.63154079064163926</v>
      </c>
      <c r="U155" s="428">
        <f t="shared" si="17"/>
        <v>0.63154079064163926</v>
      </c>
      <c r="V155" s="428">
        <f t="shared" si="17"/>
        <v>0</v>
      </c>
      <c r="W155" s="428">
        <f t="shared" si="17"/>
        <v>0</v>
      </c>
      <c r="X155" s="428">
        <f t="shared" si="17"/>
        <v>0</v>
      </c>
      <c r="Y155" s="428">
        <f t="shared" si="17"/>
        <v>0</v>
      </c>
      <c r="Z155" s="428">
        <f t="shared" si="17"/>
        <v>0</v>
      </c>
      <c r="AA155" s="428">
        <f t="shared" si="17"/>
        <v>0</v>
      </c>
      <c r="AB155" s="428">
        <f t="shared" si="17"/>
        <v>0</v>
      </c>
      <c r="AC155" s="403"/>
      <c r="AD155" s="403"/>
      <c r="AE155" s="403"/>
      <c r="AF155" s="403"/>
      <c r="AG155" s="403"/>
      <c r="AH155" s="403"/>
      <c r="AI155" s="403"/>
      <c r="AJ155" s="403"/>
      <c r="AK155" s="403"/>
      <c r="AL155" s="403"/>
      <c r="AM155" s="403"/>
      <c r="AN155" s="403"/>
      <c r="AO155" s="403"/>
      <c r="AP155" s="403"/>
    </row>
    <row r="156" spans="3:44" s="131" customFormat="1" x14ac:dyDescent="0.25">
      <c r="C156" s="132"/>
      <c r="E156" s="175"/>
      <c r="F156" s="66" t="s">
        <v>141</v>
      </c>
      <c r="G156" s="139" t="s">
        <v>381</v>
      </c>
      <c r="H156" s="139"/>
      <c r="I156" s="139"/>
      <c r="J156" s="403"/>
      <c r="K156" s="403"/>
      <c r="L156" s="403"/>
      <c r="M156" s="403"/>
      <c r="N156" s="403"/>
      <c r="O156" s="403"/>
      <c r="P156" s="403"/>
      <c r="Q156" s="403"/>
      <c r="R156" s="403"/>
      <c r="S156" s="403"/>
      <c r="T156" s="403"/>
      <c r="U156" s="403"/>
      <c r="V156" s="403"/>
      <c r="W156" s="403"/>
      <c r="X156" s="403"/>
      <c r="Y156" s="403"/>
      <c r="Z156" s="403"/>
      <c r="AA156" s="403"/>
      <c r="AB156" s="403"/>
      <c r="AC156" s="403"/>
      <c r="AD156" s="403"/>
      <c r="AE156" s="403"/>
      <c r="AF156" s="403"/>
      <c r="AG156" s="403"/>
      <c r="AH156" s="403"/>
      <c r="AI156" s="403"/>
      <c r="AJ156" s="403"/>
      <c r="AK156" s="403"/>
      <c r="AL156" s="403"/>
      <c r="AM156" s="403"/>
      <c r="AN156" s="403"/>
      <c r="AO156" s="403"/>
      <c r="AP156" s="403"/>
    </row>
    <row r="157" spans="3:44" s="131" customFormat="1" x14ac:dyDescent="0.25">
      <c r="C157" s="132"/>
      <c r="E157" s="175"/>
      <c r="F157" s="67" t="s">
        <v>140</v>
      </c>
      <c r="G157" s="140" t="s">
        <v>381</v>
      </c>
      <c r="H157" s="140"/>
      <c r="I157" s="140"/>
      <c r="J157" s="404"/>
      <c r="K157" s="404"/>
      <c r="L157" s="404"/>
      <c r="M157" s="404"/>
      <c r="N157" s="404"/>
      <c r="O157" s="404"/>
      <c r="P157" s="404"/>
      <c r="Q157" s="404"/>
      <c r="R157" s="404"/>
      <c r="S157" s="404"/>
      <c r="T157" s="404"/>
      <c r="U157" s="404"/>
      <c r="V157" s="404"/>
      <c r="W157" s="404"/>
      <c r="X157" s="404"/>
      <c r="Y157" s="404"/>
      <c r="Z157" s="404"/>
      <c r="AA157" s="404"/>
      <c r="AB157" s="404"/>
      <c r="AC157" s="404"/>
      <c r="AD157" s="404"/>
      <c r="AE157" s="404"/>
      <c r="AF157" s="404"/>
      <c r="AG157" s="404"/>
      <c r="AH157" s="404"/>
      <c r="AI157" s="404"/>
      <c r="AJ157" s="404"/>
      <c r="AK157" s="404"/>
      <c r="AL157" s="404"/>
      <c r="AM157" s="404"/>
      <c r="AN157" s="404"/>
      <c r="AO157" s="404"/>
      <c r="AP157" s="404"/>
    </row>
    <row r="158" spans="3:44" s="131" customFormat="1" x14ac:dyDescent="0.25">
      <c r="C158" s="132"/>
      <c r="D158" s="147"/>
      <c r="E158" s="175"/>
      <c r="F158" s="117"/>
      <c r="J158" s="441"/>
      <c r="K158" s="441"/>
      <c r="L158" s="441"/>
      <c r="M158" s="441"/>
      <c r="N158" s="441"/>
      <c r="O158" s="441"/>
      <c r="P158" s="441"/>
      <c r="Q158" s="441"/>
      <c r="R158" s="441"/>
      <c r="S158" s="441"/>
      <c r="T158" s="441"/>
      <c r="U158" s="441"/>
      <c r="V158" s="441"/>
      <c r="W158" s="441"/>
      <c r="X158" s="441"/>
      <c r="Y158" s="441"/>
      <c r="Z158" s="441"/>
      <c r="AA158" s="441"/>
      <c r="AB158" s="441"/>
      <c r="AC158" s="441"/>
      <c r="AD158" s="441"/>
      <c r="AE158" s="441"/>
      <c r="AF158" s="441"/>
      <c r="AG158" s="441"/>
      <c r="AH158" s="441"/>
      <c r="AI158" s="441"/>
      <c r="AJ158" s="441"/>
      <c r="AK158" s="441"/>
      <c r="AL158" s="441"/>
      <c r="AM158" s="441"/>
      <c r="AN158" s="441"/>
      <c r="AO158" s="441"/>
      <c r="AP158" s="441"/>
    </row>
    <row r="159" spans="3:44" s="160" customFormat="1" x14ac:dyDescent="0.25">
      <c r="C159" s="22" t="str">
        <f ca="1">INDEX('Version control'!$H$34:$H$59,MATCH($A$1,'Version control'!$F$34:$F$59,0),1)&amp;"-C: Exceeded capacity-based charge elements"</f>
        <v>Section 516-C: Exceeded capacity-based charge elements</v>
      </c>
      <c r="D159" s="22"/>
      <c r="E159" s="22"/>
      <c r="F159" s="22"/>
      <c r="G159" s="22"/>
      <c r="H159" s="22"/>
      <c r="I159" s="22"/>
      <c r="J159" s="406"/>
      <c r="K159" s="406"/>
      <c r="L159" s="406"/>
      <c r="M159" s="406"/>
      <c r="N159" s="406"/>
      <c r="O159" s="406"/>
      <c r="P159" s="406"/>
      <c r="Q159" s="406"/>
      <c r="R159" s="406"/>
      <c r="S159" s="406"/>
      <c r="T159" s="406"/>
      <c r="U159" s="406"/>
      <c r="V159" s="406"/>
      <c r="W159" s="406"/>
      <c r="X159" s="406"/>
      <c r="Y159" s="406"/>
      <c r="Z159" s="406"/>
      <c r="AA159" s="406"/>
      <c r="AB159" s="406"/>
      <c r="AC159" s="406"/>
      <c r="AD159" s="406"/>
      <c r="AE159" s="406"/>
      <c r="AF159" s="406"/>
      <c r="AG159" s="406"/>
      <c r="AH159" s="406"/>
      <c r="AI159" s="406"/>
      <c r="AJ159" s="406"/>
      <c r="AK159" s="406"/>
      <c r="AL159" s="406"/>
      <c r="AM159" s="406"/>
      <c r="AN159" s="406"/>
      <c r="AO159" s="406"/>
      <c r="AP159" s="406"/>
      <c r="AQ159" s="22"/>
      <c r="AR159" s="22"/>
    </row>
    <row r="160" spans="3:44" s="160" customFormat="1" x14ac:dyDescent="0.25">
      <c r="D160" s="175"/>
      <c r="E160" s="175"/>
      <c r="J160" s="416"/>
      <c r="K160" s="416"/>
      <c r="L160" s="416"/>
      <c r="M160" s="416"/>
      <c r="N160" s="416"/>
      <c r="O160" s="416"/>
      <c r="P160" s="416"/>
      <c r="Q160" s="416"/>
      <c r="R160" s="416"/>
      <c r="S160" s="416"/>
      <c r="T160" s="416"/>
      <c r="U160" s="416"/>
      <c r="V160" s="416"/>
      <c r="W160" s="416"/>
      <c r="X160" s="416"/>
      <c r="Y160" s="416"/>
      <c r="Z160" s="416"/>
      <c r="AA160" s="416"/>
      <c r="AB160" s="416"/>
      <c r="AC160" s="416"/>
      <c r="AD160" s="416"/>
      <c r="AE160" s="416"/>
      <c r="AF160" s="416"/>
      <c r="AG160" s="416"/>
      <c r="AH160" s="416"/>
      <c r="AI160" s="416"/>
      <c r="AJ160" s="416"/>
      <c r="AK160" s="416"/>
      <c r="AL160" s="416"/>
      <c r="AM160" s="416"/>
      <c r="AN160" s="416"/>
      <c r="AO160" s="416"/>
      <c r="AP160" s="416"/>
    </row>
    <row r="161" spans="3:42" x14ac:dyDescent="0.25">
      <c r="C161" s="89"/>
      <c r="E161" s="172" t="s">
        <v>156</v>
      </c>
      <c r="F161" s="160"/>
      <c r="J161" s="416"/>
      <c r="K161" s="416"/>
      <c r="L161" s="416"/>
      <c r="M161" s="416"/>
      <c r="N161" s="416"/>
      <c r="O161" s="416"/>
      <c r="P161" s="416"/>
      <c r="Q161" s="416"/>
      <c r="R161" s="416"/>
      <c r="S161" s="416"/>
      <c r="T161" s="416"/>
      <c r="U161" s="416"/>
      <c r="V161" s="416"/>
      <c r="W161" s="416"/>
      <c r="X161" s="416"/>
      <c r="Y161" s="416"/>
      <c r="Z161" s="416"/>
      <c r="AA161" s="416"/>
      <c r="AB161" s="416"/>
      <c r="AC161" s="416"/>
      <c r="AD161" s="416"/>
      <c r="AE161" s="416"/>
      <c r="AF161" s="416"/>
      <c r="AG161" s="416"/>
      <c r="AH161" s="416"/>
      <c r="AI161" s="416"/>
      <c r="AJ161" s="416"/>
      <c r="AK161" s="416"/>
      <c r="AL161" s="416"/>
      <c r="AM161" s="416"/>
      <c r="AN161" s="416"/>
      <c r="AO161" s="416"/>
      <c r="AP161" s="416"/>
    </row>
    <row r="162" spans="3:42" x14ac:dyDescent="0.25">
      <c r="C162" s="89"/>
      <c r="F162" s="180" t="s">
        <v>397</v>
      </c>
      <c r="G162" s="13" t="s">
        <v>381</v>
      </c>
      <c r="H162" s="13"/>
      <c r="I162" s="13"/>
      <c r="J162" s="402"/>
      <c r="K162" s="402"/>
      <c r="L162" s="402"/>
      <c r="M162" s="402"/>
      <c r="N162" s="402"/>
      <c r="O162" s="402"/>
      <c r="P162" s="402"/>
      <c r="Q162" s="402"/>
      <c r="R162" s="402"/>
      <c r="S162" s="402"/>
      <c r="T162" s="402"/>
      <c r="U162" s="402"/>
      <c r="V162" s="402"/>
      <c r="W162" s="402"/>
      <c r="X162" s="402"/>
      <c r="Y162" s="402"/>
      <c r="Z162" s="402"/>
      <c r="AA162" s="402"/>
      <c r="AB162" s="402"/>
      <c r="AC162" s="402"/>
      <c r="AD162" s="402"/>
      <c r="AE162" s="402"/>
      <c r="AF162" s="402"/>
      <c r="AG162" s="402"/>
      <c r="AH162" s="402"/>
      <c r="AI162" s="402"/>
      <c r="AJ162" s="402"/>
      <c r="AK162" s="402"/>
      <c r="AL162" s="402"/>
      <c r="AM162" s="402"/>
      <c r="AN162" s="402"/>
      <c r="AO162" s="402"/>
      <c r="AP162" s="402"/>
    </row>
    <row r="163" spans="3:42" x14ac:dyDescent="0.25">
      <c r="C163" s="89"/>
      <c r="F163" s="176" t="s">
        <v>43</v>
      </c>
      <c r="G163" s="90" t="s">
        <v>381</v>
      </c>
      <c r="H163" s="90"/>
      <c r="I163" s="90"/>
      <c r="J163" s="403"/>
      <c r="K163" s="403"/>
      <c r="L163" s="403"/>
      <c r="M163" s="403"/>
      <c r="N163" s="403"/>
      <c r="O163" s="403"/>
      <c r="P163" s="403"/>
      <c r="Q163" s="403"/>
      <c r="R163" s="403"/>
      <c r="S163" s="403"/>
      <c r="T163" s="403"/>
      <c r="U163" s="403"/>
      <c r="V163" s="403"/>
      <c r="W163" s="403"/>
      <c r="X163" s="403"/>
      <c r="Y163" s="403"/>
      <c r="Z163" s="403"/>
      <c r="AA163" s="403"/>
      <c r="AB163" s="403"/>
      <c r="AC163" s="403"/>
      <c r="AD163" s="403"/>
      <c r="AE163" s="403"/>
      <c r="AF163" s="403"/>
      <c r="AG163" s="403"/>
      <c r="AH163" s="403"/>
      <c r="AI163" s="403"/>
      <c r="AJ163" s="403"/>
      <c r="AK163" s="403"/>
      <c r="AL163" s="403"/>
      <c r="AM163" s="403"/>
      <c r="AN163" s="403"/>
      <c r="AO163" s="403"/>
      <c r="AP163" s="403"/>
    </row>
    <row r="164" spans="3:42" x14ac:dyDescent="0.25">
      <c r="C164" s="89"/>
      <c r="F164" s="176" t="s">
        <v>44</v>
      </c>
      <c r="G164" s="90" t="s">
        <v>381</v>
      </c>
      <c r="H164" s="90"/>
      <c r="I164" s="90"/>
      <c r="J164" s="428">
        <f t="shared" ref="J164:AB164" si="18">hundred*J95*$H53*J82/$H39/days_in_year/(1+$H25)*PowerFactor</f>
        <v>0</v>
      </c>
      <c r="K164" s="428">
        <f t="shared" si="18"/>
        <v>0</v>
      </c>
      <c r="L164" s="428">
        <f t="shared" si="18"/>
        <v>0</v>
      </c>
      <c r="M164" s="428">
        <f t="shared" si="18"/>
        <v>0</v>
      </c>
      <c r="N164" s="428">
        <f t="shared" si="18"/>
        <v>0</v>
      </c>
      <c r="O164" s="428">
        <f t="shared" si="18"/>
        <v>0</v>
      </c>
      <c r="P164" s="428">
        <f t="shared" si="18"/>
        <v>0</v>
      </c>
      <c r="Q164" s="428">
        <f t="shared" si="18"/>
        <v>0</v>
      </c>
      <c r="R164" s="428">
        <f t="shared" si="18"/>
        <v>0</v>
      </c>
      <c r="S164" s="428">
        <f t="shared" si="18"/>
        <v>0</v>
      </c>
      <c r="T164" s="428">
        <f t="shared" si="18"/>
        <v>0</v>
      </c>
      <c r="U164" s="428">
        <f t="shared" si="18"/>
        <v>0</v>
      </c>
      <c r="V164" s="428">
        <f t="shared" si="18"/>
        <v>0</v>
      </c>
      <c r="W164" s="428">
        <f t="shared" si="18"/>
        <v>0</v>
      </c>
      <c r="X164" s="428">
        <f t="shared" si="18"/>
        <v>0</v>
      </c>
      <c r="Y164" s="428">
        <f t="shared" si="18"/>
        <v>0</v>
      </c>
      <c r="Z164" s="428">
        <f t="shared" si="18"/>
        <v>0</v>
      </c>
      <c r="AA164" s="428">
        <f t="shared" si="18"/>
        <v>0</v>
      </c>
      <c r="AB164" s="428">
        <f t="shared" si="18"/>
        <v>0</v>
      </c>
      <c r="AC164" s="403"/>
      <c r="AD164" s="403"/>
      <c r="AE164" s="403"/>
      <c r="AF164" s="403"/>
      <c r="AG164" s="403"/>
      <c r="AH164" s="403"/>
      <c r="AI164" s="403"/>
      <c r="AJ164" s="403"/>
      <c r="AK164" s="403"/>
      <c r="AL164" s="403"/>
      <c r="AM164" s="403"/>
      <c r="AN164" s="403"/>
      <c r="AO164" s="403"/>
      <c r="AP164" s="403"/>
    </row>
    <row r="165" spans="3:42" x14ac:dyDescent="0.25">
      <c r="C165" s="89"/>
      <c r="F165" s="176" t="s">
        <v>45</v>
      </c>
      <c r="G165" s="90" t="s">
        <v>381</v>
      </c>
      <c r="H165" s="90"/>
      <c r="I165" s="90"/>
      <c r="J165" s="428">
        <f t="shared" ref="J165:AB165" si="19">hundred*J96*$H54*J83/$H40/days_in_year/(1+$H26)*PowerFactor</f>
        <v>0</v>
      </c>
      <c r="K165" s="428">
        <f t="shared" si="19"/>
        <v>0</v>
      </c>
      <c r="L165" s="428">
        <f t="shared" si="19"/>
        <v>0</v>
      </c>
      <c r="M165" s="428">
        <f t="shared" si="19"/>
        <v>0</v>
      </c>
      <c r="N165" s="428">
        <f t="shared" si="19"/>
        <v>0</v>
      </c>
      <c r="O165" s="428">
        <f t="shared" si="19"/>
        <v>0</v>
      </c>
      <c r="P165" s="428">
        <f t="shared" si="19"/>
        <v>0</v>
      </c>
      <c r="Q165" s="428">
        <f t="shared" si="19"/>
        <v>0</v>
      </c>
      <c r="R165" s="428">
        <f t="shared" si="19"/>
        <v>0</v>
      </c>
      <c r="S165" s="428">
        <f t="shared" si="19"/>
        <v>0</v>
      </c>
      <c r="T165" s="428">
        <f t="shared" si="19"/>
        <v>0</v>
      </c>
      <c r="U165" s="428">
        <f t="shared" si="19"/>
        <v>0</v>
      </c>
      <c r="V165" s="428">
        <f t="shared" si="19"/>
        <v>0</v>
      </c>
      <c r="W165" s="428">
        <f t="shared" si="19"/>
        <v>0</v>
      </c>
      <c r="X165" s="428">
        <f t="shared" si="19"/>
        <v>0</v>
      </c>
      <c r="Y165" s="428">
        <f t="shared" si="19"/>
        <v>0</v>
      </c>
      <c r="Z165" s="428">
        <f t="shared" si="19"/>
        <v>0</v>
      </c>
      <c r="AA165" s="428">
        <f t="shared" si="19"/>
        <v>0</v>
      </c>
      <c r="AB165" s="428">
        <f t="shared" si="19"/>
        <v>0</v>
      </c>
      <c r="AC165" s="403"/>
      <c r="AD165" s="403"/>
      <c r="AE165" s="403"/>
      <c r="AF165" s="403"/>
      <c r="AG165" s="403"/>
      <c r="AH165" s="403"/>
      <c r="AI165" s="403"/>
      <c r="AJ165" s="403"/>
      <c r="AK165" s="403"/>
      <c r="AL165" s="403"/>
      <c r="AM165" s="403"/>
      <c r="AN165" s="403"/>
      <c r="AO165" s="403"/>
      <c r="AP165" s="403"/>
    </row>
    <row r="166" spans="3:42" x14ac:dyDescent="0.25">
      <c r="C166" s="89"/>
      <c r="F166" s="176" t="s">
        <v>46</v>
      </c>
      <c r="G166" s="90" t="s">
        <v>381</v>
      </c>
      <c r="H166" s="90"/>
      <c r="I166" s="90"/>
      <c r="J166" s="428">
        <f t="shared" ref="J166:AB166" si="20">hundred*J97*$H55*J84/$H41/days_in_year/(1+$H27)*PowerFactor</f>
        <v>0</v>
      </c>
      <c r="K166" s="428">
        <f t="shared" si="20"/>
        <v>0</v>
      </c>
      <c r="L166" s="428">
        <f t="shared" si="20"/>
        <v>0</v>
      </c>
      <c r="M166" s="428">
        <f t="shared" si="20"/>
        <v>0</v>
      </c>
      <c r="N166" s="428">
        <f t="shared" si="20"/>
        <v>0</v>
      </c>
      <c r="O166" s="428">
        <f t="shared" si="20"/>
        <v>0</v>
      </c>
      <c r="P166" s="428">
        <f t="shared" si="20"/>
        <v>0</v>
      </c>
      <c r="Q166" s="428">
        <f t="shared" si="20"/>
        <v>0</v>
      </c>
      <c r="R166" s="428">
        <f t="shared" si="20"/>
        <v>0.33558432506721331</v>
      </c>
      <c r="S166" s="428">
        <f t="shared" si="20"/>
        <v>0</v>
      </c>
      <c r="T166" s="428">
        <f t="shared" si="20"/>
        <v>0</v>
      </c>
      <c r="U166" s="428">
        <f t="shared" si="20"/>
        <v>0</v>
      </c>
      <c r="V166" s="428">
        <f t="shared" si="20"/>
        <v>0</v>
      </c>
      <c r="W166" s="428">
        <f t="shared" si="20"/>
        <v>0.33558432506721331</v>
      </c>
      <c r="X166" s="428">
        <f t="shared" si="20"/>
        <v>0</v>
      </c>
      <c r="Y166" s="428">
        <f t="shared" si="20"/>
        <v>0</v>
      </c>
      <c r="Z166" s="428">
        <f t="shared" si="20"/>
        <v>0</v>
      </c>
      <c r="AA166" s="428">
        <f t="shared" si="20"/>
        <v>0</v>
      </c>
      <c r="AB166" s="428">
        <f t="shared" si="20"/>
        <v>0</v>
      </c>
      <c r="AC166" s="403"/>
      <c r="AD166" s="403"/>
      <c r="AE166" s="403"/>
      <c r="AF166" s="403"/>
      <c r="AG166" s="403"/>
      <c r="AH166" s="403"/>
      <c r="AI166" s="403"/>
      <c r="AJ166" s="403"/>
      <c r="AK166" s="403"/>
      <c r="AL166" s="403"/>
      <c r="AM166" s="403"/>
      <c r="AN166" s="403"/>
      <c r="AO166" s="403"/>
      <c r="AP166" s="403"/>
    </row>
    <row r="167" spans="3:42" x14ac:dyDescent="0.25">
      <c r="C167" s="89"/>
      <c r="F167" s="176" t="s">
        <v>47</v>
      </c>
      <c r="G167" s="90" t="s">
        <v>381</v>
      </c>
      <c r="H167" s="90"/>
      <c r="I167" s="90"/>
      <c r="J167" s="428">
        <f t="shared" ref="J167:AB167" si="21">hundred*J98*$H56*J85/$H42/days_in_year/(1+$H28)*PowerFactor</f>
        <v>0</v>
      </c>
      <c r="K167" s="428">
        <f t="shared" si="21"/>
        <v>0</v>
      </c>
      <c r="L167" s="428">
        <f t="shared" si="21"/>
        <v>0</v>
      </c>
      <c r="M167" s="428">
        <f t="shared" si="21"/>
        <v>0</v>
      </c>
      <c r="N167" s="428">
        <f t="shared" si="21"/>
        <v>0</v>
      </c>
      <c r="O167" s="428">
        <f t="shared" si="21"/>
        <v>0</v>
      </c>
      <c r="P167" s="428">
        <f t="shared" si="21"/>
        <v>0</v>
      </c>
      <c r="Q167" s="428">
        <f t="shared" si="21"/>
        <v>0</v>
      </c>
      <c r="R167" s="428">
        <f t="shared" si="21"/>
        <v>1.2780451134566886</v>
      </c>
      <c r="S167" s="428">
        <f t="shared" si="21"/>
        <v>0</v>
      </c>
      <c r="T167" s="428">
        <f t="shared" si="21"/>
        <v>0</v>
      </c>
      <c r="U167" s="428">
        <f t="shared" si="21"/>
        <v>0</v>
      </c>
      <c r="V167" s="428">
        <f t="shared" si="21"/>
        <v>0</v>
      </c>
      <c r="W167" s="428">
        <f t="shared" si="21"/>
        <v>1.2780451134566886</v>
      </c>
      <c r="X167" s="428">
        <f t="shared" si="21"/>
        <v>0</v>
      </c>
      <c r="Y167" s="428">
        <f t="shared" si="21"/>
        <v>0</v>
      </c>
      <c r="Z167" s="428">
        <f t="shared" si="21"/>
        <v>0</v>
      </c>
      <c r="AA167" s="428">
        <f t="shared" si="21"/>
        <v>0</v>
      </c>
      <c r="AB167" s="428">
        <f t="shared" si="21"/>
        <v>0</v>
      </c>
      <c r="AC167" s="403"/>
      <c r="AD167" s="403"/>
      <c r="AE167" s="403"/>
      <c r="AF167" s="403"/>
      <c r="AG167" s="403"/>
      <c r="AH167" s="403"/>
      <c r="AI167" s="403"/>
      <c r="AJ167" s="403"/>
      <c r="AK167" s="403"/>
      <c r="AL167" s="403"/>
      <c r="AM167" s="403"/>
      <c r="AN167" s="403"/>
      <c r="AO167" s="403"/>
      <c r="AP167" s="403"/>
    </row>
    <row r="168" spans="3:42" x14ac:dyDescent="0.25">
      <c r="C168" s="89"/>
      <c r="F168" s="176" t="s">
        <v>51</v>
      </c>
      <c r="G168" s="90" t="s">
        <v>381</v>
      </c>
      <c r="H168" s="90"/>
      <c r="I168" s="90"/>
      <c r="J168" s="428">
        <f t="shared" ref="J168:AB168" si="22">hundred*J99*$H57*J86/$H43/days_in_year/(1+$H29)*PowerFactor</f>
        <v>0</v>
      </c>
      <c r="K168" s="428">
        <f t="shared" si="22"/>
        <v>0</v>
      </c>
      <c r="L168" s="428">
        <f t="shared" si="22"/>
        <v>0</v>
      </c>
      <c r="M168" s="428">
        <f t="shared" si="22"/>
        <v>0</v>
      </c>
      <c r="N168" s="428">
        <f t="shared" si="22"/>
        <v>0</v>
      </c>
      <c r="O168" s="428">
        <f t="shared" si="22"/>
        <v>0</v>
      </c>
      <c r="P168" s="428">
        <f t="shared" si="22"/>
        <v>0</v>
      </c>
      <c r="Q168" s="428">
        <f t="shared" si="22"/>
        <v>0</v>
      </c>
      <c r="R168" s="428">
        <f t="shared" si="22"/>
        <v>0</v>
      </c>
      <c r="S168" s="428">
        <f t="shared" si="22"/>
        <v>0</v>
      </c>
      <c r="T168" s="428">
        <f t="shared" si="22"/>
        <v>0</v>
      </c>
      <c r="U168" s="428">
        <f t="shared" si="22"/>
        <v>0</v>
      </c>
      <c r="V168" s="428">
        <f t="shared" si="22"/>
        <v>0</v>
      </c>
      <c r="W168" s="428">
        <f t="shared" si="22"/>
        <v>0</v>
      </c>
      <c r="X168" s="428">
        <f t="shared" si="22"/>
        <v>0</v>
      </c>
      <c r="Y168" s="428">
        <f t="shared" si="22"/>
        <v>0</v>
      </c>
      <c r="Z168" s="428">
        <f t="shared" si="22"/>
        <v>0</v>
      </c>
      <c r="AA168" s="428">
        <f t="shared" si="22"/>
        <v>0</v>
      </c>
      <c r="AB168" s="428">
        <f t="shared" si="22"/>
        <v>0</v>
      </c>
      <c r="AC168" s="403"/>
      <c r="AD168" s="403"/>
      <c r="AE168" s="403"/>
      <c r="AF168" s="403"/>
      <c r="AG168" s="403"/>
      <c r="AH168" s="403"/>
      <c r="AI168" s="403"/>
      <c r="AJ168" s="403"/>
      <c r="AK168" s="403"/>
      <c r="AL168" s="403"/>
      <c r="AM168" s="403"/>
      <c r="AN168" s="403"/>
      <c r="AO168" s="403"/>
      <c r="AP168" s="403"/>
    </row>
    <row r="169" spans="3:42" x14ac:dyDescent="0.25">
      <c r="C169" s="89"/>
      <c r="F169" s="176" t="s">
        <v>48</v>
      </c>
      <c r="G169" s="90" t="s">
        <v>381</v>
      </c>
      <c r="H169" s="90"/>
      <c r="I169" s="90"/>
      <c r="J169" s="428">
        <f t="shared" ref="J169:AB169" si="23">hundred*J100*$H58*J87/$H44/days_in_year/(1+$H30)*PowerFactor</f>
        <v>0</v>
      </c>
      <c r="K169" s="428">
        <f t="shared" si="23"/>
        <v>0</v>
      </c>
      <c r="L169" s="428">
        <f t="shared" si="23"/>
        <v>0</v>
      </c>
      <c r="M169" s="428">
        <f t="shared" si="23"/>
        <v>0</v>
      </c>
      <c r="N169" s="428">
        <f t="shared" si="23"/>
        <v>0</v>
      </c>
      <c r="O169" s="428">
        <f t="shared" si="23"/>
        <v>0</v>
      </c>
      <c r="P169" s="428">
        <f t="shared" si="23"/>
        <v>0</v>
      </c>
      <c r="Q169" s="428">
        <f t="shared" si="23"/>
        <v>0</v>
      </c>
      <c r="R169" s="428">
        <f t="shared" si="23"/>
        <v>3.0501072802378602</v>
      </c>
      <c r="S169" s="428">
        <f t="shared" si="23"/>
        <v>0</v>
      </c>
      <c r="T169" s="428">
        <f t="shared" si="23"/>
        <v>0</v>
      </c>
      <c r="U169" s="428">
        <f t="shared" si="23"/>
        <v>0.64433886094646542</v>
      </c>
      <c r="V169" s="428">
        <f t="shared" si="23"/>
        <v>3.0944832348484983</v>
      </c>
      <c r="W169" s="428">
        <f t="shared" si="23"/>
        <v>3.0501072802378602</v>
      </c>
      <c r="X169" s="428">
        <f t="shared" si="23"/>
        <v>0</v>
      </c>
      <c r="Y169" s="428">
        <f t="shared" si="23"/>
        <v>0</v>
      </c>
      <c r="Z169" s="428">
        <f t="shared" si="23"/>
        <v>0</v>
      </c>
      <c r="AA169" s="428">
        <f t="shared" si="23"/>
        <v>0</v>
      </c>
      <c r="AB169" s="428">
        <f t="shared" si="23"/>
        <v>0</v>
      </c>
      <c r="AC169" s="403"/>
      <c r="AD169" s="403"/>
      <c r="AE169" s="403"/>
      <c r="AF169" s="403"/>
      <c r="AG169" s="403"/>
      <c r="AH169" s="403"/>
      <c r="AI169" s="403"/>
      <c r="AJ169" s="403"/>
      <c r="AK169" s="403"/>
      <c r="AL169" s="403"/>
      <c r="AM169" s="403"/>
      <c r="AN169" s="403"/>
      <c r="AO169" s="403"/>
      <c r="AP169" s="403"/>
    </row>
    <row r="170" spans="3:42" x14ac:dyDescent="0.25">
      <c r="C170" s="89"/>
      <c r="F170" s="176" t="s">
        <v>49</v>
      </c>
      <c r="G170" s="90" t="s">
        <v>381</v>
      </c>
      <c r="H170" s="90"/>
      <c r="I170" s="90"/>
      <c r="J170" s="428">
        <f t="shared" ref="J170:AB170" si="24">hundred*J101*$H59*J88/$H45/days_in_year/(1+$H31)*PowerFactor</f>
        <v>0</v>
      </c>
      <c r="K170" s="428">
        <f t="shared" si="24"/>
        <v>0</v>
      </c>
      <c r="L170" s="428">
        <f t="shared" si="24"/>
        <v>0</v>
      </c>
      <c r="M170" s="428">
        <f t="shared" si="24"/>
        <v>0</v>
      </c>
      <c r="N170" s="428">
        <f t="shared" si="24"/>
        <v>0</v>
      </c>
      <c r="O170" s="428">
        <f t="shared" si="24"/>
        <v>0</v>
      </c>
      <c r="P170" s="428">
        <f t="shared" si="24"/>
        <v>0</v>
      </c>
      <c r="Q170" s="428">
        <f t="shared" si="24"/>
        <v>1.0146836723171921</v>
      </c>
      <c r="R170" s="428">
        <f t="shared" si="24"/>
        <v>0</v>
      </c>
      <c r="S170" s="428">
        <f t="shared" si="24"/>
        <v>0</v>
      </c>
      <c r="T170" s="428">
        <f t="shared" si="24"/>
        <v>0</v>
      </c>
      <c r="U170" s="428">
        <f t="shared" si="24"/>
        <v>1.056396289821627</v>
      </c>
      <c r="V170" s="428">
        <f t="shared" si="24"/>
        <v>1.0146836723171921</v>
      </c>
      <c r="W170" s="428">
        <f t="shared" si="24"/>
        <v>0</v>
      </c>
      <c r="X170" s="428">
        <f t="shared" si="24"/>
        <v>0</v>
      </c>
      <c r="Y170" s="428">
        <f t="shared" si="24"/>
        <v>0</v>
      </c>
      <c r="Z170" s="428">
        <f t="shared" si="24"/>
        <v>0</v>
      </c>
      <c r="AA170" s="428">
        <f t="shared" si="24"/>
        <v>0</v>
      </c>
      <c r="AB170" s="428">
        <f t="shared" si="24"/>
        <v>0</v>
      </c>
      <c r="AC170" s="403"/>
      <c r="AD170" s="403"/>
      <c r="AE170" s="403"/>
      <c r="AF170" s="403"/>
      <c r="AG170" s="403"/>
      <c r="AH170" s="403"/>
      <c r="AI170" s="403"/>
      <c r="AJ170" s="403"/>
      <c r="AK170" s="403"/>
      <c r="AL170" s="403"/>
      <c r="AM170" s="403"/>
      <c r="AN170" s="403"/>
      <c r="AO170" s="403"/>
      <c r="AP170" s="403"/>
    </row>
    <row r="171" spans="3:42" x14ac:dyDescent="0.25">
      <c r="C171" s="89"/>
      <c r="F171" s="176" t="s">
        <v>50</v>
      </c>
      <c r="G171" s="90" t="s">
        <v>381</v>
      </c>
      <c r="H171" s="90"/>
      <c r="I171" s="90"/>
      <c r="J171" s="428">
        <f t="shared" ref="J171:AB171" si="25">hundred*J102*$H60*J89/$H46/days_in_year/(1+$H32)*PowerFactor</f>
        <v>1.5627789002950376</v>
      </c>
      <c r="K171" s="428">
        <f t="shared" si="25"/>
        <v>1.5627789002950376</v>
      </c>
      <c r="L171" s="428">
        <f t="shared" si="25"/>
        <v>1.5627789002950376</v>
      </c>
      <c r="M171" s="428">
        <f t="shared" si="25"/>
        <v>1.5627789002950376</v>
      </c>
      <c r="N171" s="428">
        <f t="shared" si="25"/>
        <v>1.5627789002950376</v>
      </c>
      <c r="O171" s="428">
        <f t="shared" si="25"/>
        <v>1.5627789002950376</v>
      </c>
      <c r="P171" s="428">
        <f t="shared" si="25"/>
        <v>1.5627789002950376</v>
      </c>
      <c r="Q171" s="428">
        <f t="shared" si="25"/>
        <v>0</v>
      </c>
      <c r="R171" s="428">
        <f t="shared" si="25"/>
        <v>0</v>
      </c>
      <c r="S171" s="428">
        <f t="shared" si="25"/>
        <v>1.5627789002950376</v>
      </c>
      <c r="T171" s="428">
        <f t="shared" si="25"/>
        <v>1.5627789002950376</v>
      </c>
      <c r="U171" s="428">
        <f t="shared" si="25"/>
        <v>1.5627789002950376</v>
      </c>
      <c r="V171" s="428">
        <f t="shared" si="25"/>
        <v>0</v>
      </c>
      <c r="W171" s="428">
        <f t="shared" si="25"/>
        <v>0</v>
      </c>
      <c r="X171" s="428">
        <f t="shared" si="25"/>
        <v>0</v>
      </c>
      <c r="Y171" s="428">
        <f t="shared" si="25"/>
        <v>0</v>
      </c>
      <c r="Z171" s="428">
        <f t="shared" si="25"/>
        <v>0</v>
      </c>
      <c r="AA171" s="428">
        <f t="shared" si="25"/>
        <v>0</v>
      </c>
      <c r="AB171" s="428">
        <f t="shared" si="25"/>
        <v>0</v>
      </c>
      <c r="AC171" s="403"/>
      <c r="AD171" s="403"/>
      <c r="AE171" s="403"/>
      <c r="AF171" s="403"/>
      <c r="AG171" s="403"/>
      <c r="AH171" s="403"/>
      <c r="AI171" s="403"/>
      <c r="AJ171" s="403"/>
      <c r="AK171" s="403"/>
      <c r="AL171" s="403"/>
      <c r="AM171" s="403"/>
      <c r="AN171" s="403"/>
      <c r="AO171" s="403"/>
      <c r="AP171" s="403"/>
    </row>
    <row r="172" spans="3:42" x14ac:dyDescent="0.25">
      <c r="C172" s="89"/>
      <c r="F172" s="176" t="s">
        <v>141</v>
      </c>
      <c r="G172" s="90" t="s">
        <v>381</v>
      </c>
      <c r="H172" s="90"/>
      <c r="I172" s="90"/>
      <c r="J172" s="403"/>
      <c r="K172" s="403"/>
      <c r="L172" s="403"/>
      <c r="M172" s="403"/>
      <c r="N172" s="403"/>
      <c r="O172" s="403"/>
      <c r="P172" s="403"/>
      <c r="Q172" s="403"/>
      <c r="R172" s="403"/>
      <c r="S172" s="403"/>
      <c r="T172" s="403"/>
      <c r="U172" s="403"/>
      <c r="V172" s="403"/>
      <c r="W172" s="403"/>
      <c r="X172" s="403"/>
      <c r="Y172" s="403"/>
      <c r="Z172" s="403"/>
      <c r="AA172" s="403"/>
      <c r="AB172" s="403"/>
      <c r="AC172" s="403"/>
      <c r="AD172" s="403"/>
      <c r="AE172" s="403"/>
      <c r="AF172" s="403"/>
      <c r="AG172" s="403"/>
      <c r="AH172" s="403"/>
      <c r="AI172" s="403"/>
      <c r="AJ172" s="403"/>
      <c r="AK172" s="403"/>
      <c r="AL172" s="403"/>
      <c r="AM172" s="403"/>
      <c r="AN172" s="403"/>
      <c r="AO172" s="403"/>
      <c r="AP172" s="403"/>
    </row>
    <row r="173" spans="3:42" x14ac:dyDescent="0.25">
      <c r="C173" s="89"/>
      <c r="F173" s="177" t="s">
        <v>140</v>
      </c>
      <c r="G173" s="16" t="s">
        <v>381</v>
      </c>
      <c r="H173" s="16"/>
      <c r="I173" s="16"/>
      <c r="J173" s="404"/>
      <c r="K173" s="404"/>
      <c r="L173" s="404"/>
      <c r="M173" s="404"/>
      <c r="N173" s="404"/>
      <c r="O173" s="404"/>
      <c r="P173" s="404"/>
      <c r="Q173" s="404"/>
      <c r="R173" s="404"/>
      <c r="S173" s="404"/>
      <c r="T173" s="404"/>
      <c r="U173" s="404"/>
      <c r="V173" s="404"/>
      <c r="W173" s="404"/>
      <c r="X173" s="404"/>
      <c r="Y173" s="404"/>
      <c r="Z173" s="404"/>
      <c r="AA173" s="404"/>
      <c r="AB173" s="404"/>
      <c r="AC173" s="404"/>
      <c r="AD173" s="404"/>
      <c r="AE173" s="404"/>
      <c r="AF173" s="404"/>
      <c r="AG173" s="404"/>
      <c r="AH173" s="404"/>
      <c r="AI173" s="404"/>
      <c r="AJ173" s="404"/>
      <c r="AK173" s="404"/>
      <c r="AL173" s="404"/>
      <c r="AM173" s="404"/>
      <c r="AN173" s="404"/>
      <c r="AO173" s="404"/>
      <c r="AP173" s="404"/>
    </row>
    <row r="174" spans="3:42" s="160" customFormat="1" x14ac:dyDescent="0.25">
      <c r="C174" s="161"/>
      <c r="E174" s="175"/>
      <c r="F174" s="117"/>
      <c r="J174" s="416"/>
      <c r="K174" s="416"/>
      <c r="L174" s="416"/>
      <c r="M174" s="416"/>
      <c r="N174" s="416"/>
      <c r="O174" s="416"/>
      <c r="P174" s="416"/>
      <c r="Q174" s="416"/>
      <c r="R174" s="416"/>
      <c r="S174" s="416"/>
      <c r="T174" s="416"/>
      <c r="U174" s="416"/>
      <c r="V174" s="416"/>
      <c r="W174" s="416"/>
      <c r="X174" s="416"/>
      <c r="Y174" s="416"/>
      <c r="Z174" s="416"/>
      <c r="AA174" s="416"/>
      <c r="AB174" s="416"/>
      <c r="AC174" s="416"/>
      <c r="AD174" s="416"/>
      <c r="AE174" s="416"/>
      <c r="AF174" s="416"/>
      <c r="AG174" s="416"/>
      <c r="AH174" s="416"/>
      <c r="AI174" s="416"/>
      <c r="AJ174" s="416"/>
      <c r="AK174" s="416"/>
      <c r="AL174" s="416"/>
      <c r="AM174" s="416"/>
      <c r="AN174" s="416"/>
      <c r="AO174" s="416"/>
      <c r="AP174" s="416"/>
    </row>
    <row r="175" spans="3:42" x14ac:dyDescent="0.25">
      <c r="C175" s="89"/>
      <c r="E175" s="172" t="s">
        <v>133</v>
      </c>
      <c r="F175" s="117"/>
      <c r="J175" s="416"/>
      <c r="K175" s="416"/>
      <c r="L175" s="416"/>
      <c r="M175" s="416"/>
      <c r="N175" s="416"/>
      <c r="O175" s="416"/>
      <c r="P175" s="416"/>
      <c r="Q175" s="416"/>
      <c r="R175" s="416"/>
      <c r="S175" s="416"/>
      <c r="T175" s="416"/>
      <c r="U175" s="416"/>
      <c r="V175" s="416"/>
      <c r="W175" s="416"/>
      <c r="X175" s="416"/>
      <c r="Y175" s="416"/>
      <c r="Z175" s="416"/>
      <c r="AA175" s="416"/>
      <c r="AB175" s="416"/>
      <c r="AC175" s="416"/>
      <c r="AD175" s="416"/>
      <c r="AE175" s="416"/>
      <c r="AF175" s="416"/>
      <c r="AG175" s="416"/>
      <c r="AH175" s="416"/>
      <c r="AI175" s="416"/>
      <c r="AJ175" s="416"/>
      <c r="AK175" s="416"/>
      <c r="AL175" s="416"/>
      <c r="AM175" s="416"/>
      <c r="AN175" s="416"/>
      <c r="AO175" s="416"/>
      <c r="AP175" s="416"/>
    </row>
    <row r="176" spans="3:42" x14ac:dyDescent="0.25">
      <c r="C176" s="89"/>
      <c r="F176" s="180" t="s">
        <v>397</v>
      </c>
      <c r="G176" s="13" t="s">
        <v>381</v>
      </c>
      <c r="H176" s="13"/>
      <c r="I176" s="13"/>
      <c r="J176" s="431">
        <f t="shared" ref="J176:AB176" si="26">hundred*J94*$H65*J80/$H37/days_in_year/(1+$H23)*PowerFactor</f>
        <v>0</v>
      </c>
      <c r="K176" s="431">
        <f t="shared" si="26"/>
        <v>0</v>
      </c>
      <c r="L176" s="431">
        <f t="shared" si="26"/>
        <v>0</v>
      </c>
      <c r="M176" s="431">
        <f t="shared" si="26"/>
        <v>0</v>
      </c>
      <c r="N176" s="431">
        <f t="shared" si="26"/>
        <v>0</v>
      </c>
      <c r="O176" s="431">
        <f t="shared" si="26"/>
        <v>0</v>
      </c>
      <c r="P176" s="431">
        <f t="shared" si="26"/>
        <v>0</v>
      </c>
      <c r="Q176" s="431">
        <f t="shared" si="26"/>
        <v>0</v>
      </c>
      <c r="R176" s="431">
        <f t="shared" si="26"/>
        <v>0</v>
      </c>
      <c r="S176" s="431">
        <f t="shared" si="26"/>
        <v>0</v>
      </c>
      <c r="T176" s="431">
        <f t="shared" si="26"/>
        <v>0</v>
      </c>
      <c r="U176" s="431">
        <f t="shared" si="26"/>
        <v>0</v>
      </c>
      <c r="V176" s="431">
        <f t="shared" si="26"/>
        <v>0</v>
      </c>
      <c r="W176" s="431">
        <f t="shared" si="26"/>
        <v>0</v>
      </c>
      <c r="X176" s="431">
        <f t="shared" si="26"/>
        <v>0</v>
      </c>
      <c r="Y176" s="431">
        <f t="shared" si="26"/>
        <v>0</v>
      </c>
      <c r="Z176" s="431">
        <f t="shared" si="26"/>
        <v>0</v>
      </c>
      <c r="AA176" s="431">
        <f t="shared" si="26"/>
        <v>0</v>
      </c>
      <c r="AB176" s="431">
        <f t="shared" si="26"/>
        <v>0</v>
      </c>
      <c r="AC176" s="402"/>
      <c r="AD176" s="402"/>
      <c r="AE176" s="402"/>
      <c r="AF176" s="402"/>
      <c r="AG176" s="402"/>
      <c r="AH176" s="402"/>
      <c r="AI176" s="402"/>
      <c r="AJ176" s="402"/>
      <c r="AK176" s="402"/>
      <c r="AL176" s="402"/>
      <c r="AM176" s="402"/>
      <c r="AN176" s="402"/>
      <c r="AO176" s="402"/>
      <c r="AP176" s="402"/>
    </row>
    <row r="177" spans="3:44" x14ac:dyDescent="0.25">
      <c r="C177" s="89"/>
      <c r="F177" s="176" t="s">
        <v>43</v>
      </c>
      <c r="G177" s="90" t="s">
        <v>381</v>
      </c>
      <c r="H177" s="90"/>
      <c r="I177" s="90"/>
      <c r="J177" s="428">
        <f t="shared" ref="J177:AB177" si="27">hundred*J94*$H66*J81/$H38/days_in_year/(1+$H24)*PowerFactor</f>
        <v>0</v>
      </c>
      <c r="K177" s="428">
        <f t="shared" si="27"/>
        <v>0</v>
      </c>
      <c r="L177" s="428">
        <f t="shared" si="27"/>
        <v>0</v>
      </c>
      <c r="M177" s="428">
        <f t="shared" si="27"/>
        <v>0</v>
      </c>
      <c r="N177" s="428">
        <f t="shared" si="27"/>
        <v>0</v>
      </c>
      <c r="O177" s="428">
        <f t="shared" si="27"/>
        <v>0</v>
      </c>
      <c r="P177" s="428">
        <f t="shared" si="27"/>
        <v>0</v>
      </c>
      <c r="Q177" s="428">
        <f t="shared" si="27"/>
        <v>0</v>
      </c>
      <c r="R177" s="428">
        <f t="shared" si="27"/>
        <v>0</v>
      </c>
      <c r="S177" s="428">
        <f t="shared" si="27"/>
        <v>0</v>
      </c>
      <c r="T177" s="428">
        <f t="shared" si="27"/>
        <v>0</v>
      </c>
      <c r="U177" s="428">
        <f t="shared" si="27"/>
        <v>0</v>
      </c>
      <c r="V177" s="428">
        <f t="shared" si="27"/>
        <v>0</v>
      </c>
      <c r="W177" s="428">
        <f t="shared" si="27"/>
        <v>0</v>
      </c>
      <c r="X177" s="428">
        <f t="shared" si="27"/>
        <v>0</v>
      </c>
      <c r="Y177" s="428">
        <f t="shared" si="27"/>
        <v>0</v>
      </c>
      <c r="Z177" s="428">
        <f t="shared" si="27"/>
        <v>0</v>
      </c>
      <c r="AA177" s="428">
        <f t="shared" si="27"/>
        <v>0</v>
      </c>
      <c r="AB177" s="428">
        <f t="shared" si="27"/>
        <v>0</v>
      </c>
      <c r="AC177" s="403"/>
      <c r="AD177" s="403"/>
      <c r="AE177" s="403"/>
      <c r="AF177" s="403"/>
      <c r="AG177" s="403"/>
      <c r="AH177" s="403"/>
      <c r="AI177" s="403"/>
      <c r="AJ177" s="403"/>
      <c r="AK177" s="403"/>
      <c r="AL177" s="403"/>
      <c r="AM177" s="403"/>
      <c r="AN177" s="403"/>
      <c r="AO177" s="403"/>
      <c r="AP177" s="403"/>
    </row>
    <row r="178" spans="3:44" x14ac:dyDescent="0.25">
      <c r="C178" s="89"/>
      <c r="F178" s="176" t="s">
        <v>44</v>
      </c>
      <c r="G178" s="90" t="s">
        <v>381</v>
      </c>
      <c r="H178" s="90"/>
      <c r="I178" s="90"/>
      <c r="J178" s="428">
        <f t="shared" ref="J178:AB178" si="28">hundred*J95*$H67*J82/$H39/days_in_year/(1+$H25)*PowerFactor</f>
        <v>0</v>
      </c>
      <c r="K178" s="428">
        <f t="shared" si="28"/>
        <v>0</v>
      </c>
      <c r="L178" s="428">
        <f t="shared" si="28"/>
        <v>0</v>
      </c>
      <c r="M178" s="428">
        <f t="shared" si="28"/>
        <v>0</v>
      </c>
      <c r="N178" s="428">
        <f t="shared" si="28"/>
        <v>0</v>
      </c>
      <c r="O178" s="428">
        <f t="shared" si="28"/>
        <v>0</v>
      </c>
      <c r="P178" s="428">
        <f t="shared" si="28"/>
        <v>0</v>
      </c>
      <c r="Q178" s="428">
        <f t="shared" si="28"/>
        <v>0</v>
      </c>
      <c r="R178" s="428">
        <f t="shared" si="28"/>
        <v>0</v>
      </c>
      <c r="S178" s="428">
        <f t="shared" si="28"/>
        <v>0</v>
      </c>
      <c r="T178" s="428">
        <f t="shared" si="28"/>
        <v>0</v>
      </c>
      <c r="U178" s="428">
        <f t="shared" si="28"/>
        <v>0</v>
      </c>
      <c r="V178" s="428">
        <f t="shared" si="28"/>
        <v>0</v>
      </c>
      <c r="W178" s="428">
        <f t="shared" si="28"/>
        <v>0</v>
      </c>
      <c r="X178" s="428">
        <f t="shared" si="28"/>
        <v>0</v>
      </c>
      <c r="Y178" s="428">
        <f t="shared" si="28"/>
        <v>0</v>
      </c>
      <c r="Z178" s="428">
        <f t="shared" si="28"/>
        <v>0</v>
      </c>
      <c r="AA178" s="428">
        <f t="shared" si="28"/>
        <v>0</v>
      </c>
      <c r="AB178" s="428">
        <f t="shared" si="28"/>
        <v>0</v>
      </c>
      <c r="AC178" s="403"/>
      <c r="AD178" s="403"/>
      <c r="AE178" s="403"/>
      <c r="AF178" s="403"/>
      <c r="AG178" s="403"/>
      <c r="AH178" s="403"/>
      <c r="AI178" s="403"/>
      <c r="AJ178" s="403"/>
      <c r="AK178" s="403"/>
      <c r="AL178" s="403"/>
      <c r="AM178" s="403"/>
      <c r="AN178" s="403"/>
      <c r="AO178" s="403"/>
      <c r="AP178" s="403"/>
    </row>
    <row r="179" spans="3:44" x14ac:dyDescent="0.25">
      <c r="C179" s="89"/>
      <c r="F179" s="176" t="s">
        <v>45</v>
      </c>
      <c r="G179" s="90" t="s">
        <v>381</v>
      </c>
      <c r="H179" s="90"/>
      <c r="I179" s="90"/>
      <c r="J179" s="428">
        <f t="shared" ref="J179:AB179" si="29">hundred*J96*$H68*J83/$H40/days_in_year/(1+$H26)*PowerFactor</f>
        <v>0</v>
      </c>
      <c r="K179" s="428">
        <f t="shared" si="29"/>
        <v>0</v>
      </c>
      <c r="L179" s="428">
        <f t="shared" si="29"/>
        <v>0</v>
      </c>
      <c r="M179" s="428">
        <f t="shared" si="29"/>
        <v>0</v>
      </c>
      <c r="N179" s="428">
        <f t="shared" si="29"/>
        <v>0</v>
      </c>
      <c r="O179" s="428">
        <f t="shared" si="29"/>
        <v>0</v>
      </c>
      <c r="P179" s="428">
        <f t="shared" si="29"/>
        <v>0</v>
      </c>
      <c r="Q179" s="428">
        <f t="shared" si="29"/>
        <v>0</v>
      </c>
      <c r="R179" s="428">
        <f t="shared" si="29"/>
        <v>0</v>
      </c>
      <c r="S179" s="428">
        <f t="shared" si="29"/>
        <v>0</v>
      </c>
      <c r="T179" s="428">
        <f t="shared" si="29"/>
        <v>0</v>
      </c>
      <c r="U179" s="428">
        <f t="shared" si="29"/>
        <v>0</v>
      </c>
      <c r="V179" s="428">
        <f t="shared" si="29"/>
        <v>0</v>
      </c>
      <c r="W179" s="428">
        <f t="shared" si="29"/>
        <v>0</v>
      </c>
      <c r="X179" s="428">
        <f t="shared" si="29"/>
        <v>0</v>
      </c>
      <c r="Y179" s="428">
        <f t="shared" si="29"/>
        <v>0</v>
      </c>
      <c r="Z179" s="428">
        <f t="shared" si="29"/>
        <v>0</v>
      </c>
      <c r="AA179" s="428">
        <f t="shared" si="29"/>
        <v>0</v>
      </c>
      <c r="AB179" s="428">
        <f t="shared" si="29"/>
        <v>0</v>
      </c>
      <c r="AC179" s="403"/>
      <c r="AD179" s="403"/>
      <c r="AE179" s="403"/>
      <c r="AF179" s="403"/>
      <c r="AG179" s="403"/>
      <c r="AH179" s="403"/>
      <c r="AI179" s="403"/>
      <c r="AJ179" s="403"/>
      <c r="AK179" s="403"/>
      <c r="AL179" s="403"/>
      <c r="AM179" s="403"/>
      <c r="AN179" s="403"/>
      <c r="AO179" s="403"/>
      <c r="AP179" s="403"/>
    </row>
    <row r="180" spans="3:44" x14ac:dyDescent="0.25">
      <c r="C180" s="89"/>
      <c r="F180" s="176" t="s">
        <v>46</v>
      </c>
      <c r="G180" s="90" t="s">
        <v>381</v>
      </c>
      <c r="H180" s="90"/>
      <c r="I180" s="90"/>
      <c r="J180" s="428">
        <f t="shared" ref="J180:AB180" si="30">hundred*J97*$H69*J84/$H41/days_in_year/(1+$H27)*PowerFactor</f>
        <v>0</v>
      </c>
      <c r="K180" s="428">
        <f t="shared" si="30"/>
        <v>0</v>
      </c>
      <c r="L180" s="428">
        <f t="shared" si="30"/>
        <v>0</v>
      </c>
      <c r="M180" s="428">
        <f t="shared" si="30"/>
        <v>0</v>
      </c>
      <c r="N180" s="428">
        <f t="shared" si="30"/>
        <v>0</v>
      </c>
      <c r="O180" s="428">
        <f t="shared" si="30"/>
        <v>0</v>
      </c>
      <c r="P180" s="428">
        <f t="shared" si="30"/>
        <v>0</v>
      </c>
      <c r="Q180" s="428">
        <f t="shared" si="30"/>
        <v>0</v>
      </c>
      <c r="R180" s="428">
        <f t="shared" si="30"/>
        <v>0.13561431494876042</v>
      </c>
      <c r="S180" s="428">
        <f t="shared" si="30"/>
        <v>0</v>
      </c>
      <c r="T180" s="428">
        <f t="shared" si="30"/>
        <v>0</v>
      </c>
      <c r="U180" s="428">
        <f t="shared" si="30"/>
        <v>0</v>
      </c>
      <c r="V180" s="428">
        <f t="shared" si="30"/>
        <v>0</v>
      </c>
      <c r="W180" s="428">
        <f t="shared" si="30"/>
        <v>0.13561431494876042</v>
      </c>
      <c r="X180" s="428">
        <f t="shared" si="30"/>
        <v>0</v>
      </c>
      <c r="Y180" s="428">
        <f t="shared" si="30"/>
        <v>0</v>
      </c>
      <c r="Z180" s="428">
        <f t="shared" si="30"/>
        <v>0</v>
      </c>
      <c r="AA180" s="428">
        <f t="shared" si="30"/>
        <v>0</v>
      </c>
      <c r="AB180" s="428">
        <f t="shared" si="30"/>
        <v>0</v>
      </c>
      <c r="AC180" s="403"/>
      <c r="AD180" s="403"/>
      <c r="AE180" s="403"/>
      <c r="AF180" s="403"/>
      <c r="AG180" s="403"/>
      <c r="AH180" s="403"/>
      <c r="AI180" s="403"/>
      <c r="AJ180" s="403"/>
      <c r="AK180" s="403"/>
      <c r="AL180" s="403"/>
      <c r="AM180" s="403"/>
      <c r="AN180" s="403"/>
      <c r="AO180" s="403"/>
      <c r="AP180" s="403"/>
    </row>
    <row r="181" spans="3:44" x14ac:dyDescent="0.25">
      <c r="C181" s="89"/>
      <c r="F181" s="176" t="s">
        <v>47</v>
      </c>
      <c r="G181" s="90" t="s">
        <v>381</v>
      </c>
      <c r="H181" s="90"/>
      <c r="I181" s="90"/>
      <c r="J181" s="428">
        <f t="shared" ref="J181:AB181" si="31">hundred*J98*$H70*J85/$H42/days_in_year/(1+$H28)*PowerFactor</f>
        <v>0</v>
      </c>
      <c r="K181" s="428">
        <f t="shared" si="31"/>
        <v>0</v>
      </c>
      <c r="L181" s="428">
        <f t="shared" si="31"/>
        <v>0</v>
      </c>
      <c r="M181" s="428">
        <f t="shared" si="31"/>
        <v>0</v>
      </c>
      <c r="N181" s="428">
        <f t="shared" si="31"/>
        <v>0</v>
      </c>
      <c r="O181" s="428">
        <f t="shared" si="31"/>
        <v>0</v>
      </c>
      <c r="P181" s="428">
        <f t="shared" si="31"/>
        <v>0</v>
      </c>
      <c r="Q181" s="428">
        <f t="shared" si="31"/>
        <v>0</v>
      </c>
      <c r="R181" s="428">
        <f t="shared" si="31"/>
        <v>0.51647588873623829</v>
      </c>
      <c r="S181" s="428">
        <f t="shared" si="31"/>
        <v>0</v>
      </c>
      <c r="T181" s="428">
        <f t="shared" si="31"/>
        <v>0</v>
      </c>
      <c r="U181" s="428">
        <f t="shared" si="31"/>
        <v>0</v>
      </c>
      <c r="V181" s="428">
        <f t="shared" si="31"/>
        <v>0</v>
      </c>
      <c r="W181" s="428">
        <f t="shared" si="31"/>
        <v>0.51647588873623829</v>
      </c>
      <c r="X181" s="428">
        <f t="shared" si="31"/>
        <v>0</v>
      </c>
      <c r="Y181" s="428">
        <f t="shared" si="31"/>
        <v>0</v>
      </c>
      <c r="Z181" s="428">
        <f t="shared" si="31"/>
        <v>0</v>
      </c>
      <c r="AA181" s="428">
        <f t="shared" si="31"/>
        <v>0</v>
      </c>
      <c r="AB181" s="428">
        <f t="shared" si="31"/>
        <v>0</v>
      </c>
      <c r="AC181" s="403"/>
      <c r="AD181" s="403"/>
      <c r="AE181" s="403"/>
      <c r="AF181" s="403"/>
      <c r="AG181" s="403"/>
      <c r="AH181" s="403"/>
      <c r="AI181" s="403"/>
      <c r="AJ181" s="403"/>
      <c r="AK181" s="403"/>
      <c r="AL181" s="403"/>
      <c r="AM181" s="403"/>
      <c r="AN181" s="403"/>
      <c r="AO181" s="403"/>
      <c r="AP181" s="403"/>
    </row>
    <row r="182" spans="3:44" x14ac:dyDescent="0.25">
      <c r="C182" s="89"/>
      <c r="F182" s="176" t="s">
        <v>51</v>
      </c>
      <c r="G182" s="90" t="s">
        <v>381</v>
      </c>
      <c r="H182" s="90"/>
      <c r="I182" s="90"/>
      <c r="J182" s="428">
        <f t="shared" ref="J182:AB182" si="32">hundred*J99*$H71*J86/$H43/days_in_year/(1+$H29)*PowerFactor</f>
        <v>0</v>
      </c>
      <c r="K182" s="428">
        <f t="shared" si="32"/>
        <v>0</v>
      </c>
      <c r="L182" s="428">
        <f t="shared" si="32"/>
        <v>0</v>
      </c>
      <c r="M182" s="428">
        <f t="shared" si="32"/>
        <v>0</v>
      </c>
      <c r="N182" s="428">
        <f t="shared" si="32"/>
        <v>0</v>
      </c>
      <c r="O182" s="428">
        <f t="shared" si="32"/>
        <v>0</v>
      </c>
      <c r="P182" s="428">
        <f t="shared" si="32"/>
        <v>0</v>
      </c>
      <c r="Q182" s="428">
        <f t="shared" si="32"/>
        <v>0</v>
      </c>
      <c r="R182" s="428">
        <f t="shared" si="32"/>
        <v>0</v>
      </c>
      <c r="S182" s="428">
        <f t="shared" si="32"/>
        <v>0</v>
      </c>
      <c r="T182" s="428">
        <f t="shared" si="32"/>
        <v>0</v>
      </c>
      <c r="U182" s="428">
        <f t="shared" si="32"/>
        <v>0</v>
      </c>
      <c r="V182" s="428">
        <f t="shared" si="32"/>
        <v>0</v>
      </c>
      <c r="W182" s="428">
        <f t="shared" si="32"/>
        <v>0</v>
      </c>
      <c r="X182" s="428">
        <f t="shared" si="32"/>
        <v>0</v>
      </c>
      <c r="Y182" s="428">
        <f t="shared" si="32"/>
        <v>0</v>
      </c>
      <c r="Z182" s="428">
        <f t="shared" si="32"/>
        <v>0</v>
      </c>
      <c r="AA182" s="428">
        <f t="shared" si="32"/>
        <v>0</v>
      </c>
      <c r="AB182" s="428">
        <f t="shared" si="32"/>
        <v>0</v>
      </c>
      <c r="AC182" s="403"/>
      <c r="AD182" s="403"/>
      <c r="AE182" s="403"/>
      <c r="AF182" s="403"/>
      <c r="AG182" s="403"/>
      <c r="AH182" s="403"/>
      <c r="AI182" s="403"/>
      <c r="AJ182" s="403"/>
      <c r="AK182" s="403"/>
      <c r="AL182" s="403"/>
      <c r="AM182" s="403"/>
      <c r="AN182" s="403"/>
      <c r="AO182" s="403"/>
      <c r="AP182" s="403"/>
    </row>
    <row r="183" spans="3:44" x14ac:dyDescent="0.25">
      <c r="C183" s="89"/>
      <c r="F183" s="176" t="s">
        <v>48</v>
      </c>
      <c r="G183" s="90" t="s">
        <v>381</v>
      </c>
      <c r="H183" s="90"/>
      <c r="I183" s="90"/>
      <c r="J183" s="428">
        <f t="shared" ref="J183:AB183" si="33">hundred*J100*$H72*J87/$H44/days_in_year/(1+$H30)*PowerFactor</f>
        <v>0</v>
      </c>
      <c r="K183" s="428">
        <f t="shared" si="33"/>
        <v>0</v>
      </c>
      <c r="L183" s="428">
        <f t="shared" si="33"/>
        <v>0</v>
      </c>
      <c r="M183" s="428">
        <f t="shared" si="33"/>
        <v>0</v>
      </c>
      <c r="N183" s="428">
        <f t="shared" si="33"/>
        <v>0</v>
      </c>
      <c r="O183" s="428">
        <f t="shared" si="33"/>
        <v>0</v>
      </c>
      <c r="P183" s="428">
        <f t="shared" si="33"/>
        <v>0</v>
      </c>
      <c r="Q183" s="428">
        <f t="shared" si="33"/>
        <v>0</v>
      </c>
      <c r="R183" s="428">
        <f t="shared" si="33"/>
        <v>1.2325909717232404</v>
      </c>
      <c r="S183" s="428">
        <f t="shared" si="33"/>
        <v>0</v>
      </c>
      <c r="T183" s="428">
        <f t="shared" si="33"/>
        <v>0</v>
      </c>
      <c r="U183" s="428">
        <f t="shared" si="33"/>
        <v>0.26038633718847892</v>
      </c>
      <c r="V183" s="428">
        <f t="shared" si="33"/>
        <v>1.2505239150557803</v>
      </c>
      <c r="W183" s="428">
        <f t="shared" si="33"/>
        <v>1.2325909717232404</v>
      </c>
      <c r="X183" s="428">
        <f t="shared" si="33"/>
        <v>0</v>
      </c>
      <c r="Y183" s="428">
        <f t="shared" si="33"/>
        <v>0</v>
      </c>
      <c r="Z183" s="428">
        <f t="shared" si="33"/>
        <v>0</v>
      </c>
      <c r="AA183" s="428">
        <f t="shared" si="33"/>
        <v>0</v>
      </c>
      <c r="AB183" s="428">
        <f t="shared" si="33"/>
        <v>0</v>
      </c>
      <c r="AC183" s="403"/>
      <c r="AD183" s="403"/>
      <c r="AE183" s="403"/>
      <c r="AF183" s="403"/>
      <c r="AG183" s="403"/>
      <c r="AH183" s="403"/>
      <c r="AI183" s="403"/>
      <c r="AJ183" s="403"/>
      <c r="AK183" s="403"/>
      <c r="AL183" s="403"/>
      <c r="AM183" s="403"/>
      <c r="AN183" s="403"/>
      <c r="AO183" s="403"/>
      <c r="AP183" s="403"/>
    </row>
    <row r="184" spans="3:44" x14ac:dyDescent="0.25">
      <c r="C184" s="89"/>
      <c r="F184" s="176" t="s">
        <v>49</v>
      </c>
      <c r="G184" s="90" t="s">
        <v>381</v>
      </c>
      <c r="H184" s="90"/>
      <c r="I184" s="90"/>
      <c r="J184" s="428">
        <f t="shared" ref="J184:AB184" si="34">hundred*J101*$H73*J88/$H45/days_in_year/(1+$H31)*PowerFactor</f>
        <v>0</v>
      </c>
      <c r="K184" s="428">
        <f t="shared" si="34"/>
        <v>0</v>
      </c>
      <c r="L184" s="428">
        <f t="shared" si="34"/>
        <v>0</v>
      </c>
      <c r="M184" s="428">
        <f t="shared" si="34"/>
        <v>0</v>
      </c>
      <c r="N184" s="428">
        <f t="shared" si="34"/>
        <v>0</v>
      </c>
      <c r="O184" s="428">
        <f t="shared" si="34"/>
        <v>0</v>
      </c>
      <c r="P184" s="428">
        <f t="shared" si="34"/>
        <v>0</v>
      </c>
      <c r="Q184" s="428">
        <f t="shared" si="34"/>
        <v>0.41004785036794505</v>
      </c>
      <c r="R184" s="428">
        <f t="shared" si="34"/>
        <v>0</v>
      </c>
      <c r="S184" s="428">
        <f t="shared" si="34"/>
        <v>0</v>
      </c>
      <c r="T184" s="428">
        <f t="shared" si="34"/>
        <v>0</v>
      </c>
      <c r="U184" s="428">
        <f t="shared" si="34"/>
        <v>0.42690450196050872</v>
      </c>
      <c r="V184" s="428">
        <f t="shared" si="34"/>
        <v>0.41004785036794505</v>
      </c>
      <c r="W184" s="428">
        <f t="shared" si="34"/>
        <v>0</v>
      </c>
      <c r="X184" s="428">
        <f t="shared" si="34"/>
        <v>0</v>
      </c>
      <c r="Y184" s="428">
        <f t="shared" si="34"/>
        <v>0</v>
      </c>
      <c r="Z184" s="428">
        <f t="shared" si="34"/>
        <v>0</v>
      </c>
      <c r="AA184" s="428">
        <f t="shared" si="34"/>
        <v>0</v>
      </c>
      <c r="AB184" s="428">
        <f t="shared" si="34"/>
        <v>0</v>
      </c>
      <c r="AC184" s="403"/>
      <c r="AD184" s="403"/>
      <c r="AE184" s="403"/>
      <c r="AF184" s="403"/>
      <c r="AG184" s="403"/>
      <c r="AH184" s="403"/>
      <c r="AI184" s="403"/>
      <c r="AJ184" s="403"/>
      <c r="AK184" s="403"/>
      <c r="AL184" s="403"/>
      <c r="AM184" s="403"/>
      <c r="AN184" s="403"/>
      <c r="AO184" s="403"/>
      <c r="AP184" s="403"/>
    </row>
    <row r="185" spans="3:44" x14ac:dyDescent="0.25">
      <c r="C185" s="89"/>
      <c r="F185" s="176" t="s">
        <v>50</v>
      </c>
      <c r="G185" s="90" t="s">
        <v>381</v>
      </c>
      <c r="H185" s="90"/>
      <c r="I185" s="90"/>
      <c r="J185" s="428">
        <f t="shared" ref="J185:AB185" si="35">hundred*J102*$H74*J89/$H46/days_in_year/(1+$H32)*PowerFactor</f>
        <v>0.63154079064163926</v>
      </c>
      <c r="K185" s="428">
        <f t="shared" si="35"/>
        <v>0.63154079064163926</v>
      </c>
      <c r="L185" s="428">
        <f t="shared" si="35"/>
        <v>0.63154079064163926</v>
      </c>
      <c r="M185" s="428">
        <f t="shared" si="35"/>
        <v>0.63154079064163926</v>
      </c>
      <c r="N185" s="428">
        <f t="shared" si="35"/>
        <v>0.63154079064163926</v>
      </c>
      <c r="O185" s="428">
        <f t="shared" si="35"/>
        <v>0.63154079064163926</v>
      </c>
      <c r="P185" s="428">
        <f t="shared" si="35"/>
        <v>0.63154079064163926</v>
      </c>
      <c r="Q185" s="428">
        <f t="shared" si="35"/>
        <v>0</v>
      </c>
      <c r="R185" s="428">
        <f t="shared" si="35"/>
        <v>0</v>
      </c>
      <c r="S185" s="428">
        <f t="shared" si="35"/>
        <v>0.63154079064163926</v>
      </c>
      <c r="T185" s="428">
        <f t="shared" si="35"/>
        <v>0.63154079064163926</v>
      </c>
      <c r="U185" s="428">
        <f t="shared" si="35"/>
        <v>0.63154079064163926</v>
      </c>
      <c r="V185" s="428">
        <f t="shared" si="35"/>
        <v>0</v>
      </c>
      <c r="W185" s="428">
        <f t="shared" si="35"/>
        <v>0</v>
      </c>
      <c r="X185" s="428">
        <f t="shared" si="35"/>
        <v>0</v>
      </c>
      <c r="Y185" s="428">
        <f t="shared" si="35"/>
        <v>0</v>
      </c>
      <c r="Z185" s="428">
        <f t="shared" si="35"/>
        <v>0</v>
      </c>
      <c r="AA185" s="428">
        <f t="shared" si="35"/>
        <v>0</v>
      </c>
      <c r="AB185" s="428">
        <f t="shared" si="35"/>
        <v>0</v>
      </c>
      <c r="AC185" s="403"/>
      <c r="AD185" s="403"/>
      <c r="AE185" s="403"/>
      <c r="AF185" s="403"/>
      <c r="AG185" s="403"/>
      <c r="AH185" s="403"/>
      <c r="AI185" s="403"/>
      <c r="AJ185" s="403"/>
      <c r="AK185" s="403"/>
      <c r="AL185" s="403"/>
      <c r="AM185" s="403"/>
      <c r="AN185" s="403"/>
      <c r="AO185" s="403"/>
      <c r="AP185" s="403"/>
    </row>
    <row r="186" spans="3:44" x14ac:dyDescent="0.25">
      <c r="C186" s="89"/>
      <c r="F186" s="176" t="s">
        <v>141</v>
      </c>
      <c r="G186" s="90" t="s">
        <v>381</v>
      </c>
      <c r="H186" s="90"/>
      <c r="I186" s="90"/>
      <c r="J186" s="403"/>
      <c r="K186" s="403"/>
      <c r="L186" s="403"/>
      <c r="M186" s="403"/>
      <c r="N186" s="403"/>
      <c r="O186" s="403"/>
      <c r="P186" s="403"/>
      <c r="Q186" s="403"/>
      <c r="R186" s="403"/>
      <c r="S186" s="403"/>
      <c r="T186" s="403"/>
      <c r="U186" s="403"/>
      <c r="V186" s="403"/>
      <c r="W186" s="403"/>
      <c r="X186" s="403"/>
      <c r="Y186" s="403"/>
      <c r="Z186" s="403"/>
      <c r="AA186" s="403"/>
      <c r="AB186" s="403"/>
      <c r="AC186" s="403"/>
      <c r="AD186" s="403"/>
      <c r="AE186" s="403"/>
      <c r="AF186" s="403"/>
      <c r="AG186" s="403"/>
      <c r="AH186" s="403"/>
      <c r="AI186" s="403"/>
      <c r="AJ186" s="403"/>
      <c r="AK186" s="403"/>
      <c r="AL186" s="403"/>
      <c r="AM186" s="403"/>
      <c r="AN186" s="403"/>
      <c r="AO186" s="403"/>
      <c r="AP186" s="403"/>
    </row>
    <row r="187" spans="3:44" x14ac:dyDescent="0.25">
      <c r="C187" s="89"/>
      <c r="F187" s="177" t="s">
        <v>140</v>
      </c>
      <c r="G187" s="16" t="s">
        <v>381</v>
      </c>
      <c r="H187" s="16"/>
      <c r="I187" s="16"/>
      <c r="J187" s="404"/>
      <c r="K187" s="404"/>
      <c r="L187" s="404"/>
      <c r="M187" s="404"/>
      <c r="N187" s="404"/>
      <c r="O187" s="404"/>
      <c r="P187" s="404"/>
      <c r="Q187" s="404"/>
      <c r="R187" s="404"/>
      <c r="S187" s="404"/>
      <c r="T187" s="404"/>
      <c r="U187" s="404"/>
      <c r="V187" s="404"/>
      <c r="W187" s="404"/>
      <c r="X187" s="404"/>
      <c r="Y187" s="404"/>
      <c r="Z187" s="404"/>
      <c r="AA187" s="404"/>
      <c r="AB187" s="404"/>
      <c r="AC187" s="404"/>
      <c r="AD187" s="404"/>
      <c r="AE187" s="404"/>
      <c r="AF187" s="404"/>
      <c r="AG187" s="404"/>
      <c r="AH187" s="404"/>
      <c r="AI187" s="404"/>
      <c r="AJ187" s="404"/>
      <c r="AK187" s="404"/>
      <c r="AL187" s="404"/>
      <c r="AM187" s="404"/>
      <c r="AN187" s="404"/>
      <c r="AO187" s="404"/>
      <c r="AP187" s="404"/>
    </row>
    <row r="188" spans="3:44" s="131" customFormat="1" x14ac:dyDescent="0.25">
      <c r="C188" s="132"/>
      <c r="D188" s="147"/>
      <c r="E188" s="175"/>
      <c r="F188" s="117"/>
      <c r="J188" s="416"/>
      <c r="K188" s="416"/>
      <c r="L188" s="416"/>
      <c r="M188" s="416"/>
      <c r="N188" s="416"/>
      <c r="O188" s="416"/>
      <c r="P188" s="416"/>
      <c r="Q188" s="416"/>
      <c r="R188" s="416"/>
      <c r="S188" s="416"/>
      <c r="T188" s="416"/>
      <c r="U188" s="416"/>
      <c r="V188" s="416"/>
      <c r="W188" s="416"/>
      <c r="X188" s="416"/>
      <c r="Y188" s="416"/>
      <c r="Z188" s="416"/>
      <c r="AA188" s="416"/>
      <c r="AB188" s="416"/>
      <c r="AC188" s="416"/>
      <c r="AD188" s="416"/>
      <c r="AE188" s="416"/>
      <c r="AF188" s="416"/>
      <c r="AG188" s="416"/>
      <c r="AH188" s="416"/>
      <c r="AI188" s="416"/>
      <c r="AJ188" s="416"/>
      <c r="AK188" s="416"/>
      <c r="AL188" s="416"/>
      <c r="AM188" s="416"/>
      <c r="AN188" s="416"/>
      <c r="AO188" s="416"/>
      <c r="AP188" s="416"/>
    </row>
    <row r="189" spans="3:44" s="131" customFormat="1" x14ac:dyDescent="0.25">
      <c r="C189" s="22" t="str">
        <f ca="1">INDEX('Version control'!$H$34:$H$59,MATCH($A$1,'Version control'!$F$34:$F$59,0),1)&amp;"-D: Capacity charges for eligible customers, by network level"</f>
        <v>Section 516-D: Capacity charges for eligible customers, by network level</v>
      </c>
      <c r="D189" s="22"/>
      <c r="E189" s="22"/>
      <c r="F189" s="22"/>
      <c r="G189" s="22"/>
      <c r="H189" s="22"/>
      <c r="I189" s="22"/>
      <c r="J189" s="406"/>
      <c r="K189" s="406"/>
      <c r="L189" s="406"/>
      <c r="M189" s="406"/>
      <c r="N189" s="406"/>
      <c r="O189" s="406"/>
      <c r="P189" s="406"/>
      <c r="Q189" s="406"/>
      <c r="R189" s="406"/>
      <c r="S189" s="406"/>
      <c r="T189" s="406"/>
      <c r="U189" s="406"/>
      <c r="V189" s="406"/>
      <c r="W189" s="406"/>
      <c r="X189" s="406"/>
      <c r="Y189" s="406"/>
      <c r="Z189" s="406"/>
      <c r="AA189" s="406"/>
      <c r="AB189" s="406"/>
      <c r="AC189" s="406"/>
      <c r="AD189" s="406"/>
      <c r="AE189" s="406"/>
      <c r="AF189" s="406"/>
      <c r="AG189" s="406"/>
      <c r="AH189" s="406"/>
      <c r="AI189" s="406"/>
      <c r="AJ189" s="406"/>
      <c r="AK189" s="406"/>
      <c r="AL189" s="406"/>
      <c r="AM189" s="406"/>
      <c r="AN189" s="406"/>
      <c r="AO189" s="406"/>
      <c r="AP189" s="406"/>
      <c r="AQ189" s="22"/>
      <c r="AR189" s="22"/>
    </row>
    <row r="190" spans="3:44" s="131" customFormat="1" x14ac:dyDescent="0.25">
      <c r="D190" s="144"/>
      <c r="E190" s="172"/>
      <c r="I190" s="131" t="s">
        <v>525</v>
      </c>
      <c r="J190" s="416"/>
      <c r="K190" s="416"/>
      <c r="L190" s="416"/>
      <c r="M190" s="416"/>
      <c r="N190" s="416"/>
      <c r="O190" s="416"/>
      <c r="P190" s="416"/>
      <c r="Q190" s="416"/>
      <c r="R190" s="416"/>
      <c r="S190" s="416"/>
      <c r="T190" s="416"/>
      <c r="U190" s="416"/>
      <c r="V190" s="416"/>
      <c r="W190" s="416"/>
      <c r="X190" s="416"/>
      <c r="Y190" s="416"/>
      <c r="Z190" s="416"/>
      <c r="AA190" s="416"/>
      <c r="AB190" s="416"/>
      <c r="AC190" s="416"/>
      <c r="AD190" s="416"/>
      <c r="AE190" s="416"/>
      <c r="AF190" s="416"/>
      <c r="AG190" s="416"/>
      <c r="AH190" s="416"/>
      <c r="AI190" s="416"/>
      <c r="AJ190" s="416"/>
      <c r="AK190" s="416"/>
      <c r="AL190" s="416"/>
      <c r="AM190" s="416"/>
      <c r="AN190" s="416"/>
      <c r="AO190" s="416"/>
      <c r="AP190" s="416"/>
      <c r="AR190" s="160" t="s">
        <v>994</v>
      </c>
    </row>
    <row r="191" spans="3:44" s="131" customFormat="1" x14ac:dyDescent="0.25">
      <c r="C191" s="132"/>
      <c r="E191" s="172" t="s">
        <v>156</v>
      </c>
      <c r="J191" s="416"/>
      <c r="K191" s="416"/>
      <c r="L191" s="416"/>
      <c r="M191" s="416"/>
      <c r="N191" s="416"/>
      <c r="O191" s="416"/>
      <c r="P191" s="416"/>
      <c r="Q191" s="416"/>
      <c r="R191" s="416"/>
      <c r="S191" s="416"/>
      <c r="T191" s="416"/>
      <c r="U191" s="416"/>
      <c r="V191" s="416"/>
      <c r="W191" s="416"/>
      <c r="X191" s="416"/>
      <c r="Y191" s="416"/>
      <c r="Z191" s="416"/>
      <c r="AA191" s="416"/>
      <c r="AB191" s="416"/>
      <c r="AC191" s="416"/>
      <c r="AD191" s="416"/>
      <c r="AE191" s="416"/>
      <c r="AF191" s="416"/>
      <c r="AG191" s="416"/>
      <c r="AH191" s="416"/>
      <c r="AI191" s="416"/>
      <c r="AJ191" s="416"/>
      <c r="AK191" s="416"/>
      <c r="AL191" s="416"/>
      <c r="AM191" s="416"/>
      <c r="AN191" s="416"/>
      <c r="AO191" s="416"/>
      <c r="AP191" s="416"/>
    </row>
    <row r="192" spans="3:44" s="131" customFormat="1" x14ac:dyDescent="0.25">
      <c r="C192" s="132"/>
      <c r="E192" s="175"/>
      <c r="F192" s="72" t="s">
        <v>397</v>
      </c>
      <c r="G192" s="137" t="s">
        <v>381</v>
      </c>
      <c r="H192" s="137"/>
      <c r="I192" s="137"/>
      <c r="J192" s="402"/>
      <c r="K192" s="402"/>
      <c r="L192" s="402"/>
      <c r="M192" s="402"/>
      <c r="N192" s="402"/>
      <c r="O192" s="402"/>
      <c r="P192" s="402"/>
      <c r="Q192" s="402"/>
      <c r="R192" s="402"/>
      <c r="S192" s="402"/>
      <c r="T192" s="402"/>
      <c r="U192" s="402"/>
      <c r="V192" s="402"/>
      <c r="W192" s="402"/>
      <c r="X192" s="402"/>
      <c r="Y192" s="402"/>
      <c r="Z192" s="402"/>
      <c r="AA192" s="402"/>
      <c r="AB192" s="402"/>
      <c r="AC192" s="402"/>
      <c r="AD192" s="402"/>
      <c r="AE192" s="402"/>
      <c r="AF192" s="402"/>
      <c r="AG192" s="402"/>
      <c r="AH192" s="402"/>
      <c r="AI192" s="402"/>
      <c r="AJ192" s="402"/>
      <c r="AK192" s="402"/>
      <c r="AL192" s="402"/>
      <c r="AM192" s="402"/>
      <c r="AN192" s="402"/>
      <c r="AO192" s="402"/>
      <c r="AP192" s="402"/>
    </row>
    <row r="193" spans="3:42" s="131" customFormat="1" x14ac:dyDescent="0.25">
      <c r="C193" s="132"/>
      <c r="E193" s="175"/>
      <c r="F193" s="66" t="s">
        <v>43</v>
      </c>
      <c r="G193" s="139" t="s">
        <v>381</v>
      </c>
      <c r="H193" s="139"/>
      <c r="I193" s="139"/>
      <c r="J193" s="403"/>
      <c r="K193" s="403"/>
      <c r="L193" s="403"/>
      <c r="M193" s="403"/>
      <c r="N193" s="403"/>
      <c r="O193" s="403"/>
      <c r="P193" s="403"/>
      <c r="Q193" s="403"/>
      <c r="R193" s="403"/>
      <c r="S193" s="403"/>
      <c r="T193" s="403"/>
      <c r="U193" s="403"/>
      <c r="V193" s="403"/>
      <c r="W193" s="403"/>
      <c r="X193" s="403"/>
      <c r="Y193" s="403"/>
      <c r="Z193" s="403"/>
      <c r="AA193" s="403"/>
      <c r="AB193" s="403"/>
      <c r="AC193" s="403"/>
      <c r="AD193" s="403"/>
      <c r="AE193" s="403"/>
      <c r="AF193" s="403"/>
      <c r="AG193" s="403"/>
      <c r="AH193" s="403"/>
      <c r="AI193" s="403"/>
      <c r="AJ193" s="403"/>
      <c r="AK193" s="403"/>
      <c r="AL193" s="403"/>
      <c r="AM193" s="403"/>
      <c r="AN193" s="403"/>
      <c r="AO193" s="403"/>
      <c r="AP193" s="403"/>
    </row>
    <row r="194" spans="3:42" s="131" customFormat="1" x14ac:dyDescent="0.25">
      <c r="C194" s="132"/>
      <c r="E194" s="175"/>
      <c r="F194" s="66" t="s">
        <v>44</v>
      </c>
      <c r="G194" s="139" t="s">
        <v>381</v>
      </c>
      <c r="H194" s="139"/>
      <c r="I194" s="139"/>
      <c r="J194" s="428">
        <f>J$121 * J134</f>
        <v>0</v>
      </c>
      <c r="K194" s="428">
        <f t="shared" ref="K194:AB194" si="36">K$121 * K134</f>
        <v>0</v>
      </c>
      <c r="L194" s="428">
        <f t="shared" si="36"/>
        <v>0</v>
      </c>
      <c r="M194" s="428">
        <f t="shared" si="36"/>
        <v>0</v>
      </c>
      <c r="N194" s="428">
        <f t="shared" si="36"/>
        <v>0</v>
      </c>
      <c r="O194" s="428">
        <f t="shared" si="36"/>
        <v>0</v>
      </c>
      <c r="P194" s="428">
        <f t="shared" si="36"/>
        <v>0</v>
      </c>
      <c r="Q194" s="428">
        <f t="shared" si="36"/>
        <v>0</v>
      </c>
      <c r="R194" s="428">
        <f t="shared" si="36"/>
        <v>0</v>
      </c>
      <c r="S194" s="428">
        <f t="shared" si="36"/>
        <v>0</v>
      </c>
      <c r="T194" s="428">
        <f t="shared" si="36"/>
        <v>0</v>
      </c>
      <c r="U194" s="428">
        <f t="shared" si="36"/>
        <v>0</v>
      </c>
      <c r="V194" s="428">
        <f t="shared" si="36"/>
        <v>0</v>
      </c>
      <c r="W194" s="428">
        <f t="shared" si="36"/>
        <v>0</v>
      </c>
      <c r="X194" s="428">
        <f t="shared" si="36"/>
        <v>0</v>
      </c>
      <c r="Y194" s="428">
        <f t="shared" si="36"/>
        <v>0</v>
      </c>
      <c r="Z194" s="428">
        <f t="shared" si="36"/>
        <v>0</v>
      </c>
      <c r="AA194" s="428">
        <f t="shared" si="36"/>
        <v>0</v>
      </c>
      <c r="AB194" s="428">
        <f t="shared" si="36"/>
        <v>0</v>
      </c>
      <c r="AC194" s="403"/>
      <c r="AD194" s="403"/>
      <c r="AE194" s="403"/>
      <c r="AF194" s="403"/>
      <c r="AG194" s="403"/>
      <c r="AH194" s="403"/>
      <c r="AI194" s="403"/>
      <c r="AJ194" s="403"/>
      <c r="AK194" s="403"/>
      <c r="AL194" s="403"/>
      <c r="AM194" s="403"/>
      <c r="AN194" s="403"/>
      <c r="AO194" s="403"/>
      <c r="AP194" s="403"/>
    </row>
    <row r="195" spans="3:42" s="131" customFormat="1" x14ac:dyDescent="0.25">
      <c r="C195" s="132"/>
      <c r="E195" s="175"/>
      <c r="F195" s="66" t="s">
        <v>45</v>
      </c>
      <c r="G195" s="139" t="s">
        <v>381</v>
      </c>
      <c r="H195" s="139"/>
      <c r="I195" s="139"/>
      <c r="J195" s="428">
        <f t="shared" ref="J195:AB195" si="37">J$121 * J135</f>
        <v>0</v>
      </c>
      <c r="K195" s="428">
        <f t="shared" si="37"/>
        <v>0</v>
      </c>
      <c r="L195" s="428">
        <f t="shared" si="37"/>
        <v>0</v>
      </c>
      <c r="M195" s="428">
        <f t="shared" si="37"/>
        <v>0</v>
      </c>
      <c r="N195" s="428">
        <f t="shared" si="37"/>
        <v>0</v>
      </c>
      <c r="O195" s="428">
        <f t="shared" si="37"/>
        <v>0</v>
      </c>
      <c r="P195" s="428">
        <f t="shared" si="37"/>
        <v>0</v>
      </c>
      <c r="Q195" s="428">
        <f t="shared" si="37"/>
        <v>0</v>
      </c>
      <c r="R195" s="428">
        <f t="shared" si="37"/>
        <v>0</v>
      </c>
      <c r="S195" s="428">
        <f t="shared" si="37"/>
        <v>0</v>
      </c>
      <c r="T195" s="428">
        <f t="shared" si="37"/>
        <v>0</v>
      </c>
      <c r="U195" s="428">
        <f t="shared" si="37"/>
        <v>0</v>
      </c>
      <c r="V195" s="428">
        <f t="shared" si="37"/>
        <v>0</v>
      </c>
      <c r="W195" s="428">
        <f t="shared" si="37"/>
        <v>0</v>
      </c>
      <c r="X195" s="428">
        <f t="shared" si="37"/>
        <v>0</v>
      </c>
      <c r="Y195" s="428">
        <f t="shared" si="37"/>
        <v>0</v>
      </c>
      <c r="Z195" s="428">
        <f t="shared" si="37"/>
        <v>0</v>
      </c>
      <c r="AA195" s="428">
        <f t="shared" si="37"/>
        <v>0</v>
      </c>
      <c r="AB195" s="428">
        <f t="shared" si="37"/>
        <v>0</v>
      </c>
      <c r="AC195" s="403"/>
      <c r="AD195" s="403"/>
      <c r="AE195" s="403"/>
      <c r="AF195" s="403"/>
      <c r="AG195" s="403"/>
      <c r="AH195" s="403"/>
      <c r="AI195" s="403"/>
      <c r="AJ195" s="403"/>
      <c r="AK195" s="403"/>
      <c r="AL195" s="403"/>
      <c r="AM195" s="403"/>
      <c r="AN195" s="403"/>
      <c r="AO195" s="403"/>
      <c r="AP195" s="403"/>
    </row>
    <row r="196" spans="3:42" s="131" customFormat="1" x14ac:dyDescent="0.25">
      <c r="C196" s="132"/>
      <c r="E196" s="175"/>
      <c r="F196" s="66" t="s">
        <v>46</v>
      </c>
      <c r="G196" s="139" t="s">
        <v>381</v>
      </c>
      <c r="H196" s="139"/>
      <c r="I196" s="139"/>
      <c r="J196" s="428">
        <f t="shared" ref="J196:AB196" si="38">J$121 * J136</f>
        <v>0</v>
      </c>
      <c r="K196" s="428">
        <f t="shared" si="38"/>
        <v>0</v>
      </c>
      <c r="L196" s="428">
        <f t="shared" si="38"/>
        <v>0</v>
      </c>
      <c r="M196" s="428">
        <f t="shared" si="38"/>
        <v>0</v>
      </c>
      <c r="N196" s="428">
        <f t="shared" si="38"/>
        <v>0</v>
      </c>
      <c r="O196" s="428">
        <f t="shared" si="38"/>
        <v>0</v>
      </c>
      <c r="P196" s="428">
        <f t="shared" si="38"/>
        <v>0</v>
      </c>
      <c r="Q196" s="428">
        <f t="shared" si="38"/>
        <v>0</v>
      </c>
      <c r="R196" s="428">
        <f t="shared" si="38"/>
        <v>0</v>
      </c>
      <c r="S196" s="428">
        <f t="shared" si="38"/>
        <v>0</v>
      </c>
      <c r="T196" s="428">
        <f t="shared" si="38"/>
        <v>0</v>
      </c>
      <c r="U196" s="428">
        <f t="shared" si="38"/>
        <v>0</v>
      </c>
      <c r="V196" s="428">
        <f t="shared" si="38"/>
        <v>0</v>
      </c>
      <c r="W196" s="428">
        <f t="shared" si="38"/>
        <v>0.32399634837950669</v>
      </c>
      <c r="X196" s="428">
        <f t="shared" si="38"/>
        <v>0</v>
      </c>
      <c r="Y196" s="428">
        <f t="shared" si="38"/>
        <v>0</v>
      </c>
      <c r="Z196" s="428">
        <f t="shared" si="38"/>
        <v>0</v>
      </c>
      <c r="AA196" s="428">
        <f t="shared" si="38"/>
        <v>0</v>
      </c>
      <c r="AB196" s="428">
        <f t="shared" si="38"/>
        <v>0</v>
      </c>
      <c r="AC196" s="403"/>
      <c r="AD196" s="403"/>
      <c r="AE196" s="403"/>
      <c r="AF196" s="403"/>
      <c r="AG196" s="403"/>
      <c r="AH196" s="403"/>
      <c r="AI196" s="403"/>
      <c r="AJ196" s="403"/>
      <c r="AK196" s="403"/>
      <c r="AL196" s="403"/>
      <c r="AM196" s="403"/>
      <c r="AN196" s="403"/>
      <c r="AO196" s="403"/>
      <c r="AP196" s="403"/>
    </row>
    <row r="197" spans="3:42" s="131" customFormat="1" x14ac:dyDescent="0.25">
      <c r="C197" s="132"/>
      <c r="E197" s="175"/>
      <c r="F197" s="66" t="s">
        <v>47</v>
      </c>
      <c r="G197" s="139" t="s">
        <v>381</v>
      </c>
      <c r="H197" s="139"/>
      <c r="I197" s="139"/>
      <c r="J197" s="428">
        <f t="shared" ref="J197:AB197" si="39">J$121 * J137</f>
        <v>0</v>
      </c>
      <c r="K197" s="428">
        <f t="shared" si="39"/>
        <v>0</v>
      </c>
      <c r="L197" s="428">
        <f t="shared" si="39"/>
        <v>0</v>
      </c>
      <c r="M197" s="428">
        <f t="shared" si="39"/>
        <v>0</v>
      </c>
      <c r="N197" s="428">
        <f t="shared" si="39"/>
        <v>0</v>
      </c>
      <c r="O197" s="428">
        <f t="shared" si="39"/>
        <v>0</v>
      </c>
      <c r="P197" s="428">
        <f t="shared" si="39"/>
        <v>0</v>
      </c>
      <c r="Q197" s="428">
        <f t="shared" si="39"/>
        <v>0</v>
      </c>
      <c r="R197" s="428">
        <f t="shared" si="39"/>
        <v>0</v>
      </c>
      <c r="S197" s="428">
        <f t="shared" si="39"/>
        <v>0</v>
      </c>
      <c r="T197" s="428">
        <f t="shared" si="39"/>
        <v>0</v>
      </c>
      <c r="U197" s="428">
        <f t="shared" si="39"/>
        <v>0</v>
      </c>
      <c r="V197" s="428">
        <f t="shared" si="39"/>
        <v>0</v>
      </c>
      <c r="W197" s="428">
        <f t="shared" si="39"/>
        <v>1.1932071832736304</v>
      </c>
      <c r="X197" s="428">
        <f t="shared" si="39"/>
        <v>0</v>
      </c>
      <c r="Y197" s="428">
        <f t="shared" si="39"/>
        <v>0</v>
      </c>
      <c r="Z197" s="428">
        <f t="shared" si="39"/>
        <v>0</v>
      </c>
      <c r="AA197" s="428">
        <f t="shared" si="39"/>
        <v>0</v>
      </c>
      <c r="AB197" s="428">
        <f t="shared" si="39"/>
        <v>0</v>
      </c>
      <c r="AC197" s="403"/>
      <c r="AD197" s="403"/>
      <c r="AE197" s="403"/>
      <c r="AF197" s="403"/>
      <c r="AG197" s="403"/>
      <c r="AH197" s="403"/>
      <c r="AI197" s="403"/>
      <c r="AJ197" s="403"/>
      <c r="AK197" s="403"/>
      <c r="AL197" s="403"/>
      <c r="AM197" s="403"/>
      <c r="AN197" s="403"/>
      <c r="AO197" s="403"/>
      <c r="AP197" s="403"/>
    </row>
    <row r="198" spans="3:42" s="131" customFormat="1" x14ac:dyDescent="0.25">
      <c r="C198" s="132"/>
      <c r="E198" s="175"/>
      <c r="F198" s="66" t="s">
        <v>51</v>
      </c>
      <c r="G198" s="139" t="s">
        <v>381</v>
      </c>
      <c r="H198" s="139"/>
      <c r="I198" s="139"/>
      <c r="J198" s="428">
        <f t="shared" ref="J198:AB198" si="40">J$121 * J138</f>
        <v>0</v>
      </c>
      <c r="K198" s="428">
        <f t="shared" si="40"/>
        <v>0</v>
      </c>
      <c r="L198" s="428">
        <f t="shared" si="40"/>
        <v>0</v>
      </c>
      <c r="M198" s="428">
        <f t="shared" si="40"/>
        <v>0</v>
      </c>
      <c r="N198" s="428">
        <f t="shared" si="40"/>
        <v>0</v>
      </c>
      <c r="O198" s="428">
        <f t="shared" si="40"/>
        <v>0</v>
      </c>
      <c r="P198" s="428">
        <f t="shared" si="40"/>
        <v>0</v>
      </c>
      <c r="Q198" s="428">
        <f t="shared" si="40"/>
        <v>0</v>
      </c>
      <c r="R198" s="428">
        <f t="shared" si="40"/>
        <v>0</v>
      </c>
      <c r="S198" s="428">
        <f t="shared" si="40"/>
        <v>0</v>
      </c>
      <c r="T198" s="428">
        <f t="shared" si="40"/>
        <v>0</v>
      </c>
      <c r="U198" s="428">
        <f t="shared" si="40"/>
        <v>0</v>
      </c>
      <c r="V198" s="428">
        <f t="shared" si="40"/>
        <v>0</v>
      </c>
      <c r="W198" s="428">
        <f t="shared" si="40"/>
        <v>0</v>
      </c>
      <c r="X198" s="428">
        <f t="shared" si="40"/>
        <v>0</v>
      </c>
      <c r="Y198" s="428">
        <f t="shared" si="40"/>
        <v>0</v>
      </c>
      <c r="Z198" s="428">
        <f t="shared" si="40"/>
        <v>0</v>
      </c>
      <c r="AA198" s="428">
        <f t="shared" si="40"/>
        <v>0</v>
      </c>
      <c r="AB198" s="428">
        <f t="shared" si="40"/>
        <v>0</v>
      </c>
      <c r="AC198" s="403"/>
      <c r="AD198" s="403"/>
      <c r="AE198" s="403"/>
      <c r="AF198" s="403"/>
      <c r="AG198" s="403"/>
      <c r="AH198" s="403"/>
      <c r="AI198" s="403"/>
      <c r="AJ198" s="403"/>
      <c r="AK198" s="403"/>
      <c r="AL198" s="403"/>
      <c r="AM198" s="403"/>
      <c r="AN198" s="403"/>
      <c r="AO198" s="403"/>
      <c r="AP198" s="403"/>
    </row>
    <row r="199" spans="3:42" s="131" customFormat="1" x14ac:dyDescent="0.25">
      <c r="C199" s="132"/>
      <c r="E199" s="175"/>
      <c r="F199" s="66" t="s">
        <v>48</v>
      </c>
      <c r="G199" s="139" t="s">
        <v>381</v>
      </c>
      <c r="H199" s="139"/>
      <c r="I199" s="139"/>
      <c r="J199" s="428">
        <f t="shared" ref="J199:AB199" si="41">J$121 * J139</f>
        <v>0</v>
      </c>
      <c r="K199" s="428">
        <f t="shared" si="41"/>
        <v>0</v>
      </c>
      <c r="L199" s="428">
        <f t="shared" si="41"/>
        <v>0</v>
      </c>
      <c r="M199" s="428">
        <f t="shared" si="41"/>
        <v>0</v>
      </c>
      <c r="N199" s="428">
        <f t="shared" si="41"/>
        <v>0</v>
      </c>
      <c r="O199" s="428">
        <f t="shared" si="41"/>
        <v>0</v>
      </c>
      <c r="P199" s="428">
        <f t="shared" si="41"/>
        <v>0</v>
      </c>
      <c r="Q199" s="428">
        <f t="shared" si="41"/>
        <v>0</v>
      </c>
      <c r="R199" s="428">
        <f t="shared" si="41"/>
        <v>0</v>
      </c>
      <c r="S199" s="428">
        <f t="shared" si="41"/>
        <v>0</v>
      </c>
      <c r="T199" s="428">
        <f t="shared" si="41"/>
        <v>0</v>
      </c>
      <c r="U199" s="428">
        <f t="shared" si="41"/>
        <v>0.42281560013827574</v>
      </c>
      <c r="V199" s="428">
        <f t="shared" si="41"/>
        <v>2.0306020098468154</v>
      </c>
      <c r="W199" s="428">
        <f t="shared" si="41"/>
        <v>1.8812065027614999</v>
      </c>
      <c r="X199" s="428">
        <f t="shared" si="41"/>
        <v>0</v>
      </c>
      <c r="Y199" s="428">
        <f t="shared" si="41"/>
        <v>0</v>
      </c>
      <c r="Z199" s="428">
        <f t="shared" si="41"/>
        <v>0</v>
      </c>
      <c r="AA199" s="428">
        <f t="shared" si="41"/>
        <v>0</v>
      </c>
      <c r="AB199" s="428">
        <f t="shared" si="41"/>
        <v>0</v>
      </c>
      <c r="AC199" s="403"/>
      <c r="AD199" s="403"/>
      <c r="AE199" s="403"/>
      <c r="AF199" s="403"/>
      <c r="AG199" s="403"/>
      <c r="AH199" s="403"/>
      <c r="AI199" s="403"/>
      <c r="AJ199" s="403"/>
      <c r="AK199" s="403"/>
      <c r="AL199" s="403"/>
      <c r="AM199" s="403"/>
      <c r="AN199" s="403"/>
      <c r="AO199" s="403"/>
      <c r="AP199" s="403"/>
    </row>
    <row r="200" spans="3:42" s="131" customFormat="1" x14ac:dyDescent="0.25">
      <c r="C200" s="132"/>
      <c r="E200" s="175"/>
      <c r="F200" s="66" t="s">
        <v>49</v>
      </c>
      <c r="G200" s="139" t="s">
        <v>381</v>
      </c>
      <c r="H200" s="139"/>
      <c r="I200" s="139"/>
      <c r="J200" s="428">
        <f t="shared" ref="J200:AB200" si="42">J$121 * J140</f>
        <v>0</v>
      </c>
      <c r="K200" s="428">
        <f t="shared" si="42"/>
        <v>0</v>
      </c>
      <c r="L200" s="428">
        <f t="shared" si="42"/>
        <v>0</v>
      </c>
      <c r="M200" s="428">
        <f t="shared" si="42"/>
        <v>0</v>
      </c>
      <c r="N200" s="428">
        <f t="shared" si="42"/>
        <v>0</v>
      </c>
      <c r="O200" s="428">
        <f t="shared" si="42"/>
        <v>0</v>
      </c>
      <c r="P200" s="428">
        <f t="shared" si="42"/>
        <v>0</v>
      </c>
      <c r="Q200" s="428">
        <f t="shared" si="42"/>
        <v>0</v>
      </c>
      <c r="R200" s="428">
        <f t="shared" si="42"/>
        <v>0</v>
      </c>
      <c r="S200" s="428">
        <f t="shared" si="42"/>
        <v>0</v>
      </c>
      <c r="T200" s="428">
        <f t="shared" si="42"/>
        <v>0</v>
      </c>
      <c r="U200" s="428">
        <f t="shared" si="42"/>
        <v>0.60899161115539557</v>
      </c>
      <c r="V200" s="428">
        <f t="shared" si="42"/>
        <v>0.5849451104394342</v>
      </c>
      <c r="W200" s="428">
        <f t="shared" si="42"/>
        <v>0</v>
      </c>
      <c r="X200" s="428">
        <f t="shared" si="42"/>
        <v>0</v>
      </c>
      <c r="Y200" s="428">
        <f t="shared" si="42"/>
        <v>0</v>
      </c>
      <c r="Z200" s="428">
        <f t="shared" si="42"/>
        <v>0</v>
      </c>
      <c r="AA200" s="428">
        <f t="shared" si="42"/>
        <v>0</v>
      </c>
      <c r="AB200" s="428">
        <f t="shared" si="42"/>
        <v>0</v>
      </c>
      <c r="AC200" s="403"/>
      <c r="AD200" s="403"/>
      <c r="AE200" s="403"/>
      <c r="AF200" s="403"/>
      <c r="AG200" s="403"/>
      <c r="AH200" s="403"/>
      <c r="AI200" s="403"/>
      <c r="AJ200" s="403"/>
      <c r="AK200" s="403"/>
      <c r="AL200" s="403"/>
      <c r="AM200" s="403"/>
      <c r="AN200" s="403"/>
      <c r="AO200" s="403"/>
      <c r="AP200" s="403"/>
    </row>
    <row r="201" spans="3:42" s="131" customFormat="1" x14ac:dyDescent="0.25">
      <c r="C201" s="132"/>
      <c r="E201" s="175"/>
      <c r="F201" s="66" t="s">
        <v>50</v>
      </c>
      <c r="G201" s="139" t="s">
        <v>381</v>
      </c>
      <c r="H201" s="139"/>
      <c r="I201" s="139"/>
      <c r="J201" s="428">
        <f t="shared" ref="J201:AB201" si="43">J$121 * J141</f>
        <v>0</v>
      </c>
      <c r="K201" s="428">
        <f t="shared" si="43"/>
        <v>0</v>
      </c>
      <c r="L201" s="428">
        <f t="shared" si="43"/>
        <v>0</v>
      </c>
      <c r="M201" s="428">
        <f t="shared" si="43"/>
        <v>0</v>
      </c>
      <c r="N201" s="428">
        <f t="shared" si="43"/>
        <v>0</v>
      </c>
      <c r="O201" s="428">
        <f t="shared" si="43"/>
        <v>0</v>
      </c>
      <c r="P201" s="428">
        <f t="shared" si="43"/>
        <v>0</v>
      </c>
      <c r="Q201" s="428">
        <f t="shared" si="43"/>
        <v>0</v>
      </c>
      <c r="R201" s="428">
        <f t="shared" si="43"/>
        <v>0</v>
      </c>
      <c r="S201" s="428">
        <f t="shared" si="43"/>
        <v>0</v>
      </c>
      <c r="T201" s="428">
        <f t="shared" si="43"/>
        <v>0</v>
      </c>
      <c r="U201" s="428">
        <f t="shared" si="43"/>
        <v>6.882997322599077E-2</v>
      </c>
      <c r="V201" s="428">
        <f t="shared" si="43"/>
        <v>0</v>
      </c>
      <c r="W201" s="428">
        <f t="shared" si="43"/>
        <v>0</v>
      </c>
      <c r="X201" s="428">
        <f t="shared" si="43"/>
        <v>0</v>
      </c>
      <c r="Y201" s="428">
        <f t="shared" si="43"/>
        <v>0</v>
      </c>
      <c r="Z201" s="428">
        <f t="shared" si="43"/>
        <v>0</v>
      </c>
      <c r="AA201" s="428">
        <f t="shared" si="43"/>
        <v>0</v>
      </c>
      <c r="AB201" s="428">
        <f t="shared" si="43"/>
        <v>0</v>
      </c>
      <c r="AC201" s="403"/>
      <c r="AD201" s="403"/>
      <c r="AE201" s="403"/>
      <c r="AF201" s="403"/>
      <c r="AG201" s="403"/>
      <c r="AH201" s="403"/>
      <c r="AI201" s="403"/>
      <c r="AJ201" s="403"/>
      <c r="AK201" s="403"/>
      <c r="AL201" s="403"/>
      <c r="AM201" s="403"/>
      <c r="AN201" s="403"/>
      <c r="AO201" s="403"/>
      <c r="AP201" s="403"/>
    </row>
    <row r="202" spans="3:42" s="131" customFormat="1" x14ac:dyDescent="0.25">
      <c r="C202" s="132"/>
      <c r="E202" s="175"/>
      <c r="F202" s="66" t="s">
        <v>141</v>
      </c>
      <c r="G202" s="139" t="s">
        <v>381</v>
      </c>
      <c r="H202" s="139"/>
      <c r="I202" s="139"/>
      <c r="J202" s="403"/>
      <c r="K202" s="403"/>
      <c r="L202" s="403"/>
      <c r="M202" s="403"/>
      <c r="N202" s="403"/>
      <c r="O202" s="403"/>
      <c r="P202" s="403"/>
      <c r="Q202" s="403"/>
      <c r="R202" s="403"/>
      <c r="S202" s="403"/>
      <c r="T202" s="403"/>
      <c r="U202" s="403"/>
      <c r="V202" s="403"/>
      <c r="W202" s="403"/>
      <c r="X202" s="403"/>
      <c r="Y202" s="403"/>
      <c r="Z202" s="403"/>
      <c r="AA202" s="403"/>
      <c r="AB202" s="403"/>
      <c r="AC202" s="403"/>
      <c r="AD202" s="403"/>
      <c r="AE202" s="403"/>
      <c r="AF202" s="403"/>
      <c r="AG202" s="403"/>
      <c r="AH202" s="403"/>
      <c r="AI202" s="403"/>
      <c r="AJ202" s="403"/>
      <c r="AK202" s="403"/>
      <c r="AL202" s="403"/>
      <c r="AM202" s="403"/>
      <c r="AN202" s="403"/>
      <c r="AO202" s="403"/>
      <c r="AP202" s="403"/>
    </row>
    <row r="203" spans="3:42" s="131" customFormat="1" x14ac:dyDescent="0.25">
      <c r="C203" s="132"/>
      <c r="E203" s="175"/>
      <c r="F203" s="67" t="s">
        <v>140</v>
      </c>
      <c r="G203" s="140" t="s">
        <v>381</v>
      </c>
      <c r="H203" s="140"/>
      <c r="I203" s="140"/>
      <c r="J203" s="404"/>
      <c r="K203" s="404"/>
      <c r="L203" s="404"/>
      <c r="M203" s="404"/>
      <c r="N203" s="404"/>
      <c r="O203" s="404"/>
      <c r="P203" s="404"/>
      <c r="Q203" s="404"/>
      <c r="R203" s="404"/>
      <c r="S203" s="404"/>
      <c r="T203" s="404"/>
      <c r="U203" s="404"/>
      <c r="V203" s="404"/>
      <c r="W203" s="404"/>
      <c r="X203" s="404"/>
      <c r="Y203" s="404"/>
      <c r="Z203" s="404"/>
      <c r="AA203" s="404"/>
      <c r="AB203" s="404"/>
      <c r="AC203" s="404"/>
      <c r="AD203" s="404"/>
      <c r="AE203" s="404"/>
      <c r="AF203" s="404"/>
      <c r="AG203" s="404"/>
      <c r="AH203" s="404"/>
      <c r="AI203" s="404"/>
      <c r="AJ203" s="404"/>
      <c r="AK203" s="404"/>
      <c r="AL203" s="404"/>
      <c r="AM203" s="404"/>
      <c r="AN203" s="404"/>
      <c r="AO203" s="404"/>
      <c r="AP203" s="404"/>
    </row>
    <row r="204" spans="3:42" s="160" customFormat="1" x14ac:dyDescent="0.25">
      <c r="C204" s="161"/>
      <c r="E204" s="175"/>
      <c r="F204" s="117"/>
      <c r="J204" s="416"/>
      <c r="K204" s="416"/>
      <c r="L204" s="416"/>
      <c r="M204" s="416"/>
      <c r="N204" s="416"/>
      <c r="O204" s="416"/>
      <c r="P204" s="416"/>
      <c r="Q204" s="416"/>
      <c r="R204" s="416"/>
      <c r="S204" s="416"/>
      <c r="T204" s="416"/>
      <c r="U204" s="416"/>
      <c r="V204" s="416"/>
      <c r="W204" s="416"/>
      <c r="X204" s="416"/>
      <c r="Y204" s="416"/>
      <c r="Z204" s="416"/>
      <c r="AA204" s="416"/>
      <c r="AB204" s="416"/>
      <c r="AC204" s="416"/>
      <c r="AD204" s="416"/>
      <c r="AE204" s="416"/>
      <c r="AF204" s="416"/>
      <c r="AG204" s="416"/>
      <c r="AH204" s="416"/>
      <c r="AI204" s="416"/>
      <c r="AJ204" s="416"/>
      <c r="AK204" s="416"/>
      <c r="AL204" s="416"/>
      <c r="AM204" s="416"/>
      <c r="AN204" s="416"/>
      <c r="AO204" s="416"/>
      <c r="AP204" s="416"/>
    </row>
    <row r="205" spans="3:42" s="131" customFormat="1" x14ac:dyDescent="0.25">
      <c r="C205" s="132"/>
      <c r="E205" s="172" t="s">
        <v>133</v>
      </c>
      <c r="F205" s="117"/>
      <c r="J205" s="416"/>
      <c r="K205" s="416"/>
      <c r="L205" s="416"/>
      <c r="M205" s="416"/>
      <c r="N205" s="416"/>
      <c r="O205" s="416"/>
      <c r="P205" s="416"/>
      <c r="Q205" s="416"/>
      <c r="R205" s="416"/>
      <c r="S205" s="416"/>
      <c r="T205" s="416"/>
      <c r="U205" s="416"/>
      <c r="V205" s="416"/>
      <c r="W205" s="416"/>
      <c r="X205" s="416"/>
      <c r="Y205" s="416"/>
      <c r="Z205" s="416"/>
      <c r="AA205" s="416"/>
      <c r="AB205" s="416"/>
      <c r="AC205" s="416"/>
      <c r="AD205" s="416"/>
      <c r="AE205" s="416"/>
      <c r="AF205" s="416"/>
      <c r="AG205" s="416"/>
      <c r="AH205" s="416"/>
      <c r="AI205" s="416"/>
      <c r="AJ205" s="416"/>
      <c r="AK205" s="416"/>
      <c r="AL205" s="416"/>
      <c r="AM205" s="416"/>
      <c r="AN205" s="416"/>
      <c r="AO205" s="416"/>
      <c r="AP205" s="416"/>
    </row>
    <row r="206" spans="3:42" s="131" customFormat="1" x14ac:dyDescent="0.25">
      <c r="C206" s="132"/>
      <c r="E206" s="175"/>
      <c r="F206" s="72" t="s">
        <v>397</v>
      </c>
      <c r="G206" s="137" t="s">
        <v>381</v>
      </c>
      <c r="H206" s="137"/>
      <c r="I206" s="137"/>
      <c r="J206" s="431">
        <f>J$121 * J146</f>
        <v>0</v>
      </c>
      <c r="K206" s="431">
        <f t="shared" ref="K206:AB206" si="44">K$121 * K146</f>
        <v>0</v>
      </c>
      <c r="L206" s="431">
        <f t="shared" si="44"/>
        <v>0</v>
      </c>
      <c r="M206" s="431">
        <f t="shared" si="44"/>
        <v>0</v>
      </c>
      <c r="N206" s="431">
        <f t="shared" si="44"/>
        <v>0</v>
      </c>
      <c r="O206" s="431">
        <f t="shared" si="44"/>
        <v>0</v>
      </c>
      <c r="P206" s="431">
        <f t="shared" si="44"/>
        <v>0</v>
      </c>
      <c r="Q206" s="431">
        <f t="shared" si="44"/>
        <v>0</v>
      </c>
      <c r="R206" s="431">
        <f t="shared" si="44"/>
        <v>0</v>
      </c>
      <c r="S206" s="431">
        <f t="shared" si="44"/>
        <v>0</v>
      </c>
      <c r="T206" s="431">
        <f t="shared" si="44"/>
        <v>0</v>
      </c>
      <c r="U206" s="431">
        <f t="shared" si="44"/>
        <v>0</v>
      </c>
      <c r="V206" s="431">
        <f t="shared" si="44"/>
        <v>0</v>
      </c>
      <c r="W206" s="431">
        <f t="shared" si="44"/>
        <v>0</v>
      </c>
      <c r="X206" s="431">
        <f t="shared" si="44"/>
        <v>0</v>
      </c>
      <c r="Y206" s="431">
        <f t="shared" si="44"/>
        <v>0</v>
      </c>
      <c r="Z206" s="431">
        <f t="shared" si="44"/>
        <v>0</v>
      </c>
      <c r="AA206" s="431">
        <f t="shared" si="44"/>
        <v>0</v>
      </c>
      <c r="AB206" s="431">
        <f t="shared" si="44"/>
        <v>0</v>
      </c>
      <c r="AC206" s="402"/>
      <c r="AD206" s="402"/>
      <c r="AE206" s="402"/>
      <c r="AF206" s="402"/>
      <c r="AG206" s="402"/>
      <c r="AH206" s="402"/>
      <c r="AI206" s="402"/>
      <c r="AJ206" s="402"/>
      <c r="AK206" s="402"/>
      <c r="AL206" s="402"/>
      <c r="AM206" s="402"/>
      <c r="AN206" s="402"/>
      <c r="AO206" s="402"/>
      <c r="AP206" s="402"/>
    </row>
    <row r="207" spans="3:42" s="131" customFormat="1" x14ac:dyDescent="0.25">
      <c r="C207" s="132"/>
      <c r="E207" s="175"/>
      <c r="F207" s="66" t="s">
        <v>43</v>
      </c>
      <c r="G207" s="139" t="s">
        <v>381</v>
      </c>
      <c r="H207" s="139"/>
      <c r="I207" s="139"/>
      <c r="J207" s="428">
        <f t="shared" ref="J207:AB207" si="45">J$121 * J147</f>
        <v>0</v>
      </c>
      <c r="K207" s="428">
        <f t="shared" si="45"/>
        <v>0</v>
      </c>
      <c r="L207" s="428">
        <f t="shared" si="45"/>
        <v>0</v>
      </c>
      <c r="M207" s="428">
        <f t="shared" si="45"/>
        <v>0</v>
      </c>
      <c r="N207" s="428">
        <f t="shared" si="45"/>
        <v>0</v>
      </c>
      <c r="O207" s="428">
        <f t="shared" si="45"/>
        <v>0</v>
      </c>
      <c r="P207" s="428">
        <f t="shared" si="45"/>
        <v>0</v>
      </c>
      <c r="Q207" s="428">
        <f t="shared" si="45"/>
        <v>0</v>
      </c>
      <c r="R207" s="428">
        <f t="shared" si="45"/>
        <v>0</v>
      </c>
      <c r="S207" s="428">
        <f t="shared" si="45"/>
        <v>0</v>
      </c>
      <c r="T207" s="428">
        <f t="shared" si="45"/>
        <v>0</v>
      </c>
      <c r="U207" s="428">
        <f t="shared" si="45"/>
        <v>0</v>
      </c>
      <c r="V207" s="428">
        <f t="shared" si="45"/>
        <v>0</v>
      </c>
      <c r="W207" s="428">
        <f t="shared" si="45"/>
        <v>0</v>
      </c>
      <c r="X207" s="428">
        <f t="shared" si="45"/>
        <v>0</v>
      </c>
      <c r="Y207" s="428">
        <f t="shared" si="45"/>
        <v>0</v>
      </c>
      <c r="Z207" s="428">
        <f t="shared" si="45"/>
        <v>0</v>
      </c>
      <c r="AA207" s="428">
        <f t="shared" si="45"/>
        <v>0</v>
      </c>
      <c r="AB207" s="428">
        <f t="shared" si="45"/>
        <v>0</v>
      </c>
      <c r="AC207" s="403"/>
      <c r="AD207" s="403"/>
      <c r="AE207" s="403"/>
      <c r="AF207" s="403"/>
      <c r="AG207" s="403"/>
      <c r="AH207" s="403"/>
      <c r="AI207" s="403"/>
      <c r="AJ207" s="403"/>
      <c r="AK207" s="403"/>
      <c r="AL207" s="403"/>
      <c r="AM207" s="403"/>
      <c r="AN207" s="403"/>
      <c r="AO207" s="403"/>
      <c r="AP207" s="403"/>
    </row>
    <row r="208" spans="3:42" s="131" customFormat="1" x14ac:dyDescent="0.25">
      <c r="C208" s="132"/>
      <c r="E208" s="175"/>
      <c r="F208" s="66" t="s">
        <v>44</v>
      </c>
      <c r="G208" s="139" t="s">
        <v>381</v>
      </c>
      <c r="H208" s="139"/>
      <c r="I208" s="139"/>
      <c r="J208" s="428">
        <f t="shared" ref="J208:AB208" si="46">J$121 * J148</f>
        <v>0</v>
      </c>
      <c r="K208" s="428">
        <f t="shared" si="46"/>
        <v>0</v>
      </c>
      <c r="L208" s="428">
        <f t="shared" si="46"/>
        <v>0</v>
      </c>
      <c r="M208" s="428">
        <f t="shared" si="46"/>
        <v>0</v>
      </c>
      <c r="N208" s="428">
        <f t="shared" si="46"/>
        <v>0</v>
      </c>
      <c r="O208" s="428">
        <f t="shared" si="46"/>
        <v>0</v>
      </c>
      <c r="P208" s="428">
        <f t="shared" si="46"/>
        <v>0</v>
      </c>
      <c r="Q208" s="428">
        <f t="shared" si="46"/>
        <v>0</v>
      </c>
      <c r="R208" s="428">
        <f t="shared" si="46"/>
        <v>0</v>
      </c>
      <c r="S208" s="428">
        <f t="shared" si="46"/>
        <v>0</v>
      </c>
      <c r="T208" s="428">
        <f t="shared" si="46"/>
        <v>0</v>
      </c>
      <c r="U208" s="428">
        <f t="shared" si="46"/>
        <v>0</v>
      </c>
      <c r="V208" s="428">
        <f t="shared" si="46"/>
        <v>0</v>
      </c>
      <c r="W208" s="428">
        <f t="shared" si="46"/>
        <v>0</v>
      </c>
      <c r="X208" s="428">
        <f t="shared" si="46"/>
        <v>0</v>
      </c>
      <c r="Y208" s="428">
        <f t="shared" si="46"/>
        <v>0</v>
      </c>
      <c r="Z208" s="428">
        <f t="shared" si="46"/>
        <v>0</v>
      </c>
      <c r="AA208" s="428">
        <f t="shared" si="46"/>
        <v>0</v>
      </c>
      <c r="AB208" s="428">
        <f t="shared" si="46"/>
        <v>0</v>
      </c>
      <c r="AC208" s="403"/>
      <c r="AD208" s="403"/>
      <c r="AE208" s="403"/>
      <c r="AF208" s="403"/>
      <c r="AG208" s="403"/>
      <c r="AH208" s="403"/>
      <c r="AI208" s="403"/>
      <c r="AJ208" s="403"/>
      <c r="AK208" s="403"/>
      <c r="AL208" s="403"/>
      <c r="AM208" s="403"/>
      <c r="AN208" s="403"/>
      <c r="AO208" s="403"/>
      <c r="AP208" s="403"/>
    </row>
    <row r="209" spans="3:44" s="131" customFormat="1" x14ac:dyDescent="0.25">
      <c r="C209" s="132"/>
      <c r="E209" s="175"/>
      <c r="F209" s="66" t="s">
        <v>45</v>
      </c>
      <c r="G209" s="139" t="s">
        <v>381</v>
      </c>
      <c r="H209" s="139"/>
      <c r="I209" s="139"/>
      <c r="J209" s="428">
        <f t="shared" ref="J209:AB209" si="47">J$121 * J149</f>
        <v>0</v>
      </c>
      <c r="K209" s="428">
        <f t="shared" si="47"/>
        <v>0</v>
      </c>
      <c r="L209" s="428">
        <f t="shared" si="47"/>
        <v>0</v>
      </c>
      <c r="M209" s="428">
        <f t="shared" si="47"/>
        <v>0</v>
      </c>
      <c r="N209" s="428">
        <f t="shared" si="47"/>
        <v>0</v>
      </c>
      <c r="O209" s="428">
        <f t="shared" si="47"/>
        <v>0</v>
      </c>
      <c r="P209" s="428">
        <f t="shared" si="47"/>
        <v>0</v>
      </c>
      <c r="Q209" s="428">
        <f t="shared" si="47"/>
        <v>0</v>
      </c>
      <c r="R209" s="428">
        <f t="shared" si="47"/>
        <v>0</v>
      </c>
      <c r="S209" s="428">
        <f t="shared" si="47"/>
        <v>0</v>
      </c>
      <c r="T209" s="428">
        <f t="shared" si="47"/>
        <v>0</v>
      </c>
      <c r="U209" s="428">
        <f t="shared" si="47"/>
        <v>0</v>
      </c>
      <c r="V209" s="428">
        <f t="shared" si="47"/>
        <v>0</v>
      </c>
      <c r="W209" s="428">
        <f t="shared" si="47"/>
        <v>0</v>
      </c>
      <c r="X209" s="428">
        <f t="shared" si="47"/>
        <v>0</v>
      </c>
      <c r="Y209" s="428">
        <f t="shared" si="47"/>
        <v>0</v>
      </c>
      <c r="Z209" s="428">
        <f t="shared" si="47"/>
        <v>0</v>
      </c>
      <c r="AA209" s="428">
        <f t="shared" si="47"/>
        <v>0</v>
      </c>
      <c r="AB209" s="428">
        <f t="shared" si="47"/>
        <v>0</v>
      </c>
      <c r="AC209" s="403"/>
      <c r="AD209" s="403"/>
      <c r="AE209" s="403"/>
      <c r="AF209" s="403"/>
      <c r="AG209" s="403"/>
      <c r="AH209" s="403"/>
      <c r="AI209" s="403"/>
      <c r="AJ209" s="403"/>
      <c r="AK209" s="403"/>
      <c r="AL209" s="403"/>
      <c r="AM209" s="403"/>
      <c r="AN209" s="403"/>
      <c r="AO209" s="403"/>
      <c r="AP209" s="403"/>
    </row>
    <row r="210" spans="3:44" s="131" customFormat="1" x14ac:dyDescent="0.25">
      <c r="C210" s="132"/>
      <c r="E210" s="175"/>
      <c r="F210" s="66" t="s">
        <v>46</v>
      </c>
      <c r="G210" s="139" t="s">
        <v>381</v>
      </c>
      <c r="H210" s="139"/>
      <c r="I210" s="139"/>
      <c r="J210" s="428">
        <f t="shared" ref="J210:AB210" si="48">J$121 * J150</f>
        <v>0</v>
      </c>
      <c r="K210" s="428">
        <f t="shared" si="48"/>
        <v>0</v>
      </c>
      <c r="L210" s="428">
        <f t="shared" si="48"/>
        <v>0</v>
      </c>
      <c r="M210" s="428">
        <f t="shared" si="48"/>
        <v>0</v>
      </c>
      <c r="N210" s="428">
        <f t="shared" si="48"/>
        <v>0</v>
      </c>
      <c r="O210" s="428">
        <f t="shared" si="48"/>
        <v>0</v>
      </c>
      <c r="P210" s="428">
        <f t="shared" si="48"/>
        <v>0</v>
      </c>
      <c r="Q210" s="428">
        <f t="shared" si="48"/>
        <v>0</v>
      </c>
      <c r="R210" s="428">
        <f t="shared" si="48"/>
        <v>0</v>
      </c>
      <c r="S210" s="428">
        <f t="shared" si="48"/>
        <v>0</v>
      </c>
      <c r="T210" s="428">
        <f t="shared" si="48"/>
        <v>0</v>
      </c>
      <c r="U210" s="428">
        <f t="shared" si="48"/>
        <v>0</v>
      </c>
      <c r="V210" s="428">
        <f t="shared" si="48"/>
        <v>0</v>
      </c>
      <c r="W210" s="428">
        <f t="shared" si="48"/>
        <v>0.13561431494876042</v>
      </c>
      <c r="X210" s="428">
        <f t="shared" si="48"/>
        <v>0</v>
      </c>
      <c r="Y210" s="428">
        <f t="shared" si="48"/>
        <v>0</v>
      </c>
      <c r="Z210" s="428">
        <f t="shared" si="48"/>
        <v>0</v>
      </c>
      <c r="AA210" s="428">
        <f t="shared" si="48"/>
        <v>0</v>
      </c>
      <c r="AB210" s="428">
        <f t="shared" si="48"/>
        <v>0</v>
      </c>
      <c r="AC210" s="403"/>
      <c r="AD210" s="403"/>
      <c r="AE210" s="403"/>
      <c r="AF210" s="403"/>
      <c r="AG210" s="403"/>
      <c r="AH210" s="403"/>
      <c r="AI210" s="403"/>
      <c r="AJ210" s="403"/>
      <c r="AK210" s="403"/>
      <c r="AL210" s="403"/>
      <c r="AM210" s="403"/>
      <c r="AN210" s="403"/>
      <c r="AO210" s="403"/>
      <c r="AP210" s="403"/>
    </row>
    <row r="211" spans="3:44" s="131" customFormat="1" x14ac:dyDescent="0.25">
      <c r="C211" s="132"/>
      <c r="E211" s="175"/>
      <c r="F211" s="66" t="s">
        <v>47</v>
      </c>
      <c r="G211" s="139" t="s">
        <v>381</v>
      </c>
      <c r="H211" s="139"/>
      <c r="I211" s="139"/>
      <c r="J211" s="428">
        <f t="shared" ref="J211:AB211" si="49">J$121 * J151</f>
        <v>0</v>
      </c>
      <c r="K211" s="428">
        <f t="shared" si="49"/>
        <v>0</v>
      </c>
      <c r="L211" s="428">
        <f t="shared" si="49"/>
        <v>0</v>
      </c>
      <c r="M211" s="428">
        <f t="shared" si="49"/>
        <v>0</v>
      </c>
      <c r="N211" s="428">
        <f t="shared" si="49"/>
        <v>0</v>
      </c>
      <c r="O211" s="428">
        <f t="shared" si="49"/>
        <v>0</v>
      </c>
      <c r="P211" s="428">
        <f t="shared" si="49"/>
        <v>0</v>
      </c>
      <c r="Q211" s="428">
        <f t="shared" si="49"/>
        <v>0</v>
      </c>
      <c r="R211" s="428">
        <f t="shared" si="49"/>
        <v>0</v>
      </c>
      <c r="S211" s="428">
        <f t="shared" si="49"/>
        <v>0</v>
      </c>
      <c r="T211" s="428">
        <f t="shared" si="49"/>
        <v>0</v>
      </c>
      <c r="U211" s="428">
        <f t="shared" si="49"/>
        <v>0</v>
      </c>
      <c r="V211" s="428">
        <f t="shared" si="49"/>
        <v>0</v>
      </c>
      <c r="W211" s="428">
        <f t="shared" si="49"/>
        <v>0.51647588873623829</v>
      </c>
      <c r="X211" s="428">
        <f t="shared" si="49"/>
        <v>0</v>
      </c>
      <c r="Y211" s="428">
        <f t="shared" si="49"/>
        <v>0</v>
      </c>
      <c r="Z211" s="428">
        <f t="shared" si="49"/>
        <v>0</v>
      </c>
      <c r="AA211" s="428">
        <f t="shared" si="49"/>
        <v>0</v>
      </c>
      <c r="AB211" s="428">
        <f t="shared" si="49"/>
        <v>0</v>
      </c>
      <c r="AC211" s="403"/>
      <c r="AD211" s="403"/>
      <c r="AE211" s="403"/>
      <c r="AF211" s="403"/>
      <c r="AG211" s="403"/>
      <c r="AH211" s="403"/>
      <c r="AI211" s="403"/>
      <c r="AJ211" s="403"/>
      <c r="AK211" s="403"/>
      <c r="AL211" s="403"/>
      <c r="AM211" s="403"/>
      <c r="AN211" s="403"/>
      <c r="AO211" s="403"/>
      <c r="AP211" s="403"/>
    </row>
    <row r="212" spans="3:44" s="131" customFormat="1" x14ac:dyDescent="0.25">
      <c r="C212" s="132"/>
      <c r="E212" s="175"/>
      <c r="F212" s="66" t="s">
        <v>51</v>
      </c>
      <c r="G212" s="139" t="s">
        <v>381</v>
      </c>
      <c r="H212" s="139"/>
      <c r="I212" s="139"/>
      <c r="J212" s="428">
        <f t="shared" ref="J212:AB212" si="50">J$121 * J152</f>
        <v>0</v>
      </c>
      <c r="K212" s="428">
        <f t="shared" si="50"/>
        <v>0</v>
      </c>
      <c r="L212" s="428">
        <f t="shared" si="50"/>
        <v>0</v>
      </c>
      <c r="M212" s="428">
        <f t="shared" si="50"/>
        <v>0</v>
      </c>
      <c r="N212" s="428">
        <f t="shared" si="50"/>
        <v>0</v>
      </c>
      <c r="O212" s="428">
        <f t="shared" si="50"/>
        <v>0</v>
      </c>
      <c r="P212" s="428">
        <f t="shared" si="50"/>
        <v>0</v>
      </c>
      <c r="Q212" s="428">
        <f t="shared" si="50"/>
        <v>0</v>
      </c>
      <c r="R212" s="428">
        <f t="shared" si="50"/>
        <v>0</v>
      </c>
      <c r="S212" s="428">
        <f t="shared" si="50"/>
        <v>0</v>
      </c>
      <c r="T212" s="428">
        <f t="shared" si="50"/>
        <v>0</v>
      </c>
      <c r="U212" s="428">
        <f t="shared" si="50"/>
        <v>0</v>
      </c>
      <c r="V212" s="428">
        <f t="shared" si="50"/>
        <v>0</v>
      </c>
      <c r="W212" s="428">
        <f t="shared" si="50"/>
        <v>0</v>
      </c>
      <c r="X212" s="428">
        <f t="shared" si="50"/>
        <v>0</v>
      </c>
      <c r="Y212" s="428">
        <f t="shared" si="50"/>
        <v>0</v>
      </c>
      <c r="Z212" s="428">
        <f t="shared" si="50"/>
        <v>0</v>
      </c>
      <c r="AA212" s="428">
        <f t="shared" si="50"/>
        <v>0</v>
      </c>
      <c r="AB212" s="428">
        <f t="shared" si="50"/>
        <v>0</v>
      </c>
      <c r="AC212" s="403"/>
      <c r="AD212" s="403"/>
      <c r="AE212" s="403"/>
      <c r="AF212" s="403"/>
      <c r="AG212" s="403"/>
      <c r="AH212" s="403"/>
      <c r="AI212" s="403"/>
      <c r="AJ212" s="403"/>
      <c r="AK212" s="403"/>
      <c r="AL212" s="403"/>
      <c r="AM212" s="403"/>
      <c r="AN212" s="403"/>
      <c r="AO212" s="403"/>
      <c r="AP212" s="403"/>
    </row>
    <row r="213" spans="3:44" s="131" customFormat="1" x14ac:dyDescent="0.25">
      <c r="C213" s="132"/>
      <c r="E213" s="175"/>
      <c r="F213" s="66" t="s">
        <v>48</v>
      </c>
      <c r="G213" s="139" t="s">
        <v>381</v>
      </c>
      <c r="H213" s="139"/>
      <c r="I213" s="139"/>
      <c r="J213" s="428">
        <f t="shared" ref="J213:AB213" si="51">J$121 * J153</f>
        <v>0</v>
      </c>
      <c r="K213" s="428">
        <f t="shared" si="51"/>
        <v>0</v>
      </c>
      <c r="L213" s="428">
        <f t="shared" si="51"/>
        <v>0</v>
      </c>
      <c r="M213" s="428">
        <f t="shared" si="51"/>
        <v>0</v>
      </c>
      <c r="N213" s="428">
        <f t="shared" si="51"/>
        <v>0</v>
      </c>
      <c r="O213" s="428">
        <f t="shared" si="51"/>
        <v>0</v>
      </c>
      <c r="P213" s="428">
        <f t="shared" si="51"/>
        <v>0</v>
      </c>
      <c r="Q213" s="428">
        <f t="shared" si="51"/>
        <v>0</v>
      </c>
      <c r="R213" s="428">
        <f t="shared" si="51"/>
        <v>0</v>
      </c>
      <c r="S213" s="428">
        <f t="shared" si="51"/>
        <v>0</v>
      </c>
      <c r="T213" s="428">
        <f t="shared" si="51"/>
        <v>0</v>
      </c>
      <c r="U213" s="428">
        <f t="shared" si="51"/>
        <v>0.26038633718847892</v>
      </c>
      <c r="V213" s="428">
        <f t="shared" si="51"/>
        <v>1.2505239150557803</v>
      </c>
      <c r="W213" s="428">
        <f t="shared" si="51"/>
        <v>1.2325909717232404</v>
      </c>
      <c r="X213" s="428">
        <f t="shared" si="51"/>
        <v>0</v>
      </c>
      <c r="Y213" s="428">
        <f t="shared" si="51"/>
        <v>0</v>
      </c>
      <c r="Z213" s="428">
        <f t="shared" si="51"/>
        <v>0</v>
      </c>
      <c r="AA213" s="428">
        <f t="shared" si="51"/>
        <v>0</v>
      </c>
      <c r="AB213" s="428">
        <f t="shared" si="51"/>
        <v>0</v>
      </c>
      <c r="AC213" s="403"/>
      <c r="AD213" s="403"/>
      <c r="AE213" s="403"/>
      <c r="AF213" s="403"/>
      <c r="AG213" s="403"/>
      <c r="AH213" s="403"/>
      <c r="AI213" s="403"/>
      <c r="AJ213" s="403"/>
      <c r="AK213" s="403"/>
      <c r="AL213" s="403"/>
      <c r="AM213" s="403"/>
      <c r="AN213" s="403"/>
      <c r="AO213" s="403"/>
      <c r="AP213" s="403"/>
    </row>
    <row r="214" spans="3:44" s="131" customFormat="1" x14ac:dyDescent="0.25">
      <c r="C214" s="132"/>
      <c r="E214" s="175"/>
      <c r="F214" s="66" t="s">
        <v>49</v>
      </c>
      <c r="G214" s="139" t="s">
        <v>381</v>
      </c>
      <c r="H214" s="139"/>
      <c r="I214" s="139"/>
      <c r="J214" s="428">
        <f t="shared" ref="J214:AB214" si="52">J$121 * J154</f>
        <v>0</v>
      </c>
      <c r="K214" s="428">
        <f t="shared" si="52"/>
        <v>0</v>
      </c>
      <c r="L214" s="428">
        <f t="shared" si="52"/>
        <v>0</v>
      </c>
      <c r="M214" s="428">
        <f t="shared" si="52"/>
        <v>0</v>
      </c>
      <c r="N214" s="428">
        <f t="shared" si="52"/>
        <v>0</v>
      </c>
      <c r="O214" s="428">
        <f t="shared" si="52"/>
        <v>0</v>
      </c>
      <c r="P214" s="428">
        <f t="shared" si="52"/>
        <v>0</v>
      </c>
      <c r="Q214" s="428">
        <f t="shared" si="52"/>
        <v>0</v>
      </c>
      <c r="R214" s="428">
        <f t="shared" si="52"/>
        <v>0</v>
      </c>
      <c r="S214" s="428">
        <f t="shared" si="52"/>
        <v>0</v>
      </c>
      <c r="T214" s="428">
        <f t="shared" si="52"/>
        <v>0</v>
      </c>
      <c r="U214" s="428">
        <f t="shared" si="52"/>
        <v>0.42690450196050872</v>
      </c>
      <c r="V214" s="428">
        <f t="shared" si="52"/>
        <v>0.41004785036794505</v>
      </c>
      <c r="W214" s="428">
        <f t="shared" si="52"/>
        <v>0</v>
      </c>
      <c r="X214" s="428">
        <f t="shared" si="52"/>
        <v>0</v>
      </c>
      <c r="Y214" s="428">
        <f t="shared" si="52"/>
        <v>0</v>
      </c>
      <c r="Z214" s="428">
        <f t="shared" si="52"/>
        <v>0</v>
      </c>
      <c r="AA214" s="428">
        <f t="shared" si="52"/>
        <v>0</v>
      </c>
      <c r="AB214" s="428">
        <f t="shared" si="52"/>
        <v>0</v>
      </c>
      <c r="AC214" s="403"/>
      <c r="AD214" s="403"/>
      <c r="AE214" s="403"/>
      <c r="AF214" s="403"/>
      <c r="AG214" s="403"/>
      <c r="AH214" s="403"/>
      <c r="AI214" s="403"/>
      <c r="AJ214" s="403"/>
      <c r="AK214" s="403"/>
      <c r="AL214" s="403"/>
      <c r="AM214" s="403"/>
      <c r="AN214" s="403"/>
      <c r="AO214" s="403"/>
      <c r="AP214" s="403"/>
    </row>
    <row r="215" spans="3:44" s="131" customFormat="1" x14ac:dyDescent="0.25">
      <c r="C215" s="132"/>
      <c r="E215" s="175"/>
      <c r="F215" s="66" t="s">
        <v>50</v>
      </c>
      <c r="G215" s="139" t="s">
        <v>381</v>
      </c>
      <c r="H215" s="139"/>
      <c r="I215" s="139"/>
      <c r="J215" s="428">
        <f t="shared" ref="J215:AB215" si="53">J$121 * J155</f>
        <v>0</v>
      </c>
      <c r="K215" s="428">
        <f t="shared" si="53"/>
        <v>0</v>
      </c>
      <c r="L215" s="428">
        <f t="shared" si="53"/>
        <v>0</v>
      </c>
      <c r="M215" s="428">
        <f t="shared" si="53"/>
        <v>0</v>
      </c>
      <c r="N215" s="428">
        <f t="shared" si="53"/>
        <v>0</v>
      </c>
      <c r="O215" s="428">
        <f t="shared" si="53"/>
        <v>0</v>
      </c>
      <c r="P215" s="428">
        <f t="shared" si="53"/>
        <v>0</v>
      </c>
      <c r="Q215" s="428">
        <f t="shared" si="53"/>
        <v>0</v>
      </c>
      <c r="R215" s="428">
        <f t="shared" si="53"/>
        <v>0</v>
      </c>
      <c r="S215" s="428">
        <f t="shared" si="53"/>
        <v>0</v>
      </c>
      <c r="T215" s="428">
        <f t="shared" si="53"/>
        <v>0</v>
      </c>
      <c r="U215" s="428">
        <f t="shared" si="53"/>
        <v>0.63154079064163926</v>
      </c>
      <c r="V215" s="428">
        <f t="shared" si="53"/>
        <v>0</v>
      </c>
      <c r="W215" s="428">
        <f t="shared" si="53"/>
        <v>0</v>
      </c>
      <c r="X215" s="428">
        <f t="shared" si="53"/>
        <v>0</v>
      </c>
      <c r="Y215" s="428">
        <f t="shared" si="53"/>
        <v>0</v>
      </c>
      <c r="Z215" s="428">
        <f t="shared" si="53"/>
        <v>0</v>
      </c>
      <c r="AA215" s="428">
        <f t="shared" si="53"/>
        <v>0</v>
      </c>
      <c r="AB215" s="428">
        <f t="shared" si="53"/>
        <v>0</v>
      </c>
      <c r="AC215" s="403"/>
      <c r="AD215" s="403"/>
      <c r="AE215" s="403"/>
      <c r="AF215" s="403"/>
      <c r="AG215" s="403"/>
      <c r="AH215" s="403"/>
      <c r="AI215" s="403"/>
      <c r="AJ215" s="403"/>
      <c r="AK215" s="403"/>
      <c r="AL215" s="403"/>
      <c r="AM215" s="403"/>
      <c r="AN215" s="403"/>
      <c r="AO215" s="403"/>
      <c r="AP215" s="403"/>
    </row>
    <row r="216" spans="3:44" s="131" customFormat="1" x14ac:dyDescent="0.25">
      <c r="C216" s="132"/>
      <c r="E216" s="175"/>
      <c r="F216" s="66" t="s">
        <v>141</v>
      </c>
      <c r="G216" s="139" t="s">
        <v>381</v>
      </c>
      <c r="H216" s="139"/>
      <c r="I216" s="139"/>
      <c r="J216" s="403"/>
      <c r="K216" s="403"/>
      <c r="L216" s="403"/>
      <c r="M216" s="403"/>
      <c r="N216" s="403"/>
      <c r="O216" s="403"/>
      <c r="P216" s="403"/>
      <c r="Q216" s="403"/>
      <c r="R216" s="403"/>
      <c r="S216" s="403"/>
      <c r="T216" s="403"/>
      <c r="U216" s="403"/>
      <c r="V216" s="403"/>
      <c r="W216" s="403"/>
      <c r="X216" s="403"/>
      <c r="Y216" s="403"/>
      <c r="Z216" s="403"/>
      <c r="AA216" s="403"/>
      <c r="AB216" s="403"/>
      <c r="AC216" s="403"/>
      <c r="AD216" s="403"/>
      <c r="AE216" s="403"/>
      <c r="AF216" s="403"/>
      <c r="AG216" s="403"/>
      <c r="AH216" s="403"/>
      <c r="AI216" s="403"/>
      <c r="AJ216" s="403"/>
      <c r="AK216" s="403"/>
      <c r="AL216" s="403"/>
      <c r="AM216" s="403"/>
      <c r="AN216" s="403"/>
      <c r="AO216" s="403"/>
      <c r="AP216" s="403"/>
    </row>
    <row r="217" spans="3:44" s="131" customFormat="1" x14ac:dyDescent="0.25">
      <c r="C217" s="132"/>
      <c r="E217" s="175"/>
      <c r="F217" s="67" t="s">
        <v>140</v>
      </c>
      <c r="G217" s="140" t="s">
        <v>381</v>
      </c>
      <c r="H217" s="140"/>
      <c r="I217" s="140"/>
      <c r="J217" s="404"/>
      <c r="K217" s="404"/>
      <c r="L217" s="404"/>
      <c r="M217" s="404"/>
      <c r="N217" s="404"/>
      <c r="O217" s="404"/>
      <c r="P217" s="404"/>
      <c r="Q217" s="404"/>
      <c r="R217" s="404"/>
      <c r="S217" s="404"/>
      <c r="T217" s="404"/>
      <c r="U217" s="404"/>
      <c r="V217" s="404"/>
      <c r="W217" s="404"/>
      <c r="X217" s="404"/>
      <c r="Y217" s="404"/>
      <c r="Z217" s="404"/>
      <c r="AA217" s="404"/>
      <c r="AB217" s="404"/>
      <c r="AC217" s="404"/>
      <c r="AD217" s="404"/>
      <c r="AE217" s="404"/>
      <c r="AF217" s="404"/>
      <c r="AG217" s="404"/>
      <c r="AH217" s="404"/>
      <c r="AI217" s="404"/>
      <c r="AJ217" s="404"/>
      <c r="AK217" s="404"/>
      <c r="AL217" s="404"/>
      <c r="AM217" s="404"/>
      <c r="AN217" s="404"/>
      <c r="AO217" s="404"/>
      <c r="AP217" s="404"/>
    </row>
    <row r="218" spans="3:44" s="131" customFormat="1" x14ac:dyDescent="0.25">
      <c r="C218" s="132"/>
      <c r="D218" s="147"/>
      <c r="E218" s="175"/>
      <c r="F218" s="117"/>
      <c r="J218" s="416"/>
      <c r="K218" s="416"/>
      <c r="L218" s="416"/>
      <c r="M218" s="416"/>
      <c r="N218" s="416"/>
      <c r="O218" s="416"/>
      <c r="P218" s="416"/>
      <c r="Q218" s="416"/>
      <c r="R218" s="416"/>
      <c r="S218" s="416"/>
      <c r="T218" s="416"/>
      <c r="U218" s="416"/>
      <c r="V218" s="416"/>
      <c r="W218" s="416"/>
      <c r="X218" s="416"/>
      <c r="Y218" s="416"/>
      <c r="Z218" s="416"/>
      <c r="AA218" s="416"/>
      <c r="AB218" s="416"/>
      <c r="AC218" s="416"/>
      <c r="AD218" s="416"/>
      <c r="AE218" s="416"/>
      <c r="AF218" s="416"/>
      <c r="AG218" s="416"/>
      <c r="AH218" s="416"/>
      <c r="AI218" s="416"/>
      <c r="AJ218" s="416"/>
      <c r="AK218" s="416"/>
      <c r="AL218" s="416"/>
      <c r="AM218" s="416"/>
      <c r="AN218" s="416"/>
      <c r="AO218" s="416"/>
      <c r="AP218" s="416"/>
    </row>
    <row r="219" spans="3:44" s="160" customFormat="1" x14ac:dyDescent="0.25">
      <c r="C219" s="22" t="str">
        <f ca="1">INDEX('Version control'!$H$34:$H$59,MATCH($A$1,'Version control'!$F$34:$F$59,0),1)&amp;"-E: Exceeded capacity charges for eligible customers, by network level"</f>
        <v>Section 516-E: Exceeded capacity charges for eligible customers, by network level</v>
      </c>
      <c r="D219" s="22"/>
      <c r="E219" s="22"/>
      <c r="F219" s="22"/>
      <c r="G219" s="22"/>
      <c r="H219" s="22"/>
      <c r="I219" s="22"/>
      <c r="J219" s="406"/>
      <c r="K219" s="406"/>
      <c r="L219" s="406"/>
      <c r="M219" s="406"/>
      <c r="N219" s="406"/>
      <c r="O219" s="406"/>
      <c r="P219" s="406"/>
      <c r="Q219" s="406"/>
      <c r="R219" s="406"/>
      <c r="S219" s="406"/>
      <c r="T219" s="406"/>
      <c r="U219" s="406"/>
      <c r="V219" s="406"/>
      <c r="W219" s="406"/>
      <c r="X219" s="406"/>
      <c r="Y219" s="406"/>
      <c r="Z219" s="406"/>
      <c r="AA219" s="406"/>
      <c r="AB219" s="406"/>
      <c r="AC219" s="406"/>
      <c r="AD219" s="406"/>
      <c r="AE219" s="406"/>
      <c r="AF219" s="406"/>
      <c r="AG219" s="406"/>
      <c r="AH219" s="406"/>
      <c r="AI219" s="406"/>
      <c r="AJ219" s="406"/>
      <c r="AK219" s="406"/>
      <c r="AL219" s="406"/>
      <c r="AM219" s="406"/>
      <c r="AN219" s="406"/>
      <c r="AO219" s="406"/>
      <c r="AP219" s="406"/>
      <c r="AQ219" s="22"/>
      <c r="AR219" s="22"/>
    </row>
    <row r="220" spans="3:44" s="131" customFormat="1" x14ac:dyDescent="0.25">
      <c r="D220" s="144"/>
      <c r="E220" s="172"/>
      <c r="I220" s="131" t="s">
        <v>525</v>
      </c>
      <c r="J220" s="416"/>
      <c r="K220" s="416"/>
      <c r="L220" s="416"/>
      <c r="M220" s="416"/>
      <c r="N220" s="416"/>
      <c r="O220" s="416"/>
      <c r="P220" s="416"/>
      <c r="Q220" s="416"/>
      <c r="R220" s="416"/>
      <c r="S220" s="416"/>
      <c r="T220" s="416"/>
      <c r="U220" s="416"/>
      <c r="V220" s="416"/>
      <c r="W220" s="416"/>
      <c r="X220" s="416"/>
      <c r="Y220" s="416"/>
      <c r="Z220" s="416"/>
      <c r="AA220" s="416"/>
      <c r="AB220" s="416"/>
      <c r="AC220" s="416"/>
      <c r="AD220" s="416"/>
      <c r="AE220" s="416"/>
      <c r="AF220" s="416"/>
      <c r="AG220" s="416"/>
      <c r="AH220" s="416"/>
      <c r="AI220" s="416"/>
      <c r="AJ220" s="416"/>
      <c r="AK220" s="416"/>
      <c r="AL220" s="416"/>
      <c r="AM220" s="416"/>
      <c r="AN220" s="416"/>
      <c r="AO220" s="416"/>
      <c r="AP220" s="416"/>
      <c r="AR220" s="160" t="s">
        <v>1096</v>
      </c>
    </row>
    <row r="221" spans="3:44" s="131" customFormat="1" x14ac:dyDescent="0.25">
      <c r="C221" s="132"/>
      <c r="E221" s="172" t="s">
        <v>156</v>
      </c>
      <c r="J221" s="416"/>
      <c r="K221" s="416"/>
      <c r="L221" s="416"/>
      <c r="M221" s="416"/>
      <c r="N221" s="416"/>
      <c r="O221" s="416"/>
      <c r="P221" s="416"/>
      <c r="Q221" s="416"/>
      <c r="R221" s="416"/>
      <c r="S221" s="416"/>
      <c r="T221" s="416"/>
      <c r="U221" s="416"/>
      <c r="V221" s="416"/>
      <c r="W221" s="416"/>
      <c r="X221" s="416"/>
      <c r="Y221" s="416"/>
      <c r="Z221" s="416"/>
      <c r="AA221" s="416"/>
      <c r="AB221" s="416"/>
      <c r="AC221" s="416"/>
      <c r="AD221" s="416"/>
      <c r="AE221" s="416"/>
      <c r="AF221" s="416"/>
      <c r="AG221" s="416"/>
      <c r="AH221" s="416"/>
      <c r="AI221" s="416"/>
      <c r="AJ221" s="416"/>
      <c r="AK221" s="416"/>
      <c r="AL221" s="416"/>
      <c r="AM221" s="416"/>
      <c r="AN221" s="416"/>
      <c r="AO221" s="416"/>
      <c r="AP221" s="416"/>
    </row>
    <row r="222" spans="3:44" s="131" customFormat="1" x14ac:dyDescent="0.25">
      <c r="C222" s="132"/>
      <c r="E222" s="175"/>
      <c r="F222" s="72" t="s">
        <v>397</v>
      </c>
      <c r="G222" s="137" t="s">
        <v>381</v>
      </c>
      <c r="H222" s="137"/>
      <c r="I222" s="137"/>
      <c r="J222" s="402"/>
      <c r="K222" s="402"/>
      <c r="L222" s="402"/>
      <c r="M222" s="402"/>
      <c r="N222" s="402"/>
      <c r="O222" s="402"/>
      <c r="P222" s="402"/>
      <c r="Q222" s="402"/>
      <c r="R222" s="402"/>
      <c r="S222" s="402"/>
      <c r="T222" s="402"/>
      <c r="U222" s="402"/>
      <c r="V222" s="402"/>
      <c r="W222" s="402"/>
      <c r="X222" s="402"/>
      <c r="Y222" s="402"/>
      <c r="Z222" s="402"/>
      <c r="AA222" s="402"/>
      <c r="AB222" s="402"/>
      <c r="AC222" s="402"/>
      <c r="AD222" s="402"/>
      <c r="AE222" s="402"/>
      <c r="AF222" s="402"/>
      <c r="AG222" s="402"/>
      <c r="AH222" s="402"/>
      <c r="AI222" s="402"/>
      <c r="AJ222" s="402"/>
      <c r="AK222" s="402"/>
      <c r="AL222" s="402"/>
      <c r="AM222" s="402"/>
      <c r="AN222" s="402"/>
      <c r="AO222" s="402"/>
      <c r="AP222" s="402"/>
    </row>
    <row r="223" spans="3:44" s="131" customFormat="1" x14ac:dyDescent="0.25">
      <c r="C223" s="132"/>
      <c r="E223" s="175"/>
      <c r="F223" s="66" t="s">
        <v>43</v>
      </c>
      <c r="G223" s="139" t="s">
        <v>381</v>
      </c>
      <c r="H223" s="139"/>
      <c r="I223" s="139"/>
      <c r="J223" s="403"/>
      <c r="K223" s="403"/>
      <c r="L223" s="403"/>
      <c r="M223" s="403"/>
      <c r="N223" s="403"/>
      <c r="O223" s="403"/>
      <c r="P223" s="403"/>
      <c r="Q223" s="403"/>
      <c r="R223" s="403"/>
      <c r="S223" s="403"/>
      <c r="T223" s="403"/>
      <c r="U223" s="403"/>
      <c r="V223" s="403"/>
      <c r="W223" s="403"/>
      <c r="X223" s="403"/>
      <c r="Y223" s="403"/>
      <c r="Z223" s="403"/>
      <c r="AA223" s="403"/>
      <c r="AB223" s="403"/>
      <c r="AC223" s="403"/>
      <c r="AD223" s="403"/>
      <c r="AE223" s="403"/>
      <c r="AF223" s="403"/>
      <c r="AG223" s="403"/>
      <c r="AH223" s="403"/>
      <c r="AI223" s="403"/>
      <c r="AJ223" s="403"/>
      <c r="AK223" s="403"/>
      <c r="AL223" s="403"/>
      <c r="AM223" s="403"/>
      <c r="AN223" s="403"/>
      <c r="AO223" s="403"/>
      <c r="AP223" s="403"/>
    </row>
    <row r="224" spans="3:44" s="131" customFormat="1" x14ac:dyDescent="0.25">
      <c r="C224" s="132"/>
      <c r="E224" s="175"/>
      <c r="F224" s="66" t="s">
        <v>44</v>
      </c>
      <c r="G224" s="139" t="s">
        <v>381</v>
      </c>
      <c r="H224" s="139"/>
      <c r="I224" s="139"/>
      <c r="J224" s="428">
        <f>J$122 * J164</f>
        <v>0</v>
      </c>
      <c r="K224" s="428">
        <f t="shared" ref="K224:AB224" si="54">K$122 * K164</f>
        <v>0</v>
      </c>
      <c r="L224" s="428">
        <f t="shared" si="54"/>
        <v>0</v>
      </c>
      <c r="M224" s="428">
        <f t="shared" si="54"/>
        <v>0</v>
      </c>
      <c r="N224" s="428">
        <f t="shared" si="54"/>
        <v>0</v>
      </c>
      <c r="O224" s="428">
        <f t="shared" si="54"/>
        <v>0</v>
      </c>
      <c r="P224" s="428">
        <f t="shared" si="54"/>
        <v>0</v>
      </c>
      <c r="Q224" s="428">
        <f t="shared" si="54"/>
        <v>0</v>
      </c>
      <c r="R224" s="428">
        <f t="shared" si="54"/>
        <v>0</v>
      </c>
      <c r="S224" s="428">
        <f t="shared" si="54"/>
        <v>0</v>
      </c>
      <c r="T224" s="428">
        <f t="shared" si="54"/>
        <v>0</v>
      </c>
      <c r="U224" s="428">
        <f t="shared" si="54"/>
        <v>0</v>
      </c>
      <c r="V224" s="428">
        <f t="shared" si="54"/>
        <v>0</v>
      </c>
      <c r="W224" s="428">
        <f t="shared" si="54"/>
        <v>0</v>
      </c>
      <c r="X224" s="428">
        <f t="shared" si="54"/>
        <v>0</v>
      </c>
      <c r="Y224" s="428">
        <f t="shared" si="54"/>
        <v>0</v>
      </c>
      <c r="Z224" s="428">
        <f t="shared" si="54"/>
        <v>0</v>
      </c>
      <c r="AA224" s="428">
        <f t="shared" si="54"/>
        <v>0</v>
      </c>
      <c r="AB224" s="428">
        <f t="shared" si="54"/>
        <v>0</v>
      </c>
      <c r="AC224" s="403"/>
      <c r="AD224" s="403"/>
      <c r="AE224" s="403"/>
      <c r="AF224" s="403"/>
      <c r="AG224" s="403"/>
      <c r="AH224" s="403"/>
      <c r="AI224" s="403"/>
      <c r="AJ224" s="403"/>
      <c r="AK224" s="403"/>
      <c r="AL224" s="403"/>
      <c r="AM224" s="403"/>
      <c r="AN224" s="403"/>
      <c r="AO224" s="403"/>
      <c r="AP224" s="403"/>
    </row>
    <row r="225" spans="3:42" s="131" customFormat="1" x14ac:dyDescent="0.25">
      <c r="C225" s="132"/>
      <c r="E225" s="175"/>
      <c r="F225" s="66" t="s">
        <v>45</v>
      </c>
      <c r="G225" s="139" t="s">
        <v>381</v>
      </c>
      <c r="H225" s="139"/>
      <c r="I225" s="139"/>
      <c r="J225" s="428">
        <f t="shared" ref="J225:AB225" si="55">J$122 * J165</f>
        <v>0</v>
      </c>
      <c r="K225" s="428">
        <f t="shared" si="55"/>
        <v>0</v>
      </c>
      <c r="L225" s="428">
        <f t="shared" si="55"/>
        <v>0</v>
      </c>
      <c r="M225" s="428">
        <f t="shared" si="55"/>
        <v>0</v>
      </c>
      <c r="N225" s="428">
        <f t="shared" si="55"/>
        <v>0</v>
      </c>
      <c r="O225" s="428">
        <f t="shared" si="55"/>
        <v>0</v>
      </c>
      <c r="P225" s="428">
        <f t="shared" si="55"/>
        <v>0</v>
      </c>
      <c r="Q225" s="428">
        <f t="shared" si="55"/>
        <v>0</v>
      </c>
      <c r="R225" s="428">
        <f t="shared" si="55"/>
        <v>0</v>
      </c>
      <c r="S225" s="428">
        <f t="shared" si="55"/>
        <v>0</v>
      </c>
      <c r="T225" s="428">
        <f t="shared" si="55"/>
        <v>0</v>
      </c>
      <c r="U225" s="428">
        <f t="shared" si="55"/>
        <v>0</v>
      </c>
      <c r="V225" s="428">
        <f t="shared" si="55"/>
        <v>0</v>
      </c>
      <c r="W225" s="428">
        <f t="shared" si="55"/>
        <v>0</v>
      </c>
      <c r="X225" s="428">
        <f t="shared" si="55"/>
        <v>0</v>
      </c>
      <c r="Y225" s="428">
        <f t="shared" si="55"/>
        <v>0</v>
      </c>
      <c r="Z225" s="428">
        <f t="shared" si="55"/>
        <v>0</v>
      </c>
      <c r="AA225" s="428">
        <f t="shared" si="55"/>
        <v>0</v>
      </c>
      <c r="AB225" s="428">
        <f t="shared" si="55"/>
        <v>0</v>
      </c>
      <c r="AC225" s="403"/>
      <c r="AD225" s="403"/>
      <c r="AE225" s="403"/>
      <c r="AF225" s="403"/>
      <c r="AG225" s="403"/>
      <c r="AH225" s="403"/>
      <c r="AI225" s="403"/>
      <c r="AJ225" s="403"/>
      <c r="AK225" s="403"/>
      <c r="AL225" s="403"/>
      <c r="AM225" s="403"/>
      <c r="AN225" s="403"/>
      <c r="AO225" s="403"/>
      <c r="AP225" s="403"/>
    </row>
    <row r="226" spans="3:42" s="131" customFormat="1" x14ac:dyDescent="0.25">
      <c r="C226" s="132"/>
      <c r="E226" s="175"/>
      <c r="F226" s="66" t="s">
        <v>46</v>
      </c>
      <c r="G226" s="139" t="s">
        <v>381</v>
      </c>
      <c r="H226" s="139"/>
      <c r="I226" s="139"/>
      <c r="J226" s="428">
        <f t="shared" ref="J226:AB226" si="56">J$122 * J166</f>
        <v>0</v>
      </c>
      <c r="K226" s="428">
        <f t="shared" si="56"/>
        <v>0</v>
      </c>
      <c r="L226" s="428">
        <f t="shared" si="56"/>
        <v>0</v>
      </c>
      <c r="M226" s="428">
        <f t="shared" si="56"/>
        <v>0</v>
      </c>
      <c r="N226" s="428">
        <f t="shared" si="56"/>
        <v>0</v>
      </c>
      <c r="O226" s="428">
        <f t="shared" si="56"/>
        <v>0</v>
      </c>
      <c r="P226" s="428">
        <f t="shared" si="56"/>
        <v>0</v>
      </c>
      <c r="Q226" s="428">
        <f t="shared" si="56"/>
        <v>0</v>
      </c>
      <c r="R226" s="428">
        <f t="shared" si="56"/>
        <v>0</v>
      </c>
      <c r="S226" s="428">
        <f t="shared" si="56"/>
        <v>0</v>
      </c>
      <c r="T226" s="428">
        <f t="shared" si="56"/>
        <v>0</v>
      </c>
      <c r="U226" s="428">
        <f t="shared" si="56"/>
        <v>0</v>
      </c>
      <c r="V226" s="428">
        <f t="shared" si="56"/>
        <v>0</v>
      </c>
      <c r="W226" s="428">
        <f t="shared" si="56"/>
        <v>0.33558432506721331</v>
      </c>
      <c r="X226" s="428">
        <f t="shared" si="56"/>
        <v>0</v>
      </c>
      <c r="Y226" s="428">
        <f t="shared" si="56"/>
        <v>0</v>
      </c>
      <c r="Z226" s="428">
        <f t="shared" si="56"/>
        <v>0</v>
      </c>
      <c r="AA226" s="428">
        <f t="shared" si="56"/>
        <v>0</v>
      </c>
      <c r="AB226" s="428">
        <f t="shared" si="56"/>
        <v>0</v>
      </c>
      <c r="AC226" s="403"/>
      <c r="AD226" s="403"/>
      <c r="AE226" s="403"/>
      <c r="AF226" s="403"/>
      <c r="AG226" s="403"/>
      <c r="AH226" s="403"/>
      <c r="AI226" s="403"/>
      <c r="AJ226" s="403"/>
      <c r="AK226" s="403"/>
      <c r="AL226" s="403"/>
      <c r="AM226" s="403"/>
      <c r="AN226" s="403"/>
      <c r="AO226" s="403"/>
      <c r="AP226" s="403"/>
    </row>
    <row r="227" spans="3:42" s="131" customFormat="1" x14ac:dyDescent="0.25">
      <c r="C227" s="132"/>
      <c r="E227" s="175"/>
      <c r="F227" s="66" t="s">
        <v>47</v>
      </c>
      <c r="G227" s="139" t="s">
        <v>381</v>
      </c>
      <c r="H227" s="139"/>
      <c r="I227" s="139"/>
      <c r="J227" s="428">
        <f t="shared" ref="J227:AB227" si="57">J$122 * J167</f>
        <v>0</v>
      </c>
      <c r="K227" s="428">
        <f t="shared" si="57"/>
        <v>0</v>
      </c>
      <c r="L227" s="428">
        <f t="shared" si="57"/>
        <v>0</v>
      </c>
      <c r="M227" s="428">
        <f t="shared" si="57"/>
        <v>0</v>
      </c>
      <c r="N227" s="428">
        <f t="shared" si="57"/>
        <v>0</v>
      </c>
      <c r="O227" s="428">
        <f t="shared" si="57"/>
        <v>0</v>
      </c>
      <c r="P227" s="428">
        <f t="shared" si="57"/>
        <v>0</v>
      </c>
      <c r="Q227" s="428">
        <f t="shared" si="57"/>
        <v>0</v>
      </c>
      <c r="R227" s="428">
        <f t="shared" si="57"/>
        <v>0</v>
      </c>
      <c r="S227" s="428">
        <f t="shared" si="57"/>
        <v>0</v>
      </c>
      <c r="T227" s="428">
        <f t="shared" si="57"/>
        <v>0</v>
      </c>
      <c r="U227" s="428">
        <f t="shared" si="57"/>
        <v>0</v>
      </c>
      <c r="V227" s="428">
        <f t="shared" si="57"/>
        <v>0</v>
      </c>
      <c r="W227" s="428">
        <f t="shared" si="57"/>
        <v>1.2780451134566886</v>
      </c>
      <c r="X227" s="428">
        <f t="shared" si="57"/>
        <v>0</v>
      </c>
      <c r="Y227" s="428">
        <f t="shared" si="57"/>
        <v>0</v>
      </c>
      <c r="Z227" s="428">
        <f t="shared" si="57"/>
        <v>0</v>
      </c>
      <c r="AA227" s="428">
        <f t="shared" si="57"/>
        <v>0</v>
      </c>
      <c r="AB227" s="428">
        <f t="shared" si="57"/>
        <v>0</v>
      </c>
      <c r="AC227" s="403"/>
      <c r="AD227" s="403"/>
      <c r="AE227" s="403"/>
      <c r="AF227" s="403"/>
      <c r="AG227" s="403"/>
      <c r="AH227" s="403"/>
      <c r="AI227" s="403"/>
      <c r="AJ227" s="403"/>
      <c r="AK227" s="403"/>
      <c r="AL227" s="403"/>
      <c r="AM227" s="403"/>
      <c r="AN227" s="403"/>
      <c r="AO227" s="403"/>
      <c r="AP227" s="403"/>
    </row>
    <row r="228" spans="3:42" s="131" customFormat="1" x14ac:dyDescent="0.25">
      <c r="C228" s="132"/>
      <c r="E228" s="175"/>
      <c r="F228" s="66" t="s">
        <v>51</v>
      </c>
      <c r="G228" s="139" t="s">
        <v>381</v>
      </c>
      <c r="H228" s="139"/>
      <c r="I228" s="139"/>
      <c r="J228" s="428">
        <f t="shared" ref="J228:AB228" si="58">J$122 * J168</f>
        <v>0</v>
      </c>
      <c r="K228" s="428">
        <f t="shared" si="58"/>
        <v>0</v>
      </c>
      <c r="L228" s="428">
        <f t="shared" si="58"/>
        <v>0</v>
      </c>
      <c r="M228" s="428">
        <f t="shared" si="58"/>
        <v>0</v>
      </c>
      <c r="N228" s="428">
        <f t="shared" si="58"/>
        <v>0</v>
      </c>
      <c r="O228" s="428">
        <f t="shared" si="58"/>
        <v>0</v>
      </c>
      <c r="P228" s="428">
        <f t="shared" si="58"/>
        <v>0</v>
      </c>
      <c r="Q228" s="428">
        <f t="shared" si="58"/>
        <v>0</v>
      </c>
      <c r="R228" s="428">
        <f t="shared" si="58"/>
        <v>0</v>
      </c>
      <c r="S228" s="428">
        <f t="shared" si="58"/>
        <v>0</v>
      </c>
      <c r="T228" s="428">
        <f t="shared" si="58"/>
        <v>0</v>
      </c>
      <c r="U228" s="428">
        <f t="shared" si="58"/>
        <v>0</v>
      </c>
      <c r="V228" s="428">
        <f t="shared" si="58"/>
        <v>0</v>
      </c>
      <c r="W228" s="428">
        <f t="shared" si="58"/>
        <v>0</v>
      </c>
      <c r="X228" s="428">
        <f t="shared" si="58"/>
        <v>0</v>
      </c>
      <c r="Y228" s="428">
        <f t="shared" si="58"/>
        <v>0</v>
      </c>
      <c r="Z228" s="428">
        <f t="shared" si="58"/>
        <v>0</v>
      </c>
      <c r="AA228" s="428">
        <f t="shared" si="58"/>
        <v>0</v>
      </c>
      <c r="AB228" s="428">
        <f t="shared" si="58"/>
        <v>0</v>
      </c>
      <c r="AC228" s="403"/>
      <c r="AD228" s="403"/>
      <c r="AE228" s="403"/>
      <c r="AF228" s="403"/>
      <c r="AG228" s="403"/>
      <c r="AH228" s="403"/>
      <c r="AI228" s="403"/>
      <c r="AJ228" s="403"/>
      <c r="AK228" s="403"/>
      <c r="AL228" s="403"/>
      <c r="AM228" s="403"/>
      <c r="AN228" s="403"/>
      <c r="AO228" s="403"/>
      <c r="AP228" s="403"/>
    </row>
    <row r="229" spans="3:42" s="131" customFormat="1" x14ac:dyDescent="0.25">
      <c r="C229" s="132"/>
      <c r="E229" s="175"/>
      <c r="F229" s="66" t="s">
        <v>48</v>
      </c>
      <c r="G229" s="139" t="s">
        <v>381</v>
      </c>
      <c r="H229" s="139"/>
      <c r="I229" s="139"/>
      <c r="J229" s="428">
        <f t="shared" ref="J229:AB229" si="59">J$122 * J169</f>
        <v>0</v>
      </c>
      <c r="K229" s="428">
        <f t="shared" si="59"/>
        <v>0</v>
      </c>
      <c r="L229" s="428">
        <f t="shared" si="59"/>
        <v>0</v>
      </c>
      <c r="M229" s="428">
        <f t="shared" si="59"/>
        <v>0</v>
      </c>
      <c r="N229" s="428">
        <f t="shared" si="59"/>
        <v>0</v>
      </c>
      <c r="O229" s="428">
        <f t="shared" si="59"/>
        <v>0</v>
      </c>
      <c r="P229" s="428">
        <f t="shared" si="59"/>
        <v>0</v>
      </c>
      <c r="Q229" s="428">
        <f t="shared" si="59"/>
        <v>0</v>
      </c>
      <c r="R229" s="428">
        <f t="shared" si="59"/>
        <v>0</v>
      </c>
      <c r="S229" s="428">
        <f t="shared" si="59"/>
        <v>0</v>
      </c>
      <c r="T229" s="428">
        <f t="shared" si="59"/>
        <v>0</v>
      </c>
      <c r="U229" s="428">
        <f t="shared" si="59"/>
        <v>0.64433886094646542</v>
      </c>
      <c r="V229" s="428">
        <f t="shared" si="59"/>
        <v>3.0944832348484983</v>
      </c>
      <c r="W229" s="428">
        <f t="shared" si="59"/>
        <v>3.0501072802378602</v>
      </c>
      <c r="X229" s="428">
        <f t="shared" si="59"/>
        <v>0</v>
      </c>
      <c r="Y229" s="428">
        <f t="shared" si="59"/>
        <v>0</v>
      </c>
      <c r="Z229" s="428">
        <f t="shared" si="59"/>
        <v>0</v>
      </c>
      <c r="AA229" s="428">
        <f t="shared" si="59"/>
        <v>0</v>
      </c>
      <c r="AB229" s="428">
        <f t="shared" si="59"/>
        <v>0</v>
      </c>
      <c r="AC229" s="403"/>
      <c r="AD229" s="403"/>
      <c r="AE229" s="403"/>
      <c r="AF229" s="403"/>
      <c r="AG229" s="403"/>
      <c r="AH229" s="403"/>
      <c r="AI229" s="403"/>
      <c r="AJ229" s="403"/>
      <c r="AK229" s="403"/>
      <c r="AL229" s="403"/>
      <c r="AM229" s="403"/>
      <c r="AN229" s="403"/>
      <c r="AO229" s="403"/>
      <c r="AP229" s="403"/>
    </row>
    <row r="230" spans="3:42" s="131" customFormat="1" x14ac:dyDescent="0.25">
      <c r="C230" s="132"/>
      <c r="E230" s="175"/>
      <c r="F230" s="66" t="s">
        <v>49</v>
      </c>
      <c r="G230" s="139" t="s">
        <v>381</v>
      </c>
      <c r="H230" s="139"/>
      <c r="I230" s="139"/>
      <c r="J230" s="428">
        <f t="shared" ref="J230:AB230" si="60">J$122 * J170</f>
        <v>0</v>
      </c>
      <c r="K230" s="428">
        <f t="shared" si="60"/>
        <v>0</v>
      </c>
      <c r="L230" s="428">
        <f t="shared" si="60"/>
        <v>0</v>
      </c>
      <c r="M230" s="428">
        <f t="shared" si="60"/>
        <v>0</v>
      </c>
      <c r="N230" s="428">
        <f t="shared" si="60"/>
        <v>0</v>
      </c>
      <c r="O230" s="428">
        <f t="shared" si="60"/>
        <v>0</v>
      </c>
      <c r="P230" s="428">
        <f t="shared" si="60"/>
        <v>0</v>
      </c>
      <c r="Q230" s="428">
        <f t="shared" si="60"/>
        <v>0</v>
      </c>
      <c r="R230" s="428">
        <f t="shared" si="60"/>
        <v>0</v>
      </c>
      <c r="S230" s="428">
        <f t="shared" si="60"/>
        <v>0</v>
      </c>
      <c r="T230" s="428">
        <f t="shared" si="60"/>
        <v>0</v>
      </c>
      <c r="U230" s="428">
        <f t="shared" si="60"/>
        <v>1.056396289821627</v>
      </c>
      <c r="V230" s="428">
        <f t="shared" si="60"/>
        <v>1.0146836723171921</v>
      </c>
      <c r="W230" s="428">
        <f t="shared" si="60"/>
        <v>0</v>
      </c>
      <c r="X230" s="428">
        <f t="shared" si="60"/>
        <v>0</v>
      </c>
      <c r="Y230" s="428">
        <f t="shared" si="60"/>
        <v>0</v>
      </c>
      <c r="Z230" s="428">
        <f t="shared" si="60"/>
        <v>0</v>
      </c>
      <c r="AA230" s="428">
        <f t="shared" si="60"/>
        <v>0</v>
      </c>
      <c r="AB230" s="428">
        <f t="shared" si="60"/>
        <v>0</v>
      </c>
      <c r="AC230" s="403"/>
      <c r="AD230" s="403"/>
      <c r="AE230" s="403"/>
      <c r="AF230" s="403"/>
      <c r="AG230" s="403"/>
      <c r="AH230" s="403"/>
      <c r="AI230" s="403"/>
      <c r="AJ230" s="403"/>
      <c r="AK230" s="403"/>
      <c r="AL230" s="403"/>
      <c r="AM230" s="403"/>
      <c r="AN230" s="403"/>
      <c r="AO230" s="403"/>
      <c r="AP230" s="403"/>
    </row>
    <row r="231" spans="3:42" s="131" customFormat="1" x14ac:dyDescent="0.25">
      <c r="C231" s="132"/>
      <c r="E231" s="175"/>
      <c r="F231" s="66" t="s">
        <v>50</v>
      </c>
      <c r="G231" s="139" t="s">
        <v>381</v>
      </c>
      <c r="H231" s="139"/>
      <c r="I231" s="139"/>
      <c r="J231" s="428">
        <f t="shared" ref="J231:AB231" si="61">J$122 * J171</f>
        <v>0</v>
      </c>
      <c r="K231" s="428">
        <f t="shared" si="61"/>
        <v>0</v>
      </c>
      <c r="L231" s="428">
        <f t="shared" si="61"/>
        <v>0</v>
      </c>
      <c r="M231" s="428">
        <f t="shared" si="61"/>
        <v>0</v>
      </c>
      <c r="N231" s="428">
        <f t="shared" si="61"/>
        <v>0</v>
      </c>
      <c r="O231" s="428">
        <f t="shared" si="61"/>
        <v>0</v>
      </c>
      <c r="P231" s="428">
        <f t="shared" si="61"/>
        <v>0</v>
      </c>
      <c r="Q231" s="428">
        <f t="shared" si="61"/>
        <v>0</v>
      </c>
      <c r="R231" s="428">
        <f t="shared" si="61"/>
        <v>0</v>
      </c>
      <c r="S231" s="428">
        <f t="shared" si="61"/>
        <v>0</v>
      </c>
      <c r="T231" s="428">
        <f t="shared" si="61"/>
        <v>0</v>
      </c>
      <c r="U231" s="428">
        <f t="shared" si="61"/>
        <v>1.5627789002950376</v>
      </c>
      <c r="V231" s="428">
        <f t="shared" si="61"/>
        <v>0</v>
      </c>
      <c r="W231" s="428">
        <f t="shared" si="61"/>
        <v>0</v>
      </c>
      <c r="X231" s="428">
        <f t="shared" si="61"/>
        <v>0</v>
      </c>
      <c r="Y231" s="428">
        <f t="shared" si="61"/>
        <v>0</v>
      </c>
      <c r="Z231" s="428">
        <f t="shared" si="61"/>
        <v>0</v>
      </c>
      <c r="AA231" s="428">
        <f t="shared" si="61"/>
        <v>0</v>
      </c>
      <c r="AB231" s="428">
        <f t="shared" si="61"/>
        <v>0</v>
      </c>
      <c r="AC231" s="403"/>
      <c r="AD231" s="403"/>
      <c r="AE231" s="403"/>
      <c r="AF231" s="403"/>
      <c r="AG231" s="403"/>
      <c r="AH231" s="403"/>
      <c r="AI231" s="403"/>
      <c r="AJ231" s="403"/>
      <c r="AK231" s="403"/>
      <c r="AL231" s="403"/>
      <c r="AM231" s="403"/>
      <c r="AN231" s="403"/>
      <c r="AO231" s="403"/>
      <c r="AP231" s="403"/>
    </row>
    <row r="232" spans="3:42" s="131" customFormat="1" x14ac:dyDescent="0.25">
      <c r="C232" s="132"/>
      <c r="E232" s="175"/>
      <c r="F232" s="66" t="s">
        <v>141</v>
      </c>
      <c r="G232" s="139" t="s">
        <v>381</v>
      </c>
      <c r="H232" s="139"/>
      <c r="I232" s="139"/>
      <c r="J232" s="403"/>
      <c r="K232" s="403"/>
      <c r="L232" s="403"/>
      <c r="M232" s="403"/>
      <c r="N232" s="403"/>
      <c r="O232" s="403"/>
      <c r="P232" s="403"/>
      <c r="Q232" s="403"/>
      <c r="R232" s="403"/>
      <c r="S232" s="403"/>
      <c r="T232" s="403"/>
      <c r="U232" s="403"/>
      <c r="V232" s="403"/>
      <c r="W232" s="403"/>
      <c r="X232" s="403"/>
      <c r="Y232" s="403"/>
      <c r="Z232" s="403"/>
      <c r="AA232" s="403"/>
      <c r="AB232" s="403"/>
      <c r="AC232" s="403"/>
      <c r="AD232" s="403"/>
      <c r="AE232" s="403"/>
      <c r="AF232" s="403"/>
      <c r="AG232" s="403"/>
      <c r="AH232" s="403"/>
      <c r="AI232" s="403"/>
      <c r="AJ232" s="403"/>
      <c r="AK232" s="403"/>
      <c r="AL232" s="403"/>
      <c r="AM232" s="403"/>
      <c r="AN232" s="403"/>
      <c r="AO232" s="403"/>
      <c r="AP232" s="403"/>
    </row>
    <row r="233" spans="3:42" s="131" customFormat="1" x14ac:dyDescent="0.25">
      <c r="C233" s="132"/>
      <c r="E233" s="175"/>
      <c r="F233" s="67" t="s">
        <v>140</v>
      </c>
      <c r="G233" s="140" t="s">
        <v>381</v>
      </c>
      <c r="H233" s="140"/>
      <c r="I233" s="140"/>
      <c r="J233" s="404"/>
      <c r="K233" s="404"/>
      <c r="L233" s="404"/>
      <c r="M233" s="404"/>
      <c r="N233" s="404"/>
      <c r="O233" s="404"/>
      <c r="P233" s="404"/>
      <c r="Q233" s="404"/>
      <c r="R233" s="404"/>
      <c r="S233" s="404"/>
      <c r="T233" s="404"/>
      <c r="U233" s="404"/>
      <c r="V233" s="404"/>
      <c r="W233" s="404"/>
      <c r="X233" s="404"/>
      <c r="Y233" s="404"/>
      <c r="Z233" s="404"/>
      <c r="AA233" s="404"/>
      <c r="AB233" s="404"/>
      <c r="AC233" s="404"/>
      <c r="AD233" s="404"/>
      <c r="AE233" s="404"/>
      <c r="AF233" s="404"/>
      <c r="AG233" s="404"/>
      <c r="AH233" s="404"/>
      <c r="AI233" s="404"/>
      <c r="AJ233" s="404"/>
      <c r="AK233" s="404"/>
      <c r="AL233" s="404"/>
      <c r="AM233" s="404"/>
      <c r="AN233" s="404"/>
      <c r="AO233" s="404"/>
      <c r="AP233" s="404"/>
    </row>
    <row r="234" spans="3:42" s="160" customFormat="1" x14ac:dyDescent="0.25">
      <c r="C234" s="161"/>
      <c r="E234" s="175"/>
      <c r="F234" s="117"/>
      <c r="J234" s="416"/>
      <c r="K234" s="416"/>
      <c r="L234" s="416"/>
      <c r="M234" s="416"/>
      <c r="N234" s="416"/>
      <c r="O234" s="416"/>
      <c r="P234" s="416"/>
      <c r="Q234" s="416"/>
      <c r="R234" s="416"/>
      <c r="S234" s="416"/>
      <c r="T234" s="416"/>
      <c r="U234" s="416"/>
      <c r="V234" s="416"/>
      <c r="W234" s="416"/>
      <c r="X234" s="416"/>
      <c r="Y234" s="416"/>
      <c r="Z234" s="416"/>
      <c r="AA234" s="416"/>
      <c r="AB234" s="416"/>
      <c r="AC234" s="416"/>
      <c r="AD234" s="416"/>
      <c r="AE234" s="416"/>
      <c r="AF234" s="416"/>
      <c r="AG234" s="416"/>
      <c r="AH234" s="416"/>
      <c r="AI234" s="416"/>
      <c r="AJ234" s="416"/>
      <c r="AK234" s="416"/>
      <c r="AL234" s="416"/>
      <c r="AM234" s="416"/>
      <c r="AN234" s="416"/>
      <c r="AO234" s="416"/>
      <c r="AP234" s="416"/>
    </row>
    <row r="235" spans="3:42" s="131" customFormat="1" x14ac:dyDescent="0.25">
      <c r="C235" s="132"/>
      <c r="E235" s="172" t="s">
        <v>133</v>
      </c>
      <c r="F235" s="117"/>
      <c r="J235" s="416"/>
      <c r="K235" s="416"/>
      <c r="L235" s="416"/>
      <c r="M235" s="416"/>
      <c r="N235" s="416"/>
      <c r="O235" s="416"/>
      <c r="P235" s="416"/>
      <c r="Q235" s="416"/>
      <c r="R235" s="416"/>
      <c r="S235" s="416"/>
      <c r="T235" s="416"/>
      <c r="U235" s="416"/>
      <c r="V235" s="416"/>
      <c r="W235" s="416"/>
      <c r="X235" s="416"/>
      <c r="Y235" s="416"/>
      <c r="Z235" s="416"/>
      <c r="AA235" s="416"/>
      <c r="AB235" s="416"/>
      <c r="AC235" s="416"/>
      <c r="AD235" s="416"/>
      <c r="AE235" s="416"/>
      <c r="AF235" s="416"/>
      <c r="AG235" s="416"/>
      <c r="AH235" s="416"/>
      <c r="AI235" s="416"/>
      <c r="AJ235" s="416"/>
      <c r="AK235" s="416"/>
      <c r="AL235" s="416"/>
      <c r="AM235" s="416"/>
      <c r="AN235" s="416"/>
      <c r="AO235" s="416"/>
      <c r="AP235" s="416"/>
    </row>
    <row r="236" spans="3:42" s="131" customFormat="1" x14ac:dyDescent="0.25">
      <c r="C236" s="132"/>
      <c r="E236" s="175"/>
      <c r="F236" s="72" t="s">
        <v>397</v>
      </c>
      <c r="G236" s="137" t="s">
        <v>381</v>
      </c>
      <c r="H236" s="137"/>
      <c r="I236" s="137"/>
      <c r="J236" s="431">
        <f>J$122 * J176</f>
        <v>0</v>
      </c>
      <c r="K236" s="431">
        <f t="shared" ref="K236:AB236" si="62">K$122 * K176</f>
        <v>0</v>
      </c>
      <c r="L236" s="431">
        <f t="shared" si="62"/>
        <v>0</v>
      </c>
      <c r="M236" s="431">
        <f t="shared" si="62"/>
        <v>0</v>
      </c>
      <c r="N236" s="431">
        <f t="shared" si="62"/>
        <v>0</v>
      </c>
      <c r="O236" s="431">
        <f t="shared" si="62"/>
        <v>0</v>
      </c>
      <c r="P236" s="431">
        <f t="shared" si="62"/>
        <v>0</v>
      </c>
      <c r="Q236" s="431">
        <f t="shared" si="62"/>
        <v>0</v>
      </c>
      <c r="R236" s="431">
        <f t="shared" si="62"/>
        <v>0</v>
      </c>
      <c r="S236" s="431">
        <f t="shared" si="62"/>
        <v>0</v>
      </c>
      <c r="T236" s="431">
        <f t="shared" si="62"/>
        <v>0</v>
      </c>
      <c r="U236" s="431">
        <f t="shared" si="62"/>
        <v>0</v>
      </c>
      <c r="V236" s="431">
        <f t="shared" si="62"/>
        <v>0</v>
      </c>
      <c r="W236" s="431">
        <f t="shared" si="62"/>
        <v>0</v>
      </c>
      <c r="X236" s="431">
        <f t="shared" si="62"/>
        <v>0</v>
      </c>
      <c r="Y236" s="431">
        <f t="shared" si="62"/>
        <v>0</v>
      </c>
      <c r="Z236" s="431">
        <f t="shared" si="62"/>
        <v>0</v>
      </c>
      <c r="AA236" s="431">
        <f t="shared" si="62"/>
        <v>0</v>
      </c>
      <c r="AB236" s="431">
        <f t="shared" si="62"/>
        <v>0</v>
      </c>
      <c r="AC236" s="402"/>
      <c r="AD236" s="402"/>
      <c r="AE236" s="402"/>
      <c r="AF236" s="402"/>
      <c r="AG236" s="402"/>
      <c r="AH236" s="402"/>
      <c r="AI236" s="402"/>
      <c r="AJ236" s="402"/>
      <c r="AK236" s="402"/>
      <c r="AL236" s="402"/>
      <c r="AM236" s="402"/>
      <c r="AN236" s="402"/>
      <c r="AO236" s="402"/>
      <c r="AP236" s="402"/>
    </row>
    <row r="237" spans="3:42" s="131" customFormat="1" x14ac:dyDescent="0.25">
      <c r="C237" s="132"/>
      <c r="E237" s="175"/>
      <c r="F237" s="66" t="s">
        <v>43</v>
      </c>
      <c r="G237" s="139" t="s">
        <v>381</v>
      </c>
      <c r="H237" s="139"/>
      <c r="I237" s="139"/>
      <c r="J237" s="428">
        <f t="shared" ref="J237:AB237" si="63">J$122 * J177</f>
        <v>0</v>
      </c>
      <c r="K237" s="428">
        <f t="shared" si="63"/>
        <v>0</v>
      </c>
      <c r="L237" s="428">
        <f t="shared" si="63"/>
        <v>0</v>
      </c>
      <c r="M237" s="428">
        <f t="shared" si="63"/>
        <v>0</v>
      </c>
      <c r="N237" s="428">
        <f t="shared" si="63"/>
        <v>0</v>
      </c>
      <c r="O237" s="428">
        <f t="shared" si="63"/>
        <v>0</v>
      </c>
      <c r="P237" s="428">
        <f t="shared" si="63"/>
        <v>0</v>
      </c>
      <c r="Q237" s="428">
        <f t="shared" si="63"/>
        <v>0</v>
      </c>
      <c r="R237" s="428">
        <f t="shared" si="63"/>
        <v>0</v>
      </c>
      <c r="S237" s="428">
        <f t="shared" si="63"/>
        <v>0</v>
      </c>
      <c r="T237" s="428">
        <f t="shared" si="63"/>
        <v>0</v>
      </c>
      <c r="U237" s="428">
        <f t="shared" si="63"/>
        <v>0</v>
      </c>
      <c r="V237" s="428">
        <f t="shared" si="63"/>
        <v>0</v>
      </c>
      <c r="W237" s="428">
        <f t="shared" si="63"/>
        <v>0</v>
      </c>
      <c r="X237" s="428">
        <f t="shared" si="63"/>
        <v>0</v>
      </c>
      <c r="Y237" s="428">
        <f t="shared" si="63"/>
        <v>0</v>
      </c>
      <c r="Z237" s="428">
        <f t="shared" si="63"/>
        <v>0</v>
      </c>
      <c r="AA237" s="428">
        <f t="shared" si="63"/>
        <v>0</v>
      </c>
      <c r="AB237" s="428">
        <f t="shared" si="63"/>
        <v>0</v>
      </c>
      <c r="AC237" s="403"/>
      <c r="AD237" s="403"/>
      <c r="AE237" s="403"/>
      <c r="AF237" s="403"/>
      <c r="AG237" s="403"/>
      <c r="AH237" s="403"/>
      <c r="AI237" s="403"/>
      <c r="AJ237" s="403"/>
      <c r="AK237" s="403"/>
      <c r="AL237" s="403"/>
      <c r="AM237" s="403"/>
      <c r="AN237" s="403"/>
      <c r="AO237" s="403"/>
      <c r="AP237" s="403"/>
    </row>
    <row r="238" spans="3:42" s="131" customFormat="1" x14ac:dyDescent="0.25">
      <c r="C238" s="132"/>
      <c r="E238" s="175"/>
      <c r="F238" s="66" t="s">
        <v>44</v>
      </c>
      <c r="G238" s="139" t="s">
        <v>381</v>
      </c>
      <c r="H238" s="139"/>
      <c r="I238" s="139"/>
      <c r="J238" s="428">
        <f t="shared" ref="J238:AB238" si="64">J$122 * J178</f>
        <v>0</v>
      </c>
      <c r="K238" s="428">
        <f t="shared" si="64"/>
        <v>0</v>
      </c>
      <c r="L238" s="428">
        <f t="shared" si="64"/>
        <v>0</v>
      </c>
      <c r="M238" s="428">
        <f t="shared" si="64"/>
        <v>0</v>
      </c>
      <c r="N238" s="428">
        <f t="shared" si="64"/>
        <v>0</v>
      </c>
      <c r="O238" s="428">
        <f t="shared" si="64"/>
        <v>0</v>
      </c>
      <c r="P238" s="428">
        <f t="shared" si="64"/>
        <v>0</v>
      </c>
      <c r="Q238" s="428">
        <f t="shared" si="64"/>
        <v>0</v>
      </c>
      <c r="R238" s="428">
        <f t="shared" si="64"/>
        <v>0</v>
      </c>
      <c r="S238" s="428">
        <f t="shared" si="64"/>
        <v>0</v>
      </c>
      <c r="T238" s="428">
        <f t="shared" si="64"/>
        <v>0</v>
      </c>
      <c r="U238" s="428">
        <f t="shared" si="64"/>
        <v>0</v>
      </c>
      <c r="V238" s="428">
        <f t="shared" si="64"/>
        <v>0</v>
      </c>
      <c r="W238" s="428">
        <f t="shared" si="64"/>
        <v>0</v>
      </c>
      <c r="X238" s="428">
        <f t="shared" si="64"/>
        <v>0</v>
      </c>
      <c r="Y238" s="428">
        <f t="shared" si="64"/>
        <v>0</v>
      </c>
      <c r="Z238" s="428">
        <f t="shared" si="64"/>
        <v>0</v>
      </c>
      <c r="AA238" s="428">
        <f t="shared" si="64"/>
        <v>0</v>
      </c>
      <c r="AB238" s="428">
        <f t="shared" si="64"/>
        <v>0</v>
      </c>
      <c r="AC238" s="403"/>
      <c r="AD238" s="403"/>
      <c r="AE238" s="403"/>
      <c r="AF238" s="403"/>
      <c r="AG238" s="403"/>
      <c r="AH238" s="403"/>
      <c r="AI238" s="403"/>
      <c r="AJ238" s="403"/>
      <c r="AK238" s="403"/>
      <c r="AL238" s="403"/>
      <c r="AM238" s="403"/>
      <c r="AN238" s="403"/>
      <c r="AO238" s="403"/>
      <c r="AP238" s="403"/>
    </row>
    <row r="239" spans="3:42" s="131" customFormat="1" x14ac:dyDescent="0.25">
      <c r="C239" s="132"/>
      <c r="E239" s="175"/>
      <c r="F239" s="66" t="s">
        <v>45</v>
      </c>
      <c r="G239" s="139" t="s">
        <v>381</v>
      </c>
      <c r="H239" s="139"/>
      <c r="I239" s="139"/>
      <c r="J239" s="428">
        <f t="shared" ref="J239:AB239" si="65">J$122 * J179</f>
        <v>0</v>
      </c>
      <c r="K239" s="428">
        <f t="shared" si="65"/>
        <v>0</v>
      </c>
      <c r="L239" s="428">
        <f t="shared" si="65"/>
        <v>0</v>
      </c>
      <c r="M239" s="428">
        <f t="shared" si="65"/>
        <v>0</v>
      </c>
      <c r="N239" s="428">
        <f t="shared" si="65"/>
        <v>0</v>
      </c>
      <c r="O239" s="428">
        <f t="shared" si="65"/>
        <v>0</v>
      </c>
      <c r="P239" s="428">
        <f t="shared" si="65"/>
        <v>0</v>
      </c>
      <c r="Q239" s="428">
        <f t="shared" si="65"/>
        <v>0</v>
      </c>
      <c r="R239" s="428">
        <f t="shared" si="65"/>
        <v>0</v>
      </c>
      <c r="S239" s="428">
        <f t="shared" si="65"/>
        <v>0</v>
      </c>
      <c r="T239" s="428">
        <f t="shared" si="65"/>
        <v>0</v>
      </c>
      <c r="U239" s="428">
        <f t="shared" si="65"/>
        <v>0</v>
      </c>
      <c r="V239" s="428">
        <f t="shared" si="65"/>
        <v>0</v>
      </c>
      <c r="W239" s="428">
        <f t="shared" si="65"/>
        <v>0</v>
      </c>
      <c r="X239" s="428">
        <f t="shared" si="65"/>
        <v>0</v>
      </c>
      <c r="Y239" s="428">
        <f t="shared" si="65"/>
        <v>0</v>
      </c>
      <c r="Z239" s="428">
        <f t="shared" si="65"/>
        <v>0</v>
      </c>
      <c r="AA239" s="428">
        <f t="shared" si="65"/>
        <v>0</v>
      </c>
      <c r="AB239" s="428">
        <f t="shared" si="65"/>
        <v>0</v>
      </c>
      <c r="AC239" s="403"/>
      <c r="AD239" s="403"/>
      <c r="AE239" s="403"/>
      <c r="AF239" s="403"/>
      <c r="AG239" s="403"/>
      <c r="AH239" s="403"/>
      <c r="AI239" s="403"/>
      <c r="AJ239" s="403"/>
      <c r="AK239" s="403"/>
      <c r="AL239" s="403"/>
      <c r="AM239" s="403"/>
      <c r="AN239" s="403"/>
      <c r="AO239" s="403"/>
      <c r="AP239" s="403"/>
    </row>
    <row r="240" spans="3:42" s="131" customFormat="1" x14ac:dyDescent="0.25">
      <c r="C240" s="132"/>
      <c r="E240" s="175"/>
      <c r="F240" s="66" t="s">
        <v>46</v>
      </c>
      <c r="G240" s="139" t="s">
        <v>381</v>
      </c>
      <c r="H240" s="139"/>
      <c r="I240" s="139"/>
      <c r="J240" s="428">
        <f t="shared" ref="J240:AB240" si="66">J$122 * J180</f>
        <v>0</v>
      </c>
      <c r="K240" s="428">
        <f t="shared" si="66"/>
        <v>0</v>
      </c>
      <c r="L240" s="428">
        <f t="shared" si="66"/>
        <v>0</v>
      </c>
      <c r="M240" s="428">
        <f t="shared" si="66"/>
        <v>0</v>
      </c>
      <c r="N240" s="428">
        <f t="shared" si="66"/>
        <v>0</v>
      </c>
      <c r="O240" s="428">
        <f t="shared" si="66"/>
        <v>0</v>
      </c>
      <c r="P240" s="428">
        <f t="shared" si="66"/>
        <v>0</v>
      </c>
      <c r="Q240" s="428">
        <f t="shared" si="66"/>
        <v>0</v>
      </c>
      <c r="R240" s="428">
        <f t="shared" si="66"/>
        <v>0</v>
      </c>
      <c r="S240" s="428">
        <f t="shared" si="66"/>
        <v>0</v>
      </c>
      <c r="T240" s="428">
        <f t="shared" si="66"/>
        <v>0</v>
      </c>
      <c r="U240" s="428">
        <f t="shared" si="66"/>
        <v>0</v>
      </c>
      <c r="V240" s="428">
        <f t="shared" si="66"/>
        <v>0</v>
      </c>
      <c r="W240" s="428">
        <f t="shared" si="66"/>
        <v>0.13561431494876042</v>
      </c>
      <c r="X240" s="428">
        <f t="shared" si="66"/>
        <v>0</v>
      </c>
      <c r="Y240" s="428">
        <f t="shared" si="66"/>
        <v>0</v>
      </c>
      <c r="Z240" s="428">
        <f t="shared" si="66"/>
        <v>0</v>
      </c>
      <c r="AA240" s="428">
        <f t="shared" si="66"/>
        <v>0</v>
      </c>
      <c r="AB240" s="428">
        <f t="shared" si="66"/>
        <v>0</v>
      </c>
      <c r="AC240" s="403"/>
      <c r="AD240" s="403"/>
      <c r="AE240" s="403"/>
      <c r="AF240" s="403"/>
      <c r="AG240" s="403"/>
      <c r="AH240" s="403"/>
      <c r="AI240" s="403"/>
      <c r="AJ240" s="403"/>
      <c r="AK240" s="403"/>
      <c r="AL240" s="403"/>
      <c r="AM240" s="403"/>
      <c r="AN240" s="403"/>
      <c r="AO240" s="403"/>
      <c r="AP240" s="403"/>
    </row>
    <row r="241" spans="2:44" s="131" customFormat="1" x14ac:dyDescent="0.25">
      <c r="C241" s="132"/>
      <c r="E241" s="175"/>
      <c r="F241" s="66" t="s">
        <v>47</v>
      </c>
      <c r="G241" s="139" t="s">
        <v>381</v>
      </c>
      <c r="H241" s="139"/>
      <c r="I241" s="139"/>
      <c r="J241" s="428">
        <f t="shared" ref="J241:AB241" si="67">J$122 * J181</f>
        <v>0</v>
      </c>
      <c r="K241" s="428">
        <f t="shared" si="67"/>
        <v>0</v>
      </c>
      <c r="L241" s="428">
        <f t="shared" si="67"/>
        <v>0</v>
      </c>
      <c r="M241" s="428">
        <f t="shared" si="67"/>
        <v>0</v>
      </c>
      <c r="N241" s="428">
        <f t="shared" si="67"/>
        <v>0</v>
      </c>
      <c r="O241" s="428">
        <f t="shared" si="67"/>
        <v>0</v>
      </c>
      <c r="P241" s="428">
        <f t="shared" si="67"/>
        <v>0</v>
      </c>
      <c r="Q241" s="428">
        <f t="shared" si="67"/>
        <v>0</v>
      </c>
      <c r="R241" s="428">
        <f t="shared" si="67"/>
        <v>0</v>
      </c>
      <c r="S241" s="428">
        <f t="shared" si="67"/>
        <v>0</v>
      </c>
      <c r="T241" s="428">
        <f t="shared" si="67"/>
        <v>0</v>
      </c>
      <c r="U241" s="428">
        <f t="shared" si="67"/>
        <v>0</v>
      </c>
      <c r="V241" s="428">
        <f t="shared" si="67"/>
        <v>0</v>
      </c>
      <c r="W241" s="428">
        <f t="shared" si="67"/>
        <v>0.51647588873623829</v>
      </c>
      <c r="X241" s="428">
        <f t="shared" si="67"/>
        <v>0</v>
      </c>
      <c r="Y241" s="428">
        <f t="shared" si="67"/>
        <v>0</v>
      </c>
      <c r="Z241" s="428">
        <f t="shared" si="67"/>
        <v>0</v>
      </c>
      <c r="AA241" s="428">
        <f t="shared" si="67"/>
        <v>0</v>
      </c>
      <c r="AB241" s="428">
        <f t="shared" si="67"/>
        <v>0</v>
      </c>
      <c r="AC241" s="403"/>
      <c r="AD241" s="403"/>
      <c r="AE241" s="403"/>
      <c r="AF241" s="403"/>
      <c r="AG241" s="403"/>
      <c r="AH241" s="403"/>
      <c r="AI241" s="403"/>
      <c r="AJ241" s="403"/>
      <c r="AK241" s="403"/>
      <c r="AL241" s="403"/>
      <c r="AM241" s="403"/>
      <c r="AN241" s="403"/>
      <c r="AO241" s="403"/>
      <c r="AP241" s="403"/>
    </row>
    <row r="242" spans="2:44" s="131" customFormat="1" x14ac:dyDescent="0.25">
      <c r="C242" s="132"/>
      <c r="E242" s="175"/>
      <c r="F242" s="66" t="s">
        <v>51</v>
      </c>
      <c r="G242" s="139" t="s">
        <v>381</v>
      </c>
      <c r="H242" s="139"/>
      <c r="I242" s="139"/>
      <c r="J242" s="428">
        <f t="shared" ref="J242:AB242" si="68">J$122 * J182</f>
        <v>0</v>
      </c>
      <c r="K242" s="428">
        <f t="shared" si="68"/>
        <v>0</v>
      </c>
      <c r="L242" s="428">
        <f t="shared" si="68"/>
        <v>0</v>
      </c>
      <c r="M242" s="428">
        <f t="shared" si="68"/>
        <v>0</v>
      </c>
      <c r="N242" s="428">
        <f t="shared" si="68"/>
        <v>0</v>
      </c>
      <c r="O242" s="428">
        <f t="shared" si="68"/>
        <v>0</v>
      </c>
      <c r="P242" s="428">
        <f t="shared" si="68"/>
        <v>0</v>
      </c>
      <c r="Q242" s="428">
        <f t="shared" si="68"/>
        <v>0</v>
      </c>
      <c r="R242" s="428">
        <f t="shared" si="68"/>
        <v>0</v>
      </c>
      <c r="S242" s="428">
        <f t="shared" si="68"/>
        <v>0</v>
      </c>
      <c r="T242" s="428">
        <f t="shared" si="68"/>
        <v>0</v>
      </c>
      <c r="U242" s="428">
        <f t="shared" si="68"/>
        <v>0</v>
      </c>
      <c r="V242" s="428">
        <f t="shared" si="68"/>
        <v>0</v>
      </c>
      <c r="W242" s="428">
        <f t="shared" si="68"/>
        <v>0</v>
      </c>
      <c r="X242" s="428">
        <f t="shared" si="68"/>
        <v>0</v>
      </c>
      <c r="Y242" s="428">
        <f t="shared" si="68"/>
        <v>0</v>
      </c>
      <c r="Z242" s="428">
        <f t="shared" si="68"/>
        <v>0</v>
      </c>
      <c r="AA242" s="428">
        <f t="shared" si="68"/>
        <v>0</v>
      </c>
      <c r="AB242" s="428">
        <f t="shared" si="68"/>
        <v>0</v>
      </c>
      <c r="AC242" s="403"/>
      <c r="AD242" s="403"/>
      <c r="AE242" s="403"/>
      <c r="AF242" s="403"/>
      <c r="AG242" s="403"/>
      <c r="AH242" s="403"/>
      <c r="AI242" s="403"/>
      <c r="AJ242" s="403"/>
      <c r="AK242" s="403"/>
      <c r="AL242" s="403"/>
      <c r="AM242" s="403"/>
      <c r="AN242" s="403"/>
      <c r="AO242" s="403"/>
      <c r="AP242" s="403"/>
    </row>
    <row r="243" spans="2:44" s="131" customFormat="1" x14ac:dyDescent="0.25">
      <c r="C243" s="132"/>
      <c r="E243" s="175"/>
      <c r="F243" s="66" t="s">
        <v>48</v>
      </c>
      <c r="G243" s="139" t="s">
        <v>381</v>
      </c>
      <c r="H243" s="139"/>
      <c r="I243" s="139"/>
      <c r="J243" s="428">
        <f t="shared" ref="J243:AB243" si="69">J$122 * J183</f>
        <v>0</v>
      </c>
      <c r="K243" s="428">
        <f t="shared" si="69"/>
        <v>0</v>
      </c>
      <c r="L243" s="428">
        <f t="shared" si="69"/>
        <v>0</v>
      </c>
      <c r="M243" s="428">
        <f t="shared" si="69"/>
        <v>0</v>
      </c>
      <c r="N243" s="428">
        <f t="shared" si="69"/>
        <v>0</v>
      </c>
      <c r="O243" s="428">
        <f t="shared" si="69"/>
        <v>0</v>
      </c>
      <c r="P243" s="428">
        <f t="shared" si="69"/>
        <v>0</v>
      </c>
      <c r="Q243" s="428">
        <f t="shared" si="69"/>
        <v>0</v>
      </c>
      <c r="R243" s="428">
        <f t="shared" si="69"/>
        <v>0</v>
      </c>
      <c r="S243" s="428">
        <f t="shared" si="69"/>
        <v>0</v>
      </c>
      <c r="T243" s="428">
        <f t="shared" si="69"/>
        <v>0</v>
      </c>
      <c r="U243" s="428">
        <f t="shared" si="69"/>
        <v>0.26038633718847892</v>
      </c>
      <c r="V243" s="428">
        <f t="shared" si="69"/>
        <v>1.2505239150557803</v>
      </c>
      <c r="W243" s="428">
        <f t="shared" si="69"/>
        <v>1.2325909717232404</v>
      </c>
      <c r="X243" s="428">
        <f t="shared" si="69"/>
        <v>0</v>
      </c>
      <c r="Y243" s="428">
        <f t="shared" si="69"/>
        <v>0</v>
      </c>
      <c r="Z243" s="428">
        <f t="shared" si="69"/>
        <v>0</v>
      </c>
      <c r="AA243" s="428">
        <f t="shared" si="69"/>
        <v>0</v>
      </c>
      <c r="AB243" s="428">
        <f t="shared" si="69"/>
        <v>0</v>
      </c>
      <c r="AC243" s="403"/>
      <c r="AD243" s="403"/>
      <c r="AE243" s="403"/>
      <c r="AF243" s="403"/>
      <c r="AG243" s="403"/>
      <c r="AH243" s="403"/>
      <c r="AI243" s="403"/>
      <c r="AJ243" s="403"/>
      <c r="AK243" s="403"/>
      <c r="AL243" s="403"/>
      <c r="AM243" s="403"/>
      <c r="AN243" s="403"/>
      <c r="AO243" s="403"/>
      <c r="AP243" s="403"/>
    </row>
    <row r="244" spans="2:44" s="131" customFormat="1" x14ac:dyDescent="0.25">
      <c r="C244" s="132"/>
      <c r="E244" s="175"/>
      <c r="F244" s="66" t="s">
        <v>49</v>
      </c>
      <c r="G244" s="139" t="s">
        <v>381</v>
      </c>
      <c r="H244" s="139"/>
      <c r="I244" s="139"/>
      <c r="J244" s="428">
        <f t="shared" ref="J244:AB244" si="70">J$122 * J184</f>
        <v>0</v>
      </c>
      <c r="K244" s="428">
        <f t="shared" si="70"/>
        <v>0</v>
      </c>
      <c r="L244" s="428">
        <f t="shared" si="70"/>
        <v>0</v>
      </c>
      <c r="M244" s="428">
        <f t="shared" si="70"/>
        <v>0</v>
      </c>
      <c r="N244" s="428">
        <f t="shared" si="70"/>
        <v>0</v>
      </c>
      <c r="O244" s="428">
        <f t="shared" si="70"/>
        <v>0</v>
      </c>
      <c r="P244" s="428">
        <f t="shared" si="70"/>
        <v>0</v>
      </c>
      <c r="Q244" s="428">
        <f t="shared" si="70"/>
        <v>0</v>
      </c>
      <c r="R244" s="428">
        <f t="shared" si="70"/>
        <v>0</v>
      </c>
      <c r="S244" s="428">
        <f t="shared" si="70"/>
        <v>0</v>
      </c>
      <c r="T244" s="428">
        <f t="shared" si="70"/>
        <v>0</v>
      </c>
      <c r="U244" s="428">
        <f t="shared" si="70"/>
        <v>0.42690450196050872</v>
      </c>
      <c r="V244" s="428">
        <f t="shared" si="70"/>
        <v>0.41004785036794505</v>
      </c>
      <c r="W244" s="428">
        <f t="shared" si="70"/>
        <v>0</v>
      </c>
      <c r="X244" s="428">
        <f t="shared" si="70"/>
        <v>0</v>
      </c>
      <c r="Y244" s="428">
        <f t="shared" si="70"/>
        <v>0</v>
      </c>
      <c r="Z244" s="428">
        <f t="shared" si="70"/>
        <v>0</v>
      </c>
      <c r="AA244" s="428">
        <f t="shared" si="70"/>
        <v>0</v>
      </c>
      <c r="AB244" s="428">
        <f t="shared" si="70"/>
        <v>0</v>
      </c>
      <c r="AC244" s="403"/>
      <c r="AD244" s="403"/>
      <c r="AE244" s="403"/>
      <c r="AF244" s="403"/>
      <c r="AG244" s="403"/>
      <c r="AH244" s="403"/>
      <c r="AI244" s="403"/>
      <c r="AJ244" s="403"/>
      <c r="AK244" s="403"/>
      <c r="AL244" s="403"/>
      <c r="AM244" s="403"/>
      <c r="AN244" s="403"/>
      <c r="AO244" s="403"/>
      <c r="AP244" s="403"/>
    </row>
    <row r="245" spans="2:44" s="131" customFormat="1" x14ac:dyDescent="0.25">
      <c r="C245" s="132"/>
      <c r="E245" s="175"/>
      <c r="F245" s="66" t="s">
        <v>50</v>
      </c>
      <c r="G245" s="139" t="s">
        <v>381</v>
      </c>
      <c r="H245" s="139"/>
      <c r="I245" s="139"/>
      <c r="J245" s="428">
        <f t="shared" ref="J245:AB245" si="71">J$122 * J185</f>
        <v>0</v>
      </c>
      <c r="K245" s="428">
        <f t="shared" si="71"/>
        <v>0</v>
      </c>
      <c r="L245" s="428">
        <f t="shared" si="71"/>
        <v>0</v>
      </c>
      <c r="M245" s="428">
        <f t="shared" si="71"/>
        <v>0</v>
      </c>
      <c r="N245" s="428">
        <f t="shared" si="71"/>
        <v>0</v>
      </c>
      <c r="O245" s="428">
        <f t="shared" si="71"/>
        <v>0</v>
      </c>
      <c r="P245" s="428">
        <f t="shared" si="71"/>
        <v>0</v>
      </c>
      <c r="Q245" s="428">
        <f t="shared" si="71"/>
        <v>0</v>
      </c>
      <c r="R245" s="428">
        <f t="shared" si="71"/>
        <v>0</v>
      </c>
      <c r="S245" s="428">
        <f t="shared" si="71"/>
        <v>0</v>
      </c>
      <c r="T245" s="428">
        <f t="shared" si="71"/>
        <v>0</v>
      </c>
      <c r="U245" s="428">
        <f t="shared" si="71"/>
        <v>0.63154079064163926</v>
      </c>
      <c r="V245" s="428">
        <f t="shared" si="71"/>
        <v>0</v>
      </c>
      <c r="W245" s="428">
        <f t="shared" si="71"/>
        <v>0</v>
      </c>
      <c r="X245" s="428">
        <f t="shared" si="71"/>
        <v>0</v>
      </c>
      <c r="Y245" s="428">
        <f t="shared" si="71"/>
        <v>0</v>
      </c>
      <c r="Z245" s="428">
        <f t="shared" si="71"/>
        <v>0</v>
      </c>
      <c r="AA245" s="428">
        <f t="shared" si="71"/>
        <v>0</v>
      </c>
      <c r="AB245" s="428">
        <f t="shared" si="71"/>
        <v>0</v>
      </c>
      <c r="AC245" s="403"/>
      <c r="AD245" s="403"/>
      <c r="AE245" s="403"/>
      <c r="AF245" s="403"/>
      <c r="AG245" s="403"/>
      <c r="AH245" s="403"/>
      <c r="AI245" s="403"/>
      <c r="AJ245" s="403"/>
      <c r="AK245" s="403"/>
      <c r="AL245" s="403"/>
      <c r="AM245" s="403"/>
      <c r="AN245" s="403"/>
      <c r="AO245" s="403"/>
      <c r="AP245" s="403"/>
    </row>
    <row r="246" spans="2:44" s="131" customFormat="1" x14ac:dyDescent="0.25">
      <c r="C246" s="132"/>
      <c r="E246" s="175"/>
      <c r="F246" s="66" t="s">
        <v>141</v>
      </c>
      <c r="G246" s="139" t="s">
        <v>381</v>
      </c>
      <c r="H246" s="139"/>
      <c r="I246" s="139"/>
      <c r="J246" s="403"/>
      <c r="K246" s="403"/>
      <c r="L246" s="403"/>
      <c r="M246" s="403"/>
      <c r="N246" s="403"/>
      <c r="O246" s="403"/>
      <c r="P246" s="403"/>
      <c r="Q246" s="403"/>
      <c r="R246" s="403"/>
      <c r="S246" s="403"/>
      <c r="T246" s="403"/>
      <c r="U246" s="403"/>
      <c r="V246" s="403"/>
      <c r="W246" s="403"/>
      <c r="X246" s="403"/>
      <c r="Y246" s="403"/>
      <c r="Z246" s="403"/>
      <c r="AA246" s="403"/>
      <c r="AB246" s="403"/>
      <c r="AC246" s="403"/>
      <c r="AD246" s="403"/>
      <c r="AE246" s="403"/>
      <c r="AF246" s="403"/>
      <c r="AG246" s="403"/>
      <c r="AH246" s="403"/>
      <c r="AI246" s="403"/>
      <c r="AJ246" s="403"/>
      <c r="AK246" s="403"/>
      <c r="AL246" s="403"/>
      <c r="AM246" s="403"/>
      <c r="AN246" s="403"/>
      <c r="AO246" s="403"/>
      <c r="AP246" s="403"/>
    </row>
    <row r="247" spans="2:44" s="131" customFormat="1" x14ac:dyDescent="0.25">
      <c r="C247" s="132"/>
      <c r="E247" s="175"/>
      <c r="F247" s="67" t="s">
        <v>140</v>
      </c>
      <c r="G247" s="140" t="s">
        <v>381</v>
      </c>
      <c r="H247" s="140"/>
      <c r="I247" s="140"/>
      <c r="J247" s="404"/>
      <c r="K247" s="404"/>
      <c r="L247" s="404"/>
      <c r="M247" s="404"/>
      <c r="N247" s="404"/>
      <c r="O247" s="404"/>
      <c r="P247" s="404"/>
      <c r="Q247" s="404"/>
      <c r="R247" s="404"/>
      <c r="S247" s="404"/>
      <c r="T247" s="404"/>
      <c r="U247" s="404"/>
      <c r="V247" s="404"/>
      <c r="W247" s="404"/>
      <c r="X247" s="404"/>
      <c r="Y247" s="404"/>
      <c r="Z247" s="404"/>
      <c r="AA247" s="404"/>
      <c r="AB247" s="404"/>
      <c r="AC247" s="404"/>
      <c r="AD247" s="404"/>
      <c r="AE247" s="404"/>
      <c r="AF247" s="404"/>
      <c r="AG247" s="404"/>
      <c r="AH247" s="404"/>
      <c r="AI247" s="404"/>
      <c r="AJ247" s="404"/>
      <c r="AK247" s="404"/>
      <c r="AL247" s="404"/>
      <c r="AM247" s="404"/>
      <c r="AN247" s="404"/>
      <c r="AO247" s="404"/>
      <c r="AP247" s="404"/>
    </row>
    <row r="248" spans="2:44" s="131" customFormat="1" x14ac:dyDescent="0.25">
      <c r="C248" s="132"/>
      <c r="D248" s="147"/>
      <c r="E248" s="175"/>
      <c r="F248" s="117"/>
      <c r="J248" s="416"/>
      <c r="K248" s="416"/>
      <c r="L248" s="416"/>
      <c r="M248" s="416"/>
      <c r="N248" s="416"/>
      <c r="O248" s="416"/>
      <c r="P248" s="416"/>
      <c r="Q248" s="416"/>
      <c r="R248" s="416"/>
      <c r="S248" s="416"/>
      <c r="T248" s="416"/>
      <c r="U248" s="416"/>
      <c r="V248" s="416"/>
      <c r="W248" s="416"/>
      <c r="X248" s="416"/>
      <c r="Y248" s="416"/>
      <c r="Z248" s="416"/>
      <c r="AA248" s="416"/>
      <c r="AB248" s="416"/>
      <c r="AC248" s="416"/>
      <c r="AD248" s="416"/>
      <c r="AE248" s="416"/>
      <c r="AF248" s="416"/>
      <c r="AG248" s="416"/>
      <c r="AH248" s="416"/>
      <c r="AI248" s="416"/>
      <c r="AJ248" s="416"/>
      <c r="AK248" s="416"/>
      <c r="AL248" s="416"/>
      <c r="AM248" s="416"/>
      <c r="AN248" s="416"/>
      <c r="AO248" s="416"/>
      <c r="AP248" s="416"/>
    </row>
    <row r="249" spans="2:44" s="131" customFormat="1" x14ac:dyDescent="0.25">
      <c r="B249" s="171" t="s">
        <v>900</v>
      </c>
      <c r="C249" s="171"/>
      <c r="D249" s="171"/>
      <c r="E249" s="171"/>
      <c r="F249" s="171"/>
      <c r="G249" s="171"/>
      <c r="H249" s="171"/>
      <c r="I249" s="171"/>
      <c r="J249" s="454"/>
      <c r="K249" s="454"/>
      <c r="L249" s="454"/>
      <c r="M249" s="454"/>
      <c r="N249" s="454"/>
      <c r="O249" s="454"/>
      <c r="P249" s="454"/>
      <c r="Q249" s="454"/>
      <c r="R249" s="454"/>
      <c r="S249" s="454"/>
      <c r="T249" s="454"/>
      <c r="U249" s="454"/>
      <c r="V249" s="454"/>
      <c r="W249" s="454"/>
      <c r="X249" s="454"/>
      <c r="Y249" s="454"/>
      <c r="Z249" s="454"/>
      <c r="AA249" s="454"/>
      <c r="AB249" s="454"/>
      <c r="AC249" s="454"/>
      <c r="AD249" s="454"/>
      <c r="AE249" s="454"/>
      <c r="AF249" s="454"/>
      <c r="AG249" s="454"/>
      <c r="AH249" s="454"/>
      <c r="AI249" s="454"/>
      <c r="AJ249" s="454"/>
      <c r="AK249" s="454"/>
      <c r="AL249" s="454"/>
      <c r="AM249" s="454"/>
      <c r="AN249" s="454"/>
      <c r="AO249" s="454"/>
      <c r="AP249" s="454"/>
      <c r="AQ249" s="171"/>
      <c r="AR249" s="171"/>
    </row>
    <row r="250" spans="2:44" s="160" customFormat="1" x14ac:dyDescent="0.25">
      <c r="D250" s="175"/>
      <c r="E250" s="175"/>
      <c r="J250" s="416"/>
      <c r="K250" s="416"/>
      <c r="L250" s="416"/>
      <c r="M250" s="416"/>
      <c r="N250" s="416"/>
      <c r="O250" s="416"/>
      <c r="P250" s="416"/>
      <c r="Q250" s="416"/>
      <c r="R250" s="416"/>
      <c r="S250" s="416"/>
      <c r="T250" s="416"/>
      <c r="U250" s="416"/>
      <c r="V250" s="416"/>
      <c r="W250" s="416"/>
      <c r="X250" s="416"/>
      <c r="Y250" s="416"/>
      <c r="Z250" s="416"/>
      <c r="AA250" s="416"/>
      <c r="AB250" s="416"/>
      <c r="AC250" s="416"/>
      <c r="AD250" s="416"/>
      <c r="AE250" s="416"/>
      <c r="AF250" s="416"/>
      <c r="AG250" s="416"/>
      <c r="AH250" s="416"/>
      <c r="AI250" s="416"/>
      <c r="AJ250" s="416"/>
      <c r="AK250" s="416"/>
      <c r="AL250" s="416"/>
      <c r="AM250" s="416"/>
      <c r="AN250" s="416"/>
      <c r="AO250" s="416"/>
      <c r="AP250" s="416"/>
    </row>
    <row r="251" spans="2:44" s="131" customFormat="1" x14ac:dyDescent="0.25">
      <c r="B251" s="124"/>
      <c r="C251" s="152" t="s">
        <v>578</v>
      </c>
      <c r="E251" s="160"/>
      <c r="J251" s="416"/>
      <c r="K251" s="416"/>
      <c r="L251" s="416"/>
      <c r="M251" s="416"/>
      <c r="N251" s="416"/>
      <c r="O251" s="416"/>
      <c r="P251" s="416"/>
      <c r="Q251" s="416"/>
      <c r="R251" s="416"/>
      <c r="S251" s="416"/>
      <c r="T251" s="416"/>
      <c r="U251" s="416"/>
      <c r="V251" s="416"/>
      <c r="W251" s="416"/>
      <c r="X251" s="416"/>
      <c r="Y251" s="416"/>
      <c r="Z251" s="416"/>
      <c r="AA251" s="416"/>
      <c r="AB251" s="416"/>
      <c r="AC251" s="416"/>
      <c r="AD251" s="416"/>
      <c r="AE251" s="416"/>
      <c r="AF251" s="416"/>
      <c r="AG251" s="416"/>
      <c r="AH251" s="416"/>
      <c r="AI251" s="416"/>
      <c r="AJ251" s="416"/>
      <c r="AK251" s="416"/>
      <c r="AL251" s="416"/>
      <c r="AM251" s="416"/>
      <c r="AN251" s="416"/>
      <c r="AO251" s="416"/>
      <c r="AP251" s="416"/>
    </row>
    <row r="252" spans="2:44" s="160" customFormat="1" x14ac:dyDescent="0.25">
      <c r="B252" s="124"/>
      <c r="C252" s="152" t="s">
        <v>579</v>
      </c>
      <c r="J252" s="416"/>
      <c r="K252" s="416"/>
      <c r="L252" s="416"/>
      <c r="M252" s="416"/>
      <c r="N252" s="416"/>
      <c r="O252" s="416"/>
      <c r="P252" s="416"/>
      <c r="Q252" s="416"/>
      <c r="R252" s="416"/>
      <c r="S252" s="416"/>
      <c r="T252" s="416"/>
      <c r="U252" s="416"/>
      <c r="V252" s="416"/>
      <c r="W252" s="416"/>
      <c r="X252" s="416"/>
      <c r="Y252" s="416"/>
      <c r="Z252" s="416"/>
      <c r="AA252" s="416"/>
      <c r="AB252" s="416"/>
      <c r="AC252" s="416"/>
      <c r="AD252" s="416"/>
      <c r="AE252" s="416"/>
      <c r="AF252" s="416"/>
      <c r="AG252" s="416"/>
      <c r="AH252" s="416"/>
      <c r="AI252" s="416"/>
      <c r="AJ252" s="416"/>
      <c r="AK252" s="416"/>
      <c r="AL252" s="416"/>
      <c r="AM252" s="416"/>
      <c r="AN252" s="416"/>
      <c r="AO252" s="416"/>
      <c r="AP252" s="416"/>
    </row>
    <row r="253" spans="2:44" s="131" customFormat="1" x14ac:dyDescent="0.25">
      <c r="D253" s="147"/>
      <c r="E253" s="175"/>
      <c r="J253" s="416"/>
      <c r="K253" s="416"/>
      <c r="L253" s="416"/>
      <c r="M253" s="416"/>
      <c r="N253" s="416"/>
      <c r="O253" s="416"/>
      <c r="P253" s="416"/>
      <c r="Q253" s="416"/>
      <c r="R253" s="416"/>
      <c r="S253" s="416"/>
      <c r="T253" s="416"/>
      <c r="U253" s="416"/>
      <c r="V253" s="416"/>
      <c r="W253" s="416"/>
      <c r="X253" s="416"/>
      <c r="Y253" s="416"/>
      <c r="Z253" s="416"/>
      <c r="AA253" s="416"/>
      <c r="AB253" s="416"/>
      <c r="AC253" s="416"/>
      <c r="AD253" s="416"/>
      <c r="AE253" s="416"/>
      <c r="AF253" s="416"/>
      <c r="AG253" s="416"/>
      <c r="AH253" s="416"/>
      <c r="AI253" s="416"/>
      <c r="AJ253" s="416"/>
      <c r="AK253" s="416"/>
      <c r="AL253" s="416"/>
      <c r="AM253" s="416"/>
      <c r="AN253" s="416"/>
      <c r="AO253" s="416"/>
      <c r="AP253" s="416"/>
    </row>
    <row r="254" spans="2:44" s="131" customFormat="1" x14ac:dyDescent="0.25">
      <c r="C254" s="22" t="str">
        <f ca="1">INDEX('Version control'!$H$34:$H$59,MATCH($A$1,'Version control'!$F$34:$F$59,0),1)&amp;"-F: Capacity and exceeded capacity charges"</f>
        <v>Section 516-F: Capacity and exceeded capacity charges</v>
      </c>
      <c r="D254" s="22"/>
      <c r="E254" s="22"/>
      <c r="F254" s="22"/>
      <c r="G254" s="22"/>
      <c r="H254" s="22"/>
      <c r="I254" s="22"/>
      <c r="J254" s="406"/>
      <c r="K254" s="406"/>
      <c r="L254" s="406"/>
      <c r="M254" s="406"/>
      <c r="N254" s="406"/>
      <c r="O254" s="406"/>
      <c r="P254" s="406"/>
      <c r="Q254" s="406"/>
      <c r="R254" s="406"/>
      <c r="S254" s="406"/>
      <c r="T254" s="406"/>
      <c r="U254" s="406"/>
      <c r="V254" s="406"/>
      <c r="W254" s="406"/>
      <c r="X254" s="406"/>
      <c r="Y254" s="406"/>
      <c r="Z254" s="406"/>
      <c r="AA254" s="406"/>
      <c r="AB254" s="406"/>
      <c r="AC254" s="406"/>
      <c r="AD254" s="406"/>
      <c r="AE254" s="406"/>
      <c r="AF254" s="406"/>
      <c r="AG254" s="406"/>
      <c r="AH254" s="406"/>
      <c r="AI254" s="406"/>
      <c r="AJ254" s="406"/>
      <c r="AK254" s="406"/>
      <c r="AL254" s="406"/>
      <c r="AM254" s="406"/>
      <c r="AN254" s="406"/>
      <c r="AO254" s="406"/>
      <c r="AP254" s="406"/>
      <c r="AQ254" s="22"/>
      <c r="AR254" s="22"/>
    </row>
    <row r="255" spans="2:44" s="131" customFormat="1" x14ac:dyDescent="0.25">
      <c r="D255" s="147"/>
      <c r="E255" s="175"/>
      <c r="J255" s="416"/>
      <c r="K255" s="416"/>
      <c r="L255" s="416"/>
      <c r="M255" s="416"/>
      <c r="N255" s="416"/>
      <c r="O255" s="416"/>
      <c r="P255" s="416"/>
      <c r="Q255" s="416"/>
      <c r="R255" s="416"/>
      <c r="S255" s="416"/>
      <c r="T255" s="416"/>
      <c r="U255" s="416"/>
      <c r="V255" s="416"/>
      <c r="W255" s="416"/>
      <c r="X255" s="416"/>
      <c r="Y255" s="416"/>
      <c r="Z255" s="416"/>
      <c r="AA255" s="416"/>
      <c r="AB255" s="416"/>
      <c r="AC255" s="416"/>
      <c r="AD255" s="416"/>
      <c r="AE255" s="416"/>
      <c r="AF255" s="416"/>
      <c r="AG255" s="416"/>
      <c r="AH255" s="416"/>
      <c r="AI255" s="416"/>
      <c r="AJ255" s="416"/>
      <c r="AK255" s="416"/>
      <c r="AL255" s="416"/>
      <c r="AM255" s="416"/>
      <c r="AN255" s="416"/>
      <c r="AO255" s="416"/>
      <c r="AP255" s="416"/>
    </row>
    <row r="256" spans="2:44" s="131" customFormat="1" x14ac:dyDescent="0.25">
      <c r="D256" s="147"/>
      <c r="E256" s="167" t="s">
        <v>448</v>
      </c>
      <c r="F256" s="167"/>
      <c r="G256" s="167" t="s">
        <v>381</v>
      </c>
      <c r="H256" s="167"/>
      <c r="I256" s="167" t="s">
        <v>525</v>
      </c>
      <c r="J256" s="420">
        <f t="shared" ref="J256:AB256" si="72">SUM(J192:J203,J206:J217)</f>
        <v>0</v>
      </c>
      <c r="K256" s="420">
        <f t="shared" si="72"/>
        <v>0</v>
      </c>
      <c r="L256" s="420">
        <f t="shared" si="72"/>
        <v>0</v>
      </c>
      <c r="M256" s="420">
        <f t="shared" si="72"/>
        <v>0</v>
      </c>
      <c r="N256" s="420">
        <f t="shared" si="72"/>
        <v>0</v>
      </c>
      <c r="O256" s="420">
        <f t="shared" si="72"/>
        <v>0</v>
      </c>
      <c r="P256" s="420">
        <f t="shared" si="72"/>
        <v>0</v>
      </c>
      <c r="Q256" s="420">
        <f t="shared" si="72"/>
        <v>0</v>
      </c>
      <c r="R256" s="420">
        <f t="shared" si="72"/>
        <v>0</v>
      </c>
      <c r="S256" s="420">
        <f t="shared" si="72"/>
        <v>0</v>
      </c>
      <c r="T256" s="420">
        <f t="shared" si="72"/>
        <v>0</v>
      </c>
      <c r="U256" s="420">
        <f t="shared" si="72"/>
        <v>2.4194688143102887</v>
      </c>
      <c r="V256" s="420">
        <f t="shared" si="72"/>
        <v>4.276118885709975</v>
      </c>
      <c r="W256" s="420">
        <f t="shared" si="72"/>
        <v>5.2830912098228762</v>
      </c>
      <c r="X256" s="420">
        <f t="shared" si="72"/>
        <v>0</v>
      </c>
      <c r="Y256" s="420">
        <f t="shared" si="72"/>
        <v>0</v>
      </c>
      <c r="Z256" s="420">
        <f t="shared" si="72"/>
        <v>0</v>
      </c>
      <c r="AA256" s="420">
        <f t="shared" si="72"/>
        <v>0</v>
      </c>
      <c r="AB256" s="420">
        <f t="shared" si="72"/>
        <v>0</v>
      </c>
      <c r="AC256" s="403"/>
      <c r="AD256" s="403"/>
      <c r="AE256" s="403"/>
      <c r="AF256" s="403"/>
      <c r="AG256" s="403"/>
      <c r="AH256" s="403"/>
      <c r="AI256" s="403"/>
      <c r="AJ256" s="403"/>
      <c r="AK256" s="403"/>
      <c r="AL256" s="403"/>
      <c r="AM256" s="403"/>
      <c r="AN256" s="403"/>
      <c r="AO256" s="403"/>
      <c r="AP256" s="403"/>
      <c r="AR256" s="131" t="s">
        <v>995</v>
      </c>
    </row>
    <row r="257" spans="3:44" s="131" customFormat="1" x14ac:dyDescent="0.25">
      <c r="D257" s="147"/>
      <c r="E257" s="167" t="s">
        <v>447</v>
      </c>
      <c r="F257" s="167"/>
      <c r="G257" s="167" t="s">
        <v>381</v>
      </c>
      <c r="H257" s="167"/>
      <c r="I257" s="167" t="s">
        <v>525</v>
      </c>
      <c r="J257" s="420">
        <f>SUM(J222:J233,J236:J247)</f>
        <v>0</v>
      </c>
      <c r="K257" s="420">
        <f t="shared" ref="K257:AB257" si="73">SUM(K222:K233,K236:K247)</f>
        <v>0</v>
      </c>
      <c r="L257" s="420">
        <f t="shared" si="73"/>
        <v>0</v>
      </c>
      <c r="M257" s="420">
        <f t="shared" si="73"/>
        <v>0</v>
      </c>
      <c r="N257" s="420">
        <f t="shared" si="73"/>
        <v>0</v>
      </c>
      <c r="O257" s="420">
        <f t="shared" si="73"/>
        <v>0</v>
      </c>
      <c r="P257" s="420">
        <f t="shared" si="73"/>
        <v>0</v>
      </c>
      <c r="Q257" s="420">
        <f t="shared" si="73"/>
        <v>0</v>
      </c>
      <c r="R257" s="420">
        <f t="shared" si="73"/>
        <v>0</v>
      </c>
      <c r="S257" s="420">
        <f t="shared" si="73"/>
        <v>0</v>
      </c>
      <c r="T257" s="420">
        <f t="shared" si="73"/>
        <v>0</v>
      </c>
      <c r="U257" s="420">
        <f t="shared" si="73"/>
        <v>4.5823456808537575</v>
      </c>
      <c r="V257" s="420">
        <f t="shared" si="73"/>
        <v>5.7697386725894155</v>
      </c>
      <c r="W257" s="420">
        <f t="shared" si="73"/>
        <v>6.5484178941700018</v>
      </c>
      <c r="X257" s="420">
        <f t="shared" si="73"/>
        <v>0</v>
      </c>
      <c r="Y257" s="420">
        <f t="shared" si="73"/>
        <v>0</v>
      </c>
      <c r="Z257" s="420">
        <f t="shared" si="73"/>
        <v>0</v>
      </c>
      <c r="AA257" s="420">
        <f t="shared" si="73"/>
        <v>0</v>
      </c>
      <c r="AB257" s="420">
        <f t="shared" si="73"/>
        <v>0</v>
      </c>
      <c r="AC257" s="403"/>
      <c r="AD257" s="403"/>
      <c r="AE257" s="403"/>
      <c r="AF257" s="403"/>
      <c r="AG257" s="403"/>
      <c r="AH257" s="403"/>
      <c r="AI257" s="403"/>
      <c r="AJ257" s="403"/>
      <c r="AK257" s="403"/>
      <c r="AL257" s="403"/>
      <c r="AM257" s="403"/>
      <c r="AN257" s="403"/>
      <c r="AO257" s="403"/>
      <c r="AP257" s="403"/>
      <c r="AR257" s="160" t="s">
        <v>995</v>
      </c>
    </row>
    <row r="258" spans="3:44" s="131" customFormat="1" x14ac:dyDescent="0.25">
      <c r="C258" s="132"/>
      <c r="D258" s="147"/>
      <c r="E258" s="175"/>
      <c r="J258" s="416"/>
      <c r="K258" s="416"/>
      <c r="L258" s="416"/>
      <c r="M258" s="416"/>
      <c r="N258" s="416"/>
      <c r="O258" s="416"/>
      <c r="P258" s="416"/>
      <c r="Q258" s="416"/>
      <c r="R258" s="416"/>
      <c r="S258" s="416"/>
      <c r="T258" s="416"/>
      <c r="U258" s="416"/>
      <c r="V258" s="416"/>
      <c r="W258" s="416"/>
      <c r="X258" s="416"/>
      <c r="Y258" s="416"/>
      <c r="Z258" s="416"/>
      <c r="AA258" s="416"/>
      <c r="AB258" s="416"/>
      <c r="AC258" s="416"/>
      <c r="AD258" s="416"/>
      <c r="AE258" s="416"/>
      <c r="AF258" s="416"/>
      <c r="AG258" s="416"/>
      <c r="AH258" s="416"/>
      <c r="AI258" s="416"/>
      <c r="AJ258" s="416"/>
      <c r="AK258" s="416"/>
      <c r="AL258" s="416"/>
      <c r="AM258" s="416"/>
      <c r="AN258" s="416"/>
      <c r="AO258" s="416"/>
      <c r="AP258" s="416"/>
    </row>
    <row r="259" spans="3:44" s="131" customFormat="1" x14ac:dyDescent="0.25">
      <c r="C259" s="22" t="str">
        <f ca="1">INDEX('Version control'!$H$34:$H$59,MATCH($A$1,'Version control'!$F$34:$F$59,0),1)&amp;"-G: Capacity elements allocated to fixed charges"</f>
        <v>Section 516-G: Capacity elements allocated to fixed charges</v>
      </c>
      <c r="D259" s="22"/>
      <c r="E259" s="22"/>
      <c r="F259" s="22"/>
      <c r="G259" s="22"/>
      <c r="H259" s="22"/>
      <c r="I259" s="22"/>
      <c r="J259" s="406"/>
      <c r="K259" s="406"/>
      <c r="L259" s="406"/>
      <c r="M259" s="406"/>
      <c r="N259" s="406"/>
      <c r="O259" s="406"/>
      <c r="P259" s="406"/>
      <c r="Q259" s="406"/>
      <c r="R259" s="406"/>
      <c r="S259" s="406"/>
      <c r="T259" s="406"/>
      <c r="U259" s="406"/>
      <c r="V259" s="406"/>
      <c r="W259" s="406"/>
      <c r="X259" s="406"/>
      <c r="Y259" s="406"/>
      <c r="Z259" s="406"/>
      <c r="AA259" s="406"/>
      <c r="AB259" s="406"/>
      <c r="AC259" s="406"/>
      <c r="AD259" s="406"/>
      <c r="AE259" s="406"/>
      <c r="AF259" s="406"/>
      <c r="AG259" s="406"/>
      <c r="AH259" s="406"/>
      <c r="AI259" s="406"/>
      <c r="AJ259" s="406"/>
      <c r="AK259" s="406"/>
      <c r="AL259" s="406"/>
      <c r="AM259" s="406"/>
      <c r="AN259" s="406"/>
      <c r="AO259" s="406"/>
      <c r="AP259" s="406"/>
      <c r="AQ259" s="22"/>
      <c r="AR259" s="22"/>
    </row>
    <row r="260" spans="3:44" s="131" customFormat="1" x14ac:dyDescent="0.25">
      <c r="D260" s="144"/>
      <c r="E260" s="172"/>
      <c r="I260" s="131" t="s">
        <v>525</v>
      </c>
      <c r="J260" s="416"/>
      <c r="K260" s="416"/>
      <c r="L260" s="416"/>
      <c r="M260" s="416"/>
      <c r="N260" s="416"/>
      <c r="O260" s="416"/>
      <c r="P260" s="416"/>
      <c r="Q260" s="416"/>
      <c r="R260" s="416"/>
      <c r="S260" s="416"/>
      <c r="T260" s="416"/>
      <c r="U260" s="416"/>
      <c r="V260" s="416"/>
      <c r="W260" s="416"/>
      <c r="X260" s="416"/>
      <c r="Y260" s="416"/>
      <c r="Z260" s="416"/>
      <c r="AA260" s="416"/>
      <c r="AB260" s="416"/>
      <c r="AC260" s="416"/>
      <c r="AD260" s="416"/>
      <c r="AE260" s="416"/>
      <c r="AF260" s="416"/>
      <c r="AG260" s="416"/>
      <c r="AH260" s="416"/>
      <c r="AI260" s="416"/>
      <c r="AJ260" s="416"/>
      <c r="AK260" s="416"/>
      <c r="AL260" s="416"/>
      <c r="AM260" s="416"/>
      <c r="AN260" s="416"/>
      <c r="AO260" s="416"/>
      <c r="AP260" s="416"/>
      <c r="AR260" s="160" t="s">
        <v>1097</v>
      </c>
    </row>
    <row r="261" spans="3:44" s="131" customFormat="1" x14ac:dyDescent="0.25">
      <c r="C261" s="132"/>
      <c r="E261" s="172" t="s">
        <v>156</v>
      </c>
      <c r="J261" s="416"/>
      <c r="K261" s="416"/>
      <c r="L261" s="416"/>
      <c r="M261" s="416"/>
      <c r="N261" s="416"/>
      <c r="O261" s="416"/>
      <c r="P261" s="416"/>
      <c r="Q261" s="416"/>
      <c r="R261" s="416"/>
      <c r="S261" s="416"/>
      <c r="T261" s="416"/>
      <c r="U261" s="416"/>
      <c r="V261" s="416"/>
      <c r="W261" s="416"/>
      <c r="X261" s="416"/>
      <c r="Y261" s="416"/>
      <c r="Z261" s="416"/>
      <c r="AA261" s="416"/>
      <c r="AB261" s="416"/>
      <c r="AC261" s="416"/>
      <c r="AD261" s="416"/>
      <c r="AE261" s="416"/>
      <c r="AF261" s="416"/>
      <c r="AG261" s="416"/>
      <c r="AH261" s="416"/>
      <c r="AI261" s="416"/>
      <c r="AJ261" s="416"/>
      <c r="AK261" s="416"/>
      <c r="AL261" s="416"/>
      <c r="AM261" s="416"/>
      <c r="AN261" s="416"/>
      <c r="AO261" s="416"/>
      <c r="AP261" s="416"/>
    </row>
    <row r="262" spans="3:44" s="131" customFormat="1" x14ac:dyDescent="0.25">
      <c r="C262" s="132"/>
      <c r="E262" s="175"/>
      <c r="F262" s="72" t="s">
        <v>397</v>
      </c>
      <c r="G262" s="137" t="s">
        <v>381</v>
      </c>
      <c r="H262" s="137"/>
      <c r="I262" s="137"/>
      <c r="J262" s="402"/>
      <c r="K262" s="402"/>
      <c r="L262" s="402"/>
      <c r="M262" s="402"/>
      <c r="N262" s="402"/>
      <c r="O262" s="402"/>
      <c r="P262" s="402"/>
      <c r="Q262" s="402"/>
      <c r="R262" s="402"/>
      <c r="S262" s="402"/>
      <c r="T262" s="402"/>
      <c r="U262" s="402"/>
      <c r="V262" s="402"/>
      <c r="W262" s="402"/>
      <c r="X262" s="402"/>
      <c r="Y262" s="402"/>
      <c r="Z262" s="402"/>
      <c r="AA262" s="402"/>
      <c r="AB262" s="402"/>
      <c r="AC262" s="402"/>
      <c r="AD262" s="402"/>
      <c r="AE262" s="402"/>
      <c r="AF262" s="402"/>
      <c r="AG262" s="402"/>
      <c r="AH262" s="402"/>
      <c r="AI262" s="402"/>
      <c r="AJ262" s="402"/>
      <c r="AK262" s="402"/>
      <c r="AL262" s="402"/>
      <c r="AM262" s="402"/>
      <c r="AN262" s="402"/>
      <c r="AO262" s="402"/>
      <c r="AP262" s="402"/>
    </row>
    <row r="263" spans="3:44" s="131" customFormat="1" x14ac:dyDescent="0.25">
      <c r="C263" s="132"/>
      <c r="E263" s="175"/>
      <c r="F263" s="66" t="s">
        <v>43</v>
      </c>
      <c r="G263" s="139" t="s">
        <v>381</v>
      </c>
      <c r="H263" s="139"/>
      <c r="I263" s="139"/>
      <c r="J263" s="403"/>
      <c r="K263" s="403"/>
      <c r="L263" s="403"/>
      <c r="M263" s="403"/>
      <c r="N263" s="403"/>
      <c r="O263" s="403"/>
      <c r="P263" s="403"/>
      <c r="Q263" s="403"/>
      <c r="R263" s="403"/>
      <c r="S263" s="403"/>
      <c r="T263" s="403"/>
      <c r="U263" s="403"/>
      <c r="V263" s="403"/>
      <c r="W263" s="403"/>
      <c r="X263" s="403"/>
      <c r="Y263" s="403"/>
      <c r="Z263" s="403"/>
      <c r="AA263" s="403"/>
      <c r="AB263" s="403"/>
      <c r="AC263" s="403"/>
      <c r="AD263" s="403"/>
      <c r="AE263" s="403"/>
      <c r="AF263" s="403"/>
      <c r="AG263" s="403"/>
      <c r="AH263" s="403"/>
      <c r="AI263" s="403"/>
      <c r="AJ263" s="403"/>
      <c r="AK263" s="403"/>
      <c r="AL263" s="403"/>
      <c r="AM263" s="403"/>
      <c r="AN263" s="403"/>
      <c r="AO263" s="403"/>
      <c r="AP263" s="403"/>
    </row>
    <row r="264" spans="3:44" s="131" customFormat="1" x14ac:dyDescent="0.25">
      <c r="C264" s="132"/>
      <c r="E264" s="175"/>
      <c r="F264" s="66" t="s">
        <v>44</v>
      </c>
      <c r="G264" s="139" t="s">
        <v>381</v>
      </c>
      <c r="H264" s="139"/>
      <c r="I264" s="139"/>
      <c r="J264" s="420">
        <f>J$123 * J134</f>
        <v>0</v>
      </c>
      <c r="K264" s="420">
        <f t="shared" ref="K264:AB264" si="74">K$123 * K134</f>
        <v>0</v>
      </c>
      <c r="L264" s="420">
        <f t="shared" si="74"/>
        <v>0</v>
      </c>
      <c r="M264" s="420">
        <f t="shared" si="74"/>
        <v>0</v>
      </c>
      <c r="N264" s="420">
        <f t="shared" si="74"/>
        <v>0</v>
      </c>
      <c r="O264" s="420">
        <f t="shared" si="74"/>
        <v>0</v>
      </c>
      <c r="P264" s="420">
        <f t="shared" si="74"/>
        <v>0</v>
      </c>
      <c r="Q264" s="420">
        <f t="shared" si="74"/>
        <v>0</v>
      </c>
      <c r="R264" s="420">
        <f t="shared" si="74"/>
        <v>0</v>
      </c>
      <c r="S264" s="420">
        <f t="shared" si="74"/>
        <v>0</v>
      </c>
      <c r="T264" s="420">
        <f t="shared" si="74"/>
        <v>0</v>
      </c>
      <c r="U264" s="420">
        <f t="shared" si="74"/>
        <v>0</v>
      </c>
      <c r="V264" s="420">
        <f t="shared" si="74"/>
        <v>0</v>
      </c>
      <c r="W264" s="420">
        <f t="shared" si="74"/>
        <v>0</v>
      </c>
      <c r="X264" s="420">
        <f t="shared" si="74"/>
        <v>0</v>
      </c>
      <c r="Y264" s="420">
        <f t="shared" si="74"/>
        <v>0</v>
      </c>
      <c r="Z264" s="420">
        <f t="shared" si="74"/>
        <v>0</v>
      </c>
      <c r="AA264" s="420">
        <f t="shared" si="74"/>
        <v>0</v>
      </c>
      <c r="AB264" s="420">
        <f t="shared" si="74"/>
        <v>0</v>
      </c>
      <c r="AC264" s="403"/>
      <c r="AD264" s="403"/>
      <c r="AE264" s="403"/>
      <c r="AF264" s="403"/>
      <c r="AG264" s="403"/>
      <c r="AH264" s="403"/>
      <c r="AI264" s="403"/>
      <c r="AJ264" s="403"/>
      <c r="AK264" s="403"/>
      <c r="AL264" s="403"/>
      <c r="AM264" s="403"/>
      <c r="AN264" s="403"/>
      <c r="AO264" s="403"/>
      <c r="AP264" s="403"/>
    </row>
    <row r="265" spans="3:44" s="131" customFormat="1" x14ac:dyDescent="0.25">
      <c r="C265" s="132"/>
      <c r="E265" s="175"/>
      <c r="F265" s="66" t="s">
        <v>45</v>
      </c>
      <c r="G265" s="139" t="s">
        <v>381</v>
      </c>
      <c r="H265" s="139"/>
      <c r="I265" s="139"/>
      <c r="J265" s="420">
        <f t="shared" ref="J265:AB265" si="75">J$123 * J135</f>
        <v>0</v>
      </c>
      <c r="K265" s="420">
        <f t="shared" si="75"/>
        <v>0</v>
      </c>
      <c r="L265" s="420">
        <f t="shared" si="75"/>
        <v>0</v>
      </c>
      <c r="M265" s="420">
        <f t="shared" si="75"/>
        <v>0</v>
      </c>
      <c r="N265" s="420">
        <f t="shared" si="75"/>
        <v>0</v>
      </c>
      <c r="O265" s="420">
        <f t="shared" si="75"/>
        <v>0</v>
      </c>
      <c r="P265" s="420">
        <f t="shared" si="75"/>
        <v>0</v>
      </c>
      <c r="Q265" s="420">
        <f t="shared" si="75"/>
        <v>0</v>
      </c>
      <c r="R265" s="420">
        <f t="shared" si="75"/>
        <v>0</v>
      </c>
      <c r="S265" s="420">
        <f t="shared" si="75"/>
        <v>0</v>
      </c>
      <c r="T265" s="420">
        <f t="shared" si="75"/>
        <v>0</v>
      </c>
      <c r="U265" s="420">
        <f t="shared" si="75"/>
        <v>0</v>
      </c>
      <c r="V265" s="420">
        <f t="shared" si="75"/>
        <v>0</v>
      </c>
      <c r="W265" s="420">
        <f t="shared" si="75"/>
        <v>0</v>
      </c>
      <c r="X265" s="420">
        <f t="shared" si="75"/>
        <v>0</v>
      </c>
      <c r="Y265" s="420">
        <f t="shared" si="75"/>
        <v>0</v>
      </c>
      <c r="Z265" s="420">
        <f t="shared" si="75"/>
        <v>0</v>
      </c>
      <c r="AA265" s="420">
        <f t="shared" si="75"/>
        <v>0</v>
      </c>
      <c r="AB265" s="420">
        <f t="shared" si="75"/>
        <v>0</v>
      </c>
      <c r="AC265" s="403"/>
      <c r="AD265" s="403"/>
      <c r="AE265" s="403"/>
      <c r="AF265" s="403"/>
      <c r="AG265" s="403"/>
      <c r="AH265" s="403"/>
      <c r="AI265" s="403"/>
      <c r="AJ265" s="403"/>
      <c r="AK265" s="403"/>
      <c r="AL265" s="403"/>
      <c r="AM265" s="403"/>
      <c r="AN265" s="403"/>
      <c r="AO265" s="403"/>
      <c r="AP265" s="403"/>
    </row>
    <row r="266" spans="3:44" s="131" customFormat="1" x14ac:dyDescent="0.25">
      <c r="C266" s="132"/>
      <c r="E266" s="175"/>
      <c r="F266" s="66" t="s">
        <v>46</v>
      </c>
      <c r="G266" s="139" t="s">
        <v>381</v>
      </c>
      <c r="H266" s="139"/>
      <c r="I266" s="139"/>
      <c r="J266" s="420">
        <f t="shared" ref="J266:AB266" si="76">J$123 * J136</f>
        <v>0</v>
      </c>
      <c r="K266" s="420">
        <f t="shared" si="76"/>
        <v>0</v>
      </c>
      <c r="L266" s="420">
        <f t="shared" si="76"/>
        <v>0</v>
      </c>
      <c r="M266" s="420">
        <f t="shared" si="76"/>
        <v>0</v>
      </c>
      <c r="N266" s="420">
        <f t="shared" si="76"/>
        <v>0</v>
      </c>
      <c r="O266" s="420">
        <f t="shared" si="76"/>
        <v>0</v>
      </c>
      <c r="P266" s="420">
        <f t="shared" si="76"/>
        <v>0</v>
      </c>
      <c r="Q266" s="420">
        <f t="shared" si="76"/>
        <v>0</v>
      </c>
      <c r="R266" s="420">
        <f t="shared" si="76"/>
        <v>0.32399634837950669</v>
      </c>
      <c r="S266" s="420">
        <f t="shared" si="76"/>
        <v>0</v>
      </c>
      <c r="T266" s="420">
        <f t="shared" si="76"/>
        <v>0</v>
      </c>
      <c r="U266" s="420">
        <f t="shared" si="76"/>
        <v>0</v>
      </c>
      <c r="V266" s="420">
        <f t="shared" si="76"/>
        <v>0</v>
      </c>
      <c r="W266" s="420">
        <f t="shared" si="76"/>
        <v>0</v>
      </c>
      <c r="X266" s="420">
        <f t="shared" si="76"/>
        <v>0</v>
      </c>
      <c r="Y266" s="420">
        <f t="shared" si="76"/>
        <v>0</v>
      </c>
      <c r="Z266" s="420">
        <f t="shared" si="76"/>
        <v>0</v>
      </c>
      <c r="AA266" s="420">
        <f t="shared" si="76"/>
        <v>0</v>
      </c>
      <c r="AB266" s="420">
        <f t="shared" si="76"/>
        <v>0</v>
      </c>
      <c r="AC266" s="403"/>
      <c r="AD266" s="403"/>
      <c r="AE266" s="403"/>
      <c r="AF266" s="403"/>
      <c r="AG266" s="403"/>
      <c r="AH266" s="403"/>
      <c r="AI266" s="403"/>
      <c r="AJ266" s="403"/>
      <c r="AK266" s="403"/>
      <c r="AL266" s="403"/>
      <c r="AM266" s="403"/>
      <c r="AN266" s="403"/>
      <c r="AO266" s="403"/>
      <c r="AP266" s="403"/>
    </row>
    <row r="267" spans="3:44" s="131" customFormat="1" x14ac:dyDescent="0.25">
      <c r="C267" s="132"/>
      <c r="E267" s="175"/>
      <c r="F267" s="66" t="s">
        <v>47</v>
      </c>
      <c r="G267" s="139" t="s">
        <v>381</v>
      </c>
      <c r="H267" s="139"/>
      <c r="I267" s="139"/>
      <c r="J267" s="420">
        <f t="shared" ref="J267:AB267" si="77">J$123 * J137</f>
        <v>0</v>
      </c>
      <c r="K267" s="420">
        <f t="shared" si="77"/>
        <v>0</v>
      </c>
      <c r="L267" s="420">
        <f t="shared" si="77"/>
        <v>0</v>
      </c>
      <c r="M267" s="420">
        <f t="shared" si="77"/>
        <v>0</v>
      </c>
      <c r="N267" s="420">
        <f t="shared" si="77"/>
        <v>0</v>
      </c>
      <c r="O267" s="420">
        <f t="shared" si="77"/>
        <v>0</v>
      </c>
      <c r="P267" s="420">
        <f t="shared" si="77"/>
        <v>0</v>
      </c>
      <c r="Q267" s="420">
        <f t="shared" si="77"/>
        <v>0</v>
      </c>
      <c r="R267" s="420">
        <f t="shared" si="77"/>
        <v>1.1932071832736304</v>
      </c>
      <c r="S267" s="420">
        <f t="shared" si="77"/>
        <v>0</v>
      </c>
      <c r="T267" s="420">
        <f t="shared" si="77"/>
        <v>0</v>
      </c>
      <c r="U267" s="420">
        <f t="shared" si="77"/>
        <v>0</v>
      </c>
      <c r="V267" s="420">
        <f t="shared" si="77"/>
        <v>0</v>
      </c>
      <c r="W267" s="420">
        <f t="shared" si="77"/>
        <v>0</v>
      </c>
      <c r="X267" s="420">
        <f t="shared" si="77"/>
        <v>0</v>
      </c>
      <c r="Y267" s="420">
        <f t="shared" si="77"/>
        <v>0</v>
      </c>
      <c r="Z267" s="420">
        <f t="shared" si="77"/>
        <v>0</v>
      </c>
      <c r="AA267" s="420">
        <f t="shared" si="77"/>
        <v>0</v>
      </c>
      <c r="AB267" s="420">
        <f t="shared" si="77"/>
        <v>0</v>
      </c>
      <c r="AC267" s="403"/>
      <c r="AD267" s="403"/>
      <c r="AE267" s="403"/>
      <c r="AF267" s="403"/>
      <c r="AG267" s="403"/>
      <c r="AH267" s="403"/>
      <c r="AI267" s="403"/>
      <c r="AJ267" s="403"/>
      <c r="AK267" s="403"/>
      <c r="AL267" s="403"/>
      <c r="AM267" s="403"/>
      <c r="AN267" s="403"/>
      <c r="AO267" s="403"/>
      <c r="AP267" s="403"/>
    </row>
    <row r="268" spans="3:44" s="131" customFormat="1" x14ac:dyDescent="0.25">
      <c r="C268" s="132"/>
      <c r="E268" s="175"/>
      <c r="F268" s="66" t="s">
        <v>51</v>
      </c>
      <c r="G268" s="139" t="s">
        <v>381</v>
      </c>
      <c r="H268" s="139"/>
      <c r="I268" s="139"/>
      <c r="J268" s="420">
        <f t="shared" ref="J268:AB268" si="78">J$123 * J138</f>
        <v>0</v>
      </c>
      <c r="K268" s="420">
        <f t="shared" si="78"/>
        <v>0</v>
      </c>
      <c r="L268" s="420">
        <f t="shared" si="78"/>
        <v>0</v>
      </c>
      <c r="M268" s="420">
        <f t="shared" si="78"/>
        <v>0</v>
      </c>
      <c r="N268" s="420">
        <f t="shared" si="78"/>
        <v>0</v>
      </c>
      <c r="O268" s="420">
        <f t="shared" si="78"/>
        <v>0</v>
      </c>
      <c r="P268" s="420">
        <f t="shared" si="78"/>
        <v>0</v>
      </c>
      <c r="Q268" s="420">
        <f t="shared" si="78"/>
        <v>0</v>
      </c>
      <c r="R268" s="420">
        <f t="shared" si="78"/>
        <v>0</v>
      </c>
      <c r="S268" s="420">
        <f t="shared" si="78"/>
        <v>0</v>
      </c>
      <c r="T268" s="420">
        <f t="shared" si="78"/>
        <v>0</v>
      </c>
      <c r="U268" s="420">
        <f t="shared" si="78"/>
        <v>0</v>
      </c>
      <c r="V268" s="420">
        <f t="shared" si="78"/>
        <v>0</v>
      </c>
      <c r="W268" s="420">
        <f t="shared" si="78"/>
        <v>0</v>
      </c>
      <c r="X268" s="420">
        <f t="shared" si="78"/>
        <v>0</v>
      </c>
      <c r="Y268" s="420">
        <f t="shared" si="78"/>
        <v>0</v>
      </c>
      <c r="Z268" s="420">
        <f t="shared" si="78"/>
        <v>0</v>
      </c>
      <c r="AA268" s="420">
        <f t="shared" si="78"/>
        <v>0</v>
      </c>
      <c r="AB268" s="420">
        <f t="shared" si="78"/>
        <v>0</v>
      </c>
      <c r="AC268" s="403"/>
      <c r="AD268" s="403"/>
      <c r="AE268" s="403"/>
      <c r="AF268" s="403"/>
      <c r="AG268" s="403"/>
      <c r="AH268" s="403"/>
      <c r="AI268" s="403"/>
      <c r="AJ268" s="403"/>
      <c r="AK268" s="403"/>
      <c r="AL268" s="403"/>
      <c r="AM268" s="403"/>
      <c r="AN268" s="403"/>
      <c r="AO268" s="403"/>
      <c r="AP268" s="403"/>
    </row>
    <row r="269" spans="3:44" s="131" customFormat="1" x14ac:dyDescent="0.25">
      <c r="C269" s="132"/>
      <c r="E269" s="175"/>
      <c r="F269" s="66" t="s">
        <v>48</v>
      </c>
      <c r="G269" s="139" t="s">
        <v>381</v>
      </c>
      <c r="H269" s="139"/>
      <c r="I269" s="139"/>
      <c r="J269" s="420">
        <f t="shared" ref="J269:AB269" si="79">J$123 * J139</f>
        <v>0</v>
      </c>
      <c r="K269" s="420">
        <f t="shared" si="79"/>
        <v>0</v>
      </c>
      <c r="L269" s="420">
        <f t="shared" si="79"/>
        <v>0</v>
      </c>
      <c r="M269" s="420">
        <f t="shared" si="79"/>
        <v>0</v>
      </c>
      <c r="N269" s="420">
        <f t="shared" si="79"/>
        <v>0</v>
      </c>
      <c r="O269" s="420">
        <f t="shared" si="79"/>
        <v>0</v>
      </c>
      <c r="P269" s="420">
        <f t="shared" si="79"/>
        <v>0</v>
      </c>
      <c r="Q269" s="420">
        <f t="shared" si="79"/>
        <v>0</v>
      </c>
      <c r="R269" s="420">
        <f t="shared" si="79"/>
        <v>1.8812065027614999</v>
      </c>
      <c r="S269" s="420">
        <f t="shared" si="79"/>
        <v>0</v>
      </c>
      <c r="T269" s="420">
        <f t="shared" si="79"/>
        <v>0</v>
      </c>
      <c r="U269" s="420">
        <f t="shared" si="79"/>
        <v>0</v>
      </c>
      <c r="V269" s="420">
        <f t="shared" si="79"/>
        <v>0</v>
      </c>
      <c r="W269" s="420">
        <f t="shared" si="79"/>
        <v>0</v>
      </c>
      <c r="X269" s="420">
        <f t="shared" si="79"/>
        <v>0</v>
      </c>
      <c r="Y269" s="420">
        <f t="shared" si="79"/>
        <v>0</v>
      </c>
      <c r="Z269" s="420">
        <f t="shared" si="79"/>
        <v>0</v>
      </c>
      <c r="AA269" s="420">
        <f t="shared" si="79"/>
        <v>0</v>
      </c>
      <c r="AB269" s="420">
        <f t="shared" si="79"/>
        <v>0</v>
      </c>
      <c r="AC269" s="403"/>
      <c r="AD269" s="403"/>
      <c r="AE269" s="403"/>
      <c r="AF269" s="403"/>
      <c r="AG269" s="403"/>
      <c r="AH269" s="403"/>
      <c r="AI269" s="403"/>
      <c r="AJ269" s="403"/>
      <c r="AK269" s="403"/>
      <c r="AL269" s="403"/>
      <c r="AM269" s="403"/>
      <c r="AN269" s="403"/>
      <c r="AO269" s="403"/>
      <c r="AP269" s="403"/>
    </row>
    <row r="270" spans="3:44" s="131" customFormat="1" x14ac:dyDescent="0.25">
      <c r="C270" s="132"/>
      <c r="E270" s="175"/>
      <c r="F270" s="66" t="s">
        <v>49</v>
      </c>
      <c r="G270" s="139" t="s">
        <v>381</v>
      </c>
      <c r="H270" s="139"/>
      <c r="I270" s="139"/>
      <c r="J270" s="420">
        <f t="shared" ref="J270:AB270" si="80">J$123 * J140</f>
        <v>0</v>
      </c>
      <c r="K270" s="420">
        <f t="shared" si="80"/>
        <v>0</v>
      </c>
      <c r="L270" s="420">
        <f t="shared" si="80"/>
        <v>0</v>
      </c>
      <c r="M270" s="420">
        <f t="shared" si="80"/>
        <v>0</v>
      </c>
      <c r="N270" s="420">
        <f t="shared" si="80"/>
        <v>0</v>
      </c>
      <c r="O270" s="420">
        <f t="shared" si="80"/>
        <v>0</v>
      </c>
      <c r="P270" s="420">
        <f t="shared" si="80"/>
        <v>0</v>
      </c>
      <c r="Q270" s="420">
        <f t="shared" si="80"/>
        <v>0.5849451104394342</v>
      </c>
      <c r="R270" s="420">
        <f t="shared" si="80"/>
        <v>0</v>
      </c>
      <c r="S270" s="420">
        <f t="shared" si="80"/>
        <v>0</v>
      </c>
      <c r="T270" s="420">
        <f t="shared" si="80"/>
        <v>0</v>
      </c>
      <c r="U270" s="420">
        <f t="shared" si="80"/>
        <v>0</v>
      </c>
      <c r="V270" s="420">
        <f t="shared" si="80"/>
        <v>0</v>
      </c>
      <c r="W270" s="420">
        <f t="shared" si="80"/>
        <v>0</v>
      </c>
      <c r="X270" s="420">
        <f t="shared" si="80"/>
        <v>0</v>
      </c>
      <c r="Y270" s="420">
        <f t="shared" si="80"/>
        <v>0</v>
      </c>
      <c r="Z270" s="420">
        <f t="shared" si="80"/>
        <v>0</v>
      </c>
      <c r="AA270" s="420">
        <f t="shared" si="80"/>
        <v>0</v>
      </c>
      <c r="AB270" s="420">
        <f t="shared" si="80"/>
        <v>0</v>
      </c>
      <c r="AC270" s="403"/>
      <c r="AD270" s="403"/>
      <c r="AE270" s="403"/>
      <c r="AF270" s="403"/>
      <c r="AG270" s="403"/>
      <c r="AH270" s="403"/>
      <c r="AI270" s="403"/>
      <c r="AJ270" s="403"/>
      <c r="AK270" s="403"/>
      <c r="AL270" s="403"/>
      <c r="AM270" s="403"/>
      <c r="AN270" s="403"/>
      <c r="AO270" s="403"/>
      <c r="AP270" s="403"/>
    </row>
    <row r="271" spans="3:44" s="131" customFormat="1" x14ac:dyDescent="0.25">
      <c r="C271" s="132"/>
      <c r="E271" s="175"/>
      <c r="F271" s="66" t="s">
        <v>50</v>
      </c>
      <c r="G271" s="139" t="s">
        <v>381</v>
      </c>
      <c r="H271" s="139"/>
      <c r="I271" s="139"/>
      <c r="J271" s="420">
        <f t="shared" ref="J271:AB271" si="81">J$123 * J141</f>
        <v>6.882997322599077E-2</v>
      </c>
      <c r="K271" s="420">
        <f t="shared" si="81"/>
        <v>6.882997322599077E-2</v>
      </c>
      <c r="L271" s="420">
        <f t="shared" si="81"/>
        <v>0</v>
      </c>
      <c r="M271" s="420">
        <f t="shared" si="81"/>
        <v>6.882997322599077E-2</v>
      </c>
      <c r="N271" s="420">
        <f t="shared" si="81"/>
        <v>6.882997322599077E-2</v>
      </c>
      <c r="O271" s="420">
        <f t="shared" si="81"/>
        <v>0</v>
      </c>
      <c r="P271" s="420">
        <f t="shared" si="81"/>
        <v>6.882997322599077E-2</v>
      </c>
      <c r="Q271" s="420">
        <f t="shared" si="81"/>
        <v>0</v>
      </c>
      <c r="R271" s="420">
        <f t="shared" si="81"/>
        <v>0</v>
      </c>
      <c r="S271" s="420">
        <f t="shared" si="81"/>
        <v>6.882997322599077E-2</v>
      </c>
      <c r="T271" s="420">
        <f t="shared" si="81"/>
        <v>6.882997322599077E-2</v>
      </c>
      <c r="U271" s="420">
        <f t="shared" si="81"/>
        <v>0</v>
      </c>
      <c r="V271" s="420">
        <f t="shared" si="81"/>
        <v>0</v>
      </c>
      <c r="W271" s="420">
        <f t="shared" si="81"/>
        <v>0</v>
      </c>
      <c r="X271" s="420">
        <f t="shared" si="81"/>
        <v>0</v>
      </c>
      <c r="Y271" s="420">
        <f t="shared" si="81"/>
        <v>0</v>
      </c>
      <c r="Z271" s="420">
        <f t="shared" si="81"/>
        <v>0</v>
      </c>
      <c r="AA271" s="420">
        <f t="shared" si="81"/>
        <v>0</v>
      </c>
      <c r="AB271" s="420">
        <f t="shared" si="81"/>
        <v>0</v>
      </c>
      <c r="AC271" s="403"/>
      <c r="AD271" s="403"/>
      <c r="AE271" s="403"/>
      <c r="AF271" s="403"/>
      <c r="AG271" s="403"/>
      <c r="AH271" s="403"/>
      <c r="AI271" s="403"/>
      <c r="AJ271" s="403"/>
      <c r="AK271" s="403"/>
      <c r="AL271" s="403"/>
      <c r="AM271" s="403"/>
      <c r="AN271" s="403"/>
      <c r="AO271" s="403"/>
      <c r="AP271" s="403"/>
    </row>
    <row r="272" spans="3:44" s="131" customFormat="1" x14ac:dyDescent="0.25">
      <c r="C272" s="132"/>
      <c r="E272" s="175"/>
      <c r="F272" s="66" t="s">
        <v>141</v>
      </c>
      <c r="G272" s="139" t="s">
        <v>381</v>
      </c>
      <c r="H272" s="139"/>
      <c r="I272" s="139"/>
      <c r="J272" s="403"/>
      <c r="K272" s="403"/>
      <c r="L272" s="403"/>
      <c r="M272" s="403"/>
      <c r="N272" s="403"/>
      <c r="O272" s="403"/>
      <c r="P272" s="403"/>
      <c r="Q272" s="403"/>
      <c r="R272" s="403"/>
      <c r="S272" s="403"/>
      <c r="T272" s="403"/>
      <c r="U272" s="403"/>
      <c r="V272" s="403"/>
      <c r="W272" s="403"/>
      <c r="X272" s="403"/>
      <c r="Y272" s="403"/>
      <c r="Z272" s="403"/>
      <c r="AA272" s="403"/>
      <c r="AB272" s="403"/>
      <c r="AC272" s="403"/>
      <c r="AD272" s="403"/>
      <c r="AE272" s="403"/>
      <c r="AF272" s="403"/>
      <c r="AG272" s="403"/>
      <c r="AH272" s="403"/>
      <c r="AI272" s="403"/>
      <c r="AJ272" s="403"/>
      <c r="AK272" s="403"/>
      <c r="AL272" s="403"/>
      <c r="AM272" s="403"/>
      <c r="AN272" s="403"/>
      <c r="AO272" s="403"/>
      <c r="AP272" s="403"/>
    </row>
    <row r="273" spans="3:42" s="131" customFormat="1" x14ac:dyDescent="0.25">
      <c r="C273" s="132"/>
      <c r="E273" s="175"/>
      <c r="F273" s="67" t="s">
        <v>140</v>
      </c>
      <c r="G273" s="140" t="s">
        <v>381</v>
      </c>
      <c r="H273" s="140"/>
      <c r="I273" s="140"/>
      <c r="J273" s="404"/>
      <c r="K273" s="404"/>
      <c r="L273" s="404"/>
      <c r="M273" s="404"/>
      <c r="N273" s="404"/>
      <c r="O273" s="404"/>
      <c r="P273" s="404"/>
      <c r="Q273" s="404"/>
      <c r="R273" s="404"/>
      <c r="S273" s="404"/>
      <c r="T273" s="404"/>
      <c r="U273" s="404"/>
      <c r="V273" s="404"/>
      <c r="W273" s="404"/>
      <c r="X273" s="404"/>
      <c r="Y273" s="404"/>
      <c r="Z273" s="404"/>
      <c r="AA273" s="404"/>
      <c r="AB273" s="404"/>
      <c r="AC273" s="404"/>
      <c r="AD273" s="404"/>
      <c r="AE273" s="404"/>
      <c r="AF273" s="404"/>
      <c r="AG273" s="404"/>
      <c r="AH273" s="404"/>
      <c r="AI273" s="404"/>
      <c r="AJ273" s="404"/>
      <c r="AK273" s="404"/>
      <c r="AL273" s="404"/>
      <c r="AM273" s="404"/>
      <c r="AN273" s="404"/>
      <c r="AO273" s="404"/>
      <c r="AP273" s="404"/>
    </row>
    <row r="274" spans="3:42" s="160" customFormat="1" x14ac:dyDescent="0.25">
      <c r="C274" s="161"/>
      <c r="E274" s="175"/>
      <c r="F274" s="117"/>
      <c r="J274" s="416"/>
      <c r="K274" s="416"/>
      <c r="L274" s="416"/>
      <c r="M274" s="416"/>
      <c r="N274" s="416"/>
      <c r="O274" s="416"/>
      <c r="P274" s="416"/>
      <c r="Q274" s="416"/>
      <c r="R274" s="416"/>
      <c r="S274" s="416"/>
      <c r="T274" s="416"/>
      <c r="U274" s="416"/>
      <c r="V274" s="416"/>
      <c r="W274" s="416"/>
      <c r="X274" s="416"/>
      <c r="Y274" s="416"/>
      <c r="Z274" s="416"/>
      <c r="AA274" s="416"/>
      <c r="AB274" s="416"/>
      <c r="AC274" s="416"/>
      <c r="AD274" s="416"/>
      <c r="AE274" s="416"/>
      <c r="AF274" s="416"/>
      <c r="AG274" s="416"/>
      <c r="AH274" s="416"/>
      <c r="AI274" s="416"/>
      <c r="AJ274" s="416"/>
      <c r="AK274" s="416"/>
      <c r="AL274" s="416"/>
      <c r="AM274" s="416"/>
      <c r="AN274" s="416"/>
      <c r="AO274" s="416"/>
      <c r="AP274" s="416"/>
    </row>
    <row r="275" spans="3:42" s="131" customFormat="1" x14ac:dyDescent="0.25">
      <c r="C275" s="132"/>
      <c r="E275" s="172" t="s">
        <v>157</v>
      </c>
      <c r="F275" s="117"/>
      <c r="J275" s="416"/>
      <c r="K275" s="416"/>
      <c r="L275" s="416"/>
      <c r="M275" s="416"/>
      <c r="N275" s="416"/>
      <c r="O275" s="416"/>
      <c r="P275" s="416"/>
      <c r="Q275" s="416"/>
      <c r="R275" s="416"/>
      <c r="S275" s="416"/>
      <c r="T275" s="416"/>
      <c r="U275" s="416"/>
      <c r="V275" s="416"/>
      <c r="W275" s="416"/>
      <c r="X275" s="416"/>
      <c r="Y275" s="416"/>
      <c r="Z275" s="416"/>
      <c r="AA275" s="416"/>
      <c r="AB275" s="416"/>
      <c r="AC275" s="416"/>
      <c r="AD275" s="416"/>
      <c r="AE275" s="416"/>
      <c r="AF275" s="416"/>
      <c r="AG275" s="416"/>
      <c r="AH275" s="416"/>
      <c r="AI275" s="416"/>
      <c r="AJ275" s="416"/>
      <c r="AK275" s="416"/>
      <c r="AL275" s="416"/>
      <c r="AM275" s="416"/>
      <c r="AN275" s="416"/>
      <c r="AO275" s="416"/>
      <c r="AP275" s="416"/>
    </row>
    <row r="276" spans="3:42" s="131" customFormat="1" x14ac:dyDescent="0.25">
      <c r="C276" s="132"/>
      <c r="E276" s="175"/>
      <c r="F276" s="72" t="s">
        <v>397</v>
      </c>
      <c r="G276" s="137" t="s">
        <v>381</v>
      </c>
      <c r="H276" s="137"/>
      <c r="I276" s="137"/>
      <c r="J276" s="418">
        <f>J$123 * J146</f>
        <v>0</v>
      </c>
      <c r="K276" s="418">
        <f t="shared" ref="K276:AB276" si="82">K$123 * K146</f>
        <v>0</v>
      </c>
      <c r="L276" s="418">
        <f t="shared" si="82"/>
        <v>0</v>
      </c>
      <c r="M276" s="418">
        <f t="shared" si="82"/>
        <v>0</v>
      </c>
      <c r="N276" s="418">
        <f t="shared" si="82"/>
        <v>0</v>
      </c>
      <c r="O276" s="418">
        <f t="shared" si="82"/>
        <v>0</v>
      </c>
      <c r="P276" s="418">
        <f t="shared" si="82"/>
        <v>0</v>
      </c>
      <c r="Q276" s="418">
        <f t="shared" si="82"/>
        <v>0</v>
      </c>
      <c r="R276" s="418">
        <f t="shared" si="82"/>
        <v>0</v>
      </c>
      <c r="S276" s="418">
        <f t="shared" si="82"/>
        <v>0</v>
      </c>
      <c r="T276" s="418">
        <f t="shared" si="82"/>
        <v>0</v>
      </c>
      <c r="U276" s="418">
        <f t="shared" si="82"/>
        <v>0</v>
      </c>
      <c r="V276" s="418">
        <f t="shared" si="82"/>
        <v>0</v>
      </c>
      <c r="W276" s="418">
        <f t="shared" si="82"/>
        <v>0</v>
      </c>
      <c r="X276" s="418">
        <f t="shared" si="82"/>
        <v>0</v>
      </c>
      <c r="Y276" s="418">
        <f t="shared" si="82"/>
        <v>0</v>
      </c>
      <c r="Z276" s="418">
        <f t="shared" si="82"/>
        <v>0</v>
      </c>
      <c r="AA276" s="418">
        <f t="shared" si="82"/>
        <v>0</v>
      </c>
      <c r="AB276" s="418">
        <f t="shared" si="82"/>
        <v>0</v>
      </c>
      <c r="AC276" s="402"/>
      <c r="AD276" s="402"/>
      <c r="AE276" s="402"/>
      <c r="AF276" s="402"/>
      <c r="AG276" s="402"/>
      <c r="AH276" s="402"/>
      <c r="AI276" s="402"/>
      <c r="AJ276" s="402"/>
      <c r="AK276" s="402"/>
      <c r="AL276" s="402"/>
      <c r="AM276" s="402"/>
      <c r="AN276" s="402"/>
      <c r="AO276" s="402"/>
      <c r="AP276" s="402"/>
    </row>
    <row r="277" spans="3:42" s="131" customFormat="1" x14ac:dyDescent="0.25">
      <c r="C277" s="132"/>
      <c r="E277" s="175"/>
      <c r="F277" s="66" t="s">
        <v>43</v>
      </c>
      <c r="G277" s="139" t="s">
        <v>381</v>
      </c>
      <c r="H277" s="139"/>
      <c r="I277" s="139"/>
      <c r="J277" s="420">
        <f t="shared" ref="J277:AB277" si="83">J$123 * J147</f>
        <v>0</v>
      </c>
      <c r="K277" s="420">
        <f t="shared" si="83"/>
        <v>0</v>
      </c>
      <c r="L277" s="420">
        <f t="shared" si="83"/>
        <v>0</v>
      </c>
      <c r="M277" s="420">
        <f t="shared" si="83"/>
        <v>0</v>
      </c>
      <c r="N277" s="420">
        <f t="shared" si="83"/>
        <v>0</v>
      </c>
      <c r="O277" s="420">
        <f t="shared" si="83"/>
        <v>0</v>
      </c>
      <c r="P277" s="420">
        <f t="shared" si="83"/>
        <v>0</v>
      </c>
      <c r="Q277" s="420">
        <f t="shared" si="83"/>
        <v>0</v>
      </c>
      <c r="R277" s="420">
        <f t="shared" si="83"/>
        <v>0</v>
      </c>
      <c r="S277" s="420">
        <f t="shared" si="83"/>
        <v>0</v>
      </c>
      <c r="T277" s="420">
        <f t="shared" si="83"/>
        <v>0</v>
      </c>
      <c r="U277" s="420">
        <f t="shared" si="83"/>
        <v>0</v>
      </c>
      <c r="V277" s="420">
        <f t="shared" si="83"/>
        <v>0</v>
      </c>
      <c r="W277" s="420">
        <f t="shared" si="83"/>
        <v>0</v>
      </c>
      <c r="X277" s="420">
        <f t="shared" si="83"/>
        <v>0</v>
      </c>
      <c r="Y277" s="420">
        <f t="shared" si="83"/>
        <v>0</v>
      </c>
      <c r="Z277" s="420">
        <f t="shared" si="83"/>
        <v>0</v>
      </c>
      <c r="AA277" s="420">
        <f t="shared" si="83"/>
        <v>0</v>
      </c>
      <c r="AB277" s="420">
        <f t="shared" si="83"/>
        <v>0</v>
      </c>
      <c r="AC277" s="403"/>
      <c r="AD277" s="403"/>
      <c r="AE277" s="403"/>
      <c r="AF277" s="403"/>
      <c r="AG277" s="403"/>
      <c r="AH277" s="403"/>
      <c r="AI277" s="403"/>
      <c r="AJ277" s="403"/>
      <c r="AK277" s="403"/>
      <c r="AL277" s="403"/>
      <c r="AM277" s="403"/>
      <c r="AN277" s="403"/>
      <c r="AO277" s="403"/>
      <c r="AP277" s="403"/>
    </row>
    <row r="278" spans="3:42" s="131" customFormat="1" x14ac:dyDescent="0.25">
      <c r="C278" s="132"/>
      <c r="E278" s="175"/>
      <c r="F278" s="66" t="s">
        <v>44</v>
      </c>
      <c r="G278" s="139" t="s">
        <v>381</v>
      </c>
      <c r="H278" s="139"/>
      <c r="I278" s="139"/>
      <c r="J278" s="420">
        <f t="shared" ref="J278:AB278" si="84">J$123 * J148</f>
        <v>0</v>
      </c>
      <c r="K278" s="420">
        <f t="shared" si="84"/>
        <v>0</v>
      </c>
      <c r="L278" s="420">
        <f t="shared" si="84"/>
        <v>0</v>
      </c>
      <c r="M278" s="420">
        <f t="shared" si="84"/>
        <v>0</v>
      </c>
      <c r="N278" s="420">
        <f t="shared" si="84"/>
        <v>0</v>
      </c>
      <c r="O278" s="420">
        <f t="shared" si="84"/>
        <v>0</v>
      </c>
      <c r="P278" s="420">
        <f t="shared" si="84"/>
        <v>0</v>
      </c>
      <c r="Q278" s="420">
        <f t="shared" si="84"/>
        <v>0</v>
      </c>
      <c r="R278" s="420">
        <f t="shared" si="84"/>
        <v>0</v>
      </c>
      <c r="S278" s="420">
        <f t="shared" si="84"/>
        <v>0</v>
      </c>
      <c r="T278" s="420">
        <f t="shared" si="84"/>
        <v>0</v>
      </c>
      <c r="U278" s="420">
        <f t="shared" si="84"/>
        <v>0</v>
      </c>
      <c r="V278" s="420">
        <f t="shared" si="84"/>
        <v>0</v>
      </c>
      <c r="W278" s="420">
        <f t="shared" si="84"/>
        <v>0</v>
      </c>
      <c r="X278" s="420">
        <f t="shared" si="84"/>
        <v>0</v>
      </c>
      <c r="Y278" s="420">
        <f t="shared" si="84"/>
        <v>0</v>
      </c>
      <c r="Z278" s="420">
        <f t="shared" si="84"/>
        <v>0</v>
      </c>
      <c r="AA278" s="420">
        <f t="shared" si="84"/>
        <v>0</v>
      </c>
      <c r="AB278" s="420">
        <f t="shared" si="84"/>
        <v>0</v>
      </c>
      <c r="AC278" s="403"/>
      <c r="AD278" s="403"/>
      <c r="AE278" s="403"/>
      <c r="AF278" s="403"/>
      <c r="AG278" s="403"/>
      <c r="AH278" s="403"/>
      <c r="AI278" s="403"/>
      <c r="AJ278" s="403"/>
      <c r="AK278" s="403"/>
      <c r="AL278" s="403"/>
      <c r="AM278" s="403"/>
      <c r="AN278" s="403"/>
      <c r="AO278" s="403"/>
      <c r="AP278" s="403"/>
    </row>
    <row r="279" spans="3:42" s="131" customFormat="1" x14ac:dyDescent="0.25">
      <c r="C279" s="132"/>
      <c r="E279" s="175"/>
      <c r="F279" s="66" t="s">
        <v>45</v>
      </c>
      <c r="G279" s="139" t="s">
        <v>381</v>
      </c>
      <c r="H279" s="139"/>
      <c r="I279" s="139"/>
      <c r="J279" s="420">
        <f t="shared" ref="J279:AB279" si="85">J$123 * J149</f>
        <v>0</v>
      </c>
      <c r="K279" s="420">
        <f t="shared" si="85"/>
        <v>0</v>
      </c>
      <c r="L279" s="420">
        <f t="shared" si="85"/>
        <v>0</v>
      </c>
      <c r="M279" s="420">
        <f t="shared" si="85"/>
        <v>0</v>
      </c>
      <c r="N279" s="420">
        <f t="shared" si="85"/>
        <v>0</v>
      </c>
      <c r="O279" s="420">
        <f t="shared" si="85"/>
        <v>0</v>
      </c>
      <c r="P279" s="420">
        <f t="shared" si="85"/>
        <v>0</v>
      </c>
      <c r="Q279" s="420">
        <f t="shared" si="85"/>
        <v>0</v>
      </c>
      <c r="R279" s="420">
        <f t="shared" si="85"/>
        <v>0</v>
      </c>
      <c r="S279" s="420">
        <f t="shared" si="85"/>
        <v>0</v>
      </c>
      <c r="T279" s="420">
        <f t="shared" si="85"/>
        <v>0</v>
      </c>
      <c r="U279" s="420">
        <f t="shared" si="85"/>
        <v>0</v>
      </c>
      <c r="V279" s="420">
        <f t="shared" si="85"/>
        <v>0</v>
      </c>
      <c r="W279" s="420">
        <f t="shared" si="85"/>
        <v>0</v>
      </c>
      <c r="X279" s="420">
        <f t="shared" si="85"/>
        <v>0</v>
      </c>
      <c r="Y279" s="420">
        <f t="shared" si="85"/>
        <v>0</v>
      </c>
      <c r="Z279" s="420">
        <f t="shared" si="85"/>
        <v>0</v>
      </c>
      <c r="AA279" s="420">
        <f t="shared" si="85"/>
        <v>0</v>
      </c>
      <c r="AB279" s="420">
        <f t="shared" si="85"/>
        <v>0</v>
      </c>
      <c r="AC279" s="403"/>
      <c r="AD279" s="403"/>
      <c r="AE279" s="403"/>
      <c r="AF279" s="403"/>
      <c r="AG279" s="403"/>
      <c r="AH279" s="403"/>
      <c r="AI279" s="403"/>
      <c r="AJ279" s="403"/>
      <c r="AK279" s="403"/>
      <c r="AL279" s="403"/>
      <c r="AM279" s="403"/>
      <c r="AN279" s="403"/>
      <c r="AO279" s="403"/>
      <c r="AP279" s="403"/>
    </row>
    <row r="280" spans="3:42" s="131" customFormat="1" x14ac:dyDescent="0.25">
      <c r="C280" s="132"/>
      <c r="E280" s="175"/>
      <c r="F280" s="66" t="s">
        <v>46</v>
      </c>
      <c r="G280" s="139" t="s">
        <v>381</v>
      </c>
      <c r="H280" s="139"/>
      <c r="I280" s="139"/>
      <c r="J280" s="420">
        <f t="shared" ref="J280:AB280" si="86">J$123 * J150</f>
        <v>0</v>
      </c>
      <c r="K280" s="420">
        <f t="shared" si="86"/>
        <v>0</v>
      </c>
      <c r="L280" s="420">
        <f t="shared" si="86"/>
        <v>0</v>
      </c>
      <c r="M280" s="420">
        <f t="shared" si="86"/>
        <v>0</v>
      </c>
      <c r="N280" s="420">
        <f t="shared" si="86"/>
        <v>0</v>
      </c>
      <c r="O280" s="420">
        <f t="shared" si="86"/>
        <v>0</v>
      </c>
      <c r="P280" s="420">
        <f t="shared" si="86"/>
        <v>0</v>
      </c>
      <c r="Q280" s="420">
        <f t="shared" si="86"/>
        <v>0</v>
      </c>
      <c r="R280" s="420">
        <f t="shared" si="86"/>
        <v>0.13561431494876042</v>
      </c>
      <c r="S280" s="420">
        <f t="shared" si="86"/>
        <v>0</v>
      </c>
      <c r="T280" s="420">
        <f t="shared" si="86"/>
        <v>0</v>
      </c>
      <c r="U280" s="420">
        <f t="shared" si="86"/>
        <v>0</v>
      </c>
      <c r="V280" s="420">
        <f t="shared" si="86"/>
        <v>0</v>
      </c>
      <c r="W280" s="420">
        <f t="shared" si="86"/>
        <v>0</v>
      </c>
      <c r="X280" s="420">
        <f t="shared" si="86"/>
        <v>0</v>
      </c>
      <c r="Y280" s="420">
        <f t="shared" si="86"/>
        <v>0</v>
      </c>
      <c r="Z280" s="420">
        <f t="shared" si="86"/>
        <v>0</v>
      </c>
      <c r="AA280" s="420">
        <f t="shared" si="86"/>
        <v>0</v>
      </c>
      <c r="AB280" s="420">
        <f t="shared" si="86"/>
        <v>0</v>
      </c>
      <c r="AC280" s="403"/>
      <c r="AD280" s="403"/>
      <c r="AE280" s="403"/>
      <c r="AF280" s="403"/>
      <c r="AG280" s="403"/>
      <c r="AH280" s="403"/>
      <c r="AI280" s="403"/>
      <c r="AJ280" s="403"/>
      <c r="AK280" s="403"/>
      <c r="AL280" s="403"/>
      <c r="AM280" s="403"/>
      <c r="AN280" s="403"/>
      <c r="AO280" s="403"/>
      <c r="AP280" s="403"/>
    </row>
    <row r="281" spans="3:42" s="131" customFormat="1" x14ac:dyDescent="0.25">
      <c r="C281" s="132"/>
      <c r="E281" s="175"/>
      <c r="F281" s="66" t="s">
        <v>47</v>
      </c>
      <c r="G281" s="139" t="s">
        <v>381</v>
      </c>
      <c r="H281" s="139"/>
      <c r="I281" s="139"/>
      <c r="J281" s="420">
        <f t="shared" ref="J281:AB281" si="87">J$123 * J151</f>
        <v>0</v>
      </c>
      <c r="K281" s="420">
        <f t="shared" si="87"/>
        <v>0</v>
      </c>
      <c r="L281" s="420">
        <f t="shared" si="87"/>
        <v>0</v>
      </c>
      <c r="M281" s="420">
        <f t="shared" si="87"/>
        <v>0</v>
      </c>
      <c r="N281" s="420">
        <f t="shared" si="87"/>
        <v>0</v>
      </c>
      <c r="O281" s="420">
        <f t="shared" si="87"/>
        <v>0</v>
      </c>
      <c r="P281" s="420">
        <f t="shared" si="87"/>
        <v>0</v>
      </c>
      <c r="Q281" s="420">
        <f t="shared" si="87"/>
        <v>0</v>
      </c>
      <c r="R281" s="420">
        <f t="shared" si="87"/>
        <v>0.51647588873623829</v>
      </c>
      <c r="S281" s="420">
        <f t="shared" si="87"/>
        <v>0</v>
      </c>
      <c r="T281" s="420">
        <f t="shared" si="87"/>
        <v>0</v>
      </c>
      <c r="U281" s="420">
        <f t="shared" si="87"/>
        <v>0</v>
      </c>
      <c r="V281" s="420">
        <f t="shared" si="87"/>
        <v>0</v>
      </c>
      <c r="W281" s="420">
        <f t="shared" si="87"/>
        <v>0</v>
      </c>
      <c r="X281" s="420">
        <f t="shared" si="87"/>
        <v>0</v>
      </c>
      <c r="Y281" s="420">
        <f t="shared" si="87"/>
        <v>0</v>
      </c>
      <c r="Z281" s="420">
        <f t="shared" si="87"/>
        <v>0</v>
      </c>
      <c r="AA281" s="420">
        <f t="shared" si="87"/>
        <v>0</v>
      </c>
      <c r="AB281" s="420">
        <f t="shared" si="87"/>
        <v>0</v>
      </c>
      <c r="AC281" s="403"/>
      <c r="AD281" s="403"/>
      <c r="AE281" s="403"/>
      <c r="AF281" s="403"/>
      <c r="AG281" s="403"/>
      <c r="AH281" s="403"/>
      <c r="AI281" s="403"/>
      <c r="AJ281" s="403"/>
      <c r="AK281" s="403"/>
      <c r="AL281" s="403"/>
      <c r="AM281" s="403"/>
      <c r="AN281" s="403"/>
      <c r="AO281" s="403"/>
      <c r="AP281" s="403"/>
    </row>
    <row r="282" spans="3:42" s="131" customFormat="1" x14ac:dyDescent="0.25">
      <c r="C282" s="132"/>
      <c r="E282" s="175"/>
      <c r="F282" s="66" t="s">
        <v>51</v>
      </c>
      <c r="G282" s="139" t="s">
        <v>381</v>
      </c>
      <c r="H282" s="139"/>
      <c r="I282" s="139"/>
      <c r="J282" s="420">
        <f t="shared" ref="J282:AB282" si="88">J$123 * J152</f>
        <v>0</v>
      </c>
      <c r="K282" s="420">
        <f t="shared" si="88"/>
        <v>0</v>
      </c>
      <c r="L282" s="420">
        <f t="shared" si="88"/>
        <v>0</v>
      </c>
      <c r="M282" s="420">
        <f t="shared" si="88"/>
        <v>0</v>
      </c>
      <c r="N282" s="420">
        <f t="shared" si="88"/>
        <v>0</v>
      </c>
      <c r="O282" s="420">
        <f t="shared" si="88"/>
        <v>0</v>
      </c>
      <c r="P282" s="420">
        <f t="shared" si="88"/>
        <v>0</v>
      </c>
      <c r="Q282" s="420">
        <f t="shared" si="88"/>
        <v>0</v>
      </c>
      <c r="R282" s="420">
        <f t="shared" si="88"/>
        <v>0</v>
      </c>
      <c r="S282" s="420">
        <f t="shared" si="88"/>
        <v>0</v>
      </c>
      <c r="T282" s="420">
        <f t="shared" si="88"/>
        <v>0</v>
      </c>
      <c r="U282" s="420">
        <f t="shared" si="88"/>
        <v>0</v>
      </c>
      <c r="V282" s="420">
        <f t="shared" si="88"/>
        <v>0</v>
      </c>
      <c r="W282" s="420">
        <f t="shared" si="88"/>
        <v>0</v>
      </c>
      <c r="X282" s="420">
        <f t="shared" si="88"/>
        <v>0</v>
      </c>
      <c r="Y282" s="420">
        <f t="shared" si="88"/>
        <v>0</v>
      </c>
      <c r="Z282" s="420">
        <f t="shared" si="88"/>
        <v>0</v>
      </c>
      <c r="AA282" s="420">
        <f t="shared" si="88"/>
        <v>0</v>
      </c>
      <c r="AB282" s="420">
        <f t="shared" si="88"/>
        <v>0</v>
      </c>
      <c r="AC282" s="403"/>
      <c r="AD282" s="403"/>
      <c r="AE282" s="403"/>
      <c r="AF282" s="403"/>
      <c r="AG282" s="403"/>
      <c r="AH282" s="403"/>
      <c r="AI282" s="403"/>
      <c r="AJ282" s="403"/>
      <c r="AK282" s="403"/>
      <c r="AL282" s="403"/>
      <c r="AM282" s="403"/>
      <c r="AN282" s="403"/>
      <c r="AO282" s="403"/>
      <c r="AP282" s="403"/>
    </row>
    <row r="283" spans="3:42" s="131" customFormat="1" x14ac:dyDescent="0.25">
      <c r="C283" s="132"/>
      <c r="E283" s="175"/>
      <c r="F283" s="66" t="s">
        <v>48</v>
      </c>
      <c r="G283" s="139" t="s">
        <v>381</v>
      </c>
      <c r="H283" s="139"/>
      <c r="I283" s="139"/>
      <c r="J283" s="420">
        <f t="shared" ref="J283:AB283" si="89">J$123 * J153</f>
        <v>0</v>
      </c>
      <c r="K283" s="420">
        <f t="shared" si="89"/>
        <v>0</v>
      </c>
      <c r="L283" s="420">
        <f t="shared" si="89"/>
        <v>0</v>
      </c>
      <c r="M283" s="420">
        <f t="shared" si="89"/>
        <v>0</v>
      </c>
      <c r="N283" s="420">
        <f t="shared" si="89"/>
        <v>0</v>
      </c>
      <c r="O283" s="420">
        <f t="shared" si="89"/>
        <v>0</v>
      </c>
      <c r="P283" s="420">
        <f t="shared" si="89"/>
        <v>0</v>
      </c>
      <c r="Q283" s="420">
        <f t="shared" si="89"/>
        <v>0</v>
      </c>
      <c r="R283" s="420">
        <f t="shared" si="89"/>
        <v>1.2325909717232404</v>
      </c>
      <c r="S283" s="420">
        <f t="shared" si="89"/>
        <v>0</v>
      </c>
      <c r="T283" s="420">
        <f t="shared" si="89"/>
        <v>0</v>
      </c>
      <c r="U283" s="420">
        <f t="shared" si="89"/>
        <v>0</v>
      </c>
      <c r="V283" s="420">
        <f t="shared" si="89"/>
        <v>0</v>
      </c>
      <c r="W283" s="420">
        <f t="shared" si="89"/>
        <v>0</v>
      </c>
      <c r="X283" s="420">
        <f t="shared" si="89"/>
        <v>0</v>
      </c>
      <c r="Y283" s="420">
        <f t="shared" si="89"/>
        <v>0</v>
      </c>
      <c r="Z283" s="420">
        <f t="shared" si="89"/>
        <v>0</v>
      </c>
      <c r="AA283" s="420">
        <f t="shared" si="89"/>
        <v>0</v>
      </c>
      <c r="AB283" s="420">
        <f t="shared" si="89"/>
        <v>0</v>
      </c>
      <c r="AC283" s="403"/>
      <c r="AD283" s="403"/>
      <c r="AE283" s="403"/>
      <c r="AF283" s="403"/>
      <c r="AG283" s="403"/>
      <c r="AH283" s="403"/>
      <c r="AI283" s="403"/>
      <c r="AJ283" s="403"/>
      <c r="AK283" s="403"/>
      <c r="AL283" s="403"/>
      <c r="AM283" s="403"/>
      <c r="AN283" s="403"/>
      <c r="AO283" s="403"/>
      <c r="AP283" s="403"/>
    </row>
    <row r="284" spans="3:42" s="131" customFormat="1" x14ac:dyDescent="0.25">
      <c r="C284" s="132"/>
      <c r="E284" s="175"/>
      <c r="F284" s="66" t="s">
        <v>49</v>
      </c>
      <c r="G284" s="139" t="s">
        <v>381</v>
      </c>
      <c r="H284" s="139"/>
      <c r="I284" s="139"/>
      <c r="J284" s="420">
        <f t="shared" ref="J284:AB284" si="90">J$123 * J154</f>
        <v>0</v>
      </c>
      <c r="K284" s="420">
        <f t="shared" si="90"/>
        <v>0</v>
      </c>
      <c r="L284" s="420">
        <f t="shared" si="90"/>
        <v>0</v>
      </c>
      <c r="M284" s="420">
        <f t="shared" si="90"/>
        <v>0</v>
      </c>
      <c r="N284" s="420">
        <f t="shared" si="90"/>
        <v>0</v>
      </c>
      <c r="O284" s="420">
        <f t="shared" si="90"/>
        <v>0</v>
      </c>
      <c r="P284" s="420">
        <f t="shared" si="90"/>
        <v>0</v>
      </c>
      <c r="Q284" s="420">
        <f t="shared" si="90"/>
        <v>0.41004785036794505</v>
      </c>
      <c r="R284" s="420">
        <f t="shared" si="90"/>
        <v>0</v>
      </c>
      <c r="S284" s="420">
        <f t="shared" si="90"/>
        <v>0</v>
      </c>
      <c r="T284" s="420">
        <f t="shared" si="90"/>
        <v>0</v>
      </c>
      <c r="U284" s="420">
        <f t="shared" si="90"/>
        <v>0</v>
      </c>
      <c r="V284" s="420">
        <f t="shared" si="90"/>
        <v>0</v>
      </c>
      <c r="W284" s="420">
        <f t="shared" si="90"/>
        <v>0</v>
      </c>
      <c r="X284" s="420">
        <f t="shared" si="90"/>
        <v>0</v>
      </c>
      <c r="Y284" s="420">
        <f t="shared" si="90"/>
        <v>0</v>
      </c>
      <c r="Z284" s="420">
        <f t="shared" si="90"/>
        <v>0</v>
      </c>
      <c r="AA284" s="420">
        <f t="shared" si="90"/>
        <v>0</v>
      </c>
      <c r="AB284" s="420">
        <f t="shared" si="90"/>
        <v>0</v>
      </c>
      <c r="AC284" s="403"/>
      <c r="AD284" s="403"/>
      <c r="AE284" s="403"/>
      <c r="AF284" s="403"/>
      <c r="AG284" s="403"/>
      <c r="AH284" s="403"/>
      <c r="AI284" s="403"/>
      <c r="AJ284" s="403"/>
      <c r="AK284" s="403"/>
      <c r="AL284" s="403"/>
      <c r="AM284" s="403"/>
      <c r="AN284" s="403"/>
      <c r="AO284" s="403"/>
      <c r="AP284" s="403"/>
    </row>
    <row r="285" spans="3:42" s="131" customFormat="1" x14ac:dyDescent="0.25">
      <c r="C285" s="132"/>
      <c r="E285" s="175"/>
      <c r="F285" s="66" t="s">
        <v>50</v>
      </c>
      <c r="G285" s="139" t="s">
        <v>381</v>
      </c>
      <c r="H285" s="139"/>
      <c r="I285" s="139"/>
      <c r="J285" s="420">
        <f t="shared" ref="J285:AB285" si="91">J$123 * J155</f>
        <v>0.63154079064163926</v>
      </c>
      <c r="K285" s="420">
        <f t="shared" si="91"/>
        <v>0.63154079064163926</v>
      </c>
      <c r="L285" s="420">
        <f t="shared" si="91"/>
        <v>0</v>
      </c>
      <c r="M285" s="420">
        <f t="shared" si="91"/>
        <v>0.63154079064163926</v>
      </c>
      <c r="N285" s="420">
        <f t="shared" si="91"/>
        <v>0.63154079064163926</v>
      </c>
      <c r="O285" s="420">
        <f t="shared" si="91"/>
        <v>0</v>
      </c>
      <c r="P285" s="420">
        <f t="shared" si="91"/>
        <v>0.63154079064163926</v>
      </c>
      <c r="Q285" s="420">
        <f t="shared" si="91"/>
        <v>0</v>
      </c>
      <c r="R285" s="420">
        <f t="shared" si="91"/>
        <v>0</v>
      </c>
      <c r="S285" s="420">
        <f t="shared" si="91"/>
        <v>0.63154079064163926</v>
      </c>
      <c r="T285" s="420">
        <f t="shared" si="91"/>
        <v>0.63154079064163926</v>
      </c>
      <c r="U285" s="420">
        <f t="shared" si="91"/>
        <v>0</v>
      </c>
      <c r="V285" s="420">
        <f t="shared" si="91"/>
        <v>0</v>
      </c>
      <c r="W285" s="420">
        <f t="shared" si="91"/>
        <v>0</v>
      </c>
      <c r="X285" s="420">
        <f t="shared" si="91"/>
        <v>0</v>
      </c>
      <c r="Y285" s="420">
        <f t="shared" si="91"/>
        <v>0</v>
      </c>
      <c r="Z285" s="420">
        <f t="shared" si="91"/>
        <v>0</v>
      </c>
      <c r="AA285" s="420">
        <f t="shared" si="91"/>
        <v>0</v>
      </c>
      <c r="AB285" s="420">
        <f t="shared" si="91"/>
        <v>0</v>
      </c>
      <c r="AC285" s="403"/>
      <c r="AD285" s="403"/>
      <c r="AE285" s="403"/>
      <c r="AF285" s="403"/>
      <c r="AG285" s="403"/>
      <c r="AH285" s="403"/>
      <c r="AI285" s="403"/>
      <c r="AJ285" s="403"/>
      <c r="AK285" s="403"/>
      <c r="AL285" s="403"/>
      <c r="AM285" s="403"/>
      <c r="AN285" s="403"/>
      <c r="AO285" s="403"/>
      <c r="AP285" s="403"/>
    </row>
    <row r="286" spans="3:42" s="131" customFormat="1" x14ac:dyDescent="0.25">
      <c r="C286" s="132"/>
      <c r="E286" s="175"/>
      <c r="F286" s="66" t="s">
        <v>141</v>
      </c>
      <c r="G286" s="139" t="s">
        <v>381</v>
      </c>
      <c r="H286" s="139"/>
      <c r="I286" s="139"/>
      <c r="J286" s="403"/>
      <c r="K286" s="403"/>
      <c r="L286" s="403"/>
      <c r="M286" s="403"/>
      <c r="N286" s="403"/>
      <c r="O286" s="403"/>
      <c r="P286" s="403"/>
      <c r="Q286" s="403"/>
      <c r="R286" s="403"/>
      <c r="S286" s="403"/>
      <c r="T286" s="403"/>
      <c r="U286" s="403"/>
      <c r="V286" s="403"/>
      <c r="W286" s="403"/>
      <c r="X286" s="403"/>
      <c r="Y286" s="403"/>
      <c r="Z286" s="403"/>
      <c r="AA286" s="403"/>
      <c r="AB286" s="403"/>
      <c r="AC286" s="403"/>
      <c r="AD286" s="403"/>
      <c r="AE286" s="403"/>
      <c r="AF286" s="403"/>
      <c r="AG286" s="403"/>
      <c r="AH286" s="403"/>
      <c r="AI286" s="403"/>
      <c r="AJ286" s="403"/>
      <c r="AK286" s="403"/>
      <c r="AL286" s="403"/>
      <c r="AM286" s="403"/>
      <c r="AN286" s="403"/>
      <c r="AO286" s="403"/>
      <c r="AP286" s="403"/>
    </row>
    <row r="287" spans="3:42" s="131" customFormat="1" x14ac:dyDescent="0.25">
      <c r="C287" s="132"/>
      <c r="E287" s="175"/>
      <c r="F287" s="67" t="s">
        <v>140</v>
      </c>
      <c r="G287" s="140" t="s">
        <v>381</v>
      </c>
      <c r="H287" s="140"/>
      <c r="I287" s="140"/>
      <c r="J287" s="404"/>
      <c r="K287" s="404"/>
      <c r="L287" s="404"/>
      <c r="M287" s="404"/>
      <c r="N287" s="404"/>
      <c r="O287" s="404"/>
      <c r="P287" s="404"/>
      <c r="Q287" s="404"/>
      <c r="R287" s="404"/>
      <c r="S287" s="404"/>
      <c r="T287" s="404"/>
      <c r="U287" s="404"/>
      <c r="V287" s="404"/>
      <c r="W287" s="404"/>
      <c r="X287" s="404"/>
      <c r="Y287" s="404"/>
      <c r="Z287" s="404"/>
      <c r="AA287" s="404"/>
      <c r="AB287" s="404"/>
      <c r="AC287" s="404"/>
      <c r="AD287" s="404"/>
      <c r="AE287" s="404"/>
      <c r="AF287" s="404"/>
      <c r="AG287" s="404"/>
      <c r="AH287" s="404"/>
      <c r="AI287" s="404"/>
      <c r="AJ287" s="404"/>
      <c r="AK287" s="404"/>
      <c r="AL287" s="404"/>
      <c r="AM287" s="404"/>
      <c r="AN287" s="404"/>
      <c r="AO287" s="404"/>
      <c r="AP287" s="404"/>
    </row>
    <row r="288" spans="3:42" s="131" customFormat="1" x14ac:dyDescent="0.25">
      <c r="C288" s="132"/>
      <c r="D288" s="147"/>
      <c r="E288" s="175"/>
    </row>
    <row r="289" spans="2:44" x14ac:dyDescent="0.25">
      <c r="B289" s="171" t="s">
        <v>126</v>
      </c>
      <c r="C289" s="171"/>
      <c r="D289" s="171"/>
      <c r="E289" s="171"/>
      <c r="F289" s="171"/>
      <c r="G289" s="171"/>
      <c r="H289" s="171"/>
      <c r="I289" s="171"/>
      <c r="J289" s="171"/>
      <c r="K289" s="171"/>
      <c r="L289" s="171"/>
      <c r="M289" s="171"/>
      <c r="N289" s="171"/>
      <c r="O289" s="171"/>
      <c r="P289" s="171"/>
      <c r="Q289" s="171"/>
      <c r="R289" s="171"/>
      <c r="S289" s="171"/>
      <c r="T289" s="171"/>
      <c r="U289" s="171"/>
      <c r="V289" s="171"/>
      <c r="W289" s="171"/>
      <c r="X289" s="171"/>
      <c r="Y289" s="171"/>
      <c r="Z289" s="171"/>
      <c r="AA289" s="171"/>
      <c r="AB289" s="171"/>
      <c r="AC289" s="171"/>
      <c r="AD289" s="171"/>
      <c r="AE289" s="171"/>
      <c r="AF289" s="171"/>
      <c r="AG289" s="171"/>
      <c r="AH289" s="171"/>
      <c r="AI289" s="171"/>
      <c r="AJ289" s="171"/>
      <c r="AK289" s="171"/>
      <c r="AL289" s="171"/>
      <c r="AM289" s="171"/>
      <c r="AN289" s="171"/>
      <c r="AO289" s="171"/>
      <c r="AP289" s="171"/>
      <c r="AQ289" s="171"/>
      <c r="AR289" s="171"/>
    </row>
    <row r="291" spans="2:44" s="160" customFormat="1" x14ac:dyDescent="0.25">
      <c r="C291" s="161"/>
      <c r="D291" s="175"/>
      <c r="E291" s="160" t="s">
        <v>622</v>
      </c>
      <c r="G291" s="111" t="s">
        <v>814</v>
      </c>
      <c r="H291" s="317">
        <f t="array" ref="H291">SUM(IF(ISERROR(H51:AP287), 1))</f>
        <v>0</v>
      </c>
    </row>
    <row r="292" spans="2:44" s="160" customFormat="1" x14ac:dyDescent="0.25">
      <c r="D292" s="175"/>
      <c r="E292" s="175"/>
    </row>
    <row r="293" spans="2:44" s="160" customFormat="1" x14ac:dyDescent="0.25">
      <c r="D293" s="175"/>
      <c r="E293" s="160" t="s">
        <v>761</v>
      </c>
      <c r="G293" s="111" t="s">
        <v>814</v>
      </c>
      <c r="H293" s="317">
        <f>SUM(J293:AP293)</f>
        <v>0</v>
      </c>
      <c r="J293" s="317">
        <f>IF(J121 + J123 &lt; 2, 0, 1)</f>
        <v>0</v>
      </c>
      <c r="K293" s="317">
        <f t="shared" ref="K293:AP293" si="92">IF(K121 + K123 &lt; 2, 0, 1)</f>
        <v>0</v>
      </c>
      <c r="L293" s="317">
        <f t="shared" si="92"/>
        <v>0</v>
      </c>
      <c r="M293" s="317">
        <f t="shared" si="92"/>
        <v>0</v>
      </c>
      <c r="N293" s="317">
        <f t="shared" si="92"/>
        <v>0</v>
      </c>
      <c r="O293" s="317">
        <f t="shared" si="92"/>
        <v>0</v>
      </c>
      <c r="P293" s="317">
        <f t="shared" si="92"/>
        <v>0</v>
      </c>
      <c r="Q293" s="317">
        <f t="shared" si="92"/>
        <v>0</v>
      </c>
      <c r="R293" s="317">
        <f t="shared" si="92"/>
        <v>0</v>
      </c>
      <c r="S293" s="317">
        <f t="shared" si="92"/>
        <v>0</v>
      </c>
      <c r="T293" s="317">
        <f t="shared" si="92"/>
        <v>0</v>
      </c>
      <c r="U293" s="317">
        <f t="shared" si="92"/>
        <v>0</v>
      </c>
      <c r="V293" s="317">
        <f t="shared" si="92"/>
        <v>0</v>
      </c>
      <c r="W293" s="317">
        <f t="shared" si="92"/>
        <v>0</v>
      </c>
      <c r="X293" s="317">
        <f t="shared" si="92"/>
        <v>0</v>
      </c>
      <c r="Y293" s="317">
        <f t="shared" si="92"/>
        <v>0</v>
      </c>
      <c r="Z293" s="317">
        <f t="shared" si="92"/>
        <v>0</v>
      </c>
      <c r="AA293" s="317">
        <f t="shared" si="92"/>
        <v>0</v>
      </c>
      <c r="AB293" s="317">
        <f t="shared" si="92"/>
        <v>0</v>
      </c>
      <c r="AC293" s="317">
        <f t="shared" si="92"/>
        <v>0</v>
      </c>
      <c r="AD293" s="317">
        <f t="shared" si="92"/>
        <v>0</v>
      </c>
      <c r="AE293" s="317">
        <f t="shared" si="92"/>
        <v>0</v>
      </c>
      <c r="AF293" s="317">
        <f t="shared" si="92"/>
        <v>0</v>
      </c>
      <c r="AG293" s="317">
        <f t="shared" si="92"/>
        <v>0</v>
      </c>
      <c r="AH293" s="317">
        <f t="shared" si="92"/>
        <v>0</v>
      </c>
      <c r="AI293" s="317">
        <f t="shared" si="92"/>
        <v>0</v>
      </c>
      <c r="AJ293" s="317">
        <f t="shared" si="92"/>
        <v>0</v>
      </c>
      <c r="AK293" s="317">
        <f t="shared" si="92"/>
        <v>0</v>
      </c>
      <c r="AL293" s="317">
        <f t="shared" si="92"/>
        <v>0</v>
      </c>
      <c r="AM293" s="317">
        <f t="shared" si="92"/>
        <v>0</v>
      </c>
      <c r="AN293" s="317">
        <f t="shared" si="92"/>
        <v>0</v>
      </c>
      <c r="AO293" s="317">
        <f t="shared" si="92"/>
        <v>0</v>
      </c>
      <c r="AP293" s="317">
        <f t="shared" si="92"/>
        <v>0</v>
      </c>
    </row>
    <row r="294" spans="2:44" s="160" customFormat="1" x14ac:dyDescent="0.25">
      <c r="D294" s="175"/>
      <c r="E294" s="175"/>
    </row>
    <row r="295" spans="2:44" x14ac:dyDescent="0.25">
      <c r="C295" s="89"/>
      <c r="E295" s="160" t="s">
        <v>546</v>
      </c>
      <c r="F295" s="160"/>
      <c r="G295" s="111" t="s">
        <v>814</v>
      </c>
      <c r="H295" s="362">
        <f>H291 + H293</f>
        <v>0</v>
      </c>
    </row>
    <row r="297" spans="2:44" s="160" customFormat="1" x14ac:dyDescent="0.25">
      <c r="B297" s="171" t="s">
        <v>127</v>
      </c>
      <c r="C297" s="171"/>
      <c r="D297" s="171"/>
      <c r="E297" s="171"/>
      <c r="F297" s="171"/>
      <c r="G297" s="171"/>
      <c r="H297" s="171"/>
      <c r="I297" s="171"/>
      <c r="J297" s="171"/>
      <c r="K297" s="171"/>
      <c r="L297" s="171"/>
      <c r="M297" s="171"/>
      <c r="N297" s="171"/>
      <c r="O297" s="171"/>
      <c r="P297" s="171"/>
      <c r="Q297" s="171"/>
      <c r="R297" s="171"/>
      <c r="S297" s="171"/>
      <c r="T297" s="171"/>
      <c r="U297" s="171"/>
      <c r="V297" s="171"/>
      <c r="W297" s="171"/>
      <c r="X297" s="171"/>
      <c r="Y297" s="171"/>
      <c r="Z297" s="171"/>
      <c r="AA297" s="171"/>
      <c r="AB297" s="171"/>
      <c r="AC297" s="171"/>
      <c r="AD297" s="171"/>
      <c r="AE297" s="171"/>
      <c r="AF297" s="171"/>
      <c r="AG297" s="171"/>
      <c r="AH297" s="171"/>
      <c r="AI297" s="171"/>
      <c r="AJ297" s="171"/>
      <c r="AK297" s="171"/>
      <c r="AL297" s="171"/>
      <c r="AM297" s="171"/>
      <c r="AN297" s="171"/>
      <c r="AO297" s="171"/>
      <c r="AP297" s="171"/>
      <c r="AQ297" s="171"/>
      <c r="AR297" s="171"/>
    </row>
  </sheetData>
  <sheetProtection sheet="1" objects="1" formatCells="0" formatColumns="0" formatRows="0" sort="0" autoFilter="0"/>
  <conditionalFormatting sqref="H291">
    <cfRule type="cellIs" dxfId="19" priority="5" operator="greaterThan">
      <formula>0</formula>
    </cfRule>
  </conditionalFormatting>
  <conditionalFormatting sqref="H293">
    <cfRule type="cellIs" dxfId="18" priority="4" operator="greaterThan">
      <formula>0</formula>
    </cfRule>
  </conditionalFormatting>
  <conditionalFormatting sqref="J293:AP293">
    <cfRule type="cellIs" dxfId="17" priority="3" operator="greaterThan">
      <formula>0</formula>
    </cfRule>
  </conditionalFormatting>
  <conditionalFormatting sqref="H295">
    <cfRule type="cellIs" dxfId="16" priority="2" operator="greaterThan">
      <formula>0</formula>
    </cfRule>
  </conditionalFormatting>
  <conditionalFormatting sqref="A4:XFD4">
    <cfRule type="expression" dxfId="15" priority="1">
      <formula>LEFT($A$4,1) &lt;&gt; "0"</formula>
    </cfRule>
  </conditionalFormatting>
  <hyperlinks>
    <hyperlink ref="B5:F5" location="'Model map'!A1" display="Click here to return to model map"/>
  </hyperlinks>
  <pageMargins left="0.7" right="0.7" top="0.75" bottom="0.75" header="0.3" footer="0.3"/>
  <pageSetup paperSize="9" scale="32" fitToHeight="0" orientation="portrait" r:id="rId1"/>
  <headerFooter>
    <oddHeader>&amp;L&amp;A&amp;C&amp;R&amp;P of &amp;N</oddHeader>
    <oddFooter>&amp;F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theme="4" tint="0.59999389629810485"/>
    <pageSetUpPr fitToPage="1"/>
  </sheetPr>
  <dimension ref="A1:KJ203"/>
  <sheetViews>
    <sheetView showGridLines="0" zoomScale="80" zoomScaleNormal="80" workbookViewId="0">
      <pane xSplit="9" ySplit="5" topLeftCell="J6" activePane="bottomRight" state="frozen"/>
      <selection activeCell="N50" sqref="N50"/>
      <selection pane="topRight" activeCell="N50" sqref="N50"/>
      <selection pane="bottomLeft" activeCell="N50" sqref="N50"/>
      <selection pane="bottomRight" activeCell="J6" sqref="J6"/>
    </sheetView>
  </sheetViews>
  <sheetFormatPr defaultColWidth="0" defaultRowHeight="15" x14ac:dyDescent="0.25"/>
  <cols>
    <col min="1" max="3" width="2.7109375" style="88" customWidth="1"/>
    <col min="4" max="4" width="2.7109375" style="91" customWidth="1"/>
    <col min="5" max="5" width="2.7109375" style="175" customWidth="1"/>
    <col min="6" max="6" width="59.5703125" style="88" customWidth="1"/>
    <col min="7" max="8" width="20.7109375" style="88" customWidth="1"/>
    <col min="9" max="9" width="2.28515625" style="88" customWidth="1"/>
    <col min="10" max="42" width="17" style="88" customWidth="1"/>
    <col min="43" max="43" width="2.28515625" style="88" customWidth="1"/>
    <col min="44" max="44" width="50.7109375" style="88" customWidth="1"/>
    <col min="45" max="45" width="2.28515625" style="88" customWidth="1"/>
    <col min="46" max="46" width="24.5703125" style="88" hidden="1" customWidth="1"/>
    <col min="47" max="47" width="3.5703125" style="88" hidden="1" customWidth="1"/>
    <col min="48" max="48" width="15.42578125" style="88" hidden="1" customWidth="1"/>
    <col min="49" max="296" width="24.5703125" style="88" hidden="1" customWidth="1"/>
    <col min="297" max="16384" width="8.7109375" style="88" hidden="1"/>
  </cols>
  <sheetData>
    <row r="1" spans="1:97" s="25" customFormat="1" x14ac:dyDescent="0.25">
      <c r="A1" s="25" t="str">
        <f ca="1">MID(CELL("filename",A1),FIND("]",CELL("filename",A1))+1,255)</f>
        <v>Fixed charges</v>
      </c>
    </row>
    <row r="2" spans="1:97" s="25" customFormat="1" x14ac:dyDescent="0.25">
      <c r="A2" s="25" t="str">
        <f>Cover!D21&amp;" - "&amp;Cover!D23</f>
        <v>SEPD - Final</v>
      </c>
    </row>
    <row r="3" spans="1:97" s="97" customFormat="1" x14ac:dyDescent="0.25">
      <c r="A3" s="97" t="str">
        <f>Cover!D2&amp;" - "&amp;Cover!D8&amp;" v"&amp;Cover!D10&amp;" - "&amp;Cover!D19</f>
        <v>ARP model - Release for charge setting v3 - 2020/21</v>
      </c>
    </row>
    <row r="4" spans="1:97" s="338" customFormat="1" x14ac:dyDescent="0.25">
      <c r="A4" s="392" t="str">
        <f>H165 &amp; IF(H165 = 1, " issue", " issues") &amp;" identified in checks on this sheet"</f>
        <v>0 issues identified in checks on this sheet</v>
      </c>
      <c r="B4" s="393"/>
      <c r="C4" s="393"/>
      <c r="D4" s="393"/>
      <c r="E4" s="393"/>
      <c r="F4" s="393"/>
      <c r="G4" s="393"/>
      <c r="H4" s="394"/>
      <c r="I4" s="394"/>
      <c r="J4" s="393"/>
      <c r="K4" s="383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3"/>
      <c r="AD4" s="383"/>
      <c r="AE4" s="383"/>
      <c r="AF4" s="383"/>
      <c r="AG4" s="383"/>
      <c r="AH4" s="383"/>
      <c r="AI4" s="383"/>
      <c r="AJ4" s="383"/>
      <c r="AK4" s="383"/>
      <c r="AL4" s="383"/>
      <c r="AM4" s="383"/>
      <c r="AN4" s="383"/>
      <c r="AO4" s="383"/>
      <c r="AP4" s="383"/>
      <c r="AQ4" s="383"/>
      <c r="AR4" s="383"/>
      <c r="AS4" s="383"/>
      <c r="AT4" s="383"/>
      <c r="AU4" s="383"/>
      <c r="AV4" s="383"/>
      <c r="AW4" s="383"/>
      <c r="AX4" s="383"/>
      <c r="AY4" s="383"/>
      <c r="AZ4" s="383"/>
      <c r="BA4" s="383"/>
      <c r="BB4" s="383"/>
      <c r="BC4" s="383"/>
      <c r="BD4" s="383"/>
      <c r="BE4" s="383"/>
      <c r="BF4" s="383"/>
      <c r="BG4" s="383"/>
      <c r="BH4" s="383"/>
      <c r="BI4" s="383"/>
      <c r="BJ4" s="383"/>
      <c r="BK4" s="383"/>
      <c r="BL4" s="383"/>
      <c r="BM4" s="383"/>
      <c r="BN4" s="383"/>
      <c r="BO4" s="383"/>
      <c r="BP4" s="383"/>
      <c r="BQ4" s="383"/>
      <c r="BR4" s="383"/>
      <c r="BS4" s="383"/>
      <c r="BT4" s="383"/>
      <c r="BU4" s="383"/>
      <c r="BV4" s="383"/>
      <c r="BW4" s="383"/>
      <c r="BX4" s="383"/>
      <c r="BY4" s="383"/>
      <c r="BZ4" s="383"/>
      <c r="CA4" s="383"/>
      <c r="CB4" s="383"/>
      <c r="CC4" s="383"/>
      <c r="CD4" s="383"/>
      <c r="CE4" s="383"/>
      <c r="CF4" s="383"/>
      <c r="CG4" s="383"/>
      <c r="CH4" s="383"/>
      <c r="CI4" s="383"/>
      <c r="CJ4" s="383"/>
      <c r="CK4" s="383"/>
      <c r="CL4" s="383"/>
      <c r="CM4" s="383"/>
      <c r="CN4" s="383"/>
      <c r="CO4" s="383"/>
      <c r="CP4" s="383"/>
      <c r="CQ4" s="383"/>
      <c r="CR4" s="383"/>
      <c r="CS4" s="383"/>
    </row>
    <row r="5" spans="1:97" ht="60" x14ac:dyDescent="0.25">
      <c r="B5" s="244" t="s">
        <v>667</v>
      </c>
      <c r="C5" s="24"/>
      <c r="D5" s="24"/>
      <c r="E5" s="24"/>
      <c r="F5" s="24"/>
      <c r="G5" s="1" t="s">
        <v>108</v>
      </c>
      <c r="H5" s="2" t="s">
        <v>109</v>
      </c>
      <c r="J5" s="2" t="s">
        <v>52</v>
      </c>
      <c r="K5" s="2" t="s">
        <v>53</v>
      </c>
      <c r="L5" s="2" t="s">
        <v>84</v>
      </c>
      <c r="M5" s="2" t="s">
        <v>54</v>
      </c>
      <c r="N5" s="2" t="s">
        <v>55</v>
      </c>
      <c r="O5" s="2" t="s">
        <v>85</v>
      </c>
      <c r="P5" s="2" t="s">
        <v>56</v>
      </c>
      <c r="Q5" s="2" t="s">
        <v>57</v>
      </c>
      <c r="R5" s="2" t="s">
        <v>72</v>
      </c>
      <c r="S5" s="2" t="s">
        <v>58</v>
      </c>
      <c r="T5" s="2" t="s">
        <v>59</v>
      </c>
      <c r="U5" s="2" t="s">
        <v>60</v>
      </c>
      <c r="V5" s="2" t="s">
        <v>61</v>
      </c>
      <c r="W5" s="2" t="s">
        <v>73</v>
      </c>
      <c r="X5" s="2" t="s">
        <v>86</v>
      </c>
      <c r="Y5" s="2" t="s">
        <v>87</v>
      </c>
      <c r="Z5" s="2" t="s">
        <v>88</v>
      </c>
      <c r="AA5" s="2" t="s">
        <v>89</v>
      </c>
      <c r="AB5" s="2" t="s">
        <v>90</v>
      </c>
      <c r="AC5" s="2" t="s">
        <v>62</v>
      </c>
      <c r="AD5" s="2" t="s">
        <v>63</v>
      </c>
      <c r="AE5" s="2" t="s">
        <v>64</v>
      </c>
      <c r="AF5" s="2" t="s">
        <v>65</v>
      </c>
      <c r="AG5" s="2" t="s">
        <v>66</v>
      </c>
      <c r="AH5" s="2" t="s">
        <v>67</v>
      </c>
      <c r="AI5" s="2" t="s">
        <v>68</v>
      </c>
      <c r="AJ5" s="2" t="s">
        <v>69</v>
      </c>
      <c r="AK5" s="2" t="s">
        <v>70</v>
      </c>
      <c r="AL5" s="2" t="s">
        <v>71</v>
      </c>
      <c r="AM5" s="2" t="s">
        <v>74</v>
      </c>
      <c r="AN5" s="2" t="s">
        <v>75</v>
      </c>
      <c r="AO5" s="2" t="s">
        <v>76</v>
      </c>
      <c r="AP5" s="2" t="s">
        <v>77</v>
      </c>
      <c r="AR5" s="1" t="s">
        <v>110</v>
      </c>
    </row>
    <row r="7" spans="1:97" x14ac:dyDescent="0.25">
      <c r="B7" s="171" t="s">
        <v>107</v>
      </c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</row>
    <row r="9" spans="1:97" x14ac:dyDescent="0.25">
      <c r="D9" s="152" t="s">
        <v>582</v>
      </c>
      <c r="E9" s="160"/>
    </row>
    <row r="10" spans="1:97" s="160" customFormat="1" x14ac:dyDescent="0.25">
      <c r="D10" s="482" t="s">
        <v>1098</v>
      </c>
    </row>
    <row r="11" spans="1:97" x14ac:dyDescent="0.25">
      <c r="D11" s="152" t="s">
        <v>583</v>
      </c>
      <c r="E11" s="88"/>
    </row>
    <row r="12" spans="1:97" s="160" customFormat="1" x14ac:dyDescent="0.25">
      <c r="D12" s="482" t="s">
        <v>1099</v>
      </c>
    </row>
    <row r="14" spans="1:97" x14ac:dyDescent="0.25">
      <c r="B14" s="171" t="s">
        <v>905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</row>
    <row r="16" spans="1:97" s="338" customFormat="1" x14ac:dyDescent="0.25">
      <c r="C16" s="22" t="str">
        <f ca="1">INDEX('Version control'!$H$34:$H$59,MATCH($A$1,'Version control'!$F$34:$F$59,0),1)&amp;"-A: Volumes (discounted MPANs &amp; maximum load)"</f>
        <v>Section 517-A: Volumes (discounted MPANs &amp; maximum load)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</row>
    <row r="17" spans="3:44" s="338" customFormat="1" x14ac:dyDescent="0.25">
      <c r="E17" s="172"/>
      <c r="I17" s="338" t="s">
        <v>525</v>
      </c>
      <c r="AR17" s="338" t="s">
        <v>1100</v>
      </c>
    </row>
    <row r="18" spans="3:44" x14ac:dyDescent="0.25">
      <c r="C18" s="89"/>
      <c r="E18" s="167" t="s">
        <v>580</v>
      </c>
      <c r="G18" s="167" t="s">
        <v>91</v>
      </c>
      <c r="H18" s="167"/>
      <c r="I18" s="167"/>
      <c r="J18" s="437">
        <f>'Volume adjustments'!J103</f>
        <v>2647630.1830200609</v>
      </c>
      <c r="K18" s="437">
        <f>'Volume adjustments'!K103</f>
        <v>252108.44700241974</v>
      </c>
      <c r="L18" s="437">
        <f>'Volume adjustments'!L103</f>
        <v>45034.03894236849</v>
      </c>
      <c r="M18" s="437">
        <f>'Volume adjustments'!M103</f>
        <v>195910.38911922346</v>
      </c>
      <c r="N18" s="437">
        <f>'Volume adjustments'!N103</f>
        <v>30990.67618208874</v>
      </c>
      <c r="O18" s="437">
        <f>'Volume adjustments'!O103</f>
        <v>5572.2471252403921</v>
      </c>
      <c r="P18" s="437">
        <f>'Volume adjustments'!P103</f>
        <v>1430.884410963396</v>
      </c>
      <c r="Q18" s="437">
        <f>'Volume adjustments'!Q103</f>
        <v>0</v>
      </c>
      <c r="R18" s="437">
        <f>'Volume adjustments'!R103</f>
        <v>4</v>
      </c>
      <c r="S18" s="437">
        <f>'Volume adjustments'!S103</f>
        <v>9734.8642977334039</v>
      </c>
      <c r="T18" s="437">
        <f>'Volume adjustments'!T103</f>
        <v>3809.8190759493036</v>
      </c>
      <c r="U18" s="437">
        <f>'Volume adjustments'!U103</f>
        <v>21955.201332689365</v>
      </c>
      <c r="V18" s="437">
        <f>'Volume adjustments'!V103</f>
        <v>342.03860415808151</v>
      </c>
      <c r="W18" s="437">
        <f>'Volume adjustments'!W103</f>
        <v>1863.5847977832193</v>
      </c>
      <c r="X18" s="437">
        <f>'Volume adjustments'!X103</f>
        <v>2210.2727723885705</v>
      </c>
      <c r="Y18" s="437">
        <f>'Volume adjustments'!Y103</f>
        <v>1432.9835362288884</v>
      </c>
      <c r="Z18" s="437">
        <f>'Volume adjustments'!Z103</f>
        <v>138.17303991124891</v>
      </c>
      <c r="AA18" s="437">
        <f>'Volume adjustments'!AA103</f>
        <v>9.8681450806991577</v>
      </c>
      <c r="AB18" s="437">
        <f>'Volume adjustments'!AB103</f>
        <v>41.845765167948912</v>
      </c>
      <c r="AC18" s="437">
        <f>'Volume adjustments'!AC103</f>
        <v>1105.7222222222224</v>
      </c>
      <c r="AD18" s="437">
        <f>'Volume adjustments'!AD103</f>
        <v>45</v>
      </c>
      <c r="AE18" s="437">
        <f>'Volume adjustments'!AE103</f>
        <v>808.8746645937498</v>
      </c>
      <c r="AF18" s="437">
        <f>'Volume adjustments'!AF103</f>
        <v>0</v>
      </c>
      <c r="AG18" s="437">
        <f>'Volume adjustments'!AG103</f>
        <v>45</v>
      </c>
      <c r="AH18" s="437">
        <f>'Volume adjustments'!AH103</f>
        <v>0</v>
      </c>
      <c r="AI18" s="437">
        <f>'Volume adjustments'!AI103</f>
        <v>1</v>
      </c>
      <c r="AJ18" s="437">
        <f>'Volume adjustments'!AJ103</f>
        <v>0</v>
      </c>
      <c r="AK18" s="437">
        <f>'Volume adjustments'!AK103</f>
        <v>0</v>
      </c>
      <c r="AL18" s="437">
        <f>'Volume adjustments'!AL103</f>
        <v>0</v>
      </c>
      <c r="AM18" s="437">
        <f>'Volume adjustments'!AM103</f>
        <v>165</v>
      </c>
      <c r="AN18" s="437">
        <f>'Volume adjustments'!AN103</f>
        <v>0</v>
      </c>
      <c r="AO18" s="437">
        <f>'Volume adjustments'!AO103</f>
        <v>115</v>
      </c>
      <c r="AP18" s="437">
        <f>'Volume adjustments'!AP103</f>
        <v>0</v>
      </c>
    </row>
    <row r="19" spans="3:44" s="338" customFormat="1" x14ac:dyDescent="0.25">
      <c r="C19" s="161"/>
      <c r="D19" s="175"/>
      <c r="E19" s="339"/>
      <c r="G19" s="339"/>
      <c r="H19" s="339"/>
      <c r="I19" s="339"/>
      <c r="J19" s="437"/>
      <c r="K19" s="437"/>
      <c r="L19" s="437"/>
      <c r="M19" s="437"/>
      <c r="N19" s="437"/>
      <c r="O19" s="437"/>
      <c r="P19" s="437"/>
      <c r="Q19" s="437"/>
      <c r="R19" s="437"/>
      <c r="S19" s="437"/>
      <c r="T19" s="437"/>
      <c r="U19" s="437"/>
      <c r="V19" s="437"/>
      <c r="W19" s="437"/>
      <c r="X19" s="437"/>
      <c r="Y19" s="437"/>
      <c r="Z19" s="437"/>
      <c r="AA19" s="437"/>
      <c r="AB19" s="437"/>
      <c r="AC19" s="437"/>
      <c r="AD19" s="437"/>
      <c r="AE19" s="437"/>
      <c r="AF19" s="437"/>
      <c r="AG19" s="437"/>
      <c r="AH19" s="437"/>
      <c r="AI19" s="437"/>
      <c r="AJ19" s="437"/>
      <c r="AK19" s="437"/>
      <c r="AL19" s="437"/>
      <c r="AM19" s="437"/>
      <c r="AN19" s="437"/>
      <c r="AO19" s="437"/>
      <c r="AP19" s="437"/>
    </row>
    <row r="20" spans="3:44" x14ac:dyDescent="0.25">
      <c r="C20" s="89"/>
      <c r="E20" s="167" t="s">
        <v>377</v>
      </c>
      <c r="G20" s="167" t="s">
        <v>119</v>
      </c>
      <c r="H20" s="170"/>
      <c r="I20" s="167"/>
      <c r="J20" s="437">
        <f>'System peak demand'!J200</f>
        <v>2725.46935016422</v>
      </c>
      <c r="K20" s="437">
        <f>'System peak demand'!K200</f>
        <v>711.68555758403261</v>
      </c>
      <c r="L20" s="437">
        <f>'System peak demand'!L200</f>
        <v>216.30542050005502</v>
      </c>
      <c r="M20" s="437">
        <f>'System peak demand'!M200</f>
        <v>857.75111944829678</v>
      </c>
      <c r="N20" s="437">
        <f>'System peak demand'!N200</f>
        <v>191.07275707795239</v>
      </c>
      <c r="O20" s="437">
        <f>'System peak demand'!O200</f>
        <v>21.570897279144404</v>
      </c>
      <c r="P20" s="437">
        <f>'System peak demand'!P200</f>
        <v>25.12736383699545</v>
      </c>
      <c r="Q20" s="437">
        <f>'System peak demand'!Q200</f>
        <v>0</v>
      </c>
      <c r="R20" s="437">
        <f>'System peak demand'!R200</f>
        <v>0.10166981479782894</v>
      </c>
      <c r="S20" s="437">
        <f>'System peak demand'!S200</f>
        <v>22.587453252341597</v>
      </c>
      <c r="T20" s="437">
        <f>'System peak demand'!T200</f>
        <v>87.069862357247359</v>
      </c>
      <c r="U20" s="437">
        <f>'System peak demand'!U200</f>
        <v>1181.0038649987612</v>
      </c>
      <c r="V20" s="437">
        <f>'System peak demand'!V200</f>
        <v>69.900492391912593</v>
      </c>
      <c r="W20" s="437">
        <f>'System peak demand'!W200</f>
        <v>778.11764274342045</v>
      </c>
      <c r="X20" s="437">
        <f>'System peak demand'!X200</f>
        <v>2.8008482714512599</v>
      </c>
      <c r="Y20" s="437">
        <f>'System peak demand'!Y200</f>
        <v>3.7694147636634692</v>
      </c>
      <c r="Z20" s="437">
        <f>'System peak demand'!Z200</f>
        <v>0.3454000841580116</v>
      </c>
      <c r="AA20" s="437">
        <f>'System peak demand'!AA200</f>
        <v>3.2534525092150587E-2</v>
      </c>
      <c r="AB20" s="437">
        <f>'System peak demand'!AB200</f>
        <v>53.54575328686029</v>
      </c>
      <c r="AC20" s="437">
        <f>'System peak demand'!AC200</f>
        <v>0</v>
      </c>
      <c r="AD20" s="437">
        <f>'System peak demand'!AD200</f>
        <v>0</v>
      </c>
      <c r="AE20" s="437">
        <f>'System peak demand'!AE200</f>
        <v>0</v>
      </c>
      <c r="AF20" s="437">
        <f>'System peak demand'!AF200</f>
        <v>0</v>
      </c>
      <c r="AG20" s="437">
        <f>'System peak demand'!AG200</f>
        <v>0</v>
      </c>
      <c r="AH20" s="437">
        <f>'System peak demand'!AH200</f>
        <v>0</v>
      </c>
      <c r="AI20" s="437">
        <f>'System peak demand'!AI200</f>
        <v>0</v>
      </c>
      <c r="AJ20" s="437">
        <f>'System peak demand'!AJ200</f>
        <v>0</v>
      </c>
      <c r="AK20" s="437">
        <f>'System peak demand'!AK200</f>
        <v>0</v>
      </c>
      <c r="AL20" s="437">
        <f>'System peak demand'!AL200</f>
        <v>0</v>
      </c>
      <c r="AM20" s="437">
        <f>'System peak demand'!AM200</f>
        <v>0</v>
      </c>
      <c r="AN20" s="437">
        <f>'System peak demand'!AN200</f>
        <v>0</v>
      </c>
      <c r="AO20" s="437">
        <f>'System peak demand'!AO200</f>
        <v>0</v>
      </c>
      <c r="AP20" s="437">
        <f>'System peak demand'!AP200</f>
        <v>0</v>
      </c>
    </row>
    <row r="21" spans="3:44" x14ac:dyDescent="0.25">
      <c r="J21" s="416"/>
      <c r="K21" s="416"/>
      <c r="L21" s="416"/>
      <c r="M21" s="416"/>
      <c r="N21" s="416"/>
      <c r="O21" s="416"/>
      <c r="P21" s="416"/>
      <c r="Q21" s="416"/>
      <c r="R21" s="416"/>
      <c r="S21" s="416"/>
      <c r="T21" s="416"/>
      <c r="U21" s="416"/>
      <c r="V21" s="416"/>
      <c r="W21" s="416"/>
      <c r="X21" s="416"/>
      <c r="Y21" s="416"/>
      <c r="Z21" s="416"/>
      <c r="AA21" s="416"/>
      <c r="AB21" s="416"/>
      <c r="AC21" s="416"/>
      <c r="AD21" s="416"/>
      <c r="AE21" s="416"/>
      <c r="AF21" s="416"/>
      <c r="AG21" s="416"/>
      <c r="AH21" s="416"/>
      <c r="AI21" s="416"/>
      <c r="AJ21" s="416"/>
      <c r="AK21" s="416"/>
      <c r="AL21" s="416"/>
      <c r="AM21" s="416"/>
      <c r="AN21" s="416"/>
      <c r="AO21" s="416"/>
      <c r="AP21" s="416"/>
    </row>
    <row r="22" spans="3:44" s="160" customFormat="1" x14ac:dyDescent="0.25">
      <c r="C22" s="22" t="str">
        <f ca="1">INDEX('Version control'!$H$34:$H$59,MATCH($A$1,'Version control'!$F$34:$F$59,0),1)&amp;"-B: Capacity elements allocated to fixed charges"</f>
        <v>Section 517-B: Capacity elements allocated to fixed charges</v>
      </c>
      <c r="D22" s="22"/>
      <c r="E22" s="22"/>
      <c r="F22" s="22"/>
      <c r="G22" s="22"/>
      <c r="H22" s="22"/>
      <c r="I22" s="22"/>
      <c r="J22" s="406"/>
      <c r="K22" s="406"/>
      <c r="L22" s="406"/>
      <c r="M22" s="406"/>
      <c r="N22" s="406"/>
      <c r="O22" s="406"/>
      <c r="P22" s="406"/>
      <c r="Q22" s="406"/>
      <c r="R22" s="406"/>
      <c r="S22" s="406"/>
      <c r="T22" s="406"/>
      <c r="U22" s="406"/>
      <c r="V22" s="406"/>
      <c r="W22" s="406"/>
      <c r="X22" s="406"/>
      <c r="Y22" s="406"/>
      <c r="Z22" s="406"/>
      <c r="AA22" s="406"/>
      <c r="AB22" s="406"/>
      <c r="AC22" s="406"/>
      <c r="AD22" s="406"/>
      <c r="AE22" s="406"/>
      <c r="AF22" s="406"/>
      <c r="AG22" s="406"/>
      <c r="AH22" s="406"/>
      <c r="AI22" s="406"/>
      <c r="AJ22" s="406"/>
      <c r="AK22" s="406"/>
      <c r="AL22" s="406"/>
      <c r="AM22" s="406"/>
      <c r="AN22" s="406"/>
      <c r="AO22" s="406"/>
      <c r="AP22" s="406"/>
      <c r="AQ22" s="22"/>
      <c r="AR22" s="22"/>
    </row>
    <row r="23" spans="3:44" x14ac:dyDescent="0.25">
      <c r="D23" s="88"/>
      <c r="E23" s="172"/>
      <c r="I23" s="88" t="s">
        <v>525</v>
      </c>
      <c r="J23" s="416"/>
      <c r="K23" s="416"/>
      <c r="L23" s="416"/>
      <c r="M23" s="416"/>
      <c r="N23" s="416"/>
      <c r="O23" s="416"/>
      <c r="P23" s="416"/>
      <c r="Q23" s="416"/>
      <c r="R23" s="416"/>
      <c r="S23" s="416"/>
      <c r="T23" s="416"/>
      <c r="U23" s="416"/>
      <c r="V23" s="416"/>
      <c r="W23" s="416"/>
      <c r="X23" s="416"/>
      <c r="Y23" s="416"/>
      <c r="Z23" s="416"/>
      <c r="AA23" s="416"/>
      <c r="AB23" s="416"/>
      <c r="AC23" s="416"/>
      <c r="AD23" s="416"/>
      <c r="AE23" s="416"/>
      <c r="AF23" s="416"/>
      <c r="AG23" s="416"/>
      <c r="AH23" s="416"/>
      <c r="AI23" s="416"/>
      <c r="AJ23" s="416"/>
      <c r="AK23" s="416"/>
      <c r="AL23" s="416"/>
      <c r="AM23" s="416"/>
      <c r="AN23" s="416"/>
      <c r="AO23" s="416"/>
      <c r="AP23" s="416"/>
      <c r="AR23" s="88" t="s">
        <v>1100</v>
      </c>
    </row>
    <row r="24" spans="3:44" x14ac:dyDescent="0.25">
      <c r="C24" s="89"/>
      <c r="E24" s="172" t="s">
        <v>156</v>
      </c>
      <c r="J24" s="416"/>
      <c r="K24" s="416"/>
      <c r="L24" s="416"/>
      <c r="M24" s="416"/>
      <c r="N24" s="416"/>
      <c r="O24" s="416"/>
      <c r="P24" s="416"/>
      <c r="Q24" s="416"/>
      <c r="R24" s="416"/>
      <c r="S24" s="416"/>
      <c r="T24" s="416"/>
      <c r="U24" s="416"/>
      <c r="V24" s="416"/>
      <c r="W24" s="416"/>
      <c r="X24" s="416"/>
      <c r="Y24" s="416"/>
      <c r="Z24" s="416"/>
      <c r="AA24" s="416"/>
      <c r="AB24" s="416"/>
      <c r="AC24" s="416"/>
      <c r="AD24" s="416"/>
      <c r="AE24" s="416"/>
      <c r="AF24" s="416"/>
      <c r="AG24" s="416"/>
      <c r="AH24" s="416"/>
      <c r="AI24" s="416"/>
      <c r="AJ24" s="416"/>
      <c r="AK24" s="416"/>
      <c r="AL24" s="416"/>
      <c r="AM24" s="416"/>
      <c r="AN24" s="416"/>
      <c r="AO24" s="416"/>
      <c r="AP24" s="416"/>
    </row>
    <row r="25" spans="3:44" x14ac:dyDescent="0.25">
      <c r="C25" s="89"/>
      <c r="E25" s="152"/>
      <c r="F25" s="72" t="s">
        <v>397</v>
      </c>
      <c r="G25" s="13" t="s">
        <v>381</v>
      </c>
      <c r="H25" s="13"/>
      <c r="I25" s="13"/>
      <c r="J25" s="402"/>
      <c r="K25" s="402"/>
      <c r="L25" s="402"/>
      <c r="M25" s="402"/>
      <c r="N25" s="402"/>
      <c r="O25" s="402"/>
      <c r="P25" s="402"/>
      <c r="Q25" s="402"/>
      <c r="R25" s="402"/>
      <c r="S25" s="402"/>
      <c r="T25" s="402"/>
      <c r="U25" s="402"/>
      <c r="V25" s="402"/>
      <c r="W25" s="402"/>
      <c r="X25" s="402"/>
      <c r="Y25" s="402"/>
      <c r="Z25" s="402"/>
      <c r="AA25" s="402"/>
      <c r="AB25" s="402"/>
      <c r="AC25" s="402"/>
      <c r="AD25" s="402"/>
      <c r="AE25" s="402"/>
      <c r="AF25" s="402"/>
      <c r="AG25" s="402"/>
      <c r="AH25" s="402"/>
      <c r="AI25" s="402"/>
      <c r="AJ25" s="402"/>
      <c r="AK25" s="402"/>
      <c r="AL25" s="402"/>
      <c r="AM25" s="402"/>
      <c r="AN25" s="402"/>
      <c r="AO25" s="402"/>
      <c r="AP25" s="402"/>
    </row>
    <row r="26" spans="3:44" x14ac:dyDescent="0.25">
      <c r="C26" s="89"/>
      <c r="E26" s="152"/>
      <c r="F26" s="66" t="s">
        <v>43</v>
      </c>
      <c r="G26" s="90" t="s">
        <v>381</v>
      </c>
      <c r="H26" s="90"/>
      <c r="I26" s="90"/>
      <c r="J26" s="403"/>
      <c r="K26" s="403"/>
      <c r="L26" s="403"/>
      <c r="M26" s="403"/>
      <c r="N26" s="403"/>
      <c r="O26" s="403"/>
      <c r="P26" s="403"/>
      <c r="Q26" s="403"/>
      <c r="R26" s="403"/>
      <c r="S26" s="403"/>
      <c r="T26" s="403"/>
      <c r="U26" s="403"/>
      <c r="V26" s="403"/>
      <c r="W26" s="403"/>
      <c r="X26" s="403"/>
      <c r="Y26" s="403"/>
      <c r="Z26" s="403"/>
      <c r="AA26" s="403"/>
      <c r="AB26" s="403"/>
      <c r="AC26" s="403"/>
      <c r="AD26" s="403"/>
      <c r="AE26" s="403"/>
      <c r="AF26" s="403"/>
      <c r="AG26" s="403"/>
      <c r="AH26" s="403"/>
      <c r="AI26" s="403"/>
      <c r="AJ26" s="403"/>
      <c r="AK26" s="403"/>
      <c r="AL26" s="403"/>
      <c r="AM26" s="403"/>
      <c r="AN26" s="403"/>
      <c r="AO26" s="403"/>
      <c r="AP26" s="403"/>
    </row>
    <row r="27" spans="3:44" x14ac:dyDescent="0.25">
      <c r="C27" s="89"/>
      <c r="E27" s="152"/>
      <c r="F27" s="66" t="s">
        <v>44</v>
      </c>
      <c r="G27" s="90" t="s">
        <v>381</v>
      </c>
      <c r="H27" s="90"/>
      <c r="I27" s="90"/>
      <c r="J27" s="437">
        <f>'Capacity charges'!J264</f>
        <v>0</v>
      </c>
      <c r="K27" s="437">
        <f>'Capacity charges'!K264</f>
        <v>0</v>
      </c>
      <c r="L27" s="437">
        <f>'Capacity charges'!L264</f>
        <v>0</v>
      </c>
      <c r="M27" s="437">
        <f>'Capacity charges'!M264</f>
        <v>0</v>
      </c>
      <c r="N27" s="437">
        <f>'Capacity charges'!N264</f>
        <v>0</v>
      </c>
      <c r="O27" s="437">
        <f>'Capacity charges'!O264</f>
        <v>0</v>
      </c>
      <c r="P27" s="437">
        <f>'Capacity charges'!P264</f>
        <v>0</v>
      </c>
      <c r="Q27" s="437">
        <f>'Capacity charges'!Q264</f>
        <v>0</v>
      </c>
      <c r="R27" s="437">
        <f>'Capacity charges'!R264</f>
        <v>0</v>
      </c>
      <c r="S27" s="437">
        <f>'Capacity charges'!S264</f>
        <v>0</v>
      </c>
      <c r="T27" s="437">
        <f>'Capacity charges'!T264</f>
        <v>0</v>
      </c>
      <c r="U27" s="437">
        <f>'Capacity charges'!U264</f>
        <v>0</v>
      </c>
      <c r="V27" s="437">
        <f>'Capacity charges'!V264</f>
        <v>0</v>
      </c>
      <c r="W27" s="437">
        <f>'Capacity charges'!W264</f>
        <v>0</v>
      </c>
      <c r="X27" s="437">
        <f>'Capacity charges'!X264</f>
        <v>0</v>
      </c>
      <c r="Y27" s="437">
        <f>'Capacity charges'!Y264</f>
        <v>0</v>
      </c>
      <c r="Z27" s="437">
        <f>'Capacity charges'!Z264</f>
        <v>0</v>
      </c>
      <c r="AA27" s="437">
        <f>'Capacity charges'!AA264</f>
        <v>0</v>
      </c>
      <c r="AB27" s="437">
        <f>'Capacity charges'!AB264</f>
        <v>0</v>
      </c>
      <c r="AC27" s="437">
        <f>'Capacity charges'!AC264</f>
        <v>0</v>
      </c>
      <c r="AD27" s="437">
        <f>'Capacity charges'!AD264</f>
        <v>0</v>
      </c>
      <c r="AE27" s="437">
        <f>'Capacity charges'!AE264</f>
        <v>0</v>
      </c>
      <c r="AF27" s="437">
        <f>'Capacity charges'!AF264</f>
        <v>0</v>
      </c>
      <c r="AG27" s="437">
        <f>'Capacity charges'!AG264</f>
        <v>0</v>
      </c>
      <c r="AH27" s="437">
        <f>'Capacity charges'!AH264</f>
        <v>0</v>
      </c>
      <c r="AI27" s="437">
        <f>'Capacity charges'!AI264</f>
        <v>0</v>
      </c>
      <c r="AJ27" s="437">
        <f>'Capacity charges'!AJ264</f>
        <v>0</v>
      </c>
      <c r="AK27" s="437">
        <f>'Capacity charges'!AK264</f>
        <v>0</v>
      </c>
      <c r="AL27" s="437">
        <f>'Capacity charges'!AL264</f>
        <v>0</v>
      </c>
      <c r="AM27" s="437">
        <f>'Capacity charges'!AM264</f>
        <v>0</v>
      </c>
      <c r="AN27" s="437">
        <f>'Capacity charges'!AN264</f>
        <v>0</v>
      </c>
      <c r="AO27" s="437">
        <f>'Capacity charges'!AO264</f>
        <v>0</v>
      </c>
      <c r="AP27" s="437">
        <f>'Capacity charges'!AP264</f>
        <v>0</v>
      </c>
    </row>
    <row r="28" spans="3:44" x14ac:dyDescent="0.25">
      <c r="C28" s="89"/>
      <c r="E28" s="152"/>
      <c r="F28" s="66" t="s">
        <v>45</v>
      </c>
      <c r="G28" s="90" t="s">
        <v>381</v>
      </c>
      <c r="H28" s="90"/>
      <c r="I28" s="90"/>
      <c r="J28" s="437">
        <f>'Capacity charges'!J265</f>
        <v>0</v>
      </c>
      <c r="K28" s="437">
        <f>'Capacity charges'!K265</f>
        <v>0</v>
      </c>
      <c r="L28" s="437">
        <f>'Capacity charges'!L265</f>
        <v>0</v>
      </c>
      <c r="M28" s="437">
        <f>'Capacity charges'!M265</f>
        <v>0</v>
      </c>
      <c r="N28" s="437">
        <f>'Capacity charges'!N265</f>
        <v>0</v>
      </c>
      <c r="O28" s="437">
        <f>'Capacity charges'!O265</f>
        <v>0</v>
      </c>
      <c r="P28" s="437">
        <f>'Capacity charges'!P265</f>
        <v>0</v>
      </c>
      <c r="Q28" s="437">
        <f>'Capacity charges'!Q265</f>
        <v>0</v>
      </c>
      <c r="R28" s="437">
        <f>'Capacity charges'!R265</f>
        <v>0</v>
      </c>
      <c r="S28" s="437">
        <f>'Capacity charges'!S265</f>
        <v>0</v>
      </c>
      <c r="T28" s="437">
        <f>'Capacity charges'!T265</f>
        <v>0</v>
      </c>
      <c r="U28" s="437">
        <f>'Capacity charges'!U265</f>
        <v>0</v>
      </c>
      <c r="V28" s="437">
        <f>'Capacity charges'!V265</f>
        <v>0</v>
      </c>
      <c r="W28" s="437">
        <f>'Capacity charges'!W265</f>
        <v>0</v>
      </c>
      <c r="X28" s="437">
        <f>'Capacity charges'!X265</f>
        <v>0</v>
      </c>
      <c r="Y28" s="437">
        <f>'Capacity charges'!Y265</f>
        <v>0</v>
      </c>
      <c r="Z28" s="437">
        <f>'Capacity charges'!Z265</f>
        <v>0</v>
      </c>
      <c r="AA28" s="437">
        <f>'Capacity charges'!AA265</f>
        <v>0</v>
      </c>
      <c r="AB28" s="437">
        <f>'Capacity charges'!AB265</f>
        <v>0</v>
      </c>
      <c r="AC28" s="437">
        <f>'Capacity charges'!AC265</f>
        <v>0</v>
      </c>
      <c r="AD28" s="437">
        <f>'Capacity charges'!AD265</f>
        <v>0</v>
      </c>
      <c r="AE28" s="437">
        <f>'Capacity charges'!AE265</f>
        <v>0</v>
      </c>
      <c r="AF28" s="437">
        <f>'Capacity charges'!AF265</f>
        <v>0</v>
      </c>
      <c r="AG28" s="437">
        <f>'Capacity charges'!AG265</f>
        <v>0</v>
      </c>
      <c r="AH28" s="437">
        <f>'Capacity charges'!AH265</f>
        <v>0</v>
      </c>
      <c r="AI28" s="437">
        <f>'Capacity charges'!AI265</f>
        <v>0</v>
      </c>
      <c r="AJ28" s="437">
        <f>'Capacity charges'!AJ265</f>
        <v>0</v>
      </c>
      <c r="AK28" s="437">
        <f>'Capacity charges'!AK265</f>
        <v>0</v>
      </c>
      <c r="AL28" s="437">
        <f>'Capacity charges'!AL265</f>
        <v>0</v>
      </c>
      <c r="AM28" s="437">
        <f>'Capacity charges'!AM265</f>
        <v>0</v>
      </c>
      <c r="AN28" s="437">
        <f>'Capacity charges'!AN265</f>
        <v>0</v>
      </c>
      <c r="AO28" s="437">
        <f>'Capacity charges'!AO265</f>
        <v>0</v>
      </c>
      <c r="AP28" s="437">
        <f>'Capacity charges'!AP265</f>
        <v>0</v>
      </c>
    </row>
    <row r="29" spans="3:44" x14ac:dyDescent="0.25">
      <c r="C29" s="89"/>
      <c r="E29" s="152"/>
      <c r="F29" s="66" t="s">
        <v>46</v>
      </c>
      <c r="G29" s="90" t="s">
        <v>381</v>
      </c>
      <c r="H29" s="90"/>
      <c r="I29" s="90"/>
      <c r="J29" s="437">
        <f>'Capacity charges'!J266</f>
        <v>0</v>
      </c>
      <c r="K29" s="437">
        <f>'Capacity charges'!K266</f>
        <v>0</v>
      </c>
      <c r="L29" s="437">
        <f>'Capacity charges'!L266</f>
        <v>0</v>
      </c>
      <c r="M29" s="437">
        <f>'Capacity charges'!M266</f>
        <v>0</v>
      </c>
      <c r="N29" s="437">
        <f>'Capacity charges'!N266</f>
        <v>0</v>
      </c>
      <c r="O29" s="437">
        <f>'Capacity charges'!O266</f>
        <v>0</v>
      </c>
      <c r="P29" s="437">
        <f>'Capacity charges'!P266</f>
        <v>0</v>
      </c>
      <c r="Q29" s="437">
        <f>'Capacity charges'!Q266</f>
        <v>0</v>
      </c>
      <c r="R29" s="437">
        <f>'Capacity charges'!R266</f>
        <v>0.32399634837950669</v>
      </c>
      <c r="S29" s="437">
        <f>'Capacity charges'!S266</f>
        <v>0</v>
      </c>
      <c r="T29" s="437">
        <f>'Capacity charges'!T266</f>
        <v>0</v>
      </c>
      <c r="U29" s="437">
        <f>'Capacity charges'!U266</f>
        <v>0</v>
      </c>
      <c r="V29" s="437">
        <f>'Capacity charges'!V266</f>
        <v>0</v>
      </c>
      <c r="W29" s="437">
        <f>'Capacity charges'!W266</f>
        <v>0</v>
      </c>
      <c r="X29" s="437">
        <f>'Capacity charges'!X266</f>
        <v>0</v>
      </c>
      <c r="Y29" s="437">
        <f>'Capacity charges'!Y266</f>
        <v>0</v>
      </c>
      <c r="Z29" s="437">
        <f>'Capacity charges'!Z266</f>
        <v>0</v>
      </c>
      <c r="AA29" s="437">
        <f>'Capacity charges'!AA266</f>
        <v>0</v>
      </c>
      <c r="AB29" s="437">
        <f>'Capacity charges'!AB266</f>
        <v>0</v>
      </c>
      <c r="AC29" s="437">
        <f>'Capacity charges'!AC266</f>
        <v>0</v>
      </c>
      <c r="AD29" s="437">
        <f>'Capacity charges'!AD266</f>
        <v>0</v>
      </c>
      <c r="AE29" s="437">
        <f>'Capacity charges'!AE266</f>
        <v>0</v>
      </c>
      <c r="AF29" s="437">
        <f>'Capacity charges'!AF266</f>
        <v>0</v>
      </c>
      <c r="AG29" s="437">
        <f>'Capacity charges'!AG266</f>
        <v>0</v>
      </c>
      <c r="AH29" s="437">
        <f>'Capacity charges'!AH266</f>
        <v>0</v>
      </c>
      <c r="AI29" s="437">
        <f>'Capacity charges'!AI266</f>
        <v>0</v>
      </c>
      <c r="AJ29" s="437">
        <f>'Capacity charges'!AJ266</f>
        <v>0</v>
      </c>
      <c r="AK29" s="437">
        <f>'Capacity charges'!AK266</f>
        <v>0</v>
      </c>
      <c r="AL29" s="437">
        <f>'Capacity charges'!AL266</f>
        <v>0</v>
      </c>
      <c r="AM29" s="437">
        <f>'Capacity charges'!AM266</f>
        <v>0</v>
      </c>
      <c r="AN29" s="437">
        <f>'Capacity charges'!AN266</f>
        <v>0</v>
      </c>
      <c r="AO29" s="437">
        <f>'Capacity charges'!AO266</f>
        <v>0</v>
      </c>
      <c r="AP29" s="437">
        <f>'Capacity charges'!AP266</f>
        <v>0</v>
      </c>
    </row>
    <row r="30" spans="3:44" x14ac:dyDescent="0.25">
      <c r="C30" s="89"/>
      <c r="E30" s="152"/>
      <c r="F30" s="66" t="s">
        <v>47</v>
      </c>
      <c r="G30" s="90" t="s">
        <v>381</v>
      </c>
      <c r="H30" s="90"/>
      <c r="I30" s="90"/>
      <c r="J30" s="437">
        <f>'Capacity charges'!J267</f>
        <v>0</v>
      </c>
      <c r="K30" s="437">
        <f>'Capacity charges'!K267</f>
        <v>0</v>
      </c>
      <c r="L30" s="437">
        <f>'Capacity charges'!L267</f>
        <v>0</v>
      </c>
      <c r="M30" s="437">
        <f>'Capacity charges'!M267</f>
        <v>0</v>
      </c>
      <c r="N30" s="437">
        <f>'Capacity charges'!N267</f>
        <v>0</v>
      </c>
      <c r="O30" s="437">
        <f>'Capacity charges'!O267</f>
        <v>0</v>
      </c>
      <c r="P30" s="437">
        <f>'Capacity charges'!P267</f>
        <v>0</v>
      </c>
      <c r="Q30" s="437">
        <f>'Capacity charges'!Q267</f>
        <v>0</v>
      </c>
      <c r="R30" s="437">
        <f>'Capacity charges'!R267</f>
        <v>1.1932071832736304</v>
      </c>
      <c r="S30" s="437">
        <f>'Capacity charges'!S267</f>
        <v>0</v>
      </c>
      <c r="T30" s="437">
        <f>'Capacity charges'!T267</f>
        <v>0</v>
      </c>
      <c r="U30" s="437">
        <f>'Capacity charges'!U267</f>
        <v>0</v>
      </c>
      <c r="V30" s="437">
        <f>'Capacity charges'!V267</f>
        <v>0</v>
      </c>
      <c r="W30" s="437">
        <f>'Capacity charges'!W267</f>
        <v>0</v>
      </c>
      <c r="X30" s="437">
        <f>'Capacity charges'!X267</f>
        <v>0</v>
      </c>
      <c r="Y30" s="437">
        <f>'Capacity charges'!Y267</f>
        <v>0</v>
      </c>
      <c r="Z30" s="437">
        <f>'Capacity charges'!Z267</f>
        <v>0</v>
      </c>
      <c r="AA30" s="437">
        <f>'Capacity charges'!AA267</f>
        <v>0</v>
      </c>
      <c r="AB30" s="437">
        <f>'Capacity charges'!AB267</f>
        <v>0</v>
      </c>
      <c r="AC30" s="437">
        <f>'Capacity charges'!AC267</f>
        <v>0</v>
      </c>
      <c r="AD30" s="437">
        <f>'Capacity charges'!AD267</f>
        <v>0</v>
      </c>
      <c r="AE30" s="437">
        <f>'Capacity charges'!AE267</f>
        <v>0</v>
      </c>
      <c r="AF30" s="437">
        <f>'Capacity charges'!AF267</f>
        <v>0</v>
      </c>
      <c r="AG30" s="437">
        <f>'Capacity charges'!AG267</f>
        <v>0</v>
      </c>
      <c r="AH30" s="437">
        <f>'Capacity charges'!AH267</f>
        <v>0</v>
      </c>
      <c r="AI30" s="437">
        <f>'Capacity charges'!AI267</f>
        <v>0</v>
      </c>
      <c r="AJ30" s="437">
        <f>'Capacity charges'!AJ267</f>
        <v>0</v>
      </c>
      <c r="AK30" s="437">
        <f>'Capacity charges'!AK267</f>
        <v>0</v>
      </c>
      <c r="AL30" s="437">
        <f>'Capacity charges'!AL267</f>
        <v>0</v>
      </c>
      <c r="AM30" s="437">
        <f>'Capacity charges'!AM267</f>
        <v>0</v>
      </c>
      <c r="AN30" s="437">
        <f>'Capacity charges'!AN267</f>
        <v>0</v>
      </c>
      <c r="AO30" s="437">
        <f>'Capacity charges'!AO267</f>
        <v>0</v>
      </c>
      <c r="AP30" s="437">
        <f>'Capacity charges'!AP267</f>
        <v>0</v>
      </c>
    </row>
    <row r="31" spans="3:44" x14ac:dyDescent="0.25">
      <c r="C31" s="89"/>
      <c r="E31" s="152"/>
      <c r="F31" s="66" t="s">
        <v>51</v>
      </c>
      <c r="G31" s="90" t="s">
        <v>381</v>
      </c>
      <c r="H31" s="90"/>
      <c r="I31" s="90"/>
      <c r="J31" s="437">
        <f>'Capacity charges'!J268</f>
        <v>0</v>
      </c>
      <c r="K31" s="437">
        <f>'Capacity charges'!K268</f>
        <v>0</v>
      </c>
      <c r="L31" s="437">
        <f>'Capacity charges'!L268</f>
        <v>0</v>
      </c>
      <c r="M31" s="437">
        <f>'Capacity charges'!M268</f>
        <v>0</v>
      </c>
      <c r="N31" s="437">
        <f>'Capacity charges'!N268</f>
        <v>0</v>
      </c>
      <c r="O31" s="437">
        <f>'Capacity charges'!O268</f>
        <v>0</v>
      </c>
      <c r="P31" s="437">
        <f>'Capacity charges'!P268</f>
        <v>0</v>
      </c>
      <c r="Q31" s="437">
        <f>'Capacity charges'!Q268</f>
        <v>0</v>
      </c>
      <c r="R31" s="437">
        <f>'Capacity charges'!R268</f>
        <v>0</v>
      </c>
      <c r="S31" s="437">
        <f>'Capacity charges'!S268</f>
        <v>0</v>
      </c>
      <c r="T31" s="437">
        <f>'Capacity charges'!T268</f>
        <v>0</v>
      </c>
      <c r="U31" s="437">
        <f>'Capacity charges'!U268</f>
        <v>0</v>
      </c>
      <c r="V31" s="437">
        <f>'Capacity charges'!V268</f>
        <v>0</v>
      </c>
      <c r="W31" s="437">
        <f>'Capacity charges'!W268</f>
        <v>0</v>
      </c>
      <c r="X31" s="437">
        <f>'Capacity charges'!X268</f>
        <v>0</v>
      </c>
      <c r="Y31" s="437">
        <f>'Capacity charges'!Y268</f>
        <v>0</v>
      </c>
      <c r="Z31" s="437">
        <f>'Capacity charges'!Z268</f>
        <v>0</v>
      </c>
      <c r="AA31" s="437">
        <f>'Capacity charges'!AA268</f>
        <v>0</v>
      </c>
      <c r="AB31" s="437">
        <f>'Capacity charges'!AB268</f>
        <v>0</v>
      </c>
      <c r="AC31" s="437">
        <f>'Capacity charges'!AC268</f>
        <v>0</v>
      </c>
      <c r="AD31" s="437">
        <f>'Capacity charges'!AD268</f>
        <v>0</v>
      </c>
      <c r="AE31" s="437">
        <f>'Capacity charges'!AE268</f>
        <v>0</v>
      </c>
      <c r="AF31" s="437">
        <f>'Capacity charges'!AF268</f>
        <v>0</v>
      </c>
      <c r="AG31" s="437">
        <f>'Capacity charges'!AG268</f>
        <v>0</v>
      </c>
      <c r="AH31" s="437">
        <f>'Capacity charges'!AH268</f>
        <v>0</v>
      </c>
      <c r="AI31" s="437">
        <f>'Capacity charges'!AI268</f>
        <v>0</v>
      </c>
      <c r="AJ31" s="437">
        <f>'Capacity charges'!AJ268</f>
        <v>0</v>
      </c>
      <c r="AK31" s="437">
        <f>'Capacity charges'!AK268</f>
        <v>0</v>
      </c>
      <c r="AL31" s="437">
        <f>'Capacity charges'!AL268</f>
        <v>0</v>
      </c>
      <c r="AM31" s="437">
        <f>'Capacity charges'!AM268</f>
        <v>0</v>
      </c>
      <c r="AN31" s="437">
        <f>'Capacity charges'!AN268</f>
        <v>0</v>
      </c>
      <c r="AO31" s="437">
        <f>'Capacity charges'!AO268</f>
        <v>0</v>
      </c>
      <c r="AP31" s="437">
        <f>'Capacity charges'!AP268</f>
        <v>0</v>
      </c>
    </row>
    <row r="32" spans="3:44" x14ac:dyDescent="0.25">
      <c r="C32" s="89"/>
      <c r="E32" s="152"/>
      <c r="F32" s="66" t="s">
        <v>48</v>
      </c>
      <c r="G32" s="90" t="s">
        <v>381</v>
      </c>
      <c r="H32" s="90"/>
      <c r="I32" s="90"/>
      <c r="J32" s="437">
        <f>'Capacity charges'!J269</f>
        <v>0</v>
      </c>
      <c r="K32" s="437">
        <f>'Capacity charges'!K269</f>
        <v>0</v>
      </c>
      <c r="L32" s="437">
        <f>'Capacity charges'!L269</f>
        <v>0</v>
      </c>
      <c r="M32" s="437">
        <f>'Capacity charges'!M269</f>
        <v>0</v>
      </c>
      <c r="N32" s="437">
        <f>'Capacity charges'!N269</f>
        <v>0</v>
      </c>
      <c r="O32" s="437">
        <f>'Capacity charges'!O269</f>
        <v>0</v>
      </c>
      <c r="P32" s="437">
        <f>'Capacity charges'!P269</f>
        <v>0</v>
      </c>
      <c r="Q32" s="437">
        <f>'Capacity charges'!Q269</f>
        <v>0</v>
      </c>
      <c r="R32" s="437">
        <f>'Capacity charges'!R269</f>
        <v>1.8812065027614999</v>
      </c>
      <c r="S32" s="437">
        <f>'Capacity charges'!S269</f>
        <v>0</v>
      </c>
      <c r="T32" s="437">
        <f>'Capacity charges'!T269</f>
        <v>0</v>
      </c>
      <c r="U32" s="437">
        <f>'Capacity charges'!U269</f>
        <v>0</v>
      </c>
      <c r="V32" s="437">
        <f>'Capacity charges'!V269</f>
        <v>0</v>
      </c>
      <c r="W32" s="437">
        <f>'Capacity charges'!W269</f>
        <v>0</v>
      </c>
      <c r="X32" s="437">
        <f>'Capacity charges'!X269</f>
        <v>0</v>
      </c>
      <c r="Y32" s="437">
        <f>'Capacity charges'!Y269</f>
        <v>0</v>
      </c>
      <c r="Z32" s="437">
        <f>'Capacity charges'!Z269</f>
        <v>0</v>
      </c>
      <c r="AA32" s="437">
        <f>'Capacity charges'!AA269</f>
        <v>0</v>
      </c>
      <c r="AB32" s="437">
        <f>'Capacity charges'!AB269</f>
        <v>0</v>
      </c>
      <c r="AC32" s="437">
        <f>'Capacity charges'!AC269</f>
        <v>0</v>
      </c>
      <c r="AD32" s="437">
        <f>'Capacity charges'!AD269</f>
        <v>0</v>
      </c>
      <c r="AE32" s="437">
        <f>'Capacity charges'!AE269</f>
        <v>0</v>
      </c>
      <c r="AF32" s="437">
        <f>'Capacity charges'!AF269</f>
        <v>0</v>
      </c>
      <c r="AG32" s="437">
        <f>'Capacity charges'!AG269</f>
        <v>0</v>
      </c>
      <c r="AH32" s="437">
        <f>'Capacity charges'!AH269</f>
        <v>0</v>
      </c>
      <c r="AI32" s="437">
        <f>'Capacity charges'!AI269</f>
        <v>0</v>
      </c>
      <c r="AJ32" s="437">
        <f>'Capacity charges'!AJ269</f>
        <v>0</v>
      </c>
      <c r="AK32" s="437">
        <f>'Capacity charges'!AK269</f>
        <v>0</v>
      </c>
      <c r="AL32" s="437">
        <f>'Capacity charges'!AL269</f>
        <v>0</v>
      </c>
      <c r="AM32" s="437">
        <f>'Capacity charges'!AM269</f>
        <v>0</v>
      </c>
      <c r="AN32" s="437">
        <f>'Capacity charges'!AN269</f>
        <v>0</v>
      </c>
      <c r="AO32" s="437">
        <f>'Capacity charges'!AO269</f>
        <v>0</v>
      </c>
      <c r="AP32" s="437">
        <f>'Capacity charges'!AP269</f>
        <v>0</v>
      </c>
    </row>
    <row r="33" spans="3:42" x14ac:dyDescent="0.25">
      <c r="C33" s="89"/>
      <c r="E33" s="152"/>
      <c r="F33" s="66" t="s">
        <v>49</v>
      </c>
      <c r="G33" s="90" t="s">
        <v>381</v>
      </c>
      <c r="H33" s="90"/>
      <c r="I33" s="90"/>
      <c r="J33" s="437">
        <f>'Capacity charges'!J270</f>
        <v>0</v>
      </c>
      <c r="K33" s="437">
        <f>'Capacity charges'!K270</f>
        <v>0</v>
      </c>
      <c r="L33" s="437">
        <f>'Capacity charges'!L270</f>
        <v>0</v>
      </c>
      <c r="M33" s="437">
        <f>'Capacity charges'!M270</f>
        <v>0</v>
      </c>
      <c r="N33" s="437">
        <f>'Capacity charges'!N270</f>
        <v>0</v>
      </c>
      <c r="O33" s="437">
        <f>'Capacity charges'!O270</f>
        <v>0</v>
      </c>
      <c r="P33" s="437">
        <f>'Capacity charges'!P270</f>
        <v>0</v>
      </c>
      <c r="Q33" s="437">
        <f>'Capacity charges'!Q270</f>
        <v>0.5849451104394342</v>
      </c>
      <c r="R33" s="437">
        <f>'Capacity charges'!R270</f>
        <v>0</v>
      </c>
      <c r="S33" s="437">
        <f>'Capacity charges'!S270</f>
        <v>0</v>
      </c>
      <c r="T33" s="437">
        <f>'Capacity charges'!T270</f>
        <v>0</v>
      </c>
      <c r="U33" s="437">
        <f>'Capacity charges'!U270</f>
        <v>0</v>
      </c>
      <c r="V33" s="437">
        <f>'Capacity charges'!V270</f>
        <v>0</v>
      </c>
      <c r="W33" s="437">
        <f>'Capacity charges'!W270</f>
        <v>0</v>
      </c>
      <c r="X33" s="437">
        <f>'Capacity charges'!X270</f>
        <v>0</v>
      </c>
      <c r="Y33" s="437">
        <f>'Capacity charges'!Y270</f>
        <v>0</v>
      </c>
      <c r="Z33" s="437">
        <f>'Capacity charges'!Z270</f>
        <v>0</v>
      </c>
      <c r="AA33" s="437">
        <f>'Capacity charges'!AA270</f>
        <v>0</v>
      </c>
      <c r="AB33" s="437">
        <f>'Capacity charges'!AB270</f>
        <v>0</v>
      </c>
      <c r="AC33" s="437">
        <f>'Capacity charges'!AC270</f>
        <v>0</v>
      </c>
      <c r="AD33" s="437">
        <f>'Capacity charges'!AD270</f>
        <v>0</v>
      </c>
      <c r="AE33" s="437">
        <f>'Capacity charges'!AE270</f>
        <v>0</v>
      </c>
      <c r="AF33" s="437">
        <f>'Capacity charges'!AF270</f>
        <v>0</v>
      </c>
      <c r="AG33" s="437">
        <f>'Capacity charges'!AG270</f>
        <v>0</v>
      </c>
      <c r="AH33" s="437">
        <f>'Capacity charges'!AH270</f>
        <v>0</v>
      </c>
      <c r="AI33" s="437">
        <f>'Capacity charges'!AI270</f>
        <v>0</v>
      </c>
      <c r="AJ33" s="437">
        <f>'Capacity charges'!AJ270</f>
        <v>0</v>
      </c>
      <c r="AK33" s="437">
        <f>'Capacity charges'!AK270</f>
        <v>0</v>
      </c>
      <c r="AL33" s="437">
        <f>'Capacity charges'!AL270</f>
        <v>0</v>
      </c>
      <c r="AM33" s="437">
        <f>'Capacity charges'!AM270</f>
        <v>0</v>
      </c>
      <c r="AN33" s="437">
        <f>'Capacity charges'!AN270</f>
        <v>0</v>
      </c>
      <c r="AO33" s="437">
        <f>'Capacity charges'!AO270</f>
        <v>0</v>
      </c>
      <c r="AP33" s="437">
        <f>'Capacity charges'!AP270</f>
        <v>0</v>
      </c>
    </row>
    <row r="34" spans="3:42" x14ac:dyDescent="0.25">
      <c r="C34" s="89"/>
      <c r="E34" s="152"/>
      <c r="F34" s="66" t="s">
        <v>50</v>
      </c>
      <c r="G34" s="90" t="s">
        <v>381</v>
      </c>
      <c r="H34" s="90"/>
      <c r="I34" s="90"/>
      <c r="J34" s="437">
        <f>'Capacity charges'!J271</f>
        <v>6.882997322599077E-2</v>
      </c>
      <c r="K34" s="437">
        <f>'Capacity charges'!K271</f>
        <v>6.882997322599077E-2</v>
      </c>
      <c r="L34" s="437">
        <f>'Capacity charges'!L271</f>
        <v>0</v>
      </c>
      <c r="M34" s="437">
        <f>'Capacity charges'!M271</f>
        <v>6.882997322599077E-2</v>
      </c>
      <c r="N34" s="437">
        <f>'Capacity charges'!N271</f>
        <v>6.882997322599077E-2</v>
      </c>
      <c r="O34" s="437">
        <f>'Capacity charges'!O271</f>
        <v>0</v>
      </c>
      <c r="P34" s="437">
        <f>'Capacity charges'!P271</f>
        <v>6.882997322599077E-2</v>
      </c>
      <c r="Q34" s="437">
        <f>'Capacity charges'!Q271</f>
        <v>0</v>
      </c>
      <c r="R34" s="437">
        <f>'Capacity charges'!R271</f>
        <v>0</v>
      </c>
      <c r="S34" s="437">
        <f>'Capacity charges'!S271</f>
        <v>6.882997322599077E-2</v>
      </c>
      <c r="T34" s="437">
        <f>'Capacity charges'!T271</f>
        <v>6.882997322599077E-2</v>
      </c>
      <c r="U34" s="437">
        <f>'Capacity charges'!U271</f>
        <v>0</v>
      </c>
      <c r="V34" s="437">
        <f>'Capacity charges'!V271</f>
        <v>0</v>
      </c>
      <c r="W34" s="437">
        <f>'Capacity charges'!W271</f>
        <v>0</v>
      </c>
      <c r="X34" s="437">
        <f>'Capacity charges'!X271</f>
        <v>0</v>
      </c>
      <c r="Y34" s="437">
        <f>'Capacity charges'!Y271</f>
        <v>0</v>
      </c>
      <c r="Z34" s="437">
        <f>'Capacity charges'!Z271</f>
        <v>0</v>
      </c>
      <c r="AA34" s="437">
        <f>'Capacity charges'!AA271</f>
        <v>0</v>
      </c>
      <c r="AB34" s="437">
        <f>'Capacity charges'!AB271</f>
        <v>0</v>
      </c>
      <c r="AC34" s="437">
        <f>'Capacity charges'!AC271</f>
        <v>0</v>
      </c>
      <c r="AD34" s="437">
        <f>'Capacity charges'!AD271</f>
        <v>0</v>
      </c>
      <c r="AE34" s="437">
        <f>'Capacity charges'!AE271</f>
        <v>0</v>
      </c>
      <c r="AF34" s="437">
        <f>'Capacity charges'!AF271</f>
        <v>0</v>
      </c>
      <c r="AG34" s="437">
        <f>'Capacity charges'!AG271</f>
        <v>0</v>
      </c>
      <c r="AH34" s="437">
        <f>'Capacity charges'!AH271</f>
        <v>0</v>
      </c>
      <c r="AI34" s="437">
        <f>'Capacity charges'!AI271</f>
        <v>0</v>
      </c>
      <c r="AJ34" s="437">
        <f>'Capacity charges'!AJ271</f>
        <v>0</v>
      </c>
      <c r="AK34" s="437">
        <f>'Capacity charges'!AK271</f>
        <v>0</v>
      </c>
      <c r="AL34" s="437">
        <f>'Capacity charges'!AL271</f>
        <v>0</v>
      </c>
      <c r="AM34" s="437">
        <f>'Capacity charges'!AM271</f>
        <v>0</v>
      </c>
      <c r="AN34" s="437">
        <f>'Capacity charges'!AN271</f>
        <v>0</v>
      </c>
      <c r="AO34" s="437">
        <f>'Capacity charges'!AO271</f>
        <v>0</v>
      </c>
      <c r="AP34" s="437">
        <f>'Capacity charges'!AP271</f>
        <v>0</v>
      </c>
    </row>
    <row r="35" spans="3:42" x14ac:dyDescent="0.25">
      <c r="C35" s="89"/>
      <c r="E35" s="152"/>
      <c r="F35" s="66" t="s">
        <v>141</v>
      </c>
      <c r="G35" s="90" t="s">
        <v>381</v>
      </c>
      <c r="H35" s="90"/>
      <c r="I35" s="90"/>
      <c r="J35" s="403"/>
      <c r="K35" s="403"/>
      <c r="L35" s="403"/>
      <c r="M35" s="403"/>
      <c r="N35" s="403"/>
      <c r="O35" s="403"/>
      <c r="P35" s="403"/>
      <c r="Q35" s="403"/>
      <c r="R35" s="403"/>
      <c r="S35" s="403"/>
      <c r="T35" s="403"/>
      <c r="U35" s="403"/>
      <c r="V35" s="403"/>
      <c r="W35" s="403"/>
      <c r="X35" s="403"/>
      <c r="Y35" s="403"/>
      <c r="Z35" s="403"/>
      <c r="AA35" s="403"/>
      <c r="AB35" s="403"/>
      <c r="AC35" s="403"/>
      <c r="AD35" s="403"/>
      <c r="AE35" s="403"/>
      <c r="AF35" s="403"/>
      <c r="AG35" s="403"/>
      <c r="AH35" s="403"/>
      <c r="AI35" s="403"/>
      <c r="AJ35" s="403"/>
      <c r="AK35" s="403"/>
      <c r="AL35" s="403"/>
      <c r="AM35" s="403"/>
      <c r="AN35" s="403"/>
      <c r="AO35" s="403"/>
      <c r="AP35" s="403"/>
    </row>
    <row r="36" spans="3:42" x14ac:dyDescent="0.25">
      <c r="C36" s="89"/>
      <c r="E36" s="152"/>
      <c r="F36" s="67" t="s">
        <v>140</v>
      </c>
      <c r="G36" s="16" t="s">
        <v>381</v>
      </c>
      <c r="H36" s="16"/>
      <c r="I36" s="16"/>
      <c r="J36" s="404"/>
      <c r="K36" s="404"/>
      <c r="L36" s="404"/>
      <c r="M36" s="404"/>
      <c r="N36" s="404"/>
      <c r="O36" s="404"/>
      <c r="P36" s="404"/>
      <c r="Q36" s="404"/>
      <c r="R36" s="404"/>
      <c r="S36" s="404"/>
      <c r="T36" s="404"/>
      <c r="U36" s="404"/>
      <c r="V36" s="404"/>
      <c r="W36" s="404"/>
      <c r="X36" s="404"/>
      <c r="Y36" s="404"/>
      <c r="Z36" s="404"/>
      <c r="AA36" s="404"/>
      <c r="AB36" s="404"/>
      <c r="AC36" s="404"/>
      <c r="AD36" s="404"/>
      <c r="AE36" s="404"/>
      <c r="AF36" s="404"/>
      <c r="AG36" s="404"/>
      <c r="AH36" s="404"/>
      <c r="AI36" s="404"/>
      <c r="AJ36" s="404"/>
      <c r="AK36" s="404"/>
      <c r="AL36" s="404"/>
      <c r="AM36" s="404"/>
      <c r="AN36" s="404"/>
      <c r="AO36" s="404"/>
      <c r="AP36" s="404"/>
    </row>
    <row r="37" spans="3:42" s="160" customFormat="1" x14ac:dyDescent="0.25">
      <c r="C37" s="161"/>
      <c r="E37" s="152"/>
      <c r="F37" s="117"/>
      <c r="J37" s="416"/>
      <c r="K37" s="416"/>
      <c r="L37" s="416"/>
      <c r="M37" s="416"/>
      <c r="N37" s="416"/>
      <c r="O37" s="416"/>
      <c r="P37" s="416"/>
      <c r="Q37" s="416"/>
      <c r="R37" s="416"/>
      <c r="S37" s="416"/>
      <c r="T37" s="416"/>
      <c r="U37" s="416"/>
      <c r="V37" s="416"/>
      <c r="W37" s="416"/>
      <c r="X37" s="416"/>
      <c r="Y37" s="416"/>
      <c r="Z37" s="416"/>
      <c r="AA37" s="416"/>
      <c r="AB37" s="416"/>
      <c r="AC37" s="416"/>
      <c r="AD37" s="416"/>
      <c r="AE37" s="416"/>
      <c r="AF37" s="416"/>
      <c r="AG37" s="416"/>
      <c r="AH37" s="416"/>
      <c r="AI37" s="416"/>
      <c r="AJ37" s="416"/>
      <c r="AK37" s="416"/>
      <c r="AL37" s="416"/>
      <c r="AM37" s="416"/>
      <c r="AN37" s="416"/>
      <c r="AO37" s="416"/>
      <c r="AP37" s="416"/>
    </row>
    <row r="38" spans="3:42" x14ac:dyDescent="0.25">
      <c r="C38" s="89"/>
      <c r="E38" s="172" t="s">
        <v>133</v>
      </c>
      <c r="F38" s="117"/>
      <c r="J38" s="416"/>
      <c r="K38" s="416"/>
      <c r="L38" s="416"/>
      <c r="M38" s="416"/>
      <c r="N38" s="416"/>
      <c r="O38" s="416"/>
      <c r="P38" s="416"/>
      <c r="Q38" s="416"/>
      <c r="R38" s="416"/>
      <c r="S38" s="416"/>
      <c r="T38" s="416"/>
      <c r="U38" s="416"/>
      <c r="V38" s="416"/>
      <c r="W38" s="416"/>
      <c r="X38" s="416"/>
      <c r="Y38" s="416"/>
      <c r="Z38" s="416"/>
      <c r="AA38" s="416"/>
      <c r="AB38" s="416"/>
      <c r="AC38" s="416"/>
      <c r="AD38" s="416"/>
      <c r="AE38" s="416"/>
      <c r="AF38" s="416"/>
      <c r="AG38" s="416"/>
      <c r="AH38" s="416"/>
      <c r="AI38" s="416"/>
      <c r="AJ38" s="416"/>
      <c r="AK38" s="416"/>
      <c r="AL38" s="416"/>
      <c r="AM38" s="416"/>
      <c r="AN38" s="416"/>
      <c r="AO38" s="416"/>
      <c r="AP38" s="416"/>
    </row>
    <row r="39" spans="3:42" x14ac:dyDescent="0.25">
      <c r="C39" s="89"/>
      <c r="F39" s="72" t="s">
        <v>397</v>
      </c>
      <c r="G39" s="13" t="s">
        <v>381</v>
      </c>
      <c r="H39" s="13"/>
      <c r="I39" s="13"/>
      <c r="J39" s="438">
        <f>'Capacity charges'!J276</f>
        <v>0</v>
      </c>
      <c r="K39" s="438">
        <f>'Capacity charges'!K276</f>
        <v>0</v>
      </c>
      <c r="L39" s="438">
        <f>'Capacity charges'!L276</f>
        <v>0</v>
      </c>
      <c r="M39" s="438">
        <f>'Capacity charges'!M276</f>
        <v>0</v>
      </c>
      <c r="N39" s="438">
        <f>'Capacity charges'!N276</f>
        <v>0</v>
      </c>
      <c r="O39" s="438">
        <f>'Capacity charges'!O276</f>
        <v>0</v>
      </c>
      <c r="P39" s="438">
        <f>'Capacity charges'!P276</f>
        <v>0</v>
      </c>
      <c r="Q39" s="438">
        <f>'Capacity charges'!Q276</f>
        <v>0</v>
      </c>
      <c r="R39" s="438">
        <f>'Capacity charges'!R276</f>
        <v>0</v>
      </c>
      <c r="S39" s="438">
        <f>'Capacity charges'!S276</f>
        <v>0</v>
      </c>
      <c r="T39" s="438">
        <f>'Capacity charges'!T276</f>
        <v>0</v>
      </c>
      <c r="U39" s="438">
        <f>'Capacity charges'!U276</f>
        <v>0</v>
      </c>
      <c r="V39" s="438">
        <f>'Capacity charges'!V276</f>
        <v>0</v>
      </c>
      <c r="W39" s="438">
        <f>'Capacity charges'!W276</f>
        <v>0</v>
      </c>
      <c r="X39" s="438">
        <f>'Capacity charges'!X276</f>
        <v>0</v>
      </c>
      <c r="Y39" s="438">
        <f>'Capacity charges'!Y276</f>
        <v>0</v>
      </c>
      <c r="Z39" s="438">
        <f>'Capacity charges'!Z276</f>
        <v>0</v>
      </c>
      <c r="AA39" s="438">
        <f>'Capacity charges'!AA276</f>
        <v>0</v>
      </c>
      <c r="AB39" s="438">
        <f>'Capacity charges'!AB276</f>
        <v>0</v>
      </c>
      <c r="AC39" s="438">
        <f>'Capacity charges'!AC276</f>
        <v>0</v>
      </c>
      <c r="AD39" s="438">
        <f>'Capacity charges'!AD276</f>
        <v>0</v>
      </c>
      <c r="AE39" s="438">
        <f>'Capacity charges'!AE276</f>
        <v>0</v>
      </c>
      <c r="AF39" s="438">
        <f>'Capacity charges'!AF276</f>
        <v>0</v>
      </c>
      <c r="AG39" s="438">
        <f>'Capacity charges'!AG276</f>
        <v>0</v>
      </c>
      <c r="AH39" s="438">
        <f>'Capacity charges'!AH276</f>
        <v>0</v>
      </c>
      <c r="AI39" s="438">
        <f>'Capacity charges'!AI276</f>
        <v>0</v>
      </c>
      <c r="AJ39" s="438">
        <f>'Capacity charges'!AJ276</f>
        <v>0</v>
      </c>
      <c r="AK39" s="438">
        <f>'Capacity charges'!AK276</f>
        <v>0</v>
      </c>
      <c r="AL39" s="438">
        <f>'Capacity charges'!AL276</f>
        <v>0</v>
      </c>
      <c r="AM39" s="438">
        <f>'Capacity charges'!AM276</f>
        <v>0</v>
      </c>
      <c r="AN39" s="438">
        <f>'Capacity charges'!AN276</f>
        <v>0</v>
      </c>
      <c r="AO39" s="438">
        <f>'Capacity charges'!AO276</f>
        <v>0</v>
      </c>
      <c r="AP39" s="438">
        <f>'Capacity charges'!AP276</f>
        <v>0</v>
      </c>
    </row>
    <row r="40" spans="3:42" x14ac:dyDescent="0.25">
      <c r="C40" s="89"/>
      <c r="F40" s="66" t="s">
        <v>43</v>
      </c>
      <c r="G40" s="90" t="s">
        <v>381</v>
      </c>
      <c r="H40" s="90"/>
      <c r="I40" s="90"/>
      <c r="J40" s="437">
        <f>'Capacity charges'!J277</f>
        <v>0</v>
      </c>
      <c r="K40" s="437">
        <f>'Capacity charges'!K277</f>
        <v>0</v>
      </c>
      <c r="L40" s="437">
        <f>'Capacity charges'!L277</f>
        <v>0</v>
      </c>
      <c r="M40" s="437">
        <f>'Capacity charges'!M277</f>
        <v>0</v>
      </c>
      <c r="N40" s="437">
        <f>'Capacity charges'!N277</f>
        <v>0</v>
      </c>
      <c r="O40" s="437">
        <f>'Capacity charges'!O277</f>
        <v>0</v>
      </c>
      <c r="P40" s="437">
        <f>'Capacity charges'!P277</f>
        <v>0</v>
      </c>
      <c r="Q40" s="437">
        <f>'Capacity charges'!Q277</f>
        <v>0</v>
      </c>
      <c r="R40" s="437">
        <f>'Capacity charges'!R277</f>
        <v>0</v>
      </c>
      <c r="S40" s="437">
        <f>'Capacity charges'!S277</f>
        <v>0</v>
      </c>
      <c r="T40" s="437">
        <f>'Capacity charges'!T277</f>
        <v>0</v>
      </c>
      <c r="U40" s="437">
        <f>'Capacity charges'!U277</f>
        <v>0</v>
      </c>
      <c r="V40" s="437">
        <f>'Capacity charges'!V277</f>
        <v>0</v>
      </c>
      <c r="W40" s="437">
        <f>'Capacity charges'!W277</f>
        <v>0</v>
      </c>
      <c r="X40" s="437">
        <f>'Capacity charges'!X277</f>
        <v>0</v>
      </c>
      <c r="Y40" s="437">
        <f>'Capacity charges'!Y277</f>
        <v>0</v>
      </c>
      <c r="Z40" s="437">
        <f>'Capacity charges'!Z277</f>
        <v>0</v>
      </c>
      <c r="AA40" s="437">
        <f>'Capacity charges'!AA277</f>
        <v>0</v>
      </c>
      <c r="AB40" s="437">
        <f>'Capacity charges'!AB277</f>
        <v>0</v>
      </c>
      <c r="AC40" s="437">
        <f>'Capacity charges'!AC277</f>
        <v>0</v>
      </c>
      <c r="AD40" s="437">
        <f>'Capacity charges'!AD277</f>
        <v>0</v>
      </c>
      <c r="AE40" s="437">
        <f>'Capacity charges'!AE277</f>
        <v>0</v>
      </c>
      <c r="AF40" s="437">
        <f>'Capacity charges'!AF277</f>
        <v>0</v>
      </c>
      <c r="AG40" s="437">
        <f>'Capacity charges'!AG277</f>
        <v>0</v>
      </c>
      <c r="AH40" s="437">
        <f>'Capacity charges'!AH277</f>
        <v>0</v>
      </c>
      <c r="AI40" s="437">
        <f>'Capacity charges'!AI277</f>
        <v>0</v>
      </c>
      <c r="AJ40" s="437">
        <f>'Capacity charges'!AJ277</f>
        <v>0</v>
      </c>
      <c r="AK40" s="437">
        <f>'Capacity charges'!AK277</f>
        <v>0</v>
      </c>
      <c r="AL40" s="437">
        <f>'Capacity charges'!AL277</f>
        <v>0</v>
      </c>
      <c r="AM40" s="437">
        <f>'Capacity charges'!AM277</f>
        <v>0</v>
      </c>
      <c r="AN40" s="437">
        <f>'Capacity charges'!AN277</f>
        <v>0</v>
      </c>
      <c r="AO40" s="437">
        <f>'Capacity charges'!AO277</f>
        <v>0</v>
      </c>
      <c r="AP40" s="437">
        <f>'Capacity charges'!AP277</f>
        <v>0</v>
      </c>
    </row>
    <row r="41" spans="3:42" x14ac:dyDescent="0.25">
      <c r="C41" s="89"/>
      <c r="F41" s="66" t="s">
        <v>44</v>
      </c>
      <c r="G41" s="90" t="s">
        <v>381</v>
      </c>
      <c r="H41" s="90"/>
      <c r="I41" s="90"/>
      <c r="J41" s="437">
        <f>'Capacity charges'!J278</f>
        <v>0</v>
      </c>
      <c r="K41" s="437">
        <f>'Capacity charges'!K278</f>
        <v>0</v>
      </c>
      <c r="L41" s="437">
        <f>'Capacity charges'!L278</f>
        <v>0</v>
      </c>
      <c r="M41" s="437">
        <f>'Capacity charges'!M278</f>
        <v>0</v>
      </c>
      <c r="N41" s="437">
        <f>'Capacity charges'!N278</f>
        <v>0</v>
      </c>
      <c r="O41" s="437">
        <f>'Capacity charges'!O278</f>
        <v>0</v>
      </c>
      <c r="P41" s="437">
        <f>'Capacity charges'!P278</f>
        <v>0</v>
      </c>
      <c r="Q41" s="437">
        <f>'Capacity charges'!Q278</f>
        <v>0</v>
      </c>
      <c r="R41" s="437">
        <f>'Capacity charges'!R278</f>
        <v>0</v>
      </c>
      <c r="S41" s="437">
        <f>'Capacity charges'!S278</f>
        <v>0</v>
      </c>
      <c r="T41" s="437">
        <f>'Capacity charges'!T278</f>
        <v>0</v>
      </c>
      <c r="U41" s="437">
        <f>'Capacity charges'!U278</f>
        <v>0</v>
      </c>
      <c r="V41" s="437">
        <f>'Capacity charges'!V278</f>
        <v>0</v>
      </c>
      <c r="W41" s="437">
        <f>'Capacity charges'!W278</f>
        <v>0</v>
      </c>
      <c r="X41" s="437">
        <f>'Capacity charges'!X278</f>
        <v>0</v>
      </c>
      <c r="Y41" s="437">
        <f>'Capacity charges'!Y278</f>
        <v>0</v>
      </c>
      <c r="Z41" s="437">
        <f>'Capacity charges'!Z278</f>
        <v>0</v>
      </c>
      <c r="AA41" s="437">
        <f>'Capacity charges'!AA278</f>
        <v>0</v>
      </c>
      <c r="AB41" s="437">
        <f>'Capacity charges'!AB278</f>
        <v>0</v>
      </c>
      <c r="AC41" s="437">
        <f>'Capacity charges'!AC278</f>
        <v>0</v>
      </c>
      <c r="AD41" s="437">
        <f>'Capacity charges'!AD278</f>
        <v>0</v>
      </c>
      <c r="AE41" s="437">
        <f>'Capacity charges'!AE278</f>
        <v>0</v>
      </c>
      <c r="AF41" s="437">
        <f>'Capacity charges'!AF278</f>
        <v>0</v>
      </c>
      <c r="AG41" s="437">
        <f>'Capacity charges'!AG278</f>
        <v>0</v>
      </c>
      <c r="AH41" s="437">
        <f>'Capacity charges'!AH278</f>
        <v>0</v>
      </c>
      <c r="AI41" s="437">
        <f>'Capacity charges'!AI278</f>
        <v>0</v>
      </c>
      <c r="AJ41" s="437">
        <f>'Capacity charges'!AJ278</f>
        <v>0</v>
      </c>
      <c r="AK41" s="437">
        <f>'Capacity charges'!AK278</f>
        <v>0</v>
      </c>
      <c r="AL41" s="437">
        <f>'Capacity charges'!AL278</f>
        <v>0</v>
      </c>
      <c r="AM41" s="437">
        <f>'Capacity charges'!AM278</f>
        <v>0</v>
      </c>
      <c r="AN41" s="437">
        <f>'Capacity charges'!AN278</f>
        <v>0</v>
      </c>
      <c r="AO41" s="437">
        <f>'Capacity charges'!AO278</f>
        <v>0</v>
      </c>
      <c r="AP41" s="437">
        <f>'Capacity charges'!AP278</f>
        <v>0</v>
      </c>
    </row>
    <row r="42" spans="3:42" x14ac:dyDescent="0.25">
      <c r="C42" s="89"/>
      <c r="F42" s="66" t="s">
        <v>45</v>
      </c>
      <c r="G42" s="90" t="s">
        <v>381</v>
      </c>
      <c r="H42" s="90"/>
      <c r="I42" s="90"/>
      <c r="J42" s="437">
        <f>'Capacity charges'!J279</f>
        <v>0</v>
      </c>
      <c r="K42" s="437">
        <f>'Capacity charges'!K279</f>
        <v>0</v>
      </c>
      <c r="L42" s="437">
        <f>'Capacity charges'!L279</f>
        <v>0</v>
      </c>
      <c r="M42" s="437">
        <f>'Capacity charges'!M279</f>
        <v>0</v>
      </c>
      <c r="N42" s="437">
        <f>'Capacity charges'!N279</f>
        <v>0</v>
      </c>
      <c r="O42" s="437">
        <f>'Capacity charges'!O279</f>
        <v>0</v>
      </c>
      <c r="P42" s="437">
        <f>'Capacity charges'!P279</f>
        <v>0</v>
      </c>
      <c r="Q42" s="437">
        <f>'Capacity charges'!Q279</f>
        <v>0</v>
      </c>
      <c r="R42" s="437">
        <f>'Capacity charges'!R279</f>
        <v>0</v>
      </c>
      <c r="S42" s="437">
        <f>'Capacity charges'!S279</f>
        <v>0</v>
      </c>
      <c r="T42" s="437">
        <f>'Capacity charges'!T279</f>
        <v>0</v>
      </c>
      <c r="U42" s="437">
        <f>'Capacity charges'!U279</f>
        <v>0</v>
      </c>
      <c r="V42" s="437">
        <f>'Capacity charges'!V279</f>
        <v>0</v>
      </c>
      <c r="W42" s="437">
        <f>'Capacity charges'!W279</f>
        <v>0</v>
      </c>
      <c r="X42" s="437">
        <f>'Capacity charges'!X279</f>
        <v>0</v>
      </c>
      <c r="Y42" s="437">
        <f>'Capacity charges'!Y279</f>
        <v>0</v>
      </c>
      <c r="Z42" s="437">
        <f>'Capacity charges'!Z279</f>
        <v>0</v>
      </c>
      <c r="AA42" s="437">
        <f>'Capacity charges'!AA279</f>
        <v>0</v>
      </c>
      <c r="AB42" s="437">
        <f>'Capacity charges'!AB279</f>
        <v>0</v>
      </c>
      <c r="AC42" s="437">
        <f>'Capacity charges'!AC279</f>
        <v>0</v>
      </c>
      <c r="AD42" s="437">
        <f>'Capacity charges'!AD279</f>
        <v>0</v>
      </c>
      <c r="AE42" s="437">
        <f>'Capacity charges'!AE279</f>
        <v>0</v>
      </c>
      <c r="AF42" s="437">
        <f>'Capacity charges'!AF279</f>
        <v>0</v>
      </c>
      <c r="AG42" s="437">
        <f>'Capacity charges'!AG279</f>
        <v>0</v>
      </c>
      <c r="AH42" s="437">
        <f>'Capacity charges'!AH279</f>
        <v>0</v>
      </c>
      <c r="AI42" s="437">
        <f>'Capacity charges'!AI279</f>
        <v>0</v>
      </c>
      <c r="AJ42" s="437">
        <f>'Capacity charges'!AJ279</f>
        <v>0</v>
      </c>
      <c r="AK42" s="437">
        <f>'Capacity charges'!AK279</f>
        <v>0</v>
      </c>
      <c r="AL42" s="437">
        <f>'Capacity charges'!AL279</f>
        <v>0</v>
      </c>
      <c r="AM42" s="437">
        <f>'Capacity charges'!AM279</f>
        <v>0</v>
      </c>
      <c r="AN42" s="437">
        <f>'Capacity charges'!AN279</f>
        <v>0</v>
      </c>
      <c r="AO42" s="437">
        <f>'Capacity charges'!AO279</f>
        <v>0</v>
      </c>
      <c r="AP42" s="437">
        <f>'Capacity charges'!AP279</f>
        <v>0</v>
      </c>
    </row>
    <row r="43" spans="3:42" x14ac:dyDescent="0.25">
      <c r="C43" s="89"/>
      <c r="F43" s="66" t="s">
        <v>46</v>
      </c>
      <c r="G43" s="90" t="s">
        <v>381</v>
      </c>
      <c r="H43" s="90"/>
      <c r="I43" s="90"/>
      <c r="J43" s="437">
        <f>'Capacity charges'!J280</f>
        <v>0</v>
      </c>
      <c r="K43" s="437">
        <f>'Capacity charges'!K280</f>
        <v>0</v>
      </c>
      <c r="L43" s="437">
        <f>'Capacity charges'!L280</f>
        <v>0</v>
      </c>
      <c r="M43" s="437">
        <f>'Capacity charges'!M280</f>
        <v>0</v>
      </c>
      <c r="N43" s="437">
        <f>'Capacity charges'!N280</f>
        <v>0</v>
      </c>
      <c r="O43" s="437">
        <f>'Capacity charges'!O280</f>
        <v>0</v>
      </c>
      <c r="P43" s="437">
        <f>'Capacity charges'!P280</f>
        <v>0</v>
      </c>
      <c r="Q43" s="437">
        <f>'Capacity charges'!Q280</f>
        <v>0</v>
      </c>
      <c r="R43" s="437">
        <f>'Capacity charges'!R280</f>
        <v>0.13561431494876042</v>
      </c>
      <c r="S43" s="437">
        <f>'Capacity charges'!S280</f>
        <v>0</v>
      </c>
      <c r="T43" s="437">
        <f>'Capacity charges'!T280</f>
        <v>0</v>
      </c>
      <c r="U43" s="437">
        <f>'Capacity charges'!U280</f>
        <v>0</v>
      </c>
      <c r="V43" s="437">
        <f>'Capacity charges'!V280</f>
        <v>0</v>
      </c>
      <c r="W43" s="437">
        <f>'Capacity charges'!W280</f>
        <v>0</v>
      </c>
      <c r="X43" s="437">
        <f>'Capacity charges'!X280</f>
        <v>0</v>
      </c>
      <c r="Y43" s="437">
        <f>'Capacity charges'!Y280</f>
        <v>0</v>
      </c>
      <c r="Z43" s="437">
        <f>'Capacity charges'!Z280</f>
        <v>0</v>
      </c>
      <c r="AA43" s="437">
        <f>'Capacity charges'!AA280</f>
        <v>0</v>
      </c>
      <c r="AB43" s="437">
        <f>'Capacity charges'!AB280</f>
        <v>0</v>
      </c>
      <c r="AC43" s="437">
        <f>'Capacity charges'!AC280</f>
        <v>0</v>
      </c>
      <c r="AD43" s="437">
        <f>'Capacity charges'!AD280</f>
        <v>0</v>
      </c>
      <c r="AE43" s="437">
        <f>'Capacity charges'!AE280</f>
        <v>0</v>
      </c>
      <c r="AF43" s="437">
        <f>'Capacity charges'!AF280</f>
        <v>0</v>
      </c>
      <c r="AG43" s="437">
        <f>'Capacity charges'!AG280</f>
        <v>0</v>
      </c>
      <c r="AH43" s="437">
        <f>'Capacity charges'!AH280</f>
        <v>0</v>
      </c>
      <c r="AI43" s="437">
        <f>'Capacity charges'!AI280</f>
        <v>0</v>
      </c>
      <c r="AJ43" s="437">
        <f>'Capacity charges'!AJ280</f>
        <v>0</v>
      </c>
      <c r="AK43" s="437">
        <f>'Capacity charges'!AK280</f>
        <v>0</v>
      </c>
      <c r="AL43" s="437">
        <f>'Capacity charges'!AL280</f>
        <v>0</v>
      </c>
      <c r="AM43" s="437">
        <f>'Capacity charges'!AM280</f>
        <v>0</v>
      </c>
      <c r="AN43" s="437">
        <f>'Capacity charges'!AN280</f>
        <v>0</v>
      </c>
      <c r="AO43" s="437">
        <f>'Capacity charges'!AO280</f>
        <v>0</v>
      </c>
      <c r="AP43" s="437">
        <f>'Capacity charges'!AP280</f>
        <v>0</v>
      </c>
    </row>
    <row r="44" spans="3:42" x14ac:dyDescent="0.25">
      <c r="C44" s="89"/>
      <c r="F44" s="66" t="s">
        <v>47</v>
      </c>
      <c r="G44" s="90" t="s">
        <v>381</v>
      </c>
      <c r="H44" s="90"/>
      <c r="I44" s="90"/>
      <c r="J44" s="437">
        <f>'Capacity charges'!J281</f>
        <v>0</v>
      </c>
      <c r="K44" s="437">
        <f>'Capacity charges'!K281</f>
        <v>0</v>
      </c>
      <c r="L44" s="437">
        <f>'Capacity charges'!L281</f>
        <v>0</v>
      </c>
      <c r="M44" s="437">
        <f>'Capacity charges'!M281</f>
        <v>0</v>
      </c>
      <c r="N44" s="437">
        <f>'Capacity charges'!N281</f>
        <v>0</v>
      </c>
      <c r="O44" s="437">
        <f>'Capacity charges'!O281</f>
        <v>0</v>
      </c>
      <c r="P44" s="437">
        <f>'Capacity charges'!P281</f>
        <v>0</v>
      </c>
      <c r="Q44" s="437">
        <f>'Capacity charges'!Q281</f>
        <v>0</v>
      </c>
      <c r="R44" s="437">
        <f>'Capacity charges'!R281</f>
        <v>0.51647588873623829</v>
      </c>
      <c r="S44" s="437">
        <f>'Capacity charges'!S281</f>
        <v>0</v>
      </c>
      <c r="T44" s="437">
        <f>'Capacity charges'!T281</f>
        <v>0</v>
      </c>
      <c r="U44" s="437">
        <f>'Capacity charges'!U281</f>
        <v>0</v>
      </c>
      <c r="V44" s="437">
        <f>'Capacity charges'!V281</f>
        <v>0</v>
      </c>
      <c r="W44" s="437">
        <f>'Capacity charges'!W281</f>
        <v>0</v>
      </c>
      <c r="X44" s="437">
        <f>'Capacity charges'!X281</f>
        <v>0</v>
      </c>
      <c r="Y44" s="437">
        <f>'Capacity charges'!Y281</f>
        <v>0</v>
      </c>
      <c r="Z44" s="437">
        <f>'Capacity charges'!Z281</f>
        <v>0</v>
      </c>
      <c r="AA44" s="437">
        <f>'Capacity charges'!AA281</f>
        <v>0</v>
      </c>
      <c r="AB44" s="437">
        <f>'Capacity charges'!AB281</f>
        <v>0</v>
      </c>
      <c r="AC44" s="437">
        <f>'Capacity charges'!AC281</f>
        <v>0</v>
      </c>
      <c r="AD44" s="437">
        <f>'Capacity charges'!AD281</f>
        <v>0</v>
      </c>
      <c r="AE44" s="437">
        <f>'Capacity charges'!AE281</f>
        <v>0</v>
      </c>
      <c r="AF44" s="437">
        <f>'Capacity charges'!AF281</f>
        <v>0</v>
      </c>
      <c r="AG44" s="437">
        <f>'Capacity charges'!AG281</f>
        <v>0</v>
      </c>
      <c r="AH44" s="437">
        <f>'Capacity charges'!AH281</f>
        <v>0</v>
      </c>
      <c r="AI44" s="437">
        <f>'Capacity charges'!AI281</f>
        <v>0</v>
      </c>
      <c r="AJ44" s="437">
        <f>'Capacity charges'!AJ281</f>
        <v>0</v>
      </c>
      <c r="AK44" s="437">
        <f>'Capacity charges'!AK281</f>
        <v>0</v>
      </c>
      <c r="AL44" s="437">
        <f>'Capacity charges'!AL281</f>
        <v>0</v>
      </c>
      <c r="AM44" s="437">
        <f>'Capacity charges'!AM281</f>
        <v>0</v>
      </c>
      <c r="AN44" s="437">
        <f>'Capacity charges'!AN281</f>
        <v>0</v>
      </c>
      <c r="AO44" s="437">
        <f>'Capacity charges'!AO281</f>
        <v>0</v>
      </c>
      <c r="AP44" s="437">
        <f>'Capacity charges'!AP281</f>
        <v>0</v>
      </c>
    </row>
    <row r="45" spans="3:42" x14ac:dyDescent="0.25">
      <c r="C45" s="89"/>
      <c r="F45" s="66" t="s">
        <v>51</v>
      </c>
      <c r="G45" s="90" t="s">
        <v>381</v>
      </c>
      <c r="H45" s="90"/>
      <c r="I45" s="90"/>
      <c r="J45" s="437">
        <f>'Capacity charges'!J282</f>
        <v>0</v>
      </c>
      <c r="K45" s="437">
        <f>'Capacity charges'!K282</f>
        <v>0</v>
      </c>
      <c r="L45" s="437">
        <f>'Capacity charges'!L282</f>
        <v>0</v>
      </c>
      <c r="M45" s="437">
        <f>'Capacity charges'!M282</f>
        <v>0</v>
      </c>
      <c r="N45" s="437">
        <f>'Capacity charges'!N282</f>
        <v>0</v>
      </c>
      <c r="O45" s="437">
        <f>'Capacity charges'!O282</f>
        <v>0</v>
      </c>
      <c r="P45" s="437">
        <f>'Capacity charges'!P282</f>
        <v>0</v>
      </c>
      <c r="Q45" s="437">
        <f>'Capacity charges'!Q282</f>
        <v>0</v>
      </c>
      <c r="R45" s="437">
        <f>'Capacity charges'!R282</f>
        <v>0</v>
      </c>
      <c r="S45" s="437">
        <f>'Capacity charges'!S282</f>
        <v>0</v>
      </c>
      <c r="T45" s="437">
        <f>'Capacity charges'!T282</f>
        <v>0</v>
      </c>
      <c r="U45" s="437">
        <f>'Capacity charges'!U282</f>
        <v>0</v>
      </c>
      <c r="V45" s="437">
        <f>'Capacity charges'!V282</f>
        <v>0</v>
      </c>
      <c r="W45" s="437">
        <f>'Capacity charges'!W282</f>
        <v>0</v>
      </c>
      <c r="X45" s="437">
        <f>'Capacity charges'!X282</f>
        <v>0</v>
      </c>
      <c r="Y45" s="437">
        <f>'Capacity charges'!Y282</f>
        <v>0</v>
      </c>
      <c r="Z45" s="437">
        <f>'Capacity charges'!Z282</f>
        <v>0</v>
      </c>
      <c r="AA45" s="437">
        <f>'Capacity charges'!AA282</f>
        <v>0</v>
      </c>
      <c r="AB45" s="437">
        <f>'Capacity charges'!AB282</f>
        <v>0</v>
      </c>
      <c r="AC45" s="437">
        <f>'Capacity charges'!AC282</f>
        <v>0</v>
      </c>
      <c r="AD45" s="437">
        <f>'Capacity charges'!AD282</f>
        <v>0</v>
      </c>
      <c r="AE45" s="437">
        <f>'Capacity charges'!AE282</f>
        <v>0</v>
      </c>
      <c r="AF45" s="437">
        <f>'Capacity charges'!AF282</f>
        <v>0</v>
      </c>
      <c r="AG45" s="437">
        <f>'Capacity charges'!AG282</f>
        <v>0</v>
      </c>
      <c r="AH45" s="437">
        <f>'Capacity charges'!AH282</f>
        <v>0</v>
      </c>
      <c r="AI45" s="437">
        <f>'Capacity charges'!AI282</f>
        <v>0</v>
      </c>
      <c r="AJ45" s="437">
        <f>'Capacity charges'!AJ282</f>
        <v>0</v>
      </c>
      <c r="AK45" s="437">
        <f>'Capacity charges'!AK282</f>
        <v>0</v>
      </c>
      <c r="AL45" s="437">
        <f>'Capacity charges'!AL282</f>
        <v>0</v>
      </c>
      <c r="AM45" s="437">
        <f>'Capacity charges'!AM282</f>
        <v>0</v>
      </c>
      <c r="AN45" s="437">
        <f>'Capacity charges'!AN282</f>
        <v>0</v>
      </c>
      <c r="AO45" s="437">
        <f>'Capacity charges'!AO282</f>
        <v>0</v>
      </c>
      <c r="AP45" s="437">
        <f>'Capacity charges'!AP282</f>
        <v>0</v>
      </c>
    </row>
    <row r="46" spans="3:42" x14ac:dyDescent="0.25">
      <c r="C46" s="89"/>
      <c r="F46" s="66" t="s">
        <v>48</v>
      </c>
      <c r="G46" s="90" t="s">
        <v>381</v>
      </c>
      <c r="H46" s="90"/>
      <c r="I46" s="90"/>
      <c r="J46" s="437">
        <f>'Capacity charges'!J283</f>
        <v>0</v>
      </c>
      <c r="K46" s="437">
        <f>'Capacity charges'!K283</f>
        <v>0</v>
      </c>
      <c r="L46" s="437">
        <f>'Capacity charges'!L283</f>
        <v>0</v>
      </c>
      <c r="M46" s="437">
        <f>'Capacity charges'!M283</f>
        <v>0</v>
      </c>
      <c r="N46" s="437">
        <f>'Capacity charges'!N283</f>
        <v>0</v>
      </c>
      <c r="O46" s="437">
        <f>'Capacity charges'!O283</f>
        <v>0</v>
      </c>
      <c r="P46" s="437">
        <f>'Capacity charges'!P283</f>
        <v>0</v>
      </c>
      <c r="Q46" s="437">
        <f>'Capacity charges'!Q283</f>
        <v>0</v>
      </c>
      <c r="R46" s="437">
        <f>'Capacity charges'!R283</f>
        <v>1.2325909717232404</v>
      </c>
      <c r="S46" s="437">
        <f>'Capacity charges'!S283</f>
        <v>0</v>
      </c>
      <c r="T46" s="437">
        <f>'Capacity charges'!T283</f>
        <v>0</v>
      </c>
      <c r="U46" s="437">
        <f>'Capacity charges'!U283</f>
        <v>0</v>
      </c>
      <c r="V46" s="437">
        <f>'Capacity charges'!V283</f>
        <v>0</v>
      </c>
      <c r="W46" s="437">
        <f>'Capacity charges'!W283</f>
        <v>0</v>
      </c>
      <c r="X46" s="437">
        <f>'Capacity charges'!X283</f>
        <v>0</v>
      </c>
      <c r="Y46" s="437">
        <f>'Capacity charges'!Y283</f>
        <v>0</v>
      </c>
      <c r="Z46" s="437">
        <f>'Capacity charges'!Z283</f>
        <v>0</v>
      </c>
      <c r="AA46" s="437">
        <f>'Capacity charges'!AA283</f>
        <v>0</v>
      </c>
      <c r="AB46" s="437">
        <f>'Capacity charges'!AB283</f>
        <v>0</v>
      </c>
      <c r="AC46" s="437">
        <f>'Capacity charges'!AC283</f>
        <v>0</v>
      </c>
      <c r="AD46" s="437">
        <f>'Capacity charges'!AD283</f>
        <v>0</v>
      </c>
      <c r="AE46" s="437">
        <f>'Capacity charges'!AE283</f>
        <v>0</v>
      </c>
      <c r="AF46" s="437">
        <f>'Capacity charges'!AF283</f>
        <v>0</v>
      </c>
      <c r="AG46" s="437">
        <f>'Capacity charges'!AG283</f>
        <v>0</v>
      </c>
      <c r="AH46" s="437">
        <f>'Capacity charges'!AH283</f>
        <v>0</v>
      </c>
      <c r="AI46" s="437">
        <f>'Capacity charges'!AI283</f>
        <v>0</v>
      </c>
      <c r="AJ46" s="437">
        <f>'Capacity charges'!AJ283</f>
        <v>0</v>
      </c>
      <c r="AK46" s="437">
        <f>'Capacity charges'!AK283</f>
        <v>0</v>
      </c>
      <c r="AL46" s="437">
        <f>'Capacity charges'!AL283</f>
        <v>0</v>
      </c>
      <c r="AM46" s="437">
        <f>'Capacity charges'!AM283</f>
        <v>0</v>
      </c>
      <c r="AN46" s="437">
        <f>'Capacity charges'!AN283</f>
        <v>0</v>
      </c>
      <c r="AO46" s="437">
        <f>'Capacity charges'!AO283</f>
        <v>0</v>
      </c>
      <c r="AP46" s="437">
        <f>'Capacity charges'!AP283</f>
        <v>0</v>
      </c>
    </row>
    <row r="47" spans="3:42" x14ac:dyDescent="0.25">
      <c r="C47" s="89"/>
      <c r="F47" s="66" t="s">
        <v>49</v>
      </c>
      <c r="G47" s="90" t="s">
        <v>381</v>
      </c>
      <c r="H47" s="90"/>
      <c r="I47" s="90"/>
      <c r="J47" s="437">
        <f>'Capacity charges'!J284</f>
        <v>0</v>
      </c>
      <c r="K47" s="437">
        <f>'Capacity charges'!K284</f>
        <v>0</v>
      </c>
      <c r="L47" s="437">
        <f>'Capacity charges'!L284</f>
        <v>0</v>
      </c>
      <c r="M47" s="437">
        <f>'Capacity charges'!M284</f>
        <v>0</v>
      </c>
      <c r="N47" s="437">
        <f>'Capacity charges'!N284</f>
        <v>0</v>
      </c>
      <c r="O47" s="437">
        <f>'Capacity charges'!O284</f>
        <v>0</v>
      </c>
      <c r="P47" s="437">
        <f>'Capacity charges'!P284</f>
        <v>0</v>
      </c>
      <c r="Q47" s="437">
        <f>'Capacity charges'!Q284</f>
        <v>0.41004785036794505</v>
      </c>
      <c r="R47" s="437">
        <f>'Capacity charges'!R284</f>
        <v>0</v>
      </c>
      <c r="S47" s="437">
        <f>'Capacity charges'!S284</f>
        <v>0</v>
      </c>
      <c r="T47" s="437">
        <f>'Capacity charges'!T284</f>
        <v>0</v>
      </c>
      <c r="U47" s="437">
        <f>'Capacity charges'!U284</f>
        <v>0</v>
      </c>
      <c r="V47" s="437">
        <f>'Capacity charges'!V284</f>
        <v>0</v>
      </c>
      <c r="W47" s="437">
        <f>'Capacity charges'!W284</f>
        <v>0</v>
      </c>
      <c r="X47" s="437">
        <f>'Capacity charges'!X284</f>
        <v>0</v>
      </c>
      <c r="Y47" s="437">
        <f>'Capacity charges'!Y284</f>
        <v>0</v>
      </c>
      <c r="Z47" s="437">
        <f>'Capacity charges'!Z284</f>
        <v>0</v>
      </c>
      <c r="AA47" s="437">
        <f>'Capacity charges'!AA284</f>
        <v>0</v>
      </c>
      <c r="AB47" s="437">
        <f>'Capacity charges'!AB284</f>
        <v>0</v>
      </c>
      <c r="AC47" s="437">
        <f>'Capacity charges'!AC284</f>
        <v>0</v>
      </c>
      <c r="AD47" s="437">
        <f>'Capacity charges'!AD284</f>
        <v>0</v>
      </c>
      <c r="AE47" s="437">
        <f>'Capacity charges'!AE284</f>
        <v>0</v>
      </c>
      <c r="AF47" s="437">
        <f>'Capacity charges'!AF284</f>
        <v>0</v>
      </c>
      <c r="AG47" s="437">
        <f>'Capacity charges'!AG284</f>
        <v>0</v>
      </c>
      <c r="AH47" s="437">
        <f>'Capacity charges'!AH284</f>
        <v>0</v>
      </c>
      <c r="AI47" s="437">
        <f>'Capacity charges'!AI284</f>
        <v>0</v>
      </c>
      <c r="AJ47" s="437">
        <f>'Capacity charges'!AJ284</f>
        <v>0</v>
      </c>
      <c r="AK47" s="437">
        <f>'Capacity charges'!AK284</f>
        <v>0</v>
      </c>
      <c r="AL47" s="437">
        <f>'Capacity charges'!AL284</f>
        <v>0</v>
      </c>
      <c r="AM47" s="437">
        <f>'Capacity charges'!AM284</f>
        <v>0</v>
      </c>
      <c r="AN47" s="437">
        <f>'Capacity charges'!AN284</f>
        <v>0</v>
      </c>
      <c r="AO47" s="437">
        <f>'Capacity charges'!AO284</f>
        <v>0</v>
      </c>
      <c r="AP47" s="437">
        <f>'Capacity charges'!AP284</f>
        <v>0</v>
      </c>
    </row>
    <row r="48" spans="3:42" x14ac:dyDescent="0.25">
      <c r="C48" s="89"/>
      <c r="F48" s="66" t="s">
        <v>50</v>
      </c>
      <c r="G48" s="90" t="s">
        <v>381</v>
      </c>
      <c r="H48" s="90"/>
      <c r="I48" s="90"/>
      <c r="J48" s="437">
        <f>'Capacity charges'!J285</f>
        <v>0.63154079064163926</v>
      </c>
      <c r="K48" s="437">
        <f>'Capacity charges'!K285</f>
        <v>0.63154079064163926</v>
      </c>
      <c r="L48" s="437">
        <f>'Capacity charges'!L285</f>
        <v>0</v>
      </c>
      <c r="M48" s="437">
        <f>'Capacity charges'!M285</f>
        <v>0.63154079064163926</v>
      </c>
      <c r="N48" s="437">
        <f>'Capacity charges'!N285</f>
        <v>0.63154079064163926</v>
      </c>
      <c r="O48" s="437">
        <f>'Capacity charges'!O285</f>
        <v>0</v>
      </c>
      <c r="P48" s="437">
        <f>'Capacity charges'!P285</f>
        <v>0.63154079064163926</v>
      </c>
      <c r="Q48" s="437">
        <f>'Capacity charges'!Q285</f>
        <v>0</v>
      </c>
      <c r="R48" s="437">
        <f>'Capacity charges'!R285</f>
        <v>0</v>
      </c>
      <c r="S48" s="437">
        <f>'Capacity charges'!S285</f>
        <v>0.63154079064163926</v>
      </c>
      <c r="T48" s="437">
        <f>'Capacity charges'!T285</f>
        <v>0.63154079064163926</v>
      </c>
      <c r="U48" s="437">
        <f>'Capacity charges'!U285</f>
        <v>0</v>
      </c>
      <c r="V48" s="437">
        <f>'Capacity charges'!V285</f>
        <v>0</v>
      </c>
      <c r="W48" s="437">
        <f>'Capacity charges'!W285</f>
        <v>0</v>
      </c>
      <c r="X48" s="437">
        <f>'Capacity charges'!X285</f>
        <v>0</v>
      </c>
      <c r="Y48" s="437">
        <f>'Capacity charges'!Y285</f>
        <v>0</v>
      </c>
      <c r="Z48" s="437">
        <f>'Capacity charges'!Z285</f>
        <v>0</v>
      </c>
      <c r="AA48" s="437">
        <f>'Capacity charges'!AA285</f>
        <v>0</v>
      </c>
      <c r="AB48" s="437">
        <f>'Capacity charges'!AB285</f>
        <v>0</v>
      </c>
      <c r="AC48" s="437">
        <f>'Capacity charges'!AC285</f>
        <v>0</v>
      </c>
      <c r="AD48" s="437">
        <f>'Capacity charges'!AD285</f>
        <v>0</v>
      </c>
      <c r="AE48" s="437">
        <f>'Capacity charges'!AE285</f>
        <v>0</v>
      </c>
      <c r="AF48" s="437">
        <f>'Capacity charges'!AF285</f>
        <v>0</v>
      </c>
      <c r="AG48" s="437">
        <f>'Capacity charges'!AG285</f>
        <v>0</v>
      </c>
      <c r="AH48" s="437">
        <f>'Capacity charges'!AH285</f>
        <v>0</v>
      </c>
      <c r="AI48" s="437">
        <f>'Capacity charges'!AI285</f>
        <v>0</v>
      </c>
      <c r="AJ48" s="437">
        <f>'Capacity charges'!AJ285</f>
        <v>0</v>
      </c>
      <c r="AK48" s="437">
        <f>'Capacity charges'!AK285</f>
        <v>0</v>
      </c>
      <c r="AL48" s="437">
        <f>'Capacity charges'!AL285</f>
        <v>0</v>
      </c>
      <c r="AM48" s="437">
        <f>'Capacity charges'!AM285</f>
        <v>0</v>
      </c>
      <c r="AN48" s="437">
        <f>'Capacity charges'!AN285</f>
        <v>0</v>
      </c>
      <c r="AO48" s="437">
        <f>'Capacity charges'!AO285</f>
        <v>0</v>
      </c>
      <c r="AP48" s="437">
        <f>'Capacity charges'!AP285</f>
        <v>0</v>
      </c>
    </row>
    <row r="49" spans="3:44" x14ac:dyDescent="0.25">
      <c r="C49" s="89"/>
      <c r="F49" s="66" t="s">
        <v>141</v>
      </c>
      <c r="G49" s="90" t="s">
        <v>381</v>
      </c>
      <c r="H49" s="90"/>
      <c r="I49" s="90"/>
      <c r="J49" s="403"/>
      <c r="K49" s="403"/>
      <c r="L49" s="403"/>
      <c r="M49" s="403"/>
      <c r="N49" s="403"/>
      <c r="O49" s="403"/>
      <c r="P49" s="403"/>
      <c r="Q49" s="403"/>
      <c r="R49" s="403"/>
      <c r="S49" s="403"/>
      <c r="T49" s="403"/>
      <c r="U49" s="403"/>
      <c r="V49" s="403"/>
      <c r="W49" s="403"/>
      <c r="X49" s="403"/>
      <c r="Y49" s="403"/>
      <c r="Z49" s="403"/>
      <c r="AA49" s="403"/>
      <c r="AB49" s="403"/>
      <c r="AC49" s="403"/>
      <c r="AD49" s="403"/>
      <c r="AE49" s="403"/>
      <c r="AF49" s="403"/>
      <c r="AG49" s="403"/>
      <c r="AH49" s="403"/>
      <c r="AI49" s="403"/>
      <c r="AJ49" s="403"/>
      <c r="AK49" s="403"/>
      <c r="AL49" s="403"/>
      <c r="AM49" s="403"/>
      <c r="AN49" s="403"/>
      <c r="AO49" s="403"/>
      <c r="AP49" s="403"/>
    </row>
    <row r="50" spans="3:44" x14ac:dyDescent="0.25">
      <c r="C50" s="89"/>
      <c r="F50" s="67" t="s">
        <v>140</v>
      </c>
      <c r="G50" s="16" t="s">
        <v>381</v>
      </c>
      <c r="H50" s="16"/>
      <c r="I50" s="16"/>
      <c r="J50" s="404"/>
      <c r="K50" s="404"/>
      <c r="L50" s="404"/>
      <c r="M50" s="404"/>
      <c r="N50" s="404"/>
      <c r="O50" s="404"/>
      <c r="P50" s="404"/>
      <c r="Q50" s="404"/>
      <c r="R50" s="404"/>
      <c r="S50" s="404"/>
      <c r="T50" s="404"/>
      <c r="U50" s="404"/>
      <c r="V50" s="404"/>
      <c r="W50" s="404"/>
      <c r="X50" s="404"/>
      <c r="Y50" s="404"/>
      <c r="Z50" s="404"/>
      <c r="AA50" s="404"/>
      <c r="AB50" s="404"/>
      <c r="AC50" s="404"/>
      <c r="AD50" s="404"/>
      <c r="AE50" s="404"/>
      <c r="AF50" s="404"/>
      <c r="AG50" s="404"/>
      <c r="AH50" s="404"/>
      <c r="AI50" s="404"/>
      <c r="AJ50" s="404"/>
      <c r="AK50" s="404"/>
      <c r="AL50" s="404"/>
      <c r="AM50" s="404"/>
      <c r="AN50" s="404"/>
      <c r="AO50" s="404"/>
      <c r="AP50" s="404"/>
    </row>
    <row r="51" spans="3:44" x14ac:dyDescent="0.25">
      <c r="C51" s="89"/>
      <c r="J51" s="416"/>
      <c r="K51" s="416"/>
      <c r="L51" s="416"/>
      <c r="M51" s="416"/>
      <c r="N51" s="416"/>
      <c r="O51" s="416"/>
      <c r="P51" s="416"/>
      <c r="Q51" s="416"/>
      <c r="R51" s="416"/>
      <c r="S51" s="416"/>
      <c r="T51" s="416"/>
      <c r="U51" s="416"/>
      <c r="V51" s="416"/>
      <c r="W51" s="416"/>
      <c r="X51" s="416"/>
      <c r="Y51" s="416"/>
      <c r="Z51" s="416"/>
      <c r="AA51" s="416"/>
      <c r="AB51" s="416"/>
      <c r="AC51" s="416"/>
      <c r="AD51" s="416"/>
      <c r="AE51" s="416"/>
      <c r="AF51" s="416"/>
      <c r="AG51" s="416"/>
      <c r="AH51" s="416"/>
      <c r="AI51" s="416"/>
      <c r="AJ51" s="416"/>
      <c r="AK51" s="416"/>
      <c r="AL51" s="416"/>
      <c r="AM51" s="416"/>
      <c r="AN51" s="416"/>
      <c r="AO51" s="416"/>
      <c r="AP51" s="416"/>
    </row>
    <row r="52" spans="3:44" s="160" customFormat="1" x14ac:dyDescent="0.25">
      <c r="C52" s="22" t="str">
        <f ca="1">INDEX('Version control'!$H$34:$H$59,MATCH($A$1,'Version control'!$F$34:$F$59,0),1)&amp;"-C: Service model costs allocated to fixed charges"</f>
        <v>Section 517-C: Service model costs allocated to fixed charges</v>
      </c>
      <c r="D52" s="22"/>
      <c r="E52" s="22"/>
      <c r="F52" s="22"/>
      <c r="G52" s="22"/>
      <c r="H52" s="22"/>
      <c r="I52" s="22"/>
      <c r="J52" s="406"/>
      <c r="K52" s="406"/>
      <c r="L52" s="406"/>
      <c r="M52" s="406"/>
      <c r="N52" s="406"/>
      <c r="O52" s="406"/>
      <c r="P52" s="406"/>
      <c r="Q52" s="406"/>
      <c r="R52" s="406"/>
      <c r="S52" s="406"/>
      <c r="T52" s="406"/>
      <c r="U52" s="406"/>
      <c r="V52" s="406"/>
      <c r="W52" s="406"/>
      <c r="X52" s="406"/>
      <c r="Y52" s="406"/>
      <c r="Z52" s="406"/>
      <c r="AA52" s="406"/>
      <c r="AB52" s="406"/>
      <c r="AC52" s="406"/>
      <c r="AD52" s="406"/>
      <c r="AE52" s="406"/>
      <c r="AF52" s="406"/>
      <c r="AG52" s="406"/>
      <c r="AH52" s="406"/>
      <c r="AI52" s="406"/>
      <c r="AJ52" s="406"/>
      <c r="AK52" s="406"/>
      <c r="AL52" s="406"/>
      <c r="AM52" s="406"/>
      <c r="AN52" s="406"/>
      <c r="AO52" s="406"/>
      <c r="AP52" s="406"/>
      <c r="AQ52" s="22"/>
      <c r="AR52" s="22"/>
    </row>
    <row r="53" spans="3:44" s="131" customFormat="1" x14ac:dyDescent="0.25">
      <c r="E53" s="175"/>
    </row>
    <row r="54" spans="3:44" s="131" customFormat="1" x14ac:dyDescent="0.25">
      <c r="C54" s="144"/>
      <c r="E54" s="172" t="s">
        <v>133</v>
      </c>
      <c r="I54" s="131" t="s">
        <v>525</v>
      </c>
      <c r="J54" s="416"/>
      <c r="K54" s="416"/>
      <c r="L54" s="416"/>
      <c r="M54" s="416"/>
      <c r="N54" s="416"/>
      <c r="O54" s="416"/>
      <c r="P54" s="416"/>
      <c r="Q54" s="416"/>
      <c r="R54" s="416"/>
      <c r="S54" s="416"/>
      <c r="T54" s="416"/>
      <c r="U54" s="416"/>
      <c r="V54" s="416"/>
      <c r="W54" s="416"/>
      <c r="X54" s="416"/>
      <c r="Y54" s="416"/>
      <c r="Z54" s="416"/>
      <c r="AA54" s="416"/>
      <c r="AB54" s="416"/>
      <c r="AC54" s="416"/>
      <c r="AD54" s="416"/>
      <c r="AE54" s="416"/>
      <c r="AF54" s="416"/>
      <c r="AG54" s="416"/>
      <c r="AH54" s="416"/>
      <c r="AI54" s="416"/>
      <c r="AJ54" s="416"/>
      <c r="AK54" s="416"/>
      <c r="AL54" s="416"/>
      <c r="AM54" s="416"/>
      <c r="AN54" s="416"/>
      <c r="AO54" s="416"/>
      <c r="AP54" s="416"/>
      <c r="AR54" s="160" t="s">
        <v>1101</v>
      </c>
    </row>
    <row r="55" spans="3:44" s="131" customFormat="1" x14ac:dyDescent="0.25">
      <c r="C55" s="132"/>
      <c r="E55" s="175"/>
      <c r="F55" s="72" t="s">
        <v>141</v>
      </c>
      <c r="G55" s="137" t="s">
        <v>382</v>
      </c>
      <c r="H55" s="137"/>
      <c r="I55" s="137"/>
      <c r="J55" s="438">
        <f>'Service model charges'!J42</f>
        <v>2.4277879755725476</v>
      </c>
      <c r="K55" s="438">
        <f>'Service model charges'!K42</f>
        <v>2.4277879755725476</v>
      </c>
      <c r="L55" s="438">
        <f>'Service model charges'!L42</f>
        <v>0</v>
      </c>
      <c r="M55" s="438">
        <f>'Service model charges'!M42</f>
        <v>4.1746183054380426</v>
      </c>
      <c r="N55" s="438">
        <f>'Service model charges'!N42</f>
        <v>4.1746183054380426</v>
      </c>
      <c r="O55" s="438">
        <f>'Service model charges'!O42</f>
        <v>0</v>
      </c>
      <c r="P55" s="438">
        <f>'Service model charges'!P42</f>
        <v>16.019704784476133</v>
      </c>
      <c r="Q55" s="438">
        <f>'Service model charges'!Q42</f>
        <v>25.779541777058597</v>
      </c>
      <c r="R55" s="438">
        <f>'Service model charges'!R42</f>
        <v>0</v>
      </c>
      <c r="S55" s="438">
        <f>'Service model charges'!S42</f>
        <v>2.4277879755725476</v>
      </c>
      <c r="T55" s="438">
        <f>'Service model charges'!T42</f>
        <v>4.1746183054380426</v>
      </c>
      <c r="U55" s="438">
        <f>'Service model charges'!U42</f>
        <v>16.485812680056686</v>
      </c>
      <c r="V55" s="438">
        <f>'Service model charges'!V42</f>
        <v>25.779541777058597</v>
      </c>
      <c r="W55" s="438">
        <f>'Service model charges'!W42</f>
        <v>0</v>
      </c>
      <c r="X55" s="402"/>
      <c r="Y55" s="402"/>
      <c r="Z55" s="402"/>
      <c r="AA55" s="402"/>
      <c r="AB55" s="402"/>
      <c r="AC55" s="438">
        <f>'Service model charges'!AC42</f>
        <v>0</v>
      </c>
      <c r="AD55" s="438">
        <f>'Service model charges'!AD42</f>
        <v>0</v>
      </c>
      <c r="AE55" s="438">
        <f>'Service model charges'!AE42</f>
        <v>0</v>
      </c>
      <c r="AF55" s="438">
        <f>'Service model charges'!AF42</f>
        <v>0</v>
      </c>
      <c r="AG55" s="438">
        <f>'Service model charges'!AG42</f>
        <v>0</v>
      </c>
      <c r="AH55" s="438">
        <f>'Service model charges'!AH42</f>
        <v>0</v>
      </c>
      <c r="AI55" s="438">
        <f>'Service model charges'!AI42</f>
        <v>0</v>
      </c>
      <c r="AJ55" s="438">
        <f>'Service model charges'!AJ42</f>
        <v>0</v>
      </c>
      <c r="AK55" s="438">
        <f>'Service model charges'!AK42</f>
        <v>0</v>
      </c>
      <c r="AL55" s="438">
        <f>'Service model charges'!AL42</f>
        <v>0</v>
      </c>
      <c r="AM55" s="438">
        <f>'Service model charges'!AM42</f>
        <v>0</v>
      </c>
      <c r="AN55" s="438">
        <f>'Service model charges'!AN42</f>
        <v>0</v>
      </c>
      <c r="AO55" s="438">
        <f>'Service model charges'!AO42</f>
        <v>0</v>
      </c>
      <c r="AP55" s="438">
        <f>'Service model charges'!AP42</f>
        <v>0</v>
      </c>
    </row>
    <row r="56" spans="3:44" s="131" customFormat="1" x14ac:dyDescent="0.25">
      <c r="C56" s="132"/>
      <c r="E56" s="175"/>
      <c r="F56" s="67" t="s">
        <v>140</v>
      </c>
      <c r="G56" s="140" t="s">
        <v>382</v>
      </c>
      <c r="H56" s="140"/>
      <c r="I56" s="140"/>
      <c r="J56" s="440">
        <f>'Service model charges'!J43</f>
        <v>0</v>
      </c>
      <c r="K56" s="440">
        <f>'Service model charges'!K43</f>
        <v>0</v>
      </c>
      <c r="L56" s="440">
        <f>'Service model charges'!L43</f>
        <v>0</v>
      </c>
      <c r="M56" s="440">
        <f>'Service model charges'!M43</f>
        <v>0</v>
      </c>
      <c r="N56" s="440">
        <f>'Service model charges'!N43</f>
        <v>0</v>
      </c>
      <c r="O56" s="440">
        <f>'Service model charges'!O43</f>
        <v>0</v>
      </c>
      <c r="P56" s="440">
        <f>'Service model charges'!P43</f>
        <v>0</v>
      </c>
      <c r="Q56" s="440">
        <f>'Service model charges'!Q43</f>
        <v>0</v>
      </c>
      <c r="R56" s="440">
        <f>'Service model charges'!R43</f>
        <v>147.36429719068178</v>
      </c>
      <c r="S56" s="440">
        <f>'Service model charges'!S43</f>
        <v>0</v>
      </c>
      <c r="T56" s="440">
        <f>'Service model charges'!T43</f>
        <v>0</v>
      </c>
      <c r="U56" s="440">
        <f>'Service model charges'!U43</f>
        <v>0</v>
      </c>
      <c r="V56" s="440">
        <f>'Service model charges'!V43</f>
        <v>0</v>
      </c>
      <c r="W56" s="440">
        <f>'Service model charges'!W43</f>
        <v>147.36429719068178</v>
      </c>
      <c r="X56" s="404"/>
      <c r="Y56" s="404"/>
      <c r="Z56" s="404"/>
      <c r="AA56" s="404"/>
      <c r="AB56" s="404"/>
      <c r="AC56" s="440">
        <f>'Service model charges'!AC43</f>
        <v>0</v>
      </c>
      <c r="AD56" s="440">
        <f>'Service model charges'!AD43</f>
        <v>0</v>
      </c>
      <c r="AE56" s="440">
        <f>'Service model charges'!AE43</f>
        <v>0</v>
      </c>
      <c r="AF56" s="440">
        <f>'Service model charges'!AF43</f>
        <v>0</v>
      </c>
      <c r="AG56" s="440">
        <f>'Service model charges'!AG43</f>
        <v>0</v>
      </c>
      <c r="AH56" s="440">
        <f>'Service model charges'!AH43</f>
        <v>0</v>
      </c>
      <c r="AI56" s="440">
        <f>'Service model charges'!AI43</f>
        <v>0</v>
      </c>
      <c r="AJ56" s="440">
        <f>'Service model charges'!AJ43</f>
        <v>0</v>
      </c>
      <c r="AK56" s="440">
        <f>'Service model charges'!AK43</f>
        <v>0</v>
      </c>
      <c r="AL56" s="440">
        <f>'Service model charges'!AL43</f>
        <v>0</v>
      </c>
      <c r="AM56" s="440">
        <f>'Service model charges'!AM43</f>
        <v>242.78017970172101</v>
      </c>
      <c r="AN56" s="440">
        <f>'Service model charges'!AN43</f>
        <v>242.78017970172101</v>
      </c>
      <c r="AO56" s="440">
        <f>'Service model charges'!AO43</f>
        <v>242.78017970172101</v>
      </c>
      <c r="AP56" s="440">
        <f>'Service model charges'!AP43</f>
        <v>242.78017970172101</v>
      </c>
    </row>
    <row r="57" spans="3:44" s="131" customFormat="1" x14ac:dyDescent="0.25">
      <c r="C57" s="132"/>
      <c r="E57" s="147"/>
      <c r="F57" s="175"/>
    </row>
    <row r="58" spans="3:44" s="160" customFormat="1" x14ac:dyDescent="0.25">
      <c r="C58" s="22" t="str">
        <f ca="1">INDEX('Version control'!$H$34:$H$59,MATCH($A$1,'Version control'!$F$34:$F$59,0),1)&amp;"-D: Flags"</f>
        <v>Section 517-D: Flags</v>
      </c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</row>
    <row r="59" spans="3:44" s="160" customFormat="1" x14ac:dyDescent="0.25">
      <c r="C59" s="172"/>
    </row>
    <row r="60" spans="3:44" x14ac:dyDescent="0.25">
      <c r="D60" s="152" t="s">
        <v>581</v>
      </c>
      <c r="E60" s="160"/>
    </row>
    <row r="61" spans="3:44" s="160" customFormat="1" x14ac:dyDescent="0.25">
      <c r="D61" s="152" t="s">
        <v>996</v>
      </c>
    </row>
    <row r="62" spans="3:44" s="160" customFormat="1" x14ac:dyDescent="0.25">
      <c r="D62" s="152"/>
    </row>
    <row r="63" spans="3:44" x14ac:dyDescent="0.25">
      <c r="E63" s="167" t="s">
        <v>458</v>
      </c>
      <c r="G63" s="167" t="s">
        <v>635</v>
      </c>
      <c r="H63" s="167"/>
      <c r="I63" s="167" t="s">
        <v>525</v>
      </c>
      <c r="J63" s="205">
        <f>'Fixed inputs'!J150</f>
        <v>1</v>
      </c>
      <c r="K63" s="205">
        <f>'Fixed inputs'!K150</f>
        <v>1</v>
      </c>
      <c r="L63" s="205">
        <f>'Fixed inputs'!L150</f>
        <v>0</v>
      </c>
      <c r="M63" s="205">
        <f>'Fixed inputs'!M150</f>
        <v>1</v>
      </c>
      <c r="N63" s="205">
        <f>'Fixed inputs'!N150</f>
        <v>1</v>
      </c>
      <c r="O63" s="205">
        <f>'Fixed inputs'!O150</f>
        <v>0</v>
      </c>
      <c r="P63" s="205">
        <f>'Fixed inputs'!P150</f>
        <v>2</v>
      </c>
      <c r="Q63" s="205">
        <f>'Fixed inputs'!Q150</f>
        <v>3</v>
      </c>
      <c r="R63" s="205">
        <f>'Fixed inputs'!R150</f>
        <v>4</v>
      </c>
      <c r="S63" s="205">
        <f>'Fixed inputs'!S150</f>
        <v>1</v>
      </c>
      <c r="T63" s="205">
        <f>'Fixed inputs'!T150</f>
        <v>1</v>
      </c>
      <c r="U63" s="205">
        <f>'Fixed inputs'!U150</f>
        <v>0</v>
      </c>
      <c r="V63" s="205">
        <f>'Fixed inputs'!V150</f>
        <v>0</v>
      </c>
      <c r="W63" s="205">
        <f>'Fixed inputs'!W150</f>
        <v>0</v>
      </c>
      <c r="X63" s="205">
        <f>'Fixed inputs'!X150</f>
        <v>0</v>
      </c>
      <c r="Y63" s="205">
        <f>'Fixed inputs'!Y150</f>
        <v>0</v>
      </c>
      <c r="Z63" s="205">
        <f>'Fixed inputs'!Z150</f>
        <v>0</v>
      </c>
      <c r="AA63" s="205">
        <f>'Fixed inputs'!AA150</f>
        <v>0</v>
      </c>
      <c r="AB63" s="205">
        <f>'Fixed inputs'!AB150</f>
        <v>0</v>
      </c>
      <c r="AC63" s="205">
        <f>'Fixed inputs'!AC150</f>
        <v>0</v>
      </c>
      <c r="AD63" s="205">
        <f>'Fixed inputs'!AD150</f>
        <v>0</v>
      </c>
      <c r="AE63" s="205">
        <f>'Fixed inputs'!AE150</f>
        <v>0</v>
      </c>
      <c r="AF63" s="205">
        <f>'Fixed inputs'!AF150</f>
        <v>0</v>
      </c>
      <c r="AG63" s="205">
        <f>'Fixed inputs'!AG150</f>
        <v>0</v>
      </c>
      <c r="AH63" s="205">
        <f>'Fixed inputs'!AH150</f>
        <v>0</v>
      </c>
      <c r="AI63" s="205">
        <f>'Fixed inputs'!AI150</f>
        <v>0</v>
      </c>
      <c r="AJ63" s="205">
        <f>'Fixed inputs'!AJ150</f>
        <v>0</v>
      </c>
      <c r="AK63" s="205">
        <f>'Fixed inputs'!AK150</f>
        <v>0</v>
      </c>
      <c r="AL63" s="205">
        <f>'Fixed inputs'!AL150</f>
        <v>0</v>
      </c>
      <c r="AM63" s="205">
        <f>'Fixed inputs'!AM150</f>
        <v>0</v>
      </c>
      <c r="AN63" s="205">
        <f>'Fixed inputs'!AN150</f>
        <v>0</v>
      </c>
      <c r="AO63" s="205">
        <f>'Fixed inputs'!AO150</f>
        <v>0</v>
      </c>
      <c r="AP63" s="205">
        <f>'Fixed inputs'!AP150</f>
        <v>0</v>
      </c>
      <c r="AR63" s="160" t="s">
        <v>1102</v>
      </c>
    </row>
    <row r="64" spans="3:44" s="131" customFormat="1" x14ac:dyDescent="0.25">
      <c r="D64" s="147"/>
      <c r="E64" s="175"/>
    </row>
    <row r="65" spans="2:44" x14ac:dyDescent="0.25">
      <c r="B65" s="171" t="s">
        <v>584</v>
      </c>
      <c r="C65" s="171"/>
      <c r="D65" s="171"/>
      <c r="E65" s="171"/>
      <c r="F65" s="171"/>
      <c r="G65" s="171"/>
      <c r="H65" s="171"/>
      <c r="I65" s="171"/>
      <c r="J65" s="171"/>
      <c r="K65" s="171"/>
      <c r="L65" s="171"/>
      <c r="M65" s="171"/>
      <c r="N65" s="171"/>
      <c r="O65" s="171"/>
      <c r="P65" s="171"/>
      <c r="Q65" s="171"/>
      <c r="R65" s="171"/>
      <c r="S65" s="171"/>
      <c r="T65" s="171"/>
      <c r="U65" s="171"/>
      <c r="V65" s="171"/>
      <c r="W65" s="171"/>
      <c r="X65" s="171"/>
      <c r="Y65" s="171"/>
      <c r="Z65" s="171"/>
      <c r="AA65" s="171"/>
      <c r="AB65" s="171"/>
      <c r="AC65" s="171"/>
      <c r="AD65" s="171"/>
      <c r="AE65" s="171"/>
      <c r="AF65" s="171"/>
      <c r="AG65" s="171"/>
      <c r="AH65" s="171"/>
      <c r="AI65" s="171"/>
      <c r="AJ65" s="171"/>
      <c r="AK65" s="171"/>
      <c r="AL65" s="171"/>
      <c r="AM65" s="171"/>
      <c r="AN65" s="171"/>
      <c r="AO65" s="171"/>
      <c r="AP65" s="171"/>
      <c r="AQ65" s="171"/>
      <c r="AR65" s="171"/>
    </row>
    <row r="66" spans="2:44" s="131" customFormat="1" x14ac:dyDescent="0.25">
      <c r="D66" s="147"/>
      <c r="E66" s="175"/>
      <c r="J66" s="416"/>
      <c r="K66" s="416"/>
      <c r="L66" s="416"/>
      <c r="M66" s="416"/>
      <c r="N66" s="416"/>
      <c r="O66" s="416"/>
      <c r="P66" s="416"/>
      <c r="Q66" s="416"/>
      <c r="R66" s="416"/>
      <c r="S66" s="416"/>
      <c r="T66" s="416"/>
      <c r="U66" s="416"/>
      <c r="V66" s="416"/>
      <c r="W66" s="416"/>
      <c r="X66" s="416"/>
      <c r="Y66" s="416"/>
      <c r="Z66" s="416"/>
      <c r="AA66" s="416"/>
      <c r="AB66" s="416"/>
      <c r="AC66" s="416"/>
      <c r="AD66" s="416"/>
      <c r="AE66" s="416"/>
      <c r="AF66" s="416"/>
      <c r="AG66" s="416"/>
      <c r="AH66" s="416"/>
      <c r="AI66" s="416"/>
      <c r="AJ66" s="416"/>
      <c r="AK66" s="416"/>
      <c r="AL66" s="416"/>
      <c r="AM66" s="416"/>
      <c r="AN66" s="416"/>
      <c r="AO66" s="416"/>
      <c r="AP66" s="416"/>
    </row>
    <row r="67" spans="2:44" s="160" customFormat="1" x14ac:dyDescent="0.25">
      <c r="C67" s="22" t="str">
        <f ca="1">INDEX('Version control'!$H$34:$H$59,MATCH($A$1,'Version control'!$F$34:$F$59,0),1)&amp;"-E: Revenue allocated to fixed charges"</f>
        <v>Section 517-E: Revenue allocated to fixed charges</v>
      </c>
      <c r="D67" s="22"/>
      <c r="E67" s="22"/>
      <c r="F67" s="22"/>
      <c r="G67" s="22"/>
      <c r="H67" s="22"/>
      <c r="I67" s="22"/>
      <c r="J67" s="406"/>
      <c r="K67" s="406"/>
      <c r="L67" s="406"/>
      <c r="M67" s="406"/>
      <c r="N67" s="406"/>
      <c r="O67" s="406"/>
      <c r="P67" s="406"/>
      <c r="Q67" s="406"/>
      <c r="R67" s="406"/>
      <c r="S67" s="406"/>
      <c r="T67" s="406"/>
      <c r="U67" s="406"/>
      <c r="V67" s="406"/>
      <c r="W67" s="406"/>
      <c r="X67" s="406"/>
      <c r="Y67" s="406"/>
      <c r="Z67" s="406"/>
      <c r="AA67" s="406"/>
      <c r="AB67" s="406"/>
      <c r="AC67" s="406"/>
      <c r="AD67" s="406"/>
      <c r="AE67" s="406"/>
      <c r="AF67" s="406"/>
      <c r="AG67" s="406"/>
      <c r="AH67" s="406"/>
      <c r="AI67" s="406"/>
      <c r="AJ67" s="406"/>
      <c r="AK67" s="406"/>
      <c r="AL67" s="406"/>
      <c r="AM67" s="406"/>
      <c r="AN67" s="406"/>
      <c r="AO67" s="406"/>
      <c r="AP67" s="406"/>
      <c r="AQ67" s="22"/>
      <c r="AR67" s="22"/>
    </row>
    <row r="68" spans="2:44" s="131" customFormat="1" x14ac:dyDescent="0.25">
      <c r="E68" s="172"/>
      <c r="I68" s="131" t="s">
        <v>525</v>
      </c>
      <c r="J68" s="416"/>
      <c r="K68" s="416"/>
      <c r="L68" s="416"/>
      <c r="M68" s="416"/>
      <c r="N68" s="416"/>
      <c r="O68" s="416"/>
      <c r="P68" s="416"/>
      <c r="Q68" s="416"/>
      <c r="R68" s="416"/>
      <c r="S68" s="416"/>
      <c r="T68" s="416"/>
      <c r="U68" s="416"/>
      <c r="V68" s="416"/>
      <c r="W68" s="416"/>
      <c r="X68" s="416"/>
      <c r="Y68" s="416"/>
      <c r="Z68" s="416"/>
      <c r="AA68" s="416"/>
      <c r="AB68" s="416"/>
      <c r="AC68" s="416"/>
      <c r="AD68" s="416"/>
      <c r="AE68" s="416"/>
      <c r="AF68" s="416"/>
      <c r="AG68" s="416"/>
      <c r="AH68" s="416"/>
      <c r="AI68" s="416"/>
      <c r="AJ68" s="416"/>
      <c r="AK68" s="416"/>
      <c r="AL68" s="416"/>
      <c r="AM68" s="416"/>
      <c r="AN68" s="416"/>
      <c r="AO68" s="416"/>
      <c r="AP68" s="416"/>
      <c r="AR68" s="160" t="s">
        <v>1102</v>
      </c>
    </row>
    <row r="69" spans="2:44" s="131" customFormat="1" x14ac:dyDescent="0.25">
      <c r="C69" s="132"/>
      <c r="E69" s="172" t="s">
        <v>156</v>
      </c>
      <c r="F69" s="160"/>
      <c r="J69" s="416"/>
      <c r="K69" s="416"/>
      <c r="L69" s="416"/>
      <c r="M69" s="416"/>
      <c r="N69" s="416"/>
      <c r="O69" s="416"/>
      <c r="P69" s="416"/>
      <c r="Q69" s="416"/>
      <c r="R69" s="416"/>
      <c r="S69" s="416"/>
      <c r="T69" s="416"/>
      <c r="U69" s="416"/>
      <c r="V69" s="416"/>
      <c r="W69" s="416"/>
      <c r="X69" s="416"/>
      <c r="Y69" s="416"/>
      <c r="Z69" s="416"/>
      <c r="AA69" s="416"/>
      <c r="AB69" s="416"/>
      <c r="AC69" s="416"/>
      <c r="AD69" s="416"/>
      <c r="AE69" s="416"/>
      <c r="AF69" s="416"/>
      <c r="AG69" s="416"/>
      <c r="AH69" s="416"/>
      <c r="AI69" s="416"/>
      <c r="AJ69" s="416"/>
      <c r="AK69" s="416"/>
      <c r="AL69" s="416"/>
      <c r="AM69" s="416"/>
      <c r="AN69" s="416"/>
      <c r="AO69" s="416"/>
      <c r="AP69" s="416"/>
    </row>
    <row r="70" spans="2:44" s="131" customFormat="1" x14ac:dyDescent="0.25">
      <c r="C70" s="132"/>
      <c r="E70" s="152"/>
      <c r="F70" s="180" t="s">
        <v>397</v>
      </c>
      <c r="G70" s="137" t="s">
        <v>726</v>
      </c>
      <c r="H70" s="137"/>
      <c r="I70" s="137"/>
      <c r="J70" s="402"/>
      <c r="K70" s="402"/>
      <c r="L70" s="402"/>
      <c r="M70" s="402"/>
      <c r="N70" s="402"/>
      <c r="O70" s="402"/>
      <c r="P70" s="402"/>
      <c r="Q70" s="402"/>
      <c r="R70" s="402"/>
      <c r="S70" s="402"/>
      <c r="T70" s="402"/>
      <c r="U70" s="402"/>
      <c r="V70" s="402"/>
      <c r="W70" s="402"/>
      <c r="X70" s="402"/>
      <c r="Y70" s="402"/>
      <c r="Z70" s="402"/>
      <c r="AA70" s="402"/>
      <c r="AB70" s="402"/>
      <c r="AC70" s="402"/>
      <c r="AD70" s="402"/>
      <c r="AE70" s="402"/>
      <c r="AF70" s="402"/>
      <c r="AG70" s="402"/>
      <c r="AH70" s="402"/>
      <c r="AI70" s="402"/>
      <c r="AJ70" s="402"/>
      <c r="AK70" s="402"/>
      <c r="AL70" s="402"/>
      <c r="AM70" s="402"/>
      <c r="AN70" s="402"/>
      <c r="AO70" s="402"/>
      <c r="AP70" s="402"/>
    </row>
    <row r="71" spans="2:44" s="131" customFormat="1" x14ac:dyDescent="0.25">
      <c r="C71" s="132"/>
      <c r="E71" s="152"/>
      <c r="F71" s="176" t="s">
        <v>43</v>
      </c>
      <c r="G71" s="139" t="s">
        <v>726</v>
      </c>
      <c r="H71" s="139"/>
      <c r="I71" s="139"/>
      <c r="J71" s="403"/>
      <c r="K71" s="403"/>
      <c r="L71" s="403"/>
      <c r="M71" s="403"/>
      <c r="N71" s="403"/>
      <c r="O71" s="403"/>
      <c r="P71" s="403"/>
      <c r="Q71" s="403"/>
      <c r="R71" s="403"/>
      <c r="S71" s="403"/>
      <c r="T71" s="403"/>
      <c r="U71" s="403"/>
      <c r="V71" s="403"/>
      <c r="W71" s="403"/>
      <c r="X71" s="403"/>
      <c r="Y71" s="403"/>
      <c r="Z71" s="403"/>
      <c r="AA71" s="403"/>
      <c r="AB71" s="403"/>
      <c r="AC71" s="403"/>
      <c r="AD71" s="403"/>
      <c r="AE71" s="403"/>
      <c r="AF71" s="403"/>
      <c r="AG71" s="403"/>
      <c r="AH71" s="403"/>
      <c r="AI71" s="403"/>
      <c r="AJ71" s="403"/>
      <c r="AK71" s="403"/>
      <c r="AL71" s="403"/>
      <c r="AM71" s="403"/>
      <c r="AN71" s="403"/>
      <c r="AO71" s="403"/>
      <c r="AP71" s="403"/>
    </row>
    <row r="72" spans="2:44" s="131" customFormat="1" x14ac:dyDescent="0.25">
      <c r="C72" s="132"/>
      <c r="E72" s="152"/>
      <c r="F72" s="176" t="s">
        <v>44</v>
      </c>
      <c r="G72" s="139" t="s">
        <v>726</v>
      </c>
      <c r="H72" s="139"/>
      <c r="I72" s="139"/>
      <c r="J72" s="428">
        <f t="shared" ref="J72:AP72" si="0">J$20 * J27 * thousand / PowerFactor</f>
        <v>0</v>
      </c>
      <c r="K72" s="428">
        <f t="shared" si="0"/>
        <v>0</v>
      </c>
      <c r="L72" s="428">
        <f t="shared" si="0"/>
        <v>0</v>
      </c>
      <c r="M72" s="428">
        <f t="shared" si="0"/>
        <v>0</v>
      </c>
      <c r="N72" s="428">
        <f t="shared" si="0"/>
        <v>0</v>
      </c>
      <c r="O72" s="428">
        <f t="shared" si="0"/>
        <v>0</v>
      </c>
      <c r="P72" s="428">
        <f t="shared" si="0"/>
        <v>0</v>
      </c>
      <c r="Q72" s="428">
        <f t="shared" si="0"/>
        <v>0</v>
      </c>
      <c r="R72" s="428">
        <f t="shared" si="0"/>
        <v>0</v>
      </c>
      <c r="S72" s="428">
        <f t="shared" si="0"/>
        <v>0</v>
      </c>
      <c r="T72" s="428">
        <f t="shared" si="0"/>
        <v>0</v>
      </c>
      <c r="U72" s="428">
        <f t="shared" si="0"/>
        <v>0</v>
      </c>
      <c r="V72" s="428">
        <f t="shared" si="0"/>
        <v>0</v>
      </c>
      <c r="W72" s="428">
        <f t="shared" si="0"/>
        <v>0</v>
      </c>
      <c r="X72" s="428">
        <f t="shared" si="0"/>
        <v>0</v>
      </c>
      <c r="Y72" s="428">
        <f t="shared" si="0"/>
        <v>0</v>
      </c>
      <c r="Z72" s="428">
        <f t="shared" si="0"/>
        <v>0</v>
      </c>
      <c r="AA72" s="428">
        <f t="shared" si="0"/>
        <v>0</v>
      </c>
      <c r="AB72" s="428">
        <f t="shared" si="0"/>
        <v>0</v>
      </c>
      <c r="AC72" s="428">
        <f t="shared" si="0"/>
        <v>0</v>
      </c>
      <c r="AD72" s="428">
        <f t="shared" si="0"/>
        <v>0</v>
      </c>
      <c r="AE72" s="428">
        <f t="shared" si="0"/>
        <v>0</v>
      </c>
      <c r="AF72" s="428">
        <f t="shared" si="0"/>
        <v>0</v>
      </c>
      <c r="AG72" s="428">
        <f t="shared" si="0"/>
        <v>0</v>
      </c>
      <c r="AH72" s="428">
        <f t="shared" si="0"/>
        <v>0</v>
      </c>
      <c r="AI72" s="428">
        <f t="shared" si="0"/>
        <v>0</v>
      </c>
      <c r="AJ72" s="428">
        <f t="shared" si="0"/>
        <v>0</v>
      </c>
      <c r="AK72" s="428">
        <f t="shared" si="0"/>
        <v>0</v>
      </c>
      <c r="AL72" s="428">
        <f t="shared" si="0"/>
        <v>0</v>
      </c>
      <c r="AM72" s="428">
        <f t="shared" si="0"/>
        <v>0</v>
      </c>
      <c r="AN72" s="428">
        <f t="shared" si="0"/>
        <v>0</v>
      </c>
      <c r="AO72" s="428">
        <f t="shared" si="0"/>
        <v>0</v>
      </c>
      <c r="AP72" s="428">
        <f t="shared" si="0"/>
        <v>0</v>
      </c>
    </row>
    <row r="73" spans="2:44" s="131" customFormat="1" x14ac:dyDescent="0.25">
      <c r="C73" s="132"/>
      <c r="E73" s="152"/>
      <c r="F73" s="176" t="s">
        <v>45</v>
      </c>
      <c r="G73" s="139" t="s">
        <v>726</v>
      </c>
      <c r="H73" s="139"/>
      <c r="I73" s="139"/>
      <c r="J73" s="428">
        <f t="shared" ref="J73:AP73" si="1">J$20 * J28 * thousand / PowerFactor</f>
        <v>0</v>
      </c>
      <c r="K73" s="428">
        <f t="shared" si="1"/>
        <v>0</v>
      </c>
      <c r="L73" s="428">
        <f t="shared" si="1"/>
        <v>0</v>
      </c>
      <c r="M73" s="428">
        <f t="shared" si="1"/>
        <v>0</v>
      </c>
      <c r="N73" s="428">
        <f t="shared" si="1"/>
        <v>0</v>
      </c>
      <c r="O73" s="428">
        <f t="shared" si="1"/>
        <v>0</v>
      </c>
      <c r="P73" s="428">
        <f t="shared" si="1"/>
        <v>0</v>
      </c>
      <c r="Q73" s="428">
        <f t="shared" si="1"/>
        <v>0</v>
      </c>
      <c r="R73" s="428">
        <f t="shared" si="1"/>
        <v>0</v>
      </c>
      <c r="S73" s="428">
        <f t="shared" si="1"/>
        <v>0</v>
      </c>
      <c r="T73" s="428">
        <f t="shared" si="1"/>
        <v>0</v>
      </c>
      <c r="U73" s="428">
        <f t="shared" si="1"/>
        <v>0</v>
      </c>
      <c r="V73" s="428">
        <f t="shared" si="1"/>
        <v>0</v>
      </c>
      <c r="W73" s="428">
        <f t="shared" si="1"/>
        <v>0</v>
      </c>
      <c r="X73" s="428">
        <f t="shared" si="1"/>
        <v>0</v>
      </c>
      <c r="Y73" s="428">
        <f t="shared" si="1"/>
        <v>0</v>
      </c>
      <c r="Z73" s="428">
        <f t="shared" si="1"/>
        <v>0</v>
      </c>
      <c r="AA73" s="428">
        <f t="shared" si="1"/>
        <v>0</v>
      </c>
      <c r="AB73" s="428">
        <f t="shared" si="1"/>
        <v>0</v>
      </c>
      <c r="AC73" s="428">
        <f t="shared" si="1"/>
        <v>0</v>
      </c>
      <c r="AD73" s="428">
        <f t="shared" si="1"/>
        <v>0</v>
      </c>
      <c r="AE73" s="428">
        <f t="shared" si="1"/>
        <v>0</v>
      </c>
      <c r="AF73" s="428">
        <f t="shared" si="1"/>
        <v>0</v>
      </c>
      <c r="AG73" s="428">
        <f t="shared" si="1"/>
        <v>0</v>
      </c>
      <c r="AH73" s="428">
        <f t="shared" si="1"/>
        <v>0</v>
      </c>
      <c r="AI73" s="428">
        <f t="shared" si="1"/>
        <v>0</v>
      </c>
      <c r="AJ73" s="428">
        <f t="shared" si="1"/>
        <v>0</v>
      </c>
      <c r="AK73" s="428">
        <f t="shared" si="1"/>
        <v>0</v>
      </c>
      <c r="AL73" s="428">
        <f t="shared" si="1"/>
        <v>0</v>
      </c>
      <c r="AM73" s="428">
        <f t="shared" si="1"/>
        <v>0</v>
      </c>
      <c r="AN73" s="428">
        <f t="shared" si="1"/>
        <v>0</v>
      </c>
      <c r="AO73" s="428">
        <f t="shared" si="1"/>
        <v>0</v>
      </c>
      <c r="AP73" s="428">
        <f t="shared" si="1"/>
        <v>0</v>
      </c>
    </row>
    <row r="74" spans="2:44" s="131" customFormat="1" x14ac:dyDescent="0.25">
      <c r="C74" s="132"/>
      <c r="E74" s="152"/>
      <c r="F74" s="176" t="s">
        <v>46</v>
      </c>
      <c r="G74" s="139" t="s">
        <v>726</v>
      </c>
      <c r="H74" s="139"/>
      <c r="I74" s="139"/>
      <c r="J74" s="428">
        <f t="shared" ref="J74:AP74" si="2">J$20 * J29 * thousand / PowerFactor</f>
        <v>0</v>
      </c>
      <c r="K74" s="428">
        <f t="shared" si="2"/>
        <v>0</v>
      </c>
      <c r="L74" s="428">
        <f t="shared" si="2"/>
        <v>0</v>
      </c>
      <c r="M74" s="428">
        <f t="shared" si="2"/>
        <v>0</v>
      </c>
      <c r="N74" s="428">
        <f t="shared" si="2"/>
        <v>0</v>
      </c>
      <c r="O74" s="428">
        <f t="shared" si="2"/>
        <v>0</v>
      </c>
      <c r="P74" s="428">
        <f t="shared" si="2"/>
        <v>0</v>
      </c>
      <c r="Q74" s="428">
        <f t="shared" si="2"/>
        <v>0</v>
      </c>
      <c r="R74" s="428">
        <f t="shared" si="2"/>
        <v>34.674367089386642</v>
      </c>
      <c r="S74" s="428">
        <f t="shared" si="2"/>
        <v>0</v>
      </c>
      <c r="T74" s="428">
        <f t="shared" si="2"/>
        <v>0</v>
      </c>
      <c r="U74" s="428">
        <f t="shared" si="2"/>
        <v>0</v>
      </c>
      <c r="V74" s="428">
        <f t="shared" si="2"/>
        <v>0</v>
      </c>
      <c r="W74" s="428">
        <f t="shared" si="2"/>
        <v>0</v>
      </c>
      <c r="X74" s="428">
        <f t="shared" si="2"/>
        <v>0</v>
      </c>
      <c r="Y74" s="428">
        <f t="shared" si="2"/>
        <v>0</v>
      </c>
      <c r="Z74" s="428">
        <f t="shared" si="2"/>
        <v>0</v>
      </c>
      <c r="AA74" s="428">
        <f t="shared" si="2"/>
        <v>0</v>
      </c>
      <c r="AB74" s="428">
        <f t="shared" si="2"/>
        <v>0</v>
      </c>
      <c r="AC74" s="428">
        <f t="shared" si="2"/>
        <v>0</v>
      </c>
      <c r="AD74" s="428">
        <f t="shared" si="2"/>
        <v>0</v>
      </c>
      <c r="AE74" s="428">
        <f t="shared" si="2"/>
        <v>0</v>
      </c>
      <c r="AF74" s="428">
        <f t="shared" si="2"/>
        <v>0</v>
      </c>
      <c r="AG74" s="428">
        <f t="shared" si="2"/>
        <v>0</v>
      </c>
      <c r="AH74" s="428">
        <f t="shared" si="2"/>
        <v>0</v>
      </c>
      <c r="AI74" s="428">
        <f t="shared" si="2"/>
        <v>0</v>
      </c>
      <c r="AJ74" s="428">
        <f t="shared" si="2"/>
        <v>0</v>
      </c>
      <c r="AK74" s="428">
        <f t="shared" si="2"/>
        <v>0</v>
      </c>
      <c r="AL74" s="428">
        <f t="shared" si="2"/>
        <v>0</v>
      </c>
      <c r="AM74" s="428">
        <f t="shared" si="2"/>
        <v>0</v>
      </c>
      <c r="AN74" s="428">
        <f t="shared" si="2"/>
        <v>0</v>
      </c>
      <c r="AO74" s="428">
        <f t="shared" si="2"/>
        <v>0</v>
      </c>
      <c r="AP74" s="428">
        <f t="shared" si="2"/>
        <v>0</v>
      </c>
    </row>
    <row r="75" spans="2:44" s="131" customFormat="1" x14ac:dyDescent="0.25">
      <c r="C75" s="132"/>
      <c r="E75" s="152"/>
      <c r="F75" s="176" t="s">
        <v>47</v>
      </c>
      <c r="G75" s="139" t="s">
        <v>726</v>
      </c>
      <c r="H75" s="139"/>
      <c r="I75" s="139"/>
      <c r="J75" s="428">
        <f t="shared" ref="J75:AP75" si="3">J$20 * J30 * thousand / PowerFactor</f>
        <v>0</v>
      </c>
      <c r="K75" s="428">
        <f t="shared" si="3"/>
        <v>0</v>
      </c>
      <c r="L75" s="428">
        <f t="shared" si="3"/>
        <v>0</v>
      </c>
      <c r="M75" s="428">
        <f t="shared" si="3"/>
        <v>0</v>
      </c>
      <c r="N75" s="428">
        <f t="shared" si="3"/>
        <v>0</v>
      </c>
      <c r="O75" s="428">
        <f t="shared" si="3"/>
        <v>0</v>
      </c>
      <c r="P75" s="428">
        <f t="shared" si="3"/>
        <v>0</v>
      </c>
      <c r="Q75" s="428">
        <f t="shared" si="3"/>
        <v>0</v>
      </c>
      <c r="R75" s="428">
        <f t="shared" si="3"/>
        <v>127.69805614617803</v>
      </c>
      <c r="S75" s="428">
        <f t="shared" si="3"/>
        <v>0</v>
      </c>
      <c r="T75" s="428">
        <f t="shared" si="3"/>
        <v>0</v>
      </c>
      <c r="U75" s="428">
        <f t="shared" si="3"/>
        <v>0</v>
      </c>
      <c r="V75" s="428">
        <f t="shared" si="3"/>
        <v>0</v>
      </c>
      <c r="W75" s="428">
        <f t="shared" si="3"/>
        <v>0</v>
      </c>
      <c r="X75" s="428">
        <f t="shared" si="3"/>
        <v>0</v>
      </c>
      <c r="Y75" s="428">
        <f t="shared" si="3"/>
        <v>0</v>
      </c>
      <c r="Z75" s="428">
        <f t="shared" si="3"/>
        <v>0</v>
      </c>
      <c r="AA75" s="428">
        <f t="shared" si="3"/>
        <v>0</v>
      </c>
      <c r="AB75" s="428">
        <f t="shared" si="3"/>
        <v>0</v>
      </c>
      <c r="AC75" s="428">
        <f t="shared" si="3"/>
        <v>0</v>
      </c>
      <c r="AD75" s="428">
        <f t="shared" si="3"/>
        <v>0</v>
      </c>
      <c r="AE75" s="428">
        <f t="shared" si="3"/>
        <v>0</v>
      </c>
      <c r="AF75" s="428">
        <f t="shared" si="3"/>
        <v>0</v>
      </c>
      <c r="AG75" s="428">
        <f t="shared" si="3"/>
        <v>0</v>
      </c>
      <c r="AH75" s="428">
        <f t="shared" si="3"/>
        <v>0</v>
      </c>
      <c r="AI75" s="428">
        <f t="shared" si="3"/>
        <v>0</v>
      </c>
      <c r="AJ75" s="428">
        <f t="shared" si="3"/>
        <v>0</v>
      </c>
      <c r="AK75" s="428">
        <f t="shared" si="3"/>
        <v>0</v>
      </c>
      <c r="AL75" s="428">
        <f t="shared" si="3"/>
        <v>0</v>
      </c>
      <c r="AM75" s="428">
        <f t="shared" si="3"/>
        <v>0</v>
      </c>
      <c r="AN75" s="428">
        <f t="shared" si="3"/>
        <v>0</v>
      </c>
      <c r="AO75" s="428">
        <f t="shared" si="3"/>
        <v>0</v>
      </c>
      <c r="AP75" s="428">
        <f t="shared" si="3"/>
        <v>0</v>
      </c>
    </row>
    <row r="76" spans="2:44" s="131" customFormat="1" x14ac:dyDescent="0.25">
      <c r="C76" s="132"/>
      <c r="E76" s="152"/>
      <c r="F76" s="176" t="s">
        <v>51</v>
      </c>
      <c r="G76" s="139" t="s">
        <v>726</v>
      </c>
      <c r="H76" s="139"/>
      <c r="I76" s="139"/>
      <c r="J76" s="428">
        <f t="shared" ref="J76:AP76" si="4">J$20 * J31 * thousand / PowerFactor</f>
        <v>0</v>
      </c>
      <c r="K76" s="428">
        <f t="shared" si="4"/>
        <v>0</v>
      </c>
      <c r="L76" s="428">
        <f t="shared" si="4"/>
        <v>0</v>
      </c>
      <c r="M76" s="428">
        <f t="shared" si="4"/>
        <v>0</v>
      </c>
      <c r="N76" s="428">
        <f t="shared" si="4"/>
        <v>0</v>
      </c>
      <c r="O76" s="428">
        <f t="shared" si="4"/>
        <v>0</v>
      </c>
      <c r="P76" s="428">
        <f t="shared" si="4"/>
        <v>0</v>
      </c>
      <c r="Q76" s="428">
        <f t="shared" si="4"/>
        <v>0</v>
      </c>
      <c r="R76" s="428">
        <f t="shared" si="4"/>
        <v>0</v>
      </c>
      <c r="S76" s="428">
        <f t="shared" si="4"/>
        <v>0</v>
      </c>
      <c r="T76" s="428">
        <f t="shared" si="4"/>
        <v>0</v>
      </c>
      <c r="U76" s="428">
        <f t="shared" si="4"/>
        <v>0</v>
      </c>
      <c r="V76" s="428">
        <f t="shared" si="4"/>
        <v>0</v>
      </c>
      <c r="W76" s="428">
        <f t="shared" si="4"/>
        <v>0</v>
      </c>
      <c r="X76" s="428">
        <f t="shared" si="4"/>
        <v>0</v>
      </c>
      <c r="Y76" s="428">
        <f t="shared" si="4"/>
        <v>0</v>
      </c>
      <c r="Z76" s="428">
        <f t="shared" si="4"/>
        <v>0</v>
      </c>
      <c r="AA76" s="428">
        <f t="shared" si="4"/>
        <v>0</v>
      </c>
      <c r="AB76" s="428">
        <f t="shared" si="4"/>
        <v>0</v>
      </c>
      <c r="AC76" s="428">
        <f t="shared" si="4"/>
        <v>0</v>
      </c>
      <c r="AD76" s="428">
        <f t="shared" si="4"/>
        <v>0</v>
      </c>
      <c r="AE76" s="428">
        <f t="shared" si="4"/>
        <v>0</v>
      </c>
      <c r="AF76" s="428">
        <f t="shared" si="4"/>
        <v>0</v>
      </c>
      <c r="AG76" s="428">
        <f t="shared" si="4"/>
        <v>0</v>
      </c>
      <c r="AH76" s="428">
        <f t="shared" si="4"/>
        <v>0</v>
      </c>
      <c r="AI76" s="428">
        <f t="shared" si="4"/>
        <v>0</v>
      </c>
      <c r="AJ76" s="428">
        <f t="shared" si="4"/>
        <v>0</v>
      </c>
      <c r="AK76" s="428">
        <f t="shared" si="4"/>
        <v>0</v>
      </c>
      <c r="AL76" s="428">
        <f t="shared" si="4"/>
        <v>0</v>
      </c>
      <c r="AM76" s="428">
        <f t="shared" si="4"/>
        <v>0</v>
      </c>
      <c r="AN76" s="428">
        <f t="shared" si="4"/>
        <v>0</v>
      </c>
      <c r="AO76" s="428">
        <f t="shared" si="4"/>
        <v>0</v>
      </c>
      <c r="AP76" s="428">
        <f t="shared" si="4"/>
        <v>0</v>
      </c>
    </row>
    <row r="77" spans="2:44" s="131" customFormat="1" x14ac:dyDescent="0.25">
      <c r="C77" s="132"/>
      <c r="E77" s="152"/>
      <c r="F77" s="176" t="s">
        <v>48</v>
      </c>
      <c r="G77" s="139" t="s">
        <v>726</v>
      </c>
      <c r="H77" s="139"/>
      <c r="I77" s="139"/>
      <c r="J77" s="428">
        <f t="shared" ref="J77:AP77" si="5">J$20 * J32 * thousand / PowerFactor</f>
        <v>0</v>
      </c>
      <c r="K77" s="428">
        <f t="shared" si="5"/>
        <v>0</v>
      </c>
      <c r="L77" s="428">
        <f t="shared" si="5"/>
        <v>0</v>
      </c>
      <c r="M77" s="428">
        <f t="shared" si="5"/>
        <v>0</v>
      </c>
      <c r="N77" s="428">
        <f t="shared" si="5"/>
        <v>0</v>
      </c>
      <c r="O77" s="428">
        <f t="shared" si="5"/>
        <v>0</v>
      </c>
      <c r="P77" s="428">
        <f t="shared" si="5"/>
        <v>0</v>
      </c>
      <c r="Q77" s="428">
        <f t="shared" si="5"/>
        <v>0</v>
      </c>
      <c r="R77" s="428">
        <f t="shared" si="5"/>
        <v>201.32833340235072</v>
      </c>
      <c r="S77" s="428">
        <f t="shared" si="5"/>
        <v>0</v>
      </c>
      <c r="T77" s="428">
        <f t="shared" si="5"/>
        <v>0</v>
      </c>
      <c r="U77" s="428">
        <f t="shared" si="5"/>
        <v>0</v>
      </c>
      <c r="V77" s="428">
        <f t="shared" si="5"/>
        <v>0</v>
      </c>
      <c r="W77" s="428">
        <f t="shared" si="5"/>
        <v>0</v>
      </c>
      <c r="X77" s="428">
        <f t="shared" si="5"/>
        <v>0</v>
      </c>
      <c r="Y77" s="428">
        <f t="shared" si="5"/>
        <v>0</v>
      </c>
      <c r="Z77" s="428">
        <f t="shared" si="5"/>
        <v>0</v>
      </c>
      <c r="AA77" s="428">
        <f t="shared" si="5"/>
        <v>0</v>
      </c>
      <c r="AB77" s="428">
        <f t="shared" si="5"/>
        <v>0</v>
      </c>
      <c r="AC77" s="428">
        <f t="shared" si="5"/>
        <v>0</v>
      </c>
      <c r="AD77" s="428">
        <f t="shared" si="5"/>
        <v>0</v>
      </c>
      <c r="AE77" s="428">
        <f t="shared" si="5"/>
        <v>0</v>
      </c>
      <c r="AF77" s="428">
        <f t="shared" si="5"/>
        <v>0</v>
      </c>
      <c r="AG77" s="428">
        <f t="shared" si="5"/>
        <v>0</v>
      </c>
      <c r="AH77" s="428">
        <f t="shared" si="5"/>
        <v>0</v>
      </c>
      <c r="AI77" s="428">
        <f t="shared" si="5"/>
        <v>0</v>
      </c>
      <c r="AJ77" s="428">
        <f t="shared" si="5"/>
        <v>0</v>
      </c>
      <c r="AK77" s="428">
        <f t="shared" si="5"/>
        <v>0</v>
      </c>
      <c r="AL77" s="428">
        <f t="shared" si="5"/>
        <v>0</v>
      </c>
      <c r="AM77" s="428">
        <f t="shared" si="5"/>
        <v>0</v>
      </c>
      <c r="AN77" s="428">
        <f t="shared" si="5"/>
        <v>0</v>
      </c>
      <c r="AO77" s="428">
        <f t="shared" si="5"/>
        <v>0</v>
      </c>
      <c r="AP77" s="428">
        <f t="shared" si="5"/>
        <v>0</v>
      </c>
    </row>
    <row r="78" spans="2:44" s="131" customFormat="1" x14ac:dyDescent="0.25">
      <c r="C78" s="132"/>
      <c r="E78" s="152"/>
      <c r="F78" s="176" t="s">
        <v>49</v>
      </c>
      <c r="G78" s="139" t="s">
        <v>726</v>
      </c>
      <c r="H78" s="139"/>
      <c r="I78" s="139"/>
      <c r="J78" s="428">
        <f t="shared" ref="J78:AP78" si="6">J$20 * J33 * thousand / PowerFactor</f>
        <v>0</v>
      </c>
      <c r="K78" s="428">
        <f t="shared" si="6"/>
        <v>0</v>
      </c>
      <c r="L78" s="428">
        <f t="shared" si="6"/>
        <v>0</v>
      </c>
      <c r="M78" s="428">
        <f t="shared" si="6"/>
        <v>0</v>
      </c>
      <c r="N78" s="428">
        <f t="shared" si="6"/>
        <v>0</v>
      </c>
      <c r="O78" s="428">
        <f t="shared" si="6"/>
        <v>0</v>
      </c>
      <c r="P78" s="428">
        <f t="shared" si="6"/>
        <v>0</v>
      </c>
      <c r="Q78" s="428">
        <f t="shared" si="6"/>
        <v>0</v>
      </c>
      <c r="R78" s="428">
        <f t="shared" si="6"/>
        <v>0</v>
      </c>
      <c r="S78" s="428">
        <f t="shared" si="6"/>
        <v>0</v>
      </c>
      <c r="T78" s="428">
        <f t="shared" si="6"/>
        <v>0</v>
      </c>
      <c r="U78" s="428">
        <f t="shared" si="6"/>
        <v>0</v>
      </c>
      <c r="V78" s="428">
        <f t="shared" si="6"/>
        <v>0</v>
      </c>
      <c r="W78" s="428">
        <f t="shared" si="6"/>
        <v>0</v>
      </c>
      <c r="X78" s="428">
        <f t="shared" si="6"/>
        <v>0</v>
      </c>
      <c r="Y78" s="428">
        <f t="shared" si="6"/>
        <v>0</v>
      </c>
      <c r="Z78" s="428">
        <f t="shared" si="6"/>
        <v>0</v>
      </c>
      <c r="AA78" s="428">
        <f t="shared" si="6"/>
        <v>0</v>
      </c>
      <c r="AB78" s="428">
        <f t="shared" si="6"/>
        <v>0</v>
      </c>
      <c r="AC78" s="428">
        <f t="shared" si="6"/>
        <v>0</v>
      </c>
      <c r="AD78" s="428">
        <f t="shared" si="6"/>
        <v>0</v>
      </c>
      <c r="AE78" s="428">
        <f t="shared" si="6"/>
        <v>0</v>
      </c>
      <c r="AF78" s="428">
        <f t="shared" si="6"/>
        <v>0</v>
      </c>
      <c r="AG78" s="428">
        <f t="shared" si="6"/>
        <v>0</v>
      </c>
      <c r="AH78" s="428">
        <f t="shared" si="6"/>
        <v>0</v>
      </c>
      <c r="AI78" s="428">
        <f t="shared" si="6"/>
        <v>0</v>
      </c>
      <c r="AJ78" s="428">
        <f t="shared" si="6"/>
        <v>0</v>
      </c>
      <c r="AK78" s="428">
        <f t="shared" si="6"/>
        <v>0</v>
      </c>
      <c r="AL78" s="428">
        <f t="shared" si="6"/>
        <v>0</v>
      </c>
      <c r="AM78" s="428">
        <f t="shared" si="6"/>
        <v>0</v>
      </c>
      <c r="AN78" s="428">
        <f t="shared" si="6"/>
        <v>0</v>
      </c>
      <c r="AO78" s="428">
        <f t="shared" si="6"/>
        <v>0</v>
      </c>
      <c r="AP78" s="428">
        <f t="shared" si="6"/>
        <v>0</v>
      </c>
    </row>
    <row r="79" spans="2:44" s="131" customFormat="1" x14ac:dyDescent="0.25">
      <c r="C79" s="132"/>
      <c r="E79" s="152"/>
      <c r="F79" s="176" t="s">
        <v>50</v>
      </c>
      <c r="G79" s="139" t="s">
        <v>726</v>
      </c>
      <c r="H79" s="139"/>
      <c r="I79" s="139"/>
      <c r="J79" s="428">
        <f t="shared" ref="J79:AP79" si="7">J$20 * J34 * thousand / PowerFactor</f>
        <v>197467.3498948018</v>
      </c>
      <c r="K79" s="428">
        <f t="shared" si="7"/>
        <v>51563.471446140291</v>
      </c>
      <c r="L79" s="428">
        <f t="shared" si="7"/>
        <v>0</v>
      </c>
      <c r="M79" s="428">
        <f t="shared" si="7"/>
        <v>62146.301669673558</v>
      </c>
      <c r="N79" s="428">
        <f t="shared" si="7"/>
        <v>13843.718688307054</v>
      </c>
      <c r="O79" s="428">
        <f t="shared" si="7"/>
        <v>0</v>
      </c>
      <c r="P79" s="428">
        <f t="shared" si="7"/>
        <v>1820.5429264632901</v>
      </c>
      <c r="Q79" s="428">
        <f t="shared" si="7"/>
        <v>0</v>
      </c>
      <c r="R79" s="428">
        <f t="shared" si="7"/>
        <v>0</v>
      </c>
      <c r="S79" s="428">
        <f t="shared" si="7"/>
        <v>1636.5197922126213</v>
      </c>
      <c r="T79" s="428">
        <f t="shared" si="7"/>
        <v>6308.438205094777</v>
      </c>
      <c r="U79" s="428">
        <f t="shared" si="7"/>
        <v>0</v>
      </c>
      <c r="V79" s="428">
        <f t="shared" si="7"/>
        <v>0</v>
      </c>
      <c r="W79" s="428">
        <f t="shared" si="7"/>
        <v>0</v>
      </c>
      <c r="X79" s="428">
        <f t="shared" si="7"/>
        <v>0</v>
      </c>
      <c r="Y79" s="428">
        <f t="shared" si="7"/>
        <v>0</v>
      </c>
      <c r="Z79" s="428">
        <f t="shared" si="7"/>
        <v>0</v>
      </c>
      <c r="AA79" s="428">
        <f t="shared" si="7"/>
        <v>0</v>
      </c>
      <c r="AB79" s="428">
        <f t="shared" si="7"/>
        <v>0</v>
      </c>
      <c r="AC79" s="428">
        <f t="shared" si="7"/>
        <v>0</v>
      </c>
      <c r="AD79" s="428">
        <f t="shared" si="7"/>
        <v>0</v>
      </c>
      <c r="AE79" s="428">
        <f t="shared" si="7"/>
        <v>0</v>
      </c>
      <c r="AF79" s="428">
        <f t="shared" si="7"/>
        <v>0</v>
      </c>
      <c r="AG79" s="428">
        <f t="shared" si="7"/>
        <v>0</v>
      </c>
      <c r="AH79" s="428">
        <f t="shared" si="7"/>
        <v>0</v>
      </c>
      <c r="AI79" s="428">
        <f t="shared" si="7"/>
        <v>0</v>
      </c>
      <c r="AJ79" s="428">
        <f t="shared" si="7"/>
        <v>0</v>
      </c>
      <c r="AK79" s="428">
        <f t="shared" si="7"/>
        <v>0</v>
      </c>
      <c r="AL79" s="428">
        <f t="shared" si="7"/>
        <v>0</v>
      </c>
      <c r="AM79" s="428">
        <f t="shared" si="7"/>
        <v>0</v>
      </c>
      <c r="AN79" s="428">
        <f t="shared" si="7"/>
        <v>0</v>
      </c>
      <c r="AO79" s="428">
        <f t="shared" si="7"/>
        <v>0</v>
      </c>
      <c r="AP79" s="428">
        <f t="shared" si="7"/>
        <v>0</v>
      </c>
    </row>
    <row r="80" spans="2:44" s="131" customFormat="1" x14ac:dyDescent="0.25">
      <c r="C80" s="132"/>
      <c r="E80" s="152"/>
      <c r="F80" s="176" t="s">
        <v>141</v>
      </c>
      <c r="G80" s="139" t="s">
        <v>726</v>
      </c>
      <c r="H80" s="139"/>
      <c r="I80" s="139"/>
      <c r="J80" s="403"/>
      <c r="K80" s="403"/>
      <c r="L80" s="403"/>
      <c r="M80" s="403"/>
      <c r="N80" s="403"/>
      <c r="O80" s="403"/>
      <c r="P80" s="403"/>
      <c r="Q80" s="403"/>
      <c r="R80" s="403"/>
      <c r="S80" s="403"/>
      <c r="T80" s="403"/>
      <c r="U80" s="403"/>
      <c r="V80" s="403"/>
      <c r="W80" s="403"/>
      <c r="X80" s="403"/>
      <c r="Y80" s="403"/>
      <c r="Z80" s="403"/>
      <c r="AA80" s="403"/>
      <c r="AB80" s="403"/>
      <c r="AC80" s="403"/>
      <c r="AD80" s="403"/>
      <c r="AE80" s="403"/>
      <c r="AF80" s="403"/>
      <c r="AG80" s="403"/>
      <c r="AH80" s="403"/>
      <c r="AI80" s="403"/>
      <c r="AJ80" s="403"/>
      <c r="AK80" s="403"/>
      <c r="AL80" s="403"/>
      <c r="AM80" s="403"/>
      <c r="AN80" s="403"/>
      <c r="AO80" s="403"/>
      <c r="AP80" s="403"/>
    </row>
    <row r="81" spans="3:42" s="131" customFormat="1" x14ac:dyDescent="0.25">
      <c r="C81" s="132"/>
      <c r="E81" s="152"/>
      <c r="F81" s="177" t="s">
        <v>140</v>
      </c>
      <c r="G81" s="140" t="s">
        <v>726</v>
      </c>
      <c r="H81" s="140"/>
      <c r="I81" s="140"/>
      <c r="J81" s="404"/>
      <c r="K81" s="404"/>
      <c r="L81" s="404"/>
      <c r="M81" s="404"/>
      <c r="N81" s="404"/>
      <c r="O81" s="404"/>
      <c r="P81" s="404"/>
      <c r="Q81" s="404"/>
      <c r="R81" s="404"/>
      <c r="S81" s="404"/>
      <c r="T81" s="404"/>
      <c r="U81" s="404"/>
      <c r="V81" s="404"/>
      <c r="W81" s="404"/>
      <c r="X81" s="404"/>
      <c r="Y81" s="404"/>
      <c r="Z81" s="404"/>
      <c r="AA81" s="404"/>
      <c r="AB81" s="404"/>
      <c r="AC81" s="404"/>
      <c r="AD81" s="404"/>
      <c r="AE81" s="404"/>
      <c r="AF81" s="404"/>
      <c r="AG81" s="404"/>
      <c r="AH81" s="404"/>
      <c r="AI81" s="404"/>
      <c r="AJ81" s="404"/>
      <c r="AK81" s="404"/>
      <c r="AL81" s="404"/>
      <c r="AM81" s="404"/>
      <c r="AN81" s="404"/>
      <c r="AO81" s="404"/>
      <c r="AP81" s="404"/>
    </row>
    <row r="82" spans="3:42" s="160" customFormat="1" x14ac:dyDescent="0.25">
      <c r="C82" s="161"/>
      <c r="E82" s="152"/>
      <c r="F82" s="117"/>
      <c r="J82" s="416"/>
      <c r="K82" s="416"/>
      <c r="L82" s="416"/>
      <c r="M82" s="416"/>
      <c r="N82" s="416"/>
      <c r="O82" s="416"/>
      <c r="P82" s="416"/>
      <c r="Q82" s="416"/>
      <c r="R82" s="416"/>
      <c r="S82" s="416"/>
      <c r="T82" s="416"/>
      <c r="U82" s="416"/>
      <c r="V82" s="416"/>
      <c r="W82" s="416"/>
      <c r="X82" s="416"/>
      <c r="Y82" s="416"/>
      <c r="Z82" s="416"/>
      <c r="AA82" s="416"/>
      <c r="AB82" s="416"/>
      <c r="AC82" s="416"/>
      <c r="AD82" s="416"/>
      <c r="AE82" s="416"/>
      <c r="AF82" s="416"/>
      <c r="AG82" s="416"/>
      <c r="AH82" s="416"/>
      <c r="AI82" s="416"/>
      <c r="AJ82" s="416"/>
      <c r="AK82" s="416"/>
      <c r="AL82" s="416"/>
      <c r="AM82" s="416"/>
      <c r="AN82" s="416"/>
      <c r="AO82" s="416"/>
      <c r="AP82" s="416"/>
    </row>
    <row r="83" spans="3:42" s="131" customFormat="1" x14ac:dyDescent="0.25">
      <c r="C83" s="132"/>
      <c r="E83" s="172" t="s">
        <v>133</v>
      </c>
      <c r="F83" s="117"/>
      <c r="J83" s="416"/>
      <c r="K83" s="416"/>
      <c r="L83" s="416"/>
      <c r="M83" s="416"/>
      <c r="N83" s="416"/>
      <c r="O83" s="416"/>
      <c r="P83" s="416"/>
      <c r="Q83" s="416"/>
      <c r="R83" s="416"/>
      <c r="S83" s="416"/>
      <c r="T83" s="416"/>
      <c r="U83" s="416"/>
      <c r="V83" s="416"/>
      <c r="W83" s="416"/>
      <c r="X83" s="416"/>
      <c r="Y83" s="416"/>
      <c r="Z83" s="416"/>
      <c r="AA83" s="416"/>
      <c r="AB83" s="416"/>
      <c r="AC83" s="416"/>
      <c r="AD83" s="416"/>
      <c r="AE83" s="416"/>
      <c r="AF83" s="416"/>
      <c r="AG83" s="416"/>
      <c r="AH83" s="416"/>
      <c r="AI83" s="416"/>
      <c r="AJ83" s="416"/>
      <c r="AK83" s="416"/>
      <c r="AL83" s="416"/>
      <c r="AM83" s="416"/>
      <c r="AN83" s="416"/>
      <c r="AO83" s="416"/>
      <c r="AP83" s="416"/>
    </row>
    <row r="84" spans="3:42" s="131" customFormat="1" x14ac:dyDescent="0.25">
      <c r="C84" s="132"/>
      <c r="E84" s="175"/>
      <c r="F84" s="180" t="s">
        <v>397</v>
      </c>
      <c r="G84" s="166" t="s">
        <v>726</v>
      </c>
      <c r="H84" s="137"/>
      <c r="I84" s="137"/>
      <c r="J84" s="431">
        <f t="shared" ref="J84:AP84" si="8">J$20 * J39 * thousand / PowerFactor</f>
        <v>0</v>
      </c>
      <c r="K84" s="431">
        <f t="shared" si="8"/>
        <v>0</v>
      </c>
      <c r="L84" s="431">
        <f t="shared" si="8"/>
        <v>0</v>
      </c>
      <c r="M84" s="431">
        <f t="shared" si="8"/>
        <v>0</v>
      </c>
      <c r="N84" s="431">
        <f t="shared" si="8"/>
        <v>0</v>
      </c>
      <c r="O84" s="431">
        <f t="shared" si="8"/>
        <v>0</v>
      </c>
      <c r="P84" s="431">
        <f t="shared" si="8"/>
        <v>0</v>
      </c>
      <c r="Q84" s="431">
        <f t="shared" si="8"/>
        <v>0</v>
      </c>
      <c r="R84" s="431">
        <f t="shared" si="8"/>
        <v>0</v>
      </c>
      <c r="S84" s="431">
        <f t="shared" si="8"/>
        <v>0</v>
      </c>
      <c r="T84" s="431">
        <f t="shared" si="8"/>
        <v>0</v>
      </c>
      <c r="U84" s="431">
        <f t="shared" si="8"/>
        <v>0</v>
      </c>
      <c r="V84" s="431">
        <f t="shared" si="8"/>
        <v>0</v>
      </c>
      <c r="W84" s="431">
        <f t="shared" si="8"/>
        <v>0</v>
      </c>
      <c r="X84" s="431">
        <f t="shared" si="8"/>
        <v>0</v>
      </c>
      <c r="Y84" s="431">
        <f t="shared" si="8"/>
        <v>0</v>
      </c>
      <c r="Z84" s="431">
        <f t="shared" si="8"/>
        <v>0</v>
      </c>
      <c r="AA84" s="431">
        <f t="shared" si="8"/>
        <v>0</v>
      </c>
      <c r="AB84" s="431">
        <f t="shared" si="8"/>
        <v>0</v>
      </c>
      <c r="AC84" s="431">
        <f t="shared" si="8"/>
        <v>0</v>
      </c>
      <c r="AD84" s="431">
        <f t="shared" si="8"/>
        <v>0</v>
      </c>
      <c r="AE84" s="431">
        <f t="shared" si="8"/>
        <v>0</v>
      </c>
      <c r="AF84" s="431">
        <f t="shared" si="8"/>
        <v>0</v>
      </c>
      <c r="AG84" s="431">
        <f t="shared" si="8"/>
        <v>0</v>
      </c>
      <c r="AH84" s="431">
        <f t="shared" si="8"/>
        <v>0</v>
      </c>
      <c r="AI84" s="431">
        <f t="shared" si="8"/>
        <v>0</v>
      </c>
      <c r="AJ84" s="431">
        <f t="shared" si="8"/>
        <v>0</v>
      </c>
      <c r="AK84" s="431">
        <f t="shared" si="8"/>
        <v>0</v>
      </c>
      <c r="AL84" s="431">
        <f t="shared" si="8"/>
        <v>0</v>
      </c>
      <c r="AM84" s="431">
        <f t="shared" si="8"/>
        <v>0</v>
      </c>
      <c r="AN84" s="431">
        <f t="shared" si="8"/>
        <v>0</v>
      </c>
      <c r="AO84" s="431">
        <f t="shared" si="8"/>
        <v>0</v>
      </c>
      <c r="AP84" s="431">
        <f t="shared" si="8"/>
        <v>0</v>
      </c>
    </row>
    <row r="85" spans="3:42" s="131" customFormat="1" x14ac:dyDescent="0.25">
      <c r="C85" s="132"/>
      <c r="E85" s="175"/>
      <c r="F85" s="176" t="s">
        <v>43</v>
      </c>
      <c r="G85" s="167" t="s">
        <v>726</v>
      </c>
      <c r="H85" s="139"/>
      <c r="I85" s="139"/>
      <c r="J85" s="428">
        <f t="shared" ref="J85:AP85" si="9">J$20 * J40 * thousand / PowerFactor</f>
        <v>0</v>
      </c>
      <c r="K85" s="428">
        <f t="shared" si="9"/>
        <v>0</v>
      </c>
      <c r="L85" s="428">
        <f t="shared" si="9"/>
        <v>0</v>
      </c>
      <c r="M85" s="428">
        <f t="shared" si="9"/>
        <v>0</v>
      </c>
      <c r="N85" s="428">
        <f t="shared" si="9"/>
        <v>0</v>
      </c>
      <c r="O85" s="428">
        <f t="shared" si="9"/>
        <v>0</v>
      </c>
      <c r="P85" s="428">
        <f t="shared" si="9"/>
        <v>0</v>
      </c>
      <c r="Q85" s="428">
        <f t="shared" si="9"/>
        <v>0</v>
      </c>
      <c r="R85" s="428">
        <f t="shared" si="9"/>
        <v>0</v>
      </c>
      <c r="S85" s="428">
        <f t="shared" si="9"/>
        <v>0</v>
      </c>
      <c r="T85" s="428">
        <f t="shared" si="9"/>
        <v>0</v>
      </c>
      <c r="U85" s="428">
        <f t="shared" si="9"/>
        <v>0</v>
      </c>
      <c r="V85" s="428">
        <f t="shared" si="9"/>
        <v>0</v>
      </c>
      <c r="W85" s="428">
        <f t="shared" si="9"/>
        <v>0</v>
      </c>
      <c r="X85" s="428">
        <f t="shared" si="9"/>
        <v>0</v>
      </c>
      <c r="Y85" s="428">
        <f t="shared" si="9"/>
        <v>0</v>
      </c>
      <c r="Z85" s="428">
        <f t="shared" si="9"/>
        <v>0</v>
      </c>
      <c r="AA85" s="428">
        <f t="shared" si="9"/>
        <v>0</v>
      </c>
      <c r="AB85" s="428">
        <f t="shared" si="9"/>
        <v>0</v>
      </c>
      <c r="AC85" s="428">
        <f t="shared" si="9"/>
        <v>0</v>
      </c>
      <c r="AD85" s="428">
        <f t="shared" si="9"/>
        <v>0</v>
      </c>
      <c r="AE85" s="428">
        <f t="shared" si="9"/>
        <v>0</v>
      </c>
      <c r="AF85" s="428">
        <f t="shared" si="9"/>
        <v>0</v>
      </c>
      <c r="AG85" s="428">
        <f t="shared" si="9"/>
        <v>0</v>
      </c>
      <c r="AH85" s="428">
        <f t="shared" si="9"/>
        <v>0</v>
      </c>
      <c r="AI85" s="428">
        <f t="shared" si="9"/>
        <v>0</v>
      </c>
      <c r="AJ85" s="428">
        <f t="shared" si="9"/>
        <v>0</v>
      </c>
      <c r="AK85" s="428">
        <f t="shared" si="9"/>
        <v>0</v>
      </c>
      <c r="AL85" s="428">
        <f t="shared" si="9"/>
        <v>0</v>
      </c>
      <c r="AM85" s="428">
        <f t="shared" si="9"/>
        <v>0</v>
      </c>
      <c r="AN85" s="428">
        <f t="shared" si="9"/>
        <v>0</v>
      </c>
      <c r="AO85" s="428">
        <f t="shared" si="9"/>
        <v>0</v>
      </c>
      <c r="AP85" s="428">
        <f t="shared" si="9"/>
        <v>0</v>
      </c>
    </row>
    <row r="86" spans="3:42" s="131" customFormat="1" x14ac:dyDescent="0.25">
      <c r="C86" s="132"/>
      <c r="E86" s="175"/>
      <c r="F86" s="176" t="s">
        <v>44</v>
      </c>
      <c r="G86" s="167" t="s">
        <v>726</v>
      </c>
      <c r="H86" s="139"/>
      <c r="I86" s="139"/>
      <c r="J86" s="428">
        <f t="shared" ref="J86:AP86" si="10">J$20 * J41 * thousand / PowerFactor</f>
        <v>0</v>
      </c>
      <c r="K86" s="428">
        <f t="shared" si="10"/>
        <v>0</v>
      </c>
      <c r="L86" s="428">
        <f t="shared" si="10"/>
        <v>0</v>
      </c>
      <c r="M86" s="428">
        <f t="shared" si="10"/>
        <v>0</v>
      </c>
      <c r="N86" s="428">
        <f t="shared" si="10"/>
        <v>0</v>
      </c>
      <c r="O86" s="428">
        <f t="shared" si="10"/>
        <v>0</v>
      </c>
      <c r="P86" s="428">
        <f t="shared" si="10"/>
        <v>0</v>
      </c>
      <c r="Q86" s="428">
        <f t="shared" si="10"/>
        <v>0</v>
      </c>
      <c r="R86" s="428">
        <f t="shared" si="10"/>
        <v>0</v>
      </c>
      <c r="S86" s="428">
        <f t="shared" si="10"/>
        <v>0</v>
      </c>
      <c r="T86" s="428">
        <f t="shared" si="10"/>
        <v>0</v>
      </c>
      <c r="U86" s="428">
        <f t="shared" si="10"/>
        <v>0</v>
      </c>
      <c r="V86" s="428">
        <f t="shared" si="10"/>
        <v>0</v>
      </c>
      <c r="W86" s="428">
        <f t="shared" si="10"/>
        <v>0</v>
      </c>
      <c r="X86" s="428">
        <f t="shared" si="10"/>
        <v>0</v>
      </c>
      <c r="Y86" s="428">
        <f t="shared" si="10"/>
        <v>0</v>
      </c>
      <c r="Z86" s="428">
        <f t="shared" si="10"/>
        <v>0</v>
      </c>
      <c r="AA86" s="428">
        <f t="shared" si="10"/>
        <v>0</v>
      </c>
      <c r="AB86" s="428">
        <f t="shared" si="10"/>
        <v>0</v>
      </c>
      <c r="AC86" s="428">
        <f t="shared" si="10"/>
        <v>0</v>
      </c>
      <c r="AD86" s="428">
        <f t="shared" si="10"/>
        <v>0</v>
      </c>
      <c r="AE86" s="428">
        <f t="shared" si="10"/>
        <v>0</v>
      </c>
      <c r="AF86" s="428">
        <f t="shared" si="10"/>
        <v>0</v>
      </c>
      <c r="AG86" s="428">
        <f t="shared" si="10"/>
        <v>0</v>
      </c>
      <c r="AH86" s="428">
        <f t="shared" si="10"/>
        <v>0</v>
      </c>
      <c r="AI86" s="428">
        <f t="shared" si="10"/>
        <v>0</v>
      </c>
      <c r="AJ86" s="428">
        <f t="shared" si="10"/>
        <v>0</v>
      </c>
      <c r="AK86" s="428">
        <f t="shared" si="10"/>
        <v>0</v>
      </c>
      <c r="AL86" s="428">
        <f t="shared" si="10"/>
        <v>0</v>
      </c>
      <c r="AM86" s="428">
        <f t="shared" si="10"/>
        <v>0</v>
      </c>
      <c r="AN86" s="428">
        <f t="shared" si="10"/>
        <v>0</v>
      </c>
      <c r="AO86" s="428">
        <f t="shared" si="10"/>
        <v>0</v>
      </c>
      <c r="AP86" s="428">
        <f t="shared" si="10"/>
        <v>0</v>
      </c>
    </row>
    <row r="87" spans="3:42" s="131" customFormat="1" x14ac:dyDescent="0.25">
      <c r="C87" s="132"/>
      <c r="E87" s="175"/>
      <c r="F87" s="176" t="s">
        <v>45</v>
      </c>
      <c r="G87" s="167" t="s">
        <v>726</v>
      </c>
      <c r="H87" s="139"/>
      <c r="I87" s="139"/>
      <c r="J87" s="428">
        <f t="shared" ref="J87:AP87" si="11">J$20 * J42 * thousand / PowerFactor</f>
        <v>0</v>
      </c>
      <c r="K87" s="428">
        <f t="shared" si="11"/>
        <v>0</v>
      </c>
      <c r="L87" s="428">
        <f t="shared" si="11"/>
        <v>0</v>
      </c>
      <c r="M87" s="428">
        <f t="shared" si="11"/>
        <v>0</v>
      </c>
      <c r="N87" s="428">
        <f t="shared" si="11"/>
        <v>0</v>
      </c>
      <c r="O87" s="428">
        <f t="shared" si="11"/>
        <v>0</v>
      </c>
      <c r="P87" s="428">
        <f t="shared" si="11"/>
        <v>0</v>
      </c>
      <c r="Q87" s="428">
        <f t="shared" si="11"/>
        <v>0</v>
      </c>
      <c r="R87" s="428">
        <f t="shared" si="11"/>
        <v>0</v>
      </c>
      <c r="S87" s="428">
        <f t="shared" si="11"/>
        <v>0</v>
      </c>
      <c r="T87" s="428">
        <f t="shared" si="11"/>
        <v>0</v>
      </c>
      <c r="U87" s="428">
        <f t="shared" si="11"/>
        <v>0</v>
      </c>
      <c r="V87" s="428">
        <f t="shared" si="11"/>
        <v>0</v>
      </c>
      <c r="W87" s="428">
        <f t="shared" si="11"/>
        <v>0</v>
      </c>
      <c r="X87" s="428">
        <f t="shared" si="11"/>
        <v>0</v>
      </c>
      <c r="Y87" s="428">
        <f t="shared" si="11"/>
        <v>0</v>
      </c>
      <c r="Z87" s="428">
        <f t="shared" si="11"/>
        <v>0</v>
      </c>
      <c r="AA87" s="428">
        <f t="shared" si="11"/>
        <v>0</v>
      </c>
      <c r="AB87" s="428">
        <f t="shared" si="11"/>
        <v>0</v>
      </c>
      <c r="AC87" s="428">
        <f t="shared" si="11"/>
        <v>0</v>
      </c>
      <c r="AD87" s="428">
        <f t="shared" si="11"/>
        <v>0</v>
      </c>
      <c r="AE87" s="428">
        <f t="shared" si="11"/>
        <v>0</v>
      </c>
      <c r="AF87" s="428">
        <f t="shared" si="11"/>
        <v>0</v>
      </c>
      <c r="AG87" s="428">
        <f t="shared" si="11"/>
        <v>0</v>
      </c>
      <c r="AH87" s="428">
        <f t="shared" si="11"/>
        <v>0</v>
      </c>
      <c r="AI87" s="428">
        <f t="shared" si="11"/>
        <v>0</v>
      </c>
      <c r="AJ87" s="428">
        <f t="shared" si="11"/>
        <v>0</v>
      </c>
      <c r="AK87" s="428">
        <f t="shared" si="11"/>
        <v>0</v>
      </c>
      <c r="AL87" s="428">
        <f t="shared" si="11"/>
        <v>0</v>
      </c>
      <c r="AM87" s="428">
        <f t="shared" si="11"/>
        <v>0</v>
      </c>
      <c r="AN87" s="428">
        <f t="shared" si="11"/>
        <v>0</v>
      </c>
      <c r="AO87" s="428">
        <f t="shared" si="11"/>
        <v>0</v>
      </c>
      <c r="AP87" s="428">
        <f t="shared" si="11"/>
        <v>0</v>
      </c>
    </row>
    <row r="88" spans="3:42" s="131" customFormat="1" x14ac:dyDescent="0.25">
      <c r="C88" s="132"/>
      <c r="E88" s="175"/>
      <c r="F88" s="176" t="s">
        <v>46</v>
      </c>
      <c r="G88" s="167" t="s">
        <v>726</v>
      </c>
      <c r="H88" s="139"/>
      <c r="I88" s="139"/>
      <c r="J88" s="428">
        <f t="shared" ref="J88:AP88" si="12">J$20 * J43 * thousand / PowerFactor</f>
        <v>0</v>
      </c>
      <c r="K88" s="428">
        <f t="shared" si="12"/>
        <v>0</v>
      </c>
      <c r="L88" s="428">
        <f t="shared" si="12"/>
        <v>0</v>
      </c>
      <c r="M88" s="428">
        <f t="shared" si="12"/>
        <v>0</v>
      </c>
      <c r="N88" s="428">
        <f t="shared" si="12"/>
        <v>0</v>
      </c>
      <c r="O88" s="428">
        <f t="shared" si="12"/>
        <v>0</v>
      </c>
      <c r="P88" s="428">
        <f t="shared" si="12"/>
        <v>0</v>
      </c>
      <c r="Q88" s="428">
        <f t="shared" si="12"/>
        <v>0</v>
      </c>
      <c r="R88" s="428">
        <f t="shared" si="12"/>
        <v>14.513560299763071</v>
      </c>
      <c r="S88" s="428">
        <f t="shared" si="12"/>
        <v>0</v>
      </c>
      <c r="T88" s="428">
        <f t="shared" si="12"/>
        <v>0</v>
      </c>
      <c r="U88" s="428">
        <f t="shared" si="12"/>
        <v>0</v>
      </c>
      <c r="V88" s="428">
        <f t="shared" si="12"/>
        <v>0</v>
      </c>
      <c r="W88" s="428">
        <f t="shared" si="12"/>
        <v>0</v>
      </c>
      <c r="X88" s="428">
        <f t="shared" si="12"/>
        <v>0</v>
      </c>
      <c r="Y88" s="428">
        <f t="shared" si="12"/>
        <v>0</v>
      </c>
      <c r="Z88" s="428">
        <f t="shared" si="12"/>
        <v>0</v>
      </c>
      <c r="AA88" s="428">
        <f t="shared" si="12"/>
        <v>0</v>
      </c>
      <c r="AB88" s="428">
        <f t="shared" si="12"/>
        <v>0</v>
      </c>
      <c r="AC88" s="428">
        <f t="shared" si="12"/>
        <v>0</v>
      </c>
      <c r="AD88" s="428">
        <f t="shared" si="12"/>
        <v>0</v>
      </c>
      <c r="AE88" s="428">
        <f t="shared" si="12"/>
        <v>0</v>
      </c>
      <c r="AF88" s="428">
        <f t="shared" si="12"/>
        <v>0</v>
      </c>
      <c r="AG88" s="428">
        <f t="shared" si="12"/>
        <v>0</v>
      </c>
      <c r="AH88" s="428">
        <f t="shared" si="12"/>
        <v>0</v>
      </c>
      <c r="AI88" s="428">
        <f t="shared" si="12"/>
        <v>0</v>
      </c>
      <c r="AJ88" s="428">
        <f t="shared" si="12"/>
        <v>0</v>
      </c>
      <c r="AK88" s="428">
        <f t="shared" si="12"/>
        <v>0</v>
      </c>
      <c r="AL88" s="428">
        <f t="shared" si="12"/>
        <v>0</v>
      </c>
      <c r="AM88" s="428">
        <f t="shared" si="12"/>
        <v>0</v>
      </c>
      <c r="AN88" s="428">
        <f t="shared" si="12"/>
        <v>0</v>
      </c>
      <c r="AO88" s="428">
        <f t="shared" si="12"/>
        <v>0</v>
      </c>
      <c r="AP88" s="428">
        <f t="shared" si="12"/>
        <v>0</v>
      </c>
    </row>
    <row r="89" spans="3:42" s="131" customFormat="1" x14ac:dyDescent="0.25">
      <c r="C89" s="132"/>
      <c r="E89" s="175"/>
      <c r="F89" s="176" t="s">
        <v>47</v>
      </c>
      <c r="G89" s="167" t="s">
        <v>726</v>
      </c>
      <c r="H89" s="139"/>
      <c r="I89" s="139"/>
      <c r="J89" s="428">
        <f t="shared" ref="J89:AP89" si="13">J$20 * J44 * thousand / PowerFactor</f>
        <v>0</v>
      </c>
      <c r="K89" s="428">
        <f t="shared" si="13"/>
        <v>0</v>
      </c>
      <c r="L89" s="428">
        <f t="shared" si="13"/>
        <v>0</v>
      </c>
      <c r="M89" s="428">
        <f t="shared" si="13"/>
        <v>0</v>
      </c>
      <c r="N89" s="428">
        <f t="shared" si="13"/>
        <v>0</v>
      </c>
      <c r="O89" s="428">
        <f t="shared" si="13"/>
        <v>0</v>
      </c>
      <c r="P89" s="428">
        <f t="shared" si="13"/>
        <v>0</v>
      </c>
      <c r="Q89" s="428">
        <f t="shared" si="13"/>
        <v>0</v>
      </c>
      <c r="R89" s="428">
        <f t="shared" si="13"/>
        <v>55.273692584586797</v>
      </c>
      <c r="S89" s="428">
        <f t="shared" si="13"/>
        <v>0</v>
      </c>
      <c r="T89" s="428">
        <f t="shared" si="13"/>
        <v>0</v>
      </c>
      <c r="U89" s="428">
        <f t="shared" si="13"/>
        <v>0</v>
      </c>
      <c r="V89" s="428">
        <f t="shared" si="13"/>
        <v>0</v>
      </c>
      <c r="W89" s="428">
        <f t="shared" si="13"/>
        <v>0</v>
      </c>
      <c r="X89" s="428">
        <f t="shared" si="13"/>
        <v>0</v>
      </c>
      <c r="Y89" s="428">
        <f t="shared" si="13"/>
        <v>0</v>
      </c>
      <c r="Z89" s="428">
        <f t="shared" si="13"/>
        <v>0</v>
      </c>
      <c r="AA89" s="428">
        <f t="shared" si="13"/>
        <v>0</v>
      </c>
      <c r="AB89" s="428">
        <f t="shared" si="13"/>
        <v>0</v>
      </c>
      <c r="AC89" s="428">
        <f t="shared" si="13"/>
        <v>0</v>
      </c>
      <c r="AD89" s="428">
        <f t="shared" si="13"/>
        <v>0</v>
      </c>
      <c r="AE89" s="428">
        <f t="shared" si="13"/>
        <v>0</v>
      </c>
      <c r="AF89" s="428">
        <f t="shared" si="13"/>
        <v>0</v>
      </c>
      <c r="AG89" s="428">
        <f t="shared" si="13"/>
        <v>0</v>
      </c>
      <c r="AH89" s="428">
        <f t="shared" si="13"/>
        <v>0</v>
      </c>
      <c r="AI89" s="428">
        <f t="shared" si="13"/>
        <v>0</v>
      </c>
      <c r="AJ89" s="428">
        <f t="shared" si="13"/>
        <v>0</v>
      </c>
      <c r="AK89" s="428">
        <f t="shared" si="13"/>
        <v>0</v>
      </c>
      <c r="AL89" s="428">
        <f t="shared" si="13"/>
        <v>0</v>
      </c>
      <c r="AM89" s="428">
        <f t="shared" si="13"/>
        <v>0</v>
      </c>
      <c r="AN89" s="428">
        <f t="shared" si="13"/>
        <v>0</v>
      </c>
      <c r="AO89" s="428">
        <f t="shared" si="13"/>
        <v>0</v>
      </c>
      <c r="AP89" s="428">
        <f t="shared" si="13"/>
        <v>0</v>
      </c>
    </row>
    <row r="90" spans="3:42" s="131" customFormat="1" x14ac:dyDescent="0.25">
      <c r="C90" s="132"/>
      <c r="E90" s="175"/>
      <c r="F90" s="176" t="s">
        <v>51</v>
      </c>
      <c r="G90" s="167" t="s">
        <v>726</v>
      </c>
      <c r="H90" s="139"/>
      <c r="I90" s="139"/>
      <c r="J90" s="428">
        <f t="shared" ref="J90:AP90" si="14">J$20 * J45 * thousand / PowerFactor</f>
        <v>0</v>
      </c>
      <c r="K90" s="428">
        <f t="shared" si="14"/>
        <v>0</v>
      </c>
      <c r="L90" s="428">
        <f t="shared" si="14"/>
        <v>0</v>
      </c>
      <c r="M90" s="428">
        <f t="shared" si="14"/>
        <v>0</v>
      </c>
      <c r="N90" s="428">
        <f t="shared" si="14"/>
        <v>0</v>
      </c>
      <c r="O90" s="428">
        <f t="shared" si="14"/>
        <v>0</v>
      </c>
      <c r="P90" s="428">
        <f t="shared" si="14"/>
        <v>0</v>
      </c>
      <c r="Q90" s="428">
        <f t="shared" si="14"/>
        <v>0</v>
      </c>
      <c r="R90" s="428">
        <f t="shared" si="14"/>
        <v>0</v>
      </c>
      <c r="S90" s="428">
        <f t="shared" si="14"/>
        <v>0</v>
      </c>
      <c r="T90" s="428">
        <f t="shared" si="14"/>
        <v>0</v>
      </c>
      <c r="U90" s="428">
        <f t="shared" si="14"/>
        <v>0</v>
      </c>
      <c r="V90" s="428">
        <f t="shared" si="14"/>
        <v>0</v>
      </c>
      <c r="W90" s="428">
        <f t="shared" si="14"/>
        <v>0</v>
      </c>
      <c r="X90" s="428">
        <f t="shared" si="14"/>
        <v>0</v>
      </c>
      <c r="Y90" s="428">
        <f t="shared" si="14"/>
        <v>0</v>
      </c>
      <c r="Z90" s="428">
        <f t="shared" si="14"/>
        <v>0</v>
      </c>
      <c r="AA90" s="428">
        <f t="shared" si="14"/>
        <v>0</v>
      </c>
      <c r="AB90" s="428">
        <f t="shared" si="14"/>
        <v>0</v>
      </c>
      <c r="AC90" s="428">
        <f t="shared" si="14"/>
        <v>0</v>
      </c>
      <c r="AD90" s="428">
        <f t="shared" si="14"/>
        <v>0</v>
      </c>
      <c r="AE90" s="428">
        <f t="shared" si="14"/>
        <v>0</v>
      </c>
      <c r="AF90" s="428">
        <f t="shared" si="14"/>
        <v>0</v>
      </c>
      <c r="AG90" s="428">
        <f t="shared" si="14"/>
        <v>0</v>
      </c>
      <c r="AH90" s="428">
        <f t="shared" si="14"/>
        <v>0</v>
      </c>
      <c r="AI90" s="428">
        <f t="shared" si="14"/>
        <v>0</v>
      </c>
      <c r="AJ90" s="428">
        <f t="shared" si="14"/>
        <v>0</v>
      </c>
      <c r="AK90" s="428">
        <f t="shared" si="14"/>
        <v>0</v>
      </c>
      <c r="AL90" s="428">
        <f t="shared" si="14"/>
        <v>0</v>
      </c>
      <c r="AM90" s="428">
        <f t="shared" si="14"/>
        <v>0</v>
      </c>
      <c r="AN90" s="428">
        <f t="shared" si="14"/>
        <v>0</v>
      </c>
      <c r="AO90" s="428">
        <f t="shared" si="14"/>
        <v>0</v>
      </c>
      <c r="AP90" s="428">
        <f t="shared" si="14"/>
        <v>0</v>
      </c>
    </row>
    <row r="91" spans="3:42" s="131" customFormat="1" x14ac:dyDescent="0.25">
      <c r="C91" s="132"/>
      <c r="E91" s="175"/>
      <c r="F91" s="176" t="s">
        <v>48</v>
      </c>
      <c r="G91" s="167" t="s">
        <v>726</v>
      </c>
      <c r="H91" s="139"/>
      <c r="I91" s="139"/>
      <c r="J91" s="428">
        <f t="shared" ref="J91:AP91" si="15">J$20 * J46 * thousand / PowerFactor</f>
        <v>0</v>
      </c>
      <c r="K91" s="428">
        <f t="shared" si="15"/>
        <v>0</v>
      </c>
      <c r="L91" s="428">
        <f t="shared" si="15"/>
        <v>0</v>
      </c>
      <c r="M91" s="428">
        <f t="shared" si="15"/>
        <v>0</v>
      </c>
      <c r="N91" s="428">
        <f t="shared" si="15"/>
        <v>0</v>
      </c>
      <c r="O91" s="428">
        <f t="shared" si="15"/>
        <v>0</v>
      </c>
      <c r="P91" s="428">
        <f t="shared" si="15"/>
        <v>0</v>
      </c>
      <c r="Q91" s="428">
        <f t="shared" si="15"/>
        <v>0</v>
      </c>
      <c r="R91" s="428">
        <f t="shared" si="15"/>
        <v>131.9129429648188</v>
      </c>
      <c r="S91" s="428">
        <f t="shared" si="15"/>
        <v>0</v>
      </c>
      <c r="T91" s="428">
        <f t="shared" si="15"/>
        <v>0</v>
      </c>
      <c r="U91" s="428">
        <f t="shared" si="15"/>
        <v>0</v>
      </c>
      <c r="V91" s="428">
        <f t="shared" si="15"/>
        <v>0</v>
      </c>
      <c r="W91" s="428">
        <f t="shared" si="15"/>
        <v>0</v>
      </c>
      <c r="X91" s="428">
        <f t="shared" si="15"/>
        <v>0</v>
      </c>
      <c r="Y91" s="428">
        <f t="shared" si="15"/>
        <v>0</v>
      </c>
      <c r="Z91" s="428">
        <f t="shared" si="15"/>
        <v>0</v>
      </c>
      <c r="AA91" s="428">
        <f t="shared" si="15"/>
        <v>0</v>
      </c>
      <c r="AB91" s="428">
        <f t="shared" si="15"/>
        <v>0</v>
      </c>
      <c r="AC91" s="428">
        <f t="shared" si="15"/>
        <v>0</v>
      </c>
      <c r="AD91" s="428">
        <f t="shared" si="15"/>
        <v>0</v>
      </c>
      <c r="AE91" s="428">
        <f t="shared" si="15"/>
        <v>0</v>
      </c>
      <c r="AF91" s="428">
        <f t="shared" si="15"/>
        <v>0</v>
      </c>
      <c r="AG91" s="428">
        <f t="shared" si="15"/>
        <v>0</v>
      </c>
      <c r="AH91" s="428">
        <f t="shared" si="15"/>
        <v>0</v>
      </c>
      <c r="AI91" s="428">
        <f t="shared" si="15"/>
        <v>0</v>
      </c>
      <c r="AJ91" s="428">
        <f t="shared" si="15"/>
        <v>0</v>
      </c>
      <c r="AK91" s="428">
        <f t="shared" si="15"/>
        <v>0</v>
      </c>
      <c r="AL91" s="428">
        <f t="shared" si="15"/>
        <v>0</v>
      </c>
      <c r="AM91" s="428">
        <f t="shared" si="15"/>
        <v>0</v>
      </c>
      <c r="AN91" s="428">
        <f t="shared" si="15"/>
        <v>0</v>
      </c>
      <c r="AO91" s="428">
        <f t="shared" si="15"/>
        <v>0</v>
      </c>
      <c r="AP91" s="428">
        <f t="shared" si="15"/>
        <v>0</v>
      </c>
    </row>
    <row r="92" spans="3:42" s="131" customFormat="1" x14ac:dyDescent="0.25">
      <c r="C92" s="132"/>
      <c r="E92" s="175"/>
      <c r="F92" s="176" t="s">
        <v>49</v>
      </c>
      <c r="G92" s="167" t="s">
        <v>726</v>
      </c>
      <c r="H92" s="139"/>
      <c r="I92" s="139"/>
      <c r="J92" s="428">
        <f t="shared" ref="J92:AP92" si="16">J$20 * J47 * thousand / PowerFactor</f>
        <v>0</v>
      </c>
      <c r="K92" s="428">
        <f t="shared" si="16"/>
        <v>0</v>
      </c>
      <c r="L92" s="428">
        <f t="shared" si="16"/>
        <v>0</v>
      </c>
      <c r="M92" s="428">
        <f t="shared" si="16"/>
        <v>0</v>
      </c>
      <c r="N92" s="428">
        <f t="shared" si="16"/>
        <v>0</v>
      </c>
      <c r="O92" s="428">
        <f t="shared" si="16"/>
        <v>0</v>
      </c>
      <c r="P92" s="428">
        <f t="shared" si="16"/>
        <v>0</v>
      </c>
      <c r="Q92" s="428">
        <f t="shared" si="16"/>
        <v>0</v>
      </c>
      <c r="R92" s="428">
        <f t="shared" si="16"/>
        <v>0</v>
      </c>
      <c r="S92" s="428">
        <f t="shared" si="16"/>
        <v>0</v>
      </c>
      <c r="T92" s="428">
        <f t="shared" si="16"/>
        <v>0</v>
      </c>
      <c r="U92" s="428">
        <f t="shared" si="16"/>
        <v>0</v>
      </c>
      <c r="V92" s="428">
        <f t="shared" si="16"/>
        <v>0</v>
      </c>
      <c r="W92" s="428">
        <f t="shared" si="16"/>
        <v>0</v>
      </c>
      <c r="X92" s="428">
        <f t="shared" si="16"/>
        <v>0</v>
      </c>
      <c r="Y92" s="428">
        <f t="shared" si="16"/>
        <v>0</v>
      </c>
      <c r="Z92" s="428">
        <f t="shared" si="16"/>
        <v>0</v>
      </c>
      <c r="AA92" s="428">
        <f t="shared" si="16"/>
        <v>0</v>
      </c>
      <c r="AB92" s="428">
        <f t="shared" si="16"/>
        <v>0</v>
      </c>
      <c r="AC92" s="428">
        <f t="shared" si="16"/>
        <v>0</v>
      </c>
      <c r="AD92" s="428">
        <f t="shared" si="16"/>
        <v>0</v>
      </c>
      <c r="AE92" s="428">
        <f t="shared" si="16"/>
        <v>0</v>
      </c>
      <c r="AF92" s="428">
        <f t="shared" si="16"/>
        <v>0</v>
      </c>
      <c r="AG92" s="428">
        <f t="shared" si="16"/>
        <v>0</v>
      </c>
      <c r="AH92" s="428">
        <f t="shared" si="16"/>
        <v>0</v>
      </c>
      <c r="AI92" s="428">
        <f t="shared" si="16"/>
        <v>0</v>
      </c>
      <c r="AJ92" s="428">
        <f t="shared" si="16"/>
        <v>0</v>
      </c>
      <c r="AK92" s="428">
        <f t="shared" si="16"/>
        <v>0</v>
      </c>
      <c r="AL92" s="428">
        <f t="shared" si="16"/>
        <v>0</v>
      </c>
      <c r="AM92" s="428">
        <f t="shared" si="16"/>
        <v>0</v>
      </c>
      <c r="AN92" s="428">
        <f t="shared" si="16"/>
        <v>0</v>
      </c>
      <c r="AO92" s="428">
        <f t="shared" si="16"/>
        <v>0</v>
      </c>
      <c r="AP92" s="428">
        <f t="shared" si="16"/>
        <v>0</v>
      </c>
    </row>
    <row r="93" spans="3:42" s="131" customFormat="1" x14ac:dyDescent="0.25">
      <c r="C93" s="132"/>
      <c r="E93" s="175"/>
      <c r="F93" s="176" t="s">
        <v>50</v>
      </c>
      <c r="G93" s="167" t="s">
        <v>726</v>
      </c>
      <c r="H93" s="139"/>
      <c r="I93" s="139"/>
      <c r="J93" s="428">
        <f t="shared" ref="J93:AP93" si="17">J$20 * J48 * thousand / PowerFactor</f>
        <v>1811836.9139708066</v>
      </c>
      <c r="K93" s="428">
        <f t="shared" si="17"/>
        <v>473114.1681314272</v>
      </c>
      <c r="L93" s="428">
        <f t="shared" si="17"/>
        <v>0</v>
      </c>
      <c r="M93" s="428">
        <f t="shared" si="17"/>
        <v>570215.60015803005</v>
      </c>
      <c r="N93" s="428">
        <f t="shared" si="17"/>
        <v>127021.30534219783</v>
      </c>
      <c r="O93" s="428">
        <f t="shared" si="17"/>
        <v>0</v>
      </c>
      <c r="P93" s="428">
        <f t="shared" si="17"/>
        <v>16704.1633940592</v>
      </c>
      <c r="Q93" s="428">
        <f t="shared" si="17"/>
        <v>0</v>
      </c>
      <c r="R93" s="428">
        <f t="shared" si="17"/>
        <v>0</v>
      </c>
      <c r="S93" s="428">
        <f t="shared" si="17"/>
        <v>15015.682195331452</v>
      </c>
      <c r="T93" s="428">
        <f t="shared" si="17"/>
        <v>57882.283909636528</v>
      </c>
      <c r="U93" s="428">
        <f t="shared" si="17"/>
        <v>0</v>
      </c>
      <c r="V93" s="428">
        <f t="shared" si="17"/>
        <v>0</v>
      </c>
      <c r="W93" s="428">
        <f t="shared" si="17"/>
        <v>0</v>
      </c>
      <c r="X93" s="428">
        <f t="shared" si="17"/>
        <v>0</v>
      </c>
      <c r="Y93" s="428">
        <f t="shared" si="17"/>
        <v>0</v>
      </c>
      <c r="Z93" s="428">
        <f t="shared" si="17"/>
        <v>0</v>
      </c>
      <c r="AA93" s="428">
        <f t="shared" si="17"/>
        <v>0</v>
      </c>
      <c r="AB93" s="428">
        <f t="shared" si="17"/>
        <v>0</v>
      </c>
      <c r="AC93" s="428">
        <f t="shared" si="17"/>
        <v>0</v>
      </c>
      <c r="AD93" s="428">
        <f t="shared" si="17"/>
        <v>0</v>
      </c>
      <c r="AE93" s="428">
        <f t="shared" si="17"/>
        <v>0</v>
      </c>
      <c r="AF93" s="428">
        <f t="shared" si="17"/>
        <v>0</v>
      </c>
      <c r="AG93" s="428">
        <f t="shared" si="17"/>
        <v>0</v>
      </c>
      <c r="AH93" s="428">
        <f t="shared" si="17"/>
        <v>0</v>
      </c>
      <c r="AI93" s="428">
        <f t="shared" si="17"/>
        <v>0</v>
      </c>
      <c r="AJ93" s="428">
        <f t="shared" si="17"/>
        <v>0</v>
      </c>
      <c r="AK93" s="428">
        <f t="shared" si="17"/>
        <v>0</v>
      </c>
      <c r="AL93" s="428">
        <f t="shared" si="17"/>
        <v>0</v>
      </c>
      <c r="AM93" s="428">
        <f t="shared" si="17"/>
        <v>0</v>
      </c>
      <c r="AN93" s="428">
        <f t="shared" si="17"/>
        <v>0</v>
      </c>
      <c r="AO93" s="428">
        <f t="shared" si="17"/>
        <v>0</v>
      </c>
      <c r="AP93" s="428">
        <f t="shared" si="17"/>
        <v>0</v>
      </c>
    </row>
    <row r="94" spans="3:42" s="131" customFormat="1" x14ac:dyDescent="0.25">
      <c r="C94" s="132"/>
      <c r="E94" s="175"/>
      <c r="F94" s="176" t="s">
        <v>141</v>
      </c>
      <c r="G94" s="167" t="s">
        <v>726</v>
      </c>
      <c r="H94" s="139"/>
      <c r="I94" s="139"/>
      <c r="J94" s="403"/>
      <c r="K94" s="403"/>
      <c r="L94" s="403"/>
      <c r="M94" s="403"/>
      <c r="N94" s="403"/>
      <c r="O94" s="403"/>
      <c r="P94" s="403"/>
      <c r="Q94" s="403"/>
      <c r="R94" s="403"/>
      <c r="S94" s="403"/>
      <c r="T94" s="403"/>
      <c r="U94" s="403"/>
      <c r="V94" s="403"/>
      <c r="W94" s="403"/>
      <c r="X94" s="403"/>
      <c r="Y94" s="403"/>
      <c r="Z94" s="403"/>
      <c r="AA94" s="403"/>
      <c r="AB94" s="403"/>
      <c r="AC94" s="403"/>
      <c r="AD94" s="403"/>
      <c r="AE94" s="403"/>
      <c r="AF94" s="403"/>
      <c r="AG94" s="403"/>
      <c r="AH94" s="403"/>
      <c r="AI94" s="403"/>
      <c r="AJ94" s="403"/>
      <c r="AK94" s="403"/>
      <c r="AL94" s="403"/>
      <c r="AM94" s="403"/>
      <c r="AN94" s="403"/>
      <c r="AO94" s="403"/>
      <c r="AP94" s="403"/>
    </row>
    <row r="95" spans="3:42" s="131" customFormat="1" x14ac:dyDescent="0.25">
      <c r="C95" s="132"/>
      <c r="E95" s="175"/>
      <c r="F95" s="177" t="s">
        <v>140</v>
      </c>
      <c r="G95" s="168" t="s">
        <v>726</v>
      </c>
      <c r="H95" s="140"/>
      <c r="I95" s="140"/>
      <c r="J95" s="404"/>
      <c r="K95" s="404"/>
      <c r="L95" s="404"/>
      <c r="M95" s="404"/>
      <c r="N95" s="404"/>
      <c r="O95" s="404"/>
      <c r="P95" s="404"/>
      <c r="Q95" s="404"/>
      <c r="R95" s="404"/>
      <c r="S95" s="404"/>
      <c r="T95" s="404"/>
      <c r="U95" s="404"/>
      <c r="V95" s="404"/>
      <c r="W95" s="404"/>
      <c r="X95" s="404"/>
      <c r="Y95" s="404"/>
      <c r="Z95" s="404"/>
      <c r="AA95" s="404"/>
      <c r="AB95" s="404"/>
      <c r="AC95" s="404"/>
      <c r="AD95" s="404"/>
      <c r="AE95" s="404"/>
      <c r="AF95" s="404"/>
      <c r="AG95" s="404"/>
      <c r="AH95" s="404"/>
      <c r="AI95" s="404"/>
      <c r="AJ95" s="404"/>
      <c r="AK95" s="404"/>
      <c r="AL95" s="404"/>
      <c r="AM95" s="404"/>
      <c r="AN95" s="404"/>
      <c r="AO95" s="404"/>
      <c r="AP95" s="404"/>
    </row>
    <row r="96" spans="3:42" s="131" customFormat="1" x14ac:dyDescent="0.25">
      <c r="C96" s="132"/>
      <c r="D96" s="147"/>
      <c r="E96" s="175"/>
      <c r="F96" s="117"/>
      <c r="J96" s="416"/>
      <c r="K96" s="416"/>
      <c r="L96" s="416"/>
      <c r="M96" s="416"/>
      <c r="N96" s="416"/>
      <c r="O96" s="416"/>
      <c r="P96" s="416"/>
      <c r="Q96" s="416"/>
      <c r="R96" s="416"/>
      <c r="S96" s="416"/>
      <c r="T96" s="416"/>
      <c r="U96" s="416"/>
      <c r="V96" s="416"/>
      <c r="W96" s="416"/>
      <c r="X96" s="416"/>
      <c r="Y96" s="416"/>
      <c r="Z96" s="416"/>
      <c r="AA96" s="416"/>
      <c r="AB96" s="416"/>
      <c r="AC96" s="416"/>
      <c r="AD96" s="416"/>
      <c r="AE96" s="416"/>
      <c r="AF96" s="416"/>
      <c r="AG96" s="416"/>
      <c r="AH96" s="416"/>
      <c r="AI96" s="416"/>
      <c r="AJ96" s="416"/>
      <c r="AK96" s="416"/>
      <c r="AL96" s="416"/>
      <c r="AM96" s="416"/>
      <c r="AN96" s="416"/>
      <c r="AO96" s="416"/>
      <c r="AP96" s="416"/>
    </row>
    <row r="97" spans="3:44" s="160" customFormat="1" x14ac:dyDescent="0.25">
      <c r="C97" s="22" t="str">
        <f ca="1">INDEX('Version control'!$H$34:$H$59,MATCH($A$1,'Version control'!$F$34:$F$59,0),1)&amp;"-F: Revenue allocated to fixed charges, by aggregation group"</f>
        <v>Section 517-F: Revenue allocated to fixed charges, by aggregation group</v>
      </c>
      <c r="D97" s="22"/>
      <c r="E97" s="22"/>
      <c r="F97" s="22"/>
      <c r="G97" s="22"/>
      <c r="H97" s="22"/>
      <c r="I97" s="22"/>
      <c r="J97" s="406"/>
      <c r="K97" s="406"/>
      <c r="L97" s="406"/>
      <c r="M97" s="406"/>
      <c r="N97" s="406"/>
      <c r="O97" s="406"/>
      <c r="P97" s="406"/>
      <c r="Q97" s="406"/>
      <c r="R97" s="406"/>
      <c r="S97" s="406"/>
      <c r="T97" s="406"/>
      <c r="U97" s="406"/>
      <c r="V97" s="406"/>
      <c r="W97" s="406"/>
      <c r="X97" s="406"/>
      <c r="Y97" s="406"/>
      <c r="Z97" s="406"/>
      <c r="AA97" s="406"/>
      <c r="AB97" s="406"/>
      <c r="AC97" s="406"/>
      <c r="AD97" s="406"/>
      <c r="AE97" s="406"/>
      <c r="AF97" s="406"/>
      <c r="AG97" s="406"/>
      <c r="AH97" s="406"/>
      <c r="AI97" s="406"/>
      <c r="AJ97" s="406"/>
      <c r="AK97" s="406"/>
      <c r="AL97" s="406"/>
      <c r="AM97" s="406"/>
      <c r="AN97" s="406"/>
      <c r="AO97" s="406"/>
      <c r="AP97" s="406"/>
      <c r="AQ97" s="22"/>
      <c r="AR97" s="22"/>
    </row>
    <row r="98" spans="3:44" s="131" customFormat="1" x14ac:dyDescent="0.25">
      <c r="E98" s="172"/>
      <c r="I98" s="131" t="s">
        <v>525</v>
      </c>
      <c r="J98" s="416"/>
      <c r="K98" s="416"/>
      <c r="L98" s="416"/>
      <c r="M98" s="416"/>
      <c r="N98" s="416"/>
      <c r="O98" s="416"/>
      <c r="P98" s="416"/>
      <c r="Q98" s="416"/>
      <c r="R98" s="416"/>
      <c r="S98" s="416"/>
      <c r="T98" s="416"/>
      <c r="U98" s="416"/>
      <c r="V98" s="416"/>
      <c r="W98" s="416"/>
      <c r="X98" s="416"/>
      <c r="Y98" s="416"/>
      <c r="Z98" s="416"/>
      <c r="AA98" s="416"/>
      <c r="AB98" s="416"/>
      <c r="AC98" s="416"/>
      <c r="AD98" s="416"/>
      <c r="AE98" s="416"/>
      <c r="AF98" s="416"/>
      <c r="AG98" s="416"/>
      <c r="AH98" s="416"/>
      <c r="AI98" s="416"/>
      <c r="AJ98" s="416"/>
      <c r="AK98" s="416"/>
      <c r="AL98" s="416"/>
      <c r="AM98" s="416"/>
      <c r="AN98" s="416"/>
      <c r="AO98" s="416"/>
      <c r="AP98" s="416"/>
      <c r="AR98" s="160" t="s">
        <v>1102</v>
      </c>
    </row>
    <row r="99" spans="3:44" s="131" customFormat="1" x14ac:dyDescent="0.25">
      <c r="C99" s="132"/>
      <c r="E99" s="172" t="s">
        <v>156</v>
      </c>
      <c r="J99" s="416"/>
      <c r="K99" s="416"/>
      <c r="L99" s="416"/>
      <c r="M99" s="416"/>
      <c r="N99" s="416"/>
      <c r="O99" s="416"/>
      <c r="P99" s="416"/>
      <c r="Q99" s="416"/>
      <c r="R99" s="416"/>
      <c r="S99" s="416"/>
      <c r="T99" s="416"/>
      <c r="U99" s="416"/>
      <c r="V99" s="416"/>
      <c r="W99" s="416"/>
      <c r="X99" s="416"/>
      <c r="Y99" s="416"/>
      <c r="Z99" s="416"/>
      <c r="AA99" s="416"/>
      <c r="AB99" s="416"/>
      <c r="AC99" s="416"/>
      <c r="AD99" s="416"/>
      <c r="AE99" s="416"/>
      <c r="AF99" s="416"/>
      <c r="AG99" s="416"/>
      <c r="AH99" s="416"/>
      <c r="AI99" s="416"/>
      <c r="AJ99" s="416"/>
      <c r="AK99" s="416"/>
      <c r="AL99" s="416"/>
      <c r="AM99" s="416"/>
      <c r="AN99" s="416"/>
      <c r="AO99" s="416"/>
      <c r="AP99" s="416"/>
    </row>
    <row r="100" spans="3:44" s="131" customFormat="1" x14ac:dyDescent="0.25">
      <c r="C100" s="132"/>
      <c r="E100" s="152"/>
      <c r="F100" s="72" t="s">
        <v>397</v>
      </c>
      <c r="G100" s="166" t="s">
        <v>726</v>
      </c>
      <c r="H100" s="137"/>
      <c r="I100" s="137"/>
      <c r="J100" s="402"/>
      <c r="K100" s="402"/>
      <c r="L100" s="402"/>
      <c r="M100" s="402"/>
      <c r="N100" s="402"/>
      <c r="O100" s="402"/>
      <c r="P100" s="402"/>
      <c r="Q100" s="402"/>
      <c r="R100" s="402"/>
      <c r="S100" s="402"/>
      <c r="T100" s="402"/>
      <c r="U100" s="402"/>
      <c r="V100" s="402"/>
      <c r="W100" s="402"/>
      <c r="X100" s="402"/>
      <c r="Y100" s="402"/>
      <c r="Z100" s="402"/>
      <c r="AA100" s="402"/>
      <c r="AB100" s="402"/>
      <c r="AC100" s="402"/>
      <c r="AD100" s="402"/>
      <c r="AE100" s="402"/>
      <c r="AF100" s="402"/>
      <c r="AG100" s="402"/>
      <c r="AH100" s="402"/>
      <c r="AI100" s="402"/>
      <c r="AJ100" s="402"/>
      <c r="AK100" s="402"/>
      <c r="AL100" s="402"/>
      <c r="AM100" s="402"/>
      <c r="AN100" s="402"/>
      <c r="AO100" s="402"/>
      <c r="AP100" s="402"/>
    </row>
    <row r="101" spans="3:44" s="131" customFormat="1" x14ac:dyDescent="0.25">
      <c r="C101" s="132"/>
      <c r="E101" s="152"/>
      <c r="F101" s="66" t="s">
        <v>43</v>
      </c>
      <c r="G101" s="167" t="s">
        <v>726</v>
      </c>
      <c r="H101" s="139"/>
      <c r="I101" s="139"/>
      <c r="J101" s="403"/>
      <c r="K101" s="403"/>
      <c r="L101" s="403"/>
      <c r="M101" s="403"/>
      <c r="N101" s="403"/>
      <c r="O101" s="403"/>
      <c r="P101" s="403"/>
      <c r="Q101" s="403"/>
      <c r="R101" s="403"/>
      <c r="S101" s="403"/>
      <c r="T101" s="403"/>
      <c r="U101" s="403"/>
      <c r="V101" s="403"/>
      <c r="W101" s="403"/>
      <c r="X101" s="403"/>
      <c r="Y101" s="403"/>
      <c r="Z101" s="403"/>
      <c r="AA101" s="403"/>
      <c r="AB101" s="403"/>
      <c r="AC101" s="403"/>
      <c r="AD101" s="403"/>
      <c r="AE101" s="403"/>
      <c r="AF101" s="403"/>
      <c r="AG101" s="403"/>
      <c r="AH101" s="403"/>
      <c r="AI101" s="403"/>
      <c r="AJ101" s="403"/>
      <c r="AK101" s="403"/>
      <c r="AL101" s="403"/>
      <c r="AM101" s="403"/>
      <c r="AN101" s="403"/>
      <c r="AO101" s="403"/>
      <c r="AP101" s="403"/>
    </row>
    <row r="102" spans="3:44" s="131" customFormat="1" x14ac:dyDescent="0.25">
      <c r="C102" s="132"/>
      <c r="E102" s="152"/>
      <c r="F102" s="66" t="s">
        <v>44</v>
      </c>
      <c r="G102" s="167" t="s">
        <v>726</v>
      </c>
      <c r="H102" s="139"/>
      <c r="I102" s="139"/>
      <c r="J102" s="428">
        <f t="shared" ref="J102:AP102" si="18">SUMIFS($J72:$AP72,$J$63:$AP$63,J$63)</f>
        <v>0</v>
      </c>
      <c r="K102" s="428">
        <f t="shared" si="18"/>
        <v>0</v>
      </c>
      <c r="L102" s="428">
        <f t="shared" si="18"/>
        <v>0</v>
      </c>
      <c r="M102" s="428">
        <f t="shared" si="18"/>
        <v>0</v>
      </c>
      <c r="N102" s="428">
        <f t="shared" si="18"/>
        <v>0</v>
      </c>
      <c r="O102" s="428">
        <f t="shared" si="18"/>
        <v>0</v>
      </c>
      <c r="P102" s="428">
        <f t="shared" si="18"/>
        <v>0</v>
      </c>
      <c r="Q102" s="428">
        <f t="shared" si="18"/>
        <v>0</v>
      </c>
      <c r="R102" s="428">
        <f t="shared" si="18"/>
        <v>0</v>
      </c>
      <c r="S102" s="428">
        <f t="shared" si="18"/>
        <v>0</v>
      </c>
      <c r="T102" s="428">
        <f t="shared" si="18"/>
        <v>0</v>
      </c>
      <c r="U102" s="428">
        <f t="shared" si="18"/>
        <v>0</v>
      </c>
      <c r="V102" s="428">
        <f t="shared" si="18"/>
        <v>0</v>
      </c>
      <c r="W102" s="428">
        <f t="shared" si="18"/>
        <v>0</v>
      </c>
      <c r="X102" s="428">
        <f t="shared" si="18"/>
        <v>0</v>
      </c>
      <c r="Y102" s="428">
        <f t="shared" si="18"/>
        <v>0</v>
      </c>
      <c r="Z102" s="428">
        <f t="shared" si="18"/>
        <v>0</v>
      </c>
      <c r="AA102" s="428">
        <f t="shared" si="18"/>
        <v>0</v>
      </c>
      <c r="AB102" s="428">
        <f t="shared" si="18"/>
        <v>0</v>
      </c>
      <c r="AC102" s="428">
        <f t="shared" si="18"/>
        <v>0</v>
      </c>
      <c r="AD102" s="428">
        <f t="shared" si="18"/>
        <v>0</v>
      </c>
      <c r="AE102" s="428">
        <f t="shared" si="18"/>
        <v>0</v>
      </c>
      <c r="AF102" s="428">
        <f t="shared" si="18"/>
        <v>0</v>
      </c>
      <c r="AG102" s="428">
        <f t="shared" si="18"/>
        <v>0</v>
      </c>
      <c r="AH102" s="428">
        <f t="shared" si="18"/>
        <v>0</v>
      </c>
      <c r="AI102" s="428">
        <f t="shared" si="18"/>
        <v>0</v>
      </c>
      <c r="AJ102" s="428">
        <f t="shared" si="18"/>
        <v>0</v>
      </c>
      <c r="AK102" s="428">
        <f t="shared" si="18"/>
        <v>0</v>
      </c>
      <c r="AL102" s="428">
        <f t="shared" si="18"/>
        <v>0</v>
      </c>
      <c r="AM102" s="428">
        <f t="shared" si="18"/>
        <v>0</v>
      </c>
      <c r="AN102" s="428">
        <f t="shared" si="18"/>
        <v>0</v>
      </c>
      <c r="AO102" s="428">
        <f t="shared" si="18"/>
        <v>0</v>
      </c>
      <c r="AP102" s="428">
        <f t="shared" si="18"/>
        <v>0</v>
      </c>
    </row>
    <row r="103" spans="3:44" s="131" customFormat="1" x14ac:dyDescent="0.25">
      <c r="C103" s="132"/>
      <c r="E103" s="152"/>
      <c r="F103" s="66" t="s">
        <v>45</v>
      </c>
      <c r="G103" s="167" t="s">
        <v>726</v>
      </c>
      <c r="H103" s="139"/>
      <c r="I103" s="139"/>
      <c r="J103" s="428">
        <f t="shared" ref="J103:AP103" si="19">SUMIFS($J73:$AP73,$J$63:$AP$63,J$63)</f>
        <v>0</v>
      </c>
      <c r="K103" s="428">
        <f t="shared" si="19"/>
        <v>0</v>
      </c>
      <c r="L103" s="428">
        <f t="shared" si="19"/>
        <v>0</v>
      </c>
      <c r="M103" s="428">
        <f t="shared" si="19"/>
        <v>0</v>
      </c>
      <c r="N103" s="428">
        <f t="shared" si="19"/>
        <v>0</v>
      </c>
      <c r="O103" s="428">
        <f t="shared" si="19"/>
        <v>0</v>
      </c>
      <c r="P103" s="428">
        <f t="shared" si="19"/>
        <v>0</v>
      </c>
      <c r="Q103" s="428">
        <f t="shared" si="19"/>
        <v>0</v>
      </c>
      <c r="R103" s="428">
        <f t="shared" si="19"/>
        <v>0</v>
      </c>
      <c r="S103" s="428">
        <f t="shared" si="19"/>
        <v>0</v>
      </c>
      <c r="T103" s="428">
        <f t="shared" si="19"/>
        <v>0</v>
      </c>
      <c r="U103" s="428">
        <f t="shared" si="19"/>
        <v>0</v>
      </c>
      <c r="V103" s="428">
        <f t="shared" si="19"/>
        <v>0</v>
      </c>
      <c r="W103" s="428">
        <f t="shared" si="19"/>
        <v>0</v>
      </c>
      <c r="X103" s="428">
        <f t="shared" si="19"/>
        <v>0</v>
      </c>
      <c r="Y103" s="428">
        <f t="shared" si="19"/>
        <v>0</v>
      </c>
      <c r="Z103" s="428">
        <f t="shared" si="19"/>
        <v>0</v>
      </c>
      <c r="AA103" s="428">
        <f t="shared" si="19"/>
        <v>0</v>
      </c>
      <c r="AB103" s="428">
        <f t="shared" si="19"/>
        <v>0</v>
      </c>
      <c r="AC103" s="428">
        <f t="shared" si="19"/>
        <v>0</v>
      </c>
      <c r="AD103" s="428">
        <f t="shared" si="19"/>
        <v>0</v>
      </c>
      <c r="AE103" s="428">
        <f t="shared" si="19"/>
        <v>0</v>
      </c>
      <c r="AF103" s="428">
        <f t="shared" si="19"/>
        <v>0</v>
      </c>
      <c r="AG103" s="428">
        <f t="shared" si="19"/>
        <v>0</v>
      </c>
      <c r="AH103" s="428">
        <f t="shared" si="19"/>
        <v>0</v>
      </c>
      <c r="AI103" s="428">
        <f t="shared" si="19"/>
        <v>0</v>
      </c>
      <c r="AJ103" s="428">
        <f t="shared" si="19"/>
        <v>0</v>
      </c>
      <c r="AK103" s="428">
        <f t="shared" si="19"/>
        <v>0</v>
      </c>
      <c r="AL103" s="428">
        <f t="shared" si="19"/>
        <v>0</v>
      </c>
      <c r="AM103" s="428">
        <f t="shared" si="19"/>
        <v>0</v>
      </c>
      <c r="AN103" s="428">
        <f t="shared" si="19"/>
        <v>0</v>
      </c>
      <c r="AO103" s="428">
        <f t="shared" si="19"/>
        <v>0</v>
      </c>
      <c r="AP103" s="428">
        <f t="shared" si="19"/>
        <v>0</v>
      </c>
    </row>
    <row r="104" spans="3:44" s="131" customFormat="1" x14ac:dyDescent="0.25">
      <c r="C104" s="132"/>
      <c r="E104" s="152"/>
      <c r="F104" s="66" t="s">
        <v>46</v>
      </c>
      <c r="G104" s="167" t="s">
        <v>726</v>
      </c>
      <c r="H104" s="139"/>
      <c r="I104" s="139"/>
      <c r="J104" s="428">
        <f t="shared" ref="J104:AP104" si="20">SUMIFS($J74:$AP74,$J$63:$AP$63,J$63)</f>
        <v>0</v>
      </c>
      <c r="K104" s="428">
        <f t="shared" si="20"/>
        <v>0</v>
      </c>
      <c r="L104" s="428">
        <f t="shared" si="20"/>
        <v>0</v>
      </c>
      <c r="M104" s="428">
        <f t="shared" si="20"/>
        <v>0</v>
      </c>
      <c r="N104" s="428">
        <f t="shared" si="20"/>
        <v>0</v>
      </c>
      <c r="O104" s="428">
        <f t="shared" si="20"/>
        <v>0</v>
      </c>
      <c r="P104" s="428">
        <f t="shared" si="20"/>
        <v>0</v>
      </c>
      <c r="Q104" s="428">
        <f t="shared" si="20"/>
        <v>0</v>
      </c>
      <c r="R104" s="428">
        <f t="shared" si="20"/>
        <v>34.674367089386642</v>
      </c>
      <c r="S104" s="428">
        <f t="shared" si="20"/>
        <v>0</v>
      </c>
      <c r="T104" s="428">
        <f t="shared" si="20"/>
        <v>0</v>
      </c>
      <c r="U104" s="428">
        <f t="shared" si="20"/>
        <v>0</v>
      </c>
      <c r="V104" s="428">
        <f t="shared" si="20"/>
        <v>0</v>
      </c>
      <c r="W104" s="428">
        <f t="shared" si="20"/>
        <v>0</v>
      </c>
      <c r="X104" s="428">
        <f t="shared" si="20"/>
        <v>0</v>
      </c>
      <c r="Y104" s="428">
        <f t="shared" si="20"/>
        <v>0</v>
      </c>
      <c r="Z104" s="428">
        <f t="shared" si="20"/>
        <v>0</v>
      </c>
      <c r="AA104" s="428">
        <f t="shared" si="20"/>
        <v>0</v>
      </c>
      <c r="AB104" s="428">
        <f t="shared" si="20"/>
        <v>0</v>
      </c>
      <c r="AC104" s="428">
        <f t="shared" si="20"/>
        <v>0</v>
      </c>
      <c r="AD104" s="428">
        <f t="shared" si="20"/>
        <v>0</v>
      </c>
      <c r="AE104" s="428">
        <f t="shared" si="20"/>
        <v>0</v>
      </c>
      <c r="AF104" s="428">
        <f t="shared" si="20"/>
        <v>0</v>
      </c>
      <c r="AG104" s="428">
        <f t="shared" si="20"/>
        <v>0</v>
      </c>
      <c r="AH104" s="428">
        <f t="shared" si="20"/>
        <v>0</v>
      </c>
      <c r="AI104" s="428">
        <f t="shared" si="20"/>
        <v>0</v>
      </c>
      <c r="AJ104" s="428">
        <f t="shared" si="20"/>
        <v>0</v>
      </c>
      <c r="AK104" s="428">
        <f t="shared" si="20"/>
        <v>0</v>
      </c>
      <c r="AL104" s="428">
        <f t="shared" si="20"/>
        <v>0</v>
      </c>
      <c r="AM104" s="428">
        <f t="shared" si="20"/>
        <v>0</v>
      </c>
      <c r="AN104" s="428">
        <f t="shared" si="20"/>
        <v>0</v>
      </c>
      <c r="AO104" s="428">
        <f t="shared" si="20"/>
        <v>0</v>
      </c>
      <c r="AP104" s="428">
        <f t="shared" si="20"/>
        <v>0</v>
      </c>
    </row>
    <row r="105" spans="3:44" s="131" customFormat="1" x14ac:dyDescent="0.25">
      <c r="C105" s="132"/>
      <c r="E105" s="152"/>
      <c r="F105" s="66" t="s">
        <v>47</v>
      </c>
      <c r="G105" s="167" t="s">
        <v>726</v>
      </c>
      <c r="H105" s="139"/>
      <c r="I105" s="139"/>
      <c r="J105" s="428">
        <f t="shared" ref="J105:AP105" si="21">SUMIFS($J75:$AP75,$J$63:$AP$63,J$63)</f>
        <v>0</v>
      </c>
      <c r="K105" s="428">
        <f t="shared" si="21"/>
        <v>0</v>
      </c>
      <c r="L105" s="428">
        <f t="shared" si="21"/>
        <v>0</v>
      </c>
      <c r="M105" s="428">
        <f t="shared" si="21"/>
        <v>0</v>
      </c>
      <c r="N105" s="428">
        <f t="shared" si="21"/>
        <v>0</v>
      </c>
      <c r="O105" s="428">
        <f t="shared" si="21"/>
        <v>0</v>
      </c>
      <c r="P105" s="428">
        <f t="shared" si="21"/>
        <v>0</v>
      </c>
      <c r="Q105" s="428">
        <f t="shared" si="21"/>
        <v>0</v>
      </c>
      <c r="R105" s="428">
        <f t="shared" si="21"/>
        <v>127.69805614617803</v>
      </c>
      <c r="S105" s="428">
        <f t="shared" si="21"/>
        <v>0</v>
      </c>
      <c r="T105" s="428">
        <f t="shared" si="21"/>
        <v>0</v>
      </c>
      <c r="U105" s="428">
        <f t="shared" si="21"/>
        <v>0</v>
      </c>
      <c r="V105" s="428">
        <f t="shared" si="21"/>
        <v>0</v>
      </c>
      <c r="W105" s="428">
        <f t="shared" si="21"/>
        <v>0</v>
      </c>
      <c r="X105" s="428">
        <f t="shared" si="21"/>
        <v>0</v>
      </c>
      <c r="Y105" s="428">
        <f t="shared" si="21"/>
        <v>0</v>
      </c>
      <c r="Z105" s="428">
        <f t="shared" si="21"/>
        <v>0</v>
      </c>
      <c r="AA105" s="428">
        <f t="shared" si="21"/>
        <v>0</v>
      </c>
      <c r="AB105" s="428">
        <f t="shared" si="21"/>
        <v>0</v>
      </c>
      <c r="AC105" s="428">
        <f t="shared" si="21"/>
        <v>0</v>
      </c>
      <c r="AD105" s="428">
        <f t="shared" si="21"/>
        <v>0</v>
      </c>
      <c r="AE105" s="428">
        <f t="shared" si="21"/>
        <v>0</v>
      </c>
      <c r="AF105" s="428">
        <f t="shared" si="21"/>
        <v>0</v>
      </c>
      <c r="AG105" s="428">
        <f t="shared" si="21"/>
        <v>0</v>
      </c>
      <c r="AH105" s="428">
        <f t="shared" si="21"/>
        <v>0</v>
      </c>
      <c r="AI105" s="428">
        <f t="shared" si="21"/>
        <v>0</v>
      </c>
      <c r="AJ105" s="428">
        <f t="shared" si="21"/>
        <v>0</v>
      </c>
      <c r="AK105" s="428">
        <f t="shared" si="21"/>
        <v>0</v>
      </c>
      <c r="AL105" s="428">
        <f t="shared" si="21"/>
        <v>0</v>
      </c>
      <c r="AM105" s="428">
        <f t="shared" si="21"/>
        <v>0</v>
      </c>
      <c r="AN105" s="428">
        <f t="shared" si="21"/>
        <v>0</v>
      </c>
      <c r="AO105" s="428">
        <f t="shared" si="21"/>
        <v>0</v>
      </c>
      <c r="AP105" s="428">
        <f t="shared" si="21"/>
        <v>0</v>
      </c>
    </row>
    <row r="106" spans="3:44" s="131" customFormat="1" x14ac:dyDescent="0.25">
      <c r="C106" s="132"/>
      <c r="E106" s="152"/>
      <c r="F106" s="66" t="s">
        <v>51</v>
      </c>
      <c r="G106" s="167" t="s">
        <v>726</v>
      </c>
      <c r="H106" s="139"/>
      <c r="I106" s="139"/>
      <c r="J106" s="428">
        <f t="shared" ref="J106:AP106" si="22">SUMIFS($J76:$AP76,$J$63:$AP$63,J$63)</f>
        <v>0</v>
      </c>
      <c r="K106" s="428">
        <f t="shared" si="22"/>
        <v>0</v>
      </c>
      <c r="L106" s="428">
        <f t="shared" si="22"/>
        <v>0</v>
      </c>
      <c r="M106" s="428">
        <f t="shared" si="22"/>
        <v>0</v>
      </c>
      <c r="N106" s="428">
        <f t="shared" si="22"/>
        <v>0</v>
      </c>
      <c r="O106" s="428">
        <f t="shared" si="22"/>
        <v>0</v>
      </c>
      <c r="P106" s="428">
        <f t="shared" si="22"/>
        <v>0</v>
      </c>
      <c r="Q106" s="428">
        <f t="shared" si="22"/>
        <v>0</v>
      </c>
      <c r="R106" s="428">
        <f t="shared" si="22"/>
        <v>0</v>
      </c>
      <c r="S106" s="428">
        <f t="shared" si="22"/>
        <v>0</v>
      </c>
      <c r="T106" s="428">
        <f t="shared" si="22"/>
        <v>0</v>
      </c>
      <c r="U106" s="428">
        <f t="shared" si="22"/>
        <v>0</v>
      </c>
      <c r="V106" s="428">
        <f t="shared" si="22"/>
        <v>0</v>
      </c>
      <c r="W106" s="428">
        <f t="shared" si="22"/>
        <v>0</v>
      </c>
      <c r="X106" s="428">
        <f t="shared" si="22"/>
        <v>0</v>
      </c>
      <c r="Y106" s="428">
        <f t="shared" si="22"/>
        <v>0</v>
      </c>
      <c r="Z106" s="428">
        <f t="shared" si="22"/>
        <v>0</v>
      </c>
      <c r="AA106" s="428">
        <f t="shared" si="22"/>
        <v>0</v>
      </c>
      <c r="AB106" s="428">
        <f t="shared" si="22"/>
        <v>0</v>
      </c>
      <c r="AC106" s="428">
        <f t="shared" si="22"/>
        <v>0</v>
      </c>
      <c r="AD106" s="428">
        <f t="shared" si="22"/>
        <v>0</v>
      </c>
      <c r="AE106" s="428">
        <f t="shared" si="22"/>
        <v>0</v>
      </c>
      <c r="AF106" s="428">
        <f t="shared" si="22"/>
        <v>0</v>
      </c>
      <c r="AG106" s="428">
        <f t="shared" si="22"/>
        <v>0</v>
      </c>
      <c r="AH106" s="428">
        <f t="shared" si="22"/>
        <v>0</v>
      </c>
      <c r="AI106" s="428">
        <f t="shared" si="22"/>
        <v>0</v>
      </c>
      <c r="AJ106" s="428">
        <f t="shared" si="22"/>
        <v>0</v>
      </c>
      <c r="AK106" s="428">
        <f t="shared" si="22"/>
        <v>0</v>
      </c>
      <c r="AL106" s="428">
        <f t="shared" si="22"/>
        <v>0</v>
      </c>
      <c r="AM106" s="428">
        <f t="shared" si="22"/>
        <v>0</v>
      </c>
      <c r="AN106" s="428">
        <f t="shared" si="22"/>
        <v>0</v>
      </c>
      <c r="AO106" s="428">
        <f t="shared" si="22"/>
        <v>0</v>
      </c>
      <c r="AP106" s="428">
        <f t="shared" si="22"/>
        <v>0</v>
      </c>
    </row>
    <row r="107" spans="3:44" s="131" customFormat="1" x14ac:dyDescent="0.25">
      <c r="C107" s="132"/>
      <c r="E107" s="152"/>
      <c r="F107" s="66" t="s">
        <v>48</v>
      </c>
      <c r="G107" s="167" t="s">
        <v>726</v>
      </c>
      <c r="H107" s="139"/>
      <c r="I107" s="139"/>
      <c r="J107" s="428">
        <f t="shared" ref="J107:AP107" si="23">SUMIFS($J77:$AP77,$J$63:$AP$63,J$63)</f>
        <v>0</v>
      </c>
      <c r="K107" s="428">
        <f t="shared" si="23"/>
        <v>0</v>
      </c>
      <c r="L107" s="428">
        <f t="shared" si="23"/>
        <v>0</v>
      </c>
      <c r="M107" s="428">
        <f t="shared" si="23"/>
        <v>0</v>
      </c>
      <c r="N107" s="428">
        <f t="shared" si="23"/>
        <v>0</v>
      </c>
      <c r="O107" s="428">
        <f t="shared" si="23"/>
        <v>0</v>
      </c>
      <c r="P107" s="428">
        <f t="shared" si="23"/>
        <v>0</v>
      </c>
      <c r="Q107" s="428">
        <f t="shared" si="23"/>
        <v>0</v>
      </c>
      <c r="R107" s="428">
        <f t="shared" si="23"/>
        <v>201.32833340235072</v>
      </c>
      <c r="S107" s="428">
        <f t="shared" si="23"/>
        <v>0</v>
      </c>
      <c r="T107" s="428">
        <f t="shared" si="23"/>
        <v>0</v>
      </c>
      <c r="U107" s="428">
        <f t="shared" si="23"/>
        <v>0</v>
      </c>
      <c r="V107" s="428">
        <f t="shared" si="23"/>
        <v>0</v>
      </c>
      <c r="W107" s="428">
        <f t="shared" si="23"/>
        <v>0</v>
      </c>
      <c r="X107" s="428">
        <f t="shared" si="23"/>
        <v>0</v>
      </c>
      <c r="Y107" s="428">
        <f t="shared" si="23"/>
        <v>0</v>
      </c>
      <c r="Z107" s="428">
        <f t="shared" si="23"/>
        <v>0</v>
      </c>
      <c r="AA107" s="428">
        <f t="shared" si="23"/>
        <v>0</v>
      </c>
      <c r="AB107" s="428">
        <f t="shared" si="23"/>
        <v>0</v>
      </c>
      <c r="AC107" s="428">
        <f t="shared" si="23"/>
        <v>0</v>
      </c>
      <c r="AD107" s="428">
        <f t="shared" si="23"/>
        <v>0</v>
      </c>
      <c r="AE107" s="428">
        <f t="shared" si="23"/>
        <v>0</v>
      </c>
      <c r="AF107" s="428">
        <f t="shared" si="23"/>
        <v>0</v>
      </c>
      <c r="AG107" s="428">
        <f t="shared" si="23"/>
        <v>0</v>
      </c>
      <c r="AH107" s="428">
        <f t="shared" si="23"/>
        <v>0</v>
      </c>
      <c r="AI107" s="428">
        <f t="shared" si="23"/>
        <v>0</v>
      </c>
      <c r="AJ107" s="428">
        <f t="shared" si="23"/>
        <v>0</v>
      </c>
      <c r="AK107" s="428">
        <f t="shared" si="23"/>
        <v>0</v>
      </c>
      <c r="AL107" s="428">
        <f t="shared" si="23"/>
        <v>0</v>
      </c>
      <c r="AM107" s="428">
        <f t="shared" si="23"/>
        <v>0</v>
      </c>
      <c r="AN107" s="428">
        <f t="shared" si="23"/>
        <v>0</v>
      </c>
      <c r="AO107" s="428">
        <f t="shared" si="23"/>
        <v>0</v>
      </c>
      <c r="AP107" s="428">
        <f t="shared" si="23"/>
        <v>0</v>
      </c>
    </row>
    <row r="108" spans="3:44" s="131" customFormat="1" x14ac:dyDescent="0.25">
      <c r="C108" s="132"/>
      <c r="E108" s="152"/>
      <c r="F108" s="66" t="s">
        <v>49</v>
      </c>
      <c r="G108" s="167" t="s">
        <v>726</v>
      </c>
      <c r="H108" s="139"/>
      <c r="I108" s="139"/>
      <c r="J108" s="428">
        <f t="shared" ref="J108:AP108" si="24">SUMIFS($J78:$AP78,$J$63:$AP$63,J$63)</f>
        <v>0</v>
      </c>
      <c r="K108" s="428">
        <f t="shared" si="24"/>
        <v>0</v>
      </c>
      <c r="L108" s="428">
        <f t="shared" si="24"/>
        <v>0</v>
      </c>
      <c r="M108" s="428">
        <f t="shared" si="24"/>
        <v>0</v>
      </c>
      <c r="N108" s="428">
        <f t="shared" si="24"/>
        <v>0</v>
      </c>
      <c r="O108" s="428">
        <f t="shared" si="24"/>
        <v>0</v>
      </c>
      <c r="P108" s="428">
        <f t="shared" si="24"/>
        <v>0</v>
      </c>
      <c r="Q108" s="428">
        <f t="shared" si="24"/>
        <v>0</v>
      </c>
      <c r="R108" s="428">
        <f t="shared" si="24"/>
        <v>0</v>
      </c>
      <c r="S108" s="428">
        <f t="shared" si="24"/>
        <v>0</v>
      </c>
      <c r="T108" s="428">
        <f t="shared" si="24"/>
        <v>0</v>
      </c>
      <c r="U108" s="428">
        <f t="shared" si="24"/>
        <v>0</v>
      </c>
      <c r="V108" s="428">
        <f t="shared" si="24"/>
        <v>0</v>
      </c>
      <c r="W108" s="428">
        <f t="shared" si="24"/>
        <v>0</v>
      </c>
      <c r="X108" s="428">
        <f t="shared" si="24"/>
        <v>0</v>
      </c>
      <c r="Y108" s="428">
        <f t="shared" si="24"/>
        <v>0</v>
      </c>
      <c r="Z108" s="428">
        <f t="shared" si="24"/>
        <v>0</v>
      </c>
      <c r="AA108" s="428">
        <f t="shared" si="24"/>
        <v>0</v>
      </c>
      <c r="AB108" s="428">
        <f t="shared" si="24"/>
        <v>0</v>
      </c>
      <c r="AC108" s="428">
        <f t="shared" si="24"/>
        <v>0</v>
      </c>
      <c r="AD108" s="428">
        <f t="shared" si="24"/>
        <v>0</v>
      </c>
      <c r="AE108" s="428">
        <f t="shared" si="24"/>
        <v>0</v>
      </c>
      <c r="AF108" s="428">
        <f t="shared" si="24"/>
        <v>0</v>
      </c>
      <c r="AG108" s="428">
        <f t="shared" si="24"/>
        <v>0</v>
      </c>
      <c r="AH108" s="428">
        <f t="shared" si="24"/>
        <v>0</v>
      </c>
      <c r="AI108" s="428">
        <f t="shared" si="24"/>
        <v>0</v>
      </c>
      <c r="AJ108" s="428">
        <f t="shared" si="24"/>
        <v>0</v>
      </c>
      <c r="AK108" s="428">
        <f t="shared" si="24"/>
        <v>0</v>
      </c>
      <c r="AL108" s="428">
        <f t="shared" si="24"/>
        <v>0</v>
      </c>
      <c r="AM108" s="428">
        <f t="shared" si="24"/>
        <v>0</v>
      </c>
      <c r="AN108" s="428">
        <f t="shared" si="24"/>
        <v>0</v>
      </c>
      <c r="AO108" s="428">
        <f t="shared" si="24"/>
        <v>0</v>
      </c>
      <c r="AP108" s="428">
        <f t="shared" si="24"/>
        <v>0</v>
      </c>
    </row>
    <row r="109" spans="3:44" s="131" customFormat="1" x14ac:dyDescent="0.25">
      <c r="C109" s="132"/>
      <c r="E109" s="152"/>
      <c r="F109" s="66" t="s">
        <v>50</v>
      </c>
      <c r="G109" s="167" t="s">
        <v>726</v>
      </c>
      <c r="H109" s="139"/>
      <c r="I109" s="139"/>
      <c r="J109" s="428">
        <f t="shared" ref="J109:AP109" si="25">SUMIFS($J79:$AP79,$J$63:$AP$63,J$63)</f>
        <v>332965.7996962301</v>
      </c>
      <c r="K109" s="428">
        <f t="shared" si="25"/>
        <v>332965.7996962301</v>
      </c>
      <c r="L109" s="428">
        <f t="shared" si="25"/>
        <v>0</v>
      </c>
      <c r="M109" s="428">
        <f t="shared" si="25"/>
        <v>332965.7996962301</v>
      </c>
      <c r="N109" s="428">
        <f t="shared" si="25"/>
        <v>332965.7996962301</v>
      </c>
      <c r="O109" s="428">
        <f t="shared" si="25"/>
        <v>0</v>
      </c>
      <c r="P109" s="428">
        <f t="shared" si="25"/>
        <v>1820.5429264632901</v>
      </c>
      <c r="Q109" s="428">
        <f t="shared" si="25"/>
        <v>0</v>
      </c>
      <c r="R109" s="428">
        <f t="shared" si="25"/>
        <v>0</v>
      </c>
      <c r="S109" s="428">
        <f t="shared" si="25"/>
        <v>332965.7996962301</v>
      </c>
      <c r="T109" s="428">
        <f t="shared" si="25"/>
        <v>332965.7996962301</v>
      </c>
      <c r="U109" s="428">
        <f t="shared" si="25"/>
        <v>0</v>
      </c>
      <c r="V109" s="428">
        <f t="shared" si="25"/>
        <v>0</v>
      </c>
      <c r="W109" s="428">
        <f t="shared" si="25"/>
        <v>0</v>
      </c>
      <c r="X109" s="428">
        <f t="shared" si="25"/>
        <v>0</v>
      </c>
      <c r="Y109" s="428">
        <f t="shared" si="25"/>
        <v>0</v>
      </c>
      <c r="Z109" s="428">
        <f t="shared" si="25"/>
        <v>0</v>
      </c>
      <c r="AA109" s="428">
        <f t="shared" si="25"/>
        <v>0</v>
      </c>
      <c r="AB109" s="428">
        <f t="shared" si="25"/>
        <v>0</v>
      </c>
      <c r="AC109" s="428">
        <f t="shared" si="25"/>
        <v>0</v>
      </c>
      <c r="AD109" s="428">
        <f t="shared" si="25"/>
        <v>0</v>
      </c>
      <c r="AE109" s="428">
        <f t="shared" si="25"/>
        <v>0</v>
      </c>
      <c r="AF109" s="428">
        <f t="shared" si="25"/>
        <v>0</v>
      </c>
      <c r="AG109" s="428">
        <f t="shared" si="25"/>
        <v>0</v>
      </c>
      <c r="AH109" s="428">
        <f t="shared" si="25"/>
        <v>0</v>
      </c>
      <c r="AI109" s="428">
        <f t="shared" si="25"/>
        <v>0</v>
      </c>
      <c r="AJ109" s="428">
        <f t="shared" si="25"/>
        <v>0</v>
      </c>
      <c r="AK109" s="428">
        <f t="shared" si="25"/>
        <v>0</v>
      </c>
      <c r="AL109" s="428">
        <f t="shared" si="25"/>
        <v>0</v>
      </c>
      <c r="AM109" s="428">
        <f t="shared" si="25"/>
        <v>0</v>
      </c>
      <c r="AN109" s="428">
        <f t="shared" si="25"/>
        <v>0</v>
      </c>
      <c r="AO109" s="428">
        <f t="shared" si="25"/>
        <v>0</v>
      </c>
      <c r="AP109" s="428">
        <f t="shared" si="25"/>
        <v>0</v>
      </c>
    </row>
    <row r="110" spans="3:44" s="131" customFormat="1" x14ac:dyDescent="0.25">
      <c r="C110" s="132"/>
      <c r="E110" s="152"/>
      <c r="F110" s="66" t="s">
        <v>141</v>
      </c>
      <c r="G110" s="167" t="s">
        <v>726</v>
      </c>
      <c r="H110" s="139"/>
      <c r="I110" s="139"/>
      <c r="J110" s="403"/>
      <c r="K110" s="403"/>
      <c r="L110" s="403"/>
      <c r="M110" s="403"/>
      <c r="N110" s="403"/>
      <c r="O110" s="403"/>
      <c r="P110" s="403"/>
      <c r="Q110" s="403"/>
      <c r="R110" s="403"/>
      <c r="S110" s="403"/>
      <c r="T110" s="403"/>
      <c r="U110" s="403"/>
      <c r="V110" s="403"/>
      <c r="W110" s="403"/>
      <c r="X110" s="403"/>
      <c r="Y110" s="403"/>
      <c r="Z110" s="403"/>
      <c r="AA110" s="403"/>
      <c r="AB110" s="403"/>
      <c r="AC110" s="403"/>
      <c r="AD110" s="403"/>
      <c r="AE110" s="403"/>
      <c r="AF110" s="403"/>
      <c r="AG110" s="403"/>
      <c r="AH110" s="403"/>
      <c r="AI110" s="403"/>
      <c r="AJ110" s="403"/>
      <c r="AK110" s="403"/>
      <c r="AL110" s="403"/>
      <c r="AM110" s="403"/>
      <c r="AN110" s="403"/>
      <c r="AO110" s="403"/>
      <c r="AP110" s="403"/>
    </row>
    <row r="111" spans="3:44" s="131" customFormat="1" x14ac:dyDescent="0.25">
      <c r="C111" s="132"/>
      <c r="E111" s="152"/>
      <c r="F111" s="67" t="s">
        <v>140</v>
      </c>
      <c r="G111" s="168" t="s">
        <v>726</v>
      </c>
      <c r="H111" s="140"/>
      <c r="I111" s="140"/>
      <c r="J111" s="404"/>
      <c r="K111" s="404"/>
      <c r="L111" s="404"/>
      <c r="M111" s="404"/>
      <c r="N111" s="404"/>
      <c r="O111" s="404"/>
      <c r="P111" s="404"/>
      <c r="Q111" s="404"/>
      <c r="R111" s="404"/>
      <c r="S111" s="404"/>
      <c r="T111" s="404"/>
      <c r="U111" s="404"/>
      <c r="V111" s="404"/>
      <c r="W111" s="404"/>
      <c r="X111" s="404"/>
      <c r="Y111" s="404"/>
      <c r="Z111" s="404"/>
      <c r="AA111" s="404"/>
      <c r="AB111" s="404"/>
      <c r="AC111" s="404"/>
      <c r="AD111" s="404"/>
      <c r="AE111" s="404"/>
      <c r="AF111" s="404"/>
      <c r="AG111" s="404"/>
      <c r="AH111" s="404"/>
      <c r="AI111" s="404"/>
      <c r="AJ111" s="404"/>
      <c r="AK111" s="404"/>
      <c r="AL111" s="404"/>
      <c r="AM111" s="404"/>
      <c r="AN111" s="404"/>
      <c r="AO111" s="404"/>
      <c r="AP111" s="404"/>
    </row>
    <row r="112" spans="3:44" s="160" customFormat="1" x14ac:dyDescent="0.25">
      <c r="C112" s="161"/>
      <c r="E112" s="152"/>
      <c r="F112" s="117"/>
      <c r="J112" s="416"/>
      <c r="K112" s="416"/>
      <c r="L112" s="416"/>
      <c r="M112" s="416"/>
      <c r="N112" s="416"/>
      <c r="O112" s="416"/>
      <c r="P112" s="416"/>
      <c r="Q112" s="416"/>
      <c r="R112" s="416"/>
      <c r="S112" s="416"/>
      <c r="T112" s="416"/>
      <c r="U112" s="416"/>
      <c r="V112" s="416"/>
      <c r="W112" s="416"/>
      <c r="X112" s="416"/>
      <c r="Y112" s="416"/>
      <c r="Z112" s="416"/>
      <c r="AA112" s="416"/>
      <c r="AB112" s="416"/>
      <c r="AC112" s="416"/>
      <c r="AD112" s="416"/>
      <c r="AE112" s="416"/>
      <c r="AF112" s="416"/>
      <c r="AG112" s="416"/>
      <c r="AH112" s="416"/>
      <c r="AI112" s="416"/>
      <c r="AJ112" s="416"/>
      <c r="AK112" s="416"/>
      <c r="AL112" s="416"/>
      <c r="AM112" s="416"/>
      <c r="AN112" s="416"/>
      <c r="AO112" s="416"/>
      <c r="AP112" s="416"/>
    </row>
    <row r="113" spans="3:44" s="131" customFormat="1" x14ac:dyDescent="0.25">
      <c r="C113" s="132"/>
      <c r="E113" s="172" t="s">
        <v>133</v>
      </c>
      <c r="F113" s="117"/>
      <c r="G113" s="160"/>
      <c r="J113" s="416"/>
      <c r="K113" s="416"/>
      <c r="L113" s="416"/>
      <c r="M113" s="416"/>
      <c r="N113" s="416"/>
      <c r="O113" s="416"/>
      <c r="P113" s="416"/>
      <c r="Q113" s="416"/>
      <c r="R113" s="416"/>
      <c r="S113" s="416"/>
      <c r="T113" s="416"/>
      <c r="U113" s="416"/>
      <c r="V113" s="416"/>
      <c r="W113" s="416"/>
      <c r="X113" s="416"/>
      <c r="Y113" s="416"/>
      <c r="Z113" s="416"/>
      <c r="AA113" s="416"/>
      <c r="AB113" s="416"/>
      <c r="AC113" s="416"/>
      <c r="AD113" s="416"/>
      <c r="AE113" s="416"/>
      <c r="AF113" s="416"/>
      <c r="AG113" s="416"/>
      <c r="AH113" s="416"/>
      <c r="AI113" s="416"/>
      <c r="AJ113" s="416"/>
      <c r="AK113" s="416"/>
      <c r="AL113" s="416"/>
      <c r="AM113" s="416"/>
      <c r="AN113" s="416"/>
      <c r="AO113" s="416"/>
      <c r="AP113" s="416"/>
    </row>
    <row r="114" spans="3:44" s="131" customFormat="1" x14ac:dyDescent="0.25">
      <c r="C114" s="132"/>
      <c r="E114" s="175"/>
      <c r="F114" s="72" t="s">
        <v>397</v>
      </c>
      <c r="G114" s="166" t="s">
        <v>726</v>
      </c>
      <c r="H114" s="137"/>
      <c r="I114" s="137"/>
      <c r="J114" s="431">
        <f t="shared" ref="J114:AP114" si="26">SUMIFS($J84:$AP84,$J$63:$AP$63,J$63)</f>
        <v>0</v>
      </c>
      <c r="K114" s="431">
        <f t="shared" si="26"/>
        <v>0</v>
      </c>
      <c r="L114" s="431">
        <f t="shared" si="26"/>
        <v>0</v>
      </c>
      <c r="M114" s="431">
        <f t="shared" si="26"/>
        <v>0</v>
      </c>
      <c r="N114" s="431">
        <f t="shared" si="26"/>
        <v>0</v>
      </c>
      <c r="O114" s="431">
        <f t="shared" si="26"/>
        <v>0</v>
      </c>
      <c r="P114" s="431">
        <f t="shared" si="26"/>
        <v>0</v>
      </c>
      <c r="Q114" s="431">
        <f t="shared" si="26"/>
        <v>0</v>
      </c>
      <c r="R114" s="431">
        <f t="shared" si="26"/>
        <v>0</v>
      </c>
      <c r="S114" s="431">
        <f t="shared" si="26"/>
        <v>0</v>
      </c>
      <c r="T114" s="431">
        <f t="shared" si="26"/>
        <v>0</v>
      </c>
      <c r="U114" s="431">
        <f t="shared" si="26"/>
        <v>0</v>
      </c>
      <c r="V114" s="431">
        <f t="shared" si="26"/>
        <v>0</v>
      </c>
      <c r="W114" s="431">
        <f t="shared" si="26"/>
        <v>0</v>
      </c>
      <c r="X114" s="431">
        <f t="shared" si="26"/>
        <v>0</v>
      </c>
      <c r="Y114" s="431">
        <f t="shared" si="26"/>
        <v>0</v>
      </c>
      <c r="Z114" s="431">
        <f t="shared" si="26"/>
        <v>0</v>
      </c>
      <c r="AA114" s="431">
        <f t="shared" si="26"/>
        <v>0</v>
      </c>
      <c r="AB114" s="431">
        <f t="shared" si="26"/>
        <v>0</v>
      </c>
      <c r="AC114" s="431">
        <f t="shared" si="26"/>
        <v>0</v>
      </c>
      <c r="AD114" s="431">
        <f t="shared" si="26"/>
        <v>0</v>
      </c>
      <c r="AE114" s="431">
        <f t="shared" si="26"/>
        <v>0</v>
      </c>
      <c r="AF114" s="431">
        <f t="shared" si="26"/>
        <v>0</v>
      </c>
      <c r="AG114" s="431">
        <f t="shared" si="26"/>
        <v>0</v>
      </c>
      <c r="AH114" s="431">
        <f t="shared" si="26"/>
        <v>0</v>
      </c>
      <c r="AI114" s="431">
        <f t="shared" si="26"/>
        <v>0</v>
      </c>
      <c r="AJ114" s="431">
        <f t="shared" si="26"/>
        <v>0</v>
      </c>
      <c r="AK114" s="431">
        <f t="shared" si="26"/>
        <v>0</v>
      </c>
      <c r="AL114" s="431">
        <f t="shared" si="26"/>
        <v>0</v>
      </c>
      <c r="AM114" s="431">
        <f t="shared" si="26"/>
        <v>0</v>
      </c>
      <c r="AN114" s="431">
        <f t="shared" si="26"/>
        <v>0</v>
      </c>
      <c r="AO114" s="431">
        <f t="shared" si="26"/>
        <v>0</v>
      </c>
      <c r="AP114" s="431">
        <f t="shared" si="26"/>
        <v>0</v>
      </c>
    </row>
    <row r="115" spans="3:44" s="131" customFormat="1" x14ac:dyDescent="0.25">
      <c r="C115" s="132"/>
      <c r="E115" s="175"/>
      <c r="F115" s="66" t="s">
        <v>43</v>
      </c>
      <c r="G115" s="167" t="s">
        <v>726</v>
      </c>
      <c r="H115" s="139"/>
      <c r="I115" s="139"/>
      <c r="J115" s="428">
        <f t="shared" ref="J115:AP115" si="27">SUMIFS($J85:$AP85,$J$63:$AP$63,J$63)</f>
        <v>0</v>
      </c>
      <c r="K115" s="428">
        <f t="shared" si="27"/>
        <v>0</v>
      </c>
      <c r="L115" s="428">
        <f t="shared" si="27"/>
        <v>0</v>
      </c>
      <c r="M115" s="428">
        <f t="shared" si="27"/>
        <v>0</v>
      </c>
      <c r="N115" s="428">
        <f t="shared" si="27"/>
        <v>0</v>
      </c>
      <c r="O115" s="428">
        <f t="shared" si="27"/>
        <v>0</v>
      </c>
      <c r="P115" s="428">
        <f t="shared" si="27"/>
        <v>0</v>
      </c>
      <c r="Q115" s="428">
        <f t="shared" si="27"/>
        <v>0</v>
      </c>
      <c r="R115" s="428">
        <f t="shared" si="27"/>
        <v>0</v>
      </c>
      <c r="S115" s="428">
        <f t="shared" si="27"/>
        <v>0</v>
      </c>
      <c r="T115" s="428">
        <f t="shared" si="27"/>
        <v>0</v>
      </c>
      <c r="U115" s="428">
        <f t="shared" si="27"/>
        <v>0</v>
      </c>
      <c r="V115" s="428">
        <f t="shared" si="27"/>
        <v>0</v>
      </c>
      <c r="W115" s="428">
        <f t="shared" si="27"/>
        <v>0</v>
      </c>
      <c r="X115" s="428">
        <f t="shared" si="27"/>
        <v>0</v>
      </c>
      <c r="Y115" s="428">
        <f t="shared" si="27"/>
        <v>0</v>
      </c>
      <c r="Z115" s="428">
        <f t="shared" si="27"/>
        <v>0</v>
      </c>
      <c r="AA115" s="428">
        <f t="shared" si="27"/>
        <v>0</v>
      </c>
      <c r="AB115" s="428">
        <f t="shared" si="27"/>
        <v>0</v>
      </c>
      <c r="AC115" s="428">
        <f t="shared" si="27"/>
        <v>0</v>
      </c>
      <c r="AD115" s="428">
        <f t="shared" si="27"/>
        <v>0</v>
      </c>
      <c r="AE115" s="428">
        <f t="shared" si="27"/>
        <v>0</v>
      </c>
      <c r="AF115" s="428">
        <f t="shared" si="27"/>
        <v>0</v>
      </c>
      <c r="AG115" s="428">
        <f t="shared" si="27"/>
        <v>0</v>
      </c>
      <c r="AH115" s="428">
        <f t="shared" si="27"/>
        <v>0</v>
      </c>
      <c r="AI115" s="428">
        <f t="shared" si="27"/>
        <v>0</v>
      </c>
      <c r="AJ115" s="428">
        <f t="shared" si="27"/>
        <v>0</v>
      </c>
      <c r="AK115" s="428">
        <f t="shared" si="27"/>
        <v>0</v>
      </c>
      <c r="AL115" s="428">
        <f t="shared" si="27"/>
        <v>0</v>
      </c>
      <c r="AM115" s="428">
        <f t="shared" si="27"/>
        <v>0</v>
      </c>
      <c r="AN115" s="428">
        <f t="shared" si="27"/>
        <v>0</v>
      </c>
      <c r="AO115" s="428">
        <f t="shared" si="27"/>
        <v>0</v>
      </c>
      <c r="AP115" s="428">
        <f t="shared" si="27"/>
        <v>0</v>
      </c>
    </row>
    <row r="116" spans="3:44" s="131" customFormat="1" x14ac:dyDescent="0.25">
      <c r="C116" s="132"/>
      <c r="E116" s="175"/>
      <c r="F116" s="66" t="s">
        <v>44</v>
      </c>
      <c r="G116" s="167" t="s">
        <v>726</v>
      </c>
      <c r="H116" s="139"/>
      <c r="I116" s="139"/>
      <c r="J116" s="428">
        <f t="shared" ref="J116:AP116" si="28">SUMIFS($J86:$AP86,$J$63:$AP$63,J$63)</f>
        <v>0</v>
      </c>
      <c r="K116" s="428">
        <f t="shared" si="28"/>
        <v>0</v>
      </c>
      <c r="L116" s="428">
        <f t="shared" si="28"/>
        <v>0</v>
      </c>
      <c r="M116" s="428">
        <f t="shared" si="28"/>
        <v>0</v>
      </c>
      <c r="N116" s="428">
        <f t="shared" si="28"/>
        <v>0</v>
      </c>
      <c r="O116" s="428">
        <f t="shared" si="28"/>
        <v>0</v>
      </c>
      <c r="P116" s="428">
        <f t="shared" si="28"/>
        <v>0</v>
      </c>
      <c r="Q116" s="428">
        <f t="shared" si="28"/>
        <v>0</v>
      </c>
      <c r="R116" s="428">
        <f t="shared" si="28"/>
        <v>0</v>
      </c>
      <c r="S116" s="428">
        <f t="shared" si="28"/>
        <v>0</v>
      </c>
      <c r="T116" s="428">
        <f t="shared" si="28"/>
        <v>0</v>
      </c>
      <c r="U116" s="428">
        <f t="shared" si="28"/>
        <v>0</v>
      </c>
      <c r="V116" s="428">
        <f t="shared" si="28"/>
        <v>0</v>
      </c>
      <c r="W116" s="428">
        <f t="shared" si="28"/>
        <v>0</v>
      </c>
      <c r="X116" s="428">
        <f t="shared" si="28"/>
        <v>0</v>
      </c>
      <c r="Y116" s="428">
        <f t="shared" si="28"/>
        <v>0</v>
      </c>
      <c r="Z116" s="428">
        <f t="shared" si="28"/>
        <v>0</v>
      </c>
      <c r="AA116" s="428">
        <f t="shared" si="28"/>
        <v>0</v>
      </c>
      <c r="AB116" s="428">
        <f t="shared" si="28"/>
        <v>0</v>
      </c>
      <c r="AC116" s="428">
        <f t="shared" si="28"/>
        <v>0</v>
      </c>
      <c r="AD116" s="428">
        <f t="shared" si="28"/>
        <v>0</v>
      </c>
      <c r="AE116" s="428">
        <f t="shared" si="28"/>
        <v>0</v>
      </c>
      <c r="AF116" s="428">
        <f t="shared" si="28"/>
        <v>0</v>
      </c>
      <c r="AG116" s="428">
        <f t="shared" si="28"/>
        <v>0</v>
      </c>
      <c r="AH116" s="428">
        <f t="shared" si="28"/>
        <v>0</v>
      </c>
      <c r="AI116" s="428">
        <f t="shared" si="28"/>
        <v>0</v>
      </c>
      <c r="AJ116" s="428">
        <f t="shared" si="28"/>
        <v>0</v>
      </c>
      <c r="AK116" s="428">
        <f t="shared" si="28"/>
        <v>0</v>
      </c>
      <c r="AL116" s="428">
        <f t="shared" si="28"/>
        <v>0</v>
      </c>
      <c r="AM116" s="428">
        <f t="shared" si="28"/>
        <v>0</v>
      </c>
      <c r="AN116" s="428">
        <f t="shared" si="28"/>
        <v>0</v>
      </c>
      <c r="AO116" s="428">
        <f t="shared" si="28"/>
        <v>0</v>
      </c>
      <c r="AP116" s="428">
        <f t="shared" si="28"/>
        <v>0</v>
      </c>
    </row>
    <row r="117" spans="3:44" s="131" customFormat="1" x14ac:dyDescent="0.25">
      <c r="C117" s="132"/>
      <c r="E117" s="175"/>
      <c r="F117" s="66" t="s">
        <v>45</v>
      </c>
      <c r="G117" s="167" t="s">
        <v>726</v>
      </c>
      <c r="H117" s="139"/>
      <c r="I117" s="139"/>
      <c r="J117" s="428">
        <f t="shared" ref="J117:AP117" si="29">SUMIFS($J87:$AP87,$J$63:$AP$63,J$63)</f>
        <v>0</v>
      </c>
      <c r="K117" s="428">
        <f t="shared" si="29"/>
        <v>0</v>
      </c>
      <c r="L117" s="428">
        <f t="shared" si="29"/>
        <v>0</v>
      </c>
      <c r="M117" s="428">
        <f t="shared" si="29"/>
        <v>0</v>
      </c>
      <c r="N117" s="428">
        <f t="shared" si="29"/>
        <v>0</v>
      </c>
      <c r="O117" s="428">
        <f t="shared" si="29"/>
        <v>0</v>
      </c>
      <c r="P117" s="428">
        <f t="shared" si="29"/>
        <v>0</v>
      </c>
      <c r="Q117" s="428">
        <f t="shared" si="29"/>
        <v>0</v>
      </c>
      <c r="R117" s="428">
        <f t="shared" si="29"/>
        <v>0</v>
      </c>
      <c r="S117" s="428">
        <f t="shared" si="29"/>
        <v>0</v>
      </c>
      <c r="T117" s="428">
        <f t="shared" si="29"/>
        <v>0</v>
      </c>
      <c r="U117" s="428">
        <f t="shared" si="29"/>
        <v>0</v>
      </c>
      <c r="V117" s="428">
        <f t="shared" si="29"/>
        <v>0</v>
      </c>
      <c r="W117" s="428">
        <f t="shared" si="29"/>
        <v>0</v>
      </c>
      <c r="X117" s="428">
        <f t="shared" si="29"/>
        <v>0</v>
      </c>
      <c r="Y117" s="428">
        <f t="shared" si="29"/>
        <v>0</v>
      </c>
      <c r="Z117" s="428">
        <f t="shared" si="29"/>
        <v>0</v>
      </c>
      <c r="AA117" s="428">
        <f t="shared" si="29"/>
        <v>0</v>
      </c>
      <c r="AB117" s="428">
        <f t="shared" si="29"/>
        <v>0</v>
      </c>
      <c r="AC117" s="428">
        <f t="shared" si="29"/>
        <v>0</v>
      </c>
      <c r="AD117" s="428">
        <f t="shared" si="29"/>
        <v>0</v>
      </c>
      <c r="AE117" s="428">
        <f t="shared" si="29"/>
        <v>0</v>
      </c>
      <c r="AF117" s="428">
        <f t="shared" si="29"/>
        <v>0</v>
      </c>
      <c r="AG117" s="428">
        <f t="shared" si="29"/>
        <v>0</v>
      </c>
      <c r="AH117" s="428">
        <f t="shared" si="29"/>
        <v>0</v>
      </c>
      <c r="AI117" s="428">
        <f t="shared" si="29"/>
        <v>0</v>
      </c>
      <c r="AJ117" s="428">
        <f t="shared" si="29"/>
        <v>0</v>
      </c>
      <c r="AK117" s="428">
        <f t="shared" si="29"/>
        <v>0</v>
      </c>
      <c r="AL117" s="428">
        <f t="shared" si="29"/>
        <v>0</v>
      </c>
      <c r="AM117" s="428">
        <f t="shared" si="29"/>
        <v>0</v>
      </c>
      <c r="AN117" s="428">
        <f t="shared" si="29"/>
        <v>0</v>
      </c>
      <c r="AO117" s="428">
        <f t="shared" si="29"/>
        <v>0</v>
      </c>
      <c r="AP117" s="428">
        <f t="shared" si="29"/>
        <v>0</v>
      </c>
    </row>
    <row r="118" spans="3:44" s="131" customFormat="1" x14ac:dyDescent="0.25">
      <c r="C118" s="132"/>
      <c r="E118" s="175"/>
      <c r="F118" s="66" t="s">
        <v>46</v>
      </c>
      <c r="G118" s="167" t="s">
        <v>726</v>
      </c>
      <c r="H118" s="139"/>
      <c r="I118" s="139"/>
      <c r="J118" s="428">
        <f t="shared" ref="J118:AP118" si="30">SUMIFS($J88:$AP88,$J$63:$AP$63,J$63)</f>
        <v>0</v>
      </c>
      <c r="K118" s="428">
        <f t="shared" si="30"/>
        <v>0</v>
      </c>
      <c r="L118" s="428">
        <f t="shared" si="30"/>
        <v>0</v>
      </c>
      <c r="M118" s="428">
        <f t="shared" si="30"/>
        <v>0</v>
      </c>
      <c r="N118" s="428">
        <f t="shared" si="30"/>
        <v>0</v>
      </c>
      <c r="O118" s="428">
        <f t="shared" si="30"/>
        <v>0</v>
      </c>
      <c r="P118" s="428">
        <f t="shared" si="30"/>
        <v>0</v>
      </c>
      <c r="Q118" s="428">
        <f t="shared" si="30"/>
        <v>0</v>
      </c>
      <c r="R118" s="428">
        <f t="shared" si="30"/>
        <v>14.513560299763071</v>
      </c>
      <c r="S118" s="428">
        <f t="shared" si="30"/>
        <v>0</v>
      </c>
      <c r="T118" s="428">
        <f t="shared" si="30"/>
        <v>0</v>
      </c>
      <c r="U118" s="428">
        <f t="shared" si="30"/>
        <v>0</v>
      </c>
      <c r="V118" s="428">
        <f t="shared" si="30"/>
        <v>0</v>
      </c>
      <c r="W118" s="428">
        <f t="shared" si="30"/>
        <v>0</v>
      </c>
      <c r="X118" s="428">
        <f t="shared" si="30"/>
        <v>0</v>
      </c>
      <c r="Y118" s="428">
        <f t="shared" si="30"/>
        <v>0</v>
      </c>
      <c r="Z118" s="428">
        <f t="shared" si="30"/>
        <v>0</v>
      </c>
      <c r="AA118" s="428">
        <f t="shared" si="30"/>
        <v>0</v>
      </c>
      <c r="AB118" s="428">
        <f t="shared" si="30"/>
        <v>0</v>
      </c>
      <c r="AC118" s="428">
        <f t="shared" si="30"/>
        <v>0</v>
      </c>
      <c r="AD118" s="428">
        <f t="shared" si="30"/>
        <v>0</v>
      </c>
      <c r="AE118" s="428">
        <f t="shared" si="30"/>
        <v>0</v>
      </c>
      <c r="AF118" s="428">
        <f t="shared" si="30"/>
        <v>0</v>
      </c>
      <c r="AG118" s="428">
        <f t="shared" si="30"/>
        <v>0</v>
      </c>
      <c r="AH118" s="428">
        <f t="shared" si="30"/>
        <v>0</v>
      </c>
      <c r="AI118" s="428">
        <f t="shared" si="30"/>
        <v>0</v>
      </c>
      <c r="AJ118" s="428">
        <f t="shared" si="30"/>
        <v>0</v>
      </c>
      <c r="AK118" s="428">
        <f t="shared" si="30"/>
        <v>0</v>
      </c>
      <c r="AL118" s="428">
        <f t="shared" si="30"/>
        <v>0</v>
      </c>
      <c r="AM118" s="428">
        <f t="shared" si="30"/>
        <v>0</v>
      </c>
      <c r="AN118" s="428">
        <f t="shared" si="30"/>
        <v>0</v>
      </c>
      <c r="AO118" s="428">
        <f t="shared" si="30"/>
        <v>0</v>
      </c>
      <c r="AP118" s="428">
        <f t="shared" si="30"/>
        <v>0</v>
      </c>
    </row>
    <row r="119" spans="3:44" s="131" customFormat="1" x14ac:dyDescent="0.25">
      <c r="C119" s="132"/>
      <c r="E119" s="175"/>
      <c r="F119" s="66" t="s">
        <v>47</v>
      </c>
      <c r="G119" s="167" t="s">
        <v>726</v>
      </c>
      <c r="H119" s="139"/>
      <c r="I119" s="139"/>
      <c r="J119" s="428">
        <f t="shared" ref="J119:AP119" si="31">SUMIFS($J89:$AP89,$J$63:$AP$63,J$63)</f>
        <v>0</v>
      </c>
      <c r="K119" s="428">
        <f t="shared" si="31"/>
        <v>0</v>
      </c>
      <c r="L119" s="428">
        <f t="shared" si="31"/>
        <v>0</v>
      </c>
      <c r="M119" s="428">
        <f t="shared" si="31"/>
        <v>0</v>
      </c>
      <c r="N119" s="428">
        <f t="shared" si="31"/>
        <v>0</v>
      </c>
      <c r="O119" s="428">
        <f t="shared" si="31"/>
        <v>0</v>
      </c>
      <c r="P119" s="428">
        <f t="shared" si="31"/>
        <v>0</v>
      </c>
      <c r="Q119" s="428">
        <f t="shared" si="31"/>
        <v>0</v>
      </c>
      <c r="R119" s="428">
        <f t="shared" si="31"/>
        <v>55.273692584586797</v>
      </c>
      <c r="S119" s="428">
        <f t="shared" si="31"/>
        <v>0</v>
      </c>
      <c r="T119" s="428">
        <f t="shared" si="31"/>
        <v>0</v>
      </c>
      <c r="U119" s="428">
        <f t="shared" si="31"/>
        <v>0</v>
      </c>
      <c r="V119" s="428">
        <f t="shared" si="31"/>
        <v>0</v>
      </c>
      <c r="W119" s="428">
        <f t="shared" si="31"/>
        <v>0</v>
      </c>
      <c r="X119" s="428">
        <f t="shared" si="31"/>
        <v>0</v>
      </c>
      <c r="Y119" s="428">
        <f t="shared" si="31"/>
        <v>0</v>
      </c>
      <c r="Z119" s="428">
        <f t="shared" si="31"/>
        <v>0</v>
      </c>
      <c r="AA119" s="428">
        <f t="shared" si="31"/>
        <v>0</v>
      </c>
      <c r="AB119" s="428">
        <f t="shared" si="31"/>
        <v>0</v>
      </c>
      <c r="AC119" s="428">
        <f t="shared" si="31"/>
        <v>0</v>
      </c>
      <c r="AD119" s="428">
        <f t="shared" si="31"/>
        <v>0</v>
      </c>
      <c r="AE119" s="428">
        <f t="shared" si="31"/>
        <v>0</v>
      </c>
      <c r="AF119" s="428">
        <f t="shared" si="31"/>
        <v>0</v>
      </c>
      <c r="AG119" s="428">
        <f t="shared" si="31"/>
        <v>0</v>
      </c>
      <c r="AH119" s="428">
        <f t="shared" si="31"/>
        <v>0</v>
      </c>
      <c r="AI119" s="428">
        <f t="shared" si="31"/>
        <v>0</v>
      </c>
      <c r="AJ119" s="428">
        <f t="shared" si="31"/>
        <v>0</v>
      </c>
      <c r="AK119" s="428">
        <f t="shared" si="31"/>
        <v>0</v>
      </c>
      <c r="AL119" s="428">
        <f t="shared" si="31"/>
        <v>0</v>
      </c>
      <c r="AM119" s="428">
        <f t="shared" si="31"/>
        <v>0</v>
      </c>
      <c r="AN119" s="428">
        <f t="shared" si="31"/>
        <v>0</v>
      </c>
      <c r="AO119" s="428">
        <f t="shared" si="31"/>
        <v>0</v>
      </c>
      <c r="AP119" s="428">
        <f t="shared" si="31"/>
        <v>0</v>
      </c>
    </row>
    <row r="120" spans="3:44" s="131" customFormat="1" x14ac:dyDescent="0.25">
      <c r="C120" s="132"/>
      <c r="E120" s="175"/>
      <c r="F120" s="66" t="s">
        <v>51</v>
      </c>
      <c r="G120" s="167" t="s">
        <v>726</v>
      </c>
      <c r="H120" s="139"/>
      <c r="I120" s="139"/>
      <c r="J120" s="428">
        <f t="shared" ref="J120:AP120" si="32">SUMIFS($J90:$AP90,$J$63:$AP$63,J$63)</f>
        <v>0</v>
      </c>
      <c r="K120" s="428">
        <f t="shared" si="32"/>
        <v>0</v>
      </c>
      <c r="L120" s="428">
        <f t="shared" si="32"/>
        <v>0</v>
      </c>
      <c r="M120" s="428">
        <f t="shared" si="32"/>
        <v>0</v>
      </c>
      <c r="N120" s="428">
        <f t="shared" si="32"/>
        <v>0</v>
      </c>
      <c r="O120" s="428">
        <f t="shared" si="32"/>
        <v>0</v>
      </c>
      <c r="P120" s="428">
        <f t="shared" si="32"/>
        <v>0</v>
      </c>
      <c r="Q120" s="428">
        <f t="shared" si="32"/>
        <v>0</v>
      </c>
      <c r="R120" s="428">
        <f t="shared" si="32"/>
        <v>0</v>
      </c>
      <c r="S120" s="428">
        <f t="shared" si="32"/>
        <v>0</v>
      </c>
      <c r="T120" s="428">
        <f t="shared" si="32"/>
        <v>0</v>
      </c>
      <c r="U120" s="428">
        <f t="shared" si="32"/>
        <v>0</v>
      </c>
      <c r="V120" s="428">
        <f t="shared" si="32"/>
        <v>0</v>
      </c>
      <c r="W120" s="428">
        <f t="shared" si="32"/>
        <v>0</v>
      </c>
      <c r="X120" s="428">
        <f t="shared" si="32"/>
        <v>0</v>
      </c>
      <c r="Y120" s="428">
        <f t="shared" si="32"/>
        <v>0</v>
      </c>
      <c r="Z120" s="428">
        <f t="shared" si="32"/>
        <v>0</v>
      </c>
      <c r="AA120" s="428">
        <f t="shared" si="32"/>
        <v>0</v>
      </c>
      <c r="AB120" s="428">
        <f t="shared" si="32"/>
        <v>0</v>
      </c>
      <c r="AC120" s="428">
        <f t="shared" si="32"/>
        <v>0</v>
      </c>
      <c r="AD120" s="428">
        <f t="shared" si="32"/>
        <v>0</v>
      </c>
      <c r="AE120" s="428">
        <f t="shared" si="32"/>
        <v>0</v>
      </c>
      <c r="AF120" s="428">
        <f t="shared" si="32"/>
        <v>0</v>
      </c>
      <c r="AG120" s="428">
        <f t="shared" si="32"/>
        <v>0</v>
      </c>
      <c r="AH120" s="428">
        <f t="shared" si="32"/>
        <v>0</v>
      </c>
      <c r="AI120" s="428">
        <f t="shared" si="32"/>
        <v>0</v>
      </c>
      <c r="AJ120" s="428">
        <f t="shared" si="32"/>
        <v>0</v>
      </c>
      <c r="AK120" s="428">
        <f t="shared" si="32"/>
        <v>0</v>
      </c>
      <c r="AL120" s="428">
        <f t="shared" si="32"/>
        <v>0</v>
      </c>
      <c r="AM120" s="428">
        <f t="shared" si="32"/>
        <v>0</v>
      </c>
      <c r="AN120" s="428">
        <f t="shared" si="32"/>
        <v>0</v>
      </c>
      <c r="AO120" s="428">
        <f t="shared" si="32"/>
        <v>0</v>
      </c>
      <c r="AP120" s="428">
        <f t="shared" si="32"/>
        <v>0</v>
      </c>
    </row>
    <row r="121" spans="3:44" s="131" customFormat="1" x14ac:dyDescent="0.25">
      <c r="C121" s="132"/>
      <c r="E121" s="175"/>
      <c r="F121" s="66" t="s">
        <v>48</v>
      </c>
      <c r="G121" s="167" t="s">
        <v>726</v>
      </c>
      <c r="H121" s="139"/>
      <c r="I121" s="139"/>
      <c r="J121" s="428">
        <f t="shared" ref="J121:AP121" si="33">SUMIFS($J91:$AP91,$J$63:$AP$63,J$63)</f>
        <v>0</v>
      </c>
      <c r="K121" s="428">
        <f t="shared" si="33"/>
        <v>0</v>
      </c>
      <c r="L121" s="428">
        <f t="shared" si="33"/>
        <v>0</v>
      </c>
      <c r="M121" s="428">
        <f t="shared" si="33"/>
        <v>0</v>
      </c>
      <c r="N121" s="428">
        <f t="shared" si="33"/>
        <v>0</v>
      </c>
      <c r="O121" s="428">
        <f t="shared" si="33"/>
        <v>0</v>
      </c>
      <c r="P121" s="428">
        <f t="shared" si="33"/>
        <v>0</v>
      </c>
      <c r="Q121" s="428">
        <f t="shared" si="33"/>
        <v>0</v>
      </c>
      <c r="R121" s="428">
        <f t="shared" si="33"/>
        <v>131.9129429648188</v>
      </c>
      <c r="S121" s="428">
        <f t="shared" si="33"/>
        <v>0</v>
      </c>
      <c r="T121" s="428">
        <f t="shared" si="33"/>
        <v>0</v>
      </c>
      <c r="U121" s="428">
        <f t="shared" si="33"/>
        <v>0</v>
      </c>
      <c r="V121" s="428">
        <f t="shared" si="33"/>
        <v>0</v>
      </c>
      <c r="W121" s="428">
        <f t="shared" si="33"/>
        <v>0</v>
      </c>
      <c r="X121" s="428">
        <f t="shared" si="33"/>
        <v>0</v>
      </c>
      <c r="Y121" s="428">
        <f t="shared" si="33"/>
        <v>0</v>
      </c>
      <c r="Z121" s="428">
        <f t="shared" si="33"/>
        <v>0</v>
      </c>
      <c r="AA121" s="428">
        <f t="shared" si="33"/>
        <v>0</v>
      </c>
      <c r="AB121" s="428">
        <f t="shared" si="33"/>
        <v>0</v>
      </c>
      <c r="AC121" s="428">
        <f t="shared" si="33"/>
        <v>0</v>
      </c>
      <c r="AD121" s="428">
        <f t="shared" si="33"/>
        <v>0</v>
      </c>
      <c r="AE121" s="428">
        <f t="shared" si="33"/>
        <v>0</v>
      </c>
      <c r="AF121" s="428">
        <f t="shared" si="33"/>
        <v>0</v>
      </c>
      <c r="AG121" s="428">
        <f t="shared" si="33"/>
        <v>0</v>
      </c>
      <c r="AH121" s="428">
        <f t="shared" si="33"/>
        <v>0</v>
      </c>
      <c r="AI121" s="428">
        <f t="shared" si="33"/>
        <v>0</v>
      </c>
      <c r="AJ121" s="428">
        <f t="shared" si="33"/>
        <v>0</v>
      </c>
      <c r="AK121" s="428">
        <f t="shared" si="33"/>
        <v>0</v>
      </c>
      <c r="AL121" s="428">
        <f t="shared" si="33"/>
        <v>0</v>
      </c>
      <c r="AM121" s="428">
        <f t="shared" si="33"/>
        <v>0</v>
      </c>
      <c r="AN121" s="428">
        <f t="shared" si="33"/>
        <v>0</v>
      </c>
      <c r="AO121" s="428">
        <f t="shared" si="33"/>
        <v>0</v>
      </c>
      <c r="AP121" s="428">
        <f t="shared" si="33"/>
        <v>0</v>
      </c>
    </row>
    <row r="122" spans="3:44" s="131" customFormat="1" x14ac:dyDescent="0.25">
      <c r="C122" s="132"/>
      <c r="E122" s="175"/>
      <c r="F122" s="66" t="s">
        <v>49</v>
      </c>
      <c r="G122" s="167" t="s">
        <v>726</v>
      </c>
      <c r="H122" s="139"/>
      <c r="I122" s="139"/>
      <c r="J122" s="428">
        <f t="shared" ref="J122:AP122" si="34">SUMIFS($J92:$AP92,$J$63:$AP$63,J$63)</f>
        <v>0</v>
      </c>
      <c r="K122" s="428">
        <f t="shared" si="34"/>
        <v>0</v>
      </c>
      <c r="L122" s="428">
        <f t="shared" si="34"/>
        <v>0</v>
      </c>
      <c r="M122" s="428">
        <f t="shared" si="34"/>
        <v>0</v>
      </c>
      <c r="N122" s="428">
        <f t="shared" si="34"/>
        <v>0</v>
      </c>
      <c r="O122" s="428">
        <f t="shared" si="34"/>
        <v>0</v>
      </c>
      <c r="P122" s="428">
        <f t="shared" si="34"/>
        <v>0</v>
      </c>
      <c r="Q122" s="428">
        <f t="shared" si="34"/>
        <v>0</v>
      </c>
      <c r="R122" s="428">
        <f t="shared" si="34"/>
        <v>0</v>
      </c>
      <c r="S122" s="428">
        <f t="shared" si="34"/>
        <v>0</v>
      </c>
      <c r="T122" s="428">
        <f t="shared" si="34"/>
        <v>0</v>
      </c>
      <c r="U122" s="428">
        <f t="shared" si="34"/>
        <v>0</v>
      </c>
      <c r="V122" s="428">
        <f t="shared" si="34"/>
        <v>0</v>
      </c>
      <c r="W122" s="428">
        <f t="shared" si="34"/>
        <v>0</v>
      </c>
      <c r="X122" s="428">
        <f t="shared" si="34"/>
        <v>0</v>
      </c>
      <c r="Y122" s="428">
        <f t="shared" si="34"/>
        <v>0</v>
      </c>
      <c r="Z122" s="428">
        <f t="shared" si="34"/>
        <v>0</v>
      </c>
      <c r="AA122" s="428">
        <f t="shared" si="34"/>
        <v>0</v>
      </c>
      <c r="AB122" s="428">
        <f t="shared" si="34"/>
        <v>0</v>
      </c>
      <c r="AC122" s="428">
        <f t="shared" si="34"/>
        <v>0</v>
      </c>
      <c r="AD122" s="428">
        <f t="shared" si="34"/>
        <v>0</v>
      </c>
      <c r="AE122" s="428">
        <f t="shared" si="34"/>
        <v>0</v>
      </c>
      <c r="AF122" s="428">
        <f t="shared" si="34"/>
        <v>0</v>
      </c>
      <c r="AG122" s="428">
        <f t="shared" si="34"/>
        <v>0</v>
      </c>
      <c r="AH122" s="428">
        <f t="shared" si="34"/>
        <v>0</v>
      </c>
      <c r="AI122" s="428">
        <f t="shared" si="34"/>
        <v>0</v>
      </c>
      <c r="AJ122" s="428">
        <f t="shared" si="34"/>
        <v>0</v>
      </c>
      <c r="AK122" s="428">
        <f t="shared" si="34"/>
        <v>0</v>
      </c>
      <c r="AL122" s="428">
        <f t="shared" si="34"/>
        <v>0</v>
      </c>
      <c r="AM122" s="428">
        <f t="shared" si="34"/>
        <v>0</v>
      </c>
      <c r="AN122" s="428">
        <f t="shared" si="34"/>
        <v>0</v>
      </c>
      <c r="AO122" s="428">
        <f t="shared" si="34"/>
        <v>0</v>
      </c>
      <c r="AP122" s="428">
        <f t="shared" si="34"/>
        <v>0</v>
      </c>
    </row>
    <row r="123" spans="3:44" s="131" customFormat="1" x14ac:dyDescent="0.25">
      <c r="C123" s="132"/>
      <c r="E123" s="175"/>
      <c r="F123" s="66" t="s">
        <v>50</v>
      </c>
      <c r="G123" s="167" t="s">
        <v>726</v>
      </c>
      <c r="H123" s="139"/>
      <c r="I123" s="139"/>
      <c r="J123" s="428">
        <f t="shared" ref="J123:AP123" si="35">SUMIFS($J93:$AP93,$J$63:$AP$63,J$63)</f>
        <v>3055085.95370743</v>
      </c>
      <c r="K123" s="428">
        <f t="shared" si="35"/>
        <v>3055085.95370743</v>
      </c>
      <c r="L123" s="428">
        <f t="shared" si="35"/>
        <v>0</v>
      </c>
      <c r="M123" s="428">
        <f t="shared" si="35"/>
        <v>3055085.95370743</v>
      </c>
      <c r="N123" s="428">
        <f t="shared" si="35"/>
        <v>3055085.95370743</v>
      </c>
      <c r="O123" s="428">
        <f t="shared" si="35"/>
        <v>0</v>
      </c>
      <c r="P123" s="428">
        <f t="shared" si="35"/>
        <v>16704.1633940592</v>
      </c>
      <c r="Q123" s="428">
        <f t="shared" si="35"/>
        <v>0</v>
      </c>
      <c r="R123" s="428">
        <f t="shared" si="35"/>
        <v>0</v>
      </c>
      <c r="S123" s="428">
        <f t="shared" si="35"/>
        <v>3055085.95370743</v>
      </c>
      <c r="T123" s="428">
        <f t="shared" si="35"/>
        <v>3055085.95370743</v>
      </c>
      <c r="U123" s="428">
        <f t="shared" si="35"/>
        <v>0</v>
      </c>
      <c r="V123" s="428">
        <f t="shared" si="35"/>
        <v>0</v>
      </c>
      <c r="W123" s="428">
        <f t="shared" si="35"/>
        <v>0</v>
      </c>
      <c r="X123" s="428">
        <f t="shared" si="35"/>
        <v>0</v>
      </c>
      <c r="Y123" s="428">
        <f t="shared" si="35"/>
        <v>0</v>
      </c>
      <c r="Z123" s="428">
        <f t="shared" si="35"/>
        <v>0</v>
      </c>
      <c r="AA123" s="428">
        <f t="shared" si="35"/>
        <v>0</v>
      </c>
      <c r="AB123" s="428">
        <f t="shared" si="35"/>
        <v>0</v>
      </c>
      <c r="AC123" s="428">
        <f t="shared" si="35"/>
        <v>0</v>
      </c>
      <c r="AD123" s="428">
        <f t="shared" si="35"/>
        <v>0</v>
      </c>
      <c r="AE123" s="428">
        <f t="shared" si="35"/>
        <v>0</v>
      </c>
      <c r="AF123" s="428">
        <f t="shared" si="35"/>
        <v>0</v>
      </c>
      <c r="AG123" s="428">
        <f t="shared" si="35"/>
        <v>0</v>
      </c>
      <c r="AH123" s="428">
        <f t="shared" si="35"/>
        <v>0</v>
      </c>
      <c r="AI123" s="428">
        <f t="shared" si="35"/>
        <v>0</v>
      </c>
      <c r="AJ123" s="428">
        <f t="shared" si="35"/>
        <v>0</v>
      </c>
      <c r="AK123" s="428">
        <f t="shared" si="35"/>
        <v>0</v>
      </c>
      <c r="AL123" s="428">
        <f t="shared" si="35"/>
        <v>0</v>
      </c>
      <c r="AM123" s="428">
        <f t="shared" si="35"/>
        <v>0</v>
      </c>
      <c r="AN123" s="428">
        <f t="shared" si="35"/>
        <v>0</v>
      </c>
      <c r="AO123" s="428">
        <f t="shared" si="35"/>
        <v>0</v>
      </c>
      <c r="AP123" s="428">
        <f t="shared" si="35"/>
        <v>0</v>
      </c>
    </row>
    <row r="124" spans="3:44" s="131" customFormat="1" x14ac:dyDescent="0.25">
      <c r="C124" s="132"/>
      <c r="E124" s="175"/>
      <c r="F124" s="66" t="s">
        <v>141</v>
      </c>
      <c r="G124" s="167" t="s">
        <v>726</v>
      </c>
      <c r="H124" s="139"/>
      <c r="I124" s="139"/>
      <c r="J124" s="403"/>
      <c r="K124" s="403"/>
      <c r="L124" s="403"/>
      <c r="M124" s="403"/>
      <c r="N124" s="403"/>
      <c r="O124" s="403"/>
      <c r="P124" s="403"/>
      <c r="Q124" s="403"/>
      <c r="R124" s="403"/>
      <c r="S124" s="403"/>
      <c r="T124" s="403"/>
      <c r="U124" s="403"/>
      <c r="V124" s="403"/>
      <c r="W124" s="403"/>
      <c r="X124" s="403"/>
      <c r="Y124" s="403"/>
      <c r="Z124" s="403"/>
      <c r="AA124" s="403"/>
      <c r="AB124" s="403"/>
      <c r="AC124" s="403"/>
      <c r="AD124" s="403"/>
      <c r="AE124" s="403"/>
      <c r="AF124" s="403"/>
      <c r="AG124" s="403"/>
      <c r="AH124" s="403"/>
      <c r="AI124" s="403"/>
      <c r="AJ124" s="403"/>
      <c r="AK124" s="403"/>
      <c r="AL124" s="403"/>
      <c r="AM124" s="403"/>
      <c r="AN124" s="403"/>
      <c r="AO124" s="403"/>
      <c r="AP124" s="403"/>
    </row>
    <row r="125" spans="3:44" s="131" customFormat="1" x14ac:dyDescent="0.25">
      <c r="C125" s="132"/>
      <c r="E125" s="175"/>
      <c r="F125" s="67" t="s">
        <v>140</v>
      </c>
      <c r="G125" s="168" t="s">
        <v>726</v>
      </c>
      <c r="H125" s="140"/>
      <c r="I125" s="140"/>
      <c r="J125" s="404"/>
      <c r="K125" s="404"/>
      <c r="L125" s="404"/>
      <c r="M125" s="404"/>
      <c r="N125" s="404"/>
      <c r="O125" s="404"/>
      <c r="P125" s="404"/>
      <c r="Q125" s="404"/>
      <c r="R125" s="404"/>
      <c r="S125" s="404"/>
      <c r="T125" s="404"/>
      <c r="U125" s="404"/>
      <c r="V125" s="404"/>
      <c r="W125" s="404"/>
      <c r="X125" s="404"/>
      <c r="Y125" s="404"/>
      <c r="Z125" s="404"/>
      <c r="AA125" s="404"/>
      <c r="AB125" s="404"/>
      <c r="AC125" s="404"/>
      <c r="AD125" s="404"/>
      <c r="AE125" s="404"/>
      <c r="AF125" s="404"/>
      <c r="AG125" s="404"/>
      <c r="AH125" s="404"/>
      <c r="AI125" s="404"/>
      <c r="AJ125" s="404"/>
      <c r="AK125" s="404"/>
      <c r="AL125" s="404"/>
      <c r="AM125" s="404"/>
      <c r="AN125" s="404"/>
      <c r="AO125" s="404"/>
      <c r="AP125" s="404"/>
    </row>
    <row r="126" spans="3:44" s="131" customFormat="1" x14ac:dyDescent="0.25">
      <c r="C126" s="132"/>
      <c r="D126" s="147"/>
      <c r="E126" s="175"/>
      <c r="F126" s="117"/>
      <c r="J126" s="416"/>
      <c r="K126" s="416"/>
      <c r="L126" s="416"/>
      <c r="M126" s="416"/>
      <c r="N126" s="416"/>
      <c r="O126" s="416"/>
      <c r="P126" s="416"/>
      <c r="Q126" s="416"/>
      <c r="R126" s="416"/>
      <c r="S126" s="416"/>
      <c r="T126" s="416"/>
      <c r="U126" s="416"/>
      <c r="V126" s="416"/>
      <c r="W126" s="416"/>
      <c r="X126" s="416"/>
      <c r="Y126" s="416"/>
      <c r="Z126" s="416"/>
      <c r="AA126" s="416"/>
      <c r="AB126" s="416"/>
      <c r="AC126" s="416"/>
      <c r="AD126" s="416"/>
      <c r="AE126" s="416"/>
      <c r="AF126" s="416"/>
      <c r="AG126" s="416"/>
      <c r="AH126" s="416"/>
      <c r="AI126" s="416"/>
      <c r="AJ126" s="416"/>
      <c r="AK126" s="416"/>
      <c r="AL126" s="416"/>
      <c r="AM126" s="416"/>
      <c r="AN126" s="416"/>
      <c r="AO126" s="416"/>
      <c r="AP126" s="416"/>
    </row>
    <row r="127" spans="3:44" s="160" customFormat="1" x14ac:dyDescent="0.25">
      <c r="C127" s="22" t="str">
        <f ca="1">INDEX('Version control'!$H$34:$H$59,MATCH($A$1,'Version control'!$F$34:$F$59,0),1)&amp;"-G: Fixed charges, by network level"</f>
        <v>Section 517-G: Fixed charges, by network level</v>
      </c>
      <c r="D127" s="22"/>
      <c r="E127" s="22"/>
      <c r="F127" s="22"/>
      <c r="G127" s="22"/>
      <c r="H127" s="22"/>
      <c r="I127" s="22"/>
      <c r="J127" s="406"/>
      <c r="K127" s="406"/>
      <c r="L127" s="406"/>
      <c r="M127" s="406"/>
      <c r="N127" s="406"/>
      <c r="O127" s="406"/>
      <c r="P127" s="406"/>
      <c r="Q127" s="406"/>
      <c r="R127" s="406"/>
      <c r="S127" s="406"/>
      <c r="T127" s="406"/>
      <c r="U127" s="406"/>
      <c r="V127" s="406"/>
      <c r="W127" s="406"/>
      <c r="X127" s="406"/>
      <c r="Y127" s="406"/>
      <c r="Z127" s="406"/>
      <c r="AA127" s="406"/>
      <c r="AB127" s="406"/>
      <c r="AC127" s="406"/>
      <c r="AD127" s="406"/>
      <c r="AE127" s="406"/>
      <c r="AF127" s="406"/>
      <c r="AG127" s="406"/>
      <c r="AH127" s="406"/>
      <c r="AI127" s="406"/>
      <c r="AJ127" s="406"/>
      <c r="AK127" s="406"/>
      <c r="AL127" s="406"/>
      <c r="AM127" s="406"/>
      <c r="AN127" s="406"/>
      <c r="AO127" s="406"/>
      <c r="AP127" s="406"/>
      <c r="AQ127" s="22"/>
      <c r="AR127" s="22"/>
    </row>
    <row r="128" spans="3:44" x14ac:dyDescent="0.25">
      <c r="D128" s="88"/>
      <c r="E128" s="172"/>
    </row>
    <row r="129" spans="3:44" s="131" customFormat="1" x14ac:dyDescent="0.25">
      <c r="E129" s="167" t="s">
        <v>816</v>
      </c>
      <c r="G129" s="167" t="s">
        <v>91</v>
      </c>
      <c r="H129" s="167"/>
      <c r="I129" s="167"/>
      <c r="J129" s="435">
        <f t="shared" ref="J129:AP129" si="36">SUMIFS($J$18:$AP$18,$J$63:$AP$63,J63)</f>
        <v>3140184.3786974754</v>
      </c>
      <c r="K129" s="435">
        <f t="shared" si="36"/>
        <v>3140184.3786974754</v>
      </c>
      <c r="L129" s="435">
        <f t="shared" si="36"/>
        <v>80885.850947832863</v>
      </c>
      <c r="M129" s="435">
        <f t="shared" si="36"/>
        <v>3140184.3786974754</v>
      </c>
      <c r="N129" s="435">
        <f t="shared" si="36"/>
        <v>3140184.3786974754</v>
      </c>
      <c r="O129" s="435">
        <f t="shared" si="36"/>
        <v>80885.850947832863</v>
      </c>
      <c r="P129" s="435">
        <f t="shared" si="36"/>
        <v>1430.884410963396</v>
      </c>
      <c r="Q129" s="435">
        <f t="shared" si="36"/>
        <v>0</v>
      </c>
      <c r="R129" s="435">
        <f t="shared" si="36"/>
        <v>4</v>
      </c>
      <c r="S129" s="435">
        <f t="shared" si="36"/>
        <v>3140184.3786974754</v>
      </c>
      <c r="T129" s="435">
        <f t="shared" si="36"/>
        <v>3140184.3786974754</v>
      </c>
      <c r="U129" s="435">
        <f t="shared" si="36"/>
        <v>80885.850947832863</v>
      </c>
      <c r="V129" s="435">
        <f t="shared" si="36"/>
        <v>80885.850947832863</v>
      </c>
      <c r="W129" s="435">
        <f t="shared" si="36"/>
        <v>80885.850947832863</v>
      </c>
      <c r="X129" s="435">
        <f t="shared" si="36"/>
        <v>80885.850947832863</v>
      </c>
      <c r="Y129" s="435">
        <f t="shared" si="36"/>
        <v>80885.850947832863</v>
      </c>
      <c r="Z129" s="435">
        <f t="shared" si="36"/>
        <v>80885.850947832863</v>
      </c>
      <c r="AA129" s="435">
        <f t="shared" si="36"/>
        <v>80885.850947832863</v>
      </c>
      <c r="AB129" s="435">
        <f t="shared" si="36"/>
        <v>80885.850947832863</v>
      </c>
      <c r="AC129" s="435">
        <f t="shared" si="36"/>
        <v>80885.850947832863</v>
      </c>
      <c r="AD129" s="435">
        <f t="shared" si="36"/>
        <v>80885.850947832863</v>
      </c>
      <c r="AE129" s="435">
        <f t="shared" si="36"/>
        <v>80885.850947832863</v>
      </c>
      <c r="AF129" s="435">
        <f t="shared" si="36"/>
        <v>80885.850947832863</v>
      </c>
      <c r="AG129" s="435">
        <f t="shared" si="36"/>
        <v>80885.850947832863</v>
      </c>
      <c r="AH129" s="435">
        <f t="shared" si="36"/>
        <v>80885.850947832863</v>
      </c>
      <c r="AI129" s="435">
        <f t="shared" si="36"/>
        <v>80885.850947832863</v>
      </c>
      <c r="AJ129" s="435">
        <f t="shared" si="36"/>
        <v>80885.850947832863</v>
      </c>
      <c r="AK129" s="435">
        <f t="shared" si="36"/>
        <v>80885.850947832863</v>
      </c>
      <c r="AL129" s="435">
        <f t="shared" si="36"/>
        <v>80885.850947832863</v>
      </c>
      <c r="AM129" s="435">
        <f t="shared" si="36"/>
        <v>80885.850947832863</v>
      </c>
      <c r="AN129" s="435">
        <f t="shared" si="36"/>
        <v>80885.850947832863</v>
      </c>
      <c r="AO129" s="435">
        <f t="shared" si="36"/>
        <v>80885.850947832863</v>
      </c>
      <c r="AP129" s="435">
        <f t="shared" si="36"/>
        <v>80885.850947832863</v>
      </c>
    </row>
    <row r="130" spans="3:44" x14ac:dyDescent="0.25">
      <c r="D130" s="88"/>
      <c r="E130" s="160"/>
    </row>
    <row r="131" spans="3:44" x14ac:dyDescent="0.25">
      <c r="C131" s="89"/>
      <c r="E131" s="172" t="s">
        <v>156</v>
      </c>
      <c r="I131" s="88" t="s">
        <v>525</v>
      </c>
      <c r="J131" s="416"/>
      <c r="K131" s="416"/>
      <c r="L131" s="416"/>
      <c r="M131" s="416"/>
      <c r="N131" s="416"/>
      <c r="O131" s="416"/>
      <c r="P131" s="416"/>
      <c r="Q131" s="416"/>
      <c r="R131" s="416"/>
      <c r="S131" s="416"/>
      <c r="T131" s="416"/>
      <c r="U131" s="416"/>
      <c r="V131" s="416"/>
      <c r="W131" s="416"/>
      <c r="X131" s="416"/>
      <c r="Y131" s="416"/>
      <c r="Z131" s="416"/>
      <c r="AA131" s="416"/>
      <c r="AB131" s="416"/>
      <c r="AC131" s="416"/>
      <c r="AD131" s="416"/>
      <c r="AE131" s="416"/>
      <c r="AF131" s="416"/>
      <c r="AG131" s="416"/>
      <c r="AH131" s="416"/>
      <c r="AI131" s="416"/>
      <c r="AJ131" s="416"/>
      <c r="AK131" s="416"/>
      <c r="AL131" s="416"/>
      <c r="AM131" s="416"/>
      <c r="AN131" s="416"/>
      <c r="AO131" s="416"/>
      <c r="AP131" s="416"/>
      <c r="AR131" s="160" t="s">
        <v>1102</v>
      </c>
    </row>
    <row r="132" spans="3:44" x14ac:dyDescent="0.25">
      <c r="C132" s="89"/>
      <c r="E132" s="152"/>
      <c r="F132" s="72" t="s">
        <v>397</v>
      </c>
      <c r="G132" s="13" t="s">
        <v>382</v>
      </c>
      <c r="H132" s="13"/>
      <c r="I132" s="13"/>
      <c r="J132" s="431">
        <f t="shared" ref="J132:AP132" si="37">IF(J$129 = 0, 0, J100 / J$129)</f>
        <v>0</v>
      </c>
      <c r="K132" s="431">
        <f t="shared" si="37"/>
        <v>0</v>
      </c>
      <c r="L132" s="431">
        <f t="shared" si="37"/>
        <v>0</v>
      </c>
      <c r="M132" s="431">
        <f t="shared" si="37"/>
        <v>0</v>
      </c>
      <c r="N132" s="431">
        <f t="shared" si="37"/>
        <v>0</v>
      </c>
      <c r="O132" s="431">
        <f t="shared" si="37"/>
        <v>0</v>
      </c>
      <c r="P132" s="431">
        <f t="shared" si="37"/>
        <v>0</v>
      </c>
      <c r="Q132" s="431">
        <f t="shared" si="37"/>
        <v>0</v>
      </c>
      <c r="R132" s="431">
        <f t="shared" si="37"/>
        <v>0</v>
      </c>
      <c r="S132" s="431">
        <f t="shared" si="37"/>
        <v>0</v>
      </c>
      <c r="T132" s="431">
        <f t="shared" si="37"/>
        <v>0</v>
      </c>
      <c r="U132" s="431">
        <f t="shared" si="37"/>
        <v>0</v>
      </c>
      <c r="V132" s="431">
        <f t="shared" si="37"/>
        <v>0</v>
      </c>
      <c r="W132" s="431">
        <f t="shared" si="37"/>
        <v>0</v>
      </c>
      <c r="X132" s="431">
        <f t="shared" si="37"/>
        <v>0</v>
      </c>
      <c r="Y132" s="431">
        <f t="shared" si="37"/>
        <v>0</v>
      </c>
      <c r="Z132" s="431">
        <f t="shared" si="37"/>
        <v>0</v>
      </c>
      <c r="AA132" s="431">
        <f t="shared" si="37"/>
        <v>0</v>
      </c>
      <c r="AB132" s="431">
        <f t="shared" si="37"/>
        <v>0</v>
      </c>
      <c r="AC132" s="431">
        <f t="shared" si="37"/>
        <v>0</v>
      </c>
      <c r="AD132" s="431">
        <f t="shared" si="37"/>
        <v>0</v>
      </c>
      <c r="AE132" s="431">
        <f t="shared" si="37"/>
        <v>0</v>
      </c>
      <c r="AF132" s="431">
        <f t="shared" si="37"/>
        <v>0</v>
      </c>
      <c r="AG132" s="431">
        <f t="shared" si="37"/>
        <v>0</v>
      </c>
      <c r="AH132" s="431">
        <f t="shared" si="37"/>
        <v>0</v>
      </c>
      <c r="AI132" s="431">
        <f t="shared" si="37"/>
        <v>0</v>
      </c>
      <c r="AJ132" s="431">
        <f t="shared" si="37"/>
        <v>0</v>
      </c>
      <c r="AK132" s="431">
        <f t="shared" si="37"/>
        <v>0</v>
      </c>
      <c r="AL132" s="431">
        <f t="shared" si="37"/>
        <v>0</v>
      </c>
      <c r="AM132" s="431">
        <f t="shared" si="37"/>
        <v>0</v>
      </c>
      <c r="AN132" s="431">
        <f t="shared" si="37"/>
        <v>0</v>
      </c>
      <c r="AO132" s="431">
        <f t="shared" si="37"/>
        <v>0</v>
      </c>
      <c r="AP132" s="431">
        <f t="shared" si="37"/>
        <v>0</v>
      </c>
    </row>
    <row r="133" spans="3:44" x14ac:dyDescent="0.25">
      <c r="C133" s="89"/>
      <c r="E133" s="152"/>
      <c r="F133" s="66" t="s">
        <v>43</v>
      </c>
      <c r="G133" s="90" t="s">
        <v>382</v>
      </c>
      <c r="H133" s="90"/>
      <c r="I133" s="90"/>
      <c r="J133" s="428">
        <f t="shared" ref="J133:AP133" si="38">IF(J$129 = 0, 0, J101 / J$129)</f>
        <v>0</v>
      </c>
      <c r="K133" s="428">
        <f t="shared" si="38"/>
        <v>0</v>
      </c>
      <c r="L133" s="428">
        <f t="shared" si="38"/>
        <v>0</v>
      </c>
      <c r="M133" s="428">
        <f t="shared" si="38"/>
        <v>0</v>
      </c>
      <c r="N133" s="428">
        <f t="shared" si="38"/>
        <v>0</v>
      </c>
      <c r="O133" s="428">
        <f t="shared" si="38"/>
        <v>0</v>
      </c>
      <c r="P133" s="428">
        <f t="shared" si="38"/>
        <v>0</v>
      </c>
      <c r="Q133" s="428">
        <f t="shared" si="38"/>
        <v>0</v>
      </c>
      <c r="R133" s="428">
        <f t="shared" si="38"/>
        <v>0</v>
      </c>
      <c r="S133" s="428">
        <f t="shared" si="38"/>
        <v>0</v>
      </c>
      <c r="T133" s="428">
        <f t="shared" si="38"/>
        <v>0</v>
      </c>
      <c r="U133" s="428">
        <f t="shared" si="38"/>
        <v>0</v>
      </c>
      <c r="V133" s="428">
        <f t="shared" si="38"/>
        <v>0</v>
      </c>
      <c r="W133" s="428">
        <f t="shared" si="38"/>
        <v>0</v>
      </c>
      <c r="X133" s="428">
        <f t="shared" si="38"/>
        <v>0</v>
      </c>
      <c r="Y133" s="428">
        <f t="shared" si="38"/>
        <v>0</v>
      </c>
      <c r="Z133" s="428">
        <f t="shared" si="38"/>
        <v>0</v>
      </c>
      <c r="AA133" s="428">
        <f t="shared" si="38"/>
        <v>0</v>
      </c>
      <c r="AB133" s="428">
        <f t="shared" si="38"/>
        <v>0</v>
      </c>
      <c r="AC133" s="428">
        <f t="shared" si="38"/>
        <v>0</v>
      </c>
      <c r="AD133" s="428">
        <f t="shared" si="38"/>
        <v>0</v>
      </c>
      <c r="AE133" s="428">
        <f t="shared" si="38"/>
        <v>0</v>
      </c>
      <c r="AF133" s="428">
        <f t="shared" si="38"/>
        <v>0</v>
      </c>
      <c r="AG133" s="428">
        <f t="shared" si="38"/>
        <v>0</v>
      </c>
      <c r="AH133" s="428">
        <f t="shared" si="38"/>
        <v>0</v>
      </c>
      <c r="AI133" s="428">
        <f t="shared" si="38"/>
        <v>0</v>
      </c>
      <c r="AJ133" s="428">
        <f t="shared" si="38"/>
        <v>0</v>
      </c>
      <c r="AK133" s="428">
        <f t="shared" si="38"/>
        <v>0</v>
      </c>
      <c r="AL133" s="428">
        <f t="shared" si="38"/>
        <v>0</v>
      </c>
      <c r="AM133" s="428">
        <f t="shared" si="38"/>
        <v>0</v>
      </c>
      <c r="AN133" s="428">
        <f t="shared" si="38"/>
        <v>0</v>
      </c>
      <c r="AO133" s="428">
        <f t="shared" si="38"/>
        <v>0</v>
      </c>
      <c r="AP133" s="428">
        <f t="shared" si="38"/>
        <v>0</v>
      </c>
    </row>
    <row r="134" spans="3:44" x14ac:dyDescent="0.25">
      <c r="C134" s="89"/>
      <c r="E134" s="152"/>
      <c r="F134" s="66" t="s">
        <v>44</v>
      </c>
      <c r="G134" s="90" t="s">
        <v>382</v>
      </c>
      <c r="H134" s="90"/>
      <c r="I134" s="90"/>
      <c r="J134" s="428">
        <f t="shared" ref="J134:AP134" si="39">IF(J$129 = 0, 0, J102 / J$129)</f>
        <v>0</v>
      </c>
      <c r="K134" s="428">
        <f t="shared" si="39"/>
        <v>0</v>
      </c>
      <c r="L134" s="428">
        <f t="shared" si="39"/>
        <v>0</v>
      </c>
      <c r="M134" s="428">
        <f t="shared" si="39"/>
        <v>0</v>
      </c>
      <c r="N134" s="428">
        <f t="shared" si="39"/>
        <v>0</v>
      </c>
      <c r="O134" s="428">
        <f t="shared" si="39"/>
        <v>0</v>
      </c>
      <c r="P134" s="428">
        <f t="shared" si="39"/>
        <v>0</v>
      </c>
      <c r="Q134" s="428">
        <f t="shared" si="39"/>
        <v>0</v>
      </c>
      <c r="R134" s="428">
        <f t="shared" si="39"/>
        <v>0</v>
      </c>
      <c r="S134" s="428">
        <f t="shared" si="39"/>
        <v>0</v>
      </c>
      <c r="T134" s="428">
        <f t="shared" si="39"/>
        <v>0</v>
      </c>
      <c r="U134" s="428">
        <f t="shared" si="39"/>
        <v>0</v>
      </c>
      <c r="V134" s="428">
        <f t="shared" si="39"/>
        <v>0</v>
      </c>
      <c r="W134" s="428">
        <f t="shared" si="39"/>
        <v>0</v>
      </c>
      <c r="X134" s="428">
        <f t="shared" si="39"/>
        <v>0</v>
      </c>
      <c r="Y134" s="428">
        <f t="shared" si="39"/>
        <v>0</v>
      </c>
      <c r="Z134" s="428">
        <f t="shared" si="39"/>
        <v>0</v>
      </c>
      <c r="AA134" s="428">
        <f t="shared" si="39"/>
        <v>0</v>
      </c>
      <c r="AB134" s="428">
        <f t="shared" si="39"/>
        <v>0</v>
      </c>
      <c r="AC134" s="428">
        <f t="shared" si="39"/>
        <v>0</v>
      </c>
      <c r="AD134" s="428">
        <f t="shared" si="39"/>
        <v>0</v>
      </c>
      <c r="AE134" s="428">
        <f t="shared" si="39"/>
        <v>0</v>
      </c>
      <c r="AF134" s="428">
        <f t="shared" si="39"/>
        <v>0</v>
      </c>
      <c r="AG134" s="428">
        <f t="shared" si="39"/>
        <v>0</v>
      </c>
      <c r="AH134" s="428">
        <f t="shared" si="39"/>
        <v>0</v>
      </c>
      <c r="AI134" s="428">
        <f t="shared" si="39"/>
        <v>0</v>
      </c>
      <c r="AJ134" s="428">
        <f t="shared" si="39"/>
        <v>0</v>
      </c>
      <c r="AK134" s="428">
        <f t="shared" si="39"/>
        <v>0</v>
      </c>
      <c r="AL134" s="428">
        <f t="shared" si="39"/>
        <v>0</v>
      </c>
      <c r="AM134" s="428">
        <f t="shared" si="39"/>
        <v>0</v>
      </c>
      <c r="AN134" s="428">
        <f t="shared" si="39"/>
        <v>0</v>
      </c>
      <c r="AO134" s="428">
        <f t="shared" si="39"/>
        <v>0</v>
      </c>
      <c r="AP134" s="428">
        <f t="shared" si="39"/>
        <v>0</v>
      </c>
    </row>
    <row r="135" spans="3:44" x14ac:dyDescent="0.25">
      <c r="C135" s="89"/>
      <c r="E135" s="152"/>
      <c r="F135" s="66" t="s">
        <v>45</v>
      </c>
      <c r="G135" s="90" t="s">
        <v>382</v>
      </c>
      <c r="H135" s="90"/>
      <c r="I135" s="90"/>
      <c r="J135" s="428">
        <f t="shared" ref="J135:AP135" si="40">IF(J$129 = 0, 0, J103 / J$129)</f>
        <v>0</v>
      </c>
      <c r="K135" s="428">
        <f t="shared" si="40"/>
        <v>0</v>
      </c>
      <c r="L135" s="428">
        <f t="shared" si="40"/>
        <v>0</v>
      </c>
      <c r="M135" s="428">
        <f t="shared" si="40"/>
        <v>0</v>
      </c>
      <c r="N135" s="428">
        <f t="shared" si="40"/>
        <v>0</v>
      </c>
      <c r="O135" s="428">
        <f t="shared" si="40"/>
        <v>0</v>
      </c>
      <c r="P135" s="428">
        <f t="shared" si="40"/>
        <v>0</v>
      </c>
      <c r="Q135" s="428">
        <f t="shared" si="40"/>
        <v>0</v>
      </c>
      <c r="R135" s="428">
        <f t="shared" si="40"/>
        <v>0</v>
      </c>
      <c r="S135" s="428">
        <f t="shared" si="40"/>
        <v>0</v>
      </c>
      <c r="T135" s="428">
        <f t="shared" si="40"/>
        <v>0</v>
      </c>
      <c r="U135" s="428">
        <f t="shared" si="40"/>
        <v>0</v>
      </c>
      <c r="V135" s="428">
        <f t="shared" si="40"/>
        <v>0</v>
      </c>
      <c r="W135" s="428">
        <f t="shared" si="40"/>
        <v>0</v>
      </c>
      <c r="X135" s="428">
        <f t="shared" si="40"/>
        <v>0</v>
      </c>
      <c r="Y135" s="428">
        <f t="shared" si="40"/>
        <v>0</v>
      </c>
      <c r="Z135" s="428">
        <f t="shared" si="40"/>
        <v>0</v>
      </c>
      <c r="AA135" s="428">
        <f t="shared" si="40"/>
        <v>0</v>
      </c>
      <c r="AB135" s="428">
        <f t="shared" si="40"/>
        <v>0</v>
      </c>
      <c r="AC135" s="428">
        <f t="shared" si="40"/>
        <v>0</v>
      </c>
      <c r="AD135" s="428">
        <f t="shared" si="40"/>
        <v>0</v>
      </c>
      <c r="AE135" s="428">
        <f t="shared" si="40"/>
        <v>0</v>
      </c>
      <c r="AF135" s="428">
        <f t="shared" si="40"/>
        <v>0</v>
      </c>
      <c r="AG135" s="428">
        <f t="shared" si="40"/>
        <v>0</v>
      </c>
      <c r="AH135" s="428">
        <f t="shared" si="40"/>
        <v>0</v>
      </c>
      <c r="AI135" s="428">
        <f t="shared" si="40"/>
        <v>0</v>
      </c>
      <c r="AJ135" s="428">
        <f t="shared" si="40"/>
        <v>0</v>
      </c>
      <c r="AK135" s="428">
        <f t="shared" si="40"/>
        <v>0</v>
      </c>
      <c r="AL135" s="428">
        <f t="shared" si="40"/>
        <v>0</v>
      </c>
      <c r="AM135" s="428">
        <f t="shared" si="40"/>
        <v>0</v>
      </c>
      <c r="AN135" s="428">
        <f t="shared" si="40"/>
        <v>0</v>
      </c>
      <c r="AO135" s="428">
        <f t="shared" si="40"/>
        <v>0</v>
      </c>
      <c r="AP135" s="428">
        <f t="shared" si="40"/>
        <v>0</v>
      </c>
    </row>
    <row r="136" spans="3:44" x14ac:dyDescent="0.25">
      <c r="C136" s="89"/>
      <c r="E136" s="152"/>
      <c r="F136" s="66" t="s">
        <v>46</v>
      </c>
      <c r="G136" s="90" t="s">
        <v>382</v>
      </c>
      <c r="H136" s="90"/>
      <c r="I136" s="90"/>
      <c r="J136" s="428">
        <f t="shared" ref="J136:AP136" si="41">IF(J$129 = 0, 0, J104 / J$129)</f>
        <v>0</v>
      </c>
      <c r="K136" s="428">
        <f t="shared" si="41"/>
        <v>0</v>
      </c>
      <c r="L136" s="428">
        <f t="shared" si="41"/>
        <v>0</v>
      </c>
      <c r="M136" s="428">
        <f t="shared" si="41"/>
        <v>0</v>
      </c>
      <c r="N136" s="428">
        <f t="shared" si="41"/>
        <v>0</v>
      </c>
      <c r="O136" s="428">
        <f t="shared" si="41"/>
        <v>0</v>
      </c>
      <c r="P136" s="428">
        <f t="shared" si="41"/>
        <v>0</v>
      </c>
      <c r="Q136" s="428">
        <f t="shared" si="41"/>
        <v>0</v>
      </c>
      <c r="R136" s="428">
        <f t="shared" si="41"/>
        <v>8.6685917723466606</v>
      </c>
      <c r="S136" s="428">
        <f t="shared" si="41"/>
        <v>0</v>
      </c>
      <c r="T136" s="428">
        <f t="shared" si="41"/>
        <v>0</v>
      </c>
      <c r="U136" s="428">
        <f t="shared" si="41"/>
        <v>0</v>
      </c>
      <c r="V136" s="428">
        <f t="shared" si="41"/>
        <v>0</v>
      </c>
      <c r="W136" s="428">
        <f t="shared" si="41"/>
        <v>0</v>
      </c>
      <c r="X136" s="428">
        <f t="shared" si="41"/>
        <v>0</v>
      </c>
      <c r="Y136" s="428">
        <f t="shared" si="41"/>
        <v>0</v>
      </c>
      <c r="Z136" s="428">
        <f t="shared" si="41"/>
        <v>0</v>
      </c>
      <c r="AA136" s="428">
        <f t="shared" si="41"/>
        <v>0</v>
      </c>
      <c r="AB136" s="428">
        <f t="shared" si="41"/>
        <v>0</v>
      </c>
      <c r="AC136" s="428">
        <f t="shared" si="41"/>
        <v>0</v>
      </c>
      <c r="AD136" s="428">
        <f t="shared" si="41"/>
        <v>0</v>
      </c>
      <c r="AE136" s="428">
        <f t="shared" si="41"/>
        <v>0</v>
      </c>
      <c r="AF136" s="428">
        <f t="shared" si="41"/>
        <v>0</v>
      </c>
      <c r="AG136" s="428">
        <f t="shared" si="41"/>
        <v>0</v>
      </c>
      <c r="AH136" s="428">
        <f t="shared" si="41"/>
        <v>0</v>
      </c>
      <c r="AI136" s="428">
        <f t="shared" si="41"/>
        <v>0</v>
      </c>
      <c r="AJ136" s="428">
        <f t="shared" si="41"/>
        <v>0</v>
      </c>
      <c r="AK136" s="428">
        <f t="shared" si="41"/>
        <v>0</v>
      </c>
      <c r="AL136" s="428">
        <f t="shared" si="41"/>
        <v>0</v>
      </c>
      <c r="AM136" s="428">
        <f t="shared" si="41"/>
        <v>0</v>
      </c>
      <c r="AN136" s="428">
        <f t="shared" si="41"/>
        <v>0</v>
      </c>
      <c r="AO136" s="428">
        <f t="shared" si="41"/>
        <v>0</v>
      </c>
      <c r="AP136" s="428">
        <f t="shared" si="41"/>
        <v>0</v>
      </c>
    </row>
    <row r="137" spans="3:44" x14ac:dyDescent="0.25">
      <c r="C137" s="89"/>
      <c r="E137" s="152"/>
      <c r="F137" s="66" t="s">
        <v>47</v>
      </c>
      <c r="G137" s="90" t="s">
        <v>382</v>
      </c>
      <c r="H137" s="90"/>
      <c r="I137" s="90"/>
      <c r="J137" s="428">
        <f t="shared" ref="J137:AP137" si="42">IF(J$129 = 0, 0, J105 / J$129)</f>
        <v>0</v>
      </c>
      <c r="K137" s="428">
        <f t="shared" si="42"/>
        <v>0</v>
      </c>
      <c r="L137" s="428">
        <f t="shared" si="42"/>
        <v>0</v>
      </c>
      <c r="M137" s="428">
        <f t="shared" si="42"/>
        <v>0</v>
      </c>
      <c r="N137" s="428">
        <f t="shared" si="42"/>
        <v>0</v>
      </c>
      <c r="O137" s="428">
        <f t="shared" si="42"/>
        <v>0</v>
      </c>
      <c r="P137" s="428">
        <f t="shared" si="42"/>
        <v>0</v>
      </c>
      <c r="Q137" s="428">
        <f t="shared" si="42"/>
        <v>0</v>
      </c>
      <c r="R137" s="428">
        <f t="shared" si="42"/>
        <v>31.924514036544508</v>
      </c>
      <c r="S137" s="428">
        <f t="shared" si="42"/>
        <v>0</v>
      </c>
      <c r="T137" s="428">
        <f t="shared" si="42"/>
        <v>0</v>
      </c>
      <c r="U137" s="428">
        <f t="shared" si="42"/>
        <v>0</v>
      </c>
      <c r="V137" s="428">
        <f t="shared" si="42"/>
        <v>0</v>
      </c>
      <c r="W137" s="428">
        <f t="shared" si="42"/>
        <v>0</v>
      </c>
      <c r="X137" s="428">
        <f t="shared" si="42"/>
        <v>0</v>
      </c>
      <c r="Y137" s="428">
        <f t="shared" si="42"/>
        <v>0</v>
      </c>
      <c r="Z137" s="428">
        <f t="shared" si="42"/>
        <v>0</v>
      </c>
      <c r="AA137" s="428">
        <f t="shared" si="42"/>
        <v>0</v>
      </c>
      <c r="AB137" s="428">
        <f t="shared" si="42"/>
        <v>0</v>
      </c>
      <c r="AC137" s="428">
        <f t="shared" si="42"/>
        <v>0</v>
      </c>
      <c r="AD137" s="428">
        <f t="shared" si="42"/>
        <v>0</v>
      </c>
      <c r="AE137" s="428">
        <f t="shared" si="42"/>
        <v>0</v>
      </c>
      <c r="AF137" s="428">
        <f t="shared" si="42"/>
        <v>0</v>
      </c>
      <c r="AG137" s="428">
        <f t="shared" si="42"/>
        <v>0</v>
      </c>
      <c r="AH137" s="428">
        <f t="shared" si="42"/>
        <v>0</v>
      </c>
      <c r="AI137" s="428">
        <f t="shared" si="42"/>
        <v>0</v>
      </c>
      <c r="AJ137" s="428">
        <f t="shared" si="42"/>
        <v>0</v>
      </c>
      <c r="AK137" s="428">
        <f t="shared" si="42"/>
        <v>0</v>
      </c>
      <c r="AL137" s="428">
        <f t="shared" si="42"/>
        <v>0</v>
      </c>
      <c r="AM137" s="428">
        <f t="shared" si="42"/>
        <v>0</v>
      </c>
      <c r="AN137" s="428">
        <f t="shared" si="42"/>
        <v>0</v>
      </c>
      <c r="AO137" s="428">
        <f t="shared" si="42"/>
        <v>0</v>
      </c>
      <c r="AP137" s="428">
        <f t="shared" si="42"/>
        <v>0</v>
      </c>
    </row>
    <row r="138" spans="3:44" x14ac:dyDescent="0.25">
      <c r="C138" s="89"/>
      <c r="E138" s="152"/>
      <c r="F138" s="66" t="s">
        <v>51</v>
      </c>
      <c r="G138" s="90" t="s">
        <v>382</v>
      </c>
      <c r="H138" s="90"/>
      <c r="I138" s="90"/>
      <c r="J138" s="428">
        <f t="shared" ref="J138:AP138" si="43">IF(J$129 = 0, 0, J106 / J$129)</f>
        <v>0</v>
      </c>
      <c r="K138" s="428">
        <f t="shared" si="43"/>
        <v>0</v>
      </c>
      <c r="L138" s="428">
        <f t="shared" si="43"/>
        <v>0</v>
      </c>
      <c r="M138" s="428">
        <f t="shared" si="43"/>
        <v>0</v>
      </c>
      <c r="N138" s="428">
        <f t="shared" si="43"/>
        <v>0</v>
      </c>
      <c r="O138" s="428">
        <f t="shared" si="43"/>
        <v>0</v>
      </c>
      <c r="P138" s="428">
        <f t="shared" si="43"/>
        <v>0</v>
      </c>
      <c r="Q138" s="428">
        <f t="shared" si="43"/>
        <v>0</v>
      </c>
      <c r="R138" s="428">
        <f t="shared" si="43"/>
        <v>0</v>
      </c>
      <c r="S138" s="428">
        <f t="shared" si="43"/>
        <v>0</v>
      </c>
      <c r="T138" s="428">
        <f t="shared" si="43"/>
        <v>0</v>
      </c>
      <c r="U138" s="428">
        <f t="shared" si="43"/>
        <v>0</v>
      </c>
      <c r="V138" s="428">
        <f t="shared" si="43"/>
        <v>0</v>
      </c>
      <c r="W138" s="428">
        <f t="shared" si="43"/>
        <v>0</v>
      </c>
      <c r="X138" s="428">
        <f t="shared" si="43"/>
        <v>0</v>
      </c>
      <c r="Y138" s="428">
        <f t="shared" si="43"/>
        <v>0</v>
      </c>
      <c r="Z138" s="428">
        <f t="shared" si="43"/>
        <v>0</v>
      </c>
      <c r="AA138" s="428">
        <f t="shared" si="43"/>
        <v>0</v>
      </c>
      <c r="AB138" s="428">
        <f t="shared" si="43"/>
        <v>0</v>
      </c>
      <c r="AC138" s="428">
        <f t="shared" si="43"/>
        <v>0</v>
      </c>
      <c r="AD138" s="428">
        <f t="shared" si="43"/>
        <v>0</v>
      </c>
      <c r="AE138" s="428">
        <f t="shared" si="43"/>
        <v>0</v>
      </c>
      <c r="AF138" s="428">
        <f t="shared" si="43"/>
        <v>0</v>
      </c>
      <c r="AG138" s="428">
        <f t="shared" si="43"/>
        <v>0</v>
      </c>
      <c r="AH138" s="428">
        <f t="shared" si="43"/>
        <v>0</v>
      </c>
      <c r="AI138" s="428">
        <f t="shared" si="43"/>
        <v>0</v>
      </c>
      <c r="AJ138" s="428">
        <f t="shared" si="43"/>
        <v>0</v>
      </c>
      <c r="AK138" s="428">
        <f t="shared" si="43"/>
        <v>0</v>
      </c>
      <c r="AL138" s="428">
        <f t="shared" si="43"/>
        <v>0</v>
      </c>
      <c r="AM138" s="428">
        <f t="shared" si="43"/>
        <v>0</v>
      </c>
      <c r="AN138" s="428">
        <f t="shared" si="43"/>
        <v>0</v>
      </c>
      <c r="AO138" s="428">
        <f t="shared" si="43"/>
        <v>0</v>
      </c>
      <c r="AP138" s="428">
        <f t="shared" si="43"/>
        <v>0</v>
      </c>
    </row>
    <row r="139" spans="3:44" x14ac:dyDescent="0.25">
      <c r="C139" s="89"/>
      <c r="E139" s="152"/>
      <c r="F139" s="66" t="s">
        <v>48</v>
      </c>
      <c r="G139" s="90" t="s">
        <v>382</v>
      </c>
      <c r="H139" s="90"/>
      <c r="I139" s="90"/>
      <c r="J139" s="428">
        <f t="shared" ref="J139:AP139" si="44">IF(J$129 = 0, 0, J107 / J$129)</f>
        <v>0</v>
      </c>
      <c r="K139" s="428">
        <f t="shared" si="44"/>
        <v>0</v>
      </c>
      <c r="L139" s="428">
        <f t="shared" si="44"/>
        <v>0</v>
      </c>
      <c r="M139" s="428">
        <f t="shared" si="44"/>
        <v>0</v>
      </c>
      <c r="N139" s="428">
        <f t="shared" si="44"/>
        <v>0</v>
      </c>
      <c r="O139" s="428">
        <f t="shared" si="44"/>
        <v>0</v>
      </c>
      <c r="P139" s="428">
        <f t="shared" si="44"/>
        <v>0</v>
      </c>
      <c r="Q139" s="428">
        <f t="shared" si="44"/>
        <v>0</v>
      </c>
      <c r="R139" s="428">
        <f t="shared" si="44"/>
        <v>50.332083350587681</v>
      </c>
      <c r="S139" s="428">
        <f t="shared" si="44"/>
        <v>0</v>
      </c>
      <c r="T139" s="428">
        <f t="shared" si="44"/>
        <v>0</v>
      </c>
      <c r="U139" s="428">
        <f t="shared" si="44"/>
        <v>0</v>
      </c>
      <c r="V139" s="428">
        <f t="shared" si="44"/>
        <v>0</v>
      </c>
      <c r="W139" s="428">
        <f t="shared" si="44"/>
        <v>0</v>
      </c>
      <c r="X139" s="428">
        <f t="shared" si="44"/>
        <v>0</v>
      </c>
      <c r="Y139" s="428">
        <f t="shared" si="44"/>
        <v>0</v>
      </c>
      <c r="Z139" s="428">
        <f t="shared" si="44"/>
        <v>0</v>
      </c>
      <c r="AA139" s="428">
        <f t="shared" si="44"/>
        <v>0</v>
      </c>
      <c r="AB139" s="428">
        <f t="shared" si="44"/>
        <v>0</v>
      </c>
      <c r="AC139" s="428">
        <f t="shared" si="44"/>
        <v>0</v>
      </c>
      <c r="AD139" s="428">
        <f t="shared" si="44"/>
        <v>0</v>
      </c>
      <c r="AE139" s="428">
        <f t="shared" si="44"/>
        <v>0</v>
      </c>
      <c r="AF139" s="428">
        <f t="shared" si="44"/>
        <v>0</v>
      </c>
      <c r="AG139" s="428">
        <f t="shared" si="44"/>
        <v>0</v>
      </c>
      <c r="AH139" s="428">
        <f t="shared" si="44"/>
        <v>0</v>
      </c>
      <c r="AI139" s="428">
        <f t="shared" si="44"/>
        <v>0</v>
      </c>
      <c r="AJ139" s="428">
        <f t="shared" si="44"/>
        <v>0</v>
      </c>
      <c r="AK139" s="428">
        <f t="shared" si="44"/>
        <v>0</v>
      </c>
      <c r="AL139" s="428">
        <f t="shared" si="44"/>
        <v>0</v>
      </c>
      <c r="AM139" s="428">
        <f t="shared" si="44"/>
        <v>0</v>
      </c>
      <c r="AN139" s="428">
        <f t="shared" si="44"/>
        <v>0</v>
      </c>
      <c r="AO139" s="428">
        <f t="shared" si="44"/>
        <v>0</v>
      </c>
      <c r="AP139" s="428">
        <f t="shared" si="44"/>
        <v>0</v>
      </c>
    </row>
    <row r="140" spans="3:44" x14ac:dyDescent="0.25">
      <c r="C140" s="89"/>
      <c r="E140" s="152"/>
      <c r="F140" s="66" t="s">
        <v>49</v>
      </c>
      <c r="G140" s="90" t="s">
        <v>382</v>
      </c>
      <c r="H140" s="90"/>
      <c r="I140" s="90"/>
      <c r="J140" s="428">
        <f t="shared" ref="J140:AP140" si="45">IF(J$129 = 0, 0, J108 / J$129)</f>
        <v>0</v>
      </c>
      <c r="K140" s="428">
        <f t="shared" si="45"/>
        <v>0</v>
      </c>
      <c r="L140" s="428">
        <f t="shared" si="45"/>
        <v>0</v>
      </c>
      <c r="M140" s="428">
        <f t="shared" si="45"/>
        <v>0</v>
      </c>
      <c r="N140" s="428">
        <f t="shared" si="45"/>
        <v>0</v>
      </c>
      <c r="O140" s="428">
        <f t="shared" si="45"/>
        <v>0</v>
      </c>
      <c r="P140" s="428">
        <f t="shared" si="45"/>
        <v>0</v>
      </c>
      <c r="Q140" s="428">
        <f t="shared" si="45"/>
        <v>0</v>
      </c>
      <c r="R140" s="428">
        <f t="shared" si="45"/>
        <v>0</v>
      </c>
      <c r="S140" s="428">
        <f t="shared" si="45"/>
        <v>0</v>
      </c>
      <c r="T140" s="428">
        <f t="shared" si="45"/>
        <v>0</v>
      </c>
      <c r="U140" s="428">
        <f t="shared" si="45"/>
        <v>0</v>
      </c>
      <c r="V140" s="428">
        <f t="shared" si="45"/>
        <v>0</v>
      </c>
      <c r="W140" s="428">
        <f t="shared" si="45"/>
        <v>0</v>
      </c>
      <c r="X140" s="428">
        <f t="shared" si="45"/>
        <v>0</v>
      </c>
      <c r="Y140" s="428">
        <f t="shared" si="45"/>
        <v>0</v>
      </c>
      <c r="Z140" s="428">
        <f t="shared" si="45"/>
        <v>0</v>
      </c>
      <c r="AA140" s="428">
        <f t="shared" si="45"/>
        <v>0</v>
      </c>
      <c r="AB140" s="428">
        <f t="shared" si="45"/>
        <v>0</v>
      </c>
      <c r="AC140" s="428">
        <f t="shared" si="45"/>
        <v>0</v>
      </c>
      <c r="AD140" s="428">
        <f t="shared" si="45"/>
        <v>0</v>
      </c>
      <c r="AE140" s="428">
        <f t="shared" si="45"/>
        <v>0</v>
      </c>
      <c r="AF140" s="428">
        <f t="shared" si="45"/>
        <v>0</v>
      </c>
      <c r="AG140" s="428">
        <f t="shared" si="45"/>
        <v>0</v>
      </c>
      <c r="AH140" s="428">
        <f t="shared" si="45"/>
        <v>0</v>
      </c>
      <c r="AI140" s="428">
        <f t="shared" si="45"/>
        <v>0</v>
      </c>
      <c r="AJ140" s="428">
        <f t="shared" si="45"/>
        <v>0</v>
      </c>
      <c r="AK140" s="428">
        <f t="shared" si="45"/>
        <v>0</v>
      </c>
      <c r="AL140" s="428">
        <f t="shared" si="45"/>
        <v>0</v>
      </c>
      <c r="AM140" s="428">
        <f t="shared" si="45"/>
        <v>0</v>
      </c>
      <c r="AN140" s="428">
        <f t="shared" si="45"/>
        <v>0</v>
      </c>
      <c r="AO140" s="428">
        <f t="shared" si="45"/>
        <v>0</v>
      </c>
      <c r="AP140" s="428">
        <f t="shared" si="45"/>
        <v>0</v>
      </c>
    </row>
    <row r="141" spans="3:44" x14ac:dyDescent="0.25">
      <c r="C141" s="89"/>
      <c r="E141" s="152"/>
      <c r="F141" s="66" t="s">
        <v>50</v>
      </c>
      <c r="G141" s="90" t="s">
        <v>382</v>
      </c>
      <c r="H141" s="90"/>
      <c r="I141" s="90"/>
      <c r="J141" s="428">
        <f t="shared" ref="J141:AP141" si="46">IF(J$129 = 0, 0, J109 / J$129)</f>
        <v>0.10603383736159523</v>
      </c>
      <c r="K141" s="428">
        <f t="shared" si="46"/>
        <v>0.10603383736159523</v>
      </c>
      <c r="L141" s="428">
        <f t="shared" si="46"/>
        <v>0</v>
      </c>
      <c r="M141" s="428">
        <f t="shared" si="46"/>
        <v>0.10603383736159523</v>
      </c>
      <c r="N141" s="428">
        <f t="shared" si="46"/>
        <v>0.10603383736159523</v>
      </c>
      <c r="O141" s="428">
        <f t="shared" si="46"/>
        <v>0</v>
      </c>
      <c r="P141" s="428">
        <f t="shared" si="46"/>
        <v>1.2723200508121701</v>
      </c>
      <c r="Q141" s="428">
        <f t="shared" si="46"/>
        <v>0</v>
      </c>
      <c r="R141" s="428">
        <f t="shared" si="46"/>
        <v>0</v>
      </c>
      <c r="S141" s="428">
        <f t="shared" si="46"/>
        <v>0.10603383736159523</v>
      </c>
      <c r="T141" s="428">
        <f t="shared" si="46"/>
        <v>0.10603383736159523</v>
      </c>
      <c r="U141" s="428">
        <f t="shared" si="46"/>
        <v>0</v>
      </c>
      <c r="V141" s="428">
        <f t="shared" si="46"/>
        <v>0</v>
      </c>
      <c r="W141" s="428">
        <f t="shared" si="46"/>
        <v>0</v>
      </c>
      <c r="X141" s="428">
        <f t="shared" si="46"/>
        <v>0</v>
      </c>
      <c r="Y141" s="428">
        <f t="shared" si="46"/>
        <v>0</v>
      </c>
      <c r="Z141" s="428">
        <f t="shared" si="46"/>
        <v>0</v>
      </c>
      <c r="AA141" s="428">
        <f t="shared" si="46"/>
        <v>0</v>
      </c>
      <c r="AB141" s="428">
        <f t="shared" si="46"/>
        <v>0</v>
      </c>
      <c r="AC141" s="428">
        <f t="shared" si="46"/>
        <v>0</v>
      </c>
      <c r="AD141" s="428">
        <f t="shared" si="46"/>
        <v>0</v>
      </c>
      <c r="AE141" s="428">
        <f t="shared" si="46"/>
        <v>0</v>
      </c>
      <c r="AF141" s="428">
        <f t="shared" si="46"/>
        <v>0</v>
      </c>
      <c r="AG141" s="428">
        <f t="shared" si="46"/>
        <v>0</v>
      </c>
      <c r="AH141" s="428">
        <f t="shared" si="46"/>
        <v>0</v>
      </c>
      <c r="AI141" s="428">
        <f t="shared" si="46"/>
        <v>0</v>
      </c>
      <c r="AJ141" s="428">
        <f t="shared" si="46"/>
        <v>0</v>
      </c>
      <c r="AK141" s="428">
        <f t="shared" si="46"/>
        <v>0</v>
      </c>
      <c r="AL141" s="428">
        <f t="shared" si="46"/>
        <v>0</v>
      </c>
      <c r="AM141" s="428">
        <f t="shared" si="46"/>
        <v>0</v>
      </c>
      <c r="AN141" s="428">
        <f t="shared" si="46"/>
        <v>0</v>
      </c>
      <c r="AO141" s="428">
        <f t="shared" si="46"/>
        <v>0</v>
      </c>
      <c r="AP141" s="428">
        <f t="shared" si="46"/>
        <v>0</v>
      </c>
    </row>
    <row r="142" spans="3:44" x14ac:dyDescent="0.25">
      <c r="C142" s="89"/>
      <c r="E142" s="152"/>
      <c r="F142" s="72" t="s">
        <v>141</v>
      </c>
      <c r="G142" s="137" t="s">
        <v>382</v>
      </c>
      <c r="H142" s="137"/>
      <c r="I142" s="137"/>
      <c r="J142" s="402"/>
      <c r="K142" s="402"/>
      <c r="L142" s="402"/>
      <c r="M142" s="402"/>
      <c r="N142" s="402"/>
      <c r="O142" s="402"/>
      <c r="P142" s="402"/>
      <c r="Q142" s="402"/>
      <c r="R142" s="402"/>
      <c r="S142" s="402"/>
      <c r="T142" s="402"/>
      <c r="U142" s="402"/>
      <c r="V142" s="402"/>
      <c r="W142" s="402"/>
      <c r="X142" s="402"/>
      <c r="Y142" s="402"/>
      <c r="Z142" s="402"/>
      <c r="AA142" s="402"/>
      <c r="AB142" s="402"/>
      <c r="AC142" s="402"/>
      <c r="AD142" s="402"/>
      <c r="AE142" s="402"/>
      <c r="AF142" s="402"/>
      <c r="AG142" s="402"/>
      <c r="AH142" s="402"/>
      <c r="AI142" s="402"/>
      <c r="AJ142" s="402"/>
      <c r="AK142" s="402"/>
      <c r="AL142" s="402"/>
      <c r="AM142" s="402"/>
      <c r="AN142" s="402"/>
      <c r="AO142" s="402"/>
      <c r="AP142" s="402"/>
    </row>
    <row r="143" spans="3:44" x14ac:dyDescent="0.25">
      <c r="C143" s="89"/>
      <c r="E143" s="152"/>
      <c r="F143" s="67" t="s">
        <v>140</v>
      </c>
      <c r="G143" s="140" t="s">
        <v>382</v>
      </c>
      <c r="H143" s="140"/>
      <c r="I143" s="140"/>
      <c r="J143" s="404"/>
      <c r="K143" s="404"/>
      <c r="L143" s="404"/>
      <c r="M143" s="404"/>
      <c r="N143" s="404"/>
      <c r="O143" s="404"/>
      <c r="P143" s="404"/>
      <c r="Q143" s="404"/>
      <c r="R143" s="404"/>
      <c r="S143" s="404"/>
      <c r="T143" s="404"/>
      <c r="U143" s="404"/>
      <c r="V143" s="404"/>
      <c r="W143" s="404"/>
      <c r="X143" s="404"/>
      <c r="Y143" s="404"/>
      <c r="Z143" s="404"/>
      <c r="AA143" s="404"/>
      <c r="AB143" s="404"/>
      <c r="AC143" s="404"/>
      <c r="AD143" s="404"/>
      <c r="AE143" s="404"/>
      <c r="AF143" s="404"/>
      <c r="AG143" s="404"/>
      <c r="AH143" s="404"/>
      <c r="AI143" s="404"/>
      <c r="AJ143" s="404"/>
      <c r="AK143" s="404"/>
      <c r="AL143" s="404"/>
      <c r="AM143" s="404"/>
      <c r="AN143" s="404"/>
      <c r="AO143" s="404"/>
      <c r="AP143" s="404"/>
    </row>
    <row r="144" spans="3:44" s="160" customFormat="1" x14ac:dyDescent="0.25">
      <c r="C144" s="161"/>
      <c r="E144" s="152"/>
      <c r="F144" s="117"/>
      <c r="J144" s="416"/>
      <c r="K144" s="416"/>
      <c r="L144" s="416"/>
      <c r="M144" s="416"/>
      <c r="N144" s="416"/>
      <c r="O144" s="416"/>
      <c r="P144" s="416"/>
      <c r="Q144" s="416"/>
      <c r="R144" s="416"/>
      <c r="S144" s="416"/>
      <c r="T144" s="416"/>
      <c r="U144" s="416"/>
      <c r="V144" s="416"/>
      <c r="W144" s="416"/>
      <c r="X144" s="416"/>
      <c r="Y144" s="416"/>
      <c r="Z144" s="416"/>
      <c r="AA144" s="416"/>
      <c r="AB144" s="416"/>
      <c r="AC144" s="416"/>
      <c r="AD144" s="416"/>
      <c r="AE144" s="416"/>
      <c r="AF144" s="416"/>
      <c r="AG144" s="416"/>
      <c r="AH144" s="416"/>
      <c r="AI144" s="416"/>
      <c r="AJ144" s="416"/>
      <c r="AK144" s="416"/>
      <c r="AL144" s="416"/>
      <c r="AM144" s="416"/>
      <c r="AN144" s="416"/>
      <c r="AO144" s="416"/>
      <c r="AP144" s="416"/>
    </row>
    <row r="145" spans="3:44" x14ac:dyDescent="0.25">
      <c r="C145" s="89"/>
      <c r="E145" s="172" t="s">
        <v>133</v>
      </c>
      <c r="F145" s="117"/>
      <c r="J145" s="416"/>
      <c r="K145" s="416"/>
      <c r="L145" s="416"/>
      <c r="M145" s="416"/>
      <c r="N145" s="416"/>
      <c r="O145" s="416"/>
      <c r="P145" s="416"/>
      <c r="Q145" s="416"/>
      <c r="R145" s="416"/>
      <c r="S145" s="416"/>
      <c r="T145" s="416"/>
      <c r="U145" s="416"/>
      <c r="V145" s="416"/>
      <c r="W145" s="416"/>
      <c r="X145" s="416"/>
      <c r="Y145" s="416"/>
      <c r="Z145" s="416"/>
      <c r="AA145" s="416"/>
      <c r="AB145" s="416"/>
      <c r="AC145" s="416"/>
      <c r="AD145" s="416"/>
      <c r="AE145" s="416"/>
      <c r="AF145" s="416"/>
      <c r="AG145" s="416"/>
      <c r="AH145" s="416"/>
      <c r="AI145" s="416"/>
      <c r="AJ145" s="416"/>
      <c r="AK145" s="416"/>
      <c r="AL145" s="416"/>
      <c r="AM145" s="416"/>
      <c r="AN145" s="416"/>
      <c r="AO145" s="416"/>
      <c r="AP145" s="416"/>
    </row>
    <row r="146" spans="3:44" x14ac:dyDescent="0.25">
      <c r="C146" s="89"/>
      <c r="F146" s="72" t="s">
        <v>397</v>
      </c>
      <c r="G146" s="13" t="s">
        <v>382</v>
      </c>
      <c r="H146" s="13"/>
      <c r="I146" s="13"/>
      <c r="J146" s="431">
        <f t="shared" ref="J146:AP146" si="47">IF(J$129 = 0, 0, J114 / J$129)</f>
        <v>0</v>
      </c>
      <c r="K146" s="431">
        <f t="shared" si="47"/>
        <v>0</v>
      </c>
      <c r="L146" s="431">
        <f t="shared" si="47"/>
        <v>0</v>
      </c>
      <c r="M146" s="431">
        <f t="shared" si="47"/>
        <v>0</v>
      </c>
      <c r="N146" s="431">
        <f t="shared" si="47"/>
        <v>0</v>
      </c>
      <c r="O146" s="431">
        <f t="shared" si="47"/>
        <v>0</v>
      </c>
      <c r="P146" s="431">
        <f t="shared" si="47"/>
        <v>0</v>
      </c>
      <c r="Q146" s="431">
        <f t="shared" si="47"/>
        <v>0</v>
      </c>
      <c r="R146" s="431">
        <f t="shared" si="47"/>
        <v>0</v>
      </c>
      <c r="S146" s="431">
        <f t="shared" si="47"/>
        <v>0</v>
      </c>
      <c r="T146" s="431">
        <f t="shared" si="47"/>
        <v>0</v>
      </c>
      <c r="U146" s="431">
        <f t="shared" si="47"/>
        <v>0</v>
      </c>
      <c r="V146" s="431">
        <f t="shared" si="47"/>
        <v>0</v>
      </c>
      <c r="W146" s="431">
        <f t="shared" si="47"/>
        <v>0</v>
      </c>
      <c r="X146" s="431">
        <f t="shared" si="47"/>
        <v>0</v>
      </c>
      <c r="Y146" s="431">
        <f t="shared" si="47"/>
        <v>0</v>
      </c>
      <c r="Z146" s="431">
        <f t="shared" si="47"/>
        <v>0</v>
      </c>
      <c r="AA146" s="431">
        <f t="shared" si="47"/>
        <v>0</v>
      </c>
      <c r="AB146" s="431">
        <f t="shared" si="47"/>
        <v>0</v>
      </c>
      <c r="AC146" s="431">
        <f t="shared" si="47"/>
        <v>0</v>
      </c>
      <c r="AD146" s="431">
        <f t="shared" si="47"/>
        <v>0</v>
      </c>
      <c r="AE146" s="431">
        <f t="shared" si="47"/>
        <v>0</v>
      </c>
      <c r="AF146" s="431">
        <f t="shared" si="47"/>
        <v>0</v>
      </c>
      <c r="AG146" s="431">
        <f t="shared" si="47"/>
        <v>0</v>
      </c>
      <c r="AH146" s="431">
        <f t="shared" si="47"/>
        <v>0</v>
      </c>
      <c r="AI146" s="431">
        <f t="shared" si="47"/>
        <v>0</v>
      </c>
      <c r="AJ146" s="431">
        <f t="shared" si="47"/>
        <v>0</v>
      </c>
      <c r="AK146" s="431">
        <f t="shared" si="47"/>
        <v>0</v>
      </c>
      <c r="AL146" s="431">
        <f t="shared" si="47"/>
        <v>0</v>
      </c>
      <c r="AM146" s="431">
        <f t="shared" si="47"/>
        <v>0</v>
      </c>
      <c r="AN146" s="431">
        <f t="shared" si="47"/>
        <v>0</v>
      </c>
      <c r="AO146" s="431">
        <f t="shared" si="47"/>
        <v>0</v>
      </c>
      <c r="AP146" s="431">
        <f t="shared" si="47"/>
        <v>0</v>
      </c>
    </row>
    <row r="147" spans="3:44" x14ac:dyDescent="0.25">
      <c r="C147" s="89"/>
      <c r="F147" s="66" t="s">
        <v>43</v>
      </c>
      <c r="G147" s="90" t="s">
        <v>382</v>
      </c>
      <c r="H147" s="90"/>
      <c r="I147" s="90"/>
      <c r="J147" s="428">
        <f t="shared" ref="J147:AP147" si="48">IF(J$129 = 0, 0, J115 / J$129)</f>
        <v>0</v>
      </c>
      <c r="K147" s="428">
        <f t="shared" si="48"/>
        <v>0</v>
      </c>
      <c r="L147" s="428">
        <f t="shared" si="48"/>
        <v>0</v>
      </c>
      <c r="M147" s="428">
        <f t="shared" si="48"/>
        <v>0</v>
      </c>
      <c r="N147" s="428">
        <f t="shared" si="48"/>
        <v>0</v>
      </c>
      <c r="O147" s="428">
        <f t="shared" si="48"/>
        <v>0</v>
      </c>
      <c r="P147" s="428">
        <f t="shared" si="48"/>
        <v>0</v>
      </c>
      <c r="Q147" s="428">
        <f t="shared" si="48"/>
        <v>0</v>
      </c>
      <c r="R147" s="428">
        <f t="shared" si="48"/>
        <v>0</v>
      </c>
      <c r="S147" s="428">
        <f t="shared" si="48"/>
        <v>0</v>
      </c>
      <c r="T147" s="428">
        <f t="shared" si="48"/>
        <v>0</v>
      </c>
      <c r="U147" s="428">
        <f t="shared" si="48"/>
        <v>0</v>
      </c>
      <c r="V147" s="428">
        <f t="shared" si="48"/>
        <v>0</v>
      </c>
      <c r="W147" s="428">
        <f t="shared" si="48"/>
        <v>0</v>
      </c>
      <c r="X147" s="428">
        <f t="shared" si="48"/>
        <v>0</v>
      </c>
      <c r="Y147" s="428">
        <f t="shared" si="48"/>
        <v>0</v>
      </c>
      <c r="Z147" s="428">
        <f t="shared" si="48"/>
        <v>0</v>
      </c>
      <c r="AA147" s="428">
        <f t="shared" si="48"/>
        <v>0</v>
      </c>
      <c r="AB147" s="428">
        <f t="shared" si="48"/>
        <v>0</v>
      </c>
      <c r="AC147" s="428">
        <f t="shared" si="48"/>
        <v>0</v>
      </c>
      <c r="AD147" s="428">
        <f t="shared" si="48"/>
        <v>0</v>
      </c>
      <c r="AE147" s="428">
        <f t="shared" si="48"/>
        <v>0</v>
      </c>
      <c r="AF147" s="428">
        <f t="shared" si="48"/>
        <v>0</v>
      </c>
      <c r="AG147" s="428">
        <f t="shared" si="48"/>
        <v>0</v>
      </c>
      <c r="AH147" s="428">
        <f t="shared" si="48"/>
        <v>0</v>
      </c>
      <c r="AI147" s="428">
        <f t="shared" si="48"/>
        <v>0</v>
      </c>
      <c r="AJ147" s="428">
        <f t="shared" si="48"/>
        <v>0</v>
      </c>
      <c r="AK147" s="428">
        <f t="shared" si="48"/>
        <v>0</v>
      </c>
      <c r="AL147" s="428">
        <f t="shared" si="48"/>
        <v>0</v>
      </c>
      <c r="AM147" s="428">
        <f t="shared" si="48"/>
        <v>0</v>
      </c>
      <c r="AN147" s="428">
        <f t="shared" si="48"/>
        <v>0</v>
      </c>
      <c r="AO147" s="428">
        <f t="shared" si="48"/>
        <v>0</v>
      </c>
      <c r="AP147" s="428">
        <f t="shared" si="48"/>
        <v>0</v>
      </c>
    </row>
    <row r="148" spans="3:44" x14ac:dyDescent="0.25">
      <c r="C148" s="89"/>
      <c r="F148" s="66" t="s">
        <v>44</v>
      </c>
      <c r="G148" s="90" t="s">
        <v>382</v>
      </c>
      <c r="H148" s="90"/>
      <c r="I148" s="90"/>
      <c r="J148" s="428">
        <f t="shared" ref="J148:AP148" si="49">IF(J$129 = 0, 0, J116 / J$129)</f>
        <v>0</v>
      </c>
      <c r="K148" s="428">
        <f t="shared" si="49"/>
        <v>0</v>
      </c>
      <c r="L148" s="428">
        <f t="shared" si="49"/>
        <v>0</v>
      </c>
      <c r="M148" s="428">
        <f t="shared" si="49"/>
        <v>0</v>
      </c>
      <c r="N148" s="428">
        <f t="shared" si="49"/>
        <v>0</v>
      </c>
      <c r="O148" s="428">
        <f t="shared" si="49"/>
        <v>0</v>
      </c>
      <c r="P148" s="428">
        <f t="shared" si="49"/>
        <v>0</v>
      </c>
      <c r="Q148" s="428">
        <f t="shared" si="49"/>
        <v>0</v>
      </c>
      <c r="R148" s="428">
        <f t="shared" si="49"/>
        <v>0</v>
      </c>
      <c r="S148" s="428">
        <f t="shared" si="49"/>
        <v>0</v>
      </c>
      <c r="T148" s="428">
        <f t="shared" si="49"/>
        <v>0</v>
      </c>
      <c r="U148" s="428">
        <f t="shared" si="49"/>
        <v>0</v>
      </c>
      <c r="V148" s="428">
        <f t="shared" si="49"/>
        <v>0</v>
      </c>
      <c r="W148" s="428">
        <f t="shared" si="49"/>
        <v>0</v>
      </c>
      <c r="X148" s="428">
        <f t="shared" si="49"/>
        <v>0</v>
      </c>
      <c r="Y148" s="428">
        <f t="shared" si="49"/>
        <v>0</v>
      </c>
      <c r="Z148" s="428">
        <f t="shared" si="49"/>
        <v>0</v>
      </c>
      <c r="AA148" s="428">
        <f t="shared" si="49"/>
        <v>0</v>
      </c>
      <c r="AB148" s="428">
        <f t="shared" si="49"/>
        <v>0</v>
      </c>
      <c r="AC148" s="428">
        <f t="shared" si="49"/>
        <v>0</v>
      </c>
      <c r="AD148" s="428">
        <f t="shared" si="49"/>
        <v>0</v>
      </c>
      <c r="AE148" s="428">
        <f t="shared" si="49"/>
        <v>0</v>
      </c>
      <c r="AF148" s="428">
        <f t="shared" si="49"/>
        <v>0</v>
      </c>
      <c r="AG148" s="428">
        <f t="shared" si="49"/>
        <v>0</v>
      </c>
      <c r="AH148" s="428">
        <f t="shared" si="49"/>
        <v>0</v>
      </c>
      <c r="AI148" s="428">
        <f t="shared" si="49"/>
        <v>0</v>
      </c>
      <c r="AJ148" s="428">
        <f t="shared" si="49"/>
        <v>0</v>
      </c>
      <c r="AK148" s="428">
        <f t="shared" si="49"/>
        <v>0</v>
      </c>
      <c r="AL148" s="428">
        <f t="shared" si="49"/>
        <v>0</v>
      </c>
      <c r="AM148" s="428">
        <f t="shared" si="49"/>
        <v>0</v>
      </c>
      <c r="AN148" s="428">
        <f t="shared" si="49"/>
        <v>0</v>
      </c>
      <c r="AO148" s="428">
        <f t="shared" si="49"/>
        <v>0</v>
      </c>
      <c r="AP148" s="428">
        <f t="shared" si="49"/>
        <v>0</v>
      </c>
    </row>
    <row r="149" spans="3:44" x14ac:dyDescent="0.25">
      <c r="C149" s="89"/>
      <c r="F149" s="66" t="s">
        <v>45</v>
      </c>
      <c r="G149" s="90" t="s">
        <v>382</v>
      </c>
      <c r="H149" s="90"/>
      <c r="I149" s="90"/>
      <c r="J149" s="428">
        <f t="shared" ref="J149:AP149" si="50">IF(J$129 = 0, 0, J117 / J$129)</f>
        <v>0</v>
      </c>
      <c r="K149" s="428">
        <f t="shared" si="50"/>
        <v>0</v>
      </c>
      <c r="L149" s="428">
        <f t="shared" si="50"/>
        <v>0</v>
      </c>
      <c r="M149" s="428">
        <f t="shared" si="50"/>
        <v>0</v>
      </c>
      <c r="N149" s="428">
        <f t="shared" si="50"/>
        <v>0</v>
      </c>
      <c r="O149" s="428">
        <f t="shared" si="50"/>
        <v>0</v>
      </c>
      <c r="P149" s="428">
        <f t="shared" si="50"/>
        <v>0</v>
      </c>
      <c r="Q149" s="428">
        <f t="shared" si="50"/>
        <v>0</v>
      </c>
      <c r="R149" s="428">
        <f t="shared" si="50"/>
        <v>0</v>
      </c>
      <c r="S149" s="428">
        <f t="shared" si="50"/>
        <v>0</v>
      </c>
      <c r="T149" s="428">
        <f t="shared" si="50"/>
        <v>0</v>
      </c>
      <c r="U149" s="428">
        <f t="shared" si="50"/>
        <v>0</v>
      </c>
      <c r="V149" s="428">
        <f t="shared" si="50"/>
        <v>0</v>
      </c>
      <c r="W149" s="428">
        <f t="shared" si="50"/>
        <v>0</v>
      </c>
      <c r="X149" s="428">
        <f t="shared" si="50"/>
        <v>0</v>
      </c>
      <c r="Y149" s="428">
        <f t="shared" si="50"/>
        <v>0</v>
      </c>
      <c r="Z149" s="428">
        <f t="shared" si="50"/>
        <v>0</v>
      </c>
      <c r="AA149" s="428">
        <f t="shared" si="50"/>
        <v>0</v>
      </c>
      <c r="AB149" s="428">
        <f t="shared" si="50"/>
        <v>0</v>
      </c>
      <c r="AC149" s="428">
        <f t="shared" si="50"/>
        <v>0</v>
      </c>
      <c r="AD149" s="428">
        <f t="shared" si="50"/>
        <v>0</v>
      </c>
      <c r="AE149" s="428">
        <f t="shared" si="50"/>
        <v>0</v>
      </c>
      <c r="AF149" s="428">
        <f t="shared" si="50"/>
        <v>0</v>
      </c>
      <c r="AG149" s="428">
        <f t="shared" si="50"/>
        <v>0</v>
      </c>
      <c r="AH149" s="428">
        <f t="shared" si="50"/>
        <v>0</v>
      </c>
      <c r="AI149" s="428">
        <f t="shared" si="50"/>
        <v>0</v>
      </c>
      <c r="AJ149" s="428">
        <f t="shared" si="50"/>
        <v>0</v>
      </c>
      <c r="AK149" s="428">
        <f t="shared" si="50"/>
        <v>0</v>
      </c>
      <c r="AL149" s="428">
        <f t="shared" si="50"/>
        <v>0</v>
      </c>
      <c r="AM149" s="428">
        <f t="shared" si="50"/>
        <v>0</v>
      </c>
      <c r="AN149" s="428">
        <f t="shared" si="50"/>
        <v>0</v>
      </c>
      <c r="AO149" s="428">
        <f t="shared" si="50"/>
        <v>0</v>
      </c>
      <c r="AP149" s="428">
        <f t="shared" si="50"/>
        <v>0</v>
      </c>
    </row>
    <row r="150" spans="3:44" x14ac:dyDescent="0.25">
      <c r="C150" s="89"/>
      <c r="F150" s="66" t="s">
        <v>46</v>
      </c>
      <c r="G150" s="90" t="s">
        <v>382</v>
      </c>
      <c r="H150" s="90"/>
      <c r="I150" s="90"/>
      <c r="J150" s="428">
        <f t="shared" ref="J150:AP150" si="51">IF(J$129 = 0, 0, J118 / J$129)</f>
        <v>0</v>
      </c>
      <c r="K150" s="428">
        <f t="shared" si="51"/>
        <v>0</v>
      </c>
      <c r="L150" s="428">
        <f t="shared" si="51"/>
        <v>0</v>
      </c>
      <c r="M150" s="428">
        <f t="shared" si="51"/>
        <v>0</v>
      </c>
      <c r="N150" s="428">
        <f t="shared" si="51"/>
        <v>0</v>
      </c>
      <c r="O150" s="428">
        <f t="shared" si="51"/>
        <v>0</v>
      </c>
      <c r="P150" s="428">
        <f t="shared" si="51"/>
        <v>0</v>
      </c>
      <c r="Q150" s="428">
        <f t="shared" si="51"/>
        <v>0</v>
      </c>
      <c r="R150" s="428">
        <f t="shared" si="51"/>
        <v>3.6283900749407678</v>
      </c>
      <c r="S150" s="428">
        <f t="shared" si="51"/>
        <v>0</v>
      </c>
      <c r="T150" s="428">
        <f t="shared" si="51"/>
        <v>0</v>
      </c>
      <c r="U150" s="428">
        <f t="shared" si="51"/>
        <v>0</v>
      </c>
      <c r="V150" s="428">
        <f t="shared" si="51"/>
        <v>0</v>
      </c>
      <c r="W150" s="428">
        <f t="shared" si="51"/>
        <v>0</v>
      </c>
      <c r="X150" s="428">
        <f t="shared" si="51"/>
        <v>0</v>
      </c>
      <c r="Y150" s="428">
        <f t="shared" si="51"/>
        <v>0</v>
      </c>
      <c r="Z150" s="428">
        <f t="shared" si="51"/>
        <v>0</v>
      </c>
      <c r="AA150" s="428">
        <f t="shared" si="51"/>
        <v>0</v>
      </c>
      <c r="AB150" s="428">
        <f t="shared" si="51"/>
        <v>0</v>
      </c>
      <c r="AC150" s="428">
        <f t="shared" si="51"/>
        <v>0</v>
      </c>
      <c r="AD150" s="428">
        <f t="shared" si="51"/>
        <v>0</v>
      </c>
      <c r="AE150" s="428">
        <f t="shared" si="51"/>
        <v>0</v>
      </c>
      <c r="AF150" s="428">
        <f t="shared" si="51"/>
        <v>0</v>
      </c>
      <c r="AG150" s="428">
        <f t="shared" si="51"/>
        <v>0</v>
      </c>
      <c r="AH150" s="428">
        <f t="shared" si="51"/>
        <v>0</v>
      </c>
      <c r="AI150" s="428">
        <f t="shared" si="51"/>
        <v>0</v>
      </c>
      <c r="AJ150" s="428">
        <f t="shared" si="51"/>
        <v>0</v>
      </c>
      <c r="AK150" s="428">
        <f t="shared" si="51"/>
        <v>0</v>
      </c>
      <c r="AL150" s="428">
        <f t="shared" si="51"/>
        <v>0</v>
      </c>
      <c r="AM150" s="428">
        <f t="shared" si="51"/>
        <v>0</v>
      </c>
      <c r="AN150" s="428">
        <f t="shared" si="51"/>
        <v>0</v>
      </c>
      <c r="AO150" s="428">
        <f t="shared" si="51"/>
        <v>0</v>
      </c>
      <c r="AP150" s="428">
        <f t="shared" si="51"/>
        <v>0</v>
      </c>
    </row>
    <row r="151" spans="3:44" x14ac:dyDescent="0.25">
      <c r="C151" s="89"/>
      <c r="F151" s="66" t="s">
        <v>47</v>
      </c>
      <c r="G151" s="90" t="s">
        <v>382</v>
      </c>
      <c r="H151" s="90"/>
      <c r="I151" s="90"/>
      <c r="J151" s="428">
        <f t="shared" ref="J151:AP151" si="52">IF(J$129 = 0, 0, J119 / J$129)</f>
        <v>0</v>
      </c>
      <c r="K151" s="428">
        <f t="shared" si="52"/>
        <v>0</v>
      </c>
      <c r="L151" s="428">
        <f t="shared" si="52"/>
        <v>0</v>
      </c>
      <c r="M151" s="428">
        <f t="shared" si="52"/>
        <v>0</v>
      </c>
      <c r="N151" s="428">
        <f t="shared" si="52"/>
        <v>0</v>
      </c>
      <c r="O151" s="428">
        <f t="shared" si="52"/>
        <v>0</v>
      </c>
      <c r="P151" s="428">
        <f t="shared" si="52"/>
        <v>0</v>
      </c>
      <c r="Q151" s="428">
        <f t="shared" si="52"/>
        <v>0</v>
      </c>
      <c r="R151" s="428">
        <f t="shared" si="52"/>
        <v>13.818423146146699</v>
      </c>
      <c r="S151" s="428">
        <f t="shared" si="52"/>
        <v>0</v>
      </c>
      <c r="T151" s="428">
        <f t="shared" si="52"/>
        <v>0</v>
      </c>
      <c r="U151" s="428">
        <f t="shared" si="52"/>
        <v>0</v>
      </c>
      <c r="V151" s="428">
        <f t="shared" si="52"/>
        <v>0</v>
      </c>
      <c r="W151" s="428">
        <f t="shared" si="52"/>
        <v>0</v>
      </c>
      <c r="X151" s="428">
        <f t="shared" si="52"/>
        <v>0</v>
      </c>
      <c r="Y151" s="428">
        <f t="shared" si="52"/>
        <v>0</v>
      </c>
      <c r="Z151" s="428">
        <f t="shared" si="52"/>
        <v>0</v>
      </c>
      <c r="AA151" s="428">
        <f t="shared" si="52"/>
        <v>0</v>
      </c>
      <c r="AB151" s="428">
        <f t="shared" si="52"/>
        <v>0</v>
      </c>
      <c r="AC151" s="428">
        <f t="shared" si="52"/>
        <v>0</v>
      </c>
      <c r="AD151" s="428">
        <f t="shared" si="52"/>
        <v>0</v>
      </c>
      <c r="AE151" s="428">
        <f t="shared" si="52"/>
        <v>0</v>
      </c>
      <c r="AF151" s="428">
        <f t="shared" si="52"/>
        <v>0</v>
      </c>
      <c r="AG151" s="428">
        <f t="shared" si="52"/>
        <v>0</v>
      </c>
      <c r="AH151" s="428">
        <f t="shared" si="52"/>
        <v>0</v>
      </c>
      <c r="AI151" s="428">
        <f t="shared" si="52"/>
        <v>0</v>
      </c>
      <c r="AJ151" s="428">
        <f t="shared" si="52"/>
        <v>0</v>
      </c>
      <c r="AK151" s="428">
        <f t="shared" si="52"/>
        <v>0</v>
      </c>
      <c r="AL151" s="428">
        <f t="shared" si="52"/>
        <v>0</v>
      </c>
      <c r="AM151" s="428">
        <f t="shared" si="52"/>
        <v>0</v>
      </c>
      <c r="AN151" s="428">
        <f t="shared" si="52"/>
        <v>0</v>
      </c>
      <c r="AO151" s="428">
        <f t="shared" si="52"/>
        <v>0</v>
      </c>
      <c r="AP151" s="428">
        <f t="shared" si="52"/>
        <v>0</v>
      </c>
    </row>
    <row r="152" spans="3:44" x14ac:dyDescent="0.25">
      <c r="C152" s="89"/>
      <c r="F152" s="66" t="s">
        <v>51</v>
      </c>
      <c r="G152" s="90" t="s">
        <v>382</v>
      </c>
      <c r="H152" s="90"/>
      <c r="I152" s="90"/>
      <c r="J152" s="428">
        <f t="shared" ref="J152:AP152" si="53">IF(J$129 = 0, 0, J120 / J$129)</f>
        <v>0</v>
      </c>
      <c r="K152" s="428">
        <f t="shared" si="53"/>
        <v>0</v>
      </c>
      <c r="L152" s="428">
        <f t="shared" si="53"/>
        <v>0</v>
      </c>
      <c r="M152" s="428">
        <f t="shared" si="53"/>
        <v>0</v>
      </c>
      <c r="N152" s="428">
        <f t="shared" si="53"/>
        <v>0</v>
      </c>
      <c r="O152" s="428">
        <f t="shared" si="53"/>
        <v>0</v>
      </c>
      <c r="P152" s="428">
        <f t="shared" si="53"/>
        <v>0</v>
      </c>
      <c r="Q152" s="428">
        <f t="shared" si="53"/>
        <v>0</v>
      </c>
      <c r="R152" s="428">
        <f t="shared" si="53"/>
        <v>0</v>
      </c>
      <c r="S152" s="428">
        <f t="shared" si="53"/>
        <v>0</v>
      </c>
      <c r="T152" s="428">
        <f t="shared" si="53"/>
        <v>0</v>
      </c>
      <c r="U152" s="428">
        <f t="shared" si="53"/>
        <v>0</v>
      </c>
      <c r="V152" s="428">
        <f t="shared" si="53"/>
        <v>0</v>
      </c>
      <c r="W152" s="428">
        <f t="shared" si="53"/>
        <v>0</v>
      </c>
      <c r="X152" s="428">
        <f t="shared" si="53"/>
        <v>0</v>
      </c>
      <c r="Y152" s="428">
        <f t="shared" si="53"/>
        <v>0</v>
      </c>
      <c r="Z152" s="428">
        <f t="shared" si="53"/>
        <v>0</v>
      </c>
      <c r="AA152" s="428">
        <f t="shared" si="53"/>
        <v>0</v>
      </c>
      <c r="AB152" s="428">
        <f t="shared" si="53"/>
        <v>0</v>
      </c>
      <c r="AC152" s="428">
        <f t="shared" si="53"/>
        <v>0</v>
      </c>
      <c r="AD152" s="428">
        <f t="shared" si="53"/>
        <v>0</v>
      </c>
      <c r="AE152" s="428">
        <f t="shared" si="53"/>
        <v>0</v>
      </c>
      <c r="AF152" s="428">
        <f t="shared" si="53"/>
        <v>0</v>
      </c>
      <c r="AG152" s="428">
        <f t="shared" si="53"/>
        <v>0</v>
      </c>
      <c r="AH152" s="428">
        <f t="shared" si="53"/>
        <v>0</v>
      </c>
      <c r="AI152" s="428">
        <f t="shared" si="53"/>
        <v>0</v>
      </c>
      <c r="AJ152" s="428">
        <f t="shared" si="53"/>
        <v>0</v>
      </c>
      <c r="AK152" s="428">
        <f t="shared" si="53"/>
        <v>0</v>
      </c>
      <c r="AL152" s="428">
        <f t="shared" si="53"/>
        <v>0</v>
      </c>
      <c r="AM152" s="428">
        <f t="shared" si="53"/>
        <v>0</v>
      </c>
      <c r="AN152" s="428">
        <f t="shared" si="53"/>
        <v>0</v>
      </c>
      <c r="AO152" s="428">
        <f t="shared" si="53"/>
        <v>0</v>
      </c>
      <c r="AP152" s="428">
        <f t="shared" si="53"/>
        <v>0</v>
      </c>
    </row>
    <row r="153" spans="3:44" x14ac:dyDescent="0.25">
      <c r="C153" s="89"/>
      <c r="F153" s="66" t="s">
        <v>48</v>
      </c>
      <c r="G153" s="90" t="s">
        <v>382</v>
      </c>
      <c r="H153" s="90"/>
      <c r="I153" s="90"/>
      <c r="J153" s="428">
        <f t="shared" ref="J153:AP153" si="54">IF(J$129 = 0, 0, J121 / J$129)</f>
        <v>0</v>
      </c>
      <c r="K153" s="428">
        <f t="shared" si="54"/>
        <v>0</v>
      </c>
      <c r="L153" s="428">
        <f t="shared" si="54"/>
        <v>0</v>
      </c>
      <c r="M153" s="428">
        <f t="shared" si="54"/>
        <v>0</v>
      </c>
      <c r="N153" s="428">
        <f t="shared" si="54"/>
        <v>0</v>
      </c>
      <c r="O153" s="428">
        <f t="shared" si="54"/>
        <v>0</v>
      </c>
      <c r="P153" s="428">
        <f t="shared" si="54"/>
        <v>0</v>
      </c>
      <c r="Q153" s="428">
        <f t="shared" si="54"/>
        <v>0</v>
      </c>
      <c r="R153" s="428">
        <f t="shared" si="54"/>
        <v>32.978235741204699</v>
      </c>
      <c r="S153" s="428">
        <f t="shared" si="54"/>
        <v>0</v>
      </c>
      <c r="T153" s="428">
        <f t="shared" si="54"/>
        <v>0</v>
      </c>
      <c r="U153" s="428">
        <f t="shared" si="54"/>
        <v>0</v>
      </c>
      <c r="V153" s="428">
        <f t="shared" si="54"/>
        <v>0</v>
      </c>
      <c r="W153" s="428">
        <f t="shared" si="54"/>
        <v>0</v>
      </c>
      <c r="X153" s="428">
        <f t="shared" si="54"/>
        <v>0</v>
      </c>
      <c r="Y153" s="428">
        <f t="shared" si="54"/>
        <v>0</v>
      </c>
      <c r="Z153" s="428">
        <f t="shared" si="54"/>
        <v>0</v>
      </c>
      <c r="AA153" s="428">
        <f t="shared" si="54"/>
        <v>0</v>
      </c>
      <c r="AB153" s="428">
        <f t="shared" si="54"/>
        <v>0</v>
      </c>
      <c r="AC153" s="428">
        <f t="shared" si="54"/>
        <v>0</v>
      </c>
      <c r="AD153" s="428">
        <f t="shared" si="54"/>
        <v>0</v>
      </c>
      <c r="AE153" s="428">
        <f t="shared" si="54"/>
        <v>0</v>
      </c>
      <c r="AF153" s="428">
        <f t="shared" si="54"/>
        <v>0</v>
      </c>
      <c r="AG153" s="428">
        <f t="shared" si="54"/>
        <v>0</v>
      </c>
      <c r="AH153" s="428">
        <f t="shared" si="54"/>
        <v>0</v>
      </c>
      <c r="AI153" s="428">
        <f t="shared" si="54"/>
        <v>0</v>
      </c>
      <c r="AJ153" s="428">
        <f t="shared" si="54"/>
        <v>0</v>
      </c>
      <c r="AK153" s="428">
        <f t="shared" si="54"/>
        <v>0</v>
      </c>
      <c r="AL153" s="428">
        <f t="shared" si="54"/>
        <v>0</v>
      </c>
      <c r="AM153" s="428">
        <f t="shared" si="54"/>
        <v>0</v>
      </c>
      <c r="AN153" s="428">
        <f t="shared" si="54"/>
        <v>0</v>
      </c>
      <c r="AO153" s="428">
        <f t="shared" si="54"/>
        <v>0</v>
      </c>
      <c r="AP153" s="428">
        <f t="shared" si="54"/>
        <v>0</v>
      </c>
    </row>
    <row r="154" spans="3:44" x14ac:dyDescent="0.25">
      <c r="C154" s="89"/>
      <c r="F154" s="66" t="s">
        <v>49</v>
      </c>
      <c r="G154" s="90" t="s">
        <v>382</v>
      </c>
      <c r="H154" s="90"/>
      <c r="I154" s="90"/>
      <c r="J154" s="428">
        <f t="shared" ref="J154:AP154" si="55">IF(J$129 = 0, 0, J122 / J$129)</f>
        <v>0</v>
      </c>
      <c r="K154" s="428">
        <f t="shared" si="55"/>
        <v>0</v>
      </c>
      <c r="L154" s="428">
        <f t="shared" si="55"/>
        <v>0</v>
      </c>
      <c r="M154" s="428">
        <f t="shared" si="55"/>
        <v>0</v>
      </c>
      <c r="N154" s="428">
        <f t="shared" si="55"/>
        <v>0</v>
      </c>
      <c r="O154" s="428">
        <f t="shared" si="55"/>
        <v>0</v>
      </c>
      <c r="P154" s="428">
        <f t="shared" si="55"/>
        <v>0</v>
      </c>
      <c r="Q154" s="428">
        <f t="shared" si="55"/>
        <v>0</v>
      </c>
      <c r="R154" s="428">
        <f t="shared" si="55"/>
        <v>0</v>
      </c>
      <c r="S154" s="428">
        <f t="shared" si="55"/>
        <v>0</v>
      </c>
      <c r="T154" s="428">
        <f t="shared" si="55"/>
        <v>0</v>
      </c>
      <c r="U154" s="428">
        <f t="shared" si="55"/>
        <v>0</v>
      </c>
      <c r="V154" s="428">
        <f t="shared" si="55"/>
        <v>0</v>
      </c>
      <c r="W154" s="428">
        <f t="shared" si="55"/>
        <v>0</v>
      </c>
      <c r="X154" s="428">
        <f t="shared" si="55"/>
        <v>0</v>
      </c>
      <c r="Y154" s="428">
        <f t="shared" si="55"/>
        <v>0</v>
      </c>
      <c r="Z154" s="428">
        <f t="shared" si="55"/>
        <v>0</v>
      </c>
      <c r="AA154" s="428">
        <f t="shared" si="55"/>
        <v>0</v>
      </c>
      <c r="AB154" s="428">
        <f t="shared" si="55"/>
        <v>0</v>
      </c>
      <c r="AC154" s="428">
        <f t="shared" si="55"/>
        <v>0</v>
      </c>
      <c r="AD154" s="428">
        <f t="shared" si="55"/>
        <v>0</v>
      </c>
      <c r="AE154" s="428">
        <f t="shared" si="55"/>
        <v>0</v>
      </c>
      <c r="AF154" s="428">
        <f t="shared" si="55"/>
        <v>0</v>
      </c>
      <c r="AG154" s="428">
        <f t="shared" si="55"/>
        <v>0</v>
      </c>
      <c r="AH154" s="428">
        <f t="shared" si="55"/>
        <v>0</v>
      </c>
      <c r="AI154" s="428">
        <f t="shared" si="55"/>
        <v>0</v>
      </c>
      <c r="AJ154" s="428">
        <f t="shared" si="55"/>
        <v>0</v>
      </c>
      <c r="AK154" s="428">
        <f t="shared" si="55"/>
        <v>0</v>
      </c>
      <c r="AL154" s="428">
        <f t="shared" si="55"/>
        <v>0</v>
      </c>
      <c r="AM154" s="428">
        <f t="shared" si="55"/>
        <v>0</v>
      </c>
      <c r="AN154" s="428">
        <f t="shared" si="55"/>
        <v>0</v>
      </c>
      <c r="AO154" s="428">
        <f t="shared" si="55"/>
        <v>0</v>
      </c>
      <c r="AP154" s="428">
        <f t="shared" si="55"/>
        <v>0</v>
      </c>
    </row>
    <row r="155" spans="3:44" x14ac:dyDescent="0.25">
      <c r="C155" s="89"/>
      <c r="F155" s="66" t="s">
        <v>50</v>
      </c>
      <c r="G155" s="90" t="s">
        <v>382</v>
      </c>
      <c r="H155" s="90"/>
      <c r="I155" s="90"/>
      <c r="J155" s="428">
        <f t="shared" ref="J155:AP155" si="56">IF(J$129 = 0, 0, J123 / J$129)</f>
        <v>0.97290018205066564</v>
      </c>
      <c r="K155" s="428">
        <f t="shared" si="56"/>
        <v>0.97290018205066564</v>
      </c>
      <c r="L155" s="428">
        <f t="shared" si="56"/>
        <v>0</v>
      </c>
      <c r="M155" s="428">
        <f t="shared" si="56"/>
        <v>0.97290018205066564</v>
      </c>
      <c r="N155" s="428">
        <f t="shared" si="56"/>
        <v>0.97290018205066564</v>
      </c>
      <c r="O155" s="428">
        <f t="shared" si="56"/>
        <v>0</v>
      </c>
      <c r="P155" s="428">
        <f t="shared" si="56"/>
        <v>11.674013125080105</v>
      </c>
      <c r="Q155" s="428">
        <f t="shared" si="56"/>
        <v>0</v>
      </c>
      <c r="R155" s="428">
        <f t="shared" si="56"/>
        <v>0</v>
      </c>
      <c r="S155" s="428">
        <f t="shared" si="56"/>
        <v>0.97290018205066564</v>
      </c>
      <c r="T155" s="428">
        <f t="shared" si="56"/>
        <v>0.97290018205066564</v>
      </c>
      <c r="U155" s="428">
        <f t="shared" si="56"/>
        <v>0</v>
      </c>
      <c r="V155" s="428">
        <f t="shared" si="56"/>
        <v>0</v>
      </c>
      <c r="W155" s="428">
        <f t="shared" si="56"/>
        <v>0</v>
      </c>
      <c r="X155" s="428">
        <f t="shared" si="56"/>
        <v>0</v>
      </c>
      <c r="Y155" s="428">
        <f t="shared" si="56"/>
        <v>0</v>
      </c>
      <c r="Z155" s="428">
        <f t="shared" si="56"/>
        <v>0</v>
      </c>
      <c r="AA155" s="428">
        <f t="shared" si="56"/>
        <v>0</v>
      </c>
      <c r="AB155" s="428">
        <f t="shared" si="56"/>
        <v>0</v>
      </c>
      <c r="AC155" s="428">
        <f t="shared" si="56"/>
        <v>0</v>
      </c>
      <c r="AD155" s="428">
        <f t="shared" si="56"/>
        <v>0</v>
      </c>
      <c r="AE155" s="428">
        <f t="shared" si="56"/>
        <v>0</v>
      </c>
      <c r="AF155" s="428">
        <f t="shared" si="56"/>
        <v>0</v>
      </c>
      <c r="AG155" s="428">
        <f t="shared" si="56"/>
        <v>0</v>
      </c>
      <c r="AH155" s="428">
        <f t="shared" si="56"/>
        <v>0</v>
      </c>
      <c r="AI155" s="428">
        <f t="shared" si="56"/>
        <v>0</v>
      </c>
      <c r="AJ155" s="428">
        <f t="shared" si="56"/>
        <v>0</v>
      </c>
      <c r="AK155" s="428">
        <f t="shared" si="56"/>
        <v>0</v>
      </c>
      <c r="AL155" s="428">
        <f t="shared" si="56"/>
        <v>0</v>
      </c>
      <c r="AM155" s="428">
        <f t="shared" si="56"/>
        <v>0</v>
      </c>
      <c r="AN155" s="428">
        <f t="shared" si="56"/>
        <v>0</v>
      </c>
      <c r="AO155" s="428">
        <f t="shared" si="56"/>
        <v>0</v>
      </c>
      <c r="AP155" s="428">
        <f t="shared" si="56"/>
        <v>0</v>
      </c>
    </row>
    <row r="156" spans="3:44" s="131" customFormat="1" x14ac:dyDescent="0.25">
      <c r="C156" s="132"/>
      <c r="E156" s="175"/>
      <c r="F156" s="72" t="s">
        <v>141</v>
      </c>
      <c r="G156" s="137" t="s">
        <v>382</v>
      </c>
      <c r="H156" s="137"/>
      <c r="I156" s="137"/>
      <c r="J156" s="431">
        <f t="shared" ref="J156:AP156" si="57">J55</f>
        <v>2.4277879755725476</v>
      </c>
      <c r="K156" s="431">
        <f t="shared" si="57"/>
        <v>2.4277879755725476</v>
      </c>
      <c r="L156" s="431">
        <f t="shared" si="57"/>
        <v>0</v>
      </c>
      <c r="M156" s="431">
        <f t="shared" si="57"/>
        <v>4.1746183054380426</v>
      </c>
      <c r="N156" s="431">
        <f t="shared" si="57"/>
        <v>4.1746183054380426</v>
      </c>
      <c r="O156" s="431">
        <f t="shared" si="57"/>
        <v>0</v>
      </c>
      <c r="P156" s="431">
        <f t="shared" si="57"/>
        <v>16.019704784476133</v>
      </c>
      <c r="Q156" s="431">
        <f t="shared" si="57"/>
        <v>25.779541777058597</v>
      </c>
      <c r="R156" s="431">
        <f t="shared" si="57"/>
        <v>0</v>
      </c>
      <c r="S156" s="431">
        <f t="shared" si="57"/>
        <v>2.4277879755725476</v>
      </c>
      <c r="T156" s="431">
        <f t="shared" si="57"/>
        <v>4.1746183054380426</v>
      </c>
      <c r="U156" s="431">
        <f t="shared" si="57"/>
        <v>16.485812680056686</v>
      </c>
      <c r="V156" s="431">
        <f t="shared" si="57"/>
        <v>25.779541777058597</v>
      </c>
      <c r="W156" s="431">
        <f t="shared" si="57"/>
        <v>0</v>
      </c>
      <c r="X156" s="431">
        <f t="shared" si="57"/>
        <v>0</v>
      </c>
      <c r="Y156" s="431">
        <f t="shared" si="57"/>
        <v>0</v>
      </c>
      <c r="Z156" s="431">
        <f t="shared" si="57"/>
        <v>0</v>
      </c>
      <c r="AA156" s="431">
        <f t="shared" si="57"/>
        <v>0</v>
      </c>
      <c r="AB156" s="431">
        <f t="shared" si="57"/>
        <v>0</v>
      </c>
      <c r="AC156" s="431">
        <f t="shared" si="57"/>
        <v>0</v>
      </c>
      <c r="AD156" s="431">
        <f t="shared" si="57"/>
        <v>0</v>
      </c>
      <c r="AE156" s="431">
        <f t="shared" si="57"/>
        <v>0</v>
      </c>
      <c r="AF156" s="431">
        <f t="shared" si="57"/>
        <v>0</v>
      </c>
      <c r="AG156" s="431">
        <f t="shared" si="57"/>
        <v>0</v>
      </c>
      <c r="AH156" s="431">
        <f t="shared" si="57"/>
        <v>0</v>
      </c>
      <c r="AI156" s="431">
        <f t="shared" si="57"/>
        <v>0</v>
      </c>
      <c r="AJ156" s="431">
        <f t="shared" si="57"/>
        <v>0</v>
      </c>
      <c r="AK156" s="431">
        <f t="shared" si="57"/>
        <v>0</v>
      </c>
      <c r="AL156" s="431">
        <f t="shared" si="57"/>
        <v>0</v>
      </c>
      <c r="AM156" s="431">
        <f t="shared" si="57"/>
        <v>0</v>
      </c>
      <c r="AN156" s="431">
        <f t="shared" si="57"/>
        <v>0</v>
      </c>
      <c r="AO156" s="431">
        <f t="shared" si="57"/>
        <v>0</v>
      </c>
      <c r="AP156" s="431">
        <f t="shared" si="57"/>
        <v>0</v>
      </c>
    </row>
    <row r="157" spans="3:44" s="131" customFormat="1" x14ac:dyDescent="0.25">
      <c r="C157" s="132"/>
      <c r="E157" s="175"/>
      <c r="F157" s="67" t="s">
        <v>140</v>
      </c>
      <c r="G157" s="140" t="s">
        <v>382</v>
      </c>
      <c r="H157" s="140"/>
      <c r="I157" s="140"/>
      <c r="J157" s="432">
        <f t="shared" ref="J157:AP157" si="58">J56</f>
        <v>0</v>
      </c>
      <c r="K157" s="432">
        <f t="shared" si="58"/>
        <v>0</v>
      </c>
      <c r="L157" s="432">
        <f t="shared" si="58"/>
        <v>0</v>
      </c>
      <c r="M157" s="432">
        <f t="shared" si="58"/>
        <v>0</v>
      </c>
      <c r="N157" s="432">
        <f t="shared" si="58"/>
        <v>0</v>
      </c>
      <c r="O157" s="432">
        <f t="shared" si="58"/>
        <v>0</v>
      </c>
      <c r="P157" s="432">
        <f t="shared" si="58"/>
        <v>0</v>
      </c>
      <c r="Q157" s="432">
        <f t="shared" si="58"/>
        <v>0</v>
      </c>
      <c r="R157" s="432">
        <f t="shared" si="58"/>
        <v>147.36429719068178</v>
      </c>
      <c r="S157" s="432">
        <f t="shared" si="58"/>
        <v>0</v>
      </c>
      <c r="T157" s="432">
        <f t="shared" si="58"/>
        <v>0</v>
      </c>
      <c r="U157" s="432">
        <f t="shared" si="58"/>
        <v>0</v>
      </c>
      <c r="V157" s="432">
        <f t="shared" si="58"/>
        <v>0</v>
      </c>
      <c r="W157" s="432">
        <f t="shared" si="58"/>
        <v>147.36429719068178</v>
      </c>
      <c r="X157" s="432">
        <f t="shared" si="58"/>
        <v>0</v>
      </c>
      <c r="Y157" s="432">
        <f t="shared" si="58"/>
        <v>0</v>
      </c>
      <c r="Z157" s="432">
        <f t="shared" si="58"/>
        <v>0</v>
      </c>
      <c r="AA157" s="432">
        <f t="shared" si="58"/>
        <v>0</v>
      </c>
      <c r="AB157" s="432">
        <f t="shared" si="58"/>
        <v>0</v>
      </c>
      <c r="AC157" s="432">
        <f t="shared" si="58"/>
        <v>0</v>
      </c>
      <c r="AD157" s="432">
        <f t="shared" si="58"/>
        <v>0</v>
      </c>
      <c r="AE157" s="432">
        <f t="shared" si="58"/>
        <v>0</v>
      </c>
      <c r="AF157" s="432">
        <f t="shared" si="58"/>
        <v>0</v>
      </c>
      <c r="AG157" s="432">
        <f t="shared" si="58"/>
        <v>0</v>
      </c>
      <c r="AH157" s="432">
        <f t="shared" si="58"/>
        <v>0</v>
      </c>
      <c r="AI157" s="432">
        <f t="shared" si="58"/>
        <v>0</v>
      </c>
      <c r="AJ157" s="432">
        <f t="shared" si="58"/>
        <v>0</v>
      </c>
      <c r="AK157" s="432">
        <f t="shared" si="58"/>
        <v>0</v>
      </c>
      <c r="AL157" s="432">
        <f t="shared" si="58"/>
        <v>0</v>
      </c>
      <c r="AM157" s="432">
        <f t="shared" si="58"/>
        <v>242.78017970172101</v>
      </c>
      <c r="AN157" s="432">
        <f t="shared" si="58"/>
        <v>242.78017970172101</v>
      </c>
      <c r="AO157" s="432">
        <f t="shared" si="58"/>
        <v>242.78017970172101</v>
      </c>
      <c r="AP157" s="432">
        <f t="shared" si="58"/>
        <v>242.78017970172101</v>
      </c>
    </row>
    <row r="158" spans="3:44" x14ac:dyDescent="0.25">
      <c r="C158" s="89"/>
      <c r="F158" s="117"/>
      <c r="J158" s="416"/>
      <c r="K158" s="416"/>
      <c r="L158" s="416"/>
      <c r="M158" s="416"/>
      <c r="N158" s="416"/>
      <c r="O158" s="416"/>
      <c r="P158" s="416"/>
      <c r="Q158" s="416"/>
      <c r="R158" s="416"/>
      <c r="S158" s="416"/>
      <c r="T158" s="416"/>
      <c r="U158" s="416"/>
      <c r="V158" s="416"/>
      <c r="W158" s="416"/>
      <c r="X158" s="416"/>
      <c r="Y158" s="416"/>
      <c r="Z158" s="416"/>
      <c r="AA158" s="416"/>
      <c r="AB158" s="416"/>
      <c r="AC158" s="416"/>
      <c r="AD158" s="416"/>
      <c r="AE158" s="416"/>
      <c r="AF158" s="416"/>
      <c r="AG158" s="416"/>
      <c r="AH158" s="416"/>
      <c r="AI158" s="416"/>
      <c r="AJ158" s="416"/>
      <c r="AK158" s="416"/>
      <c r="AL158" s="416"/>
      <c r="AM158" s="416"/>
      <c r="AN158" s="416"/>
      <c r="AO158" s="416"/>
      <c r="AP158" s="416"/>
    </row>
    <row r="159" spans="3:44" s="338" customFormat="1" x14ac:dyDescent="0.25">
      <c r="C159" s="22" t="str">
        <f ca="1">INDEX('Version control'!$H$34:$H$59,MATCH($A$1,'Version control'!$F$34:$F$59,0),1)&amp;"-H: Aggregated fixed charges"</f>
        <v>Section 517-H: Aggregated fixed charges</v>
      </c>
      <c r="D159" s="22"/>
      <c r="E159" s="22"/>
      <c r="F159" s="22"/>
      <c r="G159" s="22"/>
      <c r="H159" s="22"/>
      <c r="I159" s="22"/>
      <c r="J159" s="406"/>
      <c r="K159" s="406"/>
      <c r="L159" s="406"/>
      <c r="M159" s="406"/>
      <c r="N159" s="406"/>
      <c r="O159" s="406"/>
      <c r="P159" s="406"/>
      <c r="Q159" s="406"/>
      <c r="R159" s="406"/>
      <c r="S159" s="406"/>
      <c r="T159" s="406"/>
      <c r="U159" s="406"/>
      <c r="V159" s="406"/>
      <c r="W159" s="406"/>
      <c r="X159" s="406"/>
      <c r="Y159" s="406"/>
      <c r="Z159" s="406"/>
      <c r="AA159" s="406"/>
      <c r="AB159" s="406"/>
      <c r="AC159" s="406"/>
      <c r="AD159" s="406"/>
      <c r="AE159" s="406"/>
      <c r="AF159" s="406"/>
      <c r="AG159" s="406"/>
      <c r="AH159" s="406"/>
      <c r="AI159" s="406"/>
      <c r="AJ159" s="406"/>
      <c r="AK159" s="406"/>
      <c r="AL159" s="406"/>
      <c r="AM159" s="406"/>
      <c r="AN159" s="406"/>
      <c r="AO159" s="406"/>
      <c r="AP159" s="406"/>
      <c r="AQ159" s="22"/>
      <c r="AR159" s="22"/>
    </row>
    <row r="160" spans="3:44" s="131" customFormat="1" x14ac:dyDescent="0.25">
      <c r="C160" s="132"/>
      <c r="D160" s="147"/>
      <c r="E160" s="175"/>
      <c r="F160" s="117"/>
      <c r="J160" s="416"/>
      <c r="K160" s="416"/>
      <c r="L160" s="416"/>
      <c r="M160" s="416"/>
      <c r="N160" s="416"/>
      <c r="O160" s="416"/>
      <c r="P160" s="416"/>
      <c r="Q160" s="416"/>
      <c r="R160" s="416"/>
      <c r="S160" s="416"/>
      <c r="T160" s="416"/>
      <c r="U160" s="416"/>
      <c r="V160" s="416"/>
      <c r="W160" s="416"/>
      <c r="X160" s="416"/>
      <c r="Y160" s="416"/>
      <c r="Z160" s="416"/>
      <c r="AA160" s="416"/>
      <c r="AB160" s="416"/>
      <c r="AC160" s="416"/>
      <c r="AD160" s="416"/>
      <c r="AE160" s="416"/>
      <c r="AF160" s="416"/>
      <c r="AG160" s="416"/>
      <c r="AH160" s="416"/>
      <c r="AI160" s="416"/>
      <c r="AJ160" s="416"/>
      <c r="AK160" s="416"/>
      <c r="AL160" s="416"/>
      <c r="AM160" s="416"/>
      <c r="AN160" s="416"/>
      <c r="AO160" s="416"/>
      <c r="AP160" s="416"/>
    </row>
    <row r="161" spans="2:44" s="131" customFormat="1" x14ac:dyDescent="0.25">
      <c r="D161" s="147"/>
      <c r="E161" s="167" t="s">
        <v>384</v>
      </c>
      <c r="F161" s="167"/>
      <c r="G161" s="167" t="s">
        <v>382</v>
      </c>
      <c r="H161" s="167"/>
      <c r="I161" s="167"/>
      <c r="J161" s="420">
        <f t="shared" ref="J161:AP161" si="59">SUM(J132:J143,J146:J157)</f>
        <v>3.5067219949848085</v>
      </c>
      <c r="K161" s="420">
        <f t="shared" si="59"/>
        <v>3.5067219949848085</v>
      </c>
      <c r="L161" s="420">
        <f t="shared" si="59"/>
        <v>0</v>
      </c>
      <c r="M161" s="420">
        <f t="shared" si="59"/>
        <v>5.253552324850304</v>
      </c>
      <c r="N161" s="420">
        <f t="shared" si="59"/>
        <v>5.253552324850304</v>
      </c>
      <c r="O161" s="420">
        <f t="shared" si="59"/>
        <v>0</v>
      </c>
      <c r="P161" s="420">
        <f t="shared" si="59"/>
        <v>28.966037960368407</v>
      </c>
      <c r="Q161" s="420">
        <f t="shared" si="59"/>
        <v>25.779541777058597</v>
      </c>
      <c r="R161" s="420">
        <f t="shared" si="59"/>
        <v>288.71453531245277</v>
      </c>
      <c r="S161" s="420">
        <f t="shared" si="59"/>
        <v>3.5067219949848085</v>
      </c>
      <c r="T161" s="420">
        <f t="shared" si="59"/>
        <v>5.253552324850304</v>
      </c>
      <c r="U161" s="420">
        <f t="shared" si="59"/>
        <v>16.485812680056686</v>
      </c>
      <c r="V161" s="420">
        <f t="shared" si="59"/>
        <v>25.779541777058597</v>
      </c>
      <c r="W161" s="420">
        <f t="shared" si="59"/>
        <v>147.36429719068178</v>
      </c>
      <c r="X161" s="420">
        <f t="shared" si="59"/>
        <v>0</v>
      </c>
      <c r="Y161" s="420">
        <f t="shared" si="59"/>
        <v>0</v>
      </c>
      <c r="Z161" s="420">
        <f t="shared" si="59"/>
        <v>0</v>
      </c>
      <c r="AA161" s="420">
        <f t="shared" si="59"/>
        <v>0</v>
      </c>
      <c r="AB161" s="420">
        <f t="shared" si="59"/>
        <v>0</v>
      </c>
      <c r="AC161" s="420">
        <f t="shared" si="59"/>
        <v>0</v>
      </c>
      <c r="AD161" s="420">
        <f t="shared" si="59"/>
        <v>0</v>
      </c>
      <c r="AE161" s="420">
        <f t="shared" si="59"/>
        <v>0</v>
      </c>
      <c r="AF161" s="420">
        <f t="shared" si="59"/>
        <v>0</v>
      </c>
      <c r="AG161" s="420">
        <f t="shared" si="59"/>
        <v>0</v>
      </c>
      <c r="AH161" s="420">
        <f t="shared" si="59"/>
        <v>0</v>
      </c>
      <c r="AI161" s="420">
        <f t="shared" si="59"/>
        <v>0</v>
      </c>
      <c r="AJ161" s="420">
        <f t="shared" si="59"/>
        <v>0</v>
      </c>
      <c r="AK161" s="420">
        <f t="shared" si="59"/>
        <v>0</v>
      </c>
      <c r="AL161" s="420">
        <f t="shared" si="59"/>
        <v>0</v>
      </c>
      <c r="AM161" s="420">
        <f t="shared" si="59"/>
        <v>242.78017970172101</v>
      </c>
      <c r="AN161" s="420">
        <f t="shared" si="59"/>
        <v>242.78017970172101</v>
      </c>
      <c r="AO161" s="420">
        <f t="shared" si="59"/>
        <v>242.78017970172101</v>
      </c>
      <c r="AP161" s="420">
        <f t="shared" si="59"/>
        <v>242.78017970172101</v>
      </c>
    </row>
    <row r="162" spans="2:44" s="131" customFormat="1" x14ac:dyDescent="0.25">
      <c r="D162" s="147"/>
      <c r="E162" s="175"/>
    </row>
    <row r="163" spans="2:44" s="160" customFormat="1" x14ac:dyDescent="0.25">
      <c r="B163" s="171" t="s">
        <v>126</v>
      </c>
      <c r="C163" s="171"/>
      <c r="D163" s="171"/>
      <c r="E163" s="171"/>
      <c r="F163" s="171"/>
      <c r="G163" s="171"/>
      <c r="H163" s="171"/>
      <c r="I163" s="171"/>
      <c r="J163" s="171"/>
      <c r="K163" s="171"/>
      <c r="L163" s="171"/>
      <c r="M163" s="171"/>
      <c r="N163" s="171"/>
      <c r="O163" s="171"/>
      <c r="P163" s="171"/>
      <c r="Q163" s="171"/>
      <c r="R163" s="171"/>
      <c r="S163" s="171"/>
      <c r="T163" s="171"/>
      <c r="U163" s="171"/>
      <c r="V163" s="171"/>
      <c r="W163" s="171"/>
      <c r="X163" s="171"/>
      <c r="Y163" s="171"/>
      <c r="Z163" s="171"/>
      <c r="AA163" s="171"/>
      <c r="AB163" s="171"/>
      <c r="AC163" s="171"/>
      <c r="AD163" s="171"/>
      <c r="AE163" s="171"/>
      <c r="AF163" s="171"/>
      <c r="AG163" s="171"/>
      <c r="AH163" s="171"/>
      <c r="AI163" s="171"/>
      <c r="AJ163" s="171"/>
      <c r="AK163" s="171"/>
      <c r="AL163" s="171"/>
      <c r="AM163" s="171"/>
      <c r="AN163" s="171"/>
      <c r="AO163" s="171"/>
      <c r="AP163" s="171"/>
      <c r="AQ163" s="171"/>
      <c r="AR163" s="171"/>
    </row>
    <row r="164" spans="2:44" s="160" customFormat="1" x14ac:dyDescent="0.25">
      <c r="D164" s="175"/>
      <c r="E164" s="175"/>
    </row>
    <row r="165" spans="2:44" s="160" customFormat="1" x14ac:dyDescent="0.25">
      <c r="C165" s="161"/>
      <c r="D165" s="175"/>
      <c r="E165" s="160" t="s">
        <v>622</v>
      </c>
      <c r="G165" s="111" t="s">
        <v>814</v>
      </c>
      <c r="H165" s="362">
        <f t="array" ref="H165">SUM(IF(ISERROR(H18:AP161), 1))</f>
        <v>0</v>
      </c>
    </row>
    <row r="166" spans="2:44" s="160" customFormat="1" x14ac:dyDescent="0.25">
      <c r="D166" s="175"/>
      <c r="E166" s="175"/>
    </row>
    <row r="167" spans="2:44" x14ac:dyDescent="0.25">
      <c r="B167" s="171" t="s">
        <v>127</v>
      </c>
      <c r="C167" s="171"/>
      <c r="D167" s="171"/>
      <c r="E167" s="171"/>
      <c r="F167" s="171"/>
      <c r="G167" s="171"/>
      <c r="H167" s="171"/>
      <c r="I167" s="171"/>
      <c r="J167" s="171"/>
      <c r="K167" s="171"/>
      <c r="L167" s="171"/>
      <c r="M167" s="171"/>
      <c r="N167" s="171"/>
      <c r="O167" s="171"/>
      <c r="P167" s="171"/>
      <c r="Q167" s="171"/>
      <c r="R167" s="171"/>
      <c r="S167" s="171"/>
      <c r="T167" s="171"/>
      <c r="U167" s="171"/>
      <c r="V167" s="171"/>
      <c r="W167" s="171"/>
      <c r="X167" s="171"/>
      <c r="Y167" s="171"/>
      <c r="Z167" s="171"/>
      <c r="AA167" s="171"/>
      <c r="AB167" s="171"/>
      <c r="AC167" s="171"/>
      <c r="AD167" s="171"/>
      <c r="AE167" s="171"/>
      <c r="AF167" s="171"/>
      <c r="AG167" s="171"/>
      <c r="AH167" s="171"/>
      <c r="AI167" s="171"/>
      <c r="AJ167" s="171"/>
      <c r="AK167" s="171"/>
      <c r="AL167" s="171"/>
      <c r="AM167" s="171"/>
      <c r="AN167" s="171"/>
      <c r="AO167" s="171"/>
      <c r="AP167" s="171"/>
      <c r="AQ167" s="171"/>
      <c r="AR167" s="171"/>
    </row>
    <row r="169" spans="2:44" x14ac:dyDescent="0.25">
      <c r="C169" s="89"/>
    </row>
    <row r="170" spans="2:44" x14ac:dyDescent="0.25">
      <c r="J170" s="131"/>
    </row>
    <row r="171" spans="2:44" x14ac:dyDescent="0.25">
      <c r="J171" s="131"/>
    </row>
    <row r="172" spans="2:44" x14ac:dyDescent="0.25">
      <c r="J172" s="131"/>
    </row>
    <row r="173" spans="2:44" x14ac:dyDescent="0.25">
      <c r="J173" s="131"/>
    </row>
    <row r="174" spans="2:44" x14ac:dyDescent="0.25">
      <c r="J174" s="131"/>
    </row>
    <row r="175" spans="2:44" x14ac:dyDescent="0.25">
      <c r="J175" s="131"/>
    </row>
    <row r="176" spans="2:44" x14ac:dyDescent="0.25">
      <c r="J176" s="131"/>
    </row>
    <row r="177" spans="10:10" x14ac:dyDescent="0.25">
      <c r="J177" s="131"/>
    </row>
    <row r="178" spans="10:10" x14ac:dyDescent="0.25">
      <c r="J178" s="131"/>
    </row>
    <row r="179" spans="10:10" x14ac:dyDescent="0.25">
      <c r="J179" s="131"/>
    </row>
    <row r="180" spans="10:10" x14ac:dyDescent="0.25">
      <c r="J180" s="131"/>
    </row>
    <row r="181" spans="10:10" x14ac:dyDescent="0.25">
      <c r="J181" s="131"/>
    </row>
    <row r="182" spans="10:10" x14ac:dyDescent="0.25">
      <c r="J182" s="131"/>
    </row>
    <row r="183" spans="10:10" x14ac:dyDescent="0.25">
      <c r="J183" s="131"/>
    </row>
    <row r="184" spans="10:10" x14ac:dyDescent="0.25">
      <c r="J184" s="131"/>
    </row>
    <row r="185" spans="10:10" x14ac:dyDescent="0.25">
      <c r="J185" s="131"/>
    </row>
    <row r="186" spans="10:10" x14ac:dyDescent="0.25">
      <c r="J186" s="131"/>
    </row>
    <row r="187" spans="10:10" x14ac:dyDescent="0.25">
      <c r="J187" s="131"/>
    </row>
    <row r="188" spans="10:10" x14ac:dyDescent="0.25">
      <c r="J188" s="131"/>
    </row>
    <row r="189" spans="10:10" x14ac:dyDescent="0.25">
      <c r="J189" s="131"/>
    </row>
    <row r="190" spans="10:10" x14ac:dyDescent="0.25">
      <c r="J190" s="131"/>
    </row>
    <row r="191" spans="10:10" x14ac:dyDescent="0.25">
      <c r="J191" s="131"/>
    </row>
    <row r="192" spans="10:10" x14ac:dyDescent="0.25">
      <c r="J192" s="131"/>
    </row>
    <row r="193" spans="10:10" x14ac:dyDescent="0.25">
      <c r="J193" s="131"/>
    </row>
    <row r="194" spans="10:10" x14ac:dyDescent="0.25">
      <c r="J194" s="131"/>
    </row>
    <row r="195" spans="10:10" x14ac:dyDescent="0.25">
      <c r="J195" s="131"/>
    </row>
    <row r="196" spans="10:10" x14ac:dyDescent="0.25">
      <c r="J196" s="131"/>
    </row>
    <row r="197" spans="10:10" x14ac:dyDescent="0.25">
      <c r="J197" s="131"/>
    </row>
    <row r="198" spans="10:10" x14ac:dyDescent="0.25">
      <c r="J198" s="131"/>
    </row>
    <row r="199" spans="10:10" x14ac:dyDescent="0.25">
      <c r="J199" s="131"/>
    </row>
    <row r="200" spans="10:10" x14ac:dyDescent="0.25">
      <c r="J200" s="131"/>
    </row>
    <row r="201" spans="10:10" x14ac:dyDescent="0.25">
      <c r="J201" s="131"/>
    </row>
    <row r="202" spans="10:10" x14ac:dyDescent="0.25">
      <c r="J202" s="131"/>
    </row>
    <row r="203" spans="10:10" x14ac:dyDescent="0.25">
      <c r="J203" s="131"/>
    </row>
  </sheetData>
  <sheetProtection sheet="1" objects="1" formatCells="0" formatColumns="0" formatRows="0" sort="0" autoFilter="0"/>
  <conditionalFormatting sqref="H165">
    <cfRule type="cellIs" dxfId="14" priority="2" operator="greaterThan">
      <formula>0</formula>
    </cfRule>
  </conditionalFormatting>
  <conditionalFormatting sqref="A4:XFD4">
    <cfRule type="expression" dxfId="13" priority="1">
      <formula>LEFT($A$4,1) &lt;&gt; "0"</formula>
    </cfRule>
  </conditionalFormatting>
  <hyperlinks>
    <hyperlink ref="B5:F5" location="'Model map'!A1" display="Click here to return to model map"/>
  </hyperlinks>
  <pageMargins left="0.7" right="0.7" top="0.75" bottom="0.75" header="0.3" footer="0.3"/>
  <pageSetup paperSize="9" scale="32" fitToHeight="0" orientation="portrait" r:id="rId1"/>
  <headerFooter>
    <oddHeader>&amp;L&amp;A&amp;C&amp;R&amp;P of &amp;N</oddHeader>
    <oddFooter>&amp;F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theme="4" tint="0.59999389629810485"/>
    <pageSetUpPr fitToPage="1"/>
  </sheetPr>
  <dimension ref="A1:NX159"/>
  <sheetViews>
    <sheetView showGridLines="0" zoomScale="80" zoomScaleNormal="80" workbookViewId="0">
      <pane xSplit="9" ySplit="5" topLeftCell="J6" activePane="bottomRight" state="frozen"/>
      <selection activeCell="N50" sqref="N50"/>
      <selection pane="topRight" activeCell="N50" sqref="N50"/>
      <selection pane="bottomLeft" activeCell="N50" sqref="N50"/>
      <selection pane="bottomRight" activeCell="J6" sqref="J6"/>
    </sheetView>
  </sheetViews>
  <sheetFormatPr defaultColWidth="0" defaultRowHeight="15" outlineLevelRow="1" x14ac:dyDescent="0.25"/>
  <cols>
    <col min="1" max="3" width="2.7109375" style="21" customWidth="1"/>
    <col min="4" max="4" width="2.7109375" style="46" customWidth="1"/>
    <col min="5" max="5" width="2.7109375" style="175" customWidth="1"/>
    <col min="6" max="6" width="59.5703125" style="21" customWidth="1"/>
    <col min="7" max="8" width="20.7109375" style="21" customWidth="1"/>
    <col min="9" max="9" width="2.28515625" style="21" customWidth="1"/>
    <col min="10" max="109" width="17" style="21" customWidth="1"/>
    <col min="110" max="110" width="2.28515625" style="21" customWidth="1"/>
    <col min="111" max="111" width="50.7109375" style="21" customWidth="1"/>
    <col min="112" max="112" width="2.28515625" style="21" customWidth="1"/>
    <col min="113" max="113" width="24.5703125" style="21" hidden="1" customWidth="1"/>
    <col min="114" max="114" width="3.5703125" style="21" hidden="1" customWidth="1"/>
    <col min="115" max="115" width="15.42578125" style="21" hidden="1" customWidth="1"/>
    <col min="116" max="388" width="24.5703125" style="21" hidden="1" customWidth="1"/>
    <col min="389" max="16384" width="8.7109375" style="21" hidden="1"/>
  </cols>
  <sheetData>
    <row r="1" spans="1:111" s="25" customFormat="1" x14ac:dyDescent="0.25">
      <c r="A1" s="25" t="str">
        <f ca="1">MID(CELL("filename",A1),FIND("]",CELL("filename",A1))+1,255)</f>
        <v>Revenue matching</v>
      </c>
    </row>
    <row r="2" spans="1:111" s="25" customFormat="1" x14ac:dyDescent="0.25">
      <c r="A2" s="25" t="str">
        <f>Cover!D21&amp;" - "&amp;Cover!D23</f>
        <v>SEPD - Final</v>
      </c>
    </row>
    <row r="3" spans="1:111" s="97" customFormat="1" x14ac:dyDescent="0.25">
      <c r="A3" s="97" t="str">
        <f>Cover!D2&amp;" - "&amp;Cover!D8&amp;" v"&amp;Cover!D10&amp;" - "&amp;Cover!D19</f>
        <v>ARP model - Release for charge setting v3 - 2020/21</v>
      </c>
    </row>
    <row r="4" spans="1:111" s="338" customFormat="1" x14ac:dyDescent="0.25">
      <c r="A4" s="392" t="str">
        <f>H156 &amp; IF(H156 = 1, " issue", " issues") &amp;" identified in checks on this sheet"</f>
        <v>0 issues identified in checks on this sheet</v>
      </c>
      <c r="B4" s="393"/>
      <c r="C4" s="393"/>
      <c r="D4" s="393"/>
      <c r="E4" s="393"/>
      <c r="F4" s="393"/>
      <c r="G4" s="393"/>
      <c r="H4" s="394"/>
      <c r="I4" s="394"/>
      <c r="J4" s="393"/>
      <c r="K4" s="383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3"/>
      <c r="AD4" s="383"/>
      <c r="AE4" s="383"/>
      <c r="AF4" s="383"/>
      <c r="AG4" s="383"/>
      <c r="AH4" s="383"/>
      <c r="AI4" s="383"/>
      <c r="AJ4" s="383"/>
      <c r="AK4" s="383"/>
      <c r="AL4" s="383"/>
      <c r="AM4" s="383"/>
      <c r="AN4" s="383"/>
      <c r="AO4" s="383"/>
      <c r="AP4" s="383"/>
      <c r="AQ4" s="383"/>
      <c r="AR4" s="383"/>
      <c r="AS4" s="383"/>
      <c r="AT4" s="383"/>
      <c r="AU4" s="383"/>
      <c r="AV4" s="383"/>
      <c r="AW4" s="383"/>
      <c r="AX4" s="383"/>
      <c r="AY4" s="383"/>
      <c r="AZ4" s="383"/>
      <c r="BA4" s="383"/>
      <c r="BB4" s="383"/>
      <c r="BC4" s="383"/>
      <c r="BD4" s="383"/>
      <c r="BE4" s="383"/>
      <c r="BF4" s="383"/>
      <c r="BG4" s="383"/>
      <c r="BH4" s="383"/>
      <c r="BI4" s="383"/>
      <c r="BJ4" s="383"/>
      <c r="BK4" s="383"/>
      <c r="BL4" s="383"/>
      <c r="BM4" s="383"/>
      <c r="BN4" s="383"/>
      <c r="BO4" s="383"/>
      <c r="BP4" s="383"/>
      <c r="BQ4" s="383"/>
      <c r="BR4" s="383"/>
      <c r="BS4" s="383"/>
      <c r="BT4" s="383"/>
      <c r="BU4" s="383"/>
      <c r="BV4" s="383"/>
      <c r="BW4" s="383"/>
      <c r="BX4" s="383"/>
      <c r="BY4" s="383"/>
      <c r="BZ4" s="383"/>
      <c r="CA4" s="383"/>
      <c r="CB4" s="383"/>
      <c r="CC4" s="383"/>
      <c r="CD4" s="383"/>
      <c r="CE4" s="383"/>
      <c r="CF4" s="383"/>
      <c r="CG4" s="383"/>
      <c r="CH4" s="383"/>
      <c r="CI4" s="383"/>
      <c r="CJ4" s="383"/>
      <c r="CK4" s="383"/>
      <c r="CL4" s="383"/>
      <c r="CM4" s="383"/>
      <c r="CN4" s="383"/>
      <c r="CO4" s="383"/>
      <c r="CP4" s="383"/>
      <c r="CQ4" s="383"/>
      <c r="CR4" s="383"/>
      <c r="CS4" s="383"/>
    </row>
    <row r="5" spans="1:111" ht="60" x14ac:dyDescent="0.25">
      <c r="B5" s="244" t="s">
        <v>667</v>
      </c>
      <c r="C5" s="24"/>
      <c r="D5" s="24"/>
      <c r="E5" s="24"/>
      <c r="F5" s="24"/>
      <c r="G5" s="24" t="s">
        <v>108</v>
      </c>
      <c r="H5" s="26" t="s">
        <v>109</v>
      </c>
      <c r="J5" s="26" t="s">
        <v>52</v>
      </c>
      <c r="K5" s="26" t="s">
        <v>53</v>
      </c>
      <c r="L5" s="26" t="s">
        <v>84</v>
      </c>
      <c r="M5" s="26" t="s">
        <v>54</v>
      </c>
      <c r="N5" s="26" t="s">
        <v>55</v>
      </c>
      <c r="O5" s="26" t="s">
        <v>85</v>
      </c>
      <c r="P5" s="26" t="s">
        <v>56</v>
      </c>
      <c r="Q5" s="26" t="s">
        <v>57</v>
      </c>
      <c r="R5" s="26" t="s">
        <v>72</v>
      </c>
      <c r="S5" s="26" t="s">
        <v>58</v>
      </c>
      <c r="T5" s="26" t="s">
        <v>59</v>
      </c>
      <c r="U5" s="26" t="s">
        <v>60</v>
      </c>
      <c r="V5" s="26" t="s">
        <v>61</v>
      </c>
      <c r="W5" s="26" t="s">
        <v>73</v>
      </c>
      <c r="X5" s="26" t="s">
        <v>86</v>
      </c>
      <c r="Y5" s="26" t="s">
        <v>87</v>
      </c>
      <c r="Z5" s="26" t="s">
        <v>88</v>
      </c>
      <c r="AA5" s="26" t="s">
        <v>89</v>
      </c>
      <c r="AB5" s="26" t="s">
        <v>90</v>
      </c>
      <c r="AC5" s="26" t="s">
        <v>62</v>
      </c>
      <c r="AD5" s="26" t="s">
        <v>63</v>
      </c>
      <c r="AE5" s="26" t="s">
        <v>64</v>
      </c>
      <c r="AF5" s="26" t="s">
        <v>65</v>
      </c>
      <c r="AG5" s="26" t="s">
        <v>66</v>
      </c>
      <c r="AH5" s="26" t="s">
        <v>67</v>
      </c>
      <c r="AI5" s="26" t="s">
        <v>68</v>
      </c>
      <c r="AJ5" s="26" t="s">
        <v>69</v>
      </c>
      <c r="AK5" s="26" t="s">
        <v>70</v>
      </c>
      <c r="AL5" s="26" t="s">
        <v>71</v>
      </c>
      <c r="AM5" s="26" t="s">
        <v>74</v>
      </c>
      <c r="AN5" s="26" t="s">
        <v>75</v>
      </c>
      <c r="AO5" s="26" t="s">
        <v>76</v>
      </c>
      <c r="AP5" s="26" t="s">
        <v>77</v>
      </c>
      <c r="DG5" s="1" t="s">
        <v>110</v>
      </c>
    </row>
    <row r="6" spans="1:111" x14ac:dyDescent="0.25">
      <c r="C6" s="3"/>
    </row>
    <row r="7" spans="1:111" x14ac:dyDescent="0.25">
      <c r="B7" s="171" t="s">
        <v>107</v>
      </c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135"/>
      <c r="DG7" s="135"/>
    </row>
    <row r="8" spans="1:111" x14ac:dyDescent="0.25">
      <c r="DF8" s="160"/>
      <c r="DG8" s="160"/>
    </row>
    <row r="9" spans="1:111" x14ac:dyDescent="0.25">
      <c r="D9" s="152" t="s">
        <v>587</v>
      </c>
      <c r="E9" s="46"/>
      <c r="DF9" s="160"/>
      <c r="DG9" s="160"/>
    </row>
    <row r="10" spans="1:111" s="160" customFormat="1" x14ac:dyDescent="0.25">
      <c r="D10" s="152" t="s">
        <v>588</v>
      </c>
    </row>
    <row r="11" spans="1:111" x14ac:dyDescent="0.25">
      <c r="D11" s="152" t="s">
        <v>997</v>
      </c>
      <c r="E11" s="46"/>
      <c r="DF11" s="160"/>
      <c r="DG11" s="160"/>
    </row>
    <row r="12" spans="1:111" x14ac:dyDescent="0.25">
      <c r="DF12" s="160"/>
      <c r="DG12" s="160"/>
    </row>
    <row r="13" spans="1:111" s="88" customFormat="1" x14ac:dyDescent="0.25">
      <c r="B13" s="171" t="s">
        <v>428</v>
      </c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135"/>
      <c r="DG13" s="135"/>
    </row>
    <row r="14" spans="1:111" s="160" customFormat="1" x14ac:dyDescent="0.25">
      <c r="C14" s="161"/>
      <c r="D14" s="175"/>
      <c r="E14" s="175"/>
    </row>
    <row r="15" spans="1:111" s="338" customFormat="1" x14ac:dyDescent="0.25">
      <c r="C15" s="22" t="str">
        <f ca="1">INDEX('Version control'!$H$34:$H$59,MATCH($A$1,'Version control'!$F$34:$F$59,0),1)&amp;"-A: Inputs to revenue matching"</f>
        <v>Section 518-A: Inputs to revenue matching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</row>
    <row r="16" spans="1:111" s="338" customFormat="1" x14ac:dyDescent="0.25">
      <c r="C16" s="152"/>
      <c r="D16" s="175"/>
      <c r="E16" s="175"/>
      <c r="J16" s="165"/>
      <c r="K16" s="165"/>
      <c r="L16" s="165"/>
      <c r="M16" s="165"/>
      <c r="N16" s="165"/>
      <c r="O16" s="165"/>
      <c r="P16" s="165"/>
      <c r="Q16" s="165"/>
      <c r="R16" s="165"/>
      <c r="S16" s="165"/>
      <c r="T16" s="165"/>
      <c r="U16" s="165"/>
      <c r="V16" s="165"/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165"/>
      <c r="AH16" s="165"/>
      <c r="AI16" s="165"/>
      <c r="AJ16" s="165"/>
      <c r="AK16" s="165"/>
      <c r="AL16" s="165"/>
      <c r="AM16" s="165"/>
      <c r="AN16" s="165"/>
      <c r="AO16" s="165"/>
      <c r="AP16" s="165"/>
    </row>
    <row r="17" spans="4:111" x14ac:dyDescent="0.25">
      <c r="D17" s="152" t="s">
        <v>589</v>
      </c>
      <c r="E17" s="46"/>
      <c r="F17" s="175"/>
      <c r="DF17" s="160"/>
      <c r="DG17" s="160"/>
    </row>
    <row r="18" spans="4:111" s="160" customFormat="1" x14ac:dyDescent="0.25">
      <c r="D18" s="161"/>
      <c r="E18" s="175"/>
      <c r="F18" s="175"/>
    </row>
    <row r="19" spans="4:111" s="88" customFormat="1" x14ac:dyDescent="0.25">
      <c r="E19" s="87" t="s">
        <v>383</v>
      </c>
      <c r="F19" s="172"/>
      <c r="DF19" s="160"/>
      <c r="DG19" s="160"/>
    </row>
    <row r="20" spans="4:111" s="88" customFormat="1" x14ac:dyDescent="0.25">
      <c r="E20" s="89"/>
      <c r="F20" s="72" t="s">
        <v>151</v>
      </c>
      <c r="G20" s="13" t="s">
        <v>201</v>
      </c>
      <c r="H20" s="569"/>
      <c r="I20" s="569"/>
      <c r="J20" s="581">
        <f>'Unit rate charges'!J217</f>
        <v>1.5969040604098796</v>
      </c>
      <c r="K20" s="581">
        <f>'Unit rate charges'!K217</f>
        <v>2.0501753794634672</v>
      </c>
      <c r="L20" s="581">
        <f>'Unit rate charges'!L217</f>
        <v>0.19994305292917913</v>
      </c>
      <c r="M20" s="581">
        <f>'Unit rate charges'!M217</f>
        <v>1.4406710911410869</v>
      </c>
      <c r="N20" s="581">
        <f>'Unit rate charges'!N217</f>
        <v>2.2531084737912934</v>
      </c>
      <c r="O20" s="581">
        <f>'Unit rate charges'!O217</f>
        <v>0.32834165057051812</v>
      </c>
      <c r="P20" s="581">
        <f>'Unit rate charges'!P217</f>
        <v>1.1473972052693786</v>
      </c>
      <c r="Q20" s="581">
        <f>'Unit rate charges'!Q217</f>
        <v>0.9391372710459962</v>
      </c>
      <c r="R20" s="581">
        <f>'Unit rate charges'!R217</f>
        <v>0.52492342576582107</v>
      </c>
      <c r="S20" s="581">
        <f>'Unit rate charges'!S217</f>
        <v>8.3638006882343365</v>
      </c>
      <c r="T20" s="581">
        <f>'Unit rate charges'!T217</f>
        <v>8.8282466365441543</v>
      </c>
      <c r="U20" s="581">
        <f>'Unit rate charges'!U217</f>
        <v>5.9331471242397003</v>
      </c>
      <c r="V20" s="581">
        <f>'Unit rate charges'!V217</f>
        <v>4.5269278212105721</v>
      </c>
      <c r="W20" s="581">
        <f>'Unit rate charges'!W217</f>
        <v>3.2073031362533886</v>
      </c>
      <c r="X20" s="581">
        <f>'Unit rate charges'!X217</f>
        <v>2.264792088932257</v>
      </c>
      <c r="Y20" s="581">
        <f>'Unit rate charges'!Y217</f>
        <v>2.3198933711558842</v>
      </c>
      <c r="Z20" s="581">
        <f>'Unit rate charges'!Z217</f>
        <v>3.0645944998900445</v>
      </c>
      <c r="AA20" s="581">
        <f>'Unit rate charges'!AA217</f>
        <v>2.2743892687169116</v>
      </c>
      <c r="AB20" s="581">
        <f>'Unit rate charges'!AB217</f>
        <v>13.387627198479423</v>
      </c>
      <c r="AC20" s="581">
        <f>'Unit rate charges'!AC217</f>
        <v>-0.79377796595710459</v>
      </c>
      <c r="AD20" s="581">
        <f>'Unit rate charges'!AD217</f>
        <v>-0.69465934114707428</v>
      </c>
      <c r="AE20" s="581">
        <f>'Unit rate charges'!AE217</f>
        <v>-0.79377796595710459</v>
      </c>
      <c r="AF20" s="581">
        <f>'Unit rate charges'!AF217</f>
        <v>-0.79377796595710459</v>
      </c>
      <c r="AG20" s="581">
        <f>'Unit rate charges'!AG217</f>
        <v>-5.5360453006887784</v>
      </c>
      <c r="AH20" s="581">
        <f>'Unit rate charges'!AH217</f>
        <v>-5.5360453006887784</v>
      </c>
      <c r="AI20" s="581">
        <f>'Unit rate charges'!AI217</f>
        <v>-0.69465934114707428</v>
      </c>
      <c r="AJ20" s="581">
        <f>'Unit rate charges'!AJ217</f>
        <v>-0.69465934114707428</v>
      </c>
      <c r="AK20" s="581">
        <f>'Unit rate charges'!AK217</f>
        <v>-4.9939526180609626</v>
      </c>
      <c r="AL20" s="581">
        <f>'Unit rate charges'!AL217</f>
        <v>-4.9939526180609626</v>
      </c>
      <c r="AM20" s="581">
        <f>'Unit rate charges'!AM217</f>
        <v>-0.45988671665948044</v>
      </c>
      <c r="AN20" s="581">
        <f>'Unit rate charges'!AN217</f>
        <v>-0.45988671665948044</v>
      </c>
      <c r="AO20" s="581">
        <f>'Unit rate charges'!AO217</f>
        <v>-3.8382142689374743</v>
      </c>
      <c r="AP20" s="581">
        <f>'Unit rate charges'!AP217</f>
        <v>-3.8382142689374743</v>
      </c>
      <c r="AQ20" s="571"/>
      <c r="AR20" s="571"/>
      <c r="AS20" s="571"/>
      <c r="AT20" s="571"/>
      <c r="AU20" s="571"/>
      <c r="AV20" s="571"/>
      <c r="AW20" s="571"/>
      <c r="AX20" s="571"/>
      <c r="AY20" s="571"/>
      <c r="AZ20" s="571"/>
      <c r="BA20" s="571"/>
      <c r="BB20" s="571"/>
      <c r="BC20" s="571"/>
      <c r="BD20" s="571"/>
      <c r="BE20" s="571"/>
      <c r="BF20" s="571"/>
      <c r="BG20" s="571"/>
      <c r="BH20" s="571"/>
      <c r="BI20" s="571"/>
      <c r="BJ20" s="571"/>
      <c r="BK20" s="571"/>
      <c r="BL20" s="571"/>
      <c r="BM20" s="571"/>
      <c r="BN20" s="571"/>
      <c r="BO20" s="571"/>
      <c r="BP20" s="571"/>
      <c r="BQ20" s="571"/>
      <c r="BR20" s="571"/>
      <c r="BS20" s="571"/>
      <c r="BT20" s="571"/>
      <c r="BU20" s="571"/>
      <c r="BV20" s="571"/>
      <c r="BW20" s="571"/>
      <c r="BX20" s="571"/>
      <c r="BY20" s="571"/>
      <c r="BZ20" s="571"/>
      <c r="CA20" s="571"/>
      <c r="CB20" s="571"/>
      <c r="CC20" s="571"/>
      <c r="CD20" s="571"/>
      <c r="CE20" s="571"/>
      <c r="CF20" s="571"/>
      <c r="CG20" s="571"/>
      <c r="CH20" s="571"/>
      <c r="CI20" s="571"/>
      <c r="CJ20" s="571"/>
      <c r="CK20" s="571"/>
      <c r="CL20" s="571"/>
      <c r="CM20" s="571"/>
      <c r="CN20" s="571"/>
      <c r="CO20" s="571"/>
      <c r="CP20" s="571"/>
      <c r="CQ20" s="571"/>
      <c r="CR20" s="571"/>
      <c r="CS20" s="571"/>
      <c r="CT20" s="571"/>
      <c r="CU20" s="571"/>
      <c r="CV20" s="571"/>
      <c r="CW20" s="571"/>
      <c r="CX20" s="571"/>
      <c r="CY20" s="571"/>
      <c r="CZ20" s="571"/>
      <c r="DA20" s="571"/>
      <c r="DB20" s="571"/>
      <c r="DC20" s="571"/>
      <c r="DD20" s="571"/>
      <c r="DE20" s="571"/>
      <c r="DF20" s="571"/>
      <c r="DG20" s="571"/>
    </row>
    <row r="21" spans="4:111" s="88" customFormat="1" x14ac:dyDescent="0.25">
      <c r="E21" s="89"/>
      <c r="F21" s="66" t="s">
        <v>152</v>
      </c>
      <c r="G21" s="90" t="s">
        <v>201</v>
      </c>
      <c r="H21" s="572"/>
      <c r="I21" s="572"/>
      <c r="J21" s="582">
        <f>'Unit rate charges'!J218</f>
        <v>0</v>
      </c>
      <c r="K21" s="582">
        <f>'Unit rate charges'!K218</f>
        <v>0.10408156499649134</v>
      </c>
      <c r="L21" s="582">
        <f>'Unit rate charges'!L218</f>
        <v>0</v>
      </c>
      <c r="M21" s="582">
        <f>'Unit rate charges'!M218</f>
        <v>0</v>
      </c>
      <c r="N21" s="582">
        <f>'Unit rate charges'!N218</f>
        <v>0.2546649770101555</v>
      </c>
      <c r="O21" s="582">
        <f>'Unit rate charges'!O218</f>
        <v>0</v>
      </c>
      <c r="P21" s="582">
        <f>'Unit rate charges'!P218</f>
        <v>9.3511500040173792E-2</v>
      </c>
      <c r="Q21" s="582">
        <f>'Unit rate charges'!Q218</f>
        <v>7.2356015741901064E-2</v>
      </c>
      <c r="R21" s="582">
        <f>'Unit rate charges'!R218</f>
        <v>3.1535310566598682E-2</v>
      </c>
      <c r="S21" s="582">
        <f>'Unit rate charges'!S218</f>
        <v>0.86260843002178911</v>
      </c>
      <c r="T21" s="582">
        <f>'Unit rate charges'!T218</f>
        <v>0.91064877744342132</v>
      </c>
      <c r="U21" s="582">
        <f>'Unit rate charges'!U218</f>
        <v>0.52966468402295064</v>
      </c>
      <c r="V21" s="582">
        <f>'Unit rate charges'!V218</f>
        <v>0.26867722866611671</v>
      </c>
      <c r="W21" s="582">
        <f>'Unit rate charges'!W218</f>
        <v>0.16091867959478245</v>
      </c>
      <c r="X21" s="582">
        <f>'Unit rate charges'!X218</f>
        <v>0</v>
      </c>
      <c r="Y21" s="582">
        <f>'Unit rate charges'!Y218</f>
        <v>0</v>
      </c>
      <c r="Z21" s="582">
        <f>'Unit rate charges'!Z218</f>
        <v>0</v>
      </c>
      <c r="AA21" s="582">
        <f>'Unit rate charges'!AA218</f>
        <v>0</v>
      </c>
      <c r="AB21" s="582">
        <f>'Unit rate charges'!AB218</f>
        <v>2.2396229552242977</v>
      </c>
      <c r="AC21" s="582">
        <f>'Unit rate charges'!AC218</f>
        <v>0</v>
      </c>
      <c r="AD21" s="582">
        <f>'Unit rate charges'!AD218</f>
        <v>0</v>
      </c>
      <c r="AE21" s="582">
        <f>'Unit rate charges'!AE218</f>
        <v>0</v>
      </c>
      <c r="AF21" s="582">
        <f>'Unit rate charges'!AF218</f>
        <v>0</v>
      </c>
      <c r="AG21" s="582">
        <f>'Unit rate charges'!AG218</f>
        <v>-0.57117143880771426</v>
      </c>
      <c r="AH21" s="582">
        <f>'Unit rate charges'!AH218</f>
        <v>-0.57117143880771426</v>
      </c>
      <c r="AI21" s="582">
        <f>'Unit rate charges'!AI218</f>
        <v>0</v>
      </c>
      <c r="AJ21" s="582">
        <f>'Unit rate charges'!AJ218</f>
        <v>0</v>
      </c>
      <c r="AK21" s="582">
        <f>'Unit rate charges'!AK218</f>
        <v>-0.47519726588679745</v>
      </c>
      <c r="AL21" s="582">
        <f>'Unit rate charges'!AL218</f>
        <v>-0.47519726588679745</v>
      </c>
      <c r="AM21" s="582">
        <f>'Unit rate charges'!AM218</f>
        <v>0</v>
      </c>
      <c r="AN21" s="582">
        <f>'Unit rate charges'!AN218</f>
        <v>0</v>
      </c>
      <c r="AO21" s="582">
        <f>'Unit rate charges'!AO218</f>
        <v>-0.22667318511436871</v>
      </c>
      <c r="AP21" s="582">
        <f>'Unit rate charges'!AP218</f>
        <v>-0.22667318511436871</v>
      </c>
      <c r="AQ21" s="571"/>
      <c r="AR21" s="571"/>
      <c r="AS21" s="571"/>
      <c r="AT21" s="571"/>
      <c r="AU21" s="571"/>
      <c r="AV21" s="571"/>
      <c r="AW21" s="571"/>
      <c r="AX21" s="571"/>
      <c r="AY21" s="571"/>
      <c r="AZ21" s="571"/>
      <c r="BA21" s="571"/>
      <c r="BB21" s="571"/>
      <c r="BC21" s="571"/>
      <c r="BD21" s="571"/>
      <c r="BE21" s="571"/>
      <c r="BF21" s="571"/>
      <c r="BG21" s="571"/>
      <c r="BH21" s="571"/>
      <c r="BI21" s="571"/>
      <c r="BJ21" s="571"/>
      <c r="BK21" s="571"/>
      <c r="BL21" s="571"/>
      <c r="BM21" s="571"/>
      <c r="BN21" s="571"/>
      <c r="BO21" s="571"/>
      <c r="BP21" s="571"/>
      <c r="BQ21" s="571"/>
      <c r="BR21" s="571"/>
      <c r="BS21" s="571"/>
      <c r="BT21" s="571"/>
      <c r="BU21" s="571"/>
      <c r="BV21" s="571"/>
      <c r="BW21" s="571"/>
      <c r="BX21" s="571"/>
      <c r="BY21" s="571"/>
      <c r="BZ21" s="571"/>
      <c r="CA21" s="571"/>
      <c r="CB21" s="571"/>
      <c r="CC21" s="571"/>
      <c r="CD21" s="571"/>
      <c r="CE21" s="571"/>
      <c r="CF21" s="571"/>
      <c r="CG21" s="571"/>
      <c r="CH21" s="571"/>
      <c r="CI21" s="571"/>
      <c r="CJ21" s="571"/>
      <c r="CK21" s="571"/>
      <c r="CL21" s="571"/>
      <c r="CM21" s="571"/>
      <c r="CN21" s="571"/>
      <c r="CO21" s="571"/>
      <c r="CP21" s="571"/>
      <c r="CQ21" s="571"/>
      <c r="CR21" s="571"/>
      <c r="CS21" s="571"/>
      <c r="CT21" s="571"/>
      <c r="CU21" s="571"/>
      <c r="CV21" s="571"/>
      <c r="CW21" s="571"/>
      <c r="CX21" s="571"/>
      <c r="CY21" s="571"/>
      <c r="CZ21" s="571"/>
      <c r="DA21" s="571"/>
      <c r="DB21" s="571"/>
      <c r="DC21" s="571"/>
      <c r="DD21" s="571"/>
      <c r="DE21" s="571"/>
      <c r="DF21" s="571"/>
      <c r="DG21" s="571"/>
    </row>
    <row r="22" spans="4:111" s="88" customFormat="1" x14ac:dyDescent="0.25">
      <c r="E22" s="89"/>
      <c r="F22" s="66" t="s">
        <v>153</v>
      </c>
      <c r="G22" s="90" t="s">
        <v>201</v>
      </c>
      <c r="H22" s="572"/>
      <c r="I22" s="572"/>
      <c r="J22" s="582">
        <f>'Unit rate charges'!J219</f>
        <v>0</v>
      </c>
      <c r="K22" s="582">
        <f>'Unit rate charges'!K219</f>
        <v>0</v>
      </c>
      <c r="L22" s="582">
        <f>'Unit rate charges'!L219</f>
        <v>0</v>
      </c>
      <c r="M22" s="582">
        <f>'Unit rate charges'!M219</f>
        <v>0</v>
      </c>
      <c r="N22" s="582">
        <f>'Unit rate charges'!N219</f>
        <v>0</v>
      </c>
      <c r="O22" s="582">
        <f>'Unit rate charges'!O219</f>
        <v>0</v>
      </c>
      <c r="P22" s="582">
        <f>'Unit rate charges'!P219</f>
        <v>0</v>
      </c>
      <c r="Q22" s="582">
        <f>'Unit rate charges'!Q219</f>
        <v>0</v>
      </c>
      <c r="R22" s="582">
        <f>'Unit rate charges'!R219</f>
        <v>0</v>
      </c>
      <c r="S22" s="582">
        <f>'Unit rate charges'!S219</f>
        <v>4.9133022238593935E-2</v>
      </c>
      <c r="T22" s="582">
        <f>'Unit rate charges'!T219</f>
        <v>5.18728960026444E-2</v>
      </c>
      <c r="U22" s="582">
        <f>'Unit rate charges'!U219</f>
        <v>2.8005246403861348E-2</v>
      </c>
      <c r="V22" s="582">
        <f>'Unit rate charges'!V219</f>
        <v>1.0089867723546669E-2</v>
      </c>
      <c r="W22" s="582">
        <f>'Unit rate charges'!W219</f>
        <v>4.8681886495548889E-3</v>
      </c>
      <c r="X22" s="582">
        <f>'Unit rate charges'!X219</f>
        <v>0</v>
      </c>
      <c r="Y22" s="582">
        <f>'Unit rate charges'!Y219</f>
        <v>0</v>
      </c>
      <c r="Z22" s="582">
        <f>'Unit rate charges'!Z219</f>
        <v>0</v>
      </c>
      <c r="AA22" s="582">
        <f>'Unit rate charges'!AA219</f>
        <v>0</v>
      </c>
      <c r="AB22" s="582">
        <f>'Unit rate charges'!AB219</f>
        <v>1.5019754471194631</v>
      </c>
      <c r="AC22" s="582">
        <f>'Unit rate charges'!AC219</f>
        <v>0</v>
      </c>
      <c r="AD22" s="582">
        <f>'Unit rate charges'!AD219</f>
        <v>0</v>
      </c>
      <c r="AE22" s="582">
        <f>'Unit rate charges'!AE219</f>
        <v>0</v>
      </c>
      <c r="AF22" s="582">
        <f>'Unit rate charges'!AF219</f>
        <v>0</v>
      </c>
      <c r="AG22" s="582">
        <f>'Unit rate charges'!AG219</f>
        <v>-3.2538395709517873E-2</v>
      </c>
      <c r="AH22" s="582">
        <f>'Unit rate charges'!AH219</f>
        <v>-3.2538395709517873E-2</v>
      </c>
      <c r="AI22" s="582">
        <f>'Unit rate charges'!AI219</f>
        <v>0</v>
      </c>
      <c r="AJ22" s="582">
        <f>'Unit rate charges'!AJ219</f>
        <v>0</v>
      </c>
      <c r="AK22" s="582">
        <f>'Unit rate charges'!AK219</f>
        <v>-2.6018043903937992E-2</v>
      </c>
      <c r="AL22" s="582">
        <f>'Unit rate charges'!AL219</f>
        <v>-2.6018043903937992E-2</v>
      </c>
      <c r="AM22" s="582">
        <f>'Unit rate charges'!AM219</f>
        <v>0</v>
      </c>
      <c r="AN22" s="582">
        <f>'Unit rate charges'!AN219</f>
        <v>0</v>
      </c>
      <c r="AO22" s="582">
        <f>'Unit rate charges'!AO219</f>
        <v>-8.4674213394694883E-3</v>
      </c>
      <c r="AP22" s="582">
        <f>'Unit rate charges'!AP219</f>
        <v>-8.4674213394694883E-3</v>
      </c>
      <c r="AQ22" s="571"/>
      <c r="AR22" s="571"/>
      <c r="AS22" s="571"/>
      <c r="AT22" s="571"/>
      <c r="AU22" s="571"/>
      <c r="AV22" s="571"/>
      <c r="AW22" s="571"/>
      <c r="AX22" s="571"/>
      <c r="AY22" s="571"/>
      <c r="AZ22" s="571"/>
      <c r="BA22" s="571"/>
      <c r="BB22" s="571"/>
      <c r="BC22" s="571"/>
      <c r="BD22" s="571"/>
      <c r="BE22" s="571"/>
      <c r="BF22" s="571"/>
      <c r="BG22" s="571"/>
      <c r="BH22" s="571"/>
      <c r="BI22" s="571"/>
      <c r="BJ22" s="571"/>
      <c r="BK22" s="571"/>
      <c r="BL22" s="571"/>
      <c r="BM22" s="571"/>
      <c r="BN22" s="571"/>
      <c r="BO22" s="571"/>
      <c r="BP22" s="571"/>
      <c r="BQ22" s="571"/>
      <c r="BR22" s="571"/>
      <c r="BS22" s="571"/>
      <c r="BT22" s="571"/>
      <c r="BU22" s="571"/>
      <c r="BV22" s="571"/>
      <c r="BW22" s="571"/>
      <c r="BX22" s="571"/>
      <c r="BY22" s="571"/>
      <c r="BZ22" s="571"/>
      <c r="CA22" s="571"/>
      <c r="CB22" s="571"/>
      <c r="CC22" s="571"/>
      <c r="CD22" s="571"/>
      <c r="CE22" s="571"/>
      <c r="CF22" s="571"/>
      <c r="CG22" s="571"/>
      <c r="CH22" s="571"/>
      <c r="CI22" s="571"/>
      <c r="CJ22" s="571"/>
      <c r="CK22" s="571"/>
      <c r="CL22" s="571"/>
      <c r="CM22" s="571"/>
      <c r="CN22" s="571"/>
      <c r="CO22" s="571"/>
      <c r="CP22" s="571"/>
      <c r="CQ22" s="571"/>
      <c r="CR22" s="571"/>
      <c r="CS22" s="571"/>
      <c r="CT22" s="571"/>
      <c r="CU22" s="571"/>
      <c r="CV22" s="571"/>
      <c r="CW22" s="571"/>
      <c r="CX22" s="571"/>
      <c r="CY22" s="571"/>
      <c r="CZ22" s="571"/>
      <c r="DA22" s="571"/>
      <c r="DB22" s="571"/>
      <c r="DC22" s="571"/>
      <c r="DD22" s="571"/>
      <c r="DE22" s="571"/>
      <c r="DF22" s="571"/>
      <c r="DG22" s="571"/>
    </row>
    <row r="23" spans="4:111" s="88" customFormat="1" x14ac:dyDescent="0.25">
      <c r="E23" s="89"/>
      <c r="F23" s="66" t="s">
        <v>384</v>
      </c>
      <c r="G23" s="90" t="s">
        <v>382</v>
      </c>
      <c r="H23" s="90"/>
      <c r="I23" s="90"/>
      <c r="J23" s="437">
        <f>'Fixed charges'!J161</f>
        <v>3.5067219949848085</v>
      </c>
      <c r="K23" s="437">
        <f>'Fixed charges'!K161</f>
        <v>3.5067219949848085</v>
      </c>
      <c r="L23" s="437">
        <f>'Fixed charges'!L161</f>
        <v>0</v>
      </c>
      <c r="M23" s="437">
        <f>'Fixed charges'!M161</f>
        <v>5.253552324850304</v>
      </c>
      <c r="N23" s="437">
        <f>'Fixed charges'!N161</f>
        <v>5.253552324850304</v>
      </c>
      <c r="O23" s="437">
        <f>'Fixed charges'!O161</f>
        <v>0</v>
      </c>
      <c r="P23" s="437">
        <f>'Fixed charges'!P161</f>
        <v>28.966037960368407</v>
      </c>
      <c r="Q23" s="437">
        <f>'Fixed charges'!Q161</f>
        <v>25.779541777058597</v>
      </c>
      <c r="R23" s="437">
        <f>'Fixed charges'!R161</f>
        <v>288.71453531245277</v>
      </c>
      <c r="S23" s="437">
        <f>'Fixed charges'!S161</f>
        <v>3.5067219949848085</v>
      </c>
      <c r="T23" s="437">
        <f>'Fixed charges'!T161</f>
        <v>5.253552324850304</v>
      </c>
      <c r="U23" s="437">
        <f>'Fixed charges'!U161</f>
        <v>16.485812680056686</v>
      </c>
      <c r="V23" s="437">
        <f>'Fixed charges'!V161</f>
        <v>25.779541777058597</v>
      </c>
      <c r="W23" s="437">
        <f>'Fixed charges'!W161</f>
        <v>147.36429719068178</v>
      </c>
      <c r="X23" s="437">
        <f>'Fixed charges'!X161</f>
        <v>0</v>
      </c>
      <c r="Y23" s="437">
        <f>'Fixed charges'!Y161</f>
        <v>0</v>
      </c>
      <c r="Z23" s="437">
        <f>'Fixed charges'!Z161</f>
        <v>0</v>
      </c>
      <c r="AA23" s="437">
        <f>'Fixed charges'!AA161</f>
        <v>0</v>
      </c>
      <c r="AB23" s="437">
        <f>'Fixed charges'!AB161</f>
        <v>0</v>
      </c>
      <c r="AC23" s="437">
        <f>'Fixed charges'!AC161</f>
        <v>0</v>
      </c>
      <c r="AD23" s="437">
        <f>'Fixed charges'!AD161</f>
        <v>0</v>
      </c>
      <c r="AE23" s="437">
        <f>'Fixed charges'!AE161</f>
        <v>0</v>
      </c>
      <c r="AF23" s="437">
        <f>'Fixed charges'!AF161</f>
        <v>0</v>
      </c>
      <c r="AG23" s="437">
        <f>'Fixed charges'!AG161</f>
        <v>0</v>
      </c>
      <c r="AH23" s="437">
        <f>'Fixed charges'!AH161</f>
        <v>0</v>
      </c>
      <c r="AI23" s="437">
        <f>'Fixed charges'!AI161</f>
        <v>0</v>
      </c>
      <c r="AJ23" s="437">
        <f>'Fixed charges'!AJ161</f>
        <v>0</v>
      </c>
      <c r="AK23" s="437">
        <f>'Fixed charges'!AK161</f>
        <v>0</v>
      </c>
      <c r="AL23" s="437">
        <f>'Fixed charges'!AL161</f>
        <v>0</v>
      </c>
      <c r="AM23" s="437">
        <f>'Fixed charges'!AM161</f>
        <v>242.78017970172101</v>
      </c>
      <c r="AN23" s="437">
        <f>'Fixed charges'!AN161</f>
        <v>242.78017970172101</v>
      </c>
      <c r="AO23" s="437">
        <f>'Fixed charges'!AO161</f>
        <v>242.78017970172101</v>
      </c>
      <c r="AP23" s="437">
        <f>'Fixed charges'!AP161</f>
        <v>242.78017970172101</v>
      </c>
      <c r="DF23" s="160"/>
      <c r="DG23" s="160"/>
    </row>
    <row r="24" spans="4:111" s="88" customFormat="1" x14ac:dyDescent="0.25">
      <c r="E24" s="89"/>
      <c r="F24" s="66" t="s">
        <v>385</v>
      </c>
      <c r="G24" s="90" t="s">
        <v>381</v>
      </c>
      <c r="H24" s="90"/>
      <c r="I24" s="90"/>
      <c r="J24" s="437">
        <f>'Capacity charges'!J256</f>
        <v>0</v>
      </c>
      <c r="K24" s="437">
        <f>'Capacity charges'!K256</f>
        <v>0</v>
      </c>
      <c r="L24" s="437">
        <f>'Capacity charges'!L256</f>
        <v>0</v>
      </c>
      <c r="M24" s="437">
        <f>'Capacity charges'!M256</f>
        <v>0</v>
      </c>
      <c r="N24" s="437">
        <f>'Capacity charges'!N256</f>
        <v>0</v>
      </c>
      <c r="O24" s="437">
        <f>'Capacity charges'!O256</f>
        <v>0</v>
      </c>
      <c r="P24" s="437">
        <f>'Capacity charges'!P256</f>
        <v>0</v>
      </c>
      <c r="Q24" s="437">
        <f>'Capacity charges'!Q256</f>
        <v>0</v>
      </c>
      <c r="R24" s="437">
        <f>'Capacity charges'!R256</f>
        <v>0</v>
      </c>
      <c r="S24" s="437">
        <f>'Capacity charges'!S256</f>
        <v>0</v>
      </c>
      <c r="T24" s="437">
        <f>'Capacity charges'!T256</f>
        <v>0</v>
      </c>
      <c r="U24" s="437">
        <f>'Capacity charges'!U256</f>
        <v>2.4194688143102887</v>
      </c>
      <c r="V24" s="437">
        <f>'Capacity charges'!V256</f>
        <v>4.276118885709975</v>
      </c>
      <c r="W24" s="437">
        <f>'Capacity charges'!W256</f>
        <v>5.2830912098228762</v>
      </c>
      <c r="X24" s="437">
        <f>'Capacity charges'!X256</f>
        <v>0</v>
      </c>
      <c r="Y24" s="437">
        <f>'Capacity charges'!Y256</f>
        <v>0</v>
      </c>
      <c r="Z24" s="437">
        <f>'Capacity charges'!Z256</f>
        <v>0</v>
      </c>
      <c r="AA24" s="437">
        <f>'Capacity charges'!AA256</f>
        <v>0</v>
      </c>
      <c r="AB24" s="437">
        <f>'Capacity charges'!AB256</f>
        <v>0</v>
      </c>
      <c r="AC24" s="437">
        <f>'Capacity charges'!AC256</f>
        <v>0</v>
      </c>
      <c r="AD24" s="437">
        <f>'Capacity charges'!AD256</f>
        <v>0</v>
      </c>
      <c r="AE24" s="437">
        <f>'Capacity charges'!AE256</f>
        <v>0</v>
      </c>
      <c r="AF24" s="437">
        <f>'Capacity charges'!AF256</f>
        <v>0</v>
      </c>
      <c r="AG24" s="437">
        <f>'Capacity charges'!AG256</f>
        <v>0</v>
      </c>
      <c r="AH24" s="437">
        <f>'Capacity charges'!AH256</f>
        <v>0</v>
      </c>
      <c r="AI24" s="437">
        <f>'Capacity charges'!AI256</f>
        <v>0</v>
      </c>
      <c r="AJ24" s="437">
        <f>'Capacity charges'!AJ256</f>
        <v>0</v>
      </c>
      <c r="AK24" s="437">
        <f>'Capacity charges'!AK256</f>
        <v>0</v>
      </c>
      <c r="AL24" s="437">
        <f>'Capacity charges'!AL256</f>
        <v>0</v>
      </c>
      <c r="AM24" s="437">
        <f>'Capacity charges'!AM256</f>
        <v>0</v>
      </c>
      <c r="AN24" s="437">
        <f>'Capacity charges'!AN256</f>
        <v>0</v>
      </c>
      <c r="AO24" s="437">
        <f>'Capacity charges'!AO256</f>
        <v>0</v>
      </c>
      <c r="AP24" s="437">
        <f>'Capacity charges'!AP256</f>
        <v>0</v>
      </c>
      <c r="DF24" s="160"/>
      <c r="DG24" s="160"/>
    </row>
    <row r="25" spans="4:111" s="88" customFormat="1" x14ac:dyDescent="0.25">
      <c r="E25" s="89"/>
      <c r="F25" s="66" t="s">
        <v>386</v>
      </c>
      <c r="G25" s="90" t="s">
        <v>381</v>
      </c>
      <c r="H25" s="90"/>
      <c r="I25" s="90"/>
      <c r="J25" s="437">
        <f>'Capacity charges'!J257</f>
        <v>0</v>
      </c>
      <c r="K25" s="437">
        <f>'Capacity charges'!K257</f>
        <v>0</v>
      </c>
      <c r="L25" s="437">
        <f>'Capacity charges'!L257</f>
        <v>0</v>
      </c>
      <c r="M25" s="437">
        <f>'Capacity charges'!M257</f>
        <v>0</v>
      </c>
      <c r="N25" s="437">
        <f>'Capacity charges'!N257</f>
        <v>0</v>
      </c>
      <c r="O25" s="437">
        <f>'Capacity charges'!O257</f>
        <v>0</v>
      </c>
      <c r="P25" s="437">
        <f>'Capacity charges'!P257</f>
        <v>0</v>
      </c>
      <c r="Q25" s="437">
        <f>'Capacity charges'!Q257</f>
        <v>0</v>
      </c>
      <c r="R25" s="437">
        <f>'Capacity charges'!R257</f>
        <v>0</v>
      </c>
      <c r="S25" s="437">
        <f>'Capacity charges'!S257</f>
        <v>0</v>
      </c>
      <c r="T25" s="437">
        <f>'Capacity charges'!T257</f>
        <v>0</v>
      </c>
      <c r="U25" s="437">
        <f>'Capacity charges'!U257</f>
        <v>4.5823456808537575</v>
      </c>
      <c r="V25" s="437">
        <f>'Capacity charges'!V257</f>
        <v>5.7697386725894155</v>
      </c>
      <c r="W25" s="437">
        <f>'Capacity charges'!W257</f>
        <v>6.5484178941700018</v>
      </c>
      <c r="X25" s="437">
        <f>'Capacity charges'!X257</f>
        <v>0</v>
      </c>
      <c r="Y25" s="437">
        <f>'Capacity charges'!Y257</f>
        <v>0</v>
      </c>
      <c r="Z25" s="437">
        <f>'Capacity charges'!Z257</f>
        <v>0</v>
      </c>
      <c r="AA25" s="437">
        <f>'Capacity charges'!AA257</f>
        <v>0</v>
      </c>
      <c r="AB25" s="437">
        <f>'Capacity charges'!AB257</f>
        <v>0</v>
      </c>
      <c r="AC25" s="437">
        <f>'Capacity charges'!AC257</f>
        <v>0</v>
      </c>
      <c r="AD25" s="437">
        <f>'Capacity charges'!AD257</f>
        <v>0</v>
      </c>
      <c r="AE25" s="437">
        <f>'Capacity charges'!AE257</f>
        <v>0</v>
      </c>
      <c r="AF25" s="437">
        <f>'Capacity charges'!AF257</f>
        <v>0</v>
      </c>
      <c r="AG25" s="437">
        <f>'Capacity charges'!AG257</f>
        <v>0</v>
      </c>
      <c r="AH25" s="437">
        <f>'Capacity charges'!AH257</f>
        <v>0</v>
      </c>
      <c r="AI25" s="437">
        <f>'Capacity charges'!AI257</f>
        <v>0</v>
      </c>
      <c r="AJ25" s="437">
        <f>'Capacity charges'!AJ257</f>
        <v>0</v>
      </c>
      <c r="AK25" s="437">
        <f>'Capacity charges'!AK257</f>
        <v>0</v>
      </c>
      <c r="AL25" s="437">
        <f>'Capacity charges'!AL257</f>
        <v>0</v>
      </c>
      <c r="AM25" s="437">
        <f>'Capacity charges'!AM257</f>
        <v>0</v>
      </c>
      <c r="AN25" s="437">
        <f>'Capacity charges'!AN257</f>
        <v>0</v>
      </c>
      <c r="AO25" s="437">
        <f>'Capacity charges'!AO257</f>
        <v>0</v>
      </c>
      <c r="AP25" s="437">
        <f>'Capacity charges'!AP257</f>
        <v>0</v>
      </c>
      <c r="DF25" s="160"/>
      <c r="DG25" s="160"/>
    </row>
    <row r="26" spans="4:111" s="88" customFormat="1" x14ac:dyDescent="0.25">
      <c r="E26" s="89"/>
      <c r="F26" s="67" t="s">
        <v>387</v>
      </c>
      <c r="G26" s="16" t="s">
        <v>388</v>
      </c>
      <c r="H26" s="574"/>
      <c r="I26" s="574"/>
      <c r="J26" s="588">
        <f>'Reactive power charges'!J250</f>
        <v>0</v>
      </c>
      <c r="K26" s="588">
        <f>'Reactive power charges'!K250</f>
        <v>0</v>
      </c>
      <c r="L26" s="588">
        <f>'Reactive power charges'!L250</f>
        <v>0</v>
      </c>
      <c r="M26" s="588">
        <f>'Reactive power charges'!M250</f>
        <v>0</v>
      </c>
      <c r="N26" s="588">
        <f>'Reactive power charges'!N250</f>
        <v>0</v>
      </c>
      <c r="O26" s="588">
        <f>'Reactive power charges'!O250</f>
        <v>0</v>
      </c>
      <c r="P26" s="588">
        <f>'Reactive power charges'!P250</f>
        <v>0</v>
      </c>
      <c r="Q26" s="588">
        <f>'Reactive power charges'!Q250</f>
        <v>0</v>
      </c>
      <c r="R26" s="588">
        <f>'Reactive power charges'!R250</f>
        <v>0</v>
      </c>
      <c r="S26" s="588">
        <f>'Reactive power charges'!S250</f>
        <v>0</v>
      </c>
      <c r="T26" s="588">
        <f>'Reactive power charges'!T250</f>
        <v>0</v>
      </c>
      <c r="U26" s="588">
        <f>'Reactive power charges'!U250</f>
        <v>0.20429574981631735</v>
      </c>
      <c r="V26" s="588">
        <f>'Reactive power charges'!V250</f>
        <v>0.1294785680312045</v>
      </c>
      <c r="W26" s="588">
        <f>'Reactive power charges'!W250</f>
        <v>8.5988859420168706E-2</v>
      </c>
      <c r="X26" s="588">
        <f>'Reactive power charges'!X250</f>
        <v>0</v>
      </c>
      <c r="Y26" s="588">
        <f>'Reactive power charges'!Y250</f>
        <v>0</v>
      </c>
      <c r="Z26" s="588">
        <f>'Reactive power charges'!Z250</f>
        <v>0</v>
      </c>
      <c r="AA26" s="588">
        <f>'Reactive power charges'!AA250</f>
        <v>0</v>
      </c>
      <c r="AB26" s="588">
        <f>'Reactive power charges'!AB250</f>
        <v>0</v>
      </c>
      <c r="AC26" s="588">
        <f>'Reactive power charges'!AC250</f>
        <v>0</v>
      </c>
      <c r="AD26" s="588">
        <f>'Reactive power charges'!AD250</f>
        <v>0</v>
      </c>
      <c r="AE26" s="588">
        <f>'Reactive power charges'!AE250</f>
        <v>0.18588029896524536</v>
      </c>
      <c r="AF26" s="588">
        <f>'Reactive power charges'!AF250</f>
        <v>0</v>
      </c>
      <c r="AG26" s="588">
        <f>'Reactive power charges'!AG250</f>
        <v>0.18588029896524536</v>
      </c>
      <c r="AH26" s="588">
        <f>'Reactive power charges'!AH250</f>
        <v>0</v>
      </c>
      <c r="AI26" s="588">
        <f>'Reactive power charges'!AI250</f>
        <v>0.16638235815020677</v>
      </c>
      <c r="AJ26" s="588">
        <f>'Reactive power charges'!AJ250</f>
        <v>0</v>
      </c>
      <c r="AK26" s="588">
        <f>'Reactive power charges'!AK250</f>
        <v>0.16638235815020677</v>
      </c>
      <c r="AL26" s="588">
        <f>'Reactive power charges'!AL250</f>
        <v>0</v>
      </c>
      <c r="AM26" s="588">
        <f>'Reactive power charges'!AM250</f>
        <v>0.14664466661720621</v>
      </c>
      <c r="AN26" s="588">
        <f>'Reactive power charges'!AN250</f>
        <v>0</v>
      </c>
      <c r="AO26" s="588">
        <f>'Reactive power charges'!AO250</f>
        <v>0.14664466661720621</v>
      </c>
      <c r="AP26" s="588">
        <f>'Reactive power charges'!AP250</f>
        <v>0</v>
      </c>
      <c r="AQ26" s="571"/>
      <c r="AR26" s="571"/>
      <c r="AS26" s="571"/>
      <c r="AT26" s="571"/>
      <c r="AU26" s="571"/>
      <c r="AV26" s="571"/>
      <c r="AW26" s="571"/>
      <c r="AX26" s="571"/>
      <c r="AY26" s="571"/>
      <c r="AZ26" s="571"/>
      <c r="BA26" s="571"/>
      <c r="BB26" s="571"/>
      <c r="BC26" s="571"/>
      <c r="BD26" s="571"/>
      <c r="BE26" s="571"/>
      <c r="BF26" s="571"/>
      <c r="BG26" s="571"/>
      <c r="BH26" s="571"/>
      <c r="BI26" s="571"/>
      <c r="BJ26" s="571"/>
      <c r="BK26" s="571"/>
      <c r="BL26" s="571"/>
      <c r="BM26" s="571"/>
      <c r="BN26" s="571"/>
      <c r="BO26" s="571"/>
      <c r="BP26" s="571"/>
      <c r="BQ26" s="571"/>
      <c r="BR26" s="571"/>
      <c r="BS26" s="571"/>
      <c r="BT26" s="571"/>
      <c r="BU26" s="571"/>
      <c r="BV26" s="571"/>
      <c r="BW26" s="571"/>
      <c r="BX26" s="571"/>
      <c r="BY26" s="571"/>
      <c r="BZ26" s="571"/>
      <c r="CA26" s="571"/>
      <c r="CB26" s="571"/>
      <c r="CC26" s="571"/>
      <c r="CD26" s="571"/>
      <c r="CE26" s="571"/>
      <c r="CF26" s="571"/>
      <c r="CG26" s="571"/>
      <c r="CH26" s="571"/>
      <c r="CI26" s="571"/>
      <c r="CJ26" s="571"/>
      <c r="CK26" s="571"/>
      <c r="CL26" s="571"/>
      <c r="CM26" s="571"/>
      <c r="CN26" s="571"/>
      <c r="CO26" s="571"/>
      <c r="CP26" s="571"/>
      <c r="CQ26" s="571"/>
      <c r="CR26" s="571"/>
      <c r="CS26" s="571"/>
      <c r="CT26" s="571"/>
      <c r="CU26" s="571"/>
      <c r="CV26" s="571"/>
      <c r="CW26" s="571"/>
      <c r="CX26" s="571"/>
      <c r="CY26" s="571"/>
      <c r="CZ26" s="571"/>
      <c r="DA26" s="571"/>
      <c r="DB26" s="571"/>
      <c r="DC26" s="571"/>
      <c r="DD26" s="571"/>
      <c r="DE26" s="571"/>
      <c r="DF26" s="571"/>
      <c r="DG26" s="571"/>
    </row>
    <row r="27" spans="4:111" s="131" customFormat="1" x14ac:dyDescent="0.25">
      <c r="E27" s="132"/>
      <c r="J27" s="416"/>
      <c r="K27" s="416"/>
      <c r="L27" s="416"/>
      <c r="M27" s="416"/>
      <c r="N27" s="416"/>
      <c r="O27" s="416"/>
      <c r="P27" s="416"/>
      <c r="Q27" s="416"/>
      <c r="R27" s="416"/>
      <c r="S27" s="416"/>
      <c r="T27" s="416"/>
      <c r="U27" s="416"/>
      <c r="V27" s="416"/>
      <c r="W27" s="416"/>
      <c r="X27" s="416"/>
      <c r="Y27" s="416"/>
      <c r="Z27" s="416"/>
      <c r="AA27" s="416"/>
      <c r="AB27" s="416"/>
      <c r="AC27" s="416"/>
      <c r="AD27" s="416"/>
      <c r="AE27" s="416"/>
      <c r="AF27" s="416"/>
      <c r="AG27" s="416"/>
      <c r="AH27" s="416"/>
      <c r="AI27" s="416"/>
      <c r="AJ27" s="416"/>
      <c r="AK27" s="416"/>
      <c r="AL27" s="416"/>
      <c r="AM27" s="416"/>
      <c r="AN27" s="416"/>
      <c r="AO27" s="416"/>
      <c r="AP27" s="416"/>
      <c r="DF27" s="160"/>
      <c r="DG27" s="160"/>
    </row>
    <row r="28" spans="4:111" s="88" customFormat="1" x14ac:dyDescent="0.25">
      <c r="E28" s="87" t="s">
        <v>402</v>
      </c>
      <c r="J28" s="416"/>
      <c r="K28" s="416"/>
      <c r="L28" s="416"/>
      <c r="M28" s="416"/>
      <c r="N28" s="416"/>
      <c r="O28" s="416"/>
      <c r="P28" s="416"/>
      <c r="Q28" s="416"/>
      <c r="R28" s="416"/>
      <c r="S28" s="416"/>
      <c r="T28" s="416"/>
      <c r="U28" s="416"/>
      <c r="V28" s="416"/>
      <c r="W28" s="416"/>
      <c r="X28" s="416"/>
      <c r="Y28" s="416"/>
      <c r="Z28" s="416"/>
      <c r="AA28" s="416"/>
      <c r="AB28" s="416"/>
      <c r="AC28" s="416"/>
      <c r="AD28" s="416"/>
      <c r="AE28" s="416"/>
      <c r="AF28" s="416"/>
      <c r="AG28" s="416"/>
      <c r="AH28" s="416"/>
      <c r="AI28" s="416"/>
      <c r="AJ28" s="416"/>
      <c r="AK28" s="416"/>
      <c r="AL28" s="416"/>
      <c r="AM28" s="416"/>
      <c r="AN28" s="416"/>
      <c r="AO28" s="416"/>
      <c r="AP28" s="416"/>
      <c r="DF28" s="160"/>
      <c r="DG28" s="160"/>
    </row>
    <row r="29" spans="4:111" s="88" customFormat="1" x14ac:dyDescent="0.25">
      <c r="D29" s="89"/>
      <c r="E29" s="91"/>
      <c r="F29" s="72" t="s">
        <v>151</v>
      </c>
      <c r="G29" s="13" t="s">
        <v>137</v>
      </c>
      <c r="H29" s="13"/>
      <c r="I29" s="13"/>
      <c r="J29" s="438">
        <f>'Volume adjustments'!J66</f>
        <v>9619584.3780239914</v>
      </c>
      <c r="K29" s="438">
        <f>'Volume adjustments'!K66</f>
        <v>835527.80607310811</v>
      </c>
      <c r="L29" s="438">
        <f>'Volume adjustments'!L66</f>
        <v>199297.91284437623</v>
      </c>
      <c r="M29" s="438">
        <f>'Volume adjustments'!M66</f>
        <v>2706270.8612037809</v>
      </c>
      <c r="N29" s="438">
        <f>'Volume adjustments'!N66</f>
        <v>446470.69642024959</v>
      </c>
      <c r="O29" s="438">
        <f>'Volume adjustments'!O66</f>
        <v>42294.937322173275</v>
      </c>
      <c r="P29" s="438">
        <f>'Volume adjustments'!P66</f>
        <v>104009.34260682437</v>
      </c>
      <c r="Q29" s="438">
        <f>'Volume adjustments'!Q66</f>
        <v>0</v>
      </c>
      <c r="R29" s="438">
        <f>'Volume adjustments'!R66</f>
        <v>282.01794456199212</v>
      </c>
      <c r="S29" s="438">
        <f>'Volume adjustments'!S66</f>
        <v>7860.7404958513216</v>
      </c>
      <c r="T29" s="438">
        <f>'Volume adjustments'!T66</f>
        <v>31198.833710634557</v>
      </c>
      <c r="U29" s="438">
        <f>'Volume adjustments'!U66</f>
        <v>625884.22888754157</v>
      </c>
      <c r="V29" s="438">
        <f>'Volume adjustments'!V66</f>
        <v>38456.239420473794</v>
      </c>
      <c r="W29" s="438">
        <f>'Volume adjustments'!W66</f>
        <v>452539.55734968698</v>
      </c>
      <c r="X29" s="438">
        <f>'Volume adjustments'!X66</f>
        <v>24532.632560505219</v>
      </c>
      <c r="Y29" s="438">
        <f>'Volume adjustments'!Y66</f>
        <v>15654.703404062586</v>
      </c>
      <c r="Z29" s="438">
        <f>'Volume adjustments'!Z66</f>
        <v>778.6739855590813</v>
      </c>
      <c r="AA29" s="438">
        <f>'Volume adjustments'!AA66</f>
        <v>149.6510564463434</v>
      </c>
      <c r="AB29" s="438">
        <f>'Volume adjustments'!AB66</f>
        <v>11673.535442439646</v>
      </c>
      <c r="AC29" s="438">
        <f>'Volume adjustments'!AC66</f>
        <v>4480.1442453728014</v>
      </c>
      <c r="AD29" s="438">
        <f>'Volume adjustments'!AD66</f>
        <v>263.02538443584314</v>
      </c>
      <c r="AE29" s="438">
        <f>'Volume adjustments'!AE66</f>
        <v>35972.106690575252</v>
      </c>
      <c r="AF29" s="438">
        <f>'Volume adjustments'!AF66</f>
        <v>0</v>
      </c>
      <c r="AG29" s="438">
        <f>'Volume adjustments'!AG66</f>
        <v>2725.9199353160684</v>
      </c>
      <c r="AH29" s="438">
        <f>'Volume adjustments'!AH66</f>
        <v>0</v>
      </c>
      <c r="AI29" s="438">
        <f>'Volume adjustments'!AI66</f>
        <v>0</v>
      </c>
      <c r="AJ29" s="438">
        <f>'Volume adjustments'!AJ66</f>
        <v>0</v>
      </c>
      <c r="AK29" s="438">
        <f>'Volume adjustments'!AK66</f>
        <v>0</v>
      </c>
      <c r="AL29" s="438">
        <f>'Volume adjustments'!AL66</f>
        <v>0</v>
      </c>
      <c r="AM29" s="438">
        <f>'Volume adjustments'!AM66</f>
        <v>468706.30956186936</v>
      </c>
      <c r="AN29" s="438">
        <f>'Volume adjustments'!AN66</f>
        <v>0</v>
      </c>
      <c r="AO29" s="438">
        <f>'Volume adjustments'!AO66</f>
        <v>57940.367337102631</v>
      </c>
      <c r="AP29" s="438">
        <f>'Volume adjustments'!AP66</f>
        <v>0</v>
      </c>
      <c r="DF29" s="160"/>
      <c r="DG29" s="160"/>
    </row>
    <row r="30" spans="4:111" s="88" customFormat="1" x14ac:dyDescent="0.25">
      <c r="D30" s="89"/>
      <c r="E30" s="91"/>
      <c r="F30" s="66" t="s">
        <v>152</v>
      </c>
      <c r="G30" s="90" t="s">
        <v>137</v>
      </c>
      <c r="H30" s="90"/>
      <c r="I30" s="90"/>
      <c r="J30" s="437">
        <f>'Volume adjustments'!J77</f>
        <v>0</v>
      </c>
      <c r="K30" s="437">
        <f>'Volume adjustments'!K77</f>
        <v>735614.89686908422</v>
      </c>
      <c r="L30" s="437">
        <f>'Volume adjustments'!L77</f>
        <v>0</v>
      </c>
      <c r="M30" s="437">
        <f>'Volume adjustments'!M77</f>
        <v>0</v>
      </c>
      <c r="N30" s="437">
        <f>'Volume adjustments'!N77</f>
        <v>278002.52474213234</v>
      </c>
      <c r="O30" s="437">
        <f>'Volume adjustments'!O77</f>
        <v>0</v>
      </c>
      <c r="P30" s="437">
        <f>'Volume adjustments'!P77</f>
        <v>7102.53616241911</v>
      </c>
      <c r="Q30" s="437">
        <f>'Volume adjustments'!Q77</f>
        <v>0</v>
      </c>
      <c r="R30" s="437">
        <f>'Volume adjustments'!R77</f>
        <v>4.3459831614531019</v>
      </c>
      <c r="S30" s="437">
        <f>'Volume adjustments'!S77</f>
        <v>24996.690407605536</v>
      </c>
      <c r="T30" s="437">
        <f>'Volume adjustments'!T77</f>
        <v>177573.26231864805</v>
      </c>
      <c r="U30" s="437">
        <f>'Volume adjustments'!U77</f>
        <v>3540894.6661684732</v>
      </c>
      <c r="V30" s="437">
        <f>'Volume adjustments'!V77</f>
        <v>221362.20664832584</v>
      </c>
      <c r="W30" s="437">
        <f>'Volume adjustments'!W77</f>
        <v>2543209.0589652988</v>
      </c>
      <c r="X30" s="437">
        <f>'Volume adjustments'!X77</f>
        <v>0</v>
      </c>
      <c r="Y30" s="437">
        <f>'Volume adjustments'!Y77</f>
        <v>0</v>
      </c>
      <c r="Z30" s="437">
        <f>'Volume adjustments'!Z77</f>
        <v>0</v>
      </c>
      <c r="AA30" s="437">
        <f>'Volume adjustments'!AA77</f>
        <v>0</v>
      </c>
      <c r="AB30" s="437">
        <f>'Volume adjustments'!AB77</f>
        <v>68850.186278347115</v>
      </c>
      <c r="AC30" s="437">
        <f>'Volume adjustments'!AC77</f>
        <v>0</v>
      </c>
      <c r="AD30" s="437">
        <f>'Volume adjustments'!AD77</f>
        <v>0</v>
      </c>
      <c r="AE30" s="437">
        <f>'Volume adjustments'!AE77</f>
        <v>0</v>
      </c>
      <c r="AF30" s="437">
        <f>'Volume adjustments'!AF77</f>
        <v>0</v>
      </c>
      <c r="AG30" s="437">
        <f>'Volume adjustments'!AG77</f>
        <v>15061.671411533149</v>
      </c>
      <c r="AH30" s="437">
        <f>'Volume adjustments'!AH77</f>
        <v>0</v>
      </c>
      <c r="AI30" s="437">
        <f>'Volume adjustments'!AI77</f>
        <v>0</v>
      </c>
      <c r="AJ30" s="437">
        <f>'Volume adjustments'!AJ77</f>
        <v>0</v>
      </c>
      <c r="AK30" s="437">
        <f>'Volume adjustments'!AK77</f>
        <v>0</v>
      </c>
      <c r="AL30" s="437">
        <f>'Volume adjustments'!AL77</f>
        <v>0</v>
      </c>
      <c r="AM30" s="437">
        <f>'Volume adjustments'!AM77</f>
        <v>0</v>
      </c>
      <c r="AN30" s="437">
        <f>'Volume adjustments'!AN77</f>
        <v>0</v>
      </c>
      <c r="AO30" s="437">
        <f>'Volume adjustments'!AO77</f>
        <v>308061.97136442841</v>
      </c>
      <c r="AP30" s="437">
        <f>'Volume adjustments'!AP77</f>
        <v>0</v>
      </c>
      <c r="DF30" s="160"/>
      <c r="DG30" s="160"/>
    </row>
    <row r="31" spans="4:111" s="88" customFormat="1" x14ac:dyDescent="0.25">
      <c r="D31" s="89"/>
      <c r="E31" s="91"/>
      <c r="F31" s="66" t="s">
        <v>153</v>
      </c>
      <c r="G31" s="90" t="s">
        <v>137</v>
      </c>
      <c r="H31" s="90"/>
      <c r="I31" s="90"/>
      <c r="J31" s="437">
        <f>'Volume adjustments'!J88</f>
        <v>0</v>
      </c>
      <c r="K31" s="437">
        <f>'Volume adjustments'!K88</f>
        <v>0</v>
      </c>
      <c r="L31" s="437">
        <f>'Volume adjustments'!L88</f>
        <v>0</v>
      </c>
      <c r="M31" s="437">
        <f>'Volume adjustments'!M88</f>
        <v>0</v>
      </c>
      <c r="N31" s="437">
        <f>'Volume adjustments'!N88</f>
        <v>0</v>
      </c>
      <c r="O31" s="437">
        <f>'Volume adjustments'!O88</f>
        <v>0</v>
      </c>
      <c r="P31" s="437">
        <f>'Volume adjustments'!P88</f>
        <v>0</v>
      </c>
      <c r="Q31" s="437">
        <f>'Volume adjustments'!Q88</f>
        <v>0</v>
      </c>
      <c r="R31" s="437">
        <f>'Volume adjustments'!R88</f>
        <v>0</v>
      </c>
      <c r="S31" s="437">
        <f>'Volume adjustments'!S88</f>
        <v>14751.44123412742</v>
      </c>
      <c r="T31" s="437">
        <f>'Volume adjustments'!T88</f>
        <v>84778.104421972268</v>
      </c>
      <c r="U31" s="437">
        <f>'Volume adjustments'!U88</f>
        <v>1866739.9019720491</v>
      </c>
      <c r="V31" s="437">
        <f>'Volume adjustments'!V88</f>
        <v>134010.09592598444</v>
      </c>
      <c r="W31" s="437">
        <f>'Volume adjustments'!W88</f>
        <v>1747222.1632098565</v>
      </c>
      <c r="X31" s="437">
        <f>'Volume adjustments'!X88</f>
        <v>0</v>
      </c>
      <c r="Y31" s="437">
        <f>'Volume adjustments'!Y88</f>
        <v>0</v>
      </c>
      <c r="Z31" s="437">
        <f>'Volume adjustments'!Z88</f>
        <v>0</v>
      </c>
      <c r="AA31" s="437">
        <f>'Volume adjustments'!AA88</f>
        <v>0</v>
      </c>
      <c r="AB31" s="437">
        <f>'Volume adjustments'!AB88</f>
        <v>135233.45936929047</v>
      </c>
      <c r="AC31" s="437">
        <f>'Volume adjustments'!AC88</f>
        <v>0</v>
      </c>
      <c r="AD31" s="437">
        <f>'Volume adjustments'!AD88</f>
        <v>0</v>
      </c>
      <c r="AE31" s="437">
        <f>'Volume adjustments'!AE88</f>
        <v>0</v>
      </c>
      <c r="AF31" s="437">
        <f>'Volume adjustments'!AF88</f>
        <v>0</v>
      </c>
      <c r="AG31" s="437">
        <f>'Volume adjustments'!AG88</f>
        <v>11083.1138824874</v>
      </c>
      <c r="AH31" s="437">
        <f>'Volume adjustments'!AH88</f>
        <v>0</v>
      </c>
      <c r="AI31" s="437">
        <f>'Volume adjustments'!AI88</f>
        <v>0</v>
      </c>
      <c r="AJ31" s="437">
        <f>'Volume adjustments'!AJ88</f>
        <v>0</v>
      </c>
      <c r="AK31" s="437">
        <f>'Volume adjustments'!AK88</f>
        <v>0</v>
      </c>
      <c r="AL31" s="437">
        <f>'Volume adjustments'!AL88</f>
        <v>0</v>
      </c>
      <c r="AM31" s="437">
        <f>'Volume adjustments'!AM88</f>
        <v>0</v>
      </c>
      <c r="AN31" s="437">
        <f>'Volume adjustments'!AN88</f>
        <v>0</v>
      </c>
      <c r="AO31" s="437">
        <f>'Volume adjustments'!AO88</f>
        <v>227982.97660961846</v>
      </c>
      <c r="AP31" s="437">
        <f>'Volume adjustments'!AP88</f>
        <v>0</v>
      </c>
      <c r="DF31" s="160"/>
      <c r="DG31" s="160"/>
    </row>
    <row r="32" spans="4:111" s="88" customFormat="1" x14ac:dyDescent="0.25">
      <c r="D32" s="89"/>
      <c r="E32" s="91"/>
      <c r="F32" s="66" t="s">
        <v>91</v>
      </c>
      <c r="G32" s="90" t="s">
        <v>91</v>
      </c>
      <c r="H32" s="90"/>
      <c r="I32" s="90"/>
      <c r="J32" s="437">
        <f>'Volume adjustments'!J103</f>
        <v>2647630.1830200609</v>
      </c>
      <c r="K32" s="437">
        <f>'Volume adjustments'!K103</f>
        <v>252108.44700241974</v>
      </c>
      <c r="L32" s="437">
        <f>'Volume adjustments'!L103</f>
        <v>45034.03894236849</v>
      </c>
      <c r="M32" s="437">
        <f>'Volume adjustments'!M103</f>
        <v>195910.38911922346</v>
      </c>
      <c r="N32" s="437">
        <f>'Volume adjustments'!N103</f>
        <v>30990.67618208874</v>
      </c>
      <c r="O32" s="437">
        <f>'Volume adjustments'!O103</f>
        <v>5572.2471252403921</v>
      </c>
      <c r="P32" s="437">
        <f>'Volume adjustments'!P103</f>
        <v>1430.884410963396</v>
      </c>
      <c r="Q32" s="437">
        <f>'Volume adjustments'!Q103</f>
        <v>0</v>
      </c>
      <c r="R32" s="437">
        <f>'Volume adjustments'!R103</f>
        <v>4</v>
      </c>
      <c r="S32" s="437">
        <f>'Volume adjustments'!S103</f>
        <v>9734.8642977334039</v>
      </c>
      <c r="T32" s="437">
        <f>'Volume adjustments'!T103</f>
        <v>3809.8190759493036</v>
      </c>
      <c r="U32" s="437">
        <f>'Volume adjustments'!U103</f>
        <v>21955.201332689365</v>
      </c>
      <c r="V32" s="437">
        <f>'Volume adjustments'!V103</f>
        <v>342.03860415808151</v>
      </c>
      <c r="W32" s="437">
        <f>'Volume adjustments'!W103</f>
        <v>1863.5847977832193</v>
      </c>
      <c r="X32" s="437">
        <f>'Volume adjustments'!X103</f>
        <v>2210.2727723885705</v>
      </c>
      <c r="Y32" s="437">
        <f>'Volume adjustments'!Y103</f>
        <v>1432.9835362288884</v>
      </c>
      <c r="Z32" s="437">
        <f>'Volume adjustments'!Z103</f>
        <v>138.17303991124891</v>
      </c>
      <c r="AA32" s="437">
        <f>'Volume adjustments'!AA103</f>
        <v>9.8681450806991577</v>
      </c>
      <c r="AB32" s="437">
        <f>'Volume adjustments'!AB103</f>
        <v>41.845765167948912</v>
      </c>
      <c r="AC32" s="437">
        <f>'Volume adjustments'!AC103</f>
        <v>1105.7222222222224</v>
      </c>
      <c r="AD32" s="437">
        <f>'Volume adjustments'!AD103</f>
        <v>45</v>
      </c>
      <c r="AE32" s="437">
        <f>'Volume adjustments'!AE103</f>
        <v>808.8746645937498</v>
      </c>
      <c r="AF32" s="437">
        <f>'Volume adjustments'!AF103</f>
        <v>0</v>
      </c>
      <c r="AG32" s="437">
        <f>'Volume adjustments'!AG103</f>
        <v>45</v>
      </c>
      <c r="AH32" s="437">
        <f>'Volume adjustments'!AH103</f>
        <v>0</v>
      </c>
      <c r="AI32" s="437">
        <f>'Volume adjustments'!AI103</f>
        <v>1</v>
      </c>
      <c r="AJ32" s="437">
        <f>'Volume adjustments'!AJ103</f>
        <v>0</v>
      </c>
      <c r="AK32" s="437">
        <f>'Volume adjustments'!AK103</f>
        <v>0</v>
      </c>
      <c r="AL32" s="437">
        <f>'Volume adjustments'!AL103</f>
        <v>0</v>
      </c>
      <c r="AM32" s="437">
        <f>'Volume adjustments'!AM103</f>
        <v>165</v>
      </c>
      <c r="AN32" s="437">
        <f>'Volume adjustments'!AN103</f>
        <v>0</v>
      </c>
      <c r="AO32" s="437">
        <f>'Volume adjustments'!AO103</f>
        <v>115</v>
      </c>
      <c r="AP32" s="437">
        <f>'Volume adjustments'!AP103</f>
        <v>0</v>
      </c>
      <c r="DF32" s="160"/>
      <c r="DG32" s="160"/>
    </row>
    <row r="33" spans="2:111" s="88" customFormat="1" x14ac:dyDescent="0.25">
      <c r="D33" s="89"/>
      <c r="E33" s="91"/>
      <c r="F33" s="66" t="s">
        <v>403</v>
      </c>
      <c r="G33" s="90" t="s">
        <v>186</v>
      </c>
      <c r="H33" s="90"/>
      <c r="I33" s="90"/>
      <c r="J33" s="437">
        <f>'Volume adjustments'!J114</f>
        <v>0</v>
      </c>
      <c r="K33" s="437">
        <f>'Volume adjustments'!K114</f>
        <v>0</v>
      </c>
      <c r="L33" s="437">
        <f>'Volume adjustments'!L114</f>
        <v>0</v>
      </c>
      <c r="M33" s="437">
        <f>'Volume adjustments'!M114</f>
        <v>0</v>
      </c>
      <c r="N33" s="437">
        <f>'Volume adjustments'!N114</f>
        <v>0</v>
      </c>
      <c r="O33" s="437">
        <f>'Volume adjustments'!O114</f>
        <v>0</v>
      </c>
      <c r="P33" s="437">
        <f>'Volume adjustments'!P114</f>
        <v>0</v>
      </c>
      <c r="Q33" s="437">
        <f>'Volume adjustments'!Q114</f>
        <v>0</v>
      </c>
      <c r="R33" s="437">
        <f>'Volume adjustments'!R114</f>
        <v>0</v>
      </c>
      <c r="S33" s="437">
        <f>'Volume adjustments'!S114</f>
        <v>0</v>
      </c>
      <c r="T33" s="437">
        <f>'Volume adjustments'!T114</f>
        <v>0</v>
      </c>
      <c r="U33" s="437">
        <f>'Volume adjustments'!U114</f>
        <v>3277495.6057215333</v>
      </c>
      <c r="V33" s="437">
        <f>'Volume adjustments'!V114</f>
        <v>155122.59076448457</v>
      </c>
      <c r="W33" s="437">
        <f>'Volume adjustments'!W114</f>
        <v>2037852.7534836482</v>
      </c>
      <c r="X33" s="437">
        <f>'Volume adjustments'!X114</f>
        <v>0</v>
      </c>
      <c r="Y33" s="437">
        <f>'Volume adjustments'!Y114</f>
        <v>0</v>
      </c>
      <c r="Z33" s="437">
        <f>'Volume adjustments'!Z114</f>
        <v>0</v>
      </c>
      <c r="AA33" s="437">
        <f>'Volume adjustments'!AA114</f>
        <v>0</v>
      </c>
      <c r="AB33" s="437">
        <f>'Volume adjustments'!AB114</f>
        <v>0</v>
      </c>
      <c r="AC33" s="437">
        <f>'Volume adjustments'!AC114</f>
        <v>0</v>
      </c>
      <c r="AD33" s="437">
        <f>'Volume adjustments'!AD114</f>
        <v>0</v>
      </c>
      <c r="AE33" s="437">
        <f>'Volume adjustments'!AE114</f>
        <v>0</v>
      </c>
      <c r="AF33" s="437">
        <f>'Volume adjustments'!AF114</f>
        <v>0</v>
      </c>
      <c r="AG33" s="437">
        <f>'Volume adjustments'!AG114</f>
        <v>0</v>
      </c>
      <c r="AH33" s="437">
        <f>'Volume adjustments'!AH114</f>
        <v>0</v>
      </c>
      <c r="AI33" s="437">
        <f>'Volume adjustments'!AI114</f>
        <v>0</v>
      </c>
      <c r="AJ33" s="437">
        <f>'Volume adjustments'!AJ114</f>
        <v>0</v>
      </c>
      <c r="AK33" s="437">
        <f>'Volume adjustments'!AK114</f>
        <v>0</v>
      </c>
      <c r="AL33" s="437">
        <f>'Volume adjustments'!AL114</f>
        <v>0</v>
      </c>
      <c r="AM33" s="437">
        <f>'Volume adjustments'!AM114</f>
        <v>0</v>
      </c>
      <c r="AN33" s="437">
        <f>'Volume adjustments'!AN114</f>
        <v>0</v>
      </c>
      <c r="AO33" s="437">
        <f>'Volume adjustments'!AO114</f>
        <v>0</v>
      </c>
      <c r="AP33" s="437">
        <f>'Volume adjustments'!AP114</f>
        <v>0</v>
      </c>
      <c r="DF33" s="160"/>
      <c r="DG33" s="160"/>
    </row>
    <row r="34" spans="2:111" s="88" customFormat="1" x14ac:dyDescent="0.25">
      <c r="D34" s="89"/>
      <c r="E34" s="91"/>
      <c r="F34" s="66" t="s">
        <v>331</v>
      </c>
      <c r="G34" s="90" t="s">
        <v>186</v>
      </c>
      <c r="H34" s="90"/>
      <c r="I34" s="90"/>
      <c r="J34" s="437">
        <f>'Volume adjustments'!J125</f>
        <v>0</v>
      </c>
      <c r="K34" s="437">
        <f>'Volume adjustments'!K125</f>
        <v>0</v>
      </c>
      <c r="L34" s="437">
        <f>'Volume adjustments'!L125</f>
        <v>0</v>
      </c>
      <c r="M34" s="437">
        <f>'Volume adjustments'!M125</f>
        <v>0</v>
      </c>
      <c r="N34" s="437">
        <f>'Volume adjustments'!N125</f>
        <v>0</v>
      </c>
      <c r="O34" s="437">
        <f>'Volume adjustments'!O125</f>
        <v>0</v>
      </c>
      <c r="P34" s="437">
        <f>'Volume adjustments'!P125</f>
        <v>0</v>
      </c>
      <c r="Q34" s="437">
        <f>'Volume adjustments'!Q125</f>
        <v>0</v>
      </c>
      <c r="R34" s="437">
        <f>'Volume adjustments'!R125</f>
        <v>0</v>
      </c>
      <c r="S34" s="437">
        <f>'Volume adjustments'!S125</f>
        <v>0</v>
      </c>
      <c r="T34" s="437">
        <f>'Volume adjustments'!T125</f>
        <v>0</v>
      </c>
      <c r="U34" s="437">
        <f>'Volume adjustments'!U125</f>
        <v>60177.553129042964</v>
      </c>
      <c r="V34" s="437">
        <f>'Volume adjustments'!V125</f>
        <v>1898.8027415114705</v>
      </c>
      <c r="W34" s="437">
        <f>'Volume adjustments'!W125</f>
        <v>28310.579478142176</v>
      </c>
      <c r="X34" s="437">
        <f>'Volume adjustments'!X125</f>
        <v>0</v>
      </c>
      <c r="Y34" s="437">
        <f>'Volume adjustments'!Y125</f>
        <v>0</v>
      </c>
      <c r="Z34" s="437">
        <f>'Volume adjustments'!Z125</f>
        <v>0</v>
      </c>
      <c r="AA34" s="437">
        <f>'Volume adjustments'!AA125</f>
        <v>0</v>
      </c>
      <c r="AB34" s="437">
        <f>'Volume adjustments'!AB125</f>
        <v>0</v>
      </c>
      <c r="AC34" s="437">
        <f>'Volume adjustments'!AC125</f>
        <v>0</v>
      </c>
      <c r="AD34" s="437">
        <f>'Volume adjustments'!AD125</f>
        <v>0</v>
      </c>
      <c r="AE34" s="437">
        <f>'Volume adjustments'!AE125</f>
        <v>0</v>
      </c>
      <c r="AF34" s="437">
        <f>'Volume adjustments'!AF125</f>
        <v>0</v>
      </c>
      <c r="AG34" s="437">
        <f>'Volume adjustments'!AG125</f>
        <v>0</v>
      </c>
      <c r="AH34" s="437">
        <f>'Volume adjustments'!AH125</f>
        <v>0</v>
      </c>
      <c r="AI34" s="437">
        <f>'Volume adjustments'!AI125</f>
        <v>0</v>
      </c>
      <c r="AJ34" s="437">
        <f>'Volume adjustments'!AJ125</f>
        <v>0</v>
      </c>
      <c r="AK34" s="437">
        <f>'Volume adjustments'!AK125</f>
        <v>0</v>
      </c>
      <c r="AL34" s="437">
        <f>'Volume adjustments'!AL125</f>
        <v>0</v>
      </c>
      <c r="AM34" s="437">
        <f>'Volume adjustments'!AM125</f>
        <v>0</v>
      </c>
      <c r="AN34" s="437">
        <f>'Volume adjustments'!AN125</f>
        <v>0</v>
      </c>
      <c r="AO34" s="437">
        <f>'Volume adjustments'!AO125</f>
        <v>0</v>
      </c>
      <c r="AP34" s="437">
        <f>'Volume adjustments'!AP125</f>
        <v>0</v>
      </c>
      <c r="DF34" s="160"/>
      <c r="DG34" s="160"/>
    </row>
    <row r="35" spans="2:111" s="88" customFormat="1" x14ac:dyDescent="0.25">
      <c r="D35" s="89"/>
      <c r="E35" s="91"/>
      <c r="F35" s="67" t="s">
        <v>94</v>
      </c>
      <c r="G35" s="38" t="s">
        <v>187</v>
      </c>
      <c r="H35" s="16"/>
      <c r="I35" s="16"/>
      <c r="J35" s="440">
        <f>'Volume adjustments'!J136</f>
        <v>0</v>
      </c>
      <c r="K35" s="440">
        <f>'Volume adjustments'!K136</f>
        <v>0</v>
      </c>
      <c r="L35" s="440">
        <f>'Volume adjustments'!L136</f>
        <v>0</v>
      </c>
      <c r="M35" s="440">
        <f>'Volume adjustments'!M136</f>
        <v>0</v>
      </c>
      <c r="N35" s="440">
        <f>'Volume adjustments'!N136</f>
        <v>0</v>
      </c>
      <c r="O35" s="440">
        <f>'Volume adjustments'!O136</f>
        <v>0</v>
      </c>
      <c r="P35" s="440">
        <f>'Volume adjustments'!P136</f>
        <v>0</v>
      </c>
      <c r="Q35" s="440">
        <f>'Volume adjustments'!Q136</f>
        <v>0</v>
      </c>
      <c r="R35" s="440">
        <f>'Volume adjustments'!R136</f>
        <v>0</v>
      </c>
      <c r="S35" s="440">
        <f>'Volume adjustments'!S136</f>
        <v>0</v>
      </c>
      <c r="T35" s="440">
        <f>'Volume adjustments'!T136</f>
        <v>0</v>
      </c>
      <c r="U35" s="440">
        <f>'Volume adjustments'!U136</f>
        <v>498937.59407926467</v>
      </c>
      <c r="V35" s="440">
        <f>'Volume adjustments'!V136</f>
        <v>29506.173287299072</v>
      </c>
      <c r="W35" s="440">
        <f>'Volume adjustments'!W136</f>
        <v>355995.74561946333</v>
      </c>
      <c r="X35" s="440">
        <f>'Volume adjustments'!X136</f>
        <v>0</v>
      </c>
      <c r="Y35" s="440">
        <f>'Volume adjustments'!Y136</f>
        <v>0</v>
      </c>
      <c r="Z35" s="440">
        <f>'Volume adjustments'!Z136</f>
        <v>0</v>
      </c>
      <c r="AA35" s="440">
        <f>'Volume adjustments'!AA136</f>
        <v>0</v>
      </c>
      <c r="AB35" s="440">
        <f>'Volume adjustments'!AB136</f>
        <v>0</v>
      </c>
      <c r="AC35" s="440">
        <f>'Volume adjustments'!AC136</f>
        <v>0</v>
      </c>
      <c r="AD35" s="440">
        <f>'Volume adjustments'!AD136</f>
        <v>0</v>
      </c>
      <c r="AE35" s="440">
        <f>'Volume adjustments'!AE136</f>
        <v>5006.8769289301918</v>
      </c>
      <c r="AF35" s="440">
        <f>'Volume adjustments'!AF136</f>
        <v>0</v>
      </c>
      <c r="AG35" s="440">
        <f>'Volume adjustments'!AG136</f>
        <v>364.90995026032709</v>
      </c>
      <c r="AH35" s="440">
        <f>'Volume adjustments'!AH136</f>
        <v>0</v>
      </c>
      <c r="AI35" s="440">
        <f>'Volume adjustments'!AI136</f>
        <v>0</v>
      </c>
      <c r="AJ35" s="440">
        <f>'Volume adjustments'!AJ136</f>
        <v>0</v>
      </c>
      <c r="AK35" s="440">
        <f>'Volume adjustments'!AK136</f>
        <v>0</v>
      </c>
      <c r="AL35" s="440">
        <f>'Volume adjustments'!AL136</f>
        <v>0</v>
      </c>
      <c r="AM35" s="440">
        <f>'Volume adjustments'!AM136</f>
        <v>21616.418527358299</v>
      </c>
      <c r="AN35" s="440">
        <f>'Volume adjustments'!AN136</f>
        <v>0</v>
      </c>
      <c r="AO35" s="440">
        <f>'Volume adjustments'!AO136</f>
        <v>22280.782866737216</v>
      </c>
      <c r="AP35" s="440">
        <f>'Volume adjustments'!AP136</f>
        <v>0</v>
      </c>
      <c r="DF35" s="160"/>
      <c r="DG35" s="160"/>
    </row>
    <row r="36" spans="2:111" s="88" customFormat="1" x14ac:dyDescent="0.25">
      <c r="D36" s="89"/>
      <c r="E36" s="91"/>
      <c r="F36" s="175"/>
      <c r="G36" s="90"/>
      <c r="J36" s="165"/>
      <c r="K36" s="165"/>
      <c r="L36" s="165"/>
      <c r="M36" s="165"/>
      <c r="N36" s="165"/>
      <c r="O36" s="165"/>
      <c r="P36" s="165"/>
      <c r="Q36" s="165"/>
      <c r="R36" s="165"/>
      <c r="S36" s="165"/>
      <c r="T36" s="165"/>
      <c r="U36" s="165"/>
      <c r="V36" s="165"/>
      <c r="W36" s="165"/>
      <c r="X36" s="165"/>
      <c r="Y36" s="165"/>
      <c r="Z36" s="165"/>
      <c r="AA36" s="165"/>
      <c r="AB36" s="165"/>
      <c r="AC36" s="165"/>
      <c r="AD36" s="165"/>
      <c r="AE36" s="165"/>
      <c r="AF36" s="165"/>
      <c r="AG36" s="165"/>
      <c r="AH36" s="165"/>
      <c r="AI36" s="165"/>
      <c r="AJ36" s="165"/>
      <c r="AK36" s="165"/>
      <c r="AL36" s="165"/>
      <c r="AM36" s="165"/>
      <c r="AN36" s="165"/>
      <c r="AO36" s="165"/>
      <c r="AP36" s="165"/>
      <c r="DF36" s="160"/>
      <c r="DG36" s="160"/>
    </row>
    <row r="37" spans="2:111" s="88" customFormat="1" x14ac:dyDescent="0.25">
      <c r="D37" s="89"/>
      <c r="E37" s="216" t="s">
        <v>209</v>
      </c>
      <c r="G37" s="167" t="s">
        <v>124</v>
      </c>
      <c r="H37" s="437">
        <f>'General inputs'!$H$88</f>
        <v>514457124.88364506</v>
      </c>
      <c r="J37" s="222"/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65"/>
      <c r="AJ37" s="165"/>
      <c r="AK37" s="165"/>
      <c r="AL37" s="165"/>
      <c r="AM37" s="165"/>
      <c r="AN37" s="165"/>
      <c r="AO37" s="165"/>
      <c r="AP37" s="165"/>
      <c r="DF37" s="160"/>
      <c r="DG37" s="160"/>
    </row>
    <row r="38" spans="2:111" s="88" customFormat="1" x14ac:dyDescent="0.25">
      <c r="C38" s="89"/>
      <c r="D38" s="91"/>
      <c r="E38" s="175"/>
      <c r="F38" s="66"/>
      <c r="G38" s="90"/>
      <c r="J38" s="165"/>
      <c r="K38" s="165"/>
      <c r="L38" s="165"/>
      <c r="M38" s="165"/>
      <c r="N38" s="165"/>
      <c r="O38" s="165"/>
      <c r="P38" s="165"/>
      <c r="Q38" s="165"/>
      <c r="R38" s="165"/>
      <c r="S38" s="165"/>
      <c r="T38" s="165"/>
      <c r="U38" s="165"/>
      <c r="V38" s="165"/>
      <c r="W38" s="165"/>
      <c r="X38" s="165"/>
      <c r="Y38" s="165"/>
      <c r="Z38" s="165"/>
      <c r="AA38" s="165"/>
      <c r="AB38" s="165"/>
      <c r="AC38" s="165"/>
      <c r="AD38" s="165"/>
      <c r="AE38" s="165"/>
      <c r="AF38" s="165"/>
      <c r="AG38" s="165"/>
      <c r="AH38" s="165"/>
      <c r="AI38" s="165"/>
      <c r="AJ38" s="165"/>
      <c r="AK38" s="165"/>
      <c r="AL38" s="165"/>
      <c r="AM38" s="165"/>
      <c r="AN38" s="165"/>
      <c r="AO38" s="165"/>
      <c r="AP38" s="165"/>
      <c r="DF38" s="160"/>
      <c r="DG38" s="160"/>
    </row>
    <row r="39" spans="2:111" s="338" customFormat="1" x14ac:dyDescent="0.25">
      <c r="C39" s="22" t="str">
        <f ca="1">INDEX('Version control'!$H$34:$H$59,MATCH($A$1,'Version control'!$F$34:$F$59,0),1)&amp;"-B: Net revenue before matching"</f>
        <v>Section 518-B: Net revenue before matching</v>
      </c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  <c r="CE39" s="22"/>
      <c r="CF39" s="22"/>
      <c r="CG39" s="22"/>
      <c r="CH39" s="22"/>
      <c r="CI39" s="22"/>
      <c r="CJ39" s="22"/>
      <c r="CK39" s="22"/>
      <c r="CL39" s="22"/>
      <c r="CM39" s="22"/>
      <c r="CN39" s="22"/>
      <c r="CO39" s="22"/>
      <c r="CP39" s="22"/>
      <c r="CQ39" s="22"/>
      <c r="CR39" s="22"/>
      <c r="CS39" s="22"/>
      <c r="CT39" s="22"/>
      <c r="CU39" s="22"/>
      <c r="CV39" s="22"/>
      <c r="CW39" s="22"/>
      <c r="CX39" s="22"/>
      <c r="CY39" s="22"/>
      <c r="CZ39" s="22"/>
      <c r="DA39" s="22"/>
      <c r="DB39" s="22"/>
      <c r="DC39" s="22"/>
      <c r="DD39" s="22"/>
      <c r="DE39" s="22"/>
      <c r="DF39" s="22"/>
      <c r="DG39" s="22"/>
    </row>
    <row r="40" spans="2:111" s="160" customFormat="1" x14ac:dyDescent="0.25">
      <c r="C40" s="152"/>
      <c r="D40" s="175"/>
      <c r="E40" s="175"/>
      <c r="J40" s="165"/>
      <c r="K40" s="165"/>
      <c r="L40" s="165"/>
      <c r="M40" s="165"/>
      <c r="N40" s="165"/>
      <c r="O40" s="165"/>
      <c r="P40" s="165"/>
      <c r="Q40" s="165"/>
      <c r="R40" s="165"/>
      <c r="S40" s="165"/>
      <c r="T40" s="165"/>
      <c r="U40" s="165"/>
      <c r="V40" s="165"/>
      <c r="W40" s="165"/>
      <c r="X40" s="165"/>
      <c r="Y40" s="165"/>
      <c r="Z40" s="165"/>
      <c r="AA40" s="165"/>
      <c r="AB40" s="165"/>
      <c r="AC40" s="165"/>
      <c r="AD40" s="165"/>
      <c r="AE40" s="165"/>
      <c r="AF40" s="165"/>
      <c r="AG40" s="165"/>
      <c r="AH40" s="165"/>
      <c r="AI40" s="165"/>
      <c r="AJ40" s="165"/>
      <c r="AK40" s="165"/>
      <c r="AL40" s="165"/>
      <c r="AM40" s="165"/>
      <c r="AN40" s="165"/>
      <c r="AO40" s="165"/>
      <c r="AP40" s="165"/>
    </row>
    <row r="41" spans="2:111" s="131" customFormat="1" x14ac:dyDescent="0.25">
      <c r="B41" s="152"/>
      <c r="D41" s="152" t="s">
        <v>590</v>
      </c>
      <c r="E41" s="147"/>
      <c r="F41" s="175"/>
      <c r="J41" s="165"/>
      <c r="K41" s="165"/>
      <c r="L41" s="165"/>
      <c r="M41" s="165"/>
      <c r="N41" s="165"/>
      <c r="O41" s="165"/>
      <c r="P41" s="165"/>
      <c r="Q41" s="165"/>
      <c r="R41" s="165"/>
      <c r="S41" s="165"/>
      <c r="T41" s="165"/>
      <c r="U41" s="165"/>
      <c r="V41" s="165"/>
      <c r="W41" s="165"/>
      <c r="X41" s="165"/>
      <c r="Y41" s="165"/>
      <c r="Z41" s="165"/>
      <c r="AA41" s="165"/>
      <c r="AB41" s="165"/>
      <c r="AC41" s="165"/>
      <c r="AD41" s="165"/>
      <c r="AE41" s="165"/>
      <c r="AF41" s="165"/>
      <c r="AG41" s="165"/>
      <c r="AH41" s="165"/>
      <c r="AI41" s="165"/>
      <c r="AJ41" s="165"/>
      <c r="AK41" s="165"/>
      <c r="AL41" s="165"/>
      <c r="AM41" s="165"/>
      <c r="AN41" s="165"/>
      <c r="AO41" s="165"/>
      <c r="AP41" s="165"/>
      <c r="DF41" s="160"/>
      <c r="DG41" s="160"/>
    </row>
    <row r="42" spans="2:111" s="131" customFormat="1" x14ac:dyDescent="0.25">
      <c r="D42" s="152" t="s">
        <v>591</v>
      </c>
      <c r="E42" s="147"/>
      <c r="F42" s="175"/>
      <c r="J42" s="165"/>
      <c r="K42" s="165"/>
      <c r="L42" s="165"/>
      <c r="M42" s="165"/>
      <c r="N42" s="165"/>
      <c r="O42" s="165"/>
      <c r="P42" s="165"/>
      <c r="Q42" s="165"/>
      <c r="R42" s="165"/>
      <c r="S42" s="165"/>
      <c r="T42" s="165"/>
      <c r="U42" s="165"/>
      <c r="V42" s="165"/>
      <c r="W42" s="165"/>
      <c r="X42" s="165"/>
      <c r="Y42" s="165"/>
      <c r="Z42" s="165"/>
      <c r="AA42" s="165"/>
      <c r="AB42" s="165"/>
      <c r="AC42" s="165"/>
      <c r="AD42" s="165"/>
      <c r="AE42" s="165"/>
      <c r="AF42" s="165"/>
      <c r="AG42" s="165"/>
      <c r="AH42" s="165"/>
      <c r="AI42" s="165"/>
      <c r="AJ42" s="165"/>
      <c r="AK42" s="165"/>
      <c r="AL42" s="165"/>
      <c r="AM42" s="165"/>
      <c r="AN42" s="165"/>
      <c r="AO42" s="165"/>
      <c r="AP42" s="165"/>
      <c r="DF42" s="160"/>
      <c r="DG42" s="160"/>
    </row>
    <row r="43" spans="2:111" s="160" customFormat="1" x14ac:dyDescent="0.25">
      <c r="D43" s="152"/>
      <c r="E43" s="175"/>
      <c r="F43" s="175"/>
      <c r="J43" s="165"/>
      <c r="K43" s="165"/>
      <c r="L43" s="165"/>
      <c r="M43" s="165"/>
      <c r="N43" s="165"/>
      <c r="O43" s="165"/>
      <c r="P43" s="165"/>
      <c r="Q43" s="165"/>
      <c r="R43" s="165"/>
      <c r="S43" s="165"/>
      <c r="T43" s="165"/>
      <c r="U43" s="165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5"/>
      <c r="AI43" s="165"/>
      <c r="AJ43" s="165"/>
      <c r="AK43" s="165"/>
      <c r="AL43" s="165"/>
      <c r="AM43" s="165"/>
      <c r="AN43" s="165"/>
      <c r="AO43" s="165"/>
      <c r="AP43" s="165"/>
    </row>
    <row r="44" spans="2:111" s="131" customFormat="1" x14ac:dyDescent="0.25">
      <c r="E44" s="144" t="s">
        <v>817</v>
      </c>
      <c r="F44" s="172"/>
      <c r="H44" s="86" t="s">
        <v>345</v>
      </c>
      <c r="J44" s="165"/>
      <c r="K44" s="165"/>
      <c r="L44" s="165"/>
      <c r="M44" s="165"/>
      <c r="N44" s="165"/>
      <c r="O44" s="165"/>
      <c r="P44" s="165"/>
      <c r="Q44" s="165"/>
      <c r="R44" s="165"/>
      <c r="S44" s="165"/>
      <c r="T44" s="165"/>
      <c r="U44" s="165"/>
      <c r="V44" s="165"/>
      <c r="W44" s="165"/>
      <c r="X44" s="165"/>
      <c r="Y44" s="165"/>
      <c r="Z44" s="165"/>
      <c r="AA44" s="165"/>
      <c r="AB44" s="165"/>
      <c r="AC44" s="165"/>
      <c r="AD44" s="165"/>
      <c r="AE44" s="165"/>
      <c r="AF44" s="165"/>
      <c r="AG44" s="165"/>
      <c r="AH44" s="165"/>
      <c r="AI44" s="165"/>
      <c r="AJ44" s="165"/>
      <c r="AK44" s="165"/>
      <c r="AL44" s="165"/>
      <c r="AM44" s="165"/>
      <c r="AN44" s="165"/>
      <c r="AO44" s="165"/>
      <c r="AP44" s="165"/>
      <c r="DF44" s="160"/>
      <c r="DG44" s="160"/>
    </row>
    <row r="45" spans="2:111" s="131" customFormat="1" x14ac:dyDescent="0.25">
      <c r="D45" s="132"/>
      <c r="E45" s="147"/>
      <c r="F45" s="72" t="s">
        <v>151</v>
      </c>
      <c r="G45" s="137" t="s">
        <v>124</v>
      </c>
      <c r="H45" s="443">
        <f t="shared" ref="H45:H51" si="0">SUM(J45:AP45)</f>
        <v>275982717.17981267</v>
      </c>
      <c r="I45" s="141"/>
      <c r="J45" s="431">
        <f t="shared" ref="J45:AP45" si="1">J29 * thousand * J20 / hundred</f>
        <v>153615533.52721959</v>
      </c>
      <c r="K45" s="431">
        <f t="shared" si="1"/>
        <v>17129785.368682124</v>
      </c>
      <c r="L45" s="431">
        <f t="shared" si="1"/>
        <v>398482.33136518043</v>
      </c>
      <c r="M45" s="431">
        <f t="shared" si="1"/>
        <v>38988461.945337795</v>
      </c>
      <c r="N45" s="431">
        <f t="shared" si="1"/>
        <v>10059469.094039643</v>
      </c>
      <c r="O45" s="431">
        <f t="shared" si="1"/>
        <v>138871.89531138982</v>
      </c>
      <c r="P45" s="431">
        <f t="shared" si="1"/>
        <v>1193400.2902897559</v>
      </c>
      <c r="Q45" s="431">
        <f t="shared" si="1"/>
        <v>0</v>
      </c>
      <c r="R45" s="431">
        <f t="shared" si="1"/>
        <v>1480.3782558691632</v>
      </c>
      <c r="S45" s="431">
        <f t="shared" si="1"/>
        <v>657456.66769232799</v>
      </c>
      <c r="T45" s="431">
        <f t="shared" si="1"/>
        <v>2754309.9877000987</v>
      </c>
      <c r="U45" s="431">
        <f t="shared" si="1"/>
        <v>37134632.127310999</v>
      </c>
      <c r="V45" s="431">
        <f t="shared" si="1"/>
        <v>1740886.2013167753</v>
      </c>
      <c r="W45" s="431">
        <f t="shared" si="1"/>
        <v>14514315.415663712</v>
      </c>
      <c r="X45" s="431">
        <f t="shared" si="1"/>
        <v>555613.12143714121</v>
      </c>
      <c r="Y45" s="431">
        <f t="shared" si="1"/>
        <v>363172.42654496251</v>
      </c>
      <c r="Z45" s="431">
        <f t="shared" si="1"/>
        <v>23863.200133518203</v>
      </c>
      <c r="AA45" s="431">
        <f t="shared" si="1"/>
        <v>3403.6475683371223</v>
      </c>
      <c r="AB45" s="431">
        <f t="shared" si="1"/>
        <v>1562809.4059161854</v>
      </c>
      <c r="AC45" s="431">
        <f t="shared" si="1"/>
        <v>-35562.397862864498</v>
      </c>
      <c r="AD45" s="431">
        <f t="shared" si="1"/>
        <v>-1827.1304025715872</v>
      </c>
      <c r="AE45" s="431">
        <f t="shared" si="1"/>
        <v>-285538.65680036775</v>
      </c>
      <c r="AF45" s="431">
        <f t="shared" si="1"/>
        <v>0</v>
      </c>
      <c r="AG45" s="431">
        <f t="shared" si="1"/>
        <v>-150908.16247960381</v>
      </c>
      <c r="AH45" s="431">
        <f t="shared" si="1"/>
        <v>0</v>
      </c>
      <c r="AI45" s="431">
        <f t="shared" si="1"/>
        <v>0</v>
      </c>
      <c r="AJ45" s="431">
        <f t="shared" si="1"/>
        <v>0</v>
      </c>
      <c r="AK45" s="431">
        <f t="shared" si="1"/>
        <v>0</v>
      </c>
      <c r="AL45" s="431">
        <f t="shared" si="1"/>
        <v>0</v>
      </c>
      <c r="AM45" s="431">
        <f t="shared" si="1"/>
        <v>-2155518.0578199015</v>
      </c>
      <c r="AN45" s="431">
        <f t="shared" si="1"/>
        <v>0</v>
      </c>
      <c r="AO45" s="431">
        <f t="shared" si="1"/>
        <v>-2223875.4466074612</v>
      </c>
      <c r="AP45" s="431">
        <f t="shared" si="1"/>
        <v>0</v>
      </c>
      <c r="DF45" s="160"/>
      <c r="DG45" s="160"/>
    </row>
    <row r="46" spans="2:111" s="131" customFormat="1" x14ac:dyDescent="0.25">
      <c r="D46" s="132"/>
      <c r="E46" s="147"/>
      <c r="F46" s="66" t="s">
        <v>152</v>
      </c>
      <c r="G46" s="139" t="s">
        <v>124</v>
      </c>
      <c r="H46" s="435">
        <f t="shared" si="0"/>
        <v>27512729.475392591</v>
      </c>
      <c r="I46" s="142"/>
      <c r="J46" s="428">
        <f t="shared" ref="J46:AP46" si="2">J30 * thousand * J21 / hundred</f>
        <v>0</v>
      </c>
      <c r="K46" s="428">
        <f t="shared" si="2"/>
        <v>765639.49700866861</v>
      </c>
      <c r="L46" s="428">
        <f t="shared" si="2"/>
        <v>0</v>
      </c>
      <c r="M46" s="428">
        <f t="shared" si="2"/>
        <v>0</v>
      </c>
      <c r="N46" s="428">
        <f t="shared" si="2"/>
        <v>707975.06572220323</v>
      </c>
      <c r="O46" s="428">
        <f t="shared" si="2"/>
        <v>0</v>
      </c>
      <c r="P46" s="428">
        <f t="shared" si="2"/>
        <v>6641.6881063739038</v>
      </c>
      <c r="Q46" s="428">
        <f t="shared" si="2"/>
        <v>0</v>
      </c>
      <c r="R46" s="428">
        <f t="shared" si="2"/>
        <v>1.3705192871363194</v>
      </c>
      <c r="S46" s="428">
        <f t="shared" si="2"/>
        <v>215623.55868245327</v>
      </c>
      <c r="T46" s="428">
        <f t="shared" si="2"/>
        <v>1617068.7423711678</v>
      </c>
      <c r="U46" s="428">
        <f t="shared" si="2"/>
        <v>18754868.545146756</v>
      </c>
      <c r="V46" s="428">
        <f t="shared" si="2"/>
        <v>594749.84213688422</v>
      </c>
      <c r="W46" s="428">
        <f t="shared" si="2"/>
        <v>4092498.4370218511</v>
      </c>
      <c r="X46" s="428">
        <f t="shared" si="2"/>
        <v>0</v>
      </c>
      <c r="Y46" s="428">
        <f t="shared" si="2"/>
        <v>0</v>
      </c>
      <c r="Z46" s="428">
        <f t="shared" si="2"/>
        <v>0</v>
      </c>
      <c r="AA46" s="428">
        <f t="shared" si="2"/>
        <v>0</v>
      </c>
      <c r="AB46" s="428">
        <f t="shared" si="2"/>
        <v>1541984.5766045516</v>
      </c>
      <c r="AC46" s="428">
        <f t="shared" si="2"/>
        <v>0</v>
      </c>
      <c r="AD46" s="428">
        <f t="shared" si="2"/>
        <v>0</v>
      </c>
      <c r="AE46" s="428">
        <f t="shared" si="2"/>
        <v>0</v>
      </c>
      <c r="AF46" s="428">
        <f t="shared" si="2"/>
        <v>0</v>
      </c>
      <c r="AG46" s="428">
        <f t="shared" si="2"/>
        <v>-86027.965309744046</v>
      </c>
      <c r="AH46" s="428">
        <f t="shared" si="2"/>
        <v>0</v>
      </c>
      <c r="AI46" s="428">
        <f t="shared" si="2"/>
        <v>0</v>
      </c>
      <c r="AJ46" s="428">
        <f t="shared" si="2"/>
        <v>0</v>
      </c>
      <c r="AK46" s="428">
        <f t="shared" si="2"/>
        <v>0</v>
      </c>
      <c r="AL46" s="428">
        <f t="shared" si="2"/>
        <v>0</v>
      </c>
      <c r="AM46" s="428">
        <f t="shared" si="2"/>
        <v>0</v>
      </c>
      <c r="AN46" s="428">
        <f t="shared" si="2"/>
        <v>0</v>
      </c>
      <c r="AO46" s="428">
        <f t="shared" si="2"/>
        <v>-698293.88261786429</v>
      </c>
      <c r="AP46" s="428">
        <f t="shared" si="2"/>
        <v>0</v>
      </c>
      <c r="DF46" s="160"/>
      <c r="DG46" s="160"/>
    </row>
    <row r="47" spans="2:111" s="131" customFormat="1" x14ac:dyDescent="0.25">
      <c r="D47" s="132"/>
      <c r="E47" s="147"/>
      <c r="F47" s="66" t="s">
        <v>153</v>
      </c>
      <c r="G47" s="139" t="s">
        <v>124</v>
      </c>
      <c r="H47" s="435">
        <f t="shared" si="0"/>
        <v>2680852.1179085886</v>
      </c>
      <c r="I47" s="142"/>
      <c r="J47" s="428">
        <f t="shared" ref="J47:AP47" si="3">J31 * thousand * J22 / hundred</f>
        <v>0</v>
      </c>
      <c r="K47" s="428">
        <f t="shared" si="3"/>
        <v>0</v>
      </c>
      <c r="L47" s="428">
        <f t="shared" si="3"/>
        <v>0</v>
      </c>
      <c r="M47" s="428">
        <f t="shared" si="3"/>
        <v>0</v>
      </c>
      <c r="N47" s="428">
        <f t="shared" si="3"/>
        <v>0</v>
      </c>
      <c r="O47" s="428">
        <f t="shared" si="3"/>
        <v>0</v>
      </c>
      <c r="P47" s="428">
        <f t="shared" si="3"/>
        <v>0</v>
      </c>
      <c r="Q47" s="428">
        <f t="shared" si="3"/>
        <v>0</v>
      </c>
      <c r="R47" s="428">
        <f t="shared" si="3"/>
        <v>0</v>
      </c>
      <c r="S47" s="428">
        <f t="shared" si="3"/>
        <v>7247.8289020769416</v>
      </c>
      <c r="T47" s="428">
        <f t="shared" si="3"/>
        <v>43976.857939822956</v>
      </c>
      <c r="U47" s="428">
        <f t="shared" si="3"/>
        <v>522785.10926647217</v>
      </c>
      <c r="V47" s="428">
        <f t="shared" si="3"/>
        <v>13521.441415129835</v>
      </c>
      <c r="W47" s="428">
        <f t="shared" si="3"/>
        <v>85058.071031889631</v>
      </c>
      <c r="X47" s="428">
        <f t="shared" si="3"/>
        <v>0</v>
      </c>
      <c r="Y47" s="428">
        <f t="shared" si="3"/>
        <v>0</v>
      </c>
      <c r="Z47" s="428">
        <f t="shared" si="3"/>
        <v>0</v>
      </c>
      <c r="AA47" s="428">
        <f t="shared" si="3"/>
        <v>0</v>
      </c>
      <c r="AB47" s="428">
        <f t="shared" si="3"/>
        <v>2031173.356017018</v>
      </c>
      <c r="AC47" s="428">
        <f t="shared" si="3"/>
        <v>0</v>
      </c>
      <c r="AD47" s="428">
        <f t="shared" si="3"/>
        <v>0</v>
      </c>
      <c r="AE47" s="428">
        <f t="shared" si="3"/>
        <v>0</v>
      </c>
      <c r="AF47" s="428">
        <f t="shared" si="3"/>
        <v>0</v>
      </c>
      <c r="AG47" s="428">
        <f t="shared" si="3"/>
        <v>-3606.26745202026</v>
      </c>
      <c r="AH47" s="428">
        <f t="shared" si="3"/>
        <v>0</v>
      </c>
      <c r="AI47" s="428">
        <f t="shared" si="3"/>
        <v>0</v>
      </c>
      <c r="AJ47" s="428">
        <f t="shared" si="3"/>
        <v>0</v>
      </c>
      <c r="AK47" s="428">
        <f t="shared" si="3"/>
        <v>0</v>
      </c>
      <c r="AL47" s="428">
        <f t="shared" si="3"/>
        <v>0</v>
      </c>
      <c r="AM47" s="428">
        <f t="shared" si="3"/>
        <v>0</v>
      </c>
      <c r="AN47" s="428">
        <f t="shared" si="3"/>
        <v>0</v>
      </c>
      <c r="AO47" s="428">
        <f t="shared" si="3"/>
        <v>-19304.279211800564</v>
      </c>
      <c r="AP47" s="428">
        <f t="shared" si="3"/>
        <v>0</v>
      </c>
      <c r="DF47" s="160"/>
      <c r="DG47" s="160"/>
    </row>
    <row r="48" spans="2:111" s="131" customFormat="1" x14ac:dyDescent="0.25">
      <c r="D48" s="132"/>
      <c r="E48" s="147"/>
      <c r="F48" s="176" t="s">
        <v>384</v>
      </c>
      <c r="G48" s="139" t="s">
        <v>124</v>
      </c>
      <c r="H48" s="435">
        <f t="shared" si="0"/>
        <v>44423199.390198551</v>
      </c>
      <c r="I48" s="142"/>
      <c r="J48" s="428">
        <f t="shared" ref="J48:AP48" si="4">J32 * J23 * days_in_year / hundred</f>
        <v>33888435.940444678</v>
      </c>
      <c r="K48" s="428">
        <f t="shared" si="4"/>
        <v>3226870.9622206925</v>
      </c>
      <c r="L48" s="428">
        <f t="shared" si="4"/>
        <v>0</v>
      </c>
      <c r="M48" s="428">
        <f t="shared" si="4"/>
        <v>3756673.0028016283</v>
      </c>
      <c r="N48" s="428">
        <f t="shared" si="4"/>
        <v>594260.65700359771</v>
      </c>
      <c r="O48" s="428">
        <f t="shared" si="4"/>
        <v>0</v>
      </c>
      <c r="P48" s="428">
        <f t="shared" si="4"/>
        <v>151281.74040175768</v>
      </c>
      <c r="Q48" s="428">
        <f t="shared" si="4"/>
        <v>0</v>
      </c>
      <c r="R48" s="428">
        <f t="shared" si="4"/>
        <v>4215.2322155618103</v>
      </c>
      <c r="S48" s="428">
        <f t="shared" si="4"/>
        <v>124601.73904134733</v>
      </c>
      <c r="T48" s="428">
        <f t="shared" si="4"/>
        <v>73055.056102550632</v>
      </c>
      <c r="U48" s="428">
        <f t="shared" si="4"/>
        <v>1321115.0783113143</v>
      </c>
      <c r="V48" s="428">
        <f t="shared" si="4"/>
        <v>32184.234471199255</v>
      </c>
      <c r="W48" s="428">
        <f t="shared" si="4"/>
        <v>1002384.4035290548</v>
      </c>
      <c r="X48" s="428">
        <f t="shared" si="4"/>
        <v>0</v>
      </c>
      <c r="Y48" s="428">
        <f t="shared" si="4"/>
        <v>0</v>
      </c>
      <c r="Z48" s="428">
        <f t="shared" si="4"/>
        <v>0</v>
      </c>
      <c r="AA48" s="428">
        <f t="shared" si="4"/>
        <v>0</v>
      </c>
      <c r="AB48" s="428">
        <f t="shared" si="4"/>
        <v>0</v>
      </c>
      <c r="AC48" s="428">
        <f t="shared" si="4"/>
        <v>0</v>
      </c>
      <c r="AD48" s="428">
        <f t="shared" si="4"/>
        <v>0</v>
      </c>
      <c r="AE48" s="428">
        <f t="shared" si="4"/>
        <v>0</v>
      </c>
      <c r="AF48" s="428">
        <f t="shared" si="4"/>
        <v>0</v>
      </c>
      <c r="AG48" s="428">
        <f t="shared" si="4"/>
        <v>0</v>
      </c>
      <c r="AH48" s="428">
        <f t="shared" si="4"/>
        <v>0</v>
      </c>
      <c r="AI48" s="428">
        <f t="shared" si="4"/>
        <v>0</v>
      </c>
      <c r="AJ48" s="428">
        <f t="shared" si="4"/>
        <v>0</v>
      </c>
      <c r="AK48" s="428">
        <f t="shared" si="4"/>
        <v>0</v>
      </c>
      <c r="AL48" s="428">
        <f t="shared" si="4"/>
        <v>0</v>
      </c>
      <c r="AM48" s="428">
        <f t="shared" si="4"/>
        <v>146214.36322536145</v>
      </c>
      <c r="AN48" s="428">
        <f t="shared" si="4"/>
        <v>0</v>
      </c>
      <c r="AO48" s="428">
        <f t="shared" si="4"/>
        <v>101906.98042979739</v>
      </c>
      <c r="AP48" s="428">
        <f t="shared" si="4"/>
        <v>0</v>
      </c>
      <c r="DF48" s="160"/>
      <c r="DG48" s="160"/>
    </row>
    <row r="49" spans="1:111" s="131" customFormat="1" x14ac:dyDescent="0.25">
      <c r="D49" s="132"/>
      <c r="E49" s="147"/>
      <c r="F49" s="66" t="s">
        <v>403</v>
      </c>
      <c r="G49" s="139" t="s">
        <v>124</v>
      </c>
      <c r="H49" s="435">
        <f t="shared" si="0"/>
        <v>70661383.008010685</v>
      </c>
      <c r="I49" s="142"/>
      <c r="J49" s="428">
        <f t="shared" ref="J49:AP49" si="5">J33 * J24 * days_in_year / hundred</f>
        <v>0</v>
      </c>
      <c r="K49" s="428">
        <f t="shared" si="5"/>
        <v>0</v>
      </c>
      <c r="L49" s="428">
        <f t="shared" si="5"/>
        <v>0</v>
      </c>
      <c r="M49" s="428">
        <f t="shared" si="5"/>
        <v>0</v>
      </c>
      <c r="N49" s="428">
        <f t="shared" si="5"/>
        <v>0</v>
      </c>
      <c r="O49" s="428">
        <f t="shared" si="5"/>
        <v>0</v>
      </c>
      <c r="P49" s="428">
        <f t="shared" si="5"/>
        <v>0</v>
      </c>
      <c r="Q49" s="428">
        <f t="shared" si="5"/>
        <v>0</v>
      </c>
      <c r="R49" s="428">
        <f t="shared" si="5"/>
        <v>0</v>
      </c>
      <c r="S49" s="428">
        <f t="shared" si="5"/>
        <v>0</v>
      </c>
      <c r="T49" s="428">
        <f t="shared" si="5"/>
        <v>0</v>
      </c>
      <c r="U49" s="428">
        <f t="shared" si="5"/>
        <v>28943764.185850248</v>
      </c>
      <c r="V49" s="428">
        <f t="shared" si="5"/>
        <v>2421127.6358841937</v>
      </c>
      <c r="W49" s="428">
        <f t="shared" si="5"/>
        <v>39296491.186276242</v>
      </c>
      <c r="X49" s="428">
        <f t="shared" si="5"/>
        <v>0</v>
      </c>
      <c r="Y49" s="428">
        <f t="shared" si="5"/>
        <v>0</v>
      </c>
      <c r="Z49" s="428">
        <f t="shared" si="5"/>
        <v>0</v>
      </c>
      <c r="AA49" s="428">
        <f t="shared" si="5"/>
        <v>0</v>
      </c>
      <c r="AB49" s="428">
        <f t="shared" si="5"/>
        <v>0</v>
      </c>
      <c r="AC49" s="428">
        <f t="shared" si="5"/>
        <v>0</v>
      </c>
      <c r="AD49" s="428">
        <f t="shared" si="5"/>
        <v>0</v>
      </c>
      <c r="AE49" s="428">
        <f t="shared" si="5"/>
        <v>0</v>
      </c>
      <c r="AF49" s="428">
        <f t="shared" si="5"/>
        <v>0</v>
      </c>
      <c r="AG49" s="428">
        <f t="shared" si="5"/>
        <v>0</v>
      </c>
      <c r="AH49" s="428">
        <f t="shared" si="5"/>
        <v>0</v>
      </c>
      <c r="AI49" s="428">
        <f t="shared" si="5"/>
        <v>0</v>
      </c>
      <c r="AJ49" s="428">
        <f t="shared" si="5"/>
        <v>0</v>
      </c>
      <c r="AK49" s="428">
        <f t="shared" si="5"/>
        <v>0</v>
      </c>
      <c r="AL49" s="428">
        <f t="shared" si="5"/>
        <v>0</v>
      </c>
      <c r="AM49" s="428">
        <f t="shared" si="5"/>
        <v>0</v>
      </c>
      <c r="AN49" s="428">
        <f t="shared" si="5"/>
        <v>0</v>
      </c>
      <c r="AO49" s="428">
        <f t="shared" si="5"/>
        <v>0</v>
      </c>
      <c r="AP49" s="428">
        <f t="shared" si="5"/>
        <v>0</v>
      </c>
      <c r="DF49" s="160"/>
      <c r="DG49" s="160"/>
    </row>
    <row r="50" spans="1:111" s="131" customFormat="1" x14ac:dyDescent="0.25">
      <c r="D50" s="132"/>
      <c r="E50" s="147"/>
      <c r="F50" s="66" t="s">
        <v>331</v>
      </c>
      <c r="G50" s="139" t="s">
        <v>124</v>
      </c>
      <c r="H50" s="435">
        <f t="shared" si="0"/>
        <v>1723162.9980608602</v>
      </c>
      <c r="I50" s="142"/>
      <c r="J50" s="428">
        <f t="shared" ref="J50:AP50" si="6">J34 * J25 * days_in_year / hundred</f>
        <v>0</v>
      </c>
      <c r="K50" s="428">
        <f t="shared" si="6"/>
        <v>0</v>
      </c>
      <c r="L50" s="428">
        <f t="shared" si="6"/>
        <v>0</v>
      </c>
      <c r="M50" s="428">
        <f t="shared" si="6"/>
        <v>0</v>
      </c>
      <c r="N50" s="428">
        <f t="shared" si="6"/>
        <v>0</v>
      </c>
      <c r="O50" s="428">
        <f t="shared" si="6"/>
        <v>0</v>
      </c>
      <c r="P50" s="428">
        <f t="shared" si="6"/>
        <v>0</v>
      </c>
      <c r="Q50" s="428">
        <f t="shared" si="6"/>
        <v>0</v>
      </c>
      <c r="R50" s="428">
        <f t="shared" si="6"/>
        <v>0</v>
      </c>
      <c r="S50" s="428">
        <f t="shared" si="6"/>
        <v>0</v>
      </c>
      <c r="T50" s="428">
        <f t="shared" si="6"/>
        <v>0</v>
      </c>
      <c r="U50" s="428">
        <f t="shared" si="6"/>
        <v>1006503.379928044</v>
      </c>
      <c r="V50" s="428">
        <f t="shared" si="6"/>
        <v>39987.923974009005</v>
      </c>
      <c r="W50" s="428">
        <f t="shared" si="6"/>
        <v>676671.69415880705</v>
      </c>
      <c r="X50" s="428">
        <f t="shared" si="6"/>
        <v>0</v>
      </c>
      <c r="Y50" s="428">
        <f t="shared" si="6"/>
        <v>0</v>
      </c>
      <c r="Z50" s="428">
        <f t="shared" si="6"/>
        <v>0</v>
      </c>
      <c r="AA50" s="428">
        <f t="shared" si="6"/>
        <v>0</v>
      </c>
      <c r="AB50" s="428">
        <f t="shared" si="6"/>
        <v>0</v>
      </c>
      <c r="AC50" s="428">
        <f t="shared" si="6"/>
        <v>0</v>
      </c>
      <c r="AD50" s="428">
        <f t="shared" si="6"/>
        <v>0</v>
      </c>
      <c r="AE50" s="428">
        <f t="shared" si="6"/>
        <v>0</v>
      </c>
      <c r="AF50" s="428">
        <f t="shared" si="6"/>
        <v>0</v>
      </c>
      <c r="AG50" s="428">
        <f t="shared" si="6"/>
        <v>0</v>
      </c>
      <c r="AH50" s="428">
        <f t="shared" si="6"/>
        <v>0</v>
      </c>
      <c r="AI50" s="428">
        <f t="shared" si="6"/>
        <v>0</v>
      </c>
      <c r="AJ50" s="428">
        <f t="shared" si="6"/>
        <v>0</v>
      </c>
      <c r="AK50" s="428">
        <f t="shared" si="6"/>
        <v>0</v>
      </c>
      <c r="AL50" s="428">
        <f t="shared" si="6"/>
        <v>0</v>
      </c>
      <c r="AM50" s="428">
        <f t="shared" si="6"/>
        <v>0</v>
      </c>
      <c r="AN50" s="428">
        <f t="shared" si="6"/>
        <v>0</v>
      </c>
      <c r="AO50" s="428">
        <f t="shared" si="6"/>
        <v>0</v>
      </c>
      <c r="AP50" s="428">
        <f t="shared" si="6"/>
        <v>0</v>
      </c>
      <c r="DF50" s="160"/>
      <c r="DG50" s="160"/>
    </row>
    <row r="51" spans="1:111" s="131" customFormat="1" x14ac:dyDescent="0.25">
      <c r="D51" s="132"/>
      <c r="E51" s="147"/>
      <c r="F51" s="177" t="s">
        <v>94</v>
      </c>
      <c r="G51" s="38" t="s">
        <v>124</v>
      </c>
      <c r="H51" s="436">
        <f t="shared" si="0"/>
        <v>1437987.1489849</v>
      </c>
      <c r="I51" s="20"/>
      <c r="J51" s="432">
        <f t="shared" ref="J51:AP51" si="7">J35 * thousand * J26 / hundred</f>
        <v>0</v>
      </c>
      <c r="K51" s="432">
        <f t="shared" si="7"/>
        <v>0</v>
      </c>
      <c r="L51" s="432">
        <f t="shared" si="7"/>
        <v>0</v>
      </c>
      <c r="M51" s="432">
        <f t="shared" si="7"/>
        <v>0</v>
      </c>
      <c r="N51" s="432">
        <f t="shared" si="7"/>
        <v>0</v>
      </c>
      <c r="O51" s="432">
        <f t="shared" si="7"/>
        <v>0</v>
      </c>
      <c r="P51" s="432">
        <f t="shared" si="7"/>
        <v>0</v>
      </c>
      <c r="Q51" s="432">
        <f t="shared" si="7"/>
        <v>0</v>
      </c>
      <c r="R51" s="432">
        <f t="shared" si="7"/>
        <v>0</v>
      </c>
      <c r="S51" s="432">
        <f t="shared" si="7"/>
        <v>0</v>
      </c>
      <c r="T51" s="432">
        <f t="shared" si="7"/>
        <v>0</v>
      </c>
      <c r="U51" s="432">
        <f t="shared" si="7"/>
        <v>1019308.2989397276</v>
      </c>
      <c r="V51" s="432">
        <f t="shared" si="7"/>
        <v>38204.170653200621</v>
      </c>
      <c r="W51" s="432">
        <f t="shared" si="7"/>
        <v>306116.68124250171</v>
      </c>
      <c r="X51" s="432">
        <f t="shared" si="7"/>
        <v>0</v>
      </c>
      <c r="Y51" s="432">
        <f t="shared" si="7"/>
        <v>0</v>
      </c>
      <c r="Z51" s="432">
        <f t="shared" si="7"/>
        <v>0</v>
      </c>
      <c r="AA51" s="432">
        <f t="shared" si="7"/>
        <v>0</v>
      </c>
      <c r="AB51" s="432">
        <f t="shared" si="7"/>
        <v>0</v>
      </c>
      <c r="AC51" s="432">
        <f t="shared" si="7"/>
        <v>0</v>
      </c>
      <c r="AD51" s="432">
        <f t="shared" si="7"/>
        <v>0</v>
      </c>
      <c r="AE51" s="432">
        <f t="shared" si="7"/>
        <v>9306.7978043173352</v>
      </c>
      <c r="AF51" s="432">
        <f t="shared" si="7"/>
        <v>0</v>
      </c>
      <c r="AG51" s="432">
        <f t="shared" si="7"/>
        <v>678.29570649782409</v>
      </c>
      <c r="AH51" s="432">
        <f t="shared" si="7"/>
        <v>0</v>
      </c>
      <c r="AI51" s="432">
        <f t="shared" si="7"/>
        <v>0</v>
      </c>
      <c r="AJ51" s="432">
        <f t="shared" si="7"/>
        <v>0</v>
      </c>
      <c r="AK51" s="432">
        <f t="shared" si="7"/>
        <v>0</v>
      </c>
      <c r="AL51" s="432">
        <f t="shared" si="7"/>
        <v>0</v>
      </c>
      <c r="AM51" s="432">
        <f t="shared" si="7"/>
        <v>31699.324884024569</v>
      </c>
      <c r="AN51" s="432">
        <f t="shared" si="7"/>
        <v>0</v>
      </c>
      <c r="AO51" s="432">
        <f t="shared" si="7"/>
        <v>32673.579754630391</v>
      </c>
      <c r="AP51" s="432">
        <f t="shared" si="7"/>
        <v>0</v>
      </c>
      <c r="DF51" s="160"/>
      <c r="DG51" s="160"/>
    </row>
    <row r="52" spans="1:111" s="131" customFormat="1" x14ac:dyDescent="0.25">
      <c r="E52" s="152"/>
      <c r="F52" s="217" t="s">
        <v>128</v>
      </c>
      <c r="G52" s="209" t="s">
        <v>124</v>
      </c>
      <c r="H52" s="451">
        <f>SUM(J52:AP52)</f>
        <v>424422031.31836885</v>
      </c>
      <c r="I52" s="129"/>
      <c r="J52" s="434">
        <f t="shared" ref="J52:AP52" si="8">SUM(J45:J51)</f>
        <v>187503969.46766427</v>
      </c>
      <c r="K52" s="434">
        <f t="shared" si="8"/>
        <v>21122295.827911485</v>
      </c>
      <c r="L52" s="434">
        <f t="shared" si="8"/>
        <v>398482.33136518043</v>
      </c>
      <c r="M52" s="434">
        <f t="shared" si="8"/>
        <v>42745134.948139422</v>
      </c>
      <c r="N52" s="434">
        <f t="shared" si="8"/>
        <v>11361704.816765444</v>
      </c>
      <c r="O52" s="434">
        <f t="shared" si="8"/>
        <v>138871.89531138982</v>
      </c>
      <c r="P52" s="434">
        <f t="shared" si="8"/>
        <v>1351323.7187978874</v>
      </c>
      <c r="Q52" s="434">
        <f t="shared" si="8"/>
        <v>0</v>
      </c>
      <c r="R52" s="434">
        <f t="shared" si="8"/>
        <v>5696.9809907181098</v>
      </c>
      <c r="S52" s="434">
        <f t="shared" si="8"/>
        <v>1004929.7943182054</v>
      </c>
      <c r="T52" s="434">
        <f t="shared" si="8"/>
        <v>4488410.6441136394</v>
      </c>
      <c r="U52" s="434">
        <f t="shared" si="8"/>
        <v>88702976.724753574</v>
      </c>
      <c r="V52" s="434">
        <f t="shared" si="8"/>
        <v>4880661.4498513918</v>
      </c>
      <c r="W52" s="434">
        <f t="shared" si="8"/>
        <v>59973535.888924062</v>
      </c>
      <c r="X52" s="434">
        <f t="shared" si="8"/>
        <v>555613.12143714121</v>
      </c>
      <c r="Y52" s="434">
        <f t="shared" si="8"/>
        <v>363172.42654496251</v>
      </c>
      <c r="Z52" s="434">
        <f t="shared" si="8"/>
        <v>23863.200133518203</v>
      </c>
      <c r="AA52" s="434">
        <f t="shared" si="8"/>
        <v>3403.6475683371223</v>
      </c>
      <c r="AB52" s="434">
        <f t="shared" si="8"/>
        <v>5135967.3385377545</v>
      </c>
      <c r="AC52" s="434">
        <f t="shared" si="8"/>
        <v>-35562.397862864498</v>
      </c>
      <c r="AD52" s="434">
        <f t="shared" si="8"/>
        <v>-1827.1304025715872</v>
      </c>
      <c r="AE52" s="434">
        <f t="shared" si="8"/>
        <v>-276231.85899605043</v>
      </c>
      <c r="AF52" s="434">
        <f t="shared" si="8"/>
        <v>0</v>
      </c>
      <c r="AG52" s="434">
        <f t="shared" si="8"/>
        <v>-239864.09953487027</v>
      </c>
      <c r="AH52" s="434">
        <f t="shared" si="8"/>
        <v>0</v>
      </c>
      <c r="AI52" s="434">
        <f t="shared" si="8"/>
        <v>0</v>
      </c>
      <c r="AJ52" s="434">
        <f t="shared" si="8"/>
        <v>0</v>
      </c>
      <c r="AK52" s="434">
        <f t="shared" si="8"/>
        <v>0</v>
      </c>
      <c r="AL52" s="434">
        <f t="shared" si="8"/>
        <v>0</v>
      </c>
      <c r="AM52" s="434">
        <f t="shared" si="8"/>
        <v>-1977604.3697105155</v>
      </c>
      <c r="AN52" s="434">
        <f t="shared" si="8"/>
        <v>0</v>
      </c>
      <c r="AO52" s="434">
        <f t="shared" si="8"/>
        <v>-2806893.048252698</v>
      </c>
      <c r="AP52" s="434">
        <f t="shared" si="8"/>
        <v>0</v>
      </c>
      <c r="AQ52" s="63"/>
      <c r="AR52" s="63"/>
      <c r="AS52" s="63"/>
      <c r="AT52" s="63"/>
      <c r="AU52" s="63"/>
      <c r="AV52" s="63"/>
      <c r="AW52" s="63"/>
      <c r="AX52" s="63"/>
      <c r="AY52" s="63"/>
      <c r="AZ52" s="63"/>
      <c r="BA52" s="63"/>
      <c r="BB52" s="63"/>
      <c r="BC52" s="63"/>
      <c r="BD52" s="63"/>
      <c r="BE52" s="63"/>
      <c r="BF52" s="63"/>
      <c r="BG52" s="63"/>
      <c r="BH52" s="63"/>
      <c r="BI52" s="63"/>
      <c r="BJ52" s="63"/>
      <c r="BK52" s="63"/>
      <c r="BL52" s="63"/>
      <c r="BM52" s="63"/>
      <c r="BN52" s="63"/>
      <c r="BO52" s="63"/>
      <c r="BP52" s="63"/>
      <c r="BQ52" s="63"/>
      <c r="BR52" s="63"/>
      <c r="BS52" s="63"/>
      <c r="BT52" s="63"/>
      <c r="BU52" s="63"/>
      <c r="BV52" s="63"/>
      <c r="BW52" s="63"/>
      <c r="BX52" s="63"/>
      <c r="BY52" s="63"/>
      <c r="BZ52" s="63"/>
      <c r="CA52" s="63"/>
      <c r="CB52" s="63"/>
      <c r="CC52" s="63"/>
      <c r="CD52" s="63"/>
      <c r="CE52" s="63"/>
      <c r="CF52" s="63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</row>
    <row r="53" spans="1:111" s="131" customFormat="1" x14ac:dyDescent="0.25">
      <c r="E53" s="144"/>
      <c r="F53" s="152"/>
      <c r="H53" s="416"/>
    </row>
    <row r="54" spans="1:111" x14ac:dyDescent="0.25">
      <c r="A54" s="88"/>
      <c r="D54" s="3"/>
      <c r="E54" s="176" t="s">
        <v>317</v>
      </c>
      <c r="G54" s="167" t="s">
        <v>124</v>
      </c>
      <c r="H54" s="428">
        <f>H37 - H52</f>
        <v>90035093.565276206</v>
      </c>
      <c r="I54" s="63" t="s">
        <v>525</v>
      </c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  <c r="AZ54" s="63"/>
      <c r="BA54" s="63"/>
      <c r="BB54" s="63"/>
      <c r="BC54" s="63"/>
      <c r="BD54" s="63"/>
      <c r="BE54" s="63"/>
      <c r="BF54" s="63"/>
      <c r="BG54" s="63"/>
      <c r="BH54" s="63"/>
      <c r="BI54" s="63"/>
      <c r="BJ54" s="63"/>
      <c r="BK54" s="63"/>
      <c r="BL54" s="63"/>
      <c r="BM54" s="63"/>
      <c r="BN54" s="63"/>
      <c r="BO54" s="63"/>
      <c r="BP54" s="63"/>
      <c r="BQ54" s="63"/>
      <c r="BR54" s="63"/>
      <c r="BS54" s="63"/>
      <c r="BT54" s="63"/>
      <c r="BU54" s="63"/>
      <c r="BV54" s="63"/>
      <c r="BW54" s="63"/>
      <c r="BX54" s="63"/>
      <c r="BY54" s="63"/>
      <c r="BZ54" s="63"/>
      <c r="CA54" s="63"/>
      <c r="CB54" s="63"/>
      <c r="CC54" s="63"/>
      <c r="CD54" s="63"/>
      <c r="CE54" s="63"/>
      <c r="CF54" s="63"/>
      <c r="CG54" s="63"/>
      <c r="CH54" s="63"/>
      <c r="CI54" s="63"/>
      <c r="CJ54" s="63"/>
      <c r="CK54" s="63"/>
      <c r="CL54" s="63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 t="s">
        <v>998</v>
      </c>
    </row>
    <row r="55" spans="1:111" x14ac:dyDescent="0.25">
      <c r="C55" s="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  <c r="AZ55" s="63"/>
      <c r="BA55" s="63"/>
      <c r="BB55" s="63"/>
      <c r="BC55" s="63"/>
      <c r="BD55" s="63"/>
      <c r="BE55" s="63"/>
      <c r="BF55" s="63"/>
      <c r="BG55" s="63"/>
      <c r="BH55" s="63"/>
      <c r="BI55" s="63"/>
      <c r="BJ55" s="63"/>
      <c r="BK55" s="63"/>
      <c r="BL55" s="63"/>
      <c r="BM55" s="63"/>
      <c r="BN55" s="63"/>
      <c r="BO55" s="63"/>
      <c r="BP55" s="63"/>
      <c r="BQ55" s="63"/>
      <c r="BR55" s="63"/>
      <c r="BS55" s="63"/>
      <c r="BT55" s="63"/>
      <c r="BU55" s="63"/>
      <c r="BV55" s="63"/>
      <c r="BW55" s="63"/>
      <c r="BX55" s="63"/>
      <c r="BY55" s="63"/>
      <c r="BZ55" s="63"/>
      <c r="CA55" s="63"/>
      <c r="CB55" s="63"/>
      <c r="CC55" s="63"/>
      <c r="CD55" s="63"/>
      <c r="CE55" s="63"/>
      <c r="CF55" s="63"/>
      <c r="CG55" s="63"/>
      <c r="CH55" s="63"/>
      <c r="CI55" s="63"/>
      <c r="CJ55" s="63"/>
      <c r="CK55" s="63"/>
      <c r="CL55" s="63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</row>
    <row r="56" spans="1:111" s="88" customFormat="1" x14ac:dyDescent="0.25">
      <c r="B56" s="171" t="s">
        <v>404</v>
      </c>
      <c r="C56" s="171"/>
      <c r="D56" s="171"/>
      <c r="E56" s="171"/>
      <c r="F56" s="171"/>
      <c r="G56" s="171"/>
      <c r="H56" s="171"/>
      <c r="I56" s="171"/>
      <c r="J56" s="171"/>
      <c r="K56" s="171"/>
      <c r="L56" s="171"/>
      <c r="M56" s="171"/>
      <c r="N56" s="171"/>
      <c r="O56" s="171"/>
      <c r="P56" s="171"/>
      <c r="Q56" s="171"/>
      <c r="R56" s="171"/>
      <c r="S56" s="171"/>
      <c r="T56" s="171"/>
      <c r="U56" s="171"/>
      <c r="V56" s="171"/>
      <c r="W56" s="171"/>
      <c r="X56" s="171"/>
      <c r="Y56" s="171"/>
      <c r="Z56" s="171"/>
      <c r="AA56" s="171"/>
      <c r="AB56" s="171"/>
      <c r="AC56" s="171"/>
      <c r="AD56" s="171"/>
      <c r="AE56" s="171"/>
      <c r="AF56" s="171"/>
      <c r="AG56" s="171"/>
      <c r="AH56" s="171"/>
      <c r="AI56" s="171"/>
      <c r="AJ56" s="171"/>
      <c r="AK56" s="171"/>
      <c r="AL56" s="171"/>
      <c r="AM56" s="171"/>
      <c r="AN56" s="171"/>
      <c r="AO56" s="171"/>
      <c r="AP56" s="171"/>
      <c r="AQ56" s="171"/>
      <c r="AR56" s="171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135"/>
      <c r="DG56" s="135"/>
    </row>
    <row r="57" spans="1:111" s="160" customFormat="1" x14ac:dyDescent="0.25">
      <c r="C57" s="152"/>
      <c r="D57" s="175"/>
      <c r="E57" s="175"/>
    </row>
    <row r="58" spans="1:111" x14ac:dyDescent="0.25">
      <c r="C58" s="152" t="s">
        <v>592</v>
      </c>
      <c r="DF58" s="160"/>
      <c r="DG58" s="160"/>
    </row>
    <row r="59" spans="1:111" x14ac:dyDescent="0.25">
      <c r="C59" s="152" t="s">
        <v>593</v>
      </c>
      <c r="DF59" s="160"/>
      <c r="DG59" s="160"/>
    </row>
    <row r="60" spans="1:111" s="160" customFormat="1" x14ac:dyDescent="0.25">
      <c r="C60" s="152" t="s">
        <v>594</v>
      </c>
      <c r="D60" s="175"/>
      <c r="E60" s="175"/>
    </row>
    <row r="61" spans="1:111" s="160" customFormat="1" x14ac:dyDescent="0.25">
      <c r="C61" s="152"/>
      <c r="D61" s="175"/>
      <c r="E61" s="175"/>
    </row>
    <row r="62" spans="1:111" s="338" customFormat="1" x14ac:dyDescent="0.25">
      <c r="C62" s="22" t="str">
        <f ca="1">INDEX('Version control'!$H$34:$H$59,MATCH($A$1,'Version control'!$F$34:$F$59,0),1)&amp;"-C: Calculation of unconstrained adder solution"</f>
        <v>Section 518-C: Calculation of unconstrained adder solution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  <c r="CR62" s="22"/>
      <c r="CS62" s="22"/>
      <c r="CT62" s="22"/>
      <c r="CU62" s="22"/>
      <c r="CV62" s="22"/>
      <c r="CW62" s="22"/>
      <c r="CX62" s="22"/>
      <c r="CY62" s="22"/>
      <c r="CZ62" s="22"/>
      <c r="DA62" s="22"/>
      <c r="DB62" s="22"/>
      <c r="DC62" s="22"/>
      <c r="DD62" s="22"/>
      <c r="DE62" s="22"/>
      <c r="DF62" s="22"/>
      <c r="DG62" s="22"/>
    </row>
    <row r="63" spans="1:111" s="338" customFormat="1" x14ac:dyDescent="0.25">
      <c r="D63" s="161"/>
      <c r="E63" s="175"/>
    </row>
    <row r="64" spans="1:111" x14ac:dyDescent="0.25">
      <c r="E64" s="36" t="s">
        <v>318</v>
      </c>
      <c r="F64" s="160"/>
      <c r="H64" s="63"/>
      <c r="I64" s="63"/>
      <c r="DF64" s="160"/>
      <c r="DG64" s="160"/>
    </row>
    <row r="65" spans="3:111" x14ac:dyDescent="0.25">
      <c r="E65" s="65" t="s">
        <v>595</v>
      </c>
      <c r="F65" s="160"/>
      <c r="H65" s="63"/>
      <c r="I65" s="63"/>
      <c r="DF65" s="160"/>
      <c r="DG65" s="160"/>
    </row>
    <row r="66" spans="3:111" s="160" customFormat="1" x14ac:dyDescent="0.25">
      <c r="E66" s="152" t="s">
        <v>596</v>
      </c>
      <c r="H66" s="63"/>
      <c r="I66" s="63"/>
    </row>
    <row r="67" spans="3:111" s="160" customFormat="1" x14ac:dyDescent="0.25">
      <c r="E67" s="152" t="s">
        <v>597</v>
      </c>
      <c r="H67" s="63"/>
      <c r="I67" s="63"/>
    </row>
    <row r="68" spans="3:111" x14ac:dyDescent="0.25">
      <c r="C68" s="3"/>
      <c r="E68" s="46"/>
      <c r="F68" s="13" t="s">
        <v>414</v>
      </c>
      <c r="G68" s="13" t="s">
        <v>201</v>
      </c>
      <c r="H68" s="569"/>
      <c r="I68" s="569"/>
      <c r="J68" s="584">
        <f t="shared" ref="J68:AP68" si="9">-J20</f>
        <v>-1.5969040604098796</v>
      </c>
      <c r="K68" s="584">
        <f t="shared" si="9"/>
        <v>-2.0501753794634672</v>
      </c>
      <c r="L68" s="584">
        <f t="shared" si="9"/>
        <v>-0.19994305292917913</v>
      </c>
      <c r="M68" s="584">
        <f t="shared" si="9"/>
        <v>-1.4406710911410869</v>
      </c>
      <c r="N68" s="584">
        <f t="shared" si="9"/>
        <v>-2.2531084737912934</v>
      </c>
      <c r="O68" s="584">
        <f t="shared" si="9"/>
        <v>-0.32834165057051812</v>
      </c>
      <c r="P68" s="584">
        <f t="shared" si="9"/>
        <v>-1.1473972052693786</v>
      </c>
      <c r="Q68" s="584">
        <f t="shared" si="9"/>
        <v>-0.9391372710459962</v>
      </c>
      <c r="R68" s="584">
        <f t="shared" si="9"/>
        <v>-0.52492342576582107</v>
      </c>
      <c r="S68" s="584">
        <f t="shared" si="9"/>
        <v>-8.3638006882343365</v>
      </c>
      <c r="T68" s="584">
        <f t="shared" si="9"/>
        <v>-8.8282466365441543</v>
      </c>
      <c r="U68" s="584">
        <f t="shared" si="9"/>
        <v>-5.9331471242397003</v>
      </c>
      <c r="V68" s="584">
        <f t="shared" si="9"/>
        <v>-4.5269278212105721</v>
      </c>
      <c r="W68" s="584">
        <f t="shared" si="9"/>
        <v>-3.2073031362533886</v>
      </c>
      <c r="X68" s="584">
        <f t="shared" si="9"/>
        <v>-2.264792088932257</v>
      </c>
      <c r="Y68" s="584">
        <f t="shared" si="9"/>
        <v>-2.3198933711558842</v>
      </c>
      <c r="Z68" s="584">
        <f t="shared" si="9"/>
        <v>-3.0645944998900445</v>
      </c>
      <c r="AA68" s="584">
        <f t="shared" si="9"/>
        <v>-2.2743892687169116</v>
      </c>
      <c r="AB68" s="584">
        <f t="shared" si="9"/>
        <v>-13.387627198479423</v>
      </c>
      <c r="AC68" s="584">
        <f t="shared" si="9"/>
        <v>0.79377796595710459</v>
      </c>
      <c r="AD68" s="584">
        <f t="shared" si="9"/>
        <v>0.69465934114707428</v>
      </c>
      <c r="AE68" s="584">
        <f t="shared" si="9"/>
        <v>0.79377796595710459</v>
      </c>
      <c r="AF68" s="584">
        <f t="shared" si="9"/>
        <v>0.79377796595710459</v>
      </c>
      <c r="AG68" s="584">
        <f t="shared" si="9"/>
        <v>5.5360453006887784</v>
      </c>
      <c r="AH68" s="584">
        <f t="shared" si="9"/>
        <v>5.5360453006887784</v>
      </c>
      <c r="AI68" s="584">
        <f t="shared" si="9"/>
        <v>0.69465934114707428</v>
      </c>
      <c r="AJ68" s="584">
        <f t="shared" si="9"/>
        <v>0.69465934114707428</v>
      </c>
      <c r="AK68" s="584">
        <f t="shared" si="9"/>
        <v>4.9939526180609626</v>
      </c>
      <c r="AL68" s="584">
        <f t="shared" si="9"/>
        <v>4.9939526180609626</v>
      </c>
      <c r="AM68" s="584">
        <f t="shared" si="9"/>
        <v>0.45988671665948044</v>
      </c>
      <c r="AN68" s="584">
        <f t="shared" si="9"/>
        <v>0.45988671665948044</v>
      </c>
      <c r="AO68" s="584">
        <f t="shared" si="9"/>
        <v>3.8382142689374743</v>
      </c>
      <c r="AP68" s="584">
        <f t="shared" si="9"/>
        <v>3.8382142689374743</v>
      </c>
      <c r="AQ68" s="571"/>
      <c r="AR68" s="571"/>
      <c r="AS68" s="571"/>
      <c r="AT68" s="571"/>
      <c r="AU68" s="571"/>
      <c r="AV68" s="571"/>
      <c r="AW68" s="571"/>
      <c r="AX68" s="571"/>
      <c r="AY68" s="571"/>
      <c r="AZ68" s="571"/>
      <c r="BA68" s="571"/>
      <c r="BB68" s="571"/>
      <c r="BC68" s="571"/>
      <c r="BD68" s="571"/>
      <c r="BE68" s="571"/>
      <c r="BF68" s="571"/>
      <c r="BG68" s="571"/>
      <c r="BH68" s="571"/>
      <c r="BI68" s="571"/>
      <c r="BJ68" s="571"/>
      <c r="BK68" s="571"/>
      <c r="BL68" s="571"/>
      <c r="BM68" s="571"/>
      <c r="BN68" s="571"/>
      <c r="BO68" s="571"/>
      <c r="BP68" s="571"/>
      <c r="BQ68" s="571"/>
      <c r="BR68" s="571"/>
      <c r="BS68" s="571"/>
      <c r="BT68" s="571"/>
      <c r="BU68" s="571"/>
      <c r="BV68" s="571"/>
      <c r="BW68" s="571"/>
      <c r="BX68" s="571"/>
      <c r="BY68" s="571"/>
      <c r="BZ68" s="571"/>
      <c r="CA68" s="571"/>
      <c r="CB68" s="571"/>
      <c r="CC68" s="571"/>
      <c r="CD68" s="571"/>
      <c r="CE68" s="571"/>
      <c r="CF68" s="571"/>
      <c r="CG68" s="571"/>
      <c r="CH68" s="571"/>
      <c r="CI68" s="571"/>
      <c r="CJ68" s="571"/>
      <c r="CK68" s="571"/>
      <c r="CL68" s="571"/>
      <c r="CM68" s="571"/>
      <c r="CN68" s="571"/>
      <c r="CO68" s="571"/>
      <c r="CP68" s="571"/>
      <c r="CQ68" s="571"/>
      <c r="CR68" s="571"/>
      <c r="CS68" s="571"/>
      <c r="CT68" s="571"/>
      <c r="CU68" s="571"/>
      <c r="CV68" s="571"/>
      <c r="CW68" s="571"/>
      <c r="CX68" s="571"/>
      <c r="CY68" s="571"/>
      <c r="CZ68" s="571"/>
      <c r="DA68" s="571"/>
      <c r="DB68" s="571"/>
      <c r="DC68" s="571"/>
      <c r="DD68" s="571"/>
      <c r="DE68" s="571"/>
      <c r="DF68" s="571"/>
      <c r="DG68" s="571"/>
    </row>
    <row r="69" spans="3:111" x14ac:dyDescent="0.25">
      <c r="C69" s="3"/>
      <c r="E69" s="46"/>
      <c r="F69" s="15" t="s">
        <v>415</v>
      </c>
      <c r="G69" s="15" t="s">
        <v>201</v>
      </c>
      <c r="H69" s="572"/>
      <c r="I69" s="572"/>
      <c r="J69" s="585">
        <f t="shared" ref="J69:AP69" si="10">-J21</f>
        <v>0</v>
      </c>
      <c r="K69" s="585">
        <f t="shared" si="10"/>
        <v>-0.10408156499649134</v>
      </c>
      <c r="L69" s="585">
        <f t="shared" si="10"/>
        <v>0</v>
      </c>
      <c r="M69" s="585">
        <f t="shared" si="10"/>
        <v>0</v>
      </c>
      <c r="N69" s="585">
        <f t="shared" si="10"/>
        <v>-0.2546649770101555</v>
      </c>
      <c r="O69" s="585">
        <f t="shared" si="10"/>
        <v>0</v>
      </c>
      <c r="P69" s="585">
        <f t="shared" si="10"/>
        <v>-9.3511500040173792E-2</v>
      </c>
      <c r="Q69" s="585">
        <f t="shared" si="10"/>
        <v>-7.2356015741901064E-2</v>
      </c>
      <c r="R69" s="585">
        <f t="shared" si="10"/>
        <v>-3.1535310566598682E-2</v>
      </c>
      <c r="S69" s="585">
        <f t="shared" si="10"/>
        <v>-0.86260843002178911</v>
      </c>
      <c r="T69" s="585">
        <f t="shared" si="10"/>
        <v>-0.91064877744342132</v>
      </c>
      <c r="U69" s="585">
        <f t="shared" si="10"/>
        <v>-0.52966468402295064</v>
      </c>
      <c r="V69" s="585">
        <f t="shared" si="10"/>
        <v>-0.26867722866611671</v>
      </c>
      <c r="W69" s="585">
        <f t="shared" si="10"/>
        <v>-0.16091867959478245</v>
      </c>
      <c r="X69" s="585">
        <f t="shared" si="10"/>
        <v>0</v>
      </c>
      <c r="Y69" s="585">
        <f t="shared" si="10"/>
        <v>0</v>
      </c>
      <c r="Z69" s="585">
        <f t="shared" si="10"/>
        <v>0</v>
      </c>
      <c r="AA69" s="585">
        <f t="shared" si="10"/>
        <v>0</v>
      </c>
      <c r="AB69" s="585">
        <f t="shared" si="10"/>
        <v>-2.2396229552242977</v>
      </c>
      <c r="AC69" s="585">
        <f t="shared" si="10"/>
        <v>0</v>
      </c>
      <c r="AD69" s="585">
        <f t="shared" si="10"/>
        <v>0</v>
      </c>
      <c r="AE69" s="585">
        <f t="shared" si="10"/>
        <v>0</v>
      </c>
      <c r="AF69" s="585">
        <f t="shared" si="10"/>
        <v>0</v>
      </c>
      <c r="AG69" s="585">
        <f t="shared" si="10"/>
        <v>0.57117143880771426</v>
      </c>
      <c r="AH69" s="585">
        <f t="shared" si="10"/>
        <v>0.57117143880771426</v>
      </c>
      <c r="AI69" s="585">
        <f t="shared" si="10"/>
        <v>0</v>
      </c>
      <c r="AJ69" s="585">
        <f t="shared" si="10"/>
        <v>0</v>
      </c>
      <c r="AK69" s="585">
        <f t="shared" si="10"/>
        <v>0.47519726588679745</v>
      </c>
      <c r="AL69" s="585">
        <f t="shared" si="10"/>
        <v>0.47519726588679745</v>
      </c>
      <c r="AM69" s="585">
        <f t="shared" si="10"/>
        <v>0</v>
      </c>
      <c r="AN69" s="585">
        <f t="shared" si="10"/>
        <v>0</v>
      </c>
      <c r="AO69" s="585">
        <f t="shared" si="10"/>
        <v>0.22667318511436871</v>
      </c>
      <c r="AP69" s="585">
        <f t="shared" si="10"/>
        <v>0.22667318511436871</v>
      </c>
      <c r="AQ69" s="571"/>
      <c r="AR69" s="571"/>
      <c r="AS69" s="571"/>
      <c r="AT69" s="571"/>
      <c r="AU69" s="571"/>
      <c r="AV69" s="571"/>
      <c r="AW69" s="571"/>
      <c r="AX69" s="571"/>
      <c r="AY69" s="571"/>
      <c r="AZ69" s="571"/>
      <c r="BA69" s="571"/>
      <c r="BB69" s="571"/>
      <c r="BC69" s="571"/>
      <c r="BD69" s="571"/>
      <c r="BE69" s="571"/>
      <c r="BF69" s="571"/>
      <c r="BG69" s="571"/>
      <c r="BH69" s="571"/>
      <c r="BI69" s="571"/>
      <c r="BJ69" s="571"/>
      <c r="BK69" s="571"/>
      <c r="BL69" s="571"/>
      <c r="BM69" s="571"/>
      <c r="BN69" s="571"/>
      <c r="BO69" s="571"/>
      <c r="BP69" s="571"/>
      <c r="BQ69" s="571"/>
      <c r="BR69" s="571"/>
      <c r="BS69" s="571"/>
      <c r="BT69" s="571"/>
      <c r="BU69" s="571"/>
      <c r="BV69" s="571"/>
      <c r="BW69" s="571"/>
      <c r="BX69" s="571"/>
      <c r="BY69" s="571"/>
      <c r="BZ69" s="571"/>
      <c r="CA69" s="571"/>
      <c r="CB69" s="571"/>
      <c r="CC69" s="571"/>
      <c r="CD69" s="571"/>
      <c r="CE69" s="571"/>
      <c r="CF69" s="571"/>
      <c r="CG69" s="571"/>
      <c r="CH69" s="571"/>
      <c r="CI69" s="571"/>
      <c r="CJ69" s="571"/>
      <c r="CK69" s="571"/>
      <c r="CL69" s="571"/>
      <c r="CM69" s="571"/>
      <c r="CN69" s="571"/>
      <c r="CO69" s="571"/>
      <c r="CP69" s="571"/>
      <c r="CQ69" s="571"/>
      <c r="CR69" s="571"/>
      <c r="CS69" s="571"/>
      <c r="CT69" s="571"/>
      <c r="CU69" s="571"/>
      <c r="CV69" s="571"/>
      <c r="CW69" s="571"/>
      <c r="CX69" s="571"/>
      <c r="CY69" s="571"/>
      <c r="CZ69" s="571"/>
      <c r="DA69" s="571"/>
      <c r="DB69" s="571"/>
      <c r="DC69" s="571"/>
      <c r="DD69" s="571"/>
      <c r="DE69" s="571"/>
      <c r="DF69" s="571"/>
      <c r="DG69" s="571"/>
    </row>
    <row r="70" spans="3:111" x14ac:dyDescent="0.25">
      <c r="C70" s="3"/>
      <c r="E70" s="46"/>
      <c r="F70" s="16" t="s">
        <v>416</v>
      </c>
      <c r="G70" s="16" t="s">
        <v>201</v>
      </c>
      <c r="H70" s="574"/>
      <c r="I70" s="574"/>
      <c r="J70" s="589">
        <f t="shared" ref="J70:AP70" si="11">-J22</f>
        <v>0</v>
      </c>
      <c r="K70" s="589">
        <f t="shared" si="11"/>
        <v>0</v>
      </c>
      <c r="L70" s="589">
        <f t="shared" si="11"/>
        <v>0</v>
      </c>
      <c r="M70" s="589">
        <f t="shared" si="11"/>
        <v>0</v>
      </c>
      <c r="N70" s="589">
        <f t="shared" si="11"/>
        <v>0</v>
      </c>
      <c r="O70" s="589">
        <f t="shared" si="11"/>
        <v>0</v>
      </c>
      <c r="P70" s="589">
        <f t="shared" si="11"/>
        <v>0</v>
      </c>
      <c r="Q70" s="589">
        <f t="shared" si="11"/>
        <v>0</v>
      </c>
      <c r="R70" s="589">
        <f t="shared" si="11"/>
        <v>0</v>
      </c>
      <c r="S70" s="589">
        <f t="shared" si="11"/>
        <v>-4.9133022238593935E-2</v>
      </c>
      <c r="T70" s="589">
        <f t="shared" si="11"/>
        <v>-5.18728960026444E-2</v>
      </c>
      <c r="U70" s="589">
        <f t="shared" si="11"/>
        <v>-2.8005246403861348E-2</v>
      </c>
      <c r="V70" s="589">
        <f t="shared" si="11"/>
        <v>-1.0089867723546669E-2</v>
      </c>
      <c r="W70" s="589">
        <f t="shared" si="11"/>
        <v>-4.8681886495548889E-3</v>
      </c>
      <c r="X70" s="589">
        <f t="shared" si="11"/>
        <v>0</v>
      </c>
      <c r="Y70" s="589">
        <f t="shared" si="11"/>
        <v>0</v>
      </c>
      <c r="Z70" s="589">
        <f t="shared" si="11"/>
        <v>0</v>
      </c>
      <c r="AA70" s="589">
        <f t="shared" si="11"/>
        <v>0</v>
      </c>
      <c r="AB70" s="589">
        <f t="shared" si="11"/>
        <v>-1.5019754471194631</v>
      </c>
      <c r="AC70" s="589">
        <f t="shared" si="11"/>
        <v>0</v>
      </c>
      <c r="AD70" s="589">
        <f t="shared" si="11"/>
        <v>0</v>
      </c>
      <c r="AE70" s="589">
        <f t="shared" si="11"/>
        <v>0</v>
      </c>
      <c r="AF70" s="589">
        <f t="shared" si="11"/>
        <v>0</v>
      </c>
      <c r="AG70" s="589">
        <f t="shared" si="11"/>
        <v>3.2538395709517873E-2</v>
      </c>
      <c r="AH70" s="589">
        <f t="shared" si="11"/>
        <v>3.2538395709517873E-2</v>
      </c>
      <c r="AI70" s="589">
        <f t="shared" si="11"/>
        <v>0</v>
      </c>
      <c r="AJ70" s="589">
        <f t="shared" si="11"/>
        <v>0</v>
      </c>
      <c r="AK70" s="589">
        <f t="shared" si="11"/>
        <v>2.6018043903937992E-2</v>
      </c>
      <c r="AL70" s="589">
        <f t="shared" si="11"/>
        <v>2.6018043903937992E-2</v>
      </c>
      <c r="AM70" s="589">
        <f t="shared" si="11"/>
        <v>0</v>
      </c>
      <c r="AN70" s="589">
        <f t="shared" si="11"/>
        <v>0</v>
      </c>
      <c r="AO70" s="589">
        <f t="shared" si="11"/>
        <v>8.4674213394694883E-3</v>
      </c>
      <c r="AP70" s="589">
        <f t="shared" si="11"/>
        <v>8.4674213394694883E-3</v>
      </c>
      <c r="AQ70" s="571"/>
      <c r="AR70" s="571"/>
      <c r="AS70" s="571"/>
      <c r="AT70" s="571"/>
      <c r="AU70" s="571"/>
      <c r="AV70" s="571"/>
      <c r="AW70" s="571"/>
      <c r="AX70" s="571"/>
      <c r="AY70" s="571"/>
      <c r="AZ70" s="571"/>
      <c r="BA70" s="571"/>
      <c r="BB70" s="571"/>
      <c r="BC70" s="571"/>
      <c r="BD70" s="571"/>
      <c r="BE70" s="571"/>
      <c r="BF70" s="571"/>
      <c r="BG70" s="571"/>
      <c r="BH70" s="571"/>
      <c r="BI70" s="571"/>
      <c r="BJ70" s="571"/>
      <c r="BK70" s="571"/>
      <c r="BL70" s="571"/>
      <c r="BM70" s="571"/>
      <c r="BN70" s="571"/>
      <c r="BO70" s="571"/>
      <c r="BP70" s="571"/>
      <c r="BQ70" s="571"/>
      <c r="BR70" s="571"/>
      <c r="BS70" s="571"/>
      <c r="BT70" s="571"/>
      <c r="BU70" s="571"/>
      <c r="BV70" s="571"/>
      <c r="BW70" s="571"/>
      <c r="BX70" s="571"/>
      <c r="BY70" s="571"/>
      <c r="BZ70" s="571"/>
      <c r="CA70" s="571"/>
      <c r="CB70" s="571"/>
      <c r="CC70" s="571"/>
      <c r="CD70" s="571"/>
      <c r="CE70" s="571"/>
      <c r="CF70" s="571"/>
      <c r="CG70" s="571"/>
      <c r="CH70" s="571"/>
      <c r="CI70" s="571"/>
      <c r="CJ70" s="571"/>
      <c r="CK70" s="571"/>
      <c r="CL70" s="571"/>
      <c r="CM70" s="571"/>
      <c r="CN70" s="571"/>
      <c r="CO70" s="571"/>
      <c r="CP70" s="571"/>
      <c r="CQ70" s="571"/>
      <c r="CR70" s="571"/>
      <c r="CS70" s="571"/>
      <c r="CT70" s="571"/>
      <c r="CU70" s="571"/>
      <c r="CV70" s="571"/>
      <c r="CW70" s="571"/>
      <c r="CX70" s="571"/>
      <c r="CY70" s="571"/>
      <c r="CZ70" s="571"/>
      <c r="DA70" s="571"/>
      <c r="DB70" s="571"/>
      <c r="DC70" s="571"/>
      <c r="DD70" s="571"/>
      <c r="DE70" s="571"/>
      <c r="DF70" s="571"/>
      <c r="DG70" s="571"/>
    </row>
    <row r="71" spans="3:111" x14ac:dyDescent="0.25">
      <c r="C71" s="3"/>
      <c r="E71" s="46"/>
      <c r="F71" s="175"/>
      <c r="J71" s="416"/>
      <c r="K71" s="416"/>
      <c r="L71" s="416"/>
      <c r="M71" s="416"/>
      <c r="N71" s="416"/>
      <c r="O71" s="416"/>
      <c r="P71" s="416"/>
      <c r="Q71" s="416"/>
      <c r="R71" s="416"/>
      <c r="S71" s="416"/>
      <c r="T71" s="416"/>
      <c r="U71" s="416"/>
      <c r="V71" s="416"/>
      <c r="W71" s="416"/>
      <c r="X71" s="416"/>
      <c r="Y71" s="416"/>
      <c r="Z71" s="416"/>
      <c r="AA71" s="416"/>
      <c r="AB71" s="416"/>
      <c r="AC71" s="416"/>
      <c r="AD71" s="416"/>
      <c r="AE71" s="416"/>
      <c r="AF71" s="416"/>
      <c r="AG71" s="416"/>
      <c r="AH71" s="416"/>
      <c r="AI71" s="416"/>
      <c r="AJ71" s="416"/>
      <c r="AK71" s="416"/>
      <c r="AL71" s="416"/>
      <c r="AM71" s="416"/>
      <c r="AN71" s="416"/>
      <c r="AO71" s="416"/>
      <c r="AP71" s="416"/>
      <c r="DF71" s="160"/>
      <c r="DG71" s="160"/>
    </row>
    <row r="72" spans="3:111" x14ac:dyDescent="0.25">
      <c r="E72" s="87" t="s">
        <v>420</v>
      </c>
      <c r="F72" s="160"/>
      <c r="H72" s="63"/>
      <c r="I72" s="63"/>
      <c r="J72" s="416"/>
      <c r="K72" s="416"/>
      <c r="L72" s="416"/>
      <c r="M72" s="416"/>
      <c r="N72" s="416"/>
      <c r="O72" s="416"/>
      <c r="P72" s="416"/>
      <c r="Q72" s="416"/>
      <c r="R72" s="416"/>
      <c r="S72" s="416"/>
      <c r="T72" s="416"/>
      <c r="U72" s="416"/>
      <c r="V72" s="416"/>
      <c r="W72" s="416"/>
      <c r="X72" s="416"/>
      <c r="Y72" s="416"/>
      <c r="Z72" s="416"/>
      <c r="AA72" s="416"/>
      <c r="AB72" s="416"/>
      <c r="AC72" s="416"/>
      <c r="AD72" s="416"/>
      <c r="AE72" s="416"/>
      <c r="AF72" s="416"/>
      <c r="AG72" s="416"/>
      <c r="AH72" s="416"/>
      <c r="AI72" s="416"/>
      <c r="AJ72" s="416"/>
      <c r="AK72" s="416"/>
      <c r="AL72" s="416"/>
      <c r="AM72" s="416"/>
      <c r="AN72" s="416"/>
      <c r="AO72" s="416"/>
      <c r="AP72" s="416"/>
      <c r="DF72" s="160"/>
      <c r="DG72" s="160"/>
    </row>
    <row r="73" spans="3:111" x14ac:dyDescent="0.25">
      <c r="E73" s="65" t="s">
        <v>598</v>
      </c>
      <c r="F73" s="160"/>
      <c r="H73" s="63"/>
      <c r="I73" s="63"/>
      <c r="J73" s="416"/>
      <c r="K73" s="416"/>
      <c r="L73" s="416"/>
      <c r="M73" s="416"/>
      <c r="N73" s="416"/>
      <c r="O73" s="416"/>
      <c r="P73" s="416"/>
      <c r="Q73" s="416"/>
      <c r="R73" s="416"/>
      <c r="S73" s="416"/>
      <c r="T73" s="416"/>
      <c r="U73" s="416"/>
      <c r="V73" s="416"/>
      <c r="W73" s="416"/>
      <c r="X73" s="416"/>
      <c r="Y73" s="416"/>
      <c r="Z73" s="416"/>
      <c r="AA73" s="416"/>
      <c r="AB73" s="416"/>
      <c r="AC73" s="416"/>
      <c r="AD73" s="416"/>
      <c r="AE73" s="416"/>
      <c r="AF73" s="416"/>
      <c r="AG73" s="416"/>
      <c r="AH73" s="416"/>
      <c r="AI73" s="416"/>
      <c r="AJ73" s="416"/>
      <c r="AK73" s="416"/>
      <c r="AL73" s="416"/>
      <c r="AM73" s="416"/>
      <c r="AN73" s="416"/>
      <c r="AO73" s="416"/>
      <c r="AP73" s="416"/>
      <c r="DF73" s="160"/>
      <c r="DG73" s="160"/>
    </row>
    <row r="74" spans="3:111" s="160" customFormat="1" x14ac:dyDescent="0.25">
      <c r="E74" s="152" t="s">
        <v>599</v>
      </c>
      <c r="H74" s="63"/>
      <c r="I74" s="63"/>
      <c r="J74" s="416"/>
      <c r="K74" s="416"/>
      <c r="L74" s="416"/>
      <c r="M74" s="416"/>
      <c r="N74" s="416"/>
      <c r="O74" s="416"/>
      <c r="P74" s="416"/>
      <c r="Q74" s="416"/>
      <c r="R74" s="416"/>
      <c r="S74" s="416"/>
      <c r="T74" s="416"/>
      <c r="U74" s="416"/>
      <c r="V74" s="416"/>
      <c r="W74" s="416"/>
      <c r="X74" s="416"/>
      <c r="Y74" s="416"/>
      <c r="Z74" s="416"/>
      <c r="AA74" s="416"/>
      <c r="AB74" s="416"/>
      <c r="AC74" s="416"/>
      <c r="AD74" s="416"/>
      <c r="AE74" s="416"/>
      <c r="AF74" s="416"/>
      <c r="AG74" s="416"/>
      <c r="AH74" s="416"/>
      <c r="AI74" s="416"/>
      <c r="AJ74" s="416"/>
      <c r="AK74" s="416"/>
      <c r="AL74" s="416"/>
      <c r="AM74" s="416"/>
      <c r="AN74" s="416"/>
      <c r="AO74" s="416"/>
      <c r="AP74" s="416"/>
    </row>
    <row r="75" spans="3:111" s="160" customFormat="1" x14ac:dyDescent="0.25">
      <c r="E75" s="152" t="s">
        <v>600</v>
      </c>
      <c r="H75" s="63"/>
      <c r="I75" s="63"/>
      <c r="J75" s="416"/>
      <c r="K75" s="416"/>
      <c r="L75" s="416"/>
      <c r="M75" s="416"/>
      <c r="N75" s="416"/>
      <c r="O75" s="416"/>
      <c r="P75" s="416"/>
      <c r="Q75" s="416"/>
      <c r="R75" s="416"/>
      <c r="S75" s="416"/>
      <c r="T75" s="416"/>
      <c r="U75" s="416"/>
      <c r="V75" s="416"/>
      <c r="W75" s="416"/>
      <c r="X75" s="416"/>
      <c r="Y75" s="416"/>
      <c r="Z75" s="416"/>
      <c r="AA75" s="416"/>
      <c r="AB75" s="416"/>
      <c r="AC75" s="416"/>
      <c r="AD75" s="416"/>
      <c r="AE75" s="416"/>
      <c r="AF75" s="416"/>
      <c r="AG75" s="416"/>
      <c r="AH75" s="416"/>
      <c r="AI75" s="416"/>
      <c r="AJ75" s="416"/>
      <c r="AK75" s="416"/>
      <c r="AL75" s="416"/>
      <c r="AM75" s="416"/>
      <c r="AN75" s="416"/>
      <c r="AO75" s="416"/>
      <c r="AP75" s="416"/>
    </row>
    <row r="76" spans="3:111" x14ac:dyDescent="0.25">
      <c r="E76" s="46"/>
      <c r="F76" s="13" t="s">
        <v>417</v>
      </c>
      <c r="G76" s="13" t="s">
        <v>137</v>
      </c>
      <c r="H76" s="13"/>
      <c r="I76" s="13"/>
      <c r="J76" s="431">
        <f t="shared" ref="J76:AB76" si="12">J29</f>
        <v>9619584.3780239914</v>
      </c>
      <c r="K76" s="431">
        <f t="shared" si="12"/>
        <v>835527.80607310811</v>
      </c>
      <c r="L76" s="431">
        <f t="shared" si="12"/>
        <v>199297.91284437623</v>
      </c>
      <c r="M76" s="431">
        <f t="shared" si="12"/>
        <v>2706270.8612037809</v>
      </c>
      <c r="N76" s="431">
        <f t="shared" si="12"/>
        <v>446470.69642024959</v>
      </c>
      <c r="O76" s="431">
        <f t="shared" si="12"/>
        <v>42294.937322173275</v>
      </c>
      <c r="P76" s="431">
        <f t="shared" si="12"/>
        <v>104009.34260682437</v>
      </c>
      <c r="Q76" s="431">
        <f t="shared" si="12"/>
        <v>0</v>
      </c>
      <c r="R76" s="431">
        <f t="shared" si="12"/>
        <v>282.01794456199212</v>
      </c>
      <c r="S76" s="431">
        <f t="shared" si="12"/>
        <v>7860.7404958513216</v>
      </c>
      <c r="T76" s="431">
        <f t="shared" si="12"/>
        <v>31198.833710634557</v>
      </c>
      <c r="U76" s="431">
        <f t="shared" si="12"/>
        <v>625884.22888754157</v>
      </c>
      <c r="V76" s="431">
        <f t="shared" si="12"/>
        <v>38456.239420473794</v>
      </c>
      <c r="W76" s="431">
        <f t="shared" si="12"/>
        <v>452539.55734968698</v>
      </c>
      <c r="X76" s="431">
        <f t="shared" si="12"/>
        <v>24532.632560505219</v>
      </c>
      <c r="Y76" s="431">
        <f t="shared" si="12"/>
        <v>15654.703404062586</v>
      </c>
      <c r="Z76" s="431">
        <f t="shared" si="12"/>
        <v>778.6739855590813</v>
      </c>
      <c r="AA76" s="431">
        <f t="shared" si="12"/>
        <v>149.6510564463434</v>
      </c>
      <c r="AB76" s="431">
        <f t="shared" si="12"/>
        <v>11673.535442439646</v>
      </c>
      <c r="AC76" s="402"/>
      <c r="AD76" s="402"/>
      <c r="AE76" s="402"/>
      <c r="AF76" s="402"/>
      <c r="AG76" s="402"/>
      <c r="AH76" s="402"/>
      <c r="AI76" s="402"/>
      <c r="AJ76" s="402"/>
      <c r="AK76" s="402"/>
      <c r="AL76" s="402"/>
      <c r="AM76" s="402"/>
      <c r="AN76" s="402"/>
      <c r="AO76" s="402"/>
      <c r="AP76" s="402"/>
      <c r="DF76" s="160"/>
      <c r="DG76" s="160"/>
    </row>
    <row r="77" spans="3:111" x14ac:dyDescent="0.25">
      <c r="C77" s="3"/>
      <c r="E77" s="46"/>
      <c r="F77" s="15" t="s">
        <v>418</v>
      </c>
      <c r="G77" s="15" t="s">
        <v>137</v>
      </c>
      <c r="H77" s="15"/>
      <c r="I77" s="15"/>
      <c r="J77" s="428">
        <f t="shared" ref="J77:AB77" si="13">J30</f>
        <v>0</v>
      </c>
      <c r="K77" s="428">
        <f t="shared" si="13"/>
        <v>735614.89686908422</v>
      </c>
      <c r="L77" s="428">
        <f t="shared" si="13"/>
        <v>0</v>
      </c>
      <c r="M77" s="428">
        <f t="shared" si="13"/>
        <v>0</v>
      </c>
      <c r="N77" s="428">
        <f t="shared" si="13"/>
        <v>278002.52474213234</v>
      </c>
      <c r="O77" s="428">
        <f t="shared" si="13"/>
        <v>0</v>
      </c>
      <c r="P77" s="428">
        <f t="shared" si="13"/>
        <v>7102.53616241911</v>
      </c>
      <c r="Q77" s="428">
        <f t="shared" si="13"/>
        <v>0</v>
      </c>
      <c r="R77" s="428">
        <f t="shared" si="13"/>
        <v>4.3459831614531019</v>
      </c>
      <c r="S77" s="428">
        <f t="shared" si="13"/>
        <v>24996.690407605536</v>
      </c>
      <c r="T77" s="428">
        <f t="shared" si="13"/>
        <v>177573.26231864805</v>
      </c>
      <c r="U77" s="428">
        <f t="shared" si="13"/>
        <v>3540894.6661684732</v>
      </c>
      <c r="V77" s="428">
        <f t="shared" si="13"/>
        <v>221362.20664832584</v>
      </c>
      <c r="W77" s="428">
        <f t="shared" si="13"/>
        <v>2543209.0589652988</v>
      </c>
      <c r="X77" s="428">
        <f t="shared" si="13"/>
        <v>0</v>
      </c>
      <c r="Y77" s="428">
        <f t="shared" si="13"/>
        <v>0</v>
      </c>
      <c r="Z77" s="428">
        <f t="shared" si="13"/>
        <v>0</v>
      </c>
      <c r="AA77" s="428">
        <f t="shared" si="13"/>
        <v>0</v>
      </c>
      <c r="AB77" s="428">
        <f t="shared" si="13"/>
        <v>68850.186278347115</v>
      </c>
      <c r="AC77" s="403"/>
      <c r="AD77" s="403"/>
      <c r="AE77" s="403"/>
      <c r="AF77" s="403"/>
      <c r="AG77" s="403"/>
      <c r="AH77" s="403"/>
      <c r="AI77" s="403"/>
      <c r="AJ77" s="403"/>
      <c r="AK77" s="403"/>
      <c r="AL77" s="403"/>
      <c r="AM77" s="403"/>
      <c r="AN77" s="403"/>
      <c r="AO77" s="403"/>
      <c r="AP77" s="403"/>
      <c r="DF77" s="160"/>
      <c r="DG77" s="160"/>
    </row>
    <row r="78" spans="3:111" x14ac:dyDescent="0.25">
      <c r="C78" s="3"/>
      <c r="E78" s="46"/>
      <c r="F78" s="16" t="s">
        <v>419</v>
      </c>
      <c r="G78" s="16" t="s">
        <v>137</v>
      </c>
      <c r="H78" s="16"/>
      <c r="I78" s="16"/>
      <c r="J78" s="432">
        <f t="shared" ref="J78:AB78" si="14">J31</f>
        <v>0</v>
      </c>
      <c r="K78" s="432">
        <f t="shared" si="14"/>
        <v>0</v>
      </c>
      <c r="L78" s="432">
        <f t="shared" si="14"/>
        <v>0</v>
      </c>
      <c r="M78" s="432">
        <f t="shared" si="14"/>
        <v>0</v>
      </c>
      <c r="N78" s="432">
        <f t="shared" si="14"/>
        <v>0</v>
      </c>
      <c r="O78" s="432">
        <f t="shared" si="14"/>
        <v>0</v>
      </c>
      <c r="P78" s="432">
        <f t="shared" si="14"/>
        <v>0</v>
      </c>
      <c r="Q78" s="432">
        <f t="shared" si="14"/>
        <v>0</v>
      </c>
      <c r="R78" s="432">
        <f t="shared" si="14"/>
        <v>0</v>
      </c>
      <c r="S78" s="432">
        <f t="shared" si="14"/>
        <v>14751.44123412742</v>
      </c>
      <c r="T78" s="432">
        <f t="shared" si="14"/>
        <v>84778.104421972268</v>
      </c>
      <c r="U78" s="432">
        <f t="shared" si="14"/>
        <v>1866739.9019720491</v>
      </c>
      <c r="V78" s="432">
        <f t="shared" si="14"/>
        <v>134010.09592598444</v>
      </c>
      <c r="W78" s="432">
        <f t="shared" si="14"/>
        <v>1747222.1632098565</v>
      </c>
      <c r="X78" s="432">
        <f t="shared" si="14"/>
        <v>0</v>
      </c>
      <c r="Y78" s="432">
        <f t="shared" si="14"/>
        <v>0</v>
      </c>
      <c r="Z78" s="432">
        <f t="shared" si="14"/>
        <v>0</v>
      </c>
      <c r="AA78" s="432">
        <f t="shared" si="14"/>
        <v>0</v>
      </c>
      <c r="AB78" s="432">
        <f t="shared" si="14"/>
        <v>135233.45936929047</v>
      </c>
      <c r="AC78" s="404"/>
      <c r="AD78" s="404"/>
      <c r="AE78" s="404"/>
      <c r="AF78" s="404"/>
      <c r="AG78" s="404"/>
      <c r="AH78" s="404"/>
      <c r="AI78" s="404"/>
      <c r="AJ78" s="404"/>
      <c r="AK78" s="404"/>
      <c r="AL78" s="404"/>
      <c r="AM78" s="404"/>
      <c r="AN78" s="404"/>
      <c r="AO78" s="404"/>
      <c r="AP78" s="404"/>
      <c r="DF78" s="160"/>
      <c r="DG78" s="160"/>
    </row>
    <row r="79" spans="3:111" x14ac:dyDescent="0.25">
      <c r="C79" s="3"/>
      <c r="E79" s="46"/>
      <c r="F79" s="175"/>
      <c r="DF79" s="160"/>
      <c r="DG79" s="160"/>
    </row>
    <row r="80" spans="3:111" x14ac:dyDescent="0.25">
      <c r="E80" s="36" t="s">
        <v>429</v>
      </c>
      <c r="F80" s="160"/>
      <c r="H80" s="63"/>
      <c r="I80" s="63" t="s">
        <v>525</v>
      </c>
      <c r="DF80" s="160"/>
      <c r="DG80" s="160" t="s">
        <v>999</v>
      </c>
    </row>
    <row r="81" spans="3:112" x14ac:dyDescent="0.25">
      <c r="E81" s="65" t="s">
        <v>601</v>
      </c>
      <c r="F81" s="160"/>
      <c r="H81" s="63"/>
      <c r="I81" s="63"/>
      <c r="DF81" s="160"/>
      <c r="DG81" s="160"/>
    </row>
    <row r="82" spans="3:112" s="160" customFormat="1" x14ac:dyDescent="0.25">
      <c r="E82" s="152" t="s">
        <v>602</v>
      </c>
      <c r="H82" s="63"/>
      <c r="I82" s="63"/>
    </row>
    <row r="83" spans="3:112" s="160" customFormat="1" x14ac:dyDescent="0.25">
      <c r="E83" s="152" t="s">
        <v>603</v>
      </c>
      <c r="H83" s="63"/>
      <c r="I83" s="63"/>
    </row>
    <row r="84" spans="3:112" x14ac:dyDescent="0.25">
      <c r="E84" s="3"/>
      <c r="F84" s="167" t="s">
        <v>208</v>
      </c>
      <c r="G84" s="167" t="s">
        <v>201</v>
      </c>
      <c r="H84" s="585">
        <f>H54/SUM(J76:AP78)/ten</f>
        <v>0.33667025214421997</v>
      </c>
      <c r="I84" s="571"/>
      <c r="J84" s="571"/>
      <c r="K84" s="571"/>
      <c r="L84" s="571"/>
      <c r="M84" s="571"/>
      <c r="N84" s="571"/>
      <c r="O84" s="571"/>
      <c r="P84" s="571"/>
      <c r="Q84" s="571"/>
      <c r="R84" s="571"/>
      <c r="S84" s="571"/>
      <c r="T84" s="571"/>
      <c r="U84" s="571"/>
      <c r="V84" s="571"/>
      <c r="W84" s="571"/>
      <c r="X84" s="571"/>
      <c r="Y84" s="571"/>
      <c r="Z84" s="571"/>
      <c r="AA84" s="571"/>
      <c r="AB84" s="571"/>
      <c r="AC84" s="571"/>
      <c r="AD84" s="571"/>
      <c r="AE84" s="571"/>
      <c r="AF84" s="571"/>
      <c r="AG84" s="571"/>
      <c r="AH84" s="571"/>
      <c r="AI84" s="571"/>
      <c r="AJ84" s="571"/>
      <c r="AK84" s="571"/>
      <c r="AL84" s="571"/>
      <c r="AM84" s="571"/>
      <c r="AN84" s="571"/>
      <c r="AO84" s="571"/>
      <c r="AP84" s="571"/>
      <c r="AQ84" s="571"/>
      <c r="AR84" s="571"/>
      <c r="AS84" s="571"/>
      <c r="AT84" s="571"/>
      <c r="AU84" s="571"/>
      <c r="AV84" s="571"/>
      <c r="AW84" s="571"/>
      <c r="AX84" s="571"/>
      <c r="AY84" s="571"/>
      <c r="AZ84" s="571"/>
      <c r="BA84" s="571"/>
      <c r="BB84" s="571"/>
      <c r="BC84" s="571"/>
      <c r="BD84" s="571"/>
      <c r="BE84" s="571"/>
      <c r="BF84" s="571"/>
      <c r="BG84" s="571"/>
      <c r="BH84" s="571"/>
      <c r="BI84" s="571"/>
      <c r="BJ84" s="571"/>
      <c r="BK84" s="571"/>
      <c r="BL84" s="571"/>
      <c r="BM84" s="571"/>
      <c r="BN84" s="571"/>
      <c r="BO84" s="571"/>
      <c r="BP84" s="571"/>
      <c r="BQ84" s="571"/>
      <c r="BR84" s="571"/>
      <c r="BS84" s="571"/>
      <c r="BT84" s="571"/>
      <c r="BU84" s="571"/>
      <c r="BV84" s="571"/>
      <c r="BW84" s="571"/>
      <c r="BX84" s="571"/>
      <c r="BY84" s="571"/>
      <c r="BZ84" s="571"/>
      <c r="CA84" s="571"/>
      <c r="CB84" s="571"/>
      <c r="CC84" s="571"/>
      <c r="CD84" s="571"/>
      <c r="CE84" s="571"/>
      <c r="CF84" s="571"/>
      <c r="CG84" s="571"/>
      <c r="CH84" s="571"/>
      <c r="CI84" s="571"/>
      <c r="CJ84" s="571"/>
      <c r="CK84" s="571"/>
      <c r="CL84" s="571"/>
      <c r="CM84" s="571"/>
      <c r="CN84" s="571"/>
      <c r="CO84" s="571"/>
      <c r="CP84" s="571"/>
      <c r="CQ84" s="571"/>
      <c r="CR84" s="571"/>
      <c r="CS84" s="571"/>
      <c r="CT84" s="571"/>
      <c r="CU84" s="571"/>
      <c r="CV84" s="571"/>
      <c r="CW84" s="571"/>
      <c r="CX84" s="571"/>
      <c r="CY84" s="571"/>
      <c r="CZ84" s="571"/>
      <c r="DA84" s="571"/>
      <c r="DB84" s="571"/>
      <c r="DC84" s="571"/>
      <c r="DD84" s="571"/>
      <c r="DE84" s="571"/>
      <c r="DF84" s="571"/>
      <c r="DG84" s="571"/>
    </row>
    <row r="85" spans="3:112" x14ac:dyDescent="0.25">
      <c r="D85" s="3"/>
      <c r="DF85" s="160"/>
      <c r="DG85" s="160"/>
    </row>
    <row r="86" spans="3:112" x14ac:dyDescent="0.25">
      <c r="C86" s="22" t="str">
        <f ca="1">INDEX('Version control'!$H$34:$H$59,MATCH($A$1,'Version control'!$F$34:$F$59,0),1)&amp;"-D: Algorithm to find constrained adder solution"</f>
        <v>Section 518-D: Algorithm to find constrained adder solution</v>
      </c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2"/>
      <c r="BP86" s="22"/>
      <c r="BQ86" s="22"/>
      <c r="BR86" s="22"/>
      <c r="BS86" s="22"/>
      <c r="BT86" s="22"/>
      <c r="BU86" s="22"/>
      <c r="BV86" s="22"/>
      <c r="BW86" s="22"/>
      <c r="BX86" s="22"/>
      <c r="BY86" s="22"/>
      <c r="BZ86" s="22"/>
      <c r="CA86" s="22"/>
      <c r="CB86" s="22"/>
      <c r="CC86" s="22"/>
      <c r="CD86" s="22"/>
      <c r="CE86" s="22"/>
      <c r="CF86" s="22"/>
      <c r="CG86" s="22"/>
      <c r="CH86" s="22"/>
      <c r="CI86" s="22"/>
      <c r="CJ86" s="22"/>
      <c r="CK86" s="22"/>
      <c r="CL86" s="22"/>
      <c r="CM86" s="22"/>
      <c r="CN86" s="22"/>
      <c r="CO86" s="22"/>
      <c r="CP86" s="22"/>
      <c r="CQ86" s="22"/>
      <c r="CR86" s="22"/>
      <c r="CS86" s="22"/>
      <c r="CT86" s="22"/>
      <c r="CU86" s="22"/>
      <c r="CV86" s="22"/>
      <c r="CW86" s="22"/>
      <c r="CX86" s="22"/>
      <c r="CY86" s="22"/>
      <c r="CZ86" s="22"/>
      <c r="DA86" s="22"/>
      <c r="DB86" s="22"/>
      <c r="DC86" s="22"/>
      <c r="DD86" s="22"/>
      <c r="DE86" s="22"/>
      <c r="DF86" s="22"/>
      <c r="DG86" s="22"/>
      <c r="DH86" s="160"/>
    </row>
    <row r="87" spans="3:112" s="160" customFormat="1" x14ac:dyDescent="0.25">
      <c r="D87" s="161"/>
      <c r="E87" s="175"/>
    </row>
    <row r="88" spans="3:112" s="11" customFormat="1" x14ac:dyDescent="0.25">
      <c r="D88" s="152" t="s">
        <v>604</v>
      </c>
      <c r="I88" s="11" t="s">
        <v>525</v>
      </c>
      <c r="DG88" s="11" t="s">
        <v>999</v>
      </c>
    </row>
    <row r="89" spans="3:112" s="11" customFormat="1" x14ac:dyDescent="0.25">
      <c r="D89" s="152" t="s">
        <v>605</v>
      </c>
    </row>
    <row r="90" spans="3:112" s="11" customFormat="1" x14ac:dyDescent="0.25">
      <c r="D90" s="152" t="s">
        <v>606</v>
      </c>
    </row>
    <row r="91" spans="3:112" s="131" customFormat="1" outlineLevel="1" x14ac:dyDescent="0.25">
      <c r="D91" s="147"/>
      <c r="E91" s="175"/>
    </row>
    <row r="92" spans="3:112" s="131" customFormat="1" outlineLevel="1" x14ac:dyDescent="0.25">
      <c r="D92" s="172" t="s">
        <v>607</v>
      </c>
      <c r="F92" s="143"/>
      <c r="H92" s="63"/>
      <c r="I92" s="63"/>
    </row>
    <row r="93" spans="3:112" s="160" customFormat="1" outlineLevel="1" x14ac:dyDescent="0.25">
      <c r="D93" s="172" t="s">
        <v>608</v>
      </c>
      <c r="F93" s="143"/>
      <c r="H93" s="63"/>
      <c r="I93" s="63"/>
    </row>
    <row r="94" spans="3:112" s="338" customFormat="1" outlineLevel="1" x14ac:dyDescent="0.25">
      <c r="D94" s="172"/>
      <c r="F94" s="340"/>
      <c r="H94" s="63"/>
      <c r="I94" s="63"/>
    </row>
    <row r="95" spans="3:112" s="131" customFormat="1" ht="75" outlineLevel="1" x14ac:dyDescent="0.25">
      <c r="E95" s="304" t="s">
        <v>423</v>
      </c>
      <c r="F95" s="304"/>
      <c r="G95" s="304"/>
      <c r="H95" s="305"/>
      <c r="I95" s="304"/>
      <c r="J95" s="298" t="s">
        <v>308</v>
      </c>
      <c r="K95" s="298" t="s">
        <v>307</v>
      </c>
      <c r="L95" s="298" t="s">
        <v>306</v>
      </c>
      <c r="M95" s="298" t="s">
        <v>305</v>
      </c>
      <c r="N95" s="298" t="s">
        <v>304</v>
      </c>
      <c r="O95" s="298" t="s">
        <v>303</v>
      </c>
      <c r="P95" s="298" t="s">
        <v>302</v>
      </c>
      <c r="Q95" s="298" t="s">
        <v>301</v>
      </c>
      <c r="R95" s="298" t="s">
        <v>300</v>
      </c>
      <c r="S95" s="298" t="s">
        <v>299</v>
      </c>
      <c r="T95" s="298" t="s">
        <v>298</v>
      </c>
      <c r="U95" s="298" t="s">
        <v>297</v>
      </c>
      <c r="V95" s="298" t="s">
        <v>296</v>
      </c>
      <c r="W95" s="298" t="s">
        <v>295</v>
      </c>
      <c r="X95" s="298" t="s">
        <v>294</v>
      </c>
      <c r="Y95" s="298" t="s">
        <v>293</v>
      </c>
      <c r="Z95" s="298" t="s">
        <v>292</v>
      </c>
      <c r="AA95" s="298" t="s">
        <v>291</v>
      </c>
      <c r="AB95" s="298" t="s">
        <v>290</v>
      </c>
      <c r="AC95" s="298" t="s">
        <v>289</v>
      </c>
      <c r="AD95" s="298" t="s">
        <v>288</v>
      </c>
      <c r="AE95" s="298" t="s">
        <v>287</v>
      </c>
      <c r="AF95" s="298" t="s">
        <v>286</v>
      </c>
      <c r="AG95" s="298" t="s">
        <v>285</v>
      </c>
      <c r="AH95" s="298" t="s">
        <v>284</v>
      </c>
      <c r="AI95" s="298" t="s">
        <v>283</v>
      </c>
      <c r="AJ95" s="298" t="s">
        <v>282</v>
      </c>
      <c r="AK95" s="298" t="s">
        <v>281</v>
      </c>
      <c r="AL95" s="298" t="s">
        <v>280</v>
      </c>
      <c r="AM95" s="298" t="s">
        <v>279</v>
      </c>
      <c r="AN95" s="298" t="s">
        <v>278</v>
      </c>
      <c r="AO95" s="298" t="s">
        <v>277</v>
      </c>
      <c r="AP95" s="298" t="s">
        <v>276</v>
      </c>
      <c r="AQ95" s="298" t="s">
        <v>275</v>
      </c>
      <c r="AR95" s="298" t="s">
        <v>274</v>
      </c>
      <c r="AS95" s="298" t="s">
        <v>273</v>
      </c>
      <c r="AT95" s="298" t="s">
        <v>272</v>
      </c>
      <c r="AU95" s="298" t="s">
        <v>271</v>
      </c>
      <c r="AV95" s="298" t="s">
        <v>270</v>
      </c>
      <c r="AW95" s="298" t="s">
        <v>269</v>
      </c>
      <c r="AX95" s="298" t="s">
        <v>268</v>
      </c>
      <c r="AY95" s="298" t="s">
        <v>267</v>
      </c>
      <c r="AZ95" s="298" t="s">
        <v>266</v>
      </c>
      <c r="BA95" s="298" t="s">
        <v>265</v>
      </c>
      <c r="BB95" s="298" t="s">
        <v>264</v>
      </c>
      <c r="BC95" s="298" t="s">
        <v>263</v>
      </c>
      <c r="BD95" s="298" t="s">
        <v>262</v>
      </c>
      <c r="BE95" s="298" t="s">
        <v>261</v>
      </c>
      <c r="BF95" s="298" t="s">
        <v>260</v>
      </c>
      <c r="BG95" s="298" t="s">
        <v>259</v>
      </c>
      <c r="BH95" s="298" t="s">
        <v>258</v>
      </c>
      <c r="BI95" s="298" t="s">
        <v>257</v>
      </c>
      <c r="BJ95" s="298" t="s">
        <v>256</v>
      </c>
      <c r="BK95" s="298" t="s">
        <v>255</v>
      </c>
      <c r="BL95" s="298" t="s">
        <v>254</v>
      </c>
      <c r="BM95" s="298" t="s">
        <v>253</v>
      </c>
      <c r="BN95" s="298" t="s">
        <v>252</v>
      </c>
      <c r="BO95" s="298" t="s">
        <v>251</v>
      </c>
      <c r="BP95" s="298" t="s">
        <v>250</v>
      </c>
      <c r="BQ95" s="298" t="s">
        <v>249</v>
      </c>
      <c r="BR95" s="298" t="s">
        <v>248</v>
      </c>
      <c r="BS95" s="298" t="s">
        <v>247</v>
      </c>
      <c r="BT95" s="298" t="s">
        <v>246</v>
      </c>
      <c r="BU95" s="298" t="s">
        <v>245</v>
      </c>
      <c r="BV95" s="298" t="s">
        <v>244</v>
      </c>
      <c r="BW95" s="298" t="s">
        <v>243</v>
      </c>
      <c r="BX95" s="298" t="s">
        <v>242</v>
      </c>
      <c r="BY95" s="298" t="s">
        <v>241</v>
      </c>
      <c r="BZ95" s="298" t="s">
        <v>240</v>
      </c>
      <c r="CA95" s="298" t="s">
        <v>239</v>
      </c>
      <c r="CB95" s="298" t="s">
        <v>238</v>
      </c>
      <c r="CC95" s="298" t="s">
        <v>237</v>
      </c>
      <c r="CD95" s="298" t="s">
        <v>236</v>
      </c>
      <c r="CE95" s="298" t="s">
        <v>235</v>
      </c>
      <c r="CF95" s="298" t="s">
        <v>234</v>
      </c>
      <c r="CG95" s="298" t="s">
        <v>233</v>
      </c>
      <c r="CH95" s="298" t="s">
        <v>232</v>
      </c>
      <c r="CI95" s="298" t="s">
        <v>231</v>
      </c>
      <c r="CJ95" s="298" t="s">
        <v>230</v>
      </c>
      <c r="CK95" s="298" t="s">
        <v>229</v>
      </c>
      <c r="CL95" s="298" t="s">
        <v>228</v>
      </c>
      <c r="CM95" s="298" t="s">
        <v>227</v>
      </c>
      <c r="CN95" s="298" t="s">
        <v>226</v>
      </c>
      <c r="CO95" s="298" t="s">
        <v>225</v>
      </c>
      <c r="CP95" s="298" t="s">
        <v>224</v>
      </c>
      <c r="CQ95" s="298" t="s">
        <v>223</v>
      </c>
      <c r="CR95" s="298" t="s">
        <v>222</v>
      </c>
      <c r="CS95" s="298" t="s">
        <v>221</v>
      </c>
      <c r="CT95" s="298" t="s">
        <v>220</v>
      </c>
      <c r="CU95" s="298" t="s">
        <v>219</v>
      </c>
      <c r="CV95" s="298" t="s">
        <v>218</v>
      </c>
      <c r="CW95" s="298" t="s">
        <v>217</v>
      </c>
      <c r="CX95" s="298" t="s">
        <v>216</v>
      </c>
      <c r="CY95" s="298" t="s">
        <v>215</v>
      </c>
      <c r="CZ95" s="298" t="s">
        <v>214</v>
      </c>
      <c r="DA95" s="298" t="s">
        <v>213</v>
      </c>
      <c r="DB95" s="298" t="s">
        <v>212</v>
      </c>
      <c r="DC95" s="298" t="s">
        <v>211</v>
      </c>
      <c r="DD95" s="298" t="s">
        <v>210</v>
      </c>
    </row>
    <row r="96" spans="3:112" outlineLevel="1" x14ac:dyDescent="0.25">
      <c r="C96" s="3"/>
      <c r="E96" s="216" t="s">
        <v>422</v>
      </c>
      <c r="F96" s="216"/>
      <c r="G96" s="167" t="s">
        <v>201</v>
      </c>
      <c r="H96" s="572"/>
      <c r="I96" s="572"/>
      <c r="J96" s="572">
        <f t="shared" ref="J96:AP96" si="15">J68</f>
        <v>-1.5969040604098796</v>
      </c>
      <c r="K96" s="572">
        <f t="shared" si="15"/>
        <v>-2.0501753794634672</v>
      </c>
      <c r="L96" s="572">
        <f t="shared" si="15"/>
        <v>-0.19994305292917913</v>
      </c>
      <c r="M96" s="572">
        <f t="shared" si="15"/>
        <v>-1.4406710911410869</v>
      </c>
      <c r="N96" s="572">
        <f t="shared" si="15"/>
        <v>-2.2531084737912934</v>
      </c>
      <c r="O96" s="572">
        <f t="shared" si="15"/>
        <v>-0.32834165057051812</v>
      </c>
      <c r="P96" s="572">
        <f t="shared" si="15"/>
        <v>-1.1473972052693786</v>
      </c>
      <c r="Q96" s="572">
        <f t="shared" si="15"/>
        <v>-0.9391372710459962</v>
      </c>
      <c r="R96" s="572">
        <f t="shared" si="15"/>
        <v>-0.52492342576582107</v>
      </c>
      <c r="S96" s="572">
        <f t="shared" si="15"/>
        <v>-8.3638006882343365</v>
      </c>
      <c r="T96" s="572">
        <f t="shared" si="15"/>
        <v>-8.8282466365441543</v>
      </c>
      <c r="U96" s="572">
        <f t="shared" si="15"/>
        <v>-5.9331471242397003</v>
      </c>
      <c r="V96" s="572">
        <f t="shared" si="15"/>
        <v>-4.5269278212105721</v>
      </c>
      <c r="W96" s="572">
        <f t="shared" si="15"/>
        <v>-3.2073031362533886</v>
      </c>
      <c r="X96" s="572">
        <f t="shared" si="15"/>
        <v>-2.264792088932257</v>
      </c>
      <c r="Y96" s="572">
        <f t="shared" si="15"/>
        <v>-2.3198933711558842</v>
      </c>
      <c r="Z96" s="572">
        <f t="shared" si="15"/>
        <v>-3.0645944998900445</v>
      </c>
      <c r="AA96" s="572">
        <f t="shared" si="15"/>
        <v>-2.2743892687169116</v>
      </c>
      <c r="AB96" s="572">
        <f t="shared" si="15"/>
        <v>-13.387627198479423</v>
      </c>
      <c r="AC96" s="572">
        <f t="shared" si="15"/>
        <v>0.79377796595710459</v>
      </c>
      <c r="AD96" s="572">
        <f t="shared" si="15"/>
        <v>0.69465934114707428</v>
      </c>
      <c r="AE96" s="572">
        <f t="shared" si="15"/>
        <v>0.79377796595710459</v>
      </c>
      <c r="AF96" s="572">
        <f t="shared" si="15"/>
        <v>0.79377796595710459</v>
      </c>
      <c r="AG96" s="572">
        <f t="shared" si="15"/>
        <v>5.5360453006887784</v>
      </c>
      <c r="AH96" s="572">
        <f t="shared" si="15"/>
        <v>5.5360453006887784</v>
      </c>
      <c r="AI96" s="572">
        <f t="shared" si="15"/>
        <v>0.69465934114707428</v>
      </c>
      <c r="AJ96" s="572">
        <f t="shared" si="15"/>
        <v>0.69465934114707428</v>
      </c>
      <c r="AK96" s="572">
        <f t="shared" si="15"/>
        <v>4.9939526180609626</v>
      </c>
      <c r="AL96" s="572">
        <f t="shared" si="15"/>
        <v>4.9939526180609626</v>
      </c>
      <c r="AM96" s="572">
        <f t="shared" si="15"/>
        <v>0.45988671665948044</v>
      </c>
      <c r="AN96" s="572">
        <f t="shared" si="15"/>
        <v>0.45988671665948044</v>
      </c>
      <c r="AO96" s="572">
        <f t="shared" si="15"/>
        <v>3.8382142689374743</v>
      </c>
      <c r="AP96" s="590">
        <f t="shared" si="15"/>
        <v>3.8382142689374743</v>
      </c>
      <c r="AQ96" s="572">
        <f t="shared" ref="AQ96:BW96" si="16">J69</f>
        <v>0</v>
      </c>
      <c r="AR96" s="572">
        <f t="shared" si="16"/>
        <v>-0.10408156499649134</v>
      </c>
      <c r="AS96" s="572">
        <f t="shared" si="16"/>
        <v>0</v>
      </c>
      <c r="AT96" s="572">
        <f t="shared" si="16"/>
        <v>0</v>
      </c>
      <c r="AU96" s="572">
        <f t="shared" si="16"/>
        <v>-0.2546649770101555</v>
      </c>
      <c r="AV96" s="572">
        <f t="shared" si="16"/>
        <v>0</v>
      </c>
      <c r="AW96" s="572">
        <f t="shared" si="16"/>
        <v>-9.3511500040173792E-2</v>
      </c>
      <c r="AX96" s="572">
        <f t="shared" si="16"/>
        <v>-7.2356015741901064E-2</v>
      </c>
      <c r="AY96" s="572">
        <f t="shared" si="16"/>
        <v>-3.1535310566598682E-2</v>
      </c>
      <c r="AZ96" s="572">
        <f t="shared" si="16"/>
        <v>-0.86260843002178911</v>
      </c>
      <c r="BA96" s="572">
        <f t="shared" si="16"/>
        <v>-0.91064877744342132</v>
      </c>
      <c r="BB96" s="572">
        <f t="shared" si="16"/>
        <v>-0.52966468402295064</v>
      </c>
      <c r="BC96" s="572">
        <f t="shared" si="16"/>
        <v>-0.26867722866611671</v>
      </c>
      <c r="BD96" s="572">
        <f t="shared" si="16"/>
        <v>-0.16091867959478245</v>
      </c>
      <c r="BE96" s="572">
        <f t="shared" si="16"/>
        <v>0</v>
      </c>
      <c r="BF96" s="572">
        <f t="shared" si="16"/>
        <v>0</v>
      </c>
      <c r="BG96" s="572">
        <f t="shared" si="16"/>
        <v>0</v>
      </c>
      <c r="BH96" s="572">
        <f t="shared" si="16"/>
        <v>0</v>
      </c>
      <c r="BI96" s="572">
        <f t="shared" si="16"/>
        <v>-2.2396229552242977</v>
      </c>
      <c r="BJ96" s="572">
        <f t="shared" si="16"/>
        <v>0</v>
      </c>
      <c r="BK96" s="572">
        <f t="shared" si="16"/>
        <v>0</v>
      </c>
      <c r="BL96" s="572">
        <f t="shared" si="16"/>
        <v>0</v>
      </c>
      <c r="BM96" s="572">
        <f t="shared" si="16"/>
        <v>0</v>
      </c>
      <c r="BN96" s="572">
        <f t="shared" si="16"/>
        <v>0.57117143880771426</v>
      </c>
      <c r="BO96" s="572">
        <f t="shared" si="16"/>
        <v>0.57117143880771426</v>
      </c>
      <c r="BP96" s="572">
        <f t="shared" si="16"/>
        <v>0</v>
      </c>
      <c r="BQ96" s="572">
        <f t="shared" si="16"/>
        <v>0</v>
      </c>
      <c r="BR96" s="572">
        <f t="shared" si="16"/>
        <v>0.47519726588679745</v>
      </c>
      <c r="BS96" s="572">
        <f t="shared" si="16"/>
        <v>0.47519726588679745</v>
      </c>
      <c r="BT96" s="572">
        <f t="shared" si="16"/>
        <v>0</v>
      </c>
      <c r="BU96" s="572">
        <f t="shared" si="16"/>
        <v>0</v>
      </c>
      <c r="BV96" s="572">
        <f t="shared" si="16"/>
        <v>0.22667318511436871</v>
      </c>
      <c r="BW96" s="590">
        <f t="shared" si="16"/>
        <v>0.22667318511436871</v>
      </c>
      <c r="BX96" s="572">
        <f t="shared" ref="BX96:DD96" si="17">J70</f>
        <v>0</v>
      </c>
      <c r="BY96" s="572">
        <f t="shared" si="17"/>
        <v>0</v>
      </c>
      <c r="BZ96" s="572">
        <f t="shared" si="17"/>
        <v>0</v>
      </c>
      <c r="CA96" s="572">
        <f t="shared" si="17"/>
        <v>0</v>
      </c>
      <c r="CB96" s="572">
        <f t="shared" si="17"/>
        <v>0</v>
      </c>
      <c r="CC96" s="572">
        <f t="shared" si="17"/>
        <v>0</v>
      </c>
      <c r="CD96" s="572">
        <f t="shared" si="17"/>
        <v>0</v>
      </c>
      <c r="CE96" s="572">
        <f t="shared" si="17"/>
        <v>0</v>
      </c>
      <c r="CF96" s="572">
        <f t="shared" si="17"/>
        <v>0</v>
      </c>
      <c r="CG96" s="572">
        <f t="shared" si="17"/>
        <v>-4.9133022238593935E-2</v>
      </c>
      <c r="CH96" s="572">
        <f t="shared" si="17"/>
        <v>-5.18728960026444E-2</v>
      </c>
      <c r="CI96" s="572">
        <f t="shared" si="17"/>
        <v>-2.8005246403861348E-2</v>
      </c>
      <c r="CJ96" s="572">
        <f t="shared" si="17"/>
        <v>-1.0089867723546669E-2</v>
      </c>
      <c r="CK96" s="572">
        <f t="shared" si="17"/>
        <v>-4.8681886495548889E-3</v>
      </c>
      <c r="CL96" s="572">
        <f t="shared" si="17"/>
        <v>0</v>
      </c>
      <c r="CM96" s="572">
        <f t="shared" si="17"/>
        <v>0</v>
      </c>
      <c r="CN96" s="572">
        <f t="shared" si="17"/>
        <v>0</v>
      </c>
      <c r="CO96" s="572">
        <f t="shared" si="17"/>
        <v>0</v>
      </c>
      <c r="CP96" s="572">
        <f t="shared" si="17"/>
        <v>-1.5019754471194631</v>
      </c>
      <c r="CQ96" s="572">
        <f t="shared" si="17"/>
        <v>0</v>
      </c>
      <c r="CR96" s="572">
        <f t="shared" si="17"/>
        <v>0</v>
      </c>
      <c r="CS96" s="572">
        <f t="shared" si="17"/>
        <v>0</v>
      </c>
      <c r="CT96" s="572">
        <f t="shared" si="17"/>
        <v>0</v>
      </c>
      <c r="CU96" s="572">
        <f t="shared" si="17"/>
        <v>3.2538395709517873E-2</v>
      </c>
      <c r="CV96" s="572">
        <f t="shared" si="17"/>
        <v>3.2538395709517873E-2</v>
      </c>
      <c r="CW96" s="572">
        <f t="shared" si="17"/>
        <v>0</v>
      </c>
      <c r="CX96" s="572">
        <f t="shared" si="17"/>
        <v>0</v>
      </c>
      <c r="CY96" s="572">
        <f t="shared" si="17"/>
        <v>2.6018043903937992E-2</v>
      </c>
      <c r="CZ96" s="572">
        <f t="shared" si="17"/>
        <v>2.6018043903937992E-2</v>
      </c>
      <c r="DA96" s="572">
        <f t="shared" si="17"/>
        <v>0</v>
      </c>
      <c r="DB96" s="572">
        <f t="shared" si="17"/>
        <v>0</v>
      </c>
      <c r="DC96" s="572">
        <f t="shared" si="17"/>
        <v>8.4674213394694883E-3</v>
      </c>
      <c r="DD96" s="572">
        <f t="shared" si="17"/>
        <v>8.4674213394694883E-3</v>
      </c>
      <c r="DE96" s="571"/>
      <c r="DF96" s="571"/>
      <c r="DG96" s="571"/>
    </row>
    <row r="97" spans="3:111" outlineLevel="1" x14ac:dyDescent="0.25">
      <c r="C97" s="3"/>
      <c r="E97" s="167" t="s">
        <v>421</v>
      </c>
      <c r="F97" s="167"/>
      <c r="G97" s="167" t="s">
        <v>137</v>
      </c>
      <c r="H97" s="167"/>
      <c r="I97" s="167"/>
      <c r="J97" s="428">
        <f t="shared" ref="J97:AP97" si="18">J76</f>
        <v>9619584.3780239914</v>
      </c>
      <c r="K97" s="428">
        <f t="shared" si="18"/>
        <v>835527.80607310811</v>
      </c>
      <c r="L97" s="428">
        <f t="shared" si="18"/>
        <v>199297.91284437623</v>
      </c>
      <c r="M97" s="428">
        <f t="shared" si="18"/>
        <v>2706270.8612037809</v>
      </c>
      <c r="N97" s="428">
        <f t="shared" si="18"/>
        <v>446470.69642024959</v>
      </c>
      <c r="O97" s="428">
        <f t="shared" si="18"/>
        <v>42294.937322173275</v>
      </c>
      <c r="P97" s="428">
        <f t="shared" si="18"/>
        <v>104009.34260682437</v>
      </c>
      <c r="Q97" s="428">
        <f t="shared" si="18"/>
        <v>0</v>
      </c>
      <c r="R97" s="428">
        <f t="shared" si="18"/>
        <v>282.01794456199212</v>
      </c>
      <c r="S97" s="428">
        <f t="shared" si="18"/>
        <v>7860.7404958513216</v>
      </c>
      <c r="T97" s="428">
        <f t="shared" si="18"/>
        <v>31198.833710634557</v>
      </c>
      <c r="U97" s="428">
        <f t="shared" si="18"/>
        <v>625884.22888754157</v>
      </c>
      <c r="V97" s="428">
        <f t="shared" si="18"/>
        <v>38456.239420473794</v>
      </c>
      <c r="W97" s="428">
        <f t="shared" si="18"/>
        <v>452539.55734968698</v>
      </c>
      <c r="X97" s="428">
        <f t="shared" si="18"/>
        <v>24532.632560505219</v>
      </c>
      <c r="Y97" s="428">
        <f t="shared" si="18"/>
        <v>15654.703404062586</v>
      </c>
      <c r="Z97" s="428">
        <f t="shared" si="18"/>
        <v>778.6739855590813</v>
      </c>
      <c r="AA97" s="428">
        <f t="shared" si="18"/>
        <v>149.6510564463434</v>
      </c>
      <c r="AB97" s="428">
        <f t="shared" si="18"/>
        <v>11673.535442439646</v>
      </c>
      <c r="AC97" s="428">
        <f t="shared" si="18"/>
        <v>0</v>
      </c>
      <c r="AD97" s="428">
        <f t="shared" si="18"/>
        <v>0</v>
      </c>
      <c r="AE97" s="428">
        <f t="shared" si="18"/>
        <v>0</v>
      </c>
      <c r="AF97" s="428">
        <f t="shared" si="18"/>
        <v>0</v>
      </c>
      <c r="AG97" s="428">
        <f t="shared" si="18"/>
        <v>0</v>
      </c>
      <c r="AH97" s="428">
        <f t="shared" si="18"/>
        <v>0</v>
      </c>
      <c r="AI97" s="428">
        <f t="shared" si="18"/>
        <v>0</v>
      </c>
      <c r="AJ97" s="428">
        <f t="shared" si="18"/>
        <v>0</v>
      </c>
      <c r="AK97" s="428">
        <f t="shared" si="18"/>
        <v>0</v>
      </c>
      <c r="AL97" s="428">
        <f t="shared" si="18"/>
        <v>0</v>
      </c>
      <c r="AM97" s="428">
        <f t="shared" si="18"/>
        <v>0</v>
      </c>
      <c r="AN97" s="428">
        <f t="shared" si="18"/>
        <v>0</v>
      </c>
      <c r="AO97" s="428">
        <f t="shared" si="18"/>
        <v>0</v>
      </c>
      <c r="AP97" s="462">
        <f t="shared" si="18"/>
        <v>0</v>
      </c>
      <c r="AQ97" s="428">
        <f t="shared" ref="AQ97:BW97" si="19">J77</f>
        <v>0</v>
      </c>
      <c r="AR97" s="428">
        <f t="shared" si="19"/>
        <v>735614.89686908422</v>
      </c>
      <c r="AS97" s="428">
        <f t="shared" si="19"/>
        <v>0</v>
      </c>
      <c r="AT97" s="428">
        <f t="shared" si="19"/>
        <v>0</v>
      </c>
      <c r="AU97" s="428">
        <f t="shared" si="19"/>
        <v>278002.52474213234</v>
      </c>
      <c r="AV97" s="428">
        <f t="shared" si="19"/>
        <v>0</v>
      </c>
      <c r="AW97" s="428">
        <f t="shared" si="19"/>
        <v>7102.53616241911</v>
      </c>
      <c r="AX97" s="428">
        <f t="shared" si="19"/>
        <v>0</v>
      </c>
      <c r="AY97" s="428">
        <f t="shared" si="19"/>
        <v>4.3459831614531019</v>
      </c>
      <c r="AZ97" s="428">
        <f t="shared" si="19"/>
        <v>24996.690407605536</v>
      </c>
      <c r="BA97" s="428">
        <f t="shared" si="19"/>
        <v>177573.26231864805</v>
      </c>
      <c r="BB97" s="428">
        <f t="shared" si="19"/>
        <v>3540894.6661684732</v>
      </c>
      <c r="BC97" s="428">
        <f t="shared" si="19"/>
        <v>221362.20664832584</v>
      </c>
      <c r="BD97" s="428">
        <f t="shared" si="19"/>
        <v>2543209.0589652988</v>
      </c>
      <c r="BE97" s="428">
        <f t="shared" si="19"/>
        <v>0</v>
      </c>
      <c r="BF97" s="428">
        <f t="shared" si="19"/>
        <v>0</v>
      </c>
      <c r="BG97" s="428">
        <f t="shared" si="19"/>
        <v>0</v>
      </c>
      <c r="BH97" s="428">
        <f t="shared" si="19"/>
        <v>0</v>
      </c>
      <c r="BI97" s="428">
        <f t="shared" si="19"/>
        <v>68850.186278347115</v>
      </c>
      <c r="BJ97" s="428">
        <f t="shared" si="19"/>
        <v>0</v>
      </c>
      <c r="BK97" s="428">
        <f t="shared" si="19"/>
        <v>0</v>
      </c>
      <c r="BL97" s="428">
        <f t="shared" si="19"/>
        <v>0</v>
      </c>
      <c r="BM97" s="428">
        <f t="shared" si="19"/>
        <v>0</v>
      </c>
      <c r="BN97" s="428">
        <f t="shared" si="19"/>
        <v>0</v>
      </c>
      <c r="BO97" s="428">
        <f t="shared" si="19"/>
        <v>0</v>
      </c>
      <c r="BP97" s="428">
        <f t="shared" si="19"/>
        <v>0</v>
      </c>
      <c r="BQ97" s="428">
        <f t="shared" si="19"/>
        <v>0</v>
      </c>
      <c r="BR97" s="428">
        <f t="shared" si="19"/>
        <v>0</v>
      </c>
      <c r="BS97" s="428">
        <f t="shared" si="19"/>
        <v>0</v>
      </c>
      <c r="BT97" s="428">
        <f t="shared" si="19"/>
        <v>0</v>
      </c>
      <c r="BU97" s="428">
        <f t="shared" si="19"/>
        <v>0</v>
      </c>
      <c r="BV97" s="428">
        <f t="shared" si="19"/>
        <v>0</v>
      </c>
      <c r="BW97" s="462">
        <f t="shared" si="19"/>
        <v>0</v>
      </c>
      <c r="BX97" s="428">
        <f t="shared" ref="BX97:DD97" si="20">J78</f>
        <v>0</v>
      </c>
      <c r="BY97" s="428">
        <f t="shared" si="20"/>
        <v>0</v>
      </c>
      <c r="BZ97" s="428">
        <f t="shared" si="20"/>
        <v>0</v>
      </c>
      <c r="CA97" s="428">
        <f t="shared" si="20"/>
        <v>0</v>
      </c>
      <c r="CB97" s="428">
        <f t="shared" si="20"/>
        <v>0</v>
      </c>
      <c r="CC97" s="428">
        <f t="shared" si="20"/>
        <v>0</v>
      </c>
      <c r="CD97" s="428">
        <f t="shared" si="20"/>
        <v>0</v>
      </c>
      <c r="CE97" s="428">
        <f t="shared" si="20"/>
        <v>0</v>
      </c>
      <c r="CF97" s="428">
        <f t="shared" si="20"/>
        <v>0</v>
      </c>
      <c r="CG97" s="428">
        <f t="shared" si="20"/>
        <v>14751.44123412742</v>
      </c>
      <c r="CH97" s="428">
        <f t="shared" si="20"/>
        <v>84778.104421972268</v>
      </c>
      <c r="CI97" s="428">
        <f t="shared" si="20"/>
        <v>1866739.9019720491</v>
      </c>
      <c r="CJ97" s="428">
        <f t="shared" si="20"/>
        <v>134010.09592598444</v>
      </c>
      <c r="CK97" s="428">
        <f t="shared" si="20"/>
        <v>1747222.1632098565</v>
      </c>
      <c r="CL97" s="428">
        <f t="shared" si="20"/>
        <v>0</v>
      </c>
      <c r="CM97" s="428">
        <f t="shared" si="20"/>
        <v>0</v>
      </c>
      <c r="CN97" s="428">
        <f t="shared" si="20"/>
        <v>0</v>
      </c>
      <c r="CO97" s="428">
        <f t="shared" si="20"/>
        <v>0</v>
      </c>
      <c r="CP97" s="428">
        <f t="shared" si="20"/>
        <v>135233.45936929047</v>
      </c>
      <c r="CQ97" s="428">
        <f t="shared" si="20"/>
        <v>0</v>
      </c>
      <c r="CR97" s="428">
        <f t="shared" si="20"/>
        <v>0</v>
      </c>
      <c r="CS97" s="428">
        <f t="shared" si="20"/>
        <v>0</v>
      </c>
      <c r="CT97" s="428">
        <f t="shared" si="20"/>
        <v>0</v>
      </c>
      <c r="CU97" s="428">
        <f t="shared" si="20"/>
        <v>0</v>
      </c>
      <c r="CV97" s="428">
        <f t="shared" si="20"/>
        <v>0</v>
      </c>
      <c r="CW97" s="428">
        <f t="shared" si="20"/>
        <v>0</v>
      </c>
      <c r="CX97" s="428">
        <f t="shared" si="20"/>
        <v>0</v>
      </c>
      <c r="CY97" s="428">
        <f t="shared" si="20"/>
        <v>0</v>
      </c>
      <c r="CZ97" s="428">
        <f t="shared" si="20"/>
        <v>0</v>
      </c>
      <c r="DA97" s="428">
        <f t="shared" si="20"/>
        <v>0</v>
      </c>
      <c r="DB97" s="428">
        <f t="shared" si="20"/>
        <v>0</v>
      </c>
      <c r="DC97" s="428">
        <f t="shared" si="20"/>
        <v>0</v>
      </c>
      <c r="DD97" s="428">
        <f t="shared" si="20"/>
        <v>0</v>
      </c>
      <c r="DG97" s="88"/>
    </row>
    <row r="98" spans="3:111" s="131" customFormat="1" outlineLevel="1" x14ac:dyDescent="0.25">
      <c r="D98" s="152"/>
      <c r="E98" s="152"/>
      <c r="F98" s="143"/>
      <c r="H98" s="63"/>
      <c r="I98" s="63"/>
    </row>
    <row r="99" spans="3:111" outlineLevel="1" x14ac:dyDescent="0.25">
      <c r="D99" s="172" t="s">
        <v>609</v>
      </c>
      <c r="E99" s="21"/>
      <c r="F99" s="31"/>
      <c r="H99" s="63"/>
      <c r="I99" s="63"/>
    </row>
    <row r="100" spans="3:111" s="160" customFormat="1" outlineLevel="1" x14ac:dyDescent="0.25">
      <c r="D100" s="172" t="s">
        <v>610</v>
      </c>
      <c r="F100" s="143"/>
      <c r="H100" s="63"/>
      <c r="I100" s="63"/>
    </row>
    <row r="101" spans="3:111" s="338" customFormat="1" outlineLevel="1" x14ac:dyDescent="0.25">
      <c r="D101" s="172"/>
      <c r="F101" s="340"/>
      <c r="H101" s="63"/>
      <c r="I101" s="63"/>
    </row>
    <row r="102" spans="3:111" ht="75" outlineLevel="1" x14ac:dyDescent="0.25">
      <c r="D102" s="21"/>
      <c r="E102" s="304" t="s">
        <v>423</v>
      </c>
      <c r="F102" s="304"/>
      <c r="G102" s="304"/>
      <c r="H102" s="304"/>
      <c r="I102" s="304"/>
      <c r="J102" s="298" t="s">
        <v>308</v>
      </c>
      <c r="K102" s="298" t="s">
        <v>307</v>
      </c>
      <c r="L102" s="298" t="s">
        <v>306</v>
      </c>
      <c r="M102" s="298" t="s">
        <v>305</v>
      </c>
      <c r="N102" s="298" t="s">
        <v>304</v>
      </c>
      <c r="O102" s="298" t="s">
        <v>303</v>
      </c>
      <c r="P102" s="298" t="s">
        <v>302</v>
      </c>
      <c r="Q102" s="298" t="s">
        <v>301</v>
      </c>
      <c r="R102" s="298" t="s">
        <v>300</v>
      </c>
      <c r="S102" s="298" t="s">
        <v>299</v>
      </c>
      <c r="T102" s="298" t="s">
        <v>298</v>
      </c>
      <c r="U102" s="298" t="s">
        <v>297</v>
      </c>
      <c r="V102" s="298" t="s">
        <v>296</v>
      </c>
      <c r="W102" s="298" t="s">
        <v>295</v>
      </c>
      <c r="X102" s="298" t="s">
        <v>294</v>
      </c>
      <c r="Y102" s="298" t="s">
        <v>293</v>
      </c>
      <c r="Z102" s="298" t="s">
        <v>292</v>
      </c>
      <c r="AA102" s="298" t="s">
        <v>291</v>
      </c>
      <c r="AB102" s="298" t="s">
        <v>290</v>
      </c>
      <c r="AC102" s="298" t="s">
        <v>289</v>
      </c>
      <c r="AD102" s="298" t="s">
        <v>288</v>
      </c>
      <c r="AE102" s="298" t="s">
        <v>287</v>
      </c>
      <c r="AF102" s="298" t="s">
        <v>286</v>
      </c>
      <c r="AG102" s="298" t="s">
        <v>285</v>
      </c>
      <c r="AH102" s="298" t="s">
        <v>284</v>
      </c>
      <c r="AI102" s="298" t="s">
        <v>283</v>
      </c>
      <c r="AJ102" s="298" t="s">
        <v>282</v>
      </c>
      <c r="AK102" s="298" t="s">
        <v>281</v>
      </c>
      <c r="AL102" s="298" t="s">
        <v>280</v>
      </c>
      <c r="AM102" s="298" t="s">
        <v>279</v>
      </c>
      <c r="AN102" s="298" t="s">
        <v>278</v>
      </c>
      <c r="AO102" s="298" t="s">
        <v>277</v>
      </c>
      <c r="AP102" s="298" t="s">
        <v>276</v>
      </c>
      <c r="AQ102" s="298" t="s">
        <v>275</v>
      </c>
      <c r="AR102" s="298" t="s">
        <v>274</v>
      </c>
      <c r="AS102" s="298" t="s">
        <v>273</v>
      </c>
      <c r="AT102" s="298" t="s">
        <v>272</v>
      </c>
      <c r="AU102" s="298" t="s">
        <v>271</v>
      </c>
      <c r="AV102" s="298" t="s">
        <v>270</v>
      </c>
      <c r="AW102" s="298" t="s">
        <v>269</v>
      </c>
      <c r="AX102" s="298" t="s">
        <v>268</v>
      </c>
      <c r="AY102" s="298" t="s">
        <v>267</v>
      </c>
      <c r="AZ102" s="298" t="s">
        <v>266</v>
      </c>
      <c r="BA102" s="298" t="s">
        <v>265</v>
      </c>
      <c r="BB102" s="298" t="s">
        <v>264</v>
      </c>
      <c r="BC102" s="298" t="s">
        <v>263</v>
      </c>
      <c r="BD102" s="298" t="s">
        <v>262</v>
      </c>
      <c r="BE102" s="298" t="s">
        <v>261</v>
      </c>
      <c r="BF102" s="298" t="s">
        <v>260</v>
      </c>
      <c r="BG102" s="298" t="s">
        <v>259</v>
      </c>
      <c r="BH102" s="298" t="s">
        <v>258</v>
      </c>
      <c r="BI102" s="298" t="s">
        <v>257</v>
      </c>
      <c r="BJ102" s="298" t="s">
        <v>256</v>
      </c>
      <c r="BK102" s="298" t="s">
        <v>255</v>
      </c>
      <c r="BL102" s="298" t="s">
        <v>254</v>
      </c>
      <c r="BM102" s="298" t="s">
        <v>253</v>
      </c>
      <c r="BN102" s="298" t="s">
        <v>252</v>
      </c>
      <c r="BO102" s="298" t="s">
        <v>251</v>
      </c>
      <c r="BP102" s="298" t="s">
        <v>250</v>
      </c>
      <c r="BQ102" s="298" t="s">
        <v>249</v>
      </c>
      <c r="BR102" s="298" t="s">
        <v>248</v>
      </c>
      <c r="BS102" s="298" t="s">
        <v>247</v>
      </c>
      <c r="BT102" s="298" t="s">
        <v>246</v>
      </c>
      <c r="BU102" s="298" t="s">
        <v>245</v>
      </c>
      <c r="BV102" s="298" t="s">
        <v>244</v>
      </c>
      <c r="BW102" s="298" t="s">
        <v>243</v>
      </c>
      <c r="BX102" s="298" t="s">
        <v>242</v>
      </c>
      <c r="BY102" s="298" t="s">
        <v>241</v>
      </c>
      <c r="BZ102" s="298" t="s">
        <v>240</v>
      </c>
      <c r="CA102" s="298" t="s">
        <v>239</v>
      </c>
      <c r="CB102" s="298" t="s">
        <v>238</v>
      </c>
      <c r="CC102" s="298" t="s">
        <v>237</v>
      </c>
      <c r="CD102" s="298" t="s">
        <v>236</v>
      </c>
      <c r="CE102" s="298" t="s">
        <v>235</v>
      </c>
      <c r="CF102" s="298" t="s">
        <v>234</v>
      </c>
      <c r="CG102" s="298" t="s">
        <v>233</v>
      </c>
      <c r="CH102" s="298" t="s">
        <v>232</v>
      </c>
      <c r="CI102" s="298" t="s">
        <v>231</v>
      </c>
      <c r="CJ102" s="298" t="s">
        <v>230</v>
      </c>
      <c r="CK102" s="298" t="s">
        <v>229</v>
      </c>
      <c r="CL102" s="298" t="s">
        <v>228</v>
      </c>
      <c r="CM102" s="298" t="s">
        <v>227</v>
      </c>
      <c r="CN102" s="298" t="s">
        <v>226</v>
      </c>
      <c r="CO102" s="298" t="s">
        <v>225</v>
      </c>
      <c r="CP102" s="298" t="s">
        <v>224</v>
      </c>
      <c r="CQ102" s="298" t="s">
        <v>223</v>
      </c>
      <c r="CR102" s="298" t="s">
        <v>222</v>
      </c>
      <c r="CS102" s="298" t="s">
        <v>221</v>
      </c>
      <c r="CT102" s="298" t="s">
        <v>220</v>
      </c>
      <c r="CU102" s="298" t="s">
        <v>219</v>
      </c>
      <c r="CV102" s="298" t="s">
        <v>218</v>
      </c>
      <c r="CW102" s="298" t="s">
        <v>217</v>
      </c>
      <c r="CX102" s="298" t="s">
        <v>216</v>
      </c>
      <c r="CY102" s="298" t="s">
        <v>215</v>
      </c>
      <c r="CZ102" s="298" t="s">
        <v>214</v>
      </c>
      <c r="DA102" s="298" t="s">
        <v>213</v>
      </c>
      <c r="DB102" s="298" t="s">
        <v>212</v>
      </c>
      <c r="DC102" s="298" t="s">
        <v>211</v>
      </c>
      <c r="DD102" s="298" t="s">
        <v>210</v>
      </c>
    </row>
    <row r="103" spans="3:111" outlineLevel="1" x14ac:dyDescent="0.25">
      <c r="C103" s="3"/>
      <c r="E103" s="167" t="s">
        <v>207</v>
      </c>
      <c r="F103" s="167"/>
      <c r="G103" s="167" t="s">
        <v>116</v>
      </c>
      <c r="H103" s="167"/>
      <c r="I103" s="167"/>
      <c r="J103" s="435">
        <f t="shared" ref="J103:AO103" si="21">RANK(J96,$J$96:$DD$96,1)</f>
        <v>14</v>
      </c>
      <c r="K103" s="435">
        <f t="shared" si="21"/>
        <v>13</v>
      </c>
      <c r="L103" s="435">
        <f t="shared" si="21"/>
        <v>26</v>
      </c>
      <c r="M103" s="435">
        <f t="shared" si="21"/>
        <v>16</v>
      </c>
      <c r="N103" s="435">
        <f t="shared" si="21"/>
        <v>11</v>
      </c>
      <c r="O103" s="435">
        <f t="shared" si="21"/>
        <v>23</v>
      </c>
      <c r="P103" s="435">
        <f t="shared" si="21"/>
        <v>17</v>
      </c>
      <c r="Q103" s="435">
        <f t="shared" si="21"/>
        <v>18</v>
      </c>
      <c r="R103" s="435">
        <f t="shared" si="21"/>
        <v>22</v>
      </c>
      <c r="S103" s="435">
        <f t="shared" si="21"/>
        <v>3</v>
      </c>
      <c r="T103" s="435">
        <f t="shared" si="21"/>
        <v>2</v>
      </c>
      <c r="U103" s="435">
        <f t="shared" si="21"/>
        <v>4</v>
      </c>
      <c r="V103" s="435">
        <f t="shared" si="21"/>
        <v>5</v>
      </c>
      <c r="W103" s="435">
        <f t="shared" si="21"/>
        <v>6</v>
      </c>
      <c r="X103" s="435">
        <f t="shared" si="21"/>
        <v>10</v>
      </c>
      <c r="Y103" s="435">
        <f t="shared" si="21"/>
        <v>8</v>
      </c>
      <c r="Z103" s="435">
        <f t="shared" si="21"/>
        <v>7</v>
      </c>
      <c r="AA103" s="435">
        <f t="shared" si="21"/>
        <v>9</v>
      </c>
      <c r="AB103" s="435">
        <f t="shared" si="21"/>
        <v>1</v>
      </c>
      <c r="AC103" s="435">
        <f t="shared" si="21"/>
        <v>91</v>
      </c>
      <c r="AD103" s="435">
        <f t="shared" si="21"/>
        <v>88</v>
      </c>
      <c r="AE103" s="435">
        <f t="shared" si="21"/>
        <v>91</v>
      </c>
      <c r="AF103" s="435">
        <f t="shared" si="21"/>
        <v>91</v>
      </c>
      <c r="AG103" s="435">
        <f t="shared" si="21"/>
        <v>98</v>
      </c>
      <c r="AH103" s="435">
        <f t="shared" si="21"/>
        <v>98</v>
      </c>
      <c r="AI103" s="435">
        <f t="shared" si="21"/>
        <v>88</v>
      </c>
      <c r="AJ103" s="435">
        <f t="shared" si="21"/>
        <v>88</v>
      </c>
      <c r="AK103" s="435">
        <f t="shared" si="21"/>
        <v>96</v>
      </c>
      <c r="AL103" s="435">
        <f t="shared" si="21"/>
        <v>96</v>
      </c>
      <c r="AM103" s="435">
        <f t="shared" si="21"/>
        <v>82</v>
      </c>
      <c r="AN103" s="435">
        <f t="shared" si="21"/>
        <v>82</v>
      </c>
      <c r="AO103" s="435">
        <f t="shared" si="21"/>
        <v>94</v>
      </c>
      <c r="AP103" s="435">
        <f t="shared" ref="AP103:BU103" si="22">RANK(AP96,$J$96:$DD$96,1)</f>
        <v>94</v>
      </c>
      <c r="AQ103" s="435">
        <f t="shared" si="22"/>
        <v>37</v>
      </c>
      <c r="AR103" s="435">
        <f t="shared" si="22"/>
        <v>28</v>
      </c>
      <c r="AS103" s="435">
        <f t="shared" si="22"/>
        <v>37</v>
      </c>
      <c r="AT103" s="435">
        <f t="shared" si="22"/>
        <v>37</v>
      </c>
      <c r="AU103" s="435">
        <f t="shared" si="22"/>
        <v>25</v>
      </c>
      <c r="AV103" s="435">
        <f t="shared" si="22"/>
        <v>37</v>
      </c>
      <c r="AW103" s="435">
        <f t="shared" si="22"/>
        <v>29</v>
      </c>
      <c r="AX103" s="435">
        <f t="shared" si="22"/>
        <v>30</v>
      </c>
      <c r="AY103" s="435">
        <f t="shared" si="22"/>
        <v>33</v>
      </c>
      <c r="AZ103" s="435">
        <f t="shared" si="22"/>
        <v>20</v>
      </c>
      <c r="BA103" s="435">
        <f t="shared" si="22"/>
        <v>19</v>
      </c>
      <c r="BB103" s="435">
        <f t="shared" si="22"/>
        <v>21</v>
      </c>
      <c r="BC103" s="435">
        <f t="shared" si="22"/>
        <v>24</v>
      </c>
      <c r="BD103" s="435">
        <f t="shared" si="22"/>
        <v>27</v>
      </c>
      <c r="BE103" s="435">
        <f t="shared" si="22"/>
        <v>37</v>
      </c>
      <c r="BF103" s="435">
        <f t="shared" si="22"/>
        <v>37</v>
      </c>
      <c r="BG103" s="435">
        <f t="shared" si="22"/>
        <v>37</v>
      </c>
      <c r="BH103" s="435">
        <f t="shared" si="22"/>
        <v>37</v>
      </c>
      <c r="BI103" s="435">
        <f t="shared" si="22"/>
        <v>12</v>
      </c>
      <c r="BJ103" s="435">
        <f t="shared" si="22"/>
        <v>37</v>
      </c>
      <c r="BK103" s="435">
        <f t="shared" si="22"/>
        <v>37</v>
      </c>
      <c r="BL103" s="435">
        <f t="shared" si="22"/>
        <v>37</v>
      </c>
      <c r="BM103" s="435">
        <f t="shared" si="22"/>
        <v>37</v>
      </c>
      <c r="BN103" s="435">
        <f t="shared" si="22"/>
        <v>86</v>
      </c>
      <c r="BO103" s="435">
        <f t="shared" si="22"/>
        <v>86</v>
      </c>
      <c r="BP103" s="435">
        <f t="shared" si="22"/>
        <v>37</v>
      </c>
      <c r="BQ103" s="435">
        <f t="shared" si="22"/>
        <v>37</v>
      </c>
      <c r="BR103" s="435">
        <f t="shared" si="22"/>
        <v>84</v>
      </c>
      <c r="BS103" s="435">
        <f t="shared" si="22"/>
        <v>84</v>
      </c>
      <c r="BT103" s="435">
        <f t="shared" si="22"/>
        <v>37</v>
      </c>
      <c r="BU103" s="435">
        <f t="shared" si="22"/>
        <v>37</v>
      </c>
      <c r="BV103" s="435">
        <f t="shared" ref="BV103:DD103" si="23">RANK(BV96,$J$96:$DD$96,1)</f>
        <v>80</v>
      </c>
      <c r="BW103" s="435">
        <f t="shared" si="23"/>
        <v>80</v>
      </c>
      <c r="BX103" s="435">
        <f t="shared" si="23"/>
        <v>37</v>
      </c>
      <c r="BY103" s="435">
        <f t="shared" si="23"/>
        <v>37</v>
      </c>
      <c r="BZ103" s="435">
        <f t="shared" si="23"/>
        <v>37</v>
      </c>
      <c r="CA103" s="435">
        <f t="shared" si="23"/>
        <v>37</v>
      </c>
      <c r="CB103" s="435">
        <f t="shared" si="23"/>
        <v>37</v>
      </c>
      <c r="CC103" s="435">
        <f t="shared" si="23"/>
        <v>37</v>
      </c>
      <c r="CD103" s="435">
        <f t="shared" si="23"/>
        <v>37</v>
      </c>
      <c r="CE103" s="435">
        <f t="shared" si="23"/>
        <v>37</v>
      </c>
      <c r="CF103" s="435">
        <f t="shared" si="23"/>
        <v>37</v>
      </c>
      <c r="CG103" s="435">
        <f t="shared" si="23"/>
        <v>32</v>
      </c>
      <c r="CH103" s="435">
        <f t="shared" si="23"/>
        <v>31</v>
      </c>
      <c r="CI103" s="435">
        <f t="shared" si="23"/>
        <v>34</v>
      </c>
      <c r="CJ103" s="435">
        <f t="shared" si="23"/>
        <v>35</v>
      </c>
      <c r="CK103" s="435">
        <f t="shared" si="23"/>
        <v>36</v>
      </c>
      <c r="CL103" s="435">
        <f t="shared" si="23"/>
        <v>37</v>
      </c>
      <c r="CM103" s="435">
        <f t="shared" si="23"/>
        <v>37</v>
      </c>
      <c r="CN103" s="435">
        <f t="shared" si="23"/>
        <v>37</v>
      </c>
      <c r="CO103" s="435">
        <f t="shared" si="23"/>
        <v>37</v>
      </c>
      <c r="CP103" s="435">
        <f t="shared" si="23"/>
        <v>15</v>
      </c>
      <c r="CQ103" s="435">
        <f t="shared" si="23"/>
        <v>37</v>
      </c>
      <c r="CR103" s="435">
        <f t="shared" si="23"/>
        <v>37</v>
      </c>
      <c r="CS103" s="435">
        <f t="shared" si="23"/>
        <v>37</v>
      </c>
      <c r="CT103" s="435">
        <f t="shared" si="23"/>
        <v>37</v>
      </c>
      <c r="CU103" s="435">
        <f t="shared" si="23"/>
        <v>78</v>
      </c>
      <c r="CV103" s="435">
        <f t="shared" si="23"/>
        <v>78</v>
      </c>
      <c r="CW103" s="435">
        <f t="shared" si="23"/>
        <v>37</v>
      </c>
      <c r="CX103" s="435">
        <f t="shared" si="23"/>
        <v>37</v>
      </c>
      <c r="CY103" s="435">
        <f t="shared" si="23"/>
        <v>76</v>
      </c>
      <c r="CZ103" s="435">
        <f t="shared" si="23"/>
        <v>76</v>
      </c>
      <c r="DA103" s="435">
        <f t="shared" si="23"/>
        <v>37</v>
      </c>
      <c r="DB103" s="435">
        <f t="shared" si="23"/>
        <v>37</v>
      </c>
      <c r="DC103" s="435">
        <f t="shared" si="23"/>
        <v>74</v>
      </c>
      <c r="DD103" s="435">
        <f t="shared" si="23"/>
        <v>74</v>
      </c>
      <c r="DG103" s="88"/>
    </row>
    <row r="104" spans="3:111" outlineLevel="1" x14ac:dyDescent="0.25">
      <c r="C104" s="3"/>
      <c r="E104" s="167" t="s">
        <v>206</v>
      </c>
      <c r="F104" s="167"/>
      <c r="G104" s="167" t="s">
        <v>116</v>
      </c>
      <c r="H104" s="167"/>
      <c r="I104" s="167"/>
      <c r="J104" s="428">
        <f>J103+(COUNT($J$103:J$103)/COUNT($J$103:$DD$103))</f>
        <v>14.01010101010101</v>
      </c>
      <c r="K104" s="428">
        <f>K103+(COUNT($J$103:K$103)/COUNT($J$103:$DD$103))</f>
        <v>13.020202020202021</v>
      </c>
      <c r="L104" s="428">
        <f>L103+(COUNT($J$103:L$103)/COUNT($J$103:$DD$103))</f>
        <v>26.030303030303031</v>
      </c>
      <c r="M104" s="428">
        <f>M103+(COUNT($J$103:M$103)/COUNT($J$103:$DD$103))</f>
        <v>16.040404040404042</v>
      </c>
      <c r="N104" s="428">
        <f>N103+(COUNT($J$103:N$103)/COUNT($J$103:$DD$103))</f>
        <v>11.05050505050505</v>
      </c>
      <c r="O104" s="428">
        <f>O103+(COUNT($J$103:O$103)/COUNT($J$103:$DD$103))</f>
        <v>23.060606060606062</v>
      </c>
      <c r="P104" s="428">
        <f>P103+(COUNT($J$103:P$103)/COUNT($J$103:$DD$103))</f>
        <v>17.070707070707069</v>
      </c>
      <c r="Q104" s="428">
        <f>Q103+(COUNT($J$103:Q$103)/COUNT($J$103:$DD$103))</f>
        <v>18.08080808080808</v>
      </c>
      <c r="R104" s="428">
        <f>R103+(COUNT($J$103:R$103)/COUNT($J$103:$DD$103))</f>
        <v>22.09090909090909</v>
      </c>
      <c r="S104" s="428">
        <f>S103+(COUNT($J$103:S$103)/COUNT($J$103:$DD$103))</f>
        <v>3.1010101010101012</v>
      </c>
      <c r="T104" s="428">
        <f>T103+(COUNT($J$103:T$103)/COUNT($J$103:$DD$103))</f>
        <v>2.1111111111111112</v>
      </c>
      <c r="U104" s="428">
        <f>U103+(COUNT($J$103:U$103)/COUNT($J$103:$DD$103))</f>
        <v>4.1212121212121211</v>
      </c>
      <c r="V104" s="428">
        <f>V103+(COUNT($J$103:V$103)/COUNT($J$103:$DD$103))</f>
        <v>5.1313131313131315</v>
      </c>
      <c r="W104" s="428">
        <f>W103+(COUNT($J$103:W$103)/COUNT($J$103:$DD$103))</f>
        <v>6.141414141414141</v>
      </c>
      <c r="X104" s="428">
        <f>X103+(COUNT($J$103:X$103)/COUNT($J$103:$DD$103))</f>
        <v>10.151515151515152</v>
      </c>
      <c r="Y104" s="428">
        <f>Y103+(COUNT($J$103:Y$103)/COUNT($J$103:$DD$103))</f>
        <v>8.1616161616161609</v>
      </c>
      <c r="Z104" s="428">
        <f>Z103+(COUNT($J$103:Z$103)/COUNT($J$103:$DD$103))</f>
        <v>7.1717171717171713</v>
      </c>
      <c r="AA104" s="428">
        <f>AA103+(COUNT($J$103:AA$103)/COUNT($J$103:$DD$103))</f>
        <v>9.1818181818181817</v>
      </c>
      <c r="AB104" s="428">
        <f>AB103+(COUNT($J$103:AB$103)/COUNT($J$103:$DD$103))</f>
        <v>1.1919191919191918</v>
      </c>
      <c r="AC104" s="428">
        <f>AC103+(COUNT($J$103:AC$103)/COUNT($J$103:$DD$103))</f>
        <v>91.202020202020208</v>
      </c>
      <c r="AD104" s="428">
        <f>AD103+(COUNT($J$103:AD$103)/COUNT($J$103:$DD$103))</f>
        <v>88.212121212121218</v>
      </c>
      <c r="AE104" s="428">
        <f>AE103+(COUNT($J$103:AE$103)/COUNT($J$103:$DD$103))</f>
        <v>91.222222222222229</v>
      </c>
      <c r="AF104" s="428">
        <f>AF103+(COUNT($J$103:AF$103)/COUNT($J$103:$DD$103))</f>
        <v>91.232323232323239</v>
      </c>
      <c r="AG104" s="428">
        <f>AG103+(COUNT($J$103:AG$103)/COUNT($J$103:$DD$103))</f>
        <v>98.242424242424249</v>
      </c>
      <c r="AH104" s="428">
        <f>AH103+(COUNT($J$103:AH$103)/COUNT($J$103:$DD$103))</f>
        <v>98.252525252525245</v>
      </c>
      <c r="AI104" s="428">
        <f>AI103+(COUNT($J$103:AI$103)/COUNT($J$103:$DD$103))</f>
        <v>88.262626262626256</v>
      </c>
      <c r="AJ104" s="428">
        <f>AJ103+(COUNT($J$103:AJ$103)/COUNT($J$103:$DD$103))</f>
        <v>88.272727272727266</v>
      </c>
      <c r="AK104" s="428">
        <f>AK103+(COUNT($J$103:AK$103)/COUNT($J$103:$DD$103))</f>
        <v>96.282828282828277</v>
      </c>
      <c r="AL104" s="428">
        <f>AL103+(COUNT($J$103:AL$103)/COUNT($J$103:$DD$103))</f>
        <v>96.292929292929287</v>
      </c>
      <c r="AM104" s="428">
        <f>AM103+(COUNT($J$103:AM$103)/COUNT($J$103:$DD$103))</f>
        <v>82.303030303030297</v>
      </c>
      <c r="AN104" s="428">
        <f>AN103+(COUNT($J$103:AN$103)/COUNT($J$103:$DD$103))</f>
        <v>82.313131313131308</v>
      </c>
      <c r="AO104" s="428">
        <f>AO103+(COUNT($J$103:AO$103)/COUNT($J$103:$DD$103))</f>
        <v>94.323232323232318</v>
      </c>
      <c r="AP104" s="428">
        <f>AP103+(COUNT($J$103:AP$103)/COUNT($J$103:$DD$103))</f>
        <v>94.333333333333329</v>
      </c>
      <c r="AQ104" s="428">
        <f>AQ103+(COUNT($J$103:AQ$103)/COUNT($J$103:$DD$103))</f>
        <v>37.343434343434346</v>
      </c>
      <c r="AR104" s="428">
        <f>AR103+(COUNT($J$103:AR$103)/COUNT($J$103:$DD$103))</f>
        <v>28.353535353535353</v>
      </c>
      <c r="AS104" s="428">
        <f>AS103+(COUNT($J$103:AS$103)/COUNT($J$103:$DD$103))</f>
        <v>37.363636363636367</v>
      </c>
      <c r="AT104" s="428">
        <f>AT103+(COUNT($J$103:AT$103)/COUNT($J$103:$DD$103))</f>
        <v>37.373737373737377</v>
      </c>
      <c r="AU104" s="428">
        <f>AU103+(COUNT($J$103:AU$103)/COUNT($J$103:$DD$103))</f>
        <v>25.383838383838384</v>
      </c>
      <c r="AV104" s="428">
        <f>AV103+(COUNT($J$103:AV$103)/COUNT($J$103:$DD$103))</f>
        <v>37.393939393939391</v>
      </c>
      <c r="AW104" s="428">
        <f>AW103+(COUNT($J$103:AW$103)/COUNT($J$103:$DD$103))</f>
        <v>29.404040404040405</v>
      </c>
      <c r="AX104" s="428">
        <f>AX103+(COUNT($J$103:AX$103)/COUNT($J$103:$DD$103))</f>
        <v>30.414141414141415</v>
      </c>
      <c r="AY104" s="428">
        <f>AY103+(COUNT($J$103:AY$103)/COUNT($J$103:$DD$103))</f>
        <v>33.424242424242422</v>
      </c>
      <c r="AZ104" s="428">
        <f>AZ103+(COUNT($J$103:AZ$103)/COUNT($J$103:$DD$103))</f>
        <v>20.434343434343436</v>
      </c>
      <c r="BA104" s="428">
        <f>BA103+(COUNT($J$103:BA$103)/COUNT($J$103:$DD$103))</f>
        <v>19.444444444444443</v>
      </c>
      <c r="BB104" s="428">
        <f>BB103+(COUNT($J$103:BB$103)/COUNT($J$103:$DD$103))</f>
        <v>21.454545454545453</v>
      </c>
      <c r="BC104" s="428">
        <f>BC103+(COUNT($J$103:BC$103)/COUNT($J$103:$DD$103))</f>
        <v>24.464646464646464</v>
      </c>
      <c r="BD104" s="428">
        <f>BD103+(COUNT($J$103:BD$103)/COUNT($J$103:$DD$103))</f>
        <v>27.474747474747474</v>
      </c>
      <c r="BE104" s="428">
        <f>BE103+(COUNT($J$103:BE$103)/COUNT($J$103:$DD$103))</f>
        <v>37.484848484848484</v>
      </c>
      <c r="BF104" s="428">
        <f>BF103+(COUNT($J$103:BF$103)/COUNT($J$103:$DD$103))</f>
        <v>37.494949494949495</v>
      </c>
      <c r="BG104" s="428">
        <f>BG103+(COUNT($J$103:BG$103)/COUNT($J$103:$DD$103))</f>
        <v>37.505050505050505</v>
      </c>
      <c r="BH104" s="428">
        <f>BH103+(COUNT($J$103:BH$103)/COUNT($J$103:$DD$103))</f>
        <v>37.515151515151516</v>
      </c>
      <c r="BI104" s="428">
        <f>BI103+(COUNT($J$103:BI$103)/COUNT($J$103:$DD$103))</f>
        <v>12.525252525252526</v>
      </c>
      <c r="BJ104" s="428">
        <f>BJ103+(COUNT($J$103:BJ$103)/COUNT($J$103:$DD$103))</f>
        <v>37.535353535353536</v>
      </c>
      <c r="BK104" s="428">
        <f>BK103+(COUNT($J$103:BK$103)/COUNT($J$103:$DD$103))</f>
        <v>37.545454545454547</v>
      </c>
      <c r="BL104" s="428">
        <f>BL103+(COUNT($J$103:BL$103)/COUNT($J$103:$DD$103))</f>
        <v>37.555555555555557</v>
      </c>
      <c r="BM104" s="428">
        <f>BM103+(COUNT($J$103:BM$103)/COUNT($J$103:$DD$103))</f>
        <v>37.565656565656568</v>
      </c>
      <c r="BN104" s="428">
        <f>BN103+(COUNT($J$103:BN$103)/COUNT($J$103:$DD$103))</f>
        <v>86.575757575757578</v>
      </c>
      <c r="BO104" s="428">
        <f>BO103+(COUNT($J$103:BO$103)/COUNT($J$103:$DD$103))</f>
        <v>86.585858585858588</v>
      </c>
      <c r="BP104" s="428">
        <f>BP103+(COUNT($J$103:BP$103)/COUNT($J$103:$DD$103))</f>
        <v>37.595959595959599</v>
      </c>
      <c r="BQ104" s="428">
        <f>BQ103+(COUNT($J$103:BQ$103)/COUNT($J$103:$DD$103))</f>
        <v>37.606060606060609</v>
      </c>
      <c r="BR104" s="428">
        <f>BR103+(COUNT($J$103:BR$103)/COUNT($J$103:$DD$103))</f>
        <v>84.616161616161619</v>
      </c>
      <c r="BS104" s="428">
        <f>BS103+(COUNT($J$103:BS$103)/COUNT($J$103:$DD$103))</f>
        <v>84.62626262626263</v>
      </c>
      <c r="BT104" s="428">
        <f>BT103+(COUNT($J$103:BT$103)/COUNT($J$103:$DD$103))</f>
        <v>37.636363636363633</v>
      </c>
      <c r="BU104" s="428">
        <f>BU103+(COUNT($J$103:BU$103)/COUNT($J$103:$DD$103))</f>
        <v>37.646464646464644</v>
      </c>
      <c r="BV104" s="428">
        <f>BV103+(COUNT($J$103:BV$103)/COUNT($J$103:$DD$103))</f>
        <v>80.656565656565661</v>
      </c>
      <c r="BW104" s="428">
        <f>BW103+(COUNT($J$103:BW$103)/COUNT($J$103:$DD$103))</f>
        <v>80.666666666666671</v>
      </c>
      <c r="BX104" s="428">
        <f>BX103+(COUNT($J$103:BX$103)/COUNT($J$103:$DD$103))</f>
        <v>37.676767676767675</v>
      </c>
      <c r="BY104" s="428">
        <f>BY103+(COUNT($J$103:BY$103)/COUNT($J$103:$DD$103))</f>
        <v>37.686868686868685</v>
      </c>
      <c r="BZ104" s="428">
        <f>BZ103+(COUNT($J$103:BZ$103)/COUNT($J$103:$DD$103))</f>
        <v>37.696969696969695</v>
      </c>
      <c r="CA104" s="428">
        <f>CA103+(COUNT($J$103:CA$103)/COUNT($J$103:$DD$103))</f>
        <v>37.707070707070706</v>
      </c>
      <c r="CB104" s="428">
        <f>CB103+(COUNT($J$103:CB$103)/COUNT($J$103:$DD$103))</f>
        <v>37.717171717171716</v>
      </c>
      <c r="CC104" s="428">
        <f>CC103+(COUNT($J$103:CC$103)/COUNT($J$103:$DD$103))</f>
        <v>37.727272727272727</v>
      </c>
      <c r="CD104" s="428">
        <f>CD103+(COUNT($J$103:CD$103)/COUNT($J$103:$DD$103))</f>
        <v>37.737373737373737</v>
      </c>
      <c r="CE104" s="428">
        <f>CE103+(COUNT($J$103:CE$103)/COUNT($J$103:$DD$103))</f>
        <v>37.747474747474747</v>
      </c>
      <c r="CF104" s="428">
        <f>CF103+(COUNT($J$103:CF$103)/COUNT($J$103:$DD$103))</f>
        <v>37.757575757575758</v>
      </c>
      <c r="CG104" s="428">
        <f>CG103+(COUNT($J$103:CG$103)/COUNT($J$103:$DD$103))</f>
        <v>32.767676767676768</v>
      </c>
      <c r="CH104" s="428">
        <f>CH103+(COUNT($J$103:CH$103)/COUNT($J$103:$DD$103))</f>
        <v>31.777777777777779</v>
      </c>
      <c r="CI104" s="428">
        <f>CI103+(COUNT($J$103:CI$103)/COUNT($J$103:$DD$103))</f>
        <v>34.787878787878789</v>
      </c>
      <c r="CJ104" s="428">
        <f>CJ103+(COUNT($J$103:CJ$103)/COUNT($J$103:$DD$103))</f>
        <v>35.797979797979799</v>
      </c>
      <c r="CK104" s="428">
        <f>CK103+(COUNT($J$103:CK$103)/COUNT($J$103:$DD$103))</f>
        <v>36.80808080808081</v>
      </c>
      <c r="CL104" s="428">
        <f>CL103+(COUNT($J$103:CL$103)/COUNT($J$103:$DD$103))</f>
        <v>37.81818181818182</v>
      </c>
      <c r="CM104" s="428">
        <f>CM103+(COUNT($J$103:CM$103)/COUNT($J$103:$DD$103))</f>
        <v>37.828282828282831</v>
      </c>
      <c r="CN104" s="428">
        <f>CN103+(COUNT($J$103:CN$103)/COUNT($J$103:$DD$103))</f>
        <v>37.838383838383841</v>
      </c>
      <c r="CO104" s="428">
        <f>CO103+(COUNT($J$103:CO$103)/COUNT($J$103:$DD$103))</f>
        <v>37.848484848484851</v>
      </c>
      <c r="CP104" s="428">
        <f>CP103+(COUNT($J$103:CP$103)/COUNT($J$103:$DD$103))</f>
        <v>15.858585858585858</v>
      </c>
      <c r="CQ104" s="428">
        <f>CQ103+(COUNT($J$103:CQ$103)/COUNT($J$103:$DD$103))</f>
        <v>37.868686868686872</v>
      </c>
      <c r="CR104" s="428">
        <f>CR103+(COUNT($J$103:CR$103)/COUNT($J$103:$DD$103))</f>
        <v>37.878787878787875</v>
      </c>
      <c r="CS104" s="428">
        <f>CS103+(COUNT($J$103:CS$103)/COUNT($J$103:$DD$103))</f>
        <v>37.888888888888886</v>
      </c>
      <c r="CT104" s="428">
        <f>CT103+(COUNT($J$103:CT$103)/COUNT($J$103:$DD$103))</f>
        <v>37.898989898989896</v>
      </c>
      <c r="CU104" s="428">
        <f>CU103+(COUNT($J$103:CU$103)/COUNT($J$103:$DD$103))</f>
        <v>78.909090909090907</v>
      </c>
      <c r="CV104" s="428">
        <f>CV103+(COUNT($J$103:CV$103)/COUNT($J$103:$DD$103))</f>
        <v>78.919191919191917</v>
      </c>
      <c r="CW104" s="428">
        <f>CW103+(COUNT($J$103:CW$103)/COUNT($J$103:$DD$103))</f>
        <v>37.929292929292927</v>
      </c>
      <c r="CX104" s="428">
        <f>CX103+(COUNT($J$103:CX$103)/COUNT($J$103:$DD$103))</f>
        <v>37.939393939393938</v>
      </c>
      <c r="CY104" s="428">
        <f>CY103+(COUNT($J$103:CY$103)/COUNT($J$103:$DD$103))</f>
        <v>76.949494949494948</v>
      </c>
      <c r="CZ104" s="428">
        <f>CZ103+(COUNT($J$103:CZ$103)/COUNT($J$103:$DD$103))</f>
        <v>76.959595959595958</v>
      </c>
      <c r="DA104" s="428">
        <f>DA103+(COUNT($J$103:DA$103)/COUNT($J$103:$DD$103))</f>
        <v>37.969696969696969</v>
      </c>
      <c r="DB104" s="428">
        <f>DB103+(COUNT($J$103:DB$103)/COUNT($J$103:$DD$103))</f>
        <v>37.979797979797979</v>
      </c>
      <c r="DC104" s="428">
        <f>DC103+(COUNT($J$103:DC$103)/COUNT($J$103:$DD$103))</f>
        <v>74.98989898989899</v>
      </c>
      <c r="DD104" s="428">
        <f>DD103+(COUNT($J$103:DD$103)/COUNT($J$103:$DD$103))</f>
        <v>75</v>
      </c>
      <c r="DG104" s="88"/>
    </row>
    <row r="105" spans="3:111" outlineLevel="1" x14ac:dyDescent="0.25">
      <c r="C105" s="3"/>
      <c r="E105" s="167" t="s">
        <v>205</v>
      </c>
      <c r="F105" s="167"/>
      <c r="G105" s="167" t="s">
        <v>116</v>
      </c>
      <c r="H105" s="167"/>
      <c r="I105" s="167"/>
      <c r="J105" s="435">
        <f t="shared" ref="J105:AO105" si="24">RANK(J104,$J$104:$DD$104,1)</f>
        <v>14</v>
      </c>
      <c r="K105" s="435">
        <f t="shared" si="24"/>
        <v>13</v>
      </c>
      <c r="L105" s="435">
        <f t="shared" si="24"/>
        <v>26</v>
      </c>
      <c r="M105" s="435">
        <f t="shared" si="24"/>
        <v>16</v>
      </c>
      <c r="N105" s="435">
        <f t="shared" si="24"/>
        <v>11</v>
      </c>
      <c r="O105" s="435">
        <f t="shared" si="24"/>
        <v>23</v>
      </c>
      <c r="P105" s="435">
        <f t="shared" si="24"/>
        <v>17</v>
      </c>
      <c r="Q105" s="435">
        <f t="shared" si="24"/>
        <v>18</v>
      </c>
      <c r="R105" s="435">
        <f t="shared" si="24"/>
        <v>22</v>
      </c>
      <c r="S105" s="435">
        <f t="shared" si="24"/>
        <v>3</v>
      </c>
      <c r="T105" s="435">
        <f t="shared" si="24"/>
        <v>2</v>
      </c>
      <c r="U105" s="435">
        <f t="shared" si="24"/>
        <v>4</v>
      </c>
      <c r="V105" s="435">
        <f t="shared" si="24"/>
        <v>5</v>
      </c>
      <c r="W105" s="435">
        <f t="shared" si="24"/>
        <v>6</v>
      </c>
      <c r="X105" s="435">
        <f t="shared" si="24"/>
        <v>10</v>
      </c>
      <c r="Y105" s="435">
        <f t="shared" si="24"/>
        <v>8</v>
      </c>
      <c r="Z105" s="435">
        <f t="shared" si="24"/>
        <v>7</v>
      </c>
      <c r="AA105" s="435">
        <f t="shared" si="24"/>
        <v>9</v>
      </c>
      <c r="AB105" s="435">
        <f t="shared" si="24"/>
        <v>1</v>
      </c>
      <c r="AC105" s="435">
        <f t="shared" si="24"/>
        <v>91</v>
      </c>
      <c r="AD105" s="435">
        <f t="shared" si="24"/>
        <v>88</v>
      </c>
      <c r="AE105" s="435">
        <f t="shared" si="24"/>
        <v>92</v>
      </c>
      <c r="AF105" s="435">
        <f t="shared" si="24"/>
        <v>93</v>
      </c>
      <c r="AG105" s="435">
        <f t="shared" si="24"/>
        <v>98</v>
      </c>
      <c r="AH105" s="435">
        <f t="shared" si="24"/>
        <v>99</v>
      </c>
      <c r="AI105" s="435">
        <f t="shared" si="24"/>
        <v>89</v>
      </c>
      <c r="AJ105" s="435">
        <f t="shared" si="24"/>
        <v>90</v>
      </c>
      <c r="AK105" s="435">
        <f t="shared" si="24"/>
        <v>96</v>
      </c>
      <c r="AL105" s="435">
        <f t="shared" si="24"/>
        <v>97</v>
      </c>
      <c r="AM105" s="435">
        <f t="shared" si="24"/>
        <v>82</v>
      </c>
      <c r="AN105" s="435">
        <f t="shared" si="24"/>
        <v>83</v>
      </c>
      <c r="AO105" s="435">
        <f t="shared" si="24"/>
        <v>94</v>
      </c>
      <c r="AP105" s="435">
        <f t="shared" ref="AP105:BU105" si="25">RANK(AP104,$J$104:$DD$104,1)</f>
        <v>95</v>
      </c>
      <c r="AQ105" s="435">
        <f t="shared" si="25"/>
        <v>37</v>
      </c>
      <c r="AR105" s="435">
        <f t="shared" si="25"/>
        <v>28</v>
      </c>
      <c r="AS105" s="435">
        <f t="shared" si="25"/>
        <v>38</v>
      </c>
      <c r="AT105" s="435">
        <f t="shared" si="25"/>
        <v>39</v>
      </c>
      <c r="AU105" s="435">
        <f t="shared" si="25"/>
        <v>25</v>
      </c>
      <c r="AV105" s="435">
        <f t="shared" si="25"/>
        <v>40</v>
      </c>
      <c r="AW105" s="435">
        <f t="shared" si="25"/>
        <v>29</v>
      </c>
      <c r="AX105" s="435">
        <f t="shared" si="25"/>
        <v>30</v>
      </c>
      <c r="AY105" s="435">
        <f t="shared" si="25"/>
        <v>33</v>
      </c>
      <c r="AZ105" s="435">
        <f t="shared" si="25"/>
        <v>20</v>
      </c>
      <c r="BA105" s="435">
        <f t="shared" si="25"/>
        <v>19</v>
      </c>
      <c r="BB105" s="435">
        <f t="shared" si="25"/>
        <v>21</v>
      </c>
      <c r="BC105" s="435">
        <f t="shared" si="25"/>
        <v>24</v>
      </c>
      <c r="BD105" s="435">
        <f t="shared" si="25"/>
        <v>27</v>
      </c>
      <c r="BE105" s="435">
        <f t="shared" si="25"/>
        <v>41</v>
      </c>
      <c r="BF105" s="435">
        <f t="shared" si="25"/>
        <v>42</v>
      </c>
      <c r="BG105" s="435">
        <f t="shared" si="25"/>
        <v>43</v>
      </c>
      <c r="BH105" s="435">
        <f t="shared" si="25"/>
        <v>44</v>
      </c>
      <c r="BI105" s="435">
        <f t="shared" si="25"/>
        <v>12</v>
      </c>
      <c r="BJ105" s="435">
        <f t="shared" si="25"/>
        <v>45</v>
      </c>
      <c r="BK105" s="435">
        <f t="shared" si="25"/>
        <v>46</v>
      </c>
      <c r="BL105" s="435">
        <f t="shared" si="25"/>
        <v>47</v>
      </c>
      <c r="BM105" s="435">
        <f t="shared" si="25"/>
        <v>48</v>
      </c>
      <c r="BN105" s="435">
        <f t="shared" si="25"/>
        <v>86</v>
      </c>
      <c r="BO105" s="435">
        <f t="shared" si="25"/>
        <v>87</v>
      </c>
      <c r="BP105" s="435">
        <f t="shared" si="25"/>
        <v>49</v>
      </c>
      <c r="BQ105" s="435">
        <f t="shared" si="25"/>
        <v>50</v>
      </c>
      <c r="BR105" s="435">
        <f t="shared" si="25"/>
        <v>84</v>
      </c>
      <c r="BS105" s="435">
        <f t="shared" si="25"/>
        <v>85</v>
      </c>
      <c r="BT105" s="435">
        <f t="shared" si="25"/>
        <v>51</v>
      </c>
      <c r="BU105" s="435">
        <f t="shared" si="25"/>
        <v>52</v>
      </c>
      <c r="BV105" s="435">
        <f t="shared" ref="BV105:DA105" si="26">RANK(BV104,$J$104:$DD$104,1)</f>
        <v>80</v>
      </c>
      <c r="BW105" s="435">
        <f t="shared" si="26"/>
        <v>81</v>
      </c>
      <c r="BX105" s="435">
        <f t="shared" si="26"/>
        <v>53</v>
      </c>
      <c r="BY105" s="435">
        <f t="shared" si="26"/>
        <v>54</v>
      </c>
      <c r="BZ105" s="435">
        <f t="shared" si="26"/>
        <v>55</v>
      </c>
      <c r="CA105" s="435">
        <f t="shared" si="26"/>
        <v>56</v>
      </c>
      <c r="CB105" s="435">
        <f t="shared" si="26"/>
        <v>57</v>
      </c>
      <c r="CC105" s="435">
        <f t="shared" si="26"/>
        <v>58</v>
      </c>
      <c r="CD105" s="435">
        <f t="shared" si="26"/>
        <v>59</v>
      </c>
      <c r="CE105" s="435">
        <f t="shared" si="26"/>
        <v>60</v>
      </c>
      <c r="CF105" s="435">
        <f t="shared" si="26"/>
        <v>61</v>
      </c>
      <c r="CG105" s="435">
        <f t="shared" si="26"/>
        <v>32</v>
      </c>
      <c r="CH105" s="435">
        <f t="shared" si="26"/>
        <v>31</v>
      </c>
      <c r="CI105" s="435">
        <f t="shared" si="26"/>
        <v>34</v>
      </c>
      <c r="CJ105" s="435">
        <f t="shared" si="26"/>
        <v>35</v>
      </c>
      <c r="CK105" s="435">
        <f t="shared" si="26"/>
        <v>36</v>
      </c>
      <c r="CL105" s="435">
        <f t="shared" si="26"/>
        <v>62</v>
      </c>
      <c r="CM105" s="435">
        <f t="shared" si="26"/>
        <v>63</v>
      </c>
      <c r="CN105" s="435">
        <f t="shared" si="26"/>
        <v>64</v>
      </c>
      <c r="CO105" s="435">
        <f t="shared" si="26"/>
        <v>65</v>
      </c>
      <c r="CP105" s="435">
        <f t="shared" si="26"/>
        <v>15</v>
      </c>
      <c r="CQ105" s="435">
        <f t="shared" si="26"/>
        <v>66</v>
      </c>
      <c r="CR105" s="435">
        <f t="shared" si="26"/>
        <v>67</v>
      </c>
      <c r="CS105" s="435">
        <f t="shared" si="26"/>
        <v>68</v>
      </c>
      <c r="CT105" s="435">
        <f t="shared" si="26"/>
        <v>69</v>
      </c>
      <c r="CU105" s="435">
        <f t="shared" si="26"/>
        <v>78</v>
      </c>
      <c r="CV105" s="435">
        <f t="shared" si="26"/>
        <v>79</v>
      </c>
      <c r="CW105" s="435">
        <f t="shared" si="26"/>
        <v>70</v>
      </c>
      <c r="CX105" s="435">
        <f t="shared" si="26"/>
        <v>71</v>
      </c>
      <c r="CY105" s="435">
        <f t="shared" si="26"/>
        <v>76</v>
      </c>
      <c r="CZ105" s="435">
        <f t="shared" si="26"/>
        <v>77</v>
      </c>
      <c r="DA105" s="435">
        <f t="shared" si="26"/>
        <v>72</v>
      </c>
      <c r="DB105" s="435">
        <f t="shared" ref="DB105:DD105" si="27">RANK(DB104,$J$104:$DD$104,1)</f>
        <v>73</v>
      </c>
      <c r="DC105" s="435">
        <f t="shared" si="27"/>
        <v>74</v>
      </c>
      <c r="DD105" s="435">
        <f t="shared" si="27"/>
        <v>75</v>
      </c>
      <c r="DG105" s="88"/>
    </row>
    <row r="106" spans="3:111" s="88" customFormat="1" outlineLevel="1" x14ac:dyDescent="0.25">
      <c r="D106" s="65"/>
      <c r="E106" s="152"/>
      <c r="F106" s="31"/>
      <c r="H106" s="63"/>
      <c r="I106" s="63"/>
    </row>
    <row r="107" spans="3:111" outlineLevel="1" x14ac:dyDescent="0.25">
      <c r="D107" s="172" t="s">
        <v>611</v>
      </c>
      <c r="E107" s="21"/>
      <c r="F107" s="31"/>
      <c r="H107" s="63"/>
      <c r="I107" s="63"/>
    </row>
    <row r="108" spans="3:111" s="160" customFormat="1" outlineLevel="1" x14ac:dyDescent="0.25">
      <c r="D108" s="172" t="s">
        <v>612</v>
      </c>
      <c r="F108" s="143"/>
      <c r="H108" s="63"/>
      <c r="I108" s="63"/>
    </row>
    <row r="109" spans="3:111" s="338" customFormat="1" outlineLevel="1" x14ac:dyDescent="0.25">
      <c r="D109" s="172"/>
      <c r="F109" s="340"/>
      <c r="H109" s="63"/>
      <c r="I109" s="63"/>
    </row>
    <row r="110" spans="3:111" outlineLevel="1" x14ac:dyDescent="0.25">
      <c r="D110" s="21"/>
      <c r="E110" s="304" t="s">
        <v>424</v>
      </c>
      <c r="F110" s="304"/>
      <c r="G110" s="304"/>
      <c r="H110" s="304" t="s">
        <v>203</v>
      </c>
      <c r="I110" s="304"/>
      <c r="J110" s="306">
        <v>1</v>
      </c>
      <c r="K110" s="306">
        <f>J110+1</f>
        <v>2</v>
      </c>
      <c r="L110" s="306">
        <f t="shared" ref="L110:BW110" si="28">K110+1</f>
        <v>3</v>
      </c>
      <c r="M110" s="306">
        <f t="shared" si="28"/>
        <v>4</v>
      </c>
      <c r="N110" s="306">
        <f t="shared" si="28"/>
        <v>5</v>
      </c>
      <c r="O110" s="306">
        <f t="shared" si="28"/>
        <v>6</v>
      </c>
      <c r="P110" s="306">
        <f t="shared" si="28"/>
        <v>7</v>
      </c>
      <c r="Q110" s="306">
        <f t="shared" si="28"/>
        <v>8</v>
      </c>
      <c r="R110" s="306">
        <f t="shared" si="28"/>
        <v>9</v>
      </c>
      <c r="S110" s="306">
        <f t="shared" si="28"/>
        <v>10</v>
      </c>
      <c r="T110" s="306">
        <f t="shared" si="28"/>
        <v>11</v>
      </c>
      <c r="U110" s="306">
        <f t="shared" si="28"/>
        <v>12</v>
      </c>
      <c r="V110" s="306">
        <f t="shared" si="28"/>
        <v>13</v>
      </c>
      <c r="W110" s="306">
        <f t="shared" si="28"/>
        <v>14</v>
      </c>
      <c r="X110" s="306">
        <f t="shared" si="28"/>
        <v>15</v>
      </c>
      <c r="Y110" s="306">
        <f t="shared" si="28"/>
        <v>16</v>
      </c>
      <c r="Z110" s="306">
        <f t="shared" si="28"/>
        <v>17</v>
      </c>
      <c r="AA110" s="306">
        <f t="shared" si="28"/>
        <v>18</v>
      </c>
      <c r="AB110" s="306">
        <f t="shared" si="28"/>
        <v>19</v>
      </c>
      <c r="AC110" s="306">
        <f t="shared" si="28"/>
        <v>20</v>
      </c>
      <c r="AD110" s="306">
        <f t="shared" si="28"/>
        <v>21</v>
      </c>
      <c r="AE110" s="306">
        <f t="shared" si="28"/>
        <v>22</v>
      </c>
      <c r="AF110" s="306">
        <f t="shared" si="28"/>
        <v>23</v>
      </c>
      <c r="AG110" s="306">
        <f t="shared" si="28"/>
        <v>24</v>
      </c>
      <c r="AH110" s="306">
        <f t="shared" si="28"/>
        <v>25</v>
      </c>
      <c r="AI110" s="306">
        <f t="shared" si="28"/>
        <v>26</v>
      </c>
      <c r="AJ110" s="306">
        <f t="shared" si="28"/>
        <v>27</v>
      </c>
      <c r="AK110" s="306">
        <f t="shared" si="28"/>
        <v>28</v>
      </c>
      <c r="AL110" s="306">
        <f t="shared" si="28"/>
        <v>29</v>
      </c>
      <c r="AM110" s="306">
        <f t="shared" si="28"/>
        <v>30</v>
      </c>
      <c r="AN110" s="306">
        <f t="shared" si="28"/>
        <v>31</v>
      </c>
      <c r="AO110" s="306">
        <f t="shared" si="28"/>
        <v>32</v>
      </c>
      <c r="AP110" s="306">
        <f t="shared" si="28"/>
        <v>33</v>
      </c>
      <c r="AQ110" s="306">
        <f t="shared" si="28"/>
        <v>34</v>
      </c>
      <c r="AR110" s="306">
        <f t="shared" si="28"/>
        <v>35</v>
      </c>
      <c r="AS110" s="306">
        <f t="shared" si="28"/>
        <v>36</v>
      </c>
      <c r="AT110" s="306">
        <f t="shared" si="28"/>
        <v>37</v>
      </c>
      <c r="AU110" s="306">
        <f t="shared" si="28"/>
        <v>38</v>
      </c>
      <c r="AV110" s="306">
        <f t="shared" si="28"/>
        <v>39</v>
      </c>
      <c r="AW110" s="306">
        <f t="shared" si="28"/>
        <v>40</v>
      </c>
      <c r="AX110" s="306">
        <f t="shared" si="28"/>
        <v>41</v>
      </c>
      <c r="AY110" s="306">
        <f t="shared" si="28"/>
        <v>42</v>
      </c>
      <c r="AZ110" s="306">
        <f t="shared" si="28"/>
        <v>43</v>
      </c>
      <c r="BA110" s="306">
        <f t="shared" si="28"/>
        <v>44</v>
      </c>
      <c r="BB110" s="306">
        <f t="shared" si="28"/>
        <v>45</v>
      </c>
      <c r="BC110" s="306">
        <f t="shared" si="28"/>
        <v>46</v>
      </c>
      <c r="BD110" s="306">
        <f t="shared" si="28"/>
        <v>47</v>
      </c>
      <c r="BE110" s="306">
        <f t="shared" si="28"/>
        <v>48</v>
      </c>
      <c r="BF110" s="306">
        <f t="shared" si="28"/>
        <v>49</v>
      </c>
      <c r="BG110" s="306">
        <f t="shared" si="28"/>
        <v>50</v>
      </c>
      <c r="BH110" s="306">
        <f t="shared" si="28"/>
        <v>51</v>
      </c>
      <c r="BI110" s="306">
        <f t="shared" si="28"/>
        <v>52</v>
      </c>
      <c r="BJ110" s="306">
        <f t="shared" si="28"/>
        <v>53</v>
      </c>
      <c r="BK110" s="306">
        <f t="shared" si="28"/>
        <v>54</v>
      </c>
      <c r="BL110" s="306">
        <f t="shared" si="28"/>
        <v>55</v>
      </c>
      <c r="BM110" s="306">
        <f t="shared" si="28"/>
        <v>56</v>
      </c>
      <c r="BN110" s="306">
        <f t="shared" si="28"/>
        <v>57</v>
      </c>
      <c r="BO110" s="306">
        <f t="shared" si="28"/>
        <v>58</v>
      </c>
      <c r="BP110" s="306">
        <f t="shared" si="28"/>
        <v>59</v>
      </c>
      <c r="BQ110" s="306">
        <f t="shared" si="28"/>
        <v>60</v>
      </c>
      <c r="BR110" s="306">
        <f t="shared" si="28"/>
        <v>61</v>
      </c>
      <c r="BS110" s="306">
        <f t="shared" si="28"/>
        <v>62</v>
      </c>
      <c r="BT110" s="306">
        <f t="shared" si="28"/>
        <v>63</v>
      </c>
      <c r="BU110" s="306">
        <f t="shared" si="28"/>
        <v>64</v>
      </c>
      <c r="BV110" s="306">
        <f t="shared" si="28"/>
        <v>65</v>
      </c>
      <c r="BW110" s="306">
        <f t="shared" si="28"/>
        <v>66</v>
      </c>
      <c r="BX110" s="306">
        <f t="shared" ref="BX110:DD110" si="29">BW110+1</f>
        <v>67</v>
      </c>
      <c r="BY110" s="306">
        <f t="shared" si="29"/>
        <v>68</v>
      </c>
      <c r="BZ110" s="306">
        <f t="shared" si="29"/>
        <v>69</v>
      </c>
      <c r="CA110" s="306">
        <f t="shared" si="29"/>
        <v>70</v>
      </c>
      <c r="CB110" s="306">
        <f t="shared" si="29"/>
        <v>71</v>
      </c>
      <c r="CC110" s="306">
        <f t="shared" si="29"/>
        <v>72</v>
      </c>
      <c r="CD110" s="306">
        <f t="shared" si="29"/>
        <v>73</v>
      </c>
      <c r="CE110" s="306">
        <f t="shared" si="29"/>
        <v>74</v>
      </c>
      <c r="CF110" s="306">
        <f t="shared" si="29"/>
        <v>75</v>
      </c>
      <c r="CG110" s="306">
        <f t="shared" si="29"/>
        <v>76</v>
      </c>
      <c r="CH110" s="306">
        <f t="shared" si="29"/>
        <v>77</v>
      </c>
      <c r="CI110" s="306">
        <f t="shared" si="29"/>
        <v>78</v>
      </c>
      <c r="CJ110" s="306">
        <f t="shared" si="29"/>
        <v>79</v>
      </c>
      <c r="CK110" s="306">
        <f t="shared" si="29"/>
        <v>80</v>
      </c>
      <c r="CL110" s="306">
        <f t="shared" si="29"/>
        <v>81</v>
      </c>
      <c r="CM110" s="306">
        <f t="shared" si="29"/>
        <v>82</v>
      </c>
      <c r="CN110" s="306">
        <f t="shared" si="29"/>
        <v>83</v>
      </c>
      <c r="CO110" s="306">
        <f t="shared" si="29"/>
        <v>84</v>
      </c>
      <c r="CP110" s="306">
        <f t="shared" si="29"/>
        <v>85</v>
      </c>
      <c r="CQ110" s="306">
        <f t="shared" si="29"/>
        <v>86</v>
      </c>
      <c r="CR110" s="306">
        <f t="shared" si="29"/>
        <v>87</v>
      </c>
      <c r="CS110" s="306">
        <f t="shared" si="29"/>
        <v>88</v>
      </c>
      <c r="CT110" s="306">
        <f t="shared" si="29"/>
        <v>89</v>
      </c>
      <c r="CU110" s="306">
        <f t="shared" si="29"/>
        <v>90</v>
      </c>
      <c r="CV110" s="306">
        <f t="shared" si="29"/>
        <v>91</v>
      </c>
      <c r="CW110" s="306">
        <f t="shared" si="29"/>
        <v>92</v>
      </c>
      <c r="CX110" s="306">
        <f t="shared" si="29"/>
        <v>93</v>
      </c>
      <c r="CY110" s="306">
        <f t="shared" si="29"/>
        <v>94</v>
      </c>
      <c r="CZ110" s="306">
        <f t="shared" si="29"/>
        <v>95</v>
      </c>
      <c r="DA110" s="306">
        <f t="shared" si="29"/>
        <v>96</v>
      </c>
      <c r="DB110" s="306">
        <f t="shared" si="29"/>
        <v>97</v>
      </c>
      <c r="DC110" s="306">
        <f t="shared" si="29"/>
        <v>98</v>
      </c>
      <c r="DD110" s="306">
        <f t="shared" si="29"/>
        <v>99</v>
      </c>
    </row>
    <row r="111" spans="3:111" outlineLevel="1" x14ac:dyDescent="0.25">
      <c r="C111" s="3"/>
      <c r="E111" s="167" t="s">
        <v>204</v>
      </c>
      <c r="F111" s="167"/>
      <c r="G111" s="167" t="s">
        <v>201</v>
      </c>
      <c r="H111" s="585"/>
      <c r="I111" s="572"/>
      <c r="J111" s="585">
        <f t="shared" ref="J111:AO111" si="30">INDEX($J$96:$DD$96,1,MATCH(J110,$J$105:$DD$105,0))</f>
        <v>-13.387627198479423</v>
      </c>
      <c r="K111" s="585">
        <f t="shared" si="30"/>
        <v>-8.8282466365441543</v>
      </c>
      <c r="L111" s="585">
        <f t="shared" si="30"/>
        <v>-8.3638006882343365</v>
      </c>
      <c r="M111" s="585">
        <f t="shared" si="30"/>
        <v>-5.9331471242397003</v>
      </c>
      <c r="N111" s="585">
        <f t="shared" si="30"/>
        <v>-4.5269278212105721</v>
      </c>
      <c r="O111" s="585">
        <f t="shared" si="30"/>
        <v>-3.2073031362533886</v>
      </c>
      <c r="P111" s="585">
        <f t="shared" si="30"/>
        <v>-3.0645944998900445</v>
      </c>
      <c r="Q111" s="585">
        <f t="shared" si="30"/>
        <v>-2.3198933711558842</v>
      </c>
      <c r="R111" s="585">
        <f t="shared" si="30"/>
        <v>-2.2743892687169116</v>
      </c>
      <c r="S111" s="585">
        <f t="shared" si="30"/>
        <v>-2.264792088932257</v>
      </c>
      <c r="T111" s="585">
        <f t="shared" si="30"/>
        <v>-2.2531084737912934</v>
      </c>
      <c r="U111" s="585">
        <f t="shared" si="30"/>
        <v>-2.2396229552242977</v>
      </c>
      <c r="V111" s="585">
        <f t="shared" si="30"/>
        <v>-2.0501753794634672</v>
      </c>
      <c r="W111" s="585">
        <f t="shared" si="30"/>
        <v>-1.5969040604098796</v>
      </c>
      <c r="X111" s="585">
        <f t="shared" si="30"/>
        <v>-1.5019754471194631</v>
      </c>
      <c r="Y111" s="585">
        <f t="shared" si="30"/>
        <v>-1.4406710911410869</v>
      </c>
      <c r="Z111" s="585">
        <f t="shared" si="30"/>
        <v>-1.1473972052693786</v>
      </c>
      <c r="AA111" s="585">
        <f t="shared" si="30"/>
        <v>-0.9391372710459962</v>
      </c>
      <c r="AB111" s="585">
        <f t="shared" si="30"/>
        <v>-0.91064877744342132</v>
      </c>
      <c r="AC111" s="585">
        <f t="shared" si="30"/>
        <v>-0.86260843002178911</v>
      </c>
      <c r="AD111" s="585">
        <f t="shared" si="30"/>
        <v>-0.52966468402295064</v>
      </c>
      <c r="AE111" s="585">
        <f t="shared" si="30"/>
        <v>-0.52492342576582107</v>
      </c>
      <c r="AF111" s="585">
        <f t="shared" si="30"/>
        <v>-0.32834165057051812</v>
      </c>
      <c r="AG111" s="585">
        <f t="shared" si="30"/>
        <v>-0.26867722866611671</v>
      </c>
      <c r="AH111" s="585">
        <f t="shared" si="30"/>
        <v>-0.2546649770101555</v>
      </c>
      <c r="AI111" s="585">
        <f t="shared" si="30"/>
        <v>-0.19994305292917913</v>
      </c>
      <c r="AJ111" s="585">
        <f t="shared" si="30"/>
        <v>-0.16091867959478245</v>
      </c>
      <c r="AK111" s="585">
        <f t="shared" si="30"/>
        <v>-0.10408156499649134</v>
      </c>
      <c r="AL111" s="585">
        <f t="shared" si="30"/>
        <v>-9.3511500040173792E-2</v>
      </c>
      <c r="AM111" s="585">
        <f t="shared" si="30"/>
        <v>-7.2356015741901064E-2</v>
      </c>
      <c r="AN111" s="585">
        <f t="shared" si="30"/>
        <v>-5.18728960026444E-2</v>
      </c>
      <c r="AO111" s="585">
        <f t="shared" si="30"/>
        <v>-4.9133022238593935E-2</v>
      </c>
      <c r="AP111" s="585">
        <f t="shared" ref="AP111:BU111" si="31">INDEX($J$96:$DD$96,1,MATCH(AP110,$J$105:$DD$105,0))</f>
        <v>-3.1535310566598682E-2</v>
      </c>
      <c r="AQ111" s="585">
        <f t="shared" si="31"/>
        <v>-2.8005246403861348E-2</v>
      </c>
      <c r="AR111" s="585">
        <f t="shared" si="31"/>
        <v>-1.0089867723546669E-2</v>
      </c>
      <c r="AS111" s="585">
        <f t="shared" si="31"/>
        <v>-4.8681886495548889E-3</v>
      </c>
      <c r="AT111" s="585">
        <f t="shared" si="31"/>
        <v>0</v>
      </c>
      <c r="AU111" s="585">
        <f t="shared" si="31"/>
        <v>0</v>
      </c>
      <c r="AV111" s="585">
        <f t="shared" si="31"/>
        <v>0</v>
      </c>
      <c r="AW111" s="585">
        <f t="shared" si="31"/>
        <v>0</v>
      </c>
      <c r="AX111" s="585">
        <f t="shared" si="31"/>
        <v>0</v>
      </c>
      <c r="AY111" s="585">
        <f t="shared" si="31"/>
        <v>0</v>
      </c>
      <c r="AZ111" s="585">
        <f t="shared" si="31"/>
        <v>0</v>
      </c>
      <c r="BA111" s="585">
        <f t="shared" si="31"/>
        <v>0</v>
      </c>
      <c r="BB111" s="585">
        <f t="shared" si="31"/>
        <v>0</v>
      </c>
      <c r="BC111" s="585">
        <f t="shared" si="31"/>
        <v>0</v>
      </c>
      <c r="BD111" s="585">
        <f t="shared" si="31"/>
        <v>0</v>
      </c>
      <c r="BE111" s="585">
        <f t="shared" si="31"/>
        <v>0</v>
      </c>
      <c r="BF111" s="585">
        <f t="shared" si="31"/>
        <v>0</v>
      </c>
      <c r="BG111" s="585">
        <f t="shared" si="31"/>
        <v>0</v>
      </c>
      <c r="BH111" s="585">
        <f t="shared" si="31"/>
        <v>0</v>
      </c>
      <c r="BI111" s="585">
        <f t="shared" si="31"/>
        <v>0</v>
      </c>
      <c r="BJ111" s="585">
        <f t="shared" si="31"/>
        <v>0</v>
      </c>
      <c r="BK111" s="585">
        <f t="shared" si="31"/>
        <v>0</v>
      </c>
      <c r="BL111" s="585">
        <f t="shared" si="31"/>
        <v>0</v>
      </c>
      <c r="BM111" s="585">
        <f t="shared" si="31"/>
        <v>0</v>
      </c>
      <c r="BN111" s="585">
        <f t="shared" si="31"/>
        <v>0</v>
      </c>
      <c r="BO111" s="585">
        <f t="shared" si="31"/>
        <v>0</v>
      </c>
      <c r="BP111" s="585">
        <f t="shared" si="31"/>
        <v>0</v>
      </c>
      <c r="BQ111" s="585">
        <f t="shared" si="31"/>
        <v>0</v>
      </c>
      <c r="BR111" s="585">
        <f t="shared" si="31"/>
        <v>0</v>
      </c>
      <c r="BS111" s="585">
        <f t="shared" si="31"/>
        <v>0</v>
      </c>
      <c r="BT111" s="585">
        <f t="shared" si="31"/>
        <v>0</v>
      </c>
      <c r="BU111" s="585">
        <f t="shared" si="31"/>
        <v>0</v>
      </c>
      <c r="BV111" s="585">
        <f t="shared" ref="BV111:DA111" si="32">INDEX($J$96:$DD$96,1,MATCH(BV110,$J$105:$DD$105,0))</f>
        <v>0</v>
      </c>
      <c r="BW111" s="585">
        <f t="shared" si="32"/>
        <v>0</v>
      </c>
      <c r="BX111" s="585">
        <f t="shared" si="32"/>
        <v>0</v>
      </c>
      <c r="BY111" s="585">
        <f t="shared" si="32"/>
        <v>0</v>
      </c>
      <c r="BZ111" s="585">
        <f t="shared" si="32"/>
        <v>0</v>
      </c>
      <c r="CA111" s="585">
        <f t="shared" si="32"/>
        <v>0</v>
      </c>
      <c r="CB111" s="585">
        <f t="shared" si="32"/>
        <v>0</v>
      </c>
      <c r="CC111" s="585">
        <f t="shared" si="32"/>
        <v>0</v>
      </c>
      <c r="CD111" s="585">
        <f t="shared" si="32"/>
        <v>0</v>
      </c>
      <c r="CE111" s="585">
        <f t="shared" si="32"/>
        <v>8.4674213394694883E-3</v>
      </c>
      <c r="CF111" s="585">
        <f t="shared" si="32"/>
        <v>8.4674213394694883E-3</v>
      </c>
      <c r="CG111" s="585">
        <f t="shared" si="32"/>
        <v>2.6018043903937992E-2</v>
      </c>
      <c r="CH111" s="585">
        <f t="shared" si="32"/>
        <v>2.6018043903937992E-2</v>
      </c>
      <c r="CI111" s="585">
        <f t="shared" si="32"/>
        <v>3.2538395709517873E-2</v>
      </c>
      <c r="CJ111" s="585">
        <f t="shared" si="32"/>
        <v>3.2538395709517873E-2</v>
      </c>
      <c r="CK111" s="585">
        <f t="shared" si="32"/>
        <v>0.22667318511436871</v>
      </c>
      <c r="CL111" s="585">
        <f t="shared" si="32"/>
        <v>0.22667318511436871</v>
      </c>
      <c r="CM111" s="585">
        <f t="shared" si="32"/>
        <v>0.45988671665948044</v>
      </c>
      <c r="CN111" s="585">
        <f t="shared" si="32"/>
        <v>0.45988671665948044</v>
      </c>
      <c r="CO111" s="585">
        <f t="shared" si="32"/>
        <v>0.47519726588679745</v>
      </c>
      <c r="CP111" s="585">
        <f t="shared" si="32"/>
        <v>0.47519726588679745</v>
      </c>
      <c r="CQ111" s="585">
        <f t="shared" si="32"/>
        <v>0.57117143880771426</v>
      </c>
      <c r="CR111" s="585">
        <f t="shared" si="32"/>
        <v>0.57117143880771426</v>
      </c>
      <c r="CS111" s="585">
        <f t="shared" si="32"/>
        <v>0.69465934114707428</v>
      </c>
      <c r="CT111" s="585">
        <f t="shared" si="32"/>
        <v>0.69465934114707428</v>
      </c>
      <c r="CU111" s="585">
        <f t="shared" si="32"/>
        <v>0.69465934114707428</v>
      </c>
      <c r="CV111" s="585">
        <f t="shared" si="32"/>
        <v>0.79377796595710459</v>
      </c>
      <c r="CW111" s="585">
        <f t="shared" si="32"/>
        <v>0.79377796595710459</v>
      </c>
      <c r="CX111" s="585">
        <f t="shared" si="32"/>
        <v>0.79377796595710459</v>
      </c>
      <c r="CY111" s="585">
        <f t="shared" si="32"/>
        <v>3.8382142689374743</v>
      </c>
      <c r="CZ111" s="585">
        <f t="shared" si="32"/>
        <v>3.8382142689374743</v>
      </c>
      <c r="DA111" s="585">
        <f t="shared" si="32"/>
        <v>4.9939526180609626</v>
      </c>
      <c r="DB111" s="585">
        <f t="shared" ref="DB111:DD111" si="33">INDEX($J$96:$DD$96,1,MATCH(DB110,$J$105:$DD$105,0))</f>
        <v>4.9939526180609626</v>
      </c>
      <c r="DC111" s="585">
        <f t="shared" si="33"/>
        <v>5.5360453006887784</v>
      </c>
      <c r="DD111" s="585">
        <f t="shared" si="33"/>
        <v>5.5360453006887784</v>
      </c>
      <c r="DE111" s="571"/>
      <c r="DF111" s="571"/>
      <c r="DG111" s="571"/>
    </row>
    <row r="112" spans="3:111" outlineLevel="1" x14ac:dyDescent="0.25">
      <c r="C112" s="3"/>
      <c r="E112" s="167" t="s">
        <v>882</v>
      </c>
      <c r="F112" s="167"/>
      <c r="G112" s="167" t="s">
        <v>137</v>
      </c>
      <c r="H112" s="92"/>
      <c r="I112" s="167"/>
      <c r="J112" s="428">
        <f t="shared" ref="J112:AO112" si="34">I112+INDEX($J$97:$DD$97,1,MATCH(J110,$J$105:$DD$105,0))</f>
        <v>11673.535442439646</v>
      </c>
      <c r="K112" s="428">
        <f t="shared" si="34"/>
        <v>42872.369153074207</v>
      </c>
      <c r="L112" s="428">
        <f t="shared" si="34"/>
        <v>50733.109648925529</v>
      </c>
      <c r="M112" s="428">
        <f t="shared" si="34"/>
        <v>676617.33853646705</v>
      </c>
      <c r="N112" s="428">
        <f t="shared" si="34"/>
        <v>715073.57795694086</v>
      </c>
      <c r="O112" s="428">
        <f t="shared" si="34"/>
        <v>1167613.135306628</v>
      </c>
      <c r="P112" s="428">
        <f t="shared" si="34"/>
        <v>1168391.809292187</v>
      </c>
      <c r="Q112" s="428">
        <f t="shared" si="34"/>
        <v>1184046.5126962496</v>
      </c>
      <c r="R112" s="428">
        <f t="shared" si="34"/>
        <v>1184196.163752696</v>
      </c>
      <c r="S112" s="428">
        <f t="shared" si="34"/>
        <v>1208728.7963132013</v>
      </c>
      <c r="T112" s="428">
        <f t="shared" si="34"/>
        <v>1655199.4927334508</v>
      </c>
      <c r="U112" s="428">
        <f t="shared" si="34"/>
        <v>1724049.679011798</v>
      </c>
      <c r="V112" s="428">
        <f t="shared" si="34"/>
        <v>2559577.4850849062</v>
      </c>
      <c r="W112" s="428">
        <f t="shared" si="34"/>
        <v>12179161.863108898</v>
      </c>
      <c r="X112" s="428">
        <f t="shared" si="34"/>
        <v>12314395.322478188</v>
      </c>
      <c r="Y112" s="428">
        <f t="shared" si="34"/>
        <v>15020666.183681969</v>
      </c>
      <c r="Z112" s="428">
        <f t="shared" si="34"/>
        <v>15124675.526288792</v>
      </c>
      <c r="AA112" s="428">
        <f t="shared" si="34"/>
        <v>15124675.526288792</v>
      </c>
      <c r="AB112" s="428">
        <f t="shared" si="34"/>
        <v>15302248.788607441</v>
      </c>
      <c r="AC112" s="428">
        <f t="shared" si="34"/>
        <v>15327245.479015047</v>
      </c>
      <c r="AD112" s="428">
        <f t="shared" si="34"/>
        <v>18868140.145183519</v>
      </c>
      <c r="AE112" s="428">
        <f t="shared" si="34"/>
        <v>18868422.163128082</v>
      </c>
      <c r="AF112" s="428">
        <f t="shared" si="34"/>
        <v>18910717.100450255</v>
      </c>
      <c r="AG112" s="428">
        <f t="shared" si="34"/>
        <v>19132079.307098582</v>
      </c>
      <c r="AH112" s="428">
        <f t="shared" si="34"/>
        <v>19410081.831840716</v>
      </c>
      <c r="AI112" s="428">
        <f t="shared" si="34"/>
        <v>19609379.744685091</v>
      </c>
      <c r="AJ112" s="428">
        <f t="shared" si="34"/>
        <v>22152588.80365039</v>
      </c>
      <c r="AK112" s="428">
        <f t="shared" si="34"/>
        <v>22888203.700519476</v>
      </c>
      <c r="AL112" s="428">
        <f t="shared" si="34"/>
        <v>22895306.236681893</v>
      </c>
      <c r="AM112" s="428">
        <f t="shared" si="34"/>
        <v>22895306.236681893</v>
      </c>
      <c r="AN112" s="428">
        <f t="shared" si="34"/>
        <v>22980084.341103867</v>
      </c>
      <c r="AO112" s="428">
        <f t="shared" si="34"/>
        <v>22994835.782337993</v>
      </c>
      <c r="AP112" s="428">
        <f t="shared" ref="AP112:BU112" si="35">AO112+INDEX($J$97:$DD$97,1,MATCH(AP110,$J$105:$DD$105,0))</f>
        <v>22994840.128321156</v>
      </c>
      <c r="AQ112" s="428">
        <f t="shared" si="35"/>
        <v>24861580.030293204</v>
      </c>
      <c r="AR112" s="428">
        <f t="shared" si="35"/>
        <v>24995590.126219187</v>
      </c>
      <c r="AS112" s="428">
        <f t="shared" si="35"/>
        <v>26742812.289429042</v>
      </c>
      <c r="AT112" s="428">
        <f t="shared" si="35"/>
        <v>26742812.289429042</v>
      </c>
      <c r="AU112" s="428">
        <f t="shared" si="35"/>
        <v>26742812.289429042</v>
      </c>
      <c r="AV112" s="428">
        <f t="shared" si="35"/>
        <v>26742812.289429042</v>
      </c>
      <c r="AW112" s="428">
        <f t="shared" si="35"/>
        <v>26742812.289429042</v>
      </c>
      <c r="AX112" s="428">
        <f t="shared" si="35"/>
        <v>26742812.289429042</v>
      </c>
      <c r="AY112" s="428">
        <f t="shared" si="35"/>
        <v>26742812.289429042</v>
      </c>
      <c r="AZ112" s="428">
        <f t="shared" si="35"/>
        <v>26742812.289429042</v>
      </c>
      <c r="BA112" s="428">
        <f t="shared" si="35"/>
        <v>26742812.289429042</v>
      </c>
      <c r="BB112" s="428">
        <f t="shared" si="35"/>
        <v>26742812.289429042</v>
      </c>
      <c r="BC112" s="428">
        <f t="shared" si="35"/>
        <v>26742812.289429042</v>
      </c>
      <c r="BD112" s="428">
        <f t="shared" si="35"/>
        <v>26742812.289429042</v>
      </c>
      <c r="BE112" s="428">
        <f t="shared" si="35"/>
        <v>26742812.289429042</v>
      </c>
      <c r="BF112" s="428">
        <f t="shared" si="35"/>
        <v>26742812.289429042</v>
      </c>
      <c r="BG112" s="428">
        <f t="shared" si="35"/>
        <v>26742812.289429042</v>
      </c>
      <c r="BH112" s="428">
        <f t="shared" si="35"/>
        <v>26742812.289429042</v>
      </c>
      <c r="BI112" s="428">
        <f t="shared" si="35"/>
        <v>26742812.289429042</v>
      </c>
      <c r="BJ112" s="428">
        <f t="shared" si="35"/>
        <v>26742812.289429042</v>
      </c>
      <c r="BK112" s="428">
        <f t="shared" si="35"/>
        <v>26742812.289429042</v>
      </c>
      <c r="BL112" s="428">
        <f t="shared" si="35"/>
        <v>26742812.289429042</v>
      </c>
      <c r="BM112" s="428">
        <f t="shared" si="35"/>
        <v>26742812.289429042</v>
      </c>
      <c r="BN112" s="428">
        <f t="shared" si="35"/>
        <v>26742812.289429042</v>
      </c>
      <c r="BO112" s="428">
        <f t="shared" si="35"/>
        <v>26742812.289429042</v>
      </c>
      <c r="BP112" s="428">
        <f t="shared" si="35"/>
        <v>26742812.289429042</v>
      </c>
      <c r="BQ112" s="428">
        <f t="shared" si="35"/>
        <v>26742812.289429042</v>
      </c>
      <c r="BR112" s="428">
        <f t="shared" si="35"/>
        <v>26742812.289429042</v>
      </c>
      <c r="BS112" s="428">
        <f t="shared" si="35"/>
        <v>26742812.289429042</v>
      </c>
      <c r="BT112" s="428">
        <f t="shared" si="35"/>
        <v>26742812.289429042</v>
      </c>
      <c r="BU112" s="428">
        <f t="shared" si="35"/>
        <v>26742812.289429042</v>
      </c>
      <c r="BV112" s="428">
        <f t="shared" ref="BV112:DD112" si="36">BU112+INDEX($J$97:$DD$97,1,MATCH(BV110,$J$105:$DD$105,0))</f>
        <v>26742812.289429042</v>
      </c>
      <c r="BW112" s="428">
        <f t="shared" si="36"/>
        <v>26742812.289429042</v>
      </c>
      <c r="BX112" s="428">
        <f t="shared" si="36"/>
        <v>26742812.289429042</v>
      </c>
      <c r="BY112" s="428">
        <f t="shared" si="36"/>
        <v>26742812.289429042</v>
      </c>
      <c r="BZ112" s="428">
        <f t="shared" si="36"/>
        <v>26742812.289429042</v>
      </c>
      <c r="CA112" s="428">
        <f t="shared" si="36"/>
        <v>26742812.289429042</v>
      </c>
      <c r="CB112" s="428">
        <f t="shared" si="36"/>
        <v>26742812.289429042</v>
      </c>
      <c r="CC112" s="428">
        <f t="shared" si="36"/>
        <v>26742812.289429042</v>
      </c>
      <c r="CD112" s="428">
        <f t="shared" si="36"/>
        <v>26742812.289429042</v>
      </c>
      <c r="CE112" s="428">
        <f t="shared" si="36"/>
        <v>26742812.289429042</v>
      </c>
      <c r="CF112" s="428">
        <f t="shared" si="36"/>
        <v>26742812.289429042</v>
      </c>
      <c r="CG112" s="428">
        <f t="shared" si="36"/>
        <v>26742812.289429042</v>
      </c>
      <c r="CH112" s="428">
        <f t="shared" si="36"/>
        <v>26742812.289429042</v>
      </c>
      <c r="CI112" s="428">
        <f t="shared" si="36"/>
        <v>26742812.289429042</v>
      </c>
      <c r="CJ112" s="428">
        <f t="shared" si="36"/>
        <v>26742812.289429042</v>
      </c>
      <c r="CK112" s="428">
        <f t="shared" si="36"/>
        <v>26742812.289429042</v>
      </c>
      <c r="CL112" s="428">
        <f t="shared" si="36"/>
        <v>26742812.289429042</v>
      </c>
      <c r="CM112" s="428">
        <f t="shared" si="36"/>
        <v>26742812.289429042</v>
      </c>
      <c r="CN112" s="428">
        <f t="shared" si="36"/>
        <v>26742812.289429042</v>
      </c>
      <c r="CO112" s="428">
        <f t="shared" si="36"/>
        <v>26742812.289429042</v>
      </c>
      <c r="CP112" s="428">
        <f t="shared" si="36"/>
        <v>26742812.289429042</v>
      </c>
      <c r="CQ112" s="428">
        <f t="shared" si="36"/>
        <v>26742812.289429042</v>
      </c>
      <c r="CR112" s="428">
        <f t="shared" si="36"/>
        <v>26742812.289429042</v>
      </c>
      <c r="CS112" s="428">
        <f t="shared" si="36"/>
        <v>26742812.289429042</v>
      </c>
      <c r="CT112" s="428">
        <f t="shared" si="36"/>
        <v>26742812.289429042</v>
      </c>
      <c r="CU112" s="428">
        <f t="shared" si="36"/>
        <v>26742812.289429042</v>
      </c>
      <c r="CV112" s="428">
        <f t="shared" si="36"/>
        <v>26742812.289429042</v>
      </c>
      <c r="CW112" s="428">
        <f t="shared" si="36"/>
        <v>26742812.289429042</v>
      </c>
      <c r="CX112" s="428">
        <f t="shared" si="36"/>
        <v>26742812.289429042</v>
      </c>
      <c r="CY112" s="428">
        <f t="shared" si="36"/>
        <v>26742812.289429042</v>
      </c>
      <c r="CZ112" s="428">
        <f t="shared" si="36"/>
        <v>26742812.289429042</v>
      </c>
      <c r="DA112" s="428">
        <f t="shared" si="36"/>
        <v>26742812.289429042</v>
      </c>
      <c r="DB112" s="428">
        <f t="shared" si="36"/>
        <v>26742812.289429042</v>
      </c>
      <c r="DC112" s="428">
        <f t="shared" si="36"/>
        <v>26742812.289429042</v>
      </c>
      <c r="DD112" s="428">
        <f t="shared" si="36"/>
        <v>26742812.289429042</v>
      </c>
      <c r="DG112" s="88"/>
    </row>
    <row r="113" spans="2:111" s="131" customFormat="1" outlineLevel="1" x14ac:dyDescent="0.25">
      <c r="C113" s="132"/>
      <c r="D113" s="147"/>
      <c r="E113" s="151" t="s">
        <v>425</v>
      </c>
      <c r="F113" s="151"/>
      <c r="G113" s="167" t="s">
        <v>124</v>
      </c>
      <c r="H113" s="92"/>
      <c r="I113" s="167"/>
      <c r="J113" s="428">
        <f>SUM($J$48:$AP$51,$AC$45:$AP$47)</f>
        <v>112585270.29869078</v>
      </c>
      <c r="K113" s="428">
        <f t="shared" ref="K113:BV113" si="37">SUM($J$48:$AP$51,$AC$45:$AP$47)</f>
        <v>112585270.29869078</v>
      </c>
      <c r="L113" s="428">
        <f t="shared" si="37"/>
        <v>112585270.29869078</v>
      </c>
      <c r="M113" s="428">
        <f t="shared" si="37"/>
        <v>112585270.29869078</v>
      </c>
      <c r="N113" s="428">
        <f t="shared" si="37"/>
        <v>112585270.29869078</v>
      </c>
      <c r="O113" s="428">
        <f t="shared" si="37"/>
        <v>112585270.29869078</v>
      </c>
      <c r="P113" s="428">
        <f t="shared" si="37"/>
        <v>112585270.29869078</v>
      </c>
      <c r="Q113" s="428">
        <f t="shared" si="37"/>
        <v>112585270.29869078</v>
      </c>
      <c r="R113" s="428">
        <f t="shared" si="37"/>
        <v>112585270.29869078</v>
      </c>
      <c r="S113" s="428">
        <f t="shared" si="37"/>
        <v>112585270.29869078</v>
      </c>
      <c r="T113" s="428">
        <f t="shared" si="37"/>
        <v>112585270.29869078</v>
      </c>
      <c r="U113" s="428">
        <f t="shared" si="37"/>
        <v>112585270.29869078</v>
      </c>
      <c r="V113" s="428">
        <f t="shared" si="37"/>
        <v>112585270.29869078</v>
      </c>
      <c r="W113" s="428">
        <f t="shared" si="37"/>
        <v>112585270.29869078</v>
      </c>
      <c r="X113" s="428">
        <f t="shared" si="37"/>
        <v>112585270.29869078</v>
      </c>
      <c r="Y113" s="428">
        <f t="shared" si="37"/>
        <v>112585270.29869078</v>
      </c>
      <c r="Z113" s="428">
        <f t="shared" si="37"/>
        <v>112585270.29869078</v>
      </c>
      <c r="AA113" s="428">
        <f t="shared" si="37"/>
        <v>112585270.29869078</v>
      </c>
      <c r="AB113" s="428">
        <f t="shared" si="37"/>
        <v>112585270.29869078</v>
      </c>
      <c r="AC113" s="428">
        <f t="shared" si="37"/>
        <v>112585270.29869078</v>
      </c>
      <c r="AD113" s="428">
        <f t="shared" si="37"/>
        <v>112585270.29869078</v>
      </c>
      <c r="AE113" s="428">
        <f t="shared" si="37"/>
        <v>112585270.29869078</v>
      </c>
      <c r="AF113" s="428">
        <f t="shared" si="37"/>
        <v>112585270.29869078</v>
      </c>
      <c r="AG113" s="428">
        <f t="shared" si="37"/>
        <v>112585270.29869078</v>
      </c>
      <c r="AH113" s="428">
        <f t="shared" si="37"/>
        <v>112585270.29869078</v>
      </c>
      <c r="AI113" s="428">
        <f t="shared" si="37"/>
        <v>112585270.29869078</v>
      </c>
      <c r="AJ113" s="428">
        <f t="shared" si="37"/>
        <v>112585270.29869078</v>
      </c>
      <c r="AK113" s="428">
        <f t="shared" si="37"/>
        <v>112585270.29869078</v>
      </c>
      <c r="AL113" s="428">
        <f t="shared" si="37"/>
        <v>112585270.29869078</v>
      </c>
      <c r="AM113" s="428">
        <f t="shared" si="37"/>
        <v>112585270.29869078</v>
      </c>
      <c r="AN113" s="428">
        <f t="shared" si="37"/>
        <v>112585270.29869078</v>
      </c>
      <c r="AO113" s="428">
        <f t="shared" si="37"/>
        <v>112585270.29869078</v>
      </c>
      <c r="AP113" s="428">
        <f t="shared" si="37"/>
        <v>112585270.29869078</v>
      </c>
      <c r="AQ113" s="428">
        <f t="shared" si="37"/>
        <v>112585270.29869078</v>
      </c>
      <c r="AR113" s="428">
        <f t="shared" si="37"/>
        <v>112585270.29869078</v>
      </c>
      <c r="AS113" s="428">
        <f t="shared" si="37"/>
        <v>112585270.29869078</v>
      </c>
      <c r="AT113" s="428">
        <f t="shared" si="37"/>
        <v>112585270.29869078</v>
      </c>
      <c r="AU113" s="428">
        <f t="shared" si="37"/>
        <v>112585270.29869078</v>
      </c>
      <c r="AV113" s="428">
        <f t="shared" si="37"/>
        <v>112585270.29869078</v>
      </c>
      <c r="AW113" s="428">
        <f t="shared" si="37"/>
        <v>112585270.29869078</v>
      </c>
      <c r="AX113" s="428">
        <f t="shared" si="37"/>
        <v>112585270.29869078</v>
      </c>
      <c r="AY113" s="428">
        <f t="shared" si="37"/>
        <v>112585270.29869078</v>
      </c>
      <c r="AZ113" s="428">
        <f t="shared" si="37"/>
        <v>112585270.29869078</v>
      </c>
      <c r="BA113" s="428">
        <f t="shared" si="37"/>
        <v>112585270.29869078</v>
      </c>
      <c r="BB113" s="428">
        <f t="shared" si="37"/>
        <v>112585270.29869078</v>
      </c>
      <c r="BC113" s="428">
        <f t="shared" si="37"/>
        <v>112585270.29869078</v>
      </c>
      <c r="BD113" s="428">
        <f t="shared" si="37"/>
        <v>112585270.29869078</v>
      </c>
      <c r="BE113" s="428">
        <f t="shared" si="37"/>
        <v>112585270.29869078</v>
      </c>
      <c r="BF113" s="428">
        <f t="shared" si="37"/>
        <v>112585270.29869078</v>
      </c>
      <c r="BG113" s="428">
        <f t="shared" si="37"/>
        <v>112585270.29869078</v>
      </c>
      <c r="BH113" s="428">
        <f t="shared" si="37"/>
        <v>112585270.29869078</v>
      </c>
      <c r="BI113" s="428">
        <f t="shared" si="37"/>
        <v>112585270.29869078</v>
      </c>
      <c r="BJ113" s="428">
        <f t="shared" si="37"/>
        <v>112585270.29869078</v>
      </c>
      <c r="BK113" s="428">
        <f t="shared" si="37"/>
        <v>112585270.29869078</v>
      </c>
      <c r="BL113" s="428">
        <f t="shared" si="37"/>
        <v>112585270.29869078</v>
      </c>
      <c r="BM113" s="428">
        <f t="shared" si="37"/>
        <v>112585270.29869078</v>
      </c>
      <c r="BN113" s="428">
        <f t="shared" si="37"/>
        <v>112585270.29869078</v>
      </c>
      <c r="BO113" s="428">
        <f t="shared" si="37"/>
        <v>112585270.29869078</v>
      </c>
      <c r="BP113" s="428">
        <f t="shared" si="37"/>
        <v>112585270.29869078</v>
      </c>
      <c r="BQ113" s="428">
        <f t="shared" si="37"/>
        <v>112585270.29869078</v>
      </c>
      <c r="BR113" s="428">
        <f t="shared" si="37"/>
        <v>112585270.29869078</v>
      </c>
      <c r="BS113" s="428">
        <f t="shared" si="37"/>
        <v>112585270.29869078</v>
      </c>
      <c r="BT113" s="428">
        <f t="shared" si="37"/>
        <v>112585270.29869078</v>
      </c>
      <c r="BU113" s="428">
        <f t="shared" si="37"/>
        <v>112585270.29869078</v>
      </c>
      <c r="BV113" s="428">
        <f t="shared" si="37"/>
        <v>112585270.29869078</v>
      </c>
      <c r="BW113" s="428">
        <f t="shared" ref="BW113:DD113" si="38">SUM($J$48:$AP$51,$AC$45:$AP$47)</f>
        <v>112585270.29869078</v>
      </c>
      <c r="BX113" s="428">
        <f t="shared" si="38"/>
        <v>112585270.29869078</v>
      </c>
      <c r="BY113" s="428">
        <f t="shared" si="38"/>
        <v>112585270.29869078</v>
      </c>
      <c r="BZ113" s="428">
        <f t="shared" si="38"/>
        <v>112585270.29869078</v>
      </c>
      <c r="CA113" s="428">
        <f t="shared" si="38"/>
        <v>112585270.29869078</v>
      </c>
      <c r="CB113" s="428">
        <f t="shared" si="38"/>
        <v>112585270.29869078</v>
      </c>
      <c r="CC113" s="428">
        <f t="shared" si="38"/>
        <v>112585270.29869078</v>
      </c>
      <c r="CD113" s="428">
        <f t="shared" si="38"/>
        <v>112585270.29869078</v>
      </c>
      <c r="CE113" s="428">
        <f t="shared" si="38"/>
        <v>112585270.29869078</v>
      </c>
      <c r="CF113" s="428">
        <f t="shared" si="38"/>
        <v>112585270.29869078</v>
      </c>
      <c r="CG113" s="428">
        <f t="shared" si="38"/>
        <v>112585270.29869078</v>
      </c>
      <c r="CH113" s="428">
        <f t="shared" si="38"/>
        <v>112585270.29869078</v>
      </c>
      <c r="CI113" s="428">
        <f t="shared" si="38"/>
        <v>112585270.29869078</v>
      </c>
      <c r="CJ113" s="428">
        <f t="shared" si="38"/>
        <v>112585270.29869078</v>
      </c>
      <c r="CK113" s="428">
        <f t="shared" si="38"/>
        <v>112585270.29869078</v>
      </c>
      <c r="CL113" s="428">
        <f t="shared" si="38"/>
        <v>112585270.29869078</v>
      </c>
      <c r="CM113" s="428">
        <f t="shared" si="38"/>
        <v>112585270.29869078</v>
      </c>
      <c r="CN113" s="428">
        <f t="shared" si="38"/>
        <v>112585270.29869078</v>
      </c>
      <c r="CO113" s="428">
        <f t="shared" si="38"/>
        <v>112585270.29869078</v>
      </c>
      <c r="CP113" s="428">
        <f t="shared" si="38"/>
        <v>112585270.29869078</v>
      </c>
      <c r="CQ113" s="428">
        <f t="shared" si="38"/>
        <v>112585270.29869078</v>
      </c>
      <c r="CR113" s="428">
        <f t="shared" si="38"/>
        <v>112585270.29869078</v>
      </c>
      <c r="CS113" s="428">
        <f t="shared" si="38"/>
        <v>112585270.29869078</v>
      </c>
      <c r="CT113" s="428">
        <f t="shared" si="38"/>
        <v>112585270.29869078</v>
      </c>
      <c r="CU113" s="428">
        <f t="shared" si="38"/>
        <v>112585270.29869078</v>
      </c>
      <c r="CV113" s="428">
        <f t="shared" si="38"/>
        <v>112585270.29869078</v>
      </c>
      <c r="CW113" s="428">
        <f t="shared" si="38"/>
        <v>112585270.29869078</v>
      </c>
      <c r="CX113" s="428">
        <f t="shared" si="38"/>
        <v>112585270.29869078</v>
      </c>
      <c r="CY113" s="428">
        <f t="shared" si="38"/>
        <v>112585270.29869078</v>
      </c>
      <c r="CZ113" s="428">
        <f t="shared" si="38"/>
        <v>112585270.29869078</v>
      </c>
      <c r="DA113" s="428">
        <f t="shared" si="38"/>
        <v>112585270.29869078</v>
      </c>
      <c r="DB113" s="428">
        <f t="shared" si="38"/>
        <v>112585270.29869078</v>
      </c>
      <c r="DC113" s="428">
        <f t="shared" si="38"/>
        <v>112585270.29869078</v>
      </c>
      <c r="DD113" s="428">
        <f t="shared" si="38"/>
        <v>112585270.29869078</v>
      </c>
    </row>
    <row r="114" spans="2:111" s="131" customFormat="1" outlineLevel="1" x14ac:dyDescent="0.25">
      <c r="C114" s="132"/>
      <c r="D114" s="147"/>
      <c r="E114" s="167" t="s">
        <v>426</v>
      </c>
      <c r="F114" s="167"/>
      <c r="G114" s="167" t="s">
        <v>124</v>
      </c>
      <c r="H114" s="92"/>
      <c r="I114" s="167"/>
      <c r="J114" s="403"/>
      <c r="K114" s="428">
        <f t="shared" ref="K114:AP114" si="39">J114+J112*(K111-J111)*ten</f>
        <v>532240.90585321758</v>
      </c>
      <c r="L114" s="428">
        <f t="shared" si="39"/>
        <v>731359.88732909888</v>
      </c>
      <c r="M114" s="428">
        <f t="shared" si="39"/>
        <v>1964506.025136014</v>
      </c>
      <c r="N114" s="428">
        <f t="shared" si="39"/>
        <v>11479229.647277758</v>
      </c>
      <c r="O114" s="428">
        <f t="shared" si="39"/>
        <v>20915517.0976041</v>
      </c>
      <c r="P114" s="428">
        <f t="shared" si="39"/>
        <v>22581801.880999476</v>
      </c>
      <c r="Q114" s="428">
        <f t="shared" si="39"/>
        <v>31282828.872835867</v>
      </c>
      <c r="R114" s="428">
        <f t="shared" si="39"/>
        <v>31821618.610898253</v>
      </c>
      <c r="S114" s="428">
        <f t="shared" si="39"/>
        <v>31935268.045736581</v>
      </c>
      <c r="T114" s="428">
        <f t="shared" si="39"/>
        <v>32076491.266395818</v>
      </c>
      <c r="U114" s="428">
        <f t="shared" si="39"/>
        <v>32299703.501309209</v>
      </c>
      <c r="V114" s="428">
        <f t="shared" si="39"/>
        <v>35565873.823109441</v>
      </c>
      <c r="W114" s="428">
        <f t="shared" si="39"/>
        <v>47167704.451952443</v>
      </c>
      <c r="X114" s="428">
        <f t="shared" si="39"/>
        <v>58729213.918996982</v>
      </c>
      <c r="Y114" s="428">
        <f t="shared" si="39"/>
        <v>66278474.664073512</v>
      </c>
      <c r="Z114" s="428">
        <f t="shared" si="39"/>
        <v>110330166.06477526</v>
      </c>
      <c r="AA114" s="428">
        <f t="shared" si="39"/>
        <v>141828805.36732432</v>
      </c>
      <c r="AB114" s="428">
        <f t="shared" si="39"/>
        <v>146137597.58704132</v>
      </c>
      <c r="AC114" s="428">
        <f t="shared" si="39"/>
        <v>153488851.06841084</v>
      </c>
      <c r="AD114" s="428">
        <f t="shared" si="39"/>
        <v>204519956.32468116</v>
      </c>
      <c r="AE114" s="428">
        <f t="shared" si="39"/>
        <v>205414543.57728145</v>
      </c>
      <c r="AF114" s="428">
        <f t="shared" si="39"/>
        <v>242506422.81690261</v>
      </c>
      <c r="AG114" s="428">
        <f t="shared" si="39"/>
        <v>253789392.85286304</v>
      </c>
      <c r="AH114" s="428">
        <f t="shared" si="39"/>
        <v>256470227.95239177</v>
      </c>
      <c r="AI114" s="428">
        <f t="shared" si="39"/>
        <v>267091798.19646704</v>
      </c>
      <c r="AJ114" s="428">
        <f t="shared" si="39"/>
        <v>274744235.75659251</v>
      </c>
      <c r="AK114" s="428">
        <f t="shared" si="39"/>
        <v>287335128.04141152</v>
      </c>
      <c r="AL114" s="428">
        <f t="shared" si="39"/>
        <v>289754426.03989071</v>
      </c>
      <c r="AM114" s="428">
        <f t="shared" si="39"/>
        <v>294598038.95583338</v>
      </c>
      <c r="AN114" s="428">
        <f t="shared" si="39"/>
        <v>299287711.94696242</v>
      </c>
      <c r="AO114" s="428">
        <f t="shared" si="39"/>
        <v>299917337.24878097</v>
      </c>
      <c r="AP114" s="428">
        <f t="shared" si="39"/>
        <v>303963902.14920563</v>
      </c>
      <c r="AQ114" s="428">
        <f t="shared" ref="AQ114:BV114" si="40">AP114+AP112*(AQ111-AP111)*ten</f>
        <v>304775634.75985426</v>
      </c>
      <c r="AR114" s="428">
        <f t="shared" si="40"/>
        <v>309229680.96819079</v>
      </c>
      <c r="AS114" s="428">
        <f t="shared" si="40"/>
        <v>310534870.46723235</v>
      </c>
      <c r="AT114" s="428">
        <f t="shared" si="40"/>
        <v>311836761.01967812</v>
      </c>
      <c r="AU114" s="428">
        <f t="shared" si="40"/>
        <v>311836761.01967812</v>
      </c>
      <c r="AV114" s="428">
        <f t="shared" si="40"/>
        <v>311836761.01967812</v>
      </c>
      <c r="AW114" s="428">
        <f t="shared" si="40"/>
        <v>311836761.01967812</v>
      </c>
      <c r="AX114" s="428">
        <f t="shared" si="40"/>
        <v>311836761.01967812</v>
      </c>
      <c r="AY114" s="428">
        <f t="shared" si="40"/>
        <v>311836761.01967812</v>
      </c>
      <c r="AZ114" s="428">
        <f t="shared" si="40"/>
        <v>311836761.01967812</v>
      </c>
      <c r="BA114" s="428">
        <f t="shared" si="40"/>
        <v>311836761.01967812</v>
      </c>
      <c r="BB114" s="428">
        <f t="shared" si="40"/>
        <v>311836761.01967812</v>
      </c>
      <c r="BC114" s="428">
        <f t="shared" si="40"/>
        <v>311836761.01967812</v>
      </c>
      <c r="BD114" s="428">
        <f t="shared" si="40"/>
        <v>311836761.01967812</v>
      </c>
      <c r="BE114" s="428">
        <f t="shared" si="40"/>
        <v>311836761.01967812</v>
      </c>
      <c r="BF114" s="428">
        <f t="shared" si="40"/>
        <v>311836761.01967812</v>
      </c>
      <c r="BG114" s="428">
        <f t="shared" si="40"/>
        <v>311836761.01967812</v>
      </c>
      <c r="BH114" s="428">
        <f t="shared" si="40"/>
        <v>311836761.01967812</v>
      </c>
      <c r="BI114" s="428">
        <f t="shared" si="40"/>
        <v>311836761.01967812</v>
      </c>
      <c r="BJ114" s="428">
        <f t="shared" si="40"/>
        <v>311836761.01967812</v>
      </c>
      <c r="BK114" s="428">
        <f t="shared" si="40"/>
        <v>311836761.01967812</v>
      </c>
      <c r="BL114" s="428">
        <f t="shared" si="40"/>
        <v>311836761.01967812</v>
      </c>
      <c r="BM114" s="428">
        <f t="shared" si="40"/>
        <v>311836761.01967812</v>
      </c>
      <c r="BN114" s="428">
        <f t="shared" si="40"/>
        <v>311836761.01967812</v>
      </c>
      <c r="BO114" s="428">
        <f t="shared" si="40"/>
        <v>311836761.01967812</v>
      </c>
      <c r="BP114" s="428">
        <f t="shared" si="40"/>
        <v>311836761.01967812</v>
      </c>
      <c r="BQ114" s="428">
        <f t="shared" si="40"/>
        <v>311836761.01967812</v>
      </c>
      <c r="BR114" s="428">
        <f t="shared" si="40"/>
        <v>311836761.01967812</v>
      </c>
      <c r="BS114" s="428">
        <f t="shared" si="40"/>
        <v>311836761.01967812</v>
      </c>
      <c r="BT114" s="428">
        <f t="shared" si="40"/>
        <v>311836761.01967812</v>
      </c>
      <c r="BU114" s="428">
        <f t="shared" si="40"/>
        <v>311836761.01967812</v>
      </c>
      <c r="BV114" s="428">
        <f t="shared" si="40"/>
        <v>311836761.01967812</v>
      </c>
      <c r="BW114" s="428">
        <f t="shared" ref="BW114:DD114" si="41">BV114+BV112*(BW111-BV111)*ten</f>
        <v>311836761.01967812</v>
      </c>
      <c r="BX114" s="428">
        <f t="shared" si="41"/>
        <v>311836761.01967812</v>
      </c>
      <c r="BY114" s="428">
        <f t="shared" si="41"/>
        <v>311836761.01967812</v>
      </c>
      <c r="BZ114" s="428">
        <f t="shared" si="41"/>
        <v>311836761.01967812</v>
      </c>
      <c r="CA114" s="428">
        <f t="shared" si="41"/>
        <v>311836761.01967812</v>
      </c>
      <c r="CB114" s="428">
        <f t="shared" si="41"/>
        <v>311836761.01967812</v>
      </c>
      <c r="CC114" s="428">
        <f t="shared" si="41"/>
        <v>311836761.01967812</v>
      </c>
      <c r="CD114" s="428">
        <f t="shared" si="41"/>
        <v>311836761.01967812</v>
      </c>
      <c r="CE114" s="428">
        <f t="shared" si="41"/>
        <v>314101187.6142475</v>
      </c>
      <c r="CF114" s="428">
        <f t="shared" si="41"/>
        <v>314101187.6142475</v>
      </c>
      <c r="CG114" s="428">
        <f t="shared" si="41"/>
        <v>318794717.6622895</v>
      </c>
      <c r="CH114" s="428">
        <f t="shared" si="41"/>
        <v>318794717.6622895</v>
      </c>
      <c r="CI114" s="428">
        <f t="shared" si="41"/>
        <v>320538443.10626614</v>
      </c>
      <c r="CJ114" s="428">
        <f t="shared" si="41"/>
        <v>320538443.10626614</v>
      </c>
      <c r="CK114" s="428">
        <f t="shared" si="41"/>
        <v>372455545.42528379</v>
      </c>
      <c r="CL114" s="428">
        <f t="shared" si="41"/>
        <v>372455545.42528379</v>
      </c>
      <c r="CM114" s="428">
        <f t="shared" si="41"/>
        <v>434823402.39994138</v>
      </c>
      <c r="CN114" s="428">
        <f t="shared" si="41"/>
        <v>434823402.39994138</v>
      </c>
      <c r="CO114" s="428">
        <f t="shared" si="41"/>
        <v>438917873.84028339</v>
      </c>
      <c r="CP114" s="428">
        <f t="shared" si="41"/>
        <v>438917873.84028339</v>
      </c>
      <c r="CQ114" s="428">
        <f t="shared" si="41"/>
        <v>464584066.75085622</v>
      </c>
      <c r="CR114" s="428">
        <f t="shared" si="41"/>
        <v>464584066.75085622</v>
      </c>
      <c r="CS114" s="428">
        <f t="shared" si="41"/>
        <v>497608204.67362475</v>
      </c>
      <c r="CT114" s="428">
        <f t="shared" si="41"/>
        <v>497608204.67362475</v>
      </c>
      <c r="CU114" s="428">
        <f t="shared" si="41"/>
        <v>497608204.67362475</v>
      </c>
      <c r="CV114" s="428">
        <f t="shared" si="41"/>
        <v>524115312.45043463</v>
      </c>
      <c r="CW114" s="428">
        <f t="shared" si="41"/>
        <v>524115312.45043463</v>
      </c>
      <c r="CX114" s="428">
        <f t="shared" si="41"/>
        <v>524115312.45043463</v>
      </c>
      <c r="CY114" s="428">
        <f t="shared" si="41"/>
        <v>1338283198.2277081</v>
      </c>
      <c r="CZ114" s="428">
        <f t="shared" si="41"/>
        <v>1338283198.2277081</v>
      </c>
      <c r="DA114" s="428">
        <f t="shared" si="41"/>
        <v>1647360135.4907486</v>
      </c>
      <c r="DB114" s="428">
        <f t="shared" si="41"/>
        <v>1647360135.4907486</v>
      </c>
      <c r="DC114" s="428">
        <f t="shared" si="41"/>
        <v>1792330964.0406358</v>
      </c>
      <c r="DD114" s="428">
        <f t="shared" si="41"/>
        <v>1792330964.0406358</v>
      </c>
    </row>
    <row r="115" spans="2:111" outlineLevel="1" x14ac:dyDescent="0.25">
      <c r="C115" s="3"/>
      <c r="E115" s="139" t="s">
        <v>427</v>
      </c>
      <c r="F115" s="167"/>
      <c r="G115" s="15" t="s">
        <v>124</v>
      </c>
      <c r="H115" s="92"/>
      <c r="I115" s="15"/>
      <c r="J115" s="428">
        <f>SUM(J113:J114)</f>
        <v>112585270.29869078</v>
      </c>
      <c r="K115" s="428">
        <f t="shared" ref="K115:BV115" si="42">SUM(K113:K114)</f>
        <v>113117511.20454399</v>
      </c>
      <c r="L115" s="428">
        <f t="shared" si="42"/>
        <v>113316630.18601988</v>
      </c>
      <c r="M115" s="428">
        <f t="shared" si="42"/>
        <v>114549776.32382679</v>
      </c>
      <c r="N115" s="428">
        <f t="shared" si="42"/>
        <v>124064499.94596854</v>
      </c>
      <c r="O115" s="428">
        <f t="shared" si="42"/>
        <v>133500787.39629488</v>
      </c>
      <c r="P115" s="428">
        <f t="shared" si="42"/>
        <v>135167072.17969024</v>
      </c>
      <c r="Q115" s="428">
        <f t="shared" si="42"/>
        <v>143868099.17152664</v>
      </c>
      <c r="R115" s="428">
        <f t="shared" si="42"/>
        <v>144406888.90958902</v>
      </c>
      <c r="S115" s="428">
        <f t="shared" si="42"/>
        <v>144520538.34442735</v>
      </c>
      <c r="T115" s="428">
        <f t="shared" si="42"/>
        <v>144661761.5650866</v>
      </c>
      <c r="U115" s="428">
        <f t="shared" si="42"/>
        <v>144884973.79999998</v>
      </c>
      <c r="V115" s="428">
        <f t="shared" si="42"/>
        <v>148151144.12180021</v>
      </c>
      <c r="W115" s="428">
        <f t="shared" si="42"/>
        <v>159752974.75064322</v>
      </c>
      <c r="X115" s="428">
        <f t="shared" si="42"/>
        <v>171314484.21768776</v>
      </c>
      <c r="Y115" s="428">
        <f t="shared" si="42"/>
        <v>178863744.96276429</v>
      </c>
      <c r="Z115" s="428">
        <f t="shared" si="42"/>
        <v>222915436.36346602</v>
      </c>
      <c r="AA115" s="428">
        <f t="shared" si="42"/>
        <v>254414075.66601509</v>
      </c>
      <c r="AB115" s="428">
        <f t="shared" si="42"/>
        <v>258722867.88573211</v>
      </c>
      <c r="AC115" s="428">
        <f t="shared" si="42"/>
        <v>266074121.36710161</v>
      </c>
      <c r="AD115" s="428">
        <f t="shared" si="42"/>
        <v>317105226.62337196</v>
      </c>
      <c r="AE115" s="428">
        <f t="shared" si="42"/>
        <v>317999813.87597221</v>
      </c>
      <c r="AF115" s="428">
        <f t="shared" si="42"/>
        <v>355091693.11559337</v>
      </c>
      <c r="AG115" s="428">
        <f t="shared" si="42"/>
        <v>366374663.15155381</v>
      </c>
      <c r="AH115" s="428">
        <f t="shared" si="42"/>
        <v>369055498.25108254</v>
      </c>
      <c r="AI115" s="428">
        <f t="shared" si="42"/>
        <v>379677068.49515784</v>
      </c>
      <c r="AJ115" s="428">
        <f t="shared" si="42"/>
        <v>387329506.05528331</v>
      </c>
      <c r="AK115" s="428">
        <f t="shared" si="42"/>
        <v>399920398.34010231</v>
      </c>
      <c r="AL115" s="428">
        <f t="shared" si="42"/>
        <v>402339696.3385815</v>
      </c>
      <c r="AM115" s="428">
        <f t="shared" si="42"/>
        <v>407183309.25452417</v>
      </c>
      <c r="AN115" s="428">
        <f t="shared" si="42"/>
        <v>411872982.24565321</v>
      </c>
      <c r="AO115" s="428">
        <f t="shared" si="42"/>
        <v>412502607.54747176</v>
      </c>
      <c r="AP115" s="428">
        <f t="shared" si="42"/>
        <v>416549172.44789642</v>
      </c>
      <c r="AQ115" s="428">
        <f t="shared" si="42"/>
        <v>417360905.05854505</v>
      </c>
      <c r="AR115" s="428">
        <f t="shared" si="42"/>
        <v>421814951.26688159</v>
      </c>
      <c r="AS115" s="428">
        <f t="shared" si="42"/>
        <v>423120140.76592314</v>
      </c>
      <c r="AT115" s="428">
        <f t="shared" si="42"/>
        <v>424422031.31836891</v>
      </c>
      <c r="AU115" s="428">
        <f t="shared" si="42"/>
        <v>424422031.31836891</v>
      </c>
      <c r="AV115" s="428">
        <f t="shared" si="42"/>
        <v>424422031.31836891</v>
      </c>
      <c r="AW115" s="428">
        <f t="shared" si="42"/>
        <v>424422031.31836891</v>
      </c>
      <c r="AX115" s="428">
        <f t="shared" si="42"/>
        <v>424422031.31836891</v>
      </c>
      <c r="AY115" s="428">
        <f t="shared" si="42"/>
        <v>424422031.31836891</v>
      </c>
      <c r="AZ115" s="428">
        <f t="shared" si="42"/>
        <v>424422031.31836891</v>
      </c>
      <c r="BA115" s="428">
        <f t="shared" si="42"/>
        <v>424422031.31836891</v>
      </c>
      <c r="BB115" s="428">
        <f t="shared" si="42"/>
        <v>424422031.31836891</v>
      </c>
      <c r="BC115" s="428">
        <f t="shared" si="42"/>
        <v>424422031.31836891</v>
      </c>
      <c r="BD115" s="428">
        <f t="shared" si="42"/>
        <v>424422031.31836891</v>
      </c>
      <c r="BE115" s="428">
        <f t="shared" si="42"/>
        <v>424422031.31836891</v>
      </c>
      <c r="BF115" s="428">
        <f t="shared" si="42"/>
        <v>424422031.31836891</v>
      </c>
      <c r="BG115" s="428">
        <f t="shared" si="42"/>
        <v>424422031.31836891</v>
      </c>
      <c r="BH115" s="428">
        <f t="shared" si="42"/>
        <v>424422031.31836891</v>
      </c>
      <c r="BI115" s="428">
        <f t="shared" si="42"/>
        <v>424422031.31836891</v>
      </c>
      <c r="BJ115" s="428">
        <f t="shared" si="42"/>
        <v>424422031.31836891</v>
      </c>
      <c r="BK115" s="428">
        <f t="shared" si="42"/>
        <v>424422031.31836891</v>
      </c>
      <c r="BL115" s="428">
        <f t="shared" si="42"/>
        <v>424422031.31836891</v>
      </c>
      <c r="BM115" s="428">
        <f t="shared" si="42"/>
        <v>424422031.31836891</v>
      </c>
      <c r="BN115" s="428">
        <f t="shared" si="42"/>
        <v>424422031.31836891</v>
      </c>
      <c r="BO115" s="428">
        <f t="shared" si="42"/>
        <v>424422031.31836891</v>
      </c>
      <c r="BP115" s="428">
        <f t="shared" si="42"/>
        <v>424422031.31836891</v>
      </c>
      <c r="BQ115" s="428">
        <f t="shared" si="42"/>
        <v>424422031.31836891</v>
      </c>
      <c r="BR115" s="428">
        <f t="shared" si="42"/>
        <v>424422031.31836891</v>
      </c>
      <c r="BS115" s="428">
        <f t="shared" si="42"/>
        <v>424422031.31836891</v>
      </c>
      <c r="BT115" s="428">
        <f t="shared" si="42"/>
        <v>424422031.31836891</v>
      </c>
      <c r="BU115" s="428">
        <f t="shared" si="42"/>
        <v>424422031.31836891</v>
      </c>
      <c r="BV115" s="428">
        <f t="shared" si="42"/>
        <v>424422031.31836891</v>
      </c>
      <c r="BW115" s="428">
        <f t="shared" ref="BW115:DD115" si="43">SUM(BW113:BW114)</f>
        <v>424422031.31836891</v>
      </c>
      <c r="BX115" s="428">
        <f t="shared" si="43"/>
        <v>424422031.31836891</v>
      </c>
      <c r="BY115" s="428">
        <f t="shared" si="43"/>
        <v>424422031.31836891</v>
      </c>
      <c r="BZ115" s="428">
        <f t="shared" si="43"/>
        <v>424422031.31836891</v>
      </c>
      <c r="CA115" s="428">
        <f t="shared" si="43"/>
        <v>424422031.31836891</v>
      </c>
      <c r="CB115" s="428">
        <f t="shared" si="43"/>
        <v>424422031.31836891</v>
      </c>
      <c r="CC115" s="428">
        <f t="shared" si="43"/>
        <v>424422031.31836891</v>
      </c>
      <c r="CD115" s="428">
        <f t="shared" si="43"/>
        <v>424422031.31836891</v>
      </c>
      <c r="CE115" s="428">
        <f t="shared" si="43"/>
        <v>426686457.9129383</v>
      </c>
      <c r="CF115" s="428">
        <f t="shared" si="43"/>
        <v>426686457.9129383</v>
      </c>
      <c r="CG115" s="428">
        <f t="shared" si="43"/>
        <v>431379987.9609803</v>
      </c>
      <c r="CH115" s="428">
        <f t="shared" si="43"/>
        <v>431379987.9609803</v>
      </c>
      <c r="CI115" s="428">
        <f t="shared" si="43"/>
        <v>433123713.40495694</v>
      </c>
      <c r="CJ115" s="428">
        <f t="shared" si="43"/>
        <v>433123713.40495694</v>
      </c>
      <c r="CK115" s="428">
        <f t="shared" si="43"/>
        <v>485040815.72397459</v>
      </c>
      <c r="CL115" s="428">
        <f t="shared" si="43"/>
        <v>485040815.72397459</v>
      </c>
      <c r="CM115" s="428">
        <f t="shared" si="43"/>
        <v>547408672.69863212</v>
      </c>
      <c r="CN115" s="428">
        <f t="shared" si="43"/>
        <v>547408672.69863212</v>
      </c>
      <c r="CO115" s="428">
        <f t="shared" si="43"/>
        <v>551503144.13897419</v>
      </c>
      <c r="CP115" s="428">
        <f t="shared" si="43"/>
        <v>551503144.13897419</v>
      </c>
      <c r="CQ115" s="428">
        <f t="shared" si="43"/>
        <v>577169337.04954696</v>
      </c>
      <c r="CR115" s="428">
        <f t="shared" si="43"/>
        <v>577169337.04954696</v>
      </c>
      <c r="CS115" s="428">
        <f t="shared" si="43"/>
        <v>610193474.97231555</v>
      </c>
      <c r="CT115" s="428">
        <f t="shared" si="43"/>
        <v>610193474.97231555</v>
      </c>
      <c r="CU115" s="428">
        <f t="shared" si="43"/>
        <v>610193474.97231555</v>
      </c>
      <c r="CV115" s="428">
        <f t="shared" si="43"/>
        <v>636700582.74912536</v>
      </c>
      <c r="CW115" s="428">
        <f t="shared" si="43"/>
        <v>636700582.74912536</v>
      </c>
      <c r="CX115" s="428">
        <f t="shared" si="43"/>
        <v>636700582.74912536</v>
      </c>
      <c r="CY115" s="428">
        <f t="shared" si="43"/>
        <v>1450868468.5263989</v>
      </c>
      <c r="CZ115" s="428">
        <f t="shared" si="43"/>
        <v>1450868468.5263989</v>
      </c>
      <c r="DA115" s="428">
        <f t="shared" si="43"/>
        <v>1759945405.7894394</v>
      </c>
      <c r="DB115" s="428">
        <f t="shared" si="43"/>
        <v>1759945405.7894394</v>
      </c>
      <c r="DC115" s="428">
        <f t="shared" si="43"/>
        <v>1904916234.3393266</v>
      </c>
      <c r="DD115" s="428">
        <f t="shared" si="43"/>
        <v>1904916234.3393266</v>
      </c>
      <c r="DG115" s="88"/>
    </row>
    <row r="116" spans="2:111" s="88" customFormat="1" outlineLevel="1" x14ac:dyDescent="0.25">
      <c r="C116" s="89"/>
      <c r="D116" s="91"/>
      <c r="E116" s="90" t="s">
        <v>209</v>
      </c>
      <c r="F116" s="167"/>
      <c r="G116" s="90" t="s">
        <v>124</v>
      </c>
      <c r="H116" s="92"/>
      <c r="I116" s="90"/>
      <c r="J116" s="428">
        <f t="shared" ref="J116:AO116" si="44">$H$37</f>
        <v>514457124.88364506</v>
      </c>
      <c r="K116" s="428">
        <f t="shared" si="44"/>
        <v>514457124.88364506</v>
      </c>
      <c r="L116" s="428">
        <f t="shared" si="44"/>
        <v>514457124.88364506</v>
      </c>
      <c r="M116" s="428">
        <f t="shared" si="44"/>
        <v>514457124.88364506</v>
      </c>
      <c r="N116" s="428">
        <f t="shared" si="44"/>
        <v>514457124.88364506</v>
      </c>
      <c r="O116" s="428">
        <f t="shared" si="44"/>
        <v>514457124.88364506</v>
      </c>
      <c r="P116" s="428">
        <f t="shared" si="44"/>
        <v>514457124.88364506</v>
      </c>
      <c r="Q116" s="428">
        <f t="shared" si="44"/>
        <v>514457124.88364506</v>
      </c>
      <c r="R116" s="428">
        <f t="shared" si="44"/>
        <v>514457124.88364506</v>
      </c>
      <c r="S116" s="428">
        <f t="shared" si="44"/>
        <v>514457124.88364506</v>
      </c>
      <c r="T116" s="428">
        <f t="shared" si="44"/>
        <v>514457124.88364506</v>
      </c>
      <c r="U116" s="428">
        <f t="shared" si="44"/>
        <v>514457124.88364506</v>
      </c>
      <c r="V116" s="428">
        <f t="shared" si="44"/>
        <v>514457124.88364506</v>
      </c>
      <c r="W116" s="428">
        <f t="shared" si="44"/>
        <v>514457124.88364506</v>
      </c>
      <c r="X116" s="428">
        <f t="shared" si="44"/>
        <v>514457124.88364506</v>
      </c>
      <c r="Y116" s="428">
        <f t="shared" si="44"/>
        <v>514457124.88364506</v>
      </c>
      <c r="Z116" s="428">
        <f t="shared" si="44"/>
        <v>514457124.88364506</v>
      </c>
      <c r="AA116" s="428">
        <f t="shared" si="44"/>
        <v>514457124.88364506</v>
      </c>
      <c r="AB116" s="428">
        <f t="shared" si="44"/>
        <v>514457124.88364506</v>
      </c>
      <c r="AC116" s="428">
        <f t="shared" si="44"/>
        <v>514457124.88364506</v>
      </c>
      <c r="AD116" s="428">
        <f t="shared" si="44"/>
        <v>514457124.88364506</v>
      </c>
      <c r="AE116" s="428">
        <f t="shared" si="44"/>
        <v>514457124.88364506</v>
      </c>
      <c r="AF116" s="428">
        <f t="shared" si="44"/>
        <v>514457124.88364506</v>
      </c>
      <c r="AG116" s="428">
        <f t="shared" si="44"/>
        <v>514457124.88364506</v>
      </c>
      <c r="AH116" s="428">
        <f t="shared" si="44"/>
        <v>514457124.88364506</v>
      </c>
      <c r="AI116" s="428">
        <f t="shared" si="44"/>
        <v>514457124.88364506</v>
      </c>
      <c r="AJ116" s="428">
        <f t="shared" si="44"/>
        <v>514457124.88364506</v>
      </c>
      <c r="AK116" s="428">
        <f t="shared" si="44"/>
        <v>514457124.88364506</v>
      </c>
      <c r="AL116" s="428">
        <f t="shared" si="44"/>
        <v>514457124.88364506</v>
      </c>
      <c r="AM116" s="428">
        <f t="shared" si="44"/>
        <v>514457124.88364506</v>
      </c>
      <c r="AN116" s="428">
        <f t="shared" si="44"/>
        <v>514457124.88364506</v>
      </c>
      <c r="AO116" s="428">
        <f t="shared" si="44"/>
        <v>514457124.88364506</v>
      </c>
      <c r="AP116" s="428">
        <f t="shared" ref="AP116:BU116" si="45">$H$37</f>
        <v>514457124.88364506</v>
      </c>
      <c r="AQ116" s="428">
        <f t="shared" si="45"/>
        <v>514457124.88364506</v>
      </c>
      <c r="AR116" s="428">
        <f t="shared" si="45"/>
        <v>514457124.88364506</v>
      </c>
      <c r="AS116" s="428">
        <f t="shared" si="45"/>
        <v>514457124.88364506</v>
      </c>
      <c r="AT116" s="428">
        <f t="shared" si="45"/>
        <v>514457124.88364506</v>
      </c>
      <c r="AU116" s="428">
        <f t="shared" si="45"/>
        <v>514457124.88364506</v>
      </c>
      <c r="AV116" s="428">
        <f t="shared" si="45"/>
        <v>514457124.88364506</v>
      </c>
      <c r="AW116" s="428">
        <f t="shared" si="45"/>
        <v>514457124.88364506</v>
      </c>
      <c r="AX116" s="428">
        <f t="shared" si="45"/>
        <v>514457124.88364506</v>
      </c>
      <c r="AY116" s="428">
        <f t="shared" si="45"/>
        <v>514457124.88364506</v>
      </c>
      <c r="AZ116" s="428">
        <f t="shared" si="45"/>
        <v>514457124.88364506</v>
      </c>
      <c r="BA116" s="428">
        <f t="shared" si="45"/>
        <v>514457124.88364506</v>
      </c>
      <c r="BB116" s="428">
        <f t="shared" si="45"/>
        <v>514457124.88364506</v>
      </c>
      <c r="BC116" s="428">
        <f t="shared" si="45"/>
        <v>514457124.88364506</v>
      </c>
      <c r="BD116" s="428">
        <f t="shared" si="45"/>
        <v>514457124.88364506</v>
      </c>
      <c r="BE116" s="428">
        <f t="shared" si="45"/>
        <v>514457124.88364506</v>
      </c>
      <c r="BF116" s="428">
        <f t="shared" si="45"/>
        <v>514457124.88364506</v>
      </c>
      <c r="BG116" s="428">
        <f t="shared" si="45"/>
        <v>514457124.88364506</v>
      </c>
      <c r="BH116" s="428">
        <f t="shared" si="45"/>
        <v>514457124.88364506</v>
      </c>
      <c r="BI116" s="428">
        <f t="shared" si="45"/>
        <v>514457124.88364506</v>
      </c>
      <c r="BJ116" s="428">
        <f t="shared" si="45"/>
        <v>514457124.88364506</v>
      </c>
      <c r="BK116" s="428">
        <f t="shared" si="45"/>
        <v>514457124.88364506</v>
      </c>
      <c r="BL116" s="428">
        <f t="shared" si="45"/>
        <v>514457124.88364506</v>
      </c>
      <c r="BM116" s="428">
        <f t="shared" si="45"/>
        <v>514457124.88364506</v>
      </c>
      <c r="BN116" s="428">
        <f t="shared" si="45"/>
        <v>514457124.88364506</v>
      </c>
      <c r="BO116" s="428">
        <f t="shared" si="45"/>
        <v>514457124.88364506</v>
      </c>
      <c r="BP116" s="428">
        <f t="shared" si="45"/>
        <v>514457124.88364506</v>
      </c>
      <c r="BQ116" s="428">
        <f t="shared" si="45"/>
        <v>514457124.88364506</v>
      </c>
      <c r="BR116" s="428">
        <f t="shared" si="45"/>
        <v>514457124.88364506</v>
      </c>
      <c r="BS116" s="428">
        <f t="shared" si="45"/>
        <v>514457124.88364506</v>
      </c>
      <c r="BT116" s="428">
        <f t="shared" si="45"/>
        <v>514457124.88364506</v>
      </c>
      <c r="BU116" s="428">
        <f t="shared" si="45"/>
        <v>514457124.88364506</v>
      </c>
      <c r="BV116" s="428">
        <f t="shared" ref="BV116:DD116" si="46">$H$37</f>
        <v>514457124.88364506</v>
      </c>
      <c r="BW116" s="428">
        <f t="shared" si="46"/>
        <v>514457124.88364506</v>
      </c>
      <c r="BX116" s="428">
        <f t="shared" si="46"/>
        <v>514457124.88364506</v>
      </c>
      <c r="BY116" s="428">
        <f t="shared" si="46"/>
        <v>514457124.88364506</v>
      </c>
      <c r="BZ116" s="428">
        <f t="shared" si="46"/>
        <v>514457124.88364506</v>
      </c>
      <c r="CA116" s="428">
        <f t="shared" si="46"/>
        <v>514457124.88364506</v>
      </c>
      <c r="CB116" s="428">
        <f t="shared" si="46"/>
        <v>514457124.88364506</v>
      </c>
      <c r="CC116" s="428">
        <f t="shared" si="46"/>
        <v>514457124.88364506</v>
      </c>
      <c r="CD116" s="428">
        <f t="shared" si="46"/>
        <v>514457124.88364506</v>
      </c>
      <c r="CE116" s="428">
        <f t="shared" si="46"/>
        <v>514457124.88364506</v>
      </c>
      <c r="CF116" s="428">
        <f t="shared" si="46"/>
        <v>514457124.88364506</v>
      </c>
      <c r="CG116" s="428">
        <f t="shared" si="46"/>
        <v>514457124.88364506</v>
      </c>
      <c r="CH116" s="428">
        <f t="shared" si="46"/>
        <v>514457124.88364506</v>
      </c>
      <c r="CI116" s="428">
        <f t="shared" si="46"/>
        <v>514457124.88364506</v>
      </c>
      <c r="CJ116" s="428">
        <f t="shared" si="46"/>
        <v>514457124.88364506</v>
      </c>
      <c r="CK116" s="428">
        <f t="shared" si="46"/>
        <v>514457124.88364506</v>
      </c>
      <c r="CL116" s="428">
        <f t="shared" si="46"/>
        <v>514457124.88364506</v>
      </c>
      <c r="CM116" s="428">
        <f t="shared" si="46"/>
        <v>514457124.88364506</v>
      </c>
      <c r="CN116" s="428">
        <f t="shared" si="46"/>
        <v>514457124.88364506</v>
      </c>
      <c r="CO116" s="428">
        <f t="shared" si="46"/>
        <v>514457124.88364506</v>
      </c>
      <c r="CP116" s="428">
        <f t="shared" si="46"/>
        <v>514457124.88364506</v>
      </c>
      <c r="CQ116" s="428">
        <f t="shared" si="46"/>
        <v>514457124.88364506</v>
      </c>
      <c r="CR116" s="428">
        <f t="shared" si="46"/>
        <v>514457124.88364506</v>
      </c>
      <c r="CS116" s="428">
        <f t="shared" si="46"/>
        <v>514457124.88364506</v>
      </c>
      <c r="CT116" s="428">
        <f t="shared" si="46"/>
        <v>514457124.88364506</v>
      </c>
      <c r="CU116" s="428">
        <f t="shared" si="46"/>
        <v>514457124.88364506</v>
      </c>
      <c r="CV116" s="428">
        <f t="shared" si="46"/>
        <v>514457124.88364506</v>
      </c>
      <c r="CW116" s="428">
        <f t="shared" si="46"/>
        <v>514457124.88364506</v>
      </c>
      <c r="CX116" s="428">
        <f t="shared" si="46"/>
        <v>514457124.88364506</v>
      </c>
      <c r="CY116" s="428">
        <f t="shared" si="46"/>
        <v>514457124.88364506</v>
      </c>
      <c r="CZ116" s="428">
        <f t="shared" si="46"/>
        <v>514457124.88364506</v>
      </c>
      <c r="DA116" s="428">
        <f t="shared" si="46"/>
        <v>514457124.88364506</v>
      </c>
      <c r="DB116" s="428">
        <f t="shared" si="46"/>
        <v>514457124.88364506</v>
      </c>
      <c r="DC116" s="428">
        <f t="shared" si="46"/>
        <v>514457124.88364506</v>
      </c>
      <c r="DD116" s="428">
        <f t="shared" si="46"/>
        <v>514457124.88364506</v>
      </c>
    </row>
    <row r="117" spans="2:111" outlineLevel="1" x14ac:dyDescent="0.25">
      <c r="C117" s="3"/>
      <c r="E117" s="167" t="s">
        <v>883</v>
      </c>
      <c r="F117" s="167"/>
      <c r="G117" s="167" t="s">
        <v>201</v>
      </c>
      <c r="H117" s="591" t="str">
        <f>IF(((SUMPRODUCT($J$96:$DD$96,$J$97:$DD$97)*ten)-$H$54)&gt;0,$J$111,IF($DD$115&gt;$DD$116,"",$H$84))</f>
        <v/>
      </c>
      <c r="I117" s="572"/>
      <c r="J117" s="585" t="str">
        <f t="shared" ref="J117:BV117" si="47">IF((J115&gt;J116)=(I115&gt;J116),"",J111-(J115-J116)/(I112*ten))</f>
        <v/>
      </c>
      <c r="K117" s="585" t="str">
        <f t="shared" si="47"/>
        <v/>
      </c>
      <c r="L117" s="585" t="str">
        <f t="shared" si="47"/>
        <v/>
      </c>
      <c r="M117" s="585" t="str">
        <f t="shared" si="47"/>
        <v/>
      </c>
      <c r="N117" s="585" t="str">
        <f t="shared" si="47"/>
        <v/>
      </c>
      <c r="O117" s="585" t="str">
        <f t="shared" si="47"/>
        <v/>
      </c>
      <c r="P117" s="585" t="str">
        <f t="shared" si="47"/>
        <v/>
      </c>
      <c r="Q117" s="585" t="str">
        <f t="shared" si="47"/>
        <v/>
      </c>
      <c r="R117" s="585" t="str">
        <f t="shared" si="47"/>
        <v/>
      </c>
      <c r="S117" s="585" t="str">
        <f t="shared" si="47"/>
        <v/>
      </c>
      <c r="T117" s="585" t="str">
        <f t="shared" si="47"/>
        <v/>
      </c>
      <c r="U117" s="585" t="str">
        <f t="shared" si="47"/>
        <v/>
      </c>
      <c r="V117" s="585" t="str">
        <f t="shared" si="47"/>
        <v/>
      </c>
      <c r="W117" s="585" t="str">
        <f t="shared" si="47"/>
        <v/>
      </c>
      <c r="X117" s="585" t="str">
        <f t="shared" si="47"/>
        <v/>
      </c>
      <c r="Y117" s="585" t="str">
        <f t="shared" si="47"/>
        <v/>
      </c>
      <c r="Z117" s="585" t="str">
        <f t="shared" si="47"/>
        <v/>
      </c>
      <c r="AA117" s="585" t="str">
        <f t="shared" si="47"/>
        <v/>
      </c>
      <c r="AB117" s="585" t="str">
        <f t="shared" si="47"/>
        <v/>
      </c>
      <c r="AC117" s="585" t="str">
        <f t="shared" si="47"/>
        <v/>
      </c>
      <c r="AD117" s="585" t="str">
        <f t="shared" si="47"/>
        <v/>
      </c>
      <c r="AE117" s="585" t="str">
        <f t="shared" si="47"/>
        <v/>
      </c>
      <c r="AF117" s="585" t="str">
        <f t="shared" si="47"/>
        <v/>
      </c>
      <c r="AG117" s="585" t="str">
        <f t="shared" si="47"/>
        <v/>
      </c>
      <c r="AH117" s="585" t="str">
        <f t="shared" si="47"/>
        <v/>
      </c>
      <c r="AI117" s="585" t="str">
        <f t="shared" si="47"/>
        <v/>
      </c>
      <c r="AJ117" s="585" t="str">
        <f t="shared" si="47"/>
        <v/>
      </c>
      <c r="AK117" s="585" t="str">
        <f t="shared" si="47"/>
        <v/>
      </c>
      <c r="AL117" s="585" t="str">
        <f t="shared" si="47"/>
        <v/>
      </c>
      <c r="AM117" s="585" t="str">
        <f t="shared" si="47"/>
        <v/>
      </c>
      <c r="AN117" s="585" t="str">
        <f t="shared" si="47"/>
        <v/>
      </c>
      <c r="AO117" s="585" t="str">
        <f t="shared" si="47"/>
        <v/>
      </c>
      <c r="AP117" s="585" t="str">
        <f t="shared" si="47"/>
        <v/>
      </c>
      <c r="AQ117" s="585" t="str">
        <f t="shared" si="47"/>
        <v/>
      </c>
      <c r="AR117" s="585" t="str">
        <f t="shared" si="47"/>
        <v/>
      </c>
      <c r="AS117" s="585" t="str">
        <f t="shared" si="47"/>
        <v/>
      </c>
      <c r="AT117" s="585" t="str">
        <f t="shared" si="47"/>
        <v/>
      </c>
      <c r="AU117" s="585" t="str">
        <f t="shared" si="47"/>
        <v/>
      </c>
      <c r="AV117" s="585" t="str">
        <f t="shared" si="47"/>
        <v/>
      </c>
      <c r="AW117" s="585" t="str">
        <f t="shared" si="47"/>
        <v/>
      </c>
      <c r="AX117" s="585" t="str">
        <f t="shared" si="47"/>
        <v/>
      </c>
      <c r="AY117" s="585" t="str">
        <f t="shared" si="47"/>
        <v/>
      </c>
      <c r="AZ117" s="585" t="str">
        <f t="shared" si="47"/>
        <v/>
      </c>
      <c r="BA117" s="585" t="str">
        <f t="shared" si="47"/>
        <v/>
      </c>
      <c r="BB117" s="585" t="str">
        <f t="shared" si="47"/>
        <v/>
      </c>
      <c r="BC117" s="585" t="str">
        <f t="shared" si="47"/>
        <v/>
      </c>
      <c r="BD117" s="585" t="str">
        <f t="shared" si="47"/>
        <v/>
      </c>
      <c r="BE117" s="585" t="str">
        <f t="shared" si="47"/>
        <v/>
      </c>
      <c r="BF117" s="585" t="str">
        <f t="shared" si="47"/>
        <v/>
      </c>
      <c r="BG117" s="585" t="str">
        <f t="shared" si="47"/>
        <v/>
      </c>
      <c r="BH117" s="585" t="str">
        <f t="shared" si="47"/>
        <v/>
      </c>
      <c r="BI117" s="585" t="str">
        <f t="shared" si="47"/>
        <v/>
      </c>
      <c r="BJ117" s="585" t="str">
        <f t="shared" si="47"/>
        <v/>
      </c>
      <c r="BK117" s="585" t="str">
        <f t="shared" si="47"/>
        <v/>
      </c>
      <c r="BL117" s="585" t="str">
        <f t="shared" si="47"/>
        <v/>
      </c>
      <c r="BM117" s="585" t="str">
        <f t="shared" si="47"/>
        <v/>
      </c>
      <c r="BN117" s="585" t="str">
        <f t="shared" si="47"/>
        <v/>
      </c>
      <c r="BO117" s="585" t="str">
        <f t="shared" si="47"/>
        <v/>
      </c>
      <c r="BP117" s="585" t="str">
        <f t="shared" si="47"/>
        <v/>
      </c>
      <c r="BQ117" s="585" t="str">
        <f t="shared" si="47"/>
        <v/>
      </c>
      <c r="BR117" s="585" t="str">
        <f t="shared" si="47"/>
        <v/>
      </c>
      <c r="BS117" s="585" t="str">
        <f t="shared" si="47"/>
        <v/>
      </c>
      <c r="BT117" s="585" t="str">
        <f t="shared" si="47"/>
        <v/>
      </c>
      <c r="BU117" s="585" t="str">
        <f t="shared" si="47"/>
        <v/>
      </c>
      <c r="BV117" s="585" t="str">
        <f t="shared" si="47"/>
        <v/>
      </c>
      <c r="BW117" s="585" t="str">
        <f t="shared" ref="BW117:DD117" si="48">IF((BW115&gt;BW116)=(BV115&gt;BW116),"",BW111-(BW115-BW116)/(BV112*ten))</f>
        <v/>
      </c>
      <c r="BX117" s="585" t="str">
        <f t="shared" si="48"/>
        <v/>
      </c>
      <c r="BY117" s="585" t="str">
        <f t="shared" si="48"/>
        <v/>
      </c>
      <c r="BZ117" s="585" t="str">
        <f t="shared" si="48"/>
        <v/>
      </c>
      <c r="CA117" s="585" t="str">
        <f t="shared" si="48"/>
        <v/>
      </c>
      <c r="CB117" s="585" t="str">
        <f t="shared" si="48"/>
        <v/>
      </c>
      <c r="CC117" s="585" t="str">
        <f t="shared" si="48"/>
        <v/>
      </c>
      <c r="CD117" s="585" t="str">
        <f t="shared" si="48"/>
        <v/>
      </c>
      <c r="CE117" s="585" t="str">
        <f t="shared" si="48"/>
        <v/>
      </c>
      <c r="CF117" s="585" t="str">
        <f t="shared" si="48"/>
        <v/>
      </c>
      <c r="CG117" s="585" t="str">
        <f t="shared" si="48"/>
        <v/>
      </c>
      <c r="CH117" s="585" t="str">
        <f t="shared" si="48"/>
        <v/>
      </c>
      <c r="CI117" s="585" t="str">
        <f t="shared" si="48"/>
        <v/>
      </c>
      <c r="CJ117" s="585" t="str">
        <f t="shared" si="48"/>
        <v/>
      </c>
      <c r="CK117" s="585" t="str">
        <f t="shared" si="48"/>
        <v/>
      </c>
      <c r="CL117" s="585" t="str">
        <f t="shared" si="48"/>
        <v/>
      </c>
      <c r="CM117" s="585">
        <f t="shared" si="48"/>
        <v>0.33667025214421992</v>
      </c>
      <c r="CN117" s="585" t="str">
        <f t="shared" si="48"/>
        <v/>
      </c>
      <c r="CO117" s="585" t="str">
        <f t="shared" si="48"/>
        <v/>
      </c>
      <c r="CP117" s="585" t="str">
        <f t="shared" si="48"/>
        <v/>
      </c>
      <c r="CQ117" s="585" t="str">
        <f t="shared" si="48"/>
        <v/>
      </c>
      <c r="CR117" s="585" t="str">
        <f t="shared" si="48"/>
        <v/>
      </c>
      <c r="CS117" s="585" t="str">
        <f t="shared" si="48"/>
        <v/>
      </c>
      <c r="CT117" s="585" t="str">
        <f t="shared" si="48"/>
        <v/>
      </c>
      <c r="CU117" s="585" t="str">
        <f t="shared" si="48"/>
        <v/>
      </c>
      <c r="CV117" s="585" t="str">
        <f t="shared" si="48"/>
        <v/>
      </c>
      <c r="CW117" s="585" t="str">
        <f t="shared" si="48"/>
        <v/>
      </c>
      <c r="CX117" s="585" t="str">
        <f t="shared" si="48"/>
        <v/>
      </c>
      <c r="CY117" s="585" t="str">
        <f t="shared" si="48"/>
        <v/>
      </c>
      <c r="CZ117" s="585" t="str">
        <f t="shared" si="48"/>
        <v/>
      </c>
      <c r="DA117" s="585" t="str">
        <f t="shared" si="48"/>
        <v/>
      </c>
      <c r="DB117" s="585" t="str">
        <f t="shared" si="48"/>
        <v/>
      </c>
      <c r="DC117" s="585" t="str">
        <f t="shared" si="48"/>
        <v/>
      </c>
      <c r="DD117" s="585" t="str">
        <f t="shared" si="48"/>
        <v/>
      </c>
      <c r="DE117" s="571"/>
      <c r="DF117" s="571"/>
      <c r="DG117" s="571"/>
    </row>
    <row r="118" spans="2:111" s="11" customFormat="1" x14ac:dyDescent="0.25">
      <c r="C118" s="30"/>
      <c r="D118" s="204"/>
      <c r="E118" s="307"/>
      <c r="F118" s="151"/>
      <c r="G118" s="151"/>
      <c r="I118" s="151"/>
      <c r="J118" s="151"/>
      <c r="K118" s="151"/>
      <c r="L118" s="151"/>
      <c r="M118" s="151"/>
      <c r="N118" s="151"/>
      <c r="O118" s="151"/>
      <c r="P118" s="151"/>
      <c r="Q118" s="151"/>
      <c r="R118" s="151"/>
      <c r="S118" s="151"/>
      <c r="T118" s="151"/>
      <c r="U118" s="151"/>
      <c r="V118" s="151"/>
      <c r="W118" s="151"/>
      <c r="X118" s="151"/>
      <c r="Y118" s="151"/>
      <c r="Z118" s="151"/>
      <c r="AA118" s="151"/>
      <c r="AB118" s="151"/>
      <c r="AC118" s="151"/>
      <c r="AD118" s="151"/>
      <c r="AE118" s="151"/>
      <c r="AF118" s="151"/>
      <c r="AG118" s="151"/>
      <c r="AH118" s="151"/>
      <c r="AI118" s="151"/>
      <c r="AJ118" s="151"/>
      <c r="AK118" s="151"/>
      <c r="AL118" s="151"/>
      <c r="AM118" s="151"/>
      <c r="AN118" s="151"/>
      <c r="AO118" s="151"/>
      <c r="AP118" s="151"/>
      <c r="AQ118" s="151"/>
      <c r="AR118" s="151"/>
      <c r="AS118" s="151"/>
      <c r="AT118" s="151"/>
      <c r="AU118" s="151"/>
      <c r="AV118" s="151"/>
      <c r="AW118" s="151"/>
      <c r="AX118" s="151"/>
      <c r="AY118" s="151"/>
      <c r="AZ118" s="151"/>
      <c r="BA118" s="151"/>
      <c r="BB118" s="151"/>
      <c r="BC118" s="151"/>
      <c r="BD118" s="151"/>
      <c r="BE118" s="151"/>
      <c r="BF118" s="151"/>
      <c r="BG118" s="151"/>
      <c r="BH118" s="151"/>
      <c r="BI118" s="151"/>
      <c r="BJ118" s="151"/>
      <c r="BK118" s="151"/>
      <c r="BL118" s="151"/>
      <c r="BM118" s="151"/>
      <c r="BN118" s="151"/>
      <c r="BO118" s="151"/>
      <c r="BP118" s="151"/>
      <c r="BQ118" s="151"/>
      <c r="BR118" s="151"/>
      <c r="BS118" s="151"/>
      <c r="BT118" s="151"/>
      <c r="BU118" s="151"/>
      <c r="BV118" s="151"/>
      <c r="BW118" s="151"/>
      <c r="BX118" s="151"/>
      <c r="BY118" s="151"/>
      <c r="BZ118" s="151"/>
      <c r="CA118" s="151"/>
      <c r="CB118" s="151"/>
      <c r="CC118" s="151"/>
      <c r="CD118" s="151"/>
      <c r="CE118" s="151"/>
      <c r="CF118" s="151"/>
      <c r="CG118" s="151"/>
      <c r="CH118" s="151"/>
      <c r="CI118" s="151"/>
      <c r="CJ118" s="151"/>
      <c r="CK118" s="151"/>
      <c r="CL118" s="151"/>
      <c r="CM118" s="151"/>
      <c r="CN118" s="151"/>
      <c r="CO118" s="151"/>
      <c r="CP118" s="151"/>
      <c r="CQ118" s="151"/>
      <c r="CR118" s="151"/>
      <c r="CS118" s="151"/>
      <c r="CT118" s="151"/>
      <c r="CU118" s="151"/>
      <c r="CV118" s="151"/>
      <c r="CW118" s="151"/>
      <c r="CX118" s="151"/>
      <c r="CY118" s="151"/>
      <c r="CZ118" s="151"/>
      <c r="DA118" s="151"/>
      <c r="DB118" s="151"/>
      <c r="DC118" s="151"/>
      <c r="DD118" s="151"/>
    </row>
    <row r="119" spans="2:111" x14ac:dyDescent="0.25">
      <c r="D119" s="36" t="s">
        <v>202</v>
      </c>
      <c r="E119" s="160"/>
      <c r="F119" s="31"/>
      <c r="H119" s="63"/>
      <c r="I119" s="63" t="s">
        <v>525</v>
      </c>
      <c r="DG119" s="160" t="s">
        <v>1000</v>
      </c>
    </row>
    <row r="120" spans="2:111" x14ac:dyDescent="0.25">
      <c r="C120" s="36"/>
      <c r="D120" s="152" t="s">
        <v>614</v>
      </c>
      <c r="F120" s="31"/>
      <c r="H120" s="63"/>
      <c r="I120" s="63"/>
    </row>
    <row r="121" spans="2:111" s="160" customFormat="1" x14ac:dyDescent="0.25">
      <c r="C121" s="172"/>
      <c r="D121" s="152" t="s">
        <v>613</v>
      </c>
      <c r="E121" s="175"/>
      <c r="F121" s="143"/>
      <c r="H121" s="63"/>
      <c r="I121" s="63"/>
    </row>
    <row r="122" spans="2:111" s="338" customFormat="1" x14ac:dyDescent="0.25">
      <c r="C122" s="172"/>
      <c r="D122" s="152"/>
      <c r="E122" s="175"/>
      <c r="F122" s="340"/>
      <c r="H122" s="63"/>
      <c r="I122" s="63"/>
    </row>
    <row r="123" spans="2:111" x14ac:dyDescent="0.25">
      <c r="C123" s="3"/>
      <c r="E123" s="167" t="s">
        <v>202</v>
      </c>
      <c r="F123" s="167"/>
      <c r="G123" s="167" t="s">
        <v>201</v>
      </c>
      <c r="H123" s="585">
        <f>MIN(H117:DD117)</f>
        <v>0.33667025214421992</v>
      </c>
      <c r="I123" s="571"/>
      <c r="J123" s="571"/>
      <c r="K123" s="571"/>
      <c r="L123" s="571"/>
      <c r="M123" s="571"/>
      <c r="N123" s="571"/>
      <c r="O123" s="571"/>
      <c r="P123" s="571"/>
      <c r="Q123" s="571"/>
      <c r="R123" s="571"/>
      <c r="S123" s="571"/>
      <c r="T123" s="571"/>
      <c r="U123" s="571"/>
      <c r="V123" s="571"/>
      <c r="W123" s="571"/>
      <c r="X123" s="571"/>
      <c r="Y123" s="571"/>
      <c r="Z123" s="571"/>
      <c r="AA123" s="571"/>
      <c r="AB123" s="571"/>
      <c r="AC123" s="571"/>
      <c r="AD123" s="571"/>
      <c r="AE123" s="571"/>
      <c r="AF123" s="571"/>
      <c r="AG123" s="571"/>
      <c r="AH123" s="571"/>
      <c r="AI123" s="571"/>
      <c r="AJ123" s="571"/>
      <c r="AK123" s="571"/>
      <c r="AL123" s="571"/>
      <c r="AM123" s="571"/>
      <c r="AN123" s="571"/>
      <c r="AO123" s="571"/>
      <c r="AP123" s="571"/>
      <c r="AQ123" s="571"/>
      <c r="AR123" s="571"/>
      <c r="AS123" s="571"/>
      <c r="AT123" s="571"/>
      <c r="AU123" s="571"/>
      <c r="AV123" s="571"/>
      <c r="AW123" s="571"/>
      <c r="AX123" s="571"/>
      <c r="AY123" s="571"/>
      <c r="AZ123" s="571"/>
      <c r="BA123" s="571"/>
      <c r="BB123" s="571"/>
      <c r="BC123" s="571"/>
      <c r="BD123" s="571"/>
      <c r="BE123" s="571"/>
      <c r="BF123" s="571"/>
      <c r="BG123" s="571"/>
      <c r="BH123" s="571"/>
      <c r="BI123" s="571"/>
      <c r="BJ123" s="571"/>
      <c r="BK123" s="571"/>
      <c r="BL123" s="571"/>
      <c r="BM123" s="571"/>
      <c r="BN123" s="571"/>
      <c r="BO123" s="571"/>
      <c r="BP123" s="571"/>
      <c r="BQ123" s="571"/>
      <c r="BR123" s="571"/>
      <c r="BS123" s="571"/>
      <c r="BT123" s="571"/>
      <c r="BU123" s="571"/>
      <c r="BV123" s="571"/>
      <c r="BW123" s="571"/>
      <c r="BX123" s="571"/>
      <c r="BY123" s="571"/>
      <c r="BZ123" s="571"/>
      <c r="CA123" s="571"/>
      <c r="CB123" s="571"/>
      <c r="CC123" s="571"/>
      <c r="CD123" s="571"/>
      <c r="CE123" s="571"/>
      <c r="CF123" s="571"/>
      <c r="CG123" s="571"/>
      <c r="CH123" s="571"/>
      <c r="CI123" s="571"/>
      <c r="CJ123" s="571"/>
      <c r="CK123" s="571"/>
      <c r="CL123" s="571"/>
      <c r="CM123" s="571"/>
      <c r="CN123" s="571"/>
      <c r="CO123" s="571"/>
      <c r="CP123" s="571"/>
      <c r="CQ123" s="571"/>
      <c r="CR123" s="571"/>
      <c r="CS123" s="571"/>
      <c r="CT123" s="571"/>
      <c r="CU123" s="571"/>
      <c r="CV123" s="571"/>
      <c r="CW123" s="571"/>
      <c r="CX123" s="571"/>
      <c r="CY123" s="571"/>
      <c r="CZ123" s="571"/>
      <c r="DA123" s="571"/>
      <c r="DB123" s="571"/>
      <c r="DC123" s="571"/>
      <c r="DD123" s="571"/>
      <c r="DE123" s="571"/>
      <c r="DF123" s="571"/>
      <c r="DG123" s="571"/>
    </row>
    <row r="124" spans="2:111" x14ac:dyDescent="0.25">
      <c r="C124" s="3"/>
    </row>
    <row r="125" spans="2:111" s="338" customFormat="1" x14ac:dyDescent="0.25">
      <c r="C125" s="22" t="str">
        <f ca="1">INDEX('Version control'!$H$34:$H$59,MATCH($A$1,'Version control'!$F$34:$F$59,0),1)&amp;"-E: Adder to be applied to unit rates"</f>
        <v>Section 518-E: Adder to be applied to unit rates</v>
      </c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2"/>
      <c r="BR125" s="22"/>
      <c r="BS125" s="22"/>
      <c r="BT125" s="22"/>
      <c r="BU125" s="22"/>
      <c r="BV125" s="22"/>
      <c r="BW125" s="22"/>
      <c r="BX125" s="22"/>
      <c r="BY125" s="22"/>
      <c r="BZ125" s="22"/>
      <c r="CA125" s="22"/>
      <c r="CB125" s="22"/>
      <c r="CC125" s="22"/>
      <c r="CD125" s="22"/>
      <c r="CE125" s="22"/>
      <c r="CF125" s="22"/>
      <c r="CG125" s="22"/>
      <c r="CH125" s="22"/>
      <c r="CI125" s="22"/>
      <c r="CJ125" s="22"/>
      <c r="CK125" s="22"/>
      <c r="CL125" s="22"/>
      <c r="CM125" s="22"/>
      <c r="CN125" s="22"/>
      <c r="CO125" s="22"/>
      <c r="CP125" s="22"/>
      <c r="CQ125" s="22"/>
      <c r="CR125" s="22"/>
      <c r="CS125" s="22"/>
      <c r="CT125" s="22"/>
      <c r="CU125" s="22"/>
      <c r="CV125" s="22"/>
      <c r="CW125" s="22"/>
      <c r="CX125" s="22"/>
      <c r="CY125" s="22"/>
      <c r="CZ125" s="22"/>
      <c r="DA125" s="22"/>
      <c r="DB125" s="22"/>
      <c r="DC125" s="22"/>
      <c r="DD125" s="22"/>
      <c r="DE125" s="22"/>
      <c r="DF125" s="22"/>
      <c r="DG125" s="22"/>
    </row>
    <row r="126" spans="2:111" s="160" customFormat="1" x14ac:dyDescent="0.25">
      <c r="B126" s="152"/>
      <c r="C126" s="161"/>
      <c r="D126" s="175"/>
      <c r="E126" s="175"/>
    </row>
    <row r="127" spans="2:111" x14ac:dyDescent="0.25">
      <c r="C127" s="152" t="s">
        <v>615</v>
      </c>
      <c r="DF127" s="160"/>
      <c r="DG127" s="160"/>
    </row>
    <row r="128" spans="2:111" x14ac:dyDescent="0.25">
      <c r="B128" s="65"/>
      <c r="C128" s="152" t="s">
        <v>753</v>
      </c>
      <c r="DF128" s="160"/>
      <c r="DG128" s="160"/>
    </row>
    <row r="129" spans="2:111" s="160" customFormat="1" x14ac:dyDescent="0.25">
      <c r="B129" s="152"/>
      <c r="C129" s="161"/>
      <c r="D129" s="175"/>
      <c r="E129" s="175"/>
    </row>
    <row r="130" spans="2:111" x14ac:dyDescent="0.25">
      <c r="B130" s="65"/>
      <c r="E130" s="3" t="s">
        <v>619</v>
      </c>
      <c r="F130" s="175"/>
      <c r="I130" s="21" t="s">
        <v>525</v>
      </c>
      <c r="DF130" s="160"/>
      <c r="DG130" s="160" t="s">
        <v>1000</v>
      </c>
    </row>
    <row r="131" spans="2:111" x14ac:dyDescent="0.25">
      <c r="B131" s="65"/>
      <c r="E131" s="152" t="s">
        <v>617</v>
      </c>
      <c r="F131" s="160"/>
      <c r="DF131" s="160"/>
      <c r="DG131" s="160"/>
    </row>
    <row r="132" spans="2:111" s="160" customFormat="1" x14ac:dyDescent="0.25">
      <c r="B132" s="152"/>
      <c r="E132" s="152" t="s">
        <v>616</v>
      </c>
      <c r="F132" s="175"/>
    </row>
    <row r="133" spans="2:111" x14ac:dyDescent="0.25">
      <c r="C133" s="3"/>
      <c r="E133" s="46"/>
      <c r="F133" s="166" t="s">
        <v>313</v>
      </c>
      <c r="G133" s="166" t="s">
        <v>201</v>
      </c>
      <c r="H133" s="569"/>
      <c r="I133" s="569"/>
      <c r="J133" s="592">
        <f t="shared" ref="J133:AB133" si="49">MAX($H$123,J68)</f>
        <v>0.33667025214421992</v>
      </c>
      <c r="K133" s="592">
        <f t="shared" si="49"/>
        <v>0.33667025214421992</v>
      </c>
      <c r="L133" s="592">
        <f t="shared" si="49"/>
        <v>0.33667025214421992</v>
      </c>
      <c r="M133" s="592">
        <f t="shared" si="49"/>
        <v>0.33667025214421992</v>
      </c>
      <c r="N133" s="592">
        <f t="shared" si="49"/>
        <v>0.33667025214421992</v>
      </c>
      <c r="O133" s="592">
        <f t="shared" si="49"/>
        <v>0.33667025214421992</v>
      </c>
      <c r="P133" s="592">
        <f t="shared" si="49"/>
        <v>0.33667025214421992</v>
      </c>
      <c r="Q133" s="592">
        <f t="shared" si="49"/>
        <v>0.33667025214421992</v>
      </c>
      <c r="R133" s="592">
        <f t="shared" si="49"/>
        <v>0.33667025214421992</v>
      </c>
      <c r="S133" s="592">
        <f t="shared" si="49"/>
        <v>0.33667025214421992</v>
      </c>
      <c r="T133" s="592">
        <f t="shared" si="49"/>
        <v>0.33667025214421992</v>
      </c>
      <c r="U133" s="592">
        <f t="shared" si="49"/>
        <v>0.33667025214421992</v>
      </c>
      <c r="V133" s="592">
        <f t="shared" si="49"/>
        <v>0.33667025214421992</v>
      </c>
      <c r="W133" s="592">
        <f t="shared" si="49"/>
        <v>0.33667025214421992</v>
      </c>
      <c r="X133" s="592">
        <f t="shared" si="49"/>
        <v>0.33667025214421992</v>
      </c>
      <c r="Y133" s="592">
        <f t="shared" si="49"/>
        <v>0.33667025214421992</v>
      </c>
      <c r="Z133" s="592">
        <f t="shared" si="49"/>
        <v>0.33667025214421992</v>
      </c>
      <c r="AA133" s="592">
        <f t="shared" si="49"/>
        <v>0.33667025214421992</v>
      </c>
      <c r="AB133" s="592">
        <f t="shared" si="49"/>
        <v>0.33667025214421992</v>
      </c>
      <c r="AC133" s="583"/>
      <c r="AD133" s="583"/>
      <c r="AE133" s="583"/>
      <c r="AF133" s="583"/>
      <c r="AG133" s="583"/>
      <c r="AH133" s="583"/>
      <c r="AI133" s="583"/>
      <c r="AJ133" s="583"/>
      <c r="AK133" s="583"/>
      <c r="AL133" s="583"/>
      <c r="AM133" s="583"/>
      <c r="AN133" s="583"/>
      <c r="AO133" s="583"/>
      <c r="AP133" s="583"/>
      <c r="AQ133" s="572"/>
      <c r="AR133" s="572"/>
      <c r="AS133" s="572"/>
      <c r="AT133" s="572"/>
      <c r="AU133" s="572"/>
      <c r="AV133" s="572"/>
      <c r="AW133" s="572"/>
      <c r="AX133" s="572"/>
      <c r="AY133" s="572"/>
      <c r="AZ133" s="572"/>
      <c r="BA133" s="572"/>
      <c r="BB133" s="572"/>
      <c r="BC133" s="572"/>
      <c r="BD133" s="572"/>
      <c r="BE133" s="572"/>
      <c r="BF133" s="572"/>
      <c r="BG133" s="572"/>
      <c r="BH133" s="572"/>
      <c r="BI133" s="572"/>
      <c r="BJ133" s="572"/>
      <c r="BK133" s="572"/>
      <c r="BL133" s="572"/>
      <c r="BM133" s="572"/>
      <c r="BN133" s="572"/>
      <c r="BO133" s="572"/>
      <c r="BP133" s="572"/>
      <c r="BQ133" s="572"/>
      <c r="BR133" s="572"/>
      <c r="BS133" s="572"/>
      <c r="BT133" s="572"/>
      <c r="BU133" s="572"/>
      <c r="BV133" s="572"/>
      <c r="BW133" s="572"/>
      <c r="BX133" s="572"/>
      <c r="BY133" s="572"/>
      <c r="BZ133" s="572"/>
      <c r="CA133" s="572"/>
      <c r="CB133" s="572"/>
      <c r="CC133" s="572"/>
      <c r="CD133" s="572"/>
      <c r="CE133" s="572"/>
      <c r="CF133" s="572"/>
      <c r="CG133" s="572"/>
      <c r="CH133" s="572"/>
      <c r="CI133" s="572"/>
      <c r="CJ133" s="572"/>
      <c r="CK133" s="572"/>
      <c r="CL133" s="572"/>
      <c r="CM133" s="572"/>
      <c r="CN133" s="572"/>
      <c r="CO133" s="572"/>
      <c r="CP133" s="572"/>
      <c r="CQ133" s="572"/>
      <c r="CR133" s="572"/>
      <c r="CS133" s="572"/>
      <c r="CT133" s="572"/>
      <c r="CU133" s="572"/>
      <c r="CV133" s="572"/>
      <c r="CW133" s="572"/>
      <c r="CX133" s="572"/>
      <c r="CY133" s="572"/>
      <c r="CZ133" s="572"/>
      <c r="DA133" s="572"/>
      <c r="DB133" s="572"/>
      <c r="DC133" s="572"/>
      <c r="DD133" s="572"/>
      <c r="DE133" s="572"/>
      <c r="DF133" s="571"/>
      <c r="DG133" s="571"/>
    </row>
    <row r="134" spans="2:111" x14ac:dyDescent="0.25">
      <c r="C134" s="3"/>
      <c r="E134" s="46"/>
      <c r="F134" s="339" t="s">
        <v>314</v>
      </c>
      <c r="G134" s="339" t="s">
        <v>201</v>
      </c>
      <c r="H134" s="572"/>
      <c r="I134" s="572"/>
      <c r="J134" s="587"/>
      <c r="K134" s="593">
        <f>MAX($H$123,K69)</f>
        <v>0.33667025214421992</v>
      </c>
      <c r="L134" s="587"/>
      <c r="M134" s="587"/>
      <c r="N134" s="593">
        <f>MAX($H$123,N69)</f>
        <v>0.33667025214421992</v>
      </c>
      <c r="O134" s="587"/>
      <c r="P134" s="593">
        <f t="shared" ref="P134:W134" si="50">MAX($H$123,P69)</f>
        <v>0.33667025214421992</v>
      </c>
      <c r="Q134" s="593">
        <f t="shared" si="50"/>
        <v>0.33667025214421992</v>
      </c>
      <c r="R134" s="593">
        <f t="shared" si="50"/>
        <v>0.33667025214421992</v>
      </c>
      <c r="S134" s="593">
        <f t="shared" si="50"/>
        <v>0.33667025214421992</v>
      </c>
      <c r="T134" s="593">
        <f t="shared" si="50"/>
        <v>0.33667025214421992</v>
      </c>
      <c r="U134" s="593">
        <f t="shared" si="50"/>
        <v>0.33667025214421992</v>
      </c>
      <c r="V134" s="593">
        <f t="shared" si="50"/>
        <v>0.33667025214421992</v>
      </c>
      <c r="W134" s="593">
        <f t="shared" si="50"/>
        <v>0.33667025214421992</v>
      </c>
      <c r="X134" s="587"/>
      <c r="Y134" s="587"/>
      <c r="Z134" s="587"/>
      <c r="AA134" s="594"/>
      <c r="AB134" s="593">
        <f>MAX($H$123,AB69)</f>
        <v>0.33667025214421992</v>
      </c>
      <c r="AC134" s="587"/>
      <c r="AD134" s="587"/>
      <c r="AE134" s="587"/>
      <c r="AF134" s="587"/>
      <c r="AG134" s="587"/>
      <c r="AH134" s="587"/>
      <c r="AI134" s="587"/>
      <c r="AJ134" s="587"/>
      <c r="AK134" s="587"/>
      <c r="AL134" s="587"/>
      <c r="AM134" s="587"/>
      <c r="AN134" s="587"/>
      <c r="AO134" s="587"/>
      <c r="AP134" s="587"/>
      <c r="AQ134" s="572"/>
      <c r="AR134" s="572"/>
      <c r="AS134" s="572"/>
      <c r="AT134" s="572"/>
      <c r="AU134" s="572"/>
      <c r="AV134" s="572"/>
      <c r="AW134" s="572"/>
      <c r="AX134" s="572"/>
      <c r="AY134" s="572"/>
      <c r="AZ134" s="572"/>
      <c r="BA134" s="572"/>
      <c r="BB134" s="572"/>
      <c r="BC134" s="572"/>
      <c r="BD134" s="572"/>
      <c r="BE134" s="572"/>
      <c r="BF134" s="572"/>
      <c r="BG134" s="572"/>
      <c r="BH134" s="572"/>
      <c r="BI134" s="572"/>
      <c r="BJ134" s="572"/>
      <c r="BK134" s="572"/>
      <c r="BL134" s="572"/>
      <c r="BM134" s="572"/>
      <c r="BN134" s="572"/>
      <c r="BO134" s="572"/>
      <c r="BP134" s="572"/>
      <c r="BQ134" s="572"/>
      <c r="BR134" s="572"/>
      <c r="BS134" s="572"/>
      <c r="BT134" s="572"/>
      <c r="BU134" s="572"/>
      <c r="BV134" s="572"/>
      <c r="BW134" s="572"/>
      <c r="BX134" s="572"/>
      <c r="BY134" s="572"/>
      <c r="BZ134" s="572"/>
      <c r="CA134" s="572"/>
      <c r="CB134" s="572"/>
      <c r="CC134" s="572"/>
      <c r="CD134" s="572"/>
      <c r="CE134" s="572"/>
      <c r="CF134" s="572"/>
      <c r="CG134" s="572"/>
      <c r="CH134" s="572"/>
      <c r="CI134" s="572"/>
      <c r="CJ134" s="572"/>
      <c r="CK134" s="572"/>
      <c r="CL134" s="572"/>
      <c r="CM134" s="572"/>
      <c r="CN134" s="572"/>
      <c r="CO134" s="572"/>
      <c r="CP134" s="572"/>
      <c r="CQ134" s="572"/>
      <c r="CR134" s="572"/>
      <c r="CS134" s="572"/>
      <c r="CT134" s="572"/>
      <c r="CU134" s="572"/>
      <c r="CV134" s="572"/>
      <c r="CW134" s="572"/>
      <c r="CX134" s="572"/>
      <c r="CY134" s="572"/>
      <c r="CZ134" s="572"/>
      <c r="DA134" s="572"/>
      <c r="DB134" s="572"/>
      <c r="DC134" s="572"/>
      <c r="DD134" s="572"/>
      <c r="DE134" s="572"/>
      <c r="DF134" s="571"/>
      <c r="DG134" s="571"/>
    </row>
    <row r="135" spans="2:111" x14ac:dyDescent="0.25">
      <c r="C135" s="3"/>
      <c r="E135" s="46"/>
      <c r="F135" s="168" t="s">
        <v>315</v>
      </c>
      <c r="G135" s="168" t="s">
        <v>201</v>
      </c>
      <c r="H135" s="574"/>
      <c r="I135" s="574"/>
      <c r="J135" s="579"/>
      <c r="K135" s="579"/>
      <c r="L135" s="579"/>
      <c r="M135" s="579"/>
      <c r="N135" s="579"/>
      <c r="O135" s="579"/>
      <c r="P135" s="579"/>
      <c r="Q135" s="579"/>
      <c r="R135" s="579"/>
      <c r="S135" s="595">
        <f>MAX($H$123,S70)</f>
        <v>0.33667025214421992</v>
      </c>
      <c r="T135" s="595">
        <f>MAX($H$123,T70)</f>
        <v>0.33667025214421992</v>
      </c>
      <c r="U135" s="595">
        <f>MAX($H$123,U70)</f>
        <v>0.33667025214421992</v>
      </c>
      <c r="V135" s="595">
        <f>MAX($H$123,V70)</f>
        <v>0.33667025214421992</v>
      </c>
      <c r="W135" s="595">
        <f>MAX($H$123,W70)</f>
        <v>0.33667025214421992</v>
      </c>
      <c r="X135" s="579"/>
      <c r="Y135" s="579"/>
      <c r="Z135" s="579"/>
      <c r="AA135" s="579"/>
      <c r="AB135" s="595">
        <f>MAX($H$123,AB70)</f>
        <v>0.33667025214421992</v>
      </c>
      <c r="AC135" s="579"/>
      <c r="AD135" s="579"/>
      <c r="AE135" s="579"/>
      <c r="AF135" s="579"/>
      <c r="AG135" s="579"/>
      <c r="AH135" s="579"/>
      <c r="AI135" s="579"/>
      <c r="AJ135" s="579"/>
      <c r="AK135" s="579"/>
      <c r="AL135" s="579"/>
      <c r="AM135" s="579"/>
      <c r="AN135" s="579"/>
      <c r="AO135" s="579"/>
      <c r="AP135" s="579"/>
      <c r="AQ135" s="572"/>
      <c r="AR135" s="572"/>
      <c r="AS135" s="572"/>
      <c r="AT135" s="572"/>
      <c r="AU135" s="572"/>
      <c r="AV135" s="572"/>
      <c r="AW135" s="572"/>
      <c r="AX135" s="572"/>
      <c r="AY135" s="572"/>
      <c r="AZ135" s="572"/>
      <c r="BA135" s="572"/>
      <c r="BB135" s="572"/>
      <c r="BC135" s="572"/>
      <c r="BD135" s="572"/>
      <c r="BE135" s="572"/>
      <c r="BF135" s="572"/>
      <c r="BG135" s="572"/>
      <c r="BH135" s="572"/>
      <c r="BI135" s="572"/>
      <c r="BJ135" s="572"/>
      <c r="BK135" s="572"/>
      <c r="BL135" s="572"/>
      <c r="BM135" s="572"/>
      <c r="BN135" s="572"/>
      <c r="BO135" s="572"/>
      <c r="BP135" s="572"/>
      <c r="BQ135" s="572"/>
      <c r="BR135" s="572"/>
      <c r="BS135" s="572"/>
      <c r="BT135" s="572"/>
      <c r="BU135" s="572"/>
      <c r="BV135" s="572"/>
      <c r="BW135" s="572"/>
      <c r="BX135" s="572"/>
      <c r="BY135" s="572"/>
      <c r="BZ135" s="572"/>
      <c r="CA135" s="572"/>
      <c r="CB135" s="572"/>
      <c r="CC135" s="572"/>
      <c r="CD135" s="572"/>
      <c r="CE135" s="572"/>
      <c r="CF135" s="572"/>
      <c r="CG135" s="572"/>
      <c r="CH135" s="572"/>
      <c r="CI135" s="572"/>
      <c r="CJ135" s="572"/>
      <c r="CK135" s="572"/>
      <c r="CL135" s="572"/>
      <c r="CM135" s="572"/>
      <c r="CN135" s="572"/>
      <c r="CO135" s="572"/>
      <c r="CP135" s="572"/>
      <c r="CQ135" s="572"/>
      <c r="CR135" s="572"/>
      <c r="CS135" s="572"/>
      <c r="CT135" s="572"/>
      <c r="CU135" s="572"/>
      <c r="CV135" s="572"/>
      <c r="CW135" s="572"/>
      <c r="CX135" s="572"/>
      <c r="CY135" s="572"/>
      <c r="CZ135" s="572"/>
      <c r="DA135" s="572"/>
      <c r="DB135" s="572"/>
      <c r="DC135" s="572"/>
      <c r="DD135" s="572"/>
      <c r="DE135" s="572"/>
      <c r="DF135" s="571"/>
      <c r="DG135" s="571"/>
    </row>
    <row r="136" spans="2:111" x14ac:dyDescent="0.25">
      <c r="C136" s="3"/>
      <c r="DF136" s="160"/>
      <c r="DG136" s="160"/>
    </row>
    <row r="137" spans="2:111" s="160" customFormat="1" x14ac:dyDescent="0.25">
      <c r="B137" s="171" t="s">
        <v>126</v>
      </c>
      <c r="C137" s="171"/>
      <c r="D137" s="171"/>
      <c r="E137" s="171"/>
      <c r="F137" s="171"/>
      <c r="G137" s="171"/>
      <c r="H137" s="171"/>
      <c r="I137" s="171"/>
      <c r="J137" s="171"/>
      <c r="K137" s="171"/>
      <c r="L137" s="171"/>
      <c r="M137" s="171"/>
      <c r="N137" s="171"/>
      <c r="O137" s="171"/>
      <c r="P137" s="171"/>
      <c r="Q137" s="171"/>
      <c r="R137" s="171"/>
      <c r="S137" s="171"/>
      <c r="T137" s="171"/>
      <c r="U137" s="171"/>
      <c r="V137" s="171"/>
      <c r="W137" s="171"/>
      <c r="X137" s="171"/>
      <c r="Y137" s="171"/>
      <c r="Z137" s="171"/>
      <c r="AA137" s="171"/>
      <c r="AB137" s="171"/>
      <c r="AC137" s="171"/>
      <c r="AD137" s="171"/>
      <c r="AE137" s="171"/>
      <c r="AF137" s="171"/>
      <c r="AG137" s="171"/>
      <c r="AH137" s="171"/>
      <c r="AI137" s="171"/>
      <c r="AJ137" s="171"/>
      <c r="AK137" s="171"/>
      <c r="AL137" s="171"/>
      <c r="AM137" s="171"/>
      <c r="AN137" s="171"/>
      <c r="AO137" s="171"/>
      <c r="AP137" s="171"/>
      <c r="AQ137" s="171"/>
      <c r="AR137" s="171"/>
      <c r="AS137" s="135"/>
      <c r="AT137" s="135"/>
      <c r="AU137" s="135"/>
      <c r="AV137" s="135"/>
      <c r="AW137" s="135"/>
      <c r="AX137" s="135"/>
      <c r="AY137" s="135"/>
      <c r="AZ137" s="135"/>
      <c r="BA137" s="135"/>
      <c r="BB137" s="135"/>
      <c r="BC137" s="135"/>
      <c r="BD137" s="135"/>
      <c r="BE137" s="135"/>
      <c r="BF137" s="135"/>
      <c r="BG137" s="135"/>
      <c r="BH137" s="135"/>
      <c r="BI137" s="135"/>
      <c r="BJ137" s="135"/>
      <c r="BK137" s="135"/>
      <c r="BL137" s="135"/>
      <c r="BM137" s="135"/>
      <c r="BN137" s="135"/>
      <c r="BO137" s="135"/>
      <c r="BP137" s="135"/>
      <c r="BQ137" s="135"/>
      <c r="BR137" s="135"/>
      <c r="BS137" s="135"/>
      <c r="BT137" s="135"/>
      <c r="BU137" s="135"/>
      <c r="BV137" s="135"/>
      <c r="BW137" s="135"/>
      <c r="BX137" s="135"/>
      <c r="BY137" s="135"/>
      <c r="BZ137" s="135"/>
      <c r="CA137" s="135"/>
      <c r="CB137" s="135"/>
      <c r="CC137" s="135"/>
      <c r="CD137" s="135"/>
      <c r="CE137" s="135"/>
      <c r="CF137" s="135"/>
      <c r="CG137" s="135"/>
      <c r="CH137" s="135"/>
      <c r="CI137" s="135"/>
      <c r="CJ137" s="135"/>
      <c r="CK137" s="135"/>
      <c r="CL137" s="135"/>
      <c r="CM137" s="135"/>
      <c r="CN137" s="135"/>
      <c r="CO137" s="135"/>
      <c r="CP137" s="135"/>
      <c r="CQ137" s="135"/>
      <c r="CR137" s="135"/>
      <c r="CS137" s="135"/>
      <c r="CT137" s="135"/>
      <c r="CU137" s="135"/>
      <c r="CV137" s="135"/>
      <c r="CW137" s="135"/>
      <c r="CX137" s="135"/>
      <c r="CY137" s="135"/>
      <c r="CZ137" s="135"/>
      <c r="DA137" s="135"/>
      <c r="DB137" s="135"/>
      <c r="DC137" s="135"/>
      <c r="DD137" s="135"/>
      <c r="DE137" s="135"/>
      <c r="DF137" s="135"/>
      <c r="DG137" s="135"/>
    </row>
    <row r="138" spans="2:111" s="160" customFormat="1" x14ac:dyDescent="0.25">
      <c r="D138" s="175"/>
      <c r="E138" s="175"/>
    </row>
    <row r="139" spans="2:111" s="338" customFormat="1" x14ac:dyDescent="0.25">
      <c r="D139" s="175"/>
      <c r="E139" s="338" t="s">
        <v>884</v>
      </c>
      <c r="G139" s="111" t="s">
        <v>814</v>
      </c>
      <c r="H139" s="317">
        <f>IF(IFERROR(J116, 1) &gt; IFERROR(J115, 0), 0, 1)</f>
        <v>0</v>
      </c>
    </row>
    <row r="140" spans="2:111" s="338" customFormat="1" x14ac:dyDescent="0.25">
      <c r="D140" s="175"/>
      <c r="E140" s="175"/>
    </row>
    <row r="141" spans="2:111" s="160" customFormat="1" x14ac:dyDescent="0.25">
      <c r="D141" s="175"/>
      <c r="E141" s="160" t="s">
        <v>622</v>
      </c>
      <c r="G141" s="111" t="s">
        <v>814</v>
      </c>
      <c r="H141" s="317">
        <f t="array" ref="H141">SUM(IF(ISERROR(H20:DE136), 1))</f>
        <v>0</v>
      </c>
    </row>
    <row r="142" spans="2:111" s="160" customFormat="1" x14ac:dyDescent="0.25">
      <c r="D142" s="175"/>
      <c r="E142" s="175"/>
    </row>
    <row r="143" spans="2:111" s="160" customFormat="1" x14ac:dyDescent="0.25">
      <c r="E143" s="172" t="s">
        <v>754</v>
      </c>
      <c r="F143" s="175"/>
    </row>
    <row r="144" spans="2:111" s="160" customFormat="1" x14ac:dyDescent="0.25">
      <c r="E144" s="161"/>
      <c r="F144" s="180" t="s">
        <v>151</v>
      </c>
      <c r="G144" s="166" t="s">
        <v>124</v>
      </c>
      <c r="H144" s="166"/>
      <c r="I144" s="166"/>
      <c r="J144" s="431">
        <f t="shared" ref="J144:AP144" si="51">(J20 + J133) * J29 * ten</f>
        <v>186001812.50793898</v>
      </c>
      <c r="K144" s="431">
        <f t="shared" si="51"/>
        <v>19942758.940123528</v>
      </c>
      <c r="L144" s="431">
        <f t="shared" si="51"/>
        <v>1069459.1170565095</v>
      </c>
      <c r="M144" s="431">
        <f t="shared" si="51"/>
        <v>48099670.877458118</v>
      </c>
      <c r="N144" s="431">
        <f t="shared" si="51"/>
        <v>11562603.113427754</v>
      </c>
      <c r="O144" s="431">
        <f t="shared" si="51"/>
        <v>281266.36743819038</v>
      </c>
      <c r="P144" s="431">
        <f t="shared" si="51"/>
        <v>1543568.8062976971</v>
      </c>
      <c r="Q144" s="431">
        <f t="shared" si="51"/>
        <v>0</v>
      </c>
      <c r="R144" s="431">
        <f t="shared" si="51"/>
        <v>2429.8487809179683</v>
      </c>
      <c r="S144" s="431">
        <f t="shared" si="51"/>
        <v>683921.44254011346</v>
      </c>
      <c r="T144" s="431">
        <f t="shared" si="51"/>
        <v>2859347.1798197483</v>
      </c>
      <c r="U144" s="431">
        <f t="shared" si="51"/>
        <v>39241798.138837591</v>
      </c>
      <c r="V144" s="431">
        <f t="shared" si="51"/>
        <v>1870356.9195388695</v>
      </c>
      <c r="W144" s="431">
        <f t="shared" si="51"/>
        <v>16037881.48444524</v>
      </c>
      <c r="X144" s="431">
        <f t="shared" si="51"/>
        <v>638207.19733620912</v>
      </c>
      <c r="Y144" s="431">
        <f t="shared" si="51"/>
        <v>415877.15596784977</v>
      </c>
      <c r="Z144" s="431">
        <f t="shared" si="51"/>
        <v>26484.763804081413</v>
      </c>
      <c r="AA144" s="431">
        <f t="shared" si="51"/>
        <v>3907.4781574115154</v>
      </c>
      <c r="AB144" s="431">
        <f t="shared" si="51"/>
        <v>1602110.7271243916</v>
      </c>
      <c r="AC144" s="431">
        <f t="shared" si="51"/>
        <v>-35562.397862864498</v>
      </c>
      <c r="AD144" s="431">
        <f t="shared" si="51"/>
        <v>-1827.1304025715872</v>
      </c>
      <c r="AE144" s="431">
        <f t="shared" si="51"/>
        <v>-285538.65680036775</v>
      </c>
      <c r="AF144" s="431">
        <f t="shared" si="51"/>
        <v>0</v>
      </c>
      <c r="AG144" s="431">
        <f t="shared" si="51"/>
        <v>-150908.16247960381</v>
      </c>
      <c r="AH144" s="431">
        <f t="shared" si="51"/>
        <v>0</v>
      </c>
      <c r="AI144" s="431">
        <f t="shared" si="51"/>
        <v>0</v>
      </c>
      <c r="AJ144" s="431">
        <f t="shared" si="51"/>
        <v>0</v>
      </c>
      <c r="AK144" s="431">
        <f t="shared" si="51"/>
        <v>0</v>
      </c>
      <c r="AL144" s="431">
        <f t="shared" si="51"/>
        <v>0</v>
      </c>
      <c r="AM144" s="431">
        <f t="shared" si="51"/>
        <v>-2155518.0578199015</v>
      </c>
      <c r="AN144" s="431">
        <f t="shared" si="51"/>
        <v>0</v>
      </c>
      <c r="AO144" s="431">
        <f t="shared" si="51"/>
        <v>-2223875.4466074607</v>
      </c>
      <c r="AP144" s="431">
        <f t="shared" si="51"/>
        <v>0</v>
      </c>
    </row>
    <row r="145" spans="2:111" s="160" customFormat="1" x14ac:dyDescent="0.25">
      <c r="E145" s="161"/>
      <c r="F145" s="176" t="s">
        <v>152</v>
      </c>
      <c r="G145" s="167" t="s">
        <v>124</v>
      </c>
      <c r="H145" s="167"/>
      <c r="I145" s="167"/>
      <c r="J145" s="428">
        <f t="shared" ref="J145:AP145" si="52">(J21 + J134) * J30 * ten</f>
        <v>0</v>
      </c>
      <c r="K145" s="428">
        <f t="shared" si="52"/>
        <v>3242236.0251082578</v>
      </c>
      <c r="L145" s="428">
        <f t="shared" si="52"/>
        <v>0</v>
      </c>
      <c r="M145" s="428">
        <f t="shared" si="52"/>
        <v>0</v>
      </c>
      <c r="N145" s="428">
        <f t="shared" si="52"/>
        <v>1643926.8667388377</v>
      </c>
      <c r="O145" s="428">
        <f t="shared" si="52"/>
        <v>0</v>
      </c>
      <c r="P145" s="428">
        <f t="shared" si="52"/>
        <v>30553.814513024721</v>
      </c>
      <c r="Q145" s="428">
        <f t="shared" si="52"/>
        <v>0</v>
      </c>
      <c r="R145" s="428">
        <f t="shared" si="52"/>
        <v>16.002151754945821</v>
      </c>
      <c r="S145" s="428">
        <f t="shared" si="52"/>
        <v>299779.97930544888</v>
      </c>
      <c r="T145" s="428">
        <f t="shared" si="52"/>
        <v>2214905.0923600774</v>
      </c>
      <c r="U145" s="428">
        <f t="shared" si="52"/>
        <v>30676007.545897394</v>
      </c>
      <c r="V145" s="428">
        <f t="shared" si="52"/>
        <v>1340010.541411812</v>
      </c>
      <c r="W145" s="428">
        <f t="shared" si="52"/>
        <v>12654726.788394965</v>
      </c>
      <c r="X145" s="428">
        <f t="shared" si="52"/>
        <v>0</v>
      </c>
      <c r="Y145" s="428">
        <f t="shared" si="52"/>
        <v>0</v>
      </c>
      <c r="Z145" s="428">
        <f t="shared" si="52"/>
        <v>0</v>
      </c>
      <c r="AA145" s="428">
        <f t="shared" si="52"/>
        <v>0</v>
      </c>
      <c r="AB145" s="428">
        <f t="shared" si="52"/>
        <v>1773782.6723496278</v>
      </c>
      <c r="AC145" s="428">
        <f t="shared" si="52"/>
        <v>0</v>
      </c>
      <c r="AD145" s="428">
        <f t="shared" si="52"/>
        <v>0</v>
      </c>
      <c r="AE145" s="428">
        <f t="shared" si="52"/>
        <v>0</v>
      </c>
      <c r="AF145" s="428">
        <f t="shared" si="52"/>
        <v>0</v>
      </c>
      <c r="AG145" s="428">
        <f t="shared" si="52"/>
        <v>-86027.965309744046</v>
      </c>
      <c r="AH145" s="428">
        <f t="shared" si="52"/>
        <v>0</v>
      </c>
      <c r="AI145" s="428">
        <f t="shared" si="52"/>
        <v>0</v>
      </c>
      <c r="AJ145" s="428">
        <f t="shared" si="52"/>
        <v>0</v>
      </c>
      <c r="AK145" s="428">
        <f t="shared" si="52"/>
        <v>0</v>
      </c>
      <c r="AL145" s="428">
        <f t="shared" si="52"/>
        <v>0</v>
      </c>
      <c r="AM145" s="428">
        <f t="shared" si="52"/>
        <v>0</v>
      </c>
      <c r="AN145" s="428">
        <f t="shared" si="52"/>
        <v>0</v>
      </c>
      <c r="AO145" s="428">
        <f t="shared" si="52"/>
        <v>-698293.88261786429</v>
      </c>
      <c r="AP145" s="428">
        <f t="shared" si="52"/>
        <v>0</v>
      </c>
    </row>
    <row r="146" spans="2:111" s="160" customFormat="1" x14ac:dyDescent="0.25">
      <c r="E146" s="161"/>
      <c r="F146" s="176" t="s">
        <v>153</v>
      </c>
      <c r="G146" s="167" t="s">
        <v>124</v>
      </c>
      <c r="H146" s="167"/>
      <c r="I146" s="167"/>
      <c r="J146" s="428">
        <f t="shared" ref="J146:AP146" si="53">(J22 + J135) * J31 * ten</f>
        <v>0</v>
      </c>
      <c r="K146" s="428">
        <f t="shared" si="53"/>
        <v>0</v>
      </c>
      <c r="L146" s="428">
        <f t="shared" si="53"/>
        <v>0</v>
      </c>
      <c r="M146" s="428">
        <f t="shared" si="53"/>
        <v>0</v>
      </c>
      <c r="N146" s="428">
        <f t="shared" si="53"/>
        <v>0</v>
      </c>
      <c r="O146" s="428">
        <f t="shared" si="53"/>
        <v>0</v>
      </c>
      <c r="P146" s="428">
        <f t="shared" si="53"/>
        <v>0</v>
      </c>
      <c r="Q146" s="428">
        <f t="shared" si="53"/>
        <v>0</v>
      </c>
      <c r="R146" s="428">
        <f t="shared" si="53"/>
        <v>0</v>
      </c>
      <c r="S146" s="428">
        <f t="shared" si="53"/>
        <v>56911.543299920158</v>
      </c>
      <c r="T146" s="428">
        <f t="shared" si="53"/>
        <v>329399.51586036704</v>
      </c>
      <c r="U146" s="428">
        <f t="shared" si="53"/>
        <v>6807543.0441125343</v>
      </c>
      <c r="V146" s="428">
        <f t="shared" si="53"/>
        <v>464693.56926785258</v>
      </c>
      <c r="W146" s="428">
        <f t="shared" si="53"/>
        <v>5967435.3334302073</v>
      </c>
      <c r="X146" s="428">
        <f t="shared" si="53"/>
        <v>0</v>
      </c>
      <c r="Y146" s="428">
        <f t="shared" si="53"/>
        <v>0</v>
      </c>
      <c r="Z146" s="428">
        <f t="shared" si="53"/>
        <v>0</v>
      </c>
      <c r="AA146" s="428">
        <f t="shared" si="53"/>
        <v>0</v>
      </c>
      <c r="AB146" s="428">
        <f t="shared" si="53"/>
        <v>2486464.1846589595</v>
      </c>
      <c r="AC146" s="428">
        <f t="shared" si="53"/>
        <v>0</v>
      </c>
      <c r="AD146" s="428">
        <f t="shared" si="53"/>
        <v>0</v>
      </c>
      <c r="AE146" s="428">
        <f t="shared" si="53"/>
        <v>0</v>
      </c>
      <c r="AF146" s="428">
        <f t="shared" si="53"/>
        <v>0</v>
      </c>
      <c r="AG146" s="428">
        <f t="shared" si="53"/>
        <v>-3606.26745202026</v>
      </c>
      <c r="AH146" s="428">
        <f t="shared" si="53"/>
        <v>0</v>
      </c>
      <c r="AI146" s="428">
        <f t="shared" si="53"/>
        <v>0</v>
      </c>
      <c r="AJ146" s="428">
        <f t="shared" si="53"/>
        <v>0</v>
      </c>
      <c r="AK146" s="428">
        <f t="shared" si="53"/>
        <v>0</v>
      </c>
      <c r="AL146" s="428">
        <f t="shared" si="53"/>
        <v>0</v>
      </c>
      <c r="AM146" s="428">
        <f t="shared" si="53"/>
        <v>0</v>
      </c>
      <c r="AN146" s="428">
        <f t="shared" si="53"/>
        <v>0</v>
      </c>
      <c r="AO146" s="428">
        <f t="shared" si="53"/>
        <v>-19304.279211800564</v>
      </c>
      <c r="AP146" s="428">
        <f t="shared" si="53"/>
        <v>0</v>
      </c>
    </row>
    <row r="147" spans="2:111" s="160" customFormat="1" x14ac:dyDescent="0.25">
      <c r="E147" s="161"/>
      <c r="F147" s="176" t="s">
        <v>384</v>
      </c>
      <c r="G147" s="167" t="s">
        <v>124</v>
      </c>
      <c r="H147" s="167"/>
      <c r="I147" s="167"/>
      <c r="J147" s="428">
        <f t="shared" ref="J147:AP147" si="54">J32 * J23 * days_in_year / hundred</f>
        <v>33888435.940444678</v>
      </c>
      <c r="K147" s="428">
        <f t="shared" si="54"/>
        <v>3226870.9622206925</v>
      </c>
      <c r="L147" s="428">
        <f t="shared" si="54"/>
        <v>0</v>
      </c>
      <c r="M147" s="428">
        <f t="shared" si="54"/>
        <v>3756673.0028016283</v>
      </c>
      <c r="N147" s="428">
        <f t="shared" si="54"/>
        <v>594260.65700359771</v>
      </c>
      <c r="O147" s="428">
        <f t="shared" si="54"/>
        <v>0</v>
      </c>
      <c r="P147" s="428">
        <f t="shared" si="54"/>
        <v>151281.74040175768</v>
      </c>
      <c r="Q147" s="428">
        <f t="shared" si="54"/>
        <v>0</v>
      </c>
      <c r="R147" s="428">
        <f t="shared" si="54"/>
        <v>4215.2322155618103</v>
      </c>
      <c r="S147" s="428">
        <f t="shared" si="54"/>
        <v>124601.73904134733</v>
      </c>
      <c r="T147" s="428">
        <f t="shared" si="54"/>
        <v>73055.056102550632</v>
      </c>
      <c r="U147" s="428">
        <f t="shared" si="54"/>
        <v>1321115.0783113143</v>
      </c>
      <c r="V147" s="428">
        <f t="shared" si="54"/>
        <v>32184.234471199255</v>
      </c>
      <c r="W147" s="428">
        <f t="shared" si="54"/>
        <v>1002384.4035290548</v>
      </c>
      <c r="X147" s="428">
        <f t="shared" si="54"/>
        <v>0</v>
      </c>
      <c r="Y147" s="428">
        <f t="shared" si="54"/>
        <v>0</v>
      </c>
      <c r="Z147" s="428">
        <f t="shared" si="54"/>
        <v>0</v>
      </c>
      <c r="AA147" s="428">
        <f t="shared" si="54"/>
        <v>0</v>
      </c>
      <c r="AB147" s="428">
        <f t="shared" si="54"/>
        <v>0</v>
      </c>
      <c r="AC147" s="428">
        <f t="shared" si="54"/>
        <v>0</v>
      </c>
      <c r="AD147" s="428">
        <f t="shared" si="54"/>
        <v>0</v>
      </c>
      <c r="AE147" s="428">
        <f t="shared" si="54"/>
        <v>0</v>
      </c>
      <c r="AF147" s="428">
        <f t="shared" si="54"/>
        <v>0</v>
      </c>
      <c r="AG147" s="428">
        <f t="shared" si="54"/>
        <v>0</v>
      </c>
      <c r="AH147" s="428">
        <f t="shared" si="54"/>
        <v>0</v>
      </c>
      <c r="AI147" s="428">
        <f t="shared" si="54"/>
        <v>0</v>
      </c>
      <c r="AJ147" s="428">
        <f t="shared" si="54"/>
        <v>0</v>
      </c>
      <c r="AK147" s="428">
        <f t="shared" si="54"/>
        <v>0</v>
      </c>
      <c r="AL147" s="428">
        <f t="shared" si="54"/>
        <v>0</v>
      </c>
      <c r="AM147" s="428">
        <f t="shared" si="54"/>
        <v>146214.36322536145</v>
      </c>
      <c r="AN147" s="428">
        <f t="shared" si="54"/>
        <v>0</v>
      </c>
      <c r="AO147" s="428">
        <f t="shared" si="54"/>
        <v>101906.98042979739</v>
      </c>
      <c r="AP147" s="428">
        <f t="shared" si="54"/>
        <v>0</v>
      </c>
    </row>
    <row r="148" spans="2:111" s="160" customFormat="1" x14ac:dyDescent="0.25">
      <c r="E148" s="161"/>
      <c r="F148" s="176" t="s">
        <v>385</v>
      </c>
      <c r="G148" s="167" t="s">
        <v>124</v>
      </c>
      <c r="H148" s="167"/>
      <c r="I148" s="167"/>
      <c r="J148" s="428">
        <f t="shared" ref="J148:AP148" si="55">J33 * J24 * days_in_year / hundred</f>
        <v>0</v>
      </c>
      <c r="K148" s="428">
        <f t="shared" si="55"/>
        <v>0</v>
      </c>
      <c r="L148" s="428">
        <f t="shared" si="55"/>
        <v>0</v>
      </c>
      <c r="M148" s="428">
        <f t="shared" si="55"/>
        <v>0</v>
      </c>
      <c r="N148" s="428">
        <f t="shared" si="55"/>
        <v>0</v>
      </c>
      <c r="O148" s="428">
        <f t="shared" si="55"/>
        <v>0</v>
      </c>
      <c r="P148" s="428">
        <f t="shared" si="55"/>
        <v>0</v>
      </c>
      <c r="Q148" s="428">
        <f t="shared" si="55"/>
        <v>0</v>
      </c>
      <c r="R148" s="428">
        <f t="shared" si="55"/>
        <v>0</v>
      </c>
      <c r="S148" s="428">
        <f t="shared" si="55"/>
        <v>0</v>
      </c>
      <c r="T148" s="428">
        <f t="shared" si="55"/>
        <v>0</v>
      </c>
      <c r="U148" s="428">
        <f t="shared" si="55"/>
        <v>28943764.185850248</v>
      </c>
      <c r="V148" s="428">
        <f t="shared" si="55"/>
        <v>2421127.6358841937</v>
      </c>
      <c r="W148" s="428">
        <f t="shared" si="55"/>
        <v>39296491.186276242</v>
      </c>
      <c r="X148" s="428">
        <f t="shared" si="55"/>
        <v>0</v>
      </c>
      <c r="Y148" s="428">
        <f t="shared" si="55"/>
        <v>0</v>
      </c>
      <c r="Z148" s="428">
        <f t="shared" si="55"/>
        <v>0</v>
      </c>
      <c r="AA148" s="428">
        <f t="shared" si="55"/>
        <v>0</v>
      </c>
      <c r="AB148" s="428">
        <f t="shared" si="55"/>
        <v>0</v>
      </c>
      <c r="AC148" s="428">
        <f t="shared" si="55"/>
        <v>0</v>
      </c>
      <c r="AD148" s="428">
        <f t="shared" si="55"/>
        <v>0</v>
      </c>
      <c r="AE148" s="428">
        <f t="shared" si="55"/>
        <v>0</v>
      </c>
      <c r="AF148" s="428">
        <f t="shared" si="55"/>
        <v>0</v>
      </c>
      <c r="AG148" s="428">
        <f t="shared" si="55"/>
        <v>0</v>
      </c>
      <c r="AH148" s="428">
        <f t="shared" si="55"/>
        <v>0</v>
      </c>
      <c r="AI148" s="428">
        <f t="shared" si="55"/>
        <v>0</v>
      </c>
      <c r="AJ148" s="428">
        <f t="shared" si="55"/>
        <v>0</v>
      </c>
      <c r="AK148" s="428">
        <f t="shared" si="55"/>
        <v>0</v>
      </c>
      <c r="AL148" s="428">
        <f t="shared" si="55"/>
        <v>0</v>
      </c>
      <c r="AM148" s="428">
        <f t="shared" si="55"/>
        <v>0</v>
      </c>
      <c r="AN148" s="428">
        <f t="shared" si="55"/>
        <v>0</v>
      </c>
      <c r="AO148" s="428">
        <f t="shared" si="55"/>
        <v>0</v>
      </c>
      <c r="AP148" s="428">
        <f t="shared" si="55"/>
        <v>0</v>
      </c>
    </row>
    <row r="149" spans="2:111" s="160" customFormat="1" x14ac:dyDescent="0.25">
      <c r="E149" s="161"/>
      <c r="F149" s="176" t="s">
        <v>386</v>
      </c>
      <c r="G149" s="167" t="s">
        <v>124</v>
      </c>
      <c r="H149" s="167"/>
      <c r="I149" s="167"/>
      <c r="J149" s="428">
        <f t="shared" ref="J149:AP149" si="56">J34 * J25 * days_in_year / hundred</f>
        <v>0</v>
      </c>
      <c r="K149" s="428">
        <f t="shared" si="56"/>
        <v>0</v>
      </c>
      <c r="L149" s="428">
        <f t="shared" si="56"/>
        <v>0</v>
      </c>
      <c r="M149" s="428">
        <f t="shared" si="56"/>
        <v>0</v>
      </c>
      <c r="N149" s="428">
        <f t="shared" si="56"/>
        <v>0</v>
      </c>
      <c r="O149" s="428">
        <f t="shared" si="56"/>
        <v>0</v>
      </c>
      <c r="P149" s="428">
        <f t="shared" si="56"/>
        <v>0</v>
      </c>
      <c r="Q149" s="428">
        <f t="shared" si="56"/>
        <v>0</v>
      </c>
      <c r="R149" s="428">
        <f t="shared" si="56"/>
        <v>0</v>
      </c>
      <c r="S149" s="428">
        <f t="shared" si="56"/>
        <v>0</v>
      </c>
      <c r="T149" s="428">
        <f t="shared" si="56"/>
        <v>0</v>
      </c>
      <c r="U149" s="428">
        <f t="shared" si="56"/>
        <v>1006503.379928044</v>
      </c>
      <c r="V149" s="428">
        <f t="shared" si="56"/>
        <v>39987.923974009005</v>
      </c>
      <c r="W149" s="428">
        <f t="shared" si="56"/>
        <v>676671.69415880705</v>
      </c>
      <c r="X149" s="428">
        <f t="shared" si="56"/>
        <v>0</v>
      </c>
      <c r="Y149" s="428">
        <f t="shared" si="56"/>
        <v>0</v>
      </c>
      <c r="Z149" s="428">
        <f t="shared" si="56"/>
        <v>0</v>
      </c>
      <c r="AA149" s="428">
        <f t="shared" si="56"/>
        <v>0</v>
      </c>
      <c r="AB149" s="428">
        <f t="shared" si="56"/>
        <v>0</v>
      </c>
      <c r="AC149" s="428">
        <f t="shared" si="56"/>
        <v>0</v>
      </c>
      <c r="AD149" s="428">
        <f t="shared" si="56"/>
        <v>0</v>
      </c>
      <c r="AE149" s="428">
        <f t="shared" si="56"/>
        <v>0</v>
      </c>
      <c r="AF149" s="428">
        <f t="shared" si="56"/>
        <v>0</v>
      </c>
      <c r="AG149" s="428">
        <f t="shared" si="56"/>
        <v>0</v>
      </c>
      <c r="AH149" s="428">
        <f t="shared" si="56"/>
        <v>0</v>
      </c>
      <c r="AI149" s="428">
        <f t="shared" si="56"/>
        <v>0</v>
      </c>
      <c r="AJ149" s="428">
        <f t="shared" si="56"/>
        <v>0</v>
      </c>
      <c r="AK149" s="428">
        <f t="shared" si="56"/>
        <v>0</v>
      </c>
      <c r="AL149" s="428">
        <f t="shared" si="56"/>
        <v>0</v>
      </c>
      <c r="AM149" s="428">
        <f t="shared" si="56"/>
        <v>0</v>
      </c>
      <c r="AN149" s="428">
        <f t="shared" si="56"/>
        <v>0</v>
      </c>
      <c r="AO149" s="428">
        <f t="shared" si="56"/>
        <v>0</v>
      </c>
      <c r="AP149" s="428">
        <f t="shared" si="56"/>
        <v>0</v>
      </c>
    </row>
    <row r="150" spans="2:111" s="160" customFormat="1" x14ac:dyDescent="0.25">
      <c r="E150" s="161"/>
      <c r="F150" s="177" t="s">
        <v>387</v>
      </c>
      <c r="G150" s="168" t="s">
        <v>124</v>
      </c>
      <c r="H150" s="168"/>
      <c r="I150" s="168"/>
      <c r="J150" s="432">
        <f t="shared" ref="J150:AP150" si="57">J35 * thousand * J26 / hundred</f>
        <v>0</v>
      </c>
      <c r="K150" s="432">
        <f t="shared" si="57"/>
        <v>0</v>
      </c>
      <c r="L150" s="432">
        <f t="shared" si="57"/>
        <v>0</v>
      </c>
      <c r="M150" s="432">
        <f t="shared" si="57"/>
        <v>0</v>
      </c>
      <c r="N150" s="432">
        <f t="shared" si="57"/>
        <v>0</v>
      </c>
      <c r="O150" s="432">
        <f t="shared" si="57"/>
        <v>0</v>
      </c>
      <c r="P150" s="432">
        <f t="shared" si="57"/>
        <v>0</v>
      </c>
      <c r="Q150" s="432">
        <f t="shared" si="57"/>
        <v>0</v>
      </c>
      <c r="R150" s="432">
        <f t="shared" si="57"/>
        <v>0</v>
      </c>
      <c r="S150" s="432">
        <f t="shared" si="57"/>
        <v>0</v>
      </c>
      <c r="T150" s="432">
        <f t="shared" si="57"/>
        <v>0</v>
      </c>
      <c r="U150" s="432">
        <f t="shared" si="57"/>
        <v>1019308.2989397276</v>
      </c>
      <c r="V150" s="432">
        <f t="shared" si="57"/>
        <v>38204.170653200621</v>
      </c>
      <c r="W150" s="432">
        <f t="shared" si="57"/>
        <v>306116.68124250171</v>
      </c>
      <c r="X150" s="432">
        <f t="shared" si="57"/>
        <v>0</v>
      </c>
      <c r="Y150" s="432">
        <f t="shared" si="57"/>
        <v>0</v>
      </c>
      <c r="Z150" s="432">
        <f t="shared" si="57"/>
        <v>0</v>
      </c>
      <c r="AA150" s="432">
        <f t="shared" si="57"/>
        <v>0</v>
      </c>
      <c r="AB150" s="432">
        <f t="shared" si="57"/>
        <v>0</v>
      </c>
      <c r="AC150" s="432">
        <f t="shared" si="57"/>
        <v>0</v>
      </c>
      <c r="AD150" s="432">
        <f t="shared" si="57"/>
        <v>0</v>
      </c>
      <c r="AE150" s="432">
        <f t="shared" si="57"/>
        <v>9306.7978043173352</v>
      </c>
      <c r="AF150" s="432">
        <f t="shared" si="57"/>
        <v>0</v>
      </c>
      <c r="AG150" s="432">
        <f t="shared" si="57"/>
        <v>678.29570649782409</v>
      </c>
      <c r="AH150" s="432">
        <f t="shared" si="57"/>
        <v>0</v>
      </c>
      <c r="AI150" s="432">
        <f t="shared" si="57"/>
        <v>0</v>
      </c>
      <c r="AJ150" s="432">
        <f t="shared" si="57"/>
        <v>0</v>
      </c>
      <c r="AK150" s="432">
        <f t="shared" si="57"/>
        <v>0</v>
      </c>
      <c r="AL150" s="432">
        <f t="shared" si="57"/>
        <v>0</v>
      </c>
      <c r="AM150" s="432">
        <f t="shared" si="57"/>
        <v>31699.324884024569</v>
      </c>
      <c r="AN150" s="432">
        <f t="shared" si="57"/>
        <v>0</v>
      </c>
      <c r="AO150" s="432">
        <f t="shared" si="57"/>
        <v>32673.579754630391</v>
      </c>
      <c r="AP150" s="432">
        <f t="shared" si="57"/>
        <v>0</v>
      </c>
    </row>
    <row r="151" spans="2:111" s="160" customFormat="1" x14ac:dyDescent="0.25">
      <c r="D151" s="175"/>
      <c r="E151" s="175"/>
    </row>
    <row r="152" spans="2:111" s="339" customFormat="1" x14ac:dyDescent="0.25">
      <c r="D152" s="499"/>
      <c r="E152" s="176" t="s">
        <v>755</v>
      </c>
      <c r="G152" s="339" t="s">
        <v>124</v>
      </c>
      <c r="H152" s="435">
        <f>SUM(J144:AP150)</f>
        <v>514457124.88364512</v>
      </c>
    </row>
    <row r="153" spans="2:111" s="339" customFormat="1" x14ac:dyDescent="0.25">
      <c r="D153" s="499"/>
      <c r="E153" s="499"/>
    </row>
    <row r="154" spans="2:111" s="339" customFormat="1" x14ac:dyDescent="0.25">
      <c r="D154" s="499"/>
      <c r="E154" s="176" t="s">
        <v>756</v>
      </c>
      <c r="G154" s="339" t="s">
        <v>814</v>
      </c>
      <c r="H154" s="317">
        <f>IF(ABS(IFERROR(H152, 0) - H37) &lt; 10^-check_decimals, 0, 1)</f>
        <v>0</v>
      </c>
    </row>
    <row r="155" spans="2:111" s="160" customFormat="1" x14ac:dyDescent="0.25">
      <c r="D155" s="175"/>
      <c r="E155" s="175"/>
    </row>
    <row r="156" spans="2:111" s="160" customFormat="1" x14ac:dyDescent="0.25">
      <c r="D156" s="175"/>
      <c r="E156" s="160" t="s">
        <v>757</v>
      </c>
      <c r="G156" s="111" t="s">
        <v>814</v>
      </c>
      <c r="H156" s="378">
        <f>H139 + H141 + H154</f>
        <v>0</v>
      </c>
    </row>
    <row r="157" spans="2:111" s="160" customFormat="1" x14ac:dyDescent="0.25">
      <c r="D157" s="175"/>
      <c r="E157" s="175"/>
    </row>
    <row r="158" spans="2:111" x14ac:dyDescent="0.25">
      <c r="B158" s="171" t="s">
        <v>127</v>
      </c>
      <c r="C158" s="171"/>
      <c r="D158" s="171"/>
      <c r="E158" s="171"/>
      <c r="F158" s="171"/>
      <c r="G158" s="171"/>
      <c r="H158" s="171"/>
      <c r="I158" s="171"/>
      <c r="J158" s="171"/>
      <c r="K158" s="171"/>
      <c r="L158" s="171"/>
      <c r="M158" s="171"/>
      <c r="N158" s="171"/>
      <c r="O158" s="171"/>
      <c r="P158" s="171"/>
      <c r="Q158" s="171"/>
      <c r="R158" s="171"/>
      <c r="S158" s="171"/>
      <c r="T158" s="171"/>
      <c r="U158" s="171"/>
      <c r="V158" s="171"/>
      <c r="W158" s="171"/>
      <c r="X158" s="171"/>
      <c r="Y158" s="171"/>
      <c r="Z158" s="171"/>
      <c r="AA158" s="171"/>
      <c r="AB158" s="171"/>
      <c r="AC158" s="171"/>
      <c r="AD158" s="171"/>
      <c r="AE158" s="171"/>
      <c r="AF158" s="171"/>
      <c r="AG158" s="171"/>
      <c r="AH158" s="171"/>
      <c r="AI158" s="171"/>
      <c r="AJ158" s="171"/>
      <c r="AK158" s="171"/>
      <c r="AL158" s="171"/>
      <c r="AM158" s="171"/>
      <c r="AN158" s="171"/>
      <c r="AO158" s="171"/>
      <c r="AP158" s="171"/>
      <c r="AQ158" s="171"/>
      <c r="AR158" s="171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135"/>
      <c r="DG158" s="135"/>
    </row>
    <row r="159" spans="2:111" x14ac:dyDescent="0.25">
      <c r="DF159" s="160"/>
      <c r="DG159" s="160"/>
    </row>
  </sheetData>
  <sheetProtection sheet="1" objects="1" formatCells="0" formatColumns="0" formatRows="0" sort="0" autoFilter="0"/>
  <conditionalFormatting sqref="H141">
    <cfRule type="cellIs" dxfId="12" priority="5" operator="greaterThan">
      <formula>0</formula>
    </cfRule>
  </conditionalFormatting>
  <conditionalFormatting sqref="H154">
    <cfRule type="cellIs" dxfId="11" priority="4" operator="greaterThan">
      <formula>0</formula>
    </cfRule>
  </conditionalFormatting>
  <conditionalFormatting sqref="H156">
    <cfRule type="cellIs" dxfId="10" priority="3" operator="greaterThan">
      <formula>0</formula>
    </cfRule>
  </conditionalFormatting>
  <conditionalFormatting sqref="H139">
    <cfRule type="cellIs" dxfId="9" priority="2" operator="greaterThan">
      <formula>0</formula>
    </cfRule>
  </conditionalFormatting>
  <conditionalFormatting sqref="A4:XFD4">
    <cfRule type="expression" dxfId="8" priority="1">
      <formula>LEFT($A$4,1) &lt;&gt; "0"</formula>
    </cfRule>
  </conditionalFormatting>
  <hyperlinks>
    <hyperlink ref="B5:F5" location="'Model map'!A1" display="Click here to return to model map"/>
  </hyperlinks>
  <pageMargins left="0.7" right="0.7" top="0.75" bottom="0.75" header="0.3" footer="0.3"/>
  <pageSetup paperSize="9" scale="32" fitToHeight="0" orientation="portrait" r:id="rId1"/>
  <headerFooter>
    <oddHeader>&amp;L&amp;A&amp;C&amp;R&amp;P of &amp;N</oddHeader>
    <oddFooter>&amp;F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theme="4" tint="0.59999389629810485"/>
    <pageSetUpPr fitToPage="1"/>
  </sheetPr>
  <dimension ref="A1:KO119"/>
  <sheetViews>
    <sheetView showGridLines="0" zoomScale="80" zoomScaleNormal="80" workbookViewId="0">
      <pane xSplit="9" ySplit="5" topLeftCell="J6" activePane="bottomRight" state="frozen"/>
      <selection activeCell="N50" sqref="N50"/>
      <selection pane="topRight" activeCell="N50" sqref="N50"/>
      <selection pane="bottomLeft" activeCell="N50" sqref="N50"/>
      <selection pane="bottomRight" activeCell="J6" sqref="J6"/>
    </sheetView>
  </sheetViews>
  <sheetFormatPr defaultColWidth="0" defaultRowHeight="15" x14ac:dyDescent="0.25"/>
  <cols>
    <col min="1" max="3" width="2.7109375" style="88" customWidth="1"/>
    <col min="4" max="4" width="2.7109375" style="91" customWidth="1"/>
    <col min="5" max="5" width="2.7109375" style="175" customWidth="1"/>
    <col min="6" max="6" width="59.5703125" style="88" customWidth="1"/>
    <col min="7" max="8" width="20.7109375" style="88" customWidth="1"/>
    <col min="9" max="9" width="2.28515625" style="88" customWidth="1"/>
    <col min="10" max="42" width="17" style="88" customWidth="1"/>
    <col min="43" max="43" width="2.28515625" style="88" customWidth="1"/>
    <col min="44" max="44" width="50.7109375" style="88" customWidth="1"/>
    <col min="45" max="45" width="2.28515625" style="88" customWidth="1"/>
    <col min="46" max="46" width="24.5703125" style="88" hidden="1" customWidth="1"/>
    <col min="47" max="47" width="3.5703125" style="88" hidden="1" customWidth="1"/>
    <col min="48" max="48" width="15.42578125" style="88" hidden="1" customWidth="1"/>
    <col min="49" max="301" width="24.5703125" style="88" hidden="1" customWidth="1"/>
    <col min="302" max="16384" width="8.7109375" style="88" hidden="1"/>
  </cols>
  <sheetData>
    <row r="1" spans="1:97" s="25" customFormat="1" x14ac:dyDescent="0.25">
      <c r="A1" s="25" t="str">
        <f ca="1">MID(CELL("filename",A1),FIND("]",CELL("filename",A1))+1,255)</f>
        <v>Rounding</v>
      </c>
    </row>
    <row r="2" spans="1:97" s="25" customFormat="1" x14ac:dyDescent="0.25">
      <c r="A2" s="25" t="str">
        <f>Cover!D21&amp;" - "&amp;Cover!D23</f>
        <v>SEPD - Final</v>
      </c>
    </row>
    <row r="3" spans="1:97" s="97" customFormat="1" x14ac:dyDescent="0.25">
      <c r="A3" s="97" t="str">
        <f>Cover!D2&amp;" - "&amp;Cover!D8&amp;" v"&amp;Cover!D10&amp;" - "&amp;Cover!D19</f>
        <v>ARP model - Release for charge setting v3 - 2020/21</v>
      </c>
    </row>
    <row r="4" spans="1:97" s="338" customFormat="1" x14ac:dyDescent="0.25">
      <c r="A4" s="392" t="str">
        <f>H117 &amp; IF(H117 = 1, " issue", " issues") &amp;" identified in checks on this sheet"</f>
        <v>0 issues identified in checks on this sheet</v>
      </c>
      <c r="B4" s="393"/>
      <c r="C4" s="393"/>
      <c r="D4" s="393"/>
      <c r="E4" s="393"/>
      <c r="F4" s="393"/>
      <c r="G4" s="393"/>
      <c r="H4" s="394"/>
      <c r="I4" s="394"/>
      <c r="J4" s="393"/>
      <c r="K4" s="383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3"/>
      <c r="AD4" s="383"/>
      <c r="AE4" s="383"/>
      <c r="AF4" s="383"/>
      <c r="AG4" s="383"/>
      <c r="AH4" s="383"/>
      <c r="AI4" s="383"/>
      <c r="AJ4" s="383"/>
      <c r="AK4" s="383"/>
      <c r="AL4" s="383"/>
      <c r="AM4" s="383"/>
      <c r="AN4" s="383"/>
      <c r="AO4" s="383"/>
      <c r="AP4" s="383"/>
      <c r="AQ4" s="383"/>
      <c r="AR4" s="383"/>
      <c r="AS4" s="383"/>
      <c r="AT4" s="383"/>
      <c r="AU4" s="383"/>
      <c r="AV4" s="383"/>
      <c r="AW4" s="383"/>
      <c r="AX4" s="383"/>
      <c r="AY4" s="383"/>
      <c r="AZ4" s="383"/>
      <c r="BA4" s="383"/>
      <c r="BB4" s="383"/>
      <c r="BC4" s="383"/>
      <c r="BD4" s="383"/>
      <c r="BE4" s="383"/>
      <c r="BF4" s="383"/>
      <c r="BG4" s="383"/>
      <c r="BH4" s="383"/>
      <c r="BI4" s="383"/>
      <c r="BJ4" s="383"/>
      <c r="BK4" s="383"/>
      <c r="BL4" s="383"/>
      <c r="BM4" s="383"/>
      <c r="BN4" s="383"/>
      <c r="BO4" s="383"/>
      <c r="BP4" s="383"/>
      <c r="BQ4" s="383"/>
      <c r="BR4" s="383"/>
      <c r="BS4" s="383"/>
      <c r="BT4" s="383"/>
      <c r="BU4" s="383"/>
      <c r="BV4" s="383"/>
      <c r="BW4" s="383"/>
      <c r="BX4" s="383"/>
      <c r="BY4" s="383"/>
      <c r="BZ4" s="383"/>
      <c r="CA4" s="383"/>
      <c r="CB4" s="383"/>
      <c r="CC4" s="383"/>
      <c r="CD4" s="383"/>
      <c r="CE4" s="383"/>
      <c r="CF4" s="383"/>
      <c r="CG4" s="383"/>
      <c r="CH4" s="383"/>
      <c r="CI4" s="383"/>
      <c r="CJ4" s="383"/>
      <c r="CK4" s="383"/>
      <c r="CL4" s="383"/>
      <c r="CM4" s="383"/>
      <c r="CN4" s="383"/>
      <c r="CO4" s="383"/>
      <c r="CP4" s="383"/>
      <c r="CQ4" s="383"/>
      <c r="CR4" s="383"/>
      <c r="CS4" s="383"/>
    </row>
    <row r="5" spans="1:97" ht="60" x14ac:dyDescent="0.25">
      <c r="B5" s="244" t="s">
        <v>667</v>
      </c>
      <c r="C5" s="24"/>
      <c r="D5" s="24"/>
      <c r="E5" s="24"/>
      <c r="F5" s="24"/>
      <c r="G5" s="1" t="s">
        <v>108</v>
      </c>
      <c r="H5" s="2" t="s">
        <v>109</v>
      </c>
      <c r="J5" s="2" t="s">
        <v>52</v>
      </c>
      <c r="K5" s="2" t="s">
        <v>53</v>
      </c>
      <c r="L5" s="2" t="s">
        <v>84</v>
      </c>
      <c r="M5" s="2" t="s">
        <v>54</v>
      </c>
      <c r="N5" s="2" t="s">
        <v>55</v>
      </c>
      <c r="O5" s="2" t="s">
        <v>85</v>
      </c>
      <c r="P5" s="2" t="s">
        <v>56</v>
      </c>
      <c r="Q5" s="2" t="s">
        <v>57</v>
      </c>
      <c r="R5" s="2" t="s">
        <v>72</v>
      </c>
      <c r="S5" s="2" t="s">
        <v>58</v>
      </c>
      <c r="T5" s="2" t="s">
        <v>59</v>
      </c>
      <c r="U5" s="2" t="s">
        <v>60</v>
      </c>
      <c r="V5" s="2" t="s">
        <v>61</v>
      </c>
      <c r="W5" s="2" t="s">
        <v>73</v>
      </c>
      <c r="X5" s="2" t="s">
        <v>86</v>
      </c>
      <c r="Y5" s="2" t="s">
        <v>87</v>
      </c>
      <c r="Z5" s="2" t="s">
        <v>88</v>
      </c>
      <c r="AA5" s="2" t="s">
        <v>89</v>
      </c>
      <c r="AB5" s="2" t="s">
        <v>90</v>
      </c>
      <c r="AC5" s="2" t="s">
        <v>62</v>
      </c>
      <c r="AD5" s="2" t="s">
        <v>63</v>
      </c>
      <c r="AE5" s="2" t="s">
        <v>64</v>
      </c>
      <c r="AF5" s="2" t="s">
        <v>65</v>
      </c>
      <c r="AG5" s="2" t="s">
        <v>66</v>
      </c>
      <c r="AH5" s="2" t="s">
        <v>67</v>
      </c>
      <c r="AI5" s="2" t="s">
        <v>68</v>
      </c>
      <c r="AJ5" s="2" t="s">
        <v>69</v>
      </c>
      <c r="AK5" s="2" t="s">
        <v>70</v>
      </c>
      <c r="AL5" s="2" t="s">
        <v>71</v>
      </c>
      <c r="AM5" s="2" t="s">
        <v>74</v>
      </c>
      <c r="AN5" s="2" t="s">
        <v>75</v>
      </c>
      <c r="AO5" s="2" t="s">
        <v>76</v>
      </c>
      <c r="AP5" s="2" t="s">
        <v>77</v>
      </c>
      <c r="AR5" s="1" t="s">
        <v>110</v>
      </c>
    </row>
    <row r="7" spans="1:97" x14ac:dyDescent="0.25">
      <c r="B7" s="171" t="s">
        <v>107</v>
      </c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</row>
    <row r="8" spans="1:97" x14ac:dyDescent="0.25">
      <c r="AQ8" s="160"/>
      <c r="AR8" s="160"/>
    </row>
    <row r="9" spans="1:97" x14ac:dyDescent="0.25">
      <c r="C9" s="152" t="s">
        <v>1001</v>
      </c>
      <c r="E9" s="160"/>
      <c r="AQ9" s="160"/>
      <c r="AR9" s="160"/>
    </row>
    <row r="10" spans="1:97" x14ac:dyDescent="0.25">
      <c r="C10" s="152" t="s">
        <v>1034</v>
      </c>
      <c r="E10" s="160"/>
      <c r="AQ10" s="160"/>
      <c r="AR10" s="160"/>
    </row>
    <row r="11" spans="1:97" x14ac:dyDescent="0.25">
      <c r="AQ11" s="160"/>
      <c r="AR11" s="160"/>
    </row>
    <row r="12" spans="1:97" x14ac:dyDescent="0.25">
      <c r="B12" s="171" t="s">
        <v>399</v>
      </c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1"/>
      <c r="V12" s="171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</row>
    <row r="13" spans="1:97" s="160" customFormat="1" x14ac:dyDescent="0.25">
      <c r="D13" s="175"/>
      <c r="E13" s="175"/>
    </row>
    <row r="14" spans="1:97" x14ac:dyDescent="0.25">
      <c r="C14" s="152" t="s">
        <v>1035</v>
      </c>
    </row>
    <row r="15" spans="1:97" s="160" customFormat="1" x14ac:dyDescent="0.25">
      <c r="D15" s="175"/>
      <c r="E15" s="175"/>
    </row>
    <row r="16" spans="1:97" s="338" customFormat="1" x14ac:dyDescent="0.25">
      <c r="C16" s="22" t="str">
        <f ca="1">INDEX('Version control'!$H$34:$H$59,MATCH($A$1,'Version control'!$F$34:$F$59,0),1)&amp;"-A: Pre-match, pre-rounding tariff forecast"</f>
        <v>Section 519-A: Pre-match, pre-rounding tariff forecast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</row>
    <row r="17" spans="3:44" s="338" customFormat="1" x14ac:dyDescent="0.25">
      <c r="D17" s="175"/>
      <c r="E17" s="175"/>
    </row>
    <row r="18" spans="3:44" x14ac:dyDescent="0.25">
      <c r="E18" s="87" t="s">
        <v>1036</v>
      </c>
      <c r="F18" s="172"/>
    </row>
    <row r="19" spans="3:44" x14ac:dyDescent="0.25">
      <c r="E19" s="152" t="s">
        <v>1077</v>
      </c>
      <c r="F19" s="175"/>
    </row>
    <row r="20" spans="3:44" x14ac:dyDescent="0.25">
      <c r="C20" s="89"/>
      <c r="E20" s="91"/>
      <c r="F20" s="72" t="s">
        <v>151</v>
      </c>
      <c r="G20" s="13" t="s">
        <v>201</v>
      </c>
      <c r="H20" s="581"/>
      <c r="I20" s="569"/>
      <c r="J20" s="581">
        <f>'Revenue matching'!J20</f>
        <v>1.5969040604098796</v>
      </c>
      <c r="K20" s="581">
        <f>'Revenue matching'!K20</f>
        <v>2.0501753794634672</v>
      </c>
      <c r="L20" s="581">
        <f>'Revenue matching'!L20</f>
        <v>0.19994305292917913</v>
      </c>
      <c r="M20" s="581">
        <f>'Revenue matching'!M20</f>
        <v>1.4406710911410869</v>
      </c>
      <c r="N20" s="581">
        <f>'Revenue matching'!N20</f>
        <v>2.2531084737912934</v>
      </c>
      <c r="O20" s="581">
        <f>'Revenue matching'!O20</f>
        <v>0.32834165057051812</v>
      </c>
      <c r="P20" s="581">
        <f>'Revenue matching'!P20</f>
        <v>1.1473972052693786</v>
      </c>
      <c r="Q20" s="581">
        <f>'Revenue matching'!Q20</f>
        <v>0.9391372710459962</v>
      </c>
      <c r="R20" s="581">
        <f>'Revenue matching'!R20</f>
        <v>0.52492342576582107</v>
      </c>
      <c r="S20" s="581">
        <f>'Revenue matching'!S20</f>
        <v>8.3638006882343365</v>
      </c>
      <c r="T20" s="581">
        <f>'Revenue matching'!T20</f>
        <v>8.8282466365441543</v>
      </c>
      <c r="U20" s="581">
        <f>'Revenue matching'!U20</f>
        <v>5.9331471242397003</v>
      </c>
      <c r="V20" s="581">
        <f>'Revenue matching'!V20</f>
        <v>4.5269278212105721</v>
      </c>
      <c r="W20" s="581">
        <f>'Revenue matching'!W20</f>
        <v>3.2073031362533886</v>
      </c>
      <c r="X20" s="581">
        <f>'Revenue matching'!X20</f>
        <v>2.264792088932257</v>
      </c>
      <c r="Y20" s="581">
        <f>'Revenue matching'!Y20</f>
        <v>2.3198933711558842</v>
      </c>
      <c r="Z20" s="581">
        <f>'Revenue matching'!Z20</f>
        <v>3.0645944998900445</v>
      </c>
      <c r="AA20" s="581">
        <f>'Revenue matching'!AA20</f>
        <v>2.2743892687169116</v>
      </c>
      <c r="AB20" s="581">
        <f>'Revenue matching'!AB20</f>
        <v>13.387627198479423</v>
      </c>
      <c r="AC20" s="581">
        <f>'Revenue matching'!AC20</f>
        <v>-0.79377796595710459</v>
      </c>
      <c r="AD20" s="581">
        <f>'Revenue matching'!AD20</f>
        <v>-0.69465934114707428</v>
      </c>
      <c r="AE20" s="581">
        <f>'Revenue matching'!AE20</f>
        <v>-0.79377796595710459</v>
      </c>
      <c r="AF20" s="581">
        <f>'Revenue matching'!AF20</f>
        <v>-0.79377796595710459</v>
      </c>
      <c r="AG20" s="581">
        <f>'Revenue matching'!AG20</f>
        <v>-5.5360453006887784</v>
      </c>
      <c r="AH20" s="581">
        <f>'Revenue matching'!AH20</f>
        <v>-5.5360453006887784</v>
      </c>
      <c r="AI20" s="581">
        <f>'Revenue matching'!AI20</f>
        <v>-0.69465934114707428</v>
      </c>
      <c r="AJ20" s="581">
        <f>'Revenue matching'!AJ20</f>
        <v>-0.69465934114707428</v>
      </c>
      <c r="AK20" s="581">
        <f>'Revenue matching'!AK20</f>
        <v>-4.9939526180609626</v>
      </c>
      <c r="AL20" s="581">
        <f>'Revenue matching'!AL20</f>
        <v>-4.9939526180609626</v>
      </c>
      <c r="AM20" s="581">
        <f>'Revenue matching'!AM20</f>
        <v>-0.45988671665948044</v>
      </c>
      <c r="AN20" s="581">
        <f>'Revenue matching'!AN20</f>
        <v>-0.45988671665948044</v>
      </c>
      <c r="AO20" s="581">
        <f>'Revenue matching'!AO20</f>
        <v>-3.8382142689374743</v>
      </c>
      <c r="AP20" s="581">
        <f>'Revenue matching'!AP20</f>
        <v>-3.8382142689374743</v>
      </c>
      <c r="AQ20" s="571"/>
      <c r="AR20" s="571"/>
    </row>
    <row r="21" spans="3:44" x14ac:dyDescent="0.25">
      <c r="C21" s="89"/>
      <c r="E21" s="91"/>
      <c r="F21" s="66" t="s">
        <v>152</v>
      </c>
      <c r="G21" s="90" t="s">
        <v>201</v>
      </c>
      <c r="H21" s="582"/>
      <c r="I21" s="572"/>
      <c r="J21" s="582">
        <f>'Revenue matching'!J21</f>
        <v>0</v>
      </c>
      <c r="K21" s="582">
        <f>'Revenue matching'!K21</f>
        <v>0.10408156499649134</v>
      </c>
      <c r="L21" s="582">
        <f>'Revenue matching'!L21</f>
        <v>0</v>
      </c>
      <c r="M21" s="582">
        <f>'Revenue matching'!M21</f>
        <v>0</v>
      </c>
      <c r="N21" s="582">
        <f>'Revenue matching'!N21</f>
        <v>0.2546649770101555</v>
      </c>
      <c r="O21" s="582">
        <f>'Revenue matching'!O21</f>
        <v>0</v>
      </c>
      <c r="P21" s="582">
        <f>'Revenue matching'!P21</f>
        <v>9.3511500040173792E-2</v>
      </c>
      <c r="Q21" s="582">
        <f>'Revenue matching'!Q21</f>
        <v>7.2356015741901064E-2</v>
      </c>
      <c r="R21" s="582">
        <f>'Revenue matching'!R21</f>
        <v>3.1535310566598682E-2</v>
      </c>
      <c r="S21" s="582">
        <f>'Revenue matching'!S21</f>
        <v>0.86260843002178911</v>
      </c>
      <c r="T21" s="582">
        <f>'Revenue matching'!T21</f>
        <v>0.91064877744342132</v>
      </c>
      <c r="U21" s="582">
        <f>'Revenue matching'!U21</f>
        <v>0.52966468402295064</v>
      </c>
      <c r="V21" s="582">
        <f>'Revenue matching'!V21</f>
        <v>0.26867722866611671</v>
      </c>
      <c r="W21" s="582">
        <f>'Revenue matching'!W21</f>
        <v>0.16091867959478245</v>
      </c>
      <c r="X21" s="582">
        <f>'Revenue matching'!X21</f>
        <v>0</v>
      </c>
      <c r="Y21" s="582">
        <f>'Revenue matching'!Y21</f>
        <v>0</v>
      </c>
      <c r="Z21" s="582">
        <f>'Revenue matching'!Z21</f>
        <v>0</v>
      </c>
      <c r="AA21" s="582">
        <f>'Revenue matching'!AA21</f>
        <v>0</v>
      </c>
      <c r="AB21" s="582">
        <f>'Revenue matching'!AB21</f>
        <v>2.2396229552242977</v>
      </c>
      <c r="AC21" s="582">
        <f>'Revenue matching'!AC21</f>
        <v>0</v>
      </c>
      <c r="AD21" s="582">
        <f>'Revenue matching'!AD21</f>
        <v>0</v>
      </c>
      <c r="AE21" s="582">
        <f>'Revenue matching'!AE21</f>
        <v>0</v>
      </c>
      <c r="AF21" s="582">
        <f>'Revenue matching'!AF21</f>
        <v>0</v>
      </c>
      <c r="AG21" s="582">
        <f>'Revenue matching'!AG21</f>
        <v>-0.57117143880771426</v>
      </c>
      <c r="AH21" s="582">
        <f>'Revenue matching'!AH21</f>
        <v>-0.57117143880771426</v>
      </c>
      <c r="AI21" s="582">
        <f>'Revenue matching'!AI21</f>
        <v>0</v>
      </c>
      <c r="AJ21" s="582">
        <f>'Revenue matching'!AJ21</f>
        <v>0</v>
      </c>
      <c r="AK21" s="582">
        <f>'Revenue matching'!AK21</f>
        <v>-0.47519726588679745</v>
      </c>
      <c r="AL21" s="582">
        <f>'Revenue matching'!AL21</f>
        <v>-0.47519726588679745</v>
      </c>
      <c r="AM21" s="582">
        <f>'Revenue matching'!AM21</f>
        <v>0</v>
      </c>
      <c r="AN21" s="582">
        <f>'Revenue matching'!AN21</f>
        <v>0</v>
      </c>
      <c r="AO21" s="582">
        <f>'Revenue matching'!AO21</f>
        <v>-0.22667318511436871</v>
      </c>
      <c r="AP21" s="582">
        <f>'Revenue matching'!AP21</f>
        <v>-0.22667318511436871</v>
      </c>
      <c r="AQ21" s="571"/>
      <c r="AR21" s="571"/>
    </row>
    <row r="22" spans="3:44" x14ac:dyDescent="0.25">
      <c r="C22" s="89"/>
      <c r="E22" s="91"/>
      <c r="F22" s="66" t="s">
        <v>153</v>
      </c>
      <c r="G22" s="90" t="s">
        <v>201</v>
      </c>
      <c r="H22" s="582"/>
      <c r="I22" s="572"/>
      <c r="J22" s="582">
        <f>'Revenue matching'!J22</f>
        <v>0</v>
      </c>
      <c r="K22" s="582">
        <f>'Revenue matching'!K22</f>
        <v>0</v>
      </c>
      <c r="L22" s="582">
        <f>'Revenue matching'!L22</f>
        <v>0</v>
      </c>
      <c r="M22" s="582">
        <f>'Revenue matching'!M22</f>
        <v>0</v>
      </c>
      <c r="N22" s="582">
        <f>'Revenue matching'!N22</f>
        <v>0</v>
      </c>
      <c r="O22" s="582">
        <f>'Revenue matching'!O22</f>
        <v>0</v>
      </c>
      <c r="P22" s="582">
        <f>'Revenue matching'!P22</f>
        <v>0</v>
      </c>
      <c r="Q22" s="582">
        <f>'Revenue matching'!Q22</f>
        <v>0</v>
      </c>
      <c r="R22" s="582">
        <f>'Revenue matching'!R22</f>
        <v>0</v>
      </c>
      <c r="S22" s="582">
        <f>'Revenue matching'!S22</f>
        <v>4.9133022238593935E-2</v>
      </c>
      <c r="T22" s="582">
        <f>'Revenue matching'!T22</f>
        <v>5.18728960026444E-2</v>
      </c>
      <c r="U22" s="582">
        <f>'Revenue matching'!U22</f>
        <v>2.8005246403861348E-2</v>
      </c>
      <c r="V22" s="582">
        <f>'Revenue matching'!V22</f>
        <v>1.0089867723546669E-2</v>
      </c>
      <c r="W22" s="582">
        <f>'Revenue matching'!W22</f>
        <v>4.8681886495548889E-3</v>
      </c>
      <c r="X22" s="582">
        <f>'Revenue matching'!X22</f>
        <v>0</v>
      </c>
      <c r="Y22" s="582">
        <f>'Revenue matching'!Y22</f>
        <v>0</v>
      </c>
      <c r="Z22" s="582">
        <f>'Revenue matching'!Z22</f>
        <v>0</v>
      </c>
      <c r="AA22" s="582">
        <f>'Revenue matching'!AA22</f>
        <v>0</v>
      </c>
      <c r="AB22" s="582">
        <f>'Revenue matching'!AB22</f>
        <v>1.5019754471194631</v>
      </c>
      <c r="AC22" s="582">
        <f>'Revenue matching'!AC22</f>
        <v>0</v>
      </c>
      <c r="AD22" s="582">
        <f>'Revenue matching'!AD22</f>
        <v>0</v>
      </c>
      <c r="AE22" s="582">
        <f>'Revenue matching'!AE22</f>
        <v>0</v>
      </c>
      <c r="AF22" s="582">
        <f>'Revenue matching'!AF22</f>
        <v>0</v>
      </c>
      <c r="AG22" s="582">
        <f>'Revenue matching'!AG22</f>
        <v>-3.2538395709517873E-2</v>
      </c>
      <c r="AH22" s="582">
        <f>'Revenue matching'!AH22</f>
        <v>-3.2538395709517873E-2</v>
      </c>
      <c r="AI22" s="582">
        <f>'Revenue matching'!AI22</f>
        <v>0</v>
      </c>
      <c r="AJ22" s="582">
        <f>'Revenue matching'!AJ22</f>
        <v>0</v>
      </c>
      <c r="AK22" s="582">
        <f>'Revenue matching'!AK22</f>
        <v>-2.6018043903937992E-2</v>
      </c>
      <c r="AL22" s="582">
        <f>'Revenue matching'!AL22</f>
        <v>-2.6018043903937992E-2</v>
      </c>
      <c r="AM22" s="582">
        <f>'Revenue matching'!AM22</f>
        <v>0</v>
      </c>
      <c r="AN22" s="582">
        <f>'Revenue matching'!AN22</f>
        <v>0</v>
      </c>
      <c r="AO22" s="582">
        <f>'Revenue matching'!AO22</f>
        <v>-8.4674213394694883E-3</v>
      </c>
      <c r="AP22" s="582">
        <f>'Revenue matching'!AP22</f>
        <v>-8.4674213394694883E-3</v>
      </c>
      <c r="AQ22" s="571"/>
      <c r="AR22" s="571"/>
    </row>
    <row r="23" spans="3:44" x14ac:dyDescent="0.25">
      <c r="C23" s="89"/>
      <c r="E23" s="91"/>
      <c r="F23" s="66" t="s">
        <v>384</v>
      </c>
      <c r="G23" s="90" t="s">
        <v>382</v>
      </c>
      <c r="H23" s="205"/>
      <c r="I23" s="90"/>
      <c r="J23" s="437">
        <f>'Revenue matching'!J23</f>
        <v>3.5067219949848085</v>
      </c>
      <c r="K23" s="437">
        <f>'Revenue matching'!K23</f>
        <v>3.5067219949848085</v>
      </c>
      <c r="L23" s="437">
        <f>'Revenue matching'!L23</f>
        <v>0</v>
      </c>
      <c r="M23" s="437">
        <f>'Revenue matching'!M23</f>
        <v>5.253552324850304</v>
      </c>
      <c r="N23" s="437">
        <f>'Revenue matching'!N23</f>
        <v>5.253552324850304</v>
      </c>
      <c r="O23" s="437">
        <f>'Revenue matching'!O23</f>
        <v>0</v>
      </c>
      <c r="P23" s="437">
        <f>'Revenue matching'!P23</f>
        <v>28.966037960368407</v>
      </c>
      <c r="Q23" s="437">
        <f>'Revenue matching'!Q23</f>
        <v>25.779541777058597</v>
      </c>
      <c r="R23" s="437">
        <f>'Revenue matching'!R23</f>
        <v>288.71453531245277</v>
      </c>
      <c r="S23" s="437">
        <f>'Revenue matching'!S23</f>
        <v>3.5067219949848085</v>
      </c>
      <c r="T23" s="437">
        <f>'Revenue matching'!T23</f>
        <v>5.253552324850304</v>
      </c>
      <c r="U23" s="437">
        <f>'Revenue matching'!U23</f>
        <v>16.485812680056686</v>
      </c>
      <c r="V23" s="437">
        <f>'Revenue matching'!V23</f>
        <v>25.779541777058597</v>
      </c>
      <c r="W23" s="437">
        <f>'Revenue matching'!W23</f>
        <v>147.36429719068178</v>
      </c>
      <c r="X23" s="437">
        <f>'Revenue matching'!X23</f>
        <v>0</v>
      </c>
      <c r="Y23" s="437">
        <f>'Revenue matching'!Y23</f>
        <v>0</v>
      </c>
      <c r="Z23" s="437">
        <f>'Revenue matching'!Z23</f>
        <v>0</v>
      </c>
      <c r="AA23" s="437">
        <f>'Revenue matching'!AA23</f>
        <v>0</v>
      </c>
      <c r="AB23" s="437">
        <f>'Revenue matching'!AB23</f>
        <v>0</v>
      </c>
      <c r="AC23" s="437">
        <f>'Revenue matching'!AC23</f>
        <v>0</v>
      </c>
      <c r="AD23" s="437">
        <f>'Revenue matching'!AD23</f>
        <v>0</v>
      </c>
      <c r="AE23" s="437">
        <f>'Revenue matching'!AE23</f>
        <v>0</v>
      </c>
      <c r="AF23" s="437">
        <f>'Revenue matching'!AF23</f>
        <v>0</v>
      </c>
      <c r="AG23" s="437">
        <f>'Revenue matching'!AG23</f>
        <v>0</v>
      </c>
      <c r="AH23" s="437">
        <f>'Revenue matching'!AH23</f>
        <v>0</v>
      </c>
      <c r="AI23" s="437">
        <f>'Revenue matching'!AI23</f>
        <v>0</v>
      </c>
      <c r="AJ23" s="437">
        <f>'Revenue matching'!AJ23</f>
        <v>0</v>
      </c>
      <c r="AK23" s="437">
        <f>'Revenue matching'!AK23</f>
        <v>0</v>
      </c>
      <c r="AL23" s="437">
        <f>'Revenue matching'!AL23</f>
        <v>0</v>
      </c>
      <c r="AM23" s="437">
        <f>'Revenue matching'!AM23</f>
        <v>242.78017970172101</v>
      </c>
      <c r="AN23" s="437">
        <f>'Revenue matching'!AN23</f>
        <v>242.78017970172101</v>
      </c>
      <c r="AO23" s="437">
        <f>'Revenue matching'!AO23</f>
        <v>242.78017970172101</v>
      </c>
      <c r="AP23" s="437">
        <f>'Revenue matching'!AP23</f>
        <v>242.78017970172101</v>
      </c>
    </row>
    <row r="24" spans="3:44" x14ac:dyDescent="0.25">
      <c r="C24" s="89"/>
      <c r="E24" s="91"/>
      <c r="F24" s="66" t="s">
        <v>385</v>
      </c>
      <c r="G24" s="90" t="s">
        <v>381</v>
      </c>
      <c r="H24" s="205"/>
      <c r="I24" s="90"/>
      <c r="J24" s="437">
        <f>'Revenue matching'!J24</f>
        <v>0</v>
      </c>
      <c r="K24" s="437">
        <f>'Revenue matching'!K24</f>
        <v>0</v>
      </c>
      <c r="L24" s="437">
        <f>'Revenue matching'!L24</f>
        <v>0</v>
      </c>
      <c r="M24" s="437">
        <f>'Revenue matching'!M24</f>
        <v>0</v>
      </c>
      <c r="N24" s="437">
        <f>'Revenue matching'!N24</f>
        <v>0</v>
      </c>
      <c r="O24" s="437">
        <f>'Revenue matching'!O24</f>
        <v>0</v>
      </c>
      <c r="P24" s="437">
        <f>'Revenue matching'!P24</f>
        <v>0</v>
      </c>
      <c r="Q24" s="437">
        <f>'Revenue matching'!Q24</f>
        <v>0</v>
      </c>
      <c r="R24" s="437">
        <f>'Revenue matching'!R24</f>
        <v>0</v>
      </c>
      <c r="S24" s="437">
        <f>'Revenue matching'!S24</f>
        <v>0</v>
      </c>
      <c r="T24" s="437">
        <f>'Revenue matching'!T24</f>
        <v>0</v>
      </c>
      <c r="U24" s="437">
        <f>'Revenue matching'!U24</f>
        <v>2.4194688143102887</v>
      </c>
      <c r="V24" s="437">
        <f>'Revenue matching'!V24</f>
        <v>4.276118885709975</v>
      </c>
      <c r="W24" s="437">
        <f>'Revenue matching'!W24</f>
        <v>5.2830912098228762</v>
      </c>
      <c r="X24" s="437">
        <f>'Revenue matching'!X24</f>
        <v>0</v>
      </c>
      <c r="Y24" s="437">
        <f>'Revenue matching'!Y24</f>
        <v>0</v>
      </c>
      <c r="Z24" s="437">
        <f>'Revenue matching'!Z24</f>
        <v>0</v>
      </c>
      <c r="AA24" s="437">
        <f>'Revenue matching'!AA24</f>
        <v>0</v>
      </c>
      <c r="AB24" s="437">
        <f>'Revenue matching'!AB24</f>
        <v>0</v>
      </c>
      <c r="AC24" s="437">
        <f>'Revenue matching'!AC24</f>
        <v>0</v>
      </c>
      <c r="AD24" s="437">
        <f>'Revenue matching'!AD24</f>
        <v>0</v>
      </c>
      <c r="AE24" s="437">
        <f>'Revenue matching'!AE24</f>
        <v>0</v>
      </c>
      <c r="AF24" s="437">
        <f>'Revenue matching'!AF24</f>
        <v>0</v>
      </c>
      <c r="AG24" s="437">
        <f>'Revenue matching'!AG24</f>
        <v>0</v>
      </c>
      <c r="AH24" s="437">
        <f>'Revenue matching'!AH24</f>
        <v>0</v>
      </c>
      <c r="AI24" s="437">
        <f>'Revenue matching'!AI24</f>
        <v>0</v>
      </c>
      <c r="AJ24" s="437">
        <f>'Revenue matching'!AJ24</f>
        <v>0</v>
      </c>
      <c r="AK24" s="437">
        <f>'Revenue matching'!AK24</f>
        <v>0</v>
      </c>
      <c r="AL24" s="437">
        <f>'Revenue matching'!AL24</f>
        <v>0</v>
      </c>
      <c r="AM24" s="437">
        <f>'Revenue matching'!AM24</f>
        <v>0</v>
      </c>
      <c r="AN24" s="437">
        <f>'Revenue matching'!AN24</f>
        <v>0</v>
      </c>
      <c r="AO24" s="437">
        <f>'Revenue matching'!AO24</f>
        <v>0</v>
      </c>
      <c r="AP24" s="437">
        <f>'Revenue matching'!AP24</f>
        <v>0</v>
      </c>
    </row>
    <row r="25" spans="3:44" x14ac:dyDescent="0.25">
      <c r="C25" s="89"/>
      <c r="E25" s="91"/>
      <c r="F25" s="66" t="s">
        <v>386</v>
      </c>
      <c r="G25" s="90" t="s">
        <v>381</v>
      </c>
      <c r="H25" s="205"/>
      <c r="I25" s="90"/>
      <c r="J25" s="437">
        <f>'Revenue matching'!J25</f>
        <v>0</v>
      </c>
      <c r="K25" s="437">
        <f>'Revenue matching'!K25</f>
        <v>0</v>
      </c>
      <c r="L25" s="437">
        <f>'Revenue matching'!L25</f>
        <v>0</v>
      </c>
      <c r="M25" s="437">
        <f>'Revenue matching'!M25</f>
        <v>0</v>
      </c>
      <c r="N25" s="437">
        <f>'Revenue matching'!N25</f>
        <v>0</v>
      </c>
      <c r="O25" s="437">
        <f>'Revenue matching'!O25</f>
        <v>0</v>
      </c>
      <c r="P25" s="437">
        <f>'Revenue matching'!P25</f>
        <v>0</v>
      </c>
      <c r="Q25" s="437">
        <f>'Revenue matching'!Q25</f>
        <v>0</v>
      </c>
      <c r="R25" s="437">
        <f>'Revenue matching'!R25</f>
        <v>0</v>
      </c>
      <c r="S25" s="437">
        <f>'Revenue matching'!S25</f>
        <v>0</v>
      </c>
      <c r="T25" s="437">
        <f>'Revenue matching'!T25</f>
        <v>0</v>
      </c>
      <c r="U25" s="437">
        <f>'Revenue matching'!U25</f>
        <v>4.5823456808537575</v>
      </c>
      <c r="V25" s="437">
        <f>'Revenue matching'!V25</f>
        <v>5.7697386725894155</v>
      </c>
      <c r="W25" s="437">
        <f>'Revenue matching'!W25</f>
        <v>6.5484178941700018</v>
      </c>
      <c r="X25" s="437">
        <f>'Revenue matching'!X25</f>
        <v>0</v>
      </c>
      <c r="Y25" s="437">
        <f>'Revenue matching'!Y25</f>
        <v>0</v>
      </c>
      <c r="Z25" s="437">
        <f>'Revenue matching'!Z25</f>
        <v>0</v>
      </c>
      <c r="AA25" s="437">
        <f>'Revenue matching'!AA25</f>
        <v>0</v>
      </c>
      <c r="AB25" s="437">
        <f>'Revenue matching'!AB25</f>
        <v>0</v>
      </c>
      <c r="AC25" s="437">
        <f>'Revenue matching'!AC25</f>
        <v>0</v>
      </c>
      <c r="AD25" s="437">
        <f>'Revenue matching'!AD25</f>
        <v>0</v>
      </c>
      <c r="AE25" s="437">
        <f>'Revenue matching'!AE25</f>
        <v>0</v>
      </c>
      <c r="AF25" s="437">
        <f>'Revenue matching'!AF25</f>
        <v>0</v>
      </c>
      <c r="AG25" s="437">
        <f>'Revenue matching'!AG25</f>
        <v>0</v>
      </c>
      <c r="AH25" s="437">
        <f>'Revenue matching'!AH25</f>
        <v>0</v>
      </c>
      <c r="AI25" s="437">
        <f>'Revenue matching'!AI25</f>
        <v>0</v>
      </c>
      <c r="AJ25" s="437">
        <f>'Revenue matching'!AJ25</f>
        <v>0</v>
      </c>
      <c r="AK25" s="437">
        <f>'Revenue matching'!AK25</f>
        <v>0</v>
      </c>
      <c r="AL25" s="437">
        <f>'Revenue matching'!AL25</f>
        <v>0</v>
      </c>
      <c r="AM25" s="437">
        <f>'Revenue matching'!AM25</f>
        <v>0</v>
      </c>
      <c r="AN25" s="437">
        <f>'Revenue matching'!AN25</f>
        <v>0</v>
      </c>
      <c r="AO25" s="437">
        <f>'Revenue matching'!AO25</f>
        <v>0</v>
      </c>
      <c r="AP25" s="437">
        <f>'Revenue matching'!AP25</f>
        <v>0</v>
      </c>
    </row>
    <row r="26" spans="3:44" x14ac:dyDescent="0.25">
      <c r="C26" s="89"/>
      <c r="E26" s="91"/>
      <c r="F26" s="67" t="s">
        <v>387</v>
      </c>
      <c r="G26" s="16" t="s">
        <v>388</v>
      </c>
      <c r="H26" s="588"/>
      <c r="I26" s="574"/>
      <c r="J26" s="588">
        <f>'Revenue matching'!J26</f>
        <v>0</v>
      </c>
      <c r="K26" s="588">
        <f>'Revenue matching'!K26</f>
        <v>0</v>
      </c>
      <c r="L26" s="588">
        <f>'Revenue matching'!L26</f>
        <v>0</v>
      </c>
      <c r="M26" s="588">
        <f>'Revenue matching'!M26</f>
        <v>0</v>
      </c>
      <c r="N26" s="588">
        <f>'Revenue matching'!N26</f>
        <v>0</v>
      </c>
      <c r="O26" s="588">
        <f>'Revenue matching'!O26</f>
        <v>0</v>
      </c>
      <c r="P26" s="588">
        <f>'Revenue matching'!P26</f>
        <v>0</v>
      </c>
      <c r="Q26" s="588">
        <f>'Revenue matching'!Q26</f>
        <v>0</v>
      </c>
      <c r="R26" s="588">
        <f>'Revenue matching'!R26</f>
        <v>0</v>
      </c>
      <c r="S26" s="588">
        <f>'Revenue matching'!S26</f>
        <v>0</v>
      </c>
      <c r="T26" s="588">
        <f>'Revenue matching'!T26</f>
        <v>0</v>
      </c>
      <c r="U26" s="588">
        <f>'Revenue matching'!U26</f>
        <v>0.20429574981631735</v>
      </c>
      <c r="V26" s="588">
        <f>'Revenue matching'!V26</f>
        <v>0.1294785680312045</v>
      </c>
      <c r="W26" s="588">
        <f>'Revenue matching'!W26</f>
        <v>8.5988859420168706E-2</v>
      </c>
      <c r="X26" s="588">
        <f>'Revenue matching'!X26</f>
        <v>0</v>
      </c>
      <c r="Y26" s="588">
        <f>'Revenue matching'!Y26</f>
        <v>0</v>
      </c>
      <c r="Z26" s="588">
        <f>'Revenue matching'!Z26</f>
        <v>0</v>
      </c>
      <c r="AA26" s="588">
        <f>'Revenue matching'!AA26</f>
        <v>0</v>
      </c>
      <c r="AB26" s="588">
        <f>'Revenue matching'!AB26</f>
        <v>0</v>
      </c>
      <c r="AC26" s="588">
        <f>'Revenue matching'!AC26</f>
        <v>0</v>
      </c>
      <c r="AD26" s="588">
        <f>'Revenue matching'!AD26</f>
        <v>0</v>
      </c>
      <c r="AE26" s="588">
        <f>'Revenue matching'!AE26</f>
        <v>0.18588029896524536</v>
      </c>
      <c r="AF26" s="588">
        <f>'Revenue matching'!AF26</f>
        <v>0</v>
      </c>
      <c r="AG26" s="588">
        <f>'Revenue matching'!AG26</f>
        <v>0.18588029896524536</v>
      </c>
      <c r="AH26" s="588">
        <f>'Revenue matching'!AH26</f>
        <v>0</v>
      </c>
      <c r="AI26" s="588">
        <f>'Revenue matching'!AI26</f>
        <v>0.16638235815020677</v>
      </c>
      <c r="AJ26" s="588">
        <f>'Revenue matching'!AJ26</f>
        <v>0</v>
      </c>
      <c r="AK26" s="588">
        <f>'Revenue matching'!AK26</f>
        <v>0.16638235815020677</v>
      </c>
      <c r="AL26" s="588">
        <f>'Revenue matching'!AL26</f>
        <v>0</v>
      </c>
      <c r="AM26" s="588">
        <f>'Revenue matching'!AM26</f>
        <v>0.14664466661720621</v>
      </c>
      <c r="AN26" s="588">
        <f>'Revenue matching'!AN26</f>
        <v>0</v>
      </c>
      <c r="AO26" s="588">
        <f>'Revenue matching'!AO26</f>
        <v>0.14664466661720621</v>
      </c>
      <c r="AP26" s="588">
        <f>'Revenue matching'!AP26</f>
        <v>0</v>
      </c>
      <c r="AQ26" s="571"/>
      <c r="AR26" s="571"/>
    </row>
    <row r="27" spans="3:44" x14ac:dyDescent="0.25">
      <c r="C27" s="89"/>
      <c r="E27" s="88"/>
      <c r="F27" s="160"/>
      <c r="J27" s="416"/>
      <c r="K27" s="416"/>
      <c r="L27" s="416"/>
      <c r="M27" s="416"/>
      <c r="N27" s="416"/>
      <c r="O27" s="416"/>
      <c r="P27" s="416"/>
      <c r="Q27" s="416"/>
      <c r="R27" s="416"/>
      <c r="S27" s="416"/>
      <c r="T27" s="416"/>
      <c r="U27" s="416"/>
      <c r="V27" s="416"/>
      <c r="W27" s="416"/>
      <c r="X27" s="416"/>
      <c r="Y27" s="416"/>
      <c r="Z27" s="416"/>
      <c r="AA27" s="416"/>
      <c r="AB27" s="416"/>
      <c r="AC27" s="416"/>
      <c r="AD27" s="416"/>
      <c r="AE27" s="416"/>
      <c r="AF27" s="416"/>
      <c r="AG27" s="416"/>
      <c r="AH27" s="416"/>
      <c r="AI27" s="416"/>
      <c r="AJ27" s="416"/>
      <c r="AK27" s="416"/>
      <c r="AL27" s="416"/>
      <c r="AM27" s="416"/>
      <c r="AN27" s="416"/>
      <c r="AO27" s="416"/>
      <c r="AP27" s="416"/>
    </row>
    <row r="28" spans="3:44" s="338" customFormat="1" x14ac:dyDescent="0.25">
      <c r="C28" s="22" t="str">
        <f ca="1">INDEX('Version control'!$H$34:$H$59,MATCH($A$1,'Version control'!$F$34:$F$59,0),1)&amp;"-B: Adder to be applied to unit rates"</f>
        <v>Section 519-B: Adder to be applied to unit rates</v>
      </c>
      <c r="D28" s="22"/>
      <c r="E28" s="22"/>
      <c r="F28" s="22"/>
      <c r="G28" s="22"/>
      <c r="H28" s="22"/>
      <c r="I28" s="22"/>
      <c r="J28" s="406"/>
      <c r="K28" s="406"/>
      <c r="L28" s="406"/>
      <c r="M28" s="406"/>
      <c r="N28" s="406"/>
      <c r="O28" s="406"/>
      <c r="P28" s="406"/>
      <c r="Q28" s="406"/>
      <c r="R28" s="406"/>
      <c r="S28" s="406"/>
      <c r="T28" s="406"/>
      <c r="U28" s="406"/>
      <c r="V28" s="406"/>
      <c r="W28" s="406"/>
      <c r="X28" s="406"/>
      <c r="Y28" s="406"/>
      <c r="Z28" s="406"/>
      <c r="AA28" s="406"/>
      <c r="AB28" s="406"/>
      <c r="AC28" s="406"/>
      <c r="AD28" s="406"/>
      <c r="AE28" s="406"/>
      <c r="AF28" s="406"/>
      <c r="AG28" s="406"/>
      <c r="AH28" s="406"/>
      <c r="AI28" s="406"/>
      <c r="AJ28" s="406"/>
      <c r="AK28" s="406"/>
      <c r="AL28" s="406"/>
      <c r="AM28" s="406"/>
      <c r="AN28" s="406"/>
      <c r="AO28" s="406"/>
      <c r="AP28" s="406"/>
      <c r="AQ28" s="22"/>
      <c r="AR28" s="22"/>
    </row>
    <row r="29" spans="3:44" s="338" customFormat="1" x14ac:dyDescent="0.25">
      <c r="D29" s="175"/>
      <c r="E29" s="175"/>
      <c r="J29" s="416"/>
      <c r="K29" s="416"/>
      <c r="L29" s="416"/>
      <c r="M29" s="416"/>
      <c r="N29" s="416"/>
      <c r="O29" s="416"/>
      <c r="P29" s="416"/>
      <c r="Q29" s="416"/>
      <c r="R29" s="416"/>
      <c r="S29" s="416"/>
      <c r="T29" s="416"/>
      <c r="U29" s="416"/>
      <c r="V29" s="416"/>
      <c r="W29" s="416"/>
      <c r="X29" s="416"/>
      <c r="Y29" s="416"/>
      <c r="Z29" s="416"/>
      <c r="AA29" s="416"/>
      <c r="AB29" s="416"/>
      <c r="AC29" s="416"/>
      <c r="AD29" s="416"/>
      <c r="AE29" s="416"/>
      <c r="AF29" s="416"/>
      <c r="AG29" s="416"/>
      <c r="AH29" s="416"/>
      <c r="AI29" s="416"/>
      <c r="AJ29" s="416"/>
      <c r="AK29" s="416"/>
      <c r="AL29" s="416"/>
      <c r="AM29" s="416"/>
      <c r="AN29" s="416"/>
      <c r="AO29" s="416"/>
      <c r="AP29" s="416"/>
    </row>
    <row r="30" spans="3:44" x14ac:dyDescent="0.25">
      <c r="E30" s="161" t="s">
        <v>619</v>
      </c>
      <c r="J30" s="416"/>
      <c r="K30" s="416"/>
      <c r="L30" s="416"/>
      <c r="M30" s="416"/>
      <c r="N30" s="416"/>
      <c r="O30" s="416"/>
      <c r="P30" s="416"/>
      <c r="Q30" s="416"/>
      <c r="R30" s="416"/>
      <c r="S30" s="416"/>
      <c r="T30" s="416"/>
      <c r="U30" s="416"/>
      <c r="V30" s="416"/>
      <c r="W30" s="416"/>
      <c r="X30" s="416"/>
      <c r="Y30" s="416"/>
      <c r="Z30" s="416"/>
      <c r="AA30" s="416"/>
      <c r="AB30" s="416"/>
      <c r="AC30" s="416"/>
      <c r="AD30" s="416"/>
      <c r="AE30" s="416"/>
      <c r="AF30" s="416"/>
      <c r="AG30" s="416"/>
      <c r="AH30" s="416"/>
      <c r="AI30" s="416"/>
      <c r="AJ30" s="416"/>
      <c r="AK30" s="416"/>
      <c r="AL30" s="416"/>
      <c r="AM30" s="416"/>
      <c r="AN30" s="416"/>
      <c r="AO30" s="416"/>
      <c r="AP30" s="416"/>
    </row>
    <row r="31" spans="3:44" x14ac:dyDescent="0.25">
      <c r="E31" s="152" t="s">
        <v>618</v>
      </c>
      <c r="J31" s="416"/>
      <c r="K31" s="416"/>
      <c r="L31" s="416"/>
      <c r="M31" s="416"/>
      <c r="N31" s="416"/>
      <c r="O31" s="416"/>
      <c r="P31" s="416"/>
      <c r="Q31" s="416"/>
      <c r="R31" s="416"/>
      <c r="S31" s="416"/>
      <c r="T31" s="416"/>
      <c r="U31" s="416"/>
      <c r="V31" s="416"/>
      <c r="W31" s="416"/>
      <c r="X31" s="416"/>
      <c r="Y31" s="416"/>
      <c r="Z31" s="416"/>
      <c r="AA31" s="416"/>
      <c r="AB31" s="416"/>
      <c r="AC31" s="416"/>
      <c r="AD31" s="416"/>
      <c r="AE31" s="416"/>
      <c r="AF31" s="416"/>
      <c r="AG31" s="416"/>
      <c r="AH31" s="416"/>
      <c r="AI31" s="416"/>
      <c r="AJ31" s="416"/>
      <c r="AK31" s="416"/>
      <c r="AL31" s="416"/>
      <c r="AM31" s="416"/>
      <c r="AN31" s="416"/>
      <c r="AO31" s="416"/>
      <c r="AP31" s="416"/>
    </row>
    <row r="32" spans="3:44" x14ac:dyDescent="0.25">
      <c r="E32" s="89"/>
      <c r="F32" s="72" t="s">
        <v>151</v>
      </c>
      <c r="G32" s="13" t="s">
        <v>201</v>
      </c>
      <c r="H32" s="581"/>
      <c r="I32" s="569"/>
      <c r="J32" s="581">
        <f>'Revenue matching'!J133</f>
        <v>0.33667025214421992</v>
      </c>
      <c r="K32" s="581">
        <f>'Revenue matching'!K133</f>
        <v>0.33667025214421992</v>
      </c>
      <c r="L32" s="581">
        <f>'Revenue matching'!L133</f>
        <v>0.33667025214421992</v>
      </c>
      <c r="M32" s="581">
        <f>'Revenue matching'!M133</f>
        <v>0.33667025214421992</v>
      </c>
      <c r="N32" s="581">
        <f>'Revenue matching'!N133</f>
        <v>0.33667025214421992</v>
      </c>
      <c r="O32" s="581">
        <f>'Revenue matching'!O133</f>
        <v>0.33667025214421992</v>
      </c>
      <c r="P32" s="581">
        <f>'Revenue matching'!P133</f>
        <v>0.33667025214421992</v>
      </c>
      <c r="Q32" s="581">
        <f>'Revenue matching'!Q133</f>
        <v>0.33667025214421992</v>
      </c>
      <c r="R32" s="581">
        <f>'Revenue matching'!R133</f>
        <v>0.33667025214421992</v>
      </c>
      <c r="S32" s="581">
        <f>'Revenue matching'!S133</f>
        <v>0.33667025214421992</v>
      </c>
      <c r="T32" s="581">
        <f>'Revenue matching'!T133</f>
        <v>0.33667025214421992</v>
      </c>
      <c r="U32" s="581">
        <f>'Revenue matching'!U133</f>
        <v>0.33667025214421992</v>
      </c>
      <c r="V32" s="581">
        <f>'Revenue matching'!V133</f>
        <v>0.33667025214421992</v>
      </c>
      <c r="W32" s="581">
        <f>'Revenue matching'!W133</f>
        <v>0.33667025214421992</v>
      </c>
      <c r="X32" s="581">
        <f>'Revenue matching'!X133</f>
        <v>0.33667025214421992</v>
      </c>
      <c r="Y32" s="581">
        <f>'Revenue matching'!Y133</f>
        <v>0.33667025214421992</v>
      </c>
      <c r="Z32" s="581">
        <f>'Revenue matching'!Z133</f>
        <v>0.33667025214421992</v>
      </c>
      <c r="AA32" s="581">
        <f>'Revenue matching'!AA133</f>
        <v>0.33667025214421992</v>
      </c>
      <c r="AB32" s="581">
        <f>'Revenue matching'!AB133</f>
        <v>0.33667025214421992</v>
      </c>
      <c r="AC32" s="581">
        <f>'Revenue matching'!AC133</f>
        <v>0</v>
      </c>
      <c r="AD32" s="581">
        <f>'Revenue matching'!AD133</f>
        <v>0</v>
      </c>
      <c r="AE32" s="581">
        <f>'Revenue matching'!AE133</f>
        <v>0</v>
      </c>
      <c r="AF32" s="581">
        <f>'Revenue matching'!AF133</f>
        <v>0</v>
      </c>
      <c r="AG32" s="581">
        <f>'Revenue matching'!AG133</f>
        <v>0</v>
      </c>
      <c r="AH32" s="581">
        <f>'Revenue matching'!AH133</f>
        <v>0</v>
      </c>
      <c r="AI32" s="581">
        <f>'Revenue matching'!AI133</f>
        <v>0</v>
      </c>
      <c r="AJ32" s="581">
        <f>'Revenue matching'!AJ133</f>
        <v>0</v>
      </c>
      <c r="AK32" s="581">
        <f>'Revenue matching'!AK133</f>
        <v>0</v>
      </c>
      <c r="AL32" s="581">
        <f>'Revenue matching'!AL133</f>
        <v>0</v>
      </c>
      <c r="AM32" s="581">
        <f>'Revenue matching'!AM133</f>
        <v>0</v>
      </c>
      <c r="AN32" s="581">
        <f>'Revenue matching'!AN133</f>
        <v>0</v>
      </c>
      <c r="AO32" s="581">
        <f>'Revenue matching'!AO133</f>
        <v>0</v>
      </c>
      <c r="AP32" s="581">
        <f>'Revenue matching'!AP133</f>
        <v>0</v>
      </c>
      <c r="AQ32" s="571"/>
      <c r="AR32" s="571"/>
    </row>
    <row r="33" spans="3:44" x14ac:dyDescent="0.25">
      <c r="E33" s="89"/>
      <c r="F33" s="66" t="s">
        <v>152</v>
      </c>
      <c r="G33" s="90" t="s">
        <v>201</v>
      </c>
      <c r="H33" s="582"/>
      <c r="I33" s="572"/>
      <c r="J33" s="582">
        <f>'Revenue matching'!J134</f>
        <v>0</v>
      </c>
      <c r="K33" s="582">
        <f>'Revenue matching'!K134</f>
        <v>0.33667025214421992</v>
      </c>
      <c r="L33" s="582">
        <f>'Revenue matching'!L134</f>
        <v>0</v>
      </c>
      <c r="M33" s="582">
        <f>'Revenue matching'!M134</f>
        <v>0</v>
      </c>
      <c r="N33" s="582">
        <f>'Revenue matching'!N134</f>
        <v>0.33667025214421992</v>
      </c>
      <c r="O33" s="582">
        <f>'Revenue matching'!O134</f>
        <v>0</v>
      </c>
      <c r="P33" s="582">
        <f>'Revenue matching'!P134</f>
        <v>0.33667025214421992</v>
      </c>
      <c r="Q33" s="582">
        <f>'Revenue matching'!Q134</f>
        <v>0.33667025214421992</v>
      </c>
      <c r="R33" s="582">
        <f>'Revenue matching'!R134</f>
        <v>0.33667025214421992</v>
      </c>
      <c r="S33" s="582">
        <f>'Revenue matching'!S134</f>
        <v>0.33667025214421992</v>
      </c>
      <c r="T33" s="582">
        <f>'Revenue matching'!T134</f>
        <v>0.33667025214421992</v>
      </c>
      <c r="U33" s="582">
        <f>'Revenue matching'!U134</f>
        <v>0.33667025214421992</v>
      </c>
      <c r="V33" s="582">
        <f>'Revenue matching'!V134</f>
        <v>0.33667025214421992</v>
      </c>
      <c r="W33" s="582">
        <f>'Revenue matching'!W134</f>
        <v>0.33667025214421992</v>
      </c>
      <c r="X33" s="582">
        <f>'Revenue matching'!X134</f>
        <v>0</v>
      </c>
      <c r="Y33" s="582">
        <f>'Revenue matching'!Y134</f>
        <v>0</v>
      </c>
      <c r="Z33" s="582">
        <f>'Revenue matching'!Z134</f>
        <v>0</v>
      </c>
      <c r="AA33" s="582">
        <f>'Revenue matching'!AA134</f>
        <v>0</v>
      </c>
      <c r="AB33" s="582">
        <f>'Revenue matching'!AB134</f>
        <v>0.33667025214421992</v>
      </c>
      <c r="AC33" s="582">
        <f>'Revenue matching'!AC134</f>
        <v>0</v>
      </c>
      <c r="AD33" s="582">
        <f>'Revenue matching'!AD134</f>
        <v>0</v>
      </c>
      <c r="AE33" s="582">
        <f>'Revenue matching'!AE134</f>
        <v>0</v>
      </c>
      <c r="AF33" s="582">
        <f>'Revenue matching'!AF134</f>
        <v>0</v>
      </c>
      <c r="AG33" s="582">
        <f>'Revenue matching'!AG134</f>
        <v>0</v>
      </c>
      <c r="AH33" s="582">
        <f>'Revenue matching'!AH134</f>
        <v>0</v>
      </c>
      <c r="AI33" s="582">
        <f>'Revenue matching'!AI134</f>
        <v>0</v>
      </c>
      <c r="AJ33" s="582">
        <f>'Revenue matching'!AJ134</f>
        <v>0</v>
      </c>
      <c r="AK33" s="582">
        <f>'Revenue matching'!AK134</f>
        <v>0</v>
      </c>
      <c r="AL33" s="582">
        <f>'Revenue matching'!AL134</f>
        <v>0</v>
      </c>
      <c r="AM33" s="582">
        <f>'Revenue matching'!AM134</f>
        <v>0</v>
      </c>
      <c r="AN33" s="582">
        <f>'Revenue matching'!AN134</f>
        <v>0</v>
      </c>
      <c r="AO33" s="582">
        <f>'Revenue matching'!AO134</f>
        <v>0</v>
      </c>
      <c r="AP33" s="582">
        <f>'Revenue matching'!AP134</f>
        <v>0</v>
      </c>
      <c r="AQ33" s="571"/>
      <c r="AR33" s="571"/>
    </row>
    <row r="34" spans="3:44" x14ac:dyDescent="0.25">
      <c r="E34" s="89"/>
      <c r="F34" s="66" t="s">
        <v>153</v>
      </c>
      <c r="G34" s="90" t="s">
        <v>201</v>
      </c>
      <c r="H34" s="582"/>
      <c r="I34" s="572"/>
      <c r="J34" s="582">
        <f>'Revenue matching'!J135</f>
        <v>0</v>
      </c>
      <c r="K34" s="582">
        <f>'Revenue matching'!K135</f>
        <v>0</v>
      </c>
      <c r="L34" s="582">
        <f>'Revenue matching'!L135</f>
        <v>0</v>
      </c>
      <c r="M34" s="582">
        <f>'Revenue matching'!M135</f>
        <v>0</v>
      </c>
      <c r="N34" s="582">
        <f>'Revenue matching'!N135</f>
        <v>0</v>
      </c>
      <c r="O34" s="582">
        <f>'Revenue matching'!O135</f>
        <v>0</v>
      </c>
      <c r="P34" s="582">
        <f>'Revenue matching'!P135</f>
        <v>0</v>
      </c>
      <c r="Q34" s="582">
        <f>'Revenue matching'!Q135</f>
        <v>0</v>
      </c>
      <c r="R34" s="582">
        <f>'Revenue matching'!R135</f>
        <v>0</v>
      </c>
      <c r="S34" s="582">
        <f>'Revenue matching'!S135</f>
        <v>0.33667025214421992</v>
      </c>
      <c r="T34" s="582">
        <f>'Revenue matching'!T135</f>
        <v>0.33667025214421992</v>
      </c>
      <c r="U34" s="582">
        <f>'Revenue matching'!U135</f>
        <v>0.33667025214421992</v>
      </c>
      <c r="V34" s="582">
        <f>'Revenue matching'!V135</f>
        <v>0.33667025214421992</v>
      </c>
      <c r="W34" s="582">
        <f>'Revenue matching'!W135</f>
        <v>0.33667025214421992</v>
      </c>
      <c r="X34" s="582">
        <f>'Revenue matching'!X135</f>
        <v>0</v>
      </c>
      <c r="Y34" s="582">
        <f>'Revenue matching'!Y135</f>
        <v>0</v>
      </c>
      <c r="Z34" s="582">
        <f>'Revenue matching'!Z135</f>
        <v>0</v>
      </c>
      <c r="AA34" s="582">
        <f>'Revenue matching'!AA135</f>
        <v>0</v>
      </c>
      <c r="AB34" s="582">
        <f>'Revenue matching'!AB135</f>
        <v>0.33667025214421992</v>
      </c>
      <c r="AC34" s="582">
        <f>'Revenue matching'!AC135</f>
        <v>0</v>
      </c>
      <c r="AD34" s="582">
        <f>'Revenue matching'!AD135</f>
        <v>0</v>
      </c>
      <c r="AE34" s="582">
        <f>'Revenue matching'!AE135</f>
        <v>0</v>
      </c>
      <c r="AF34" s="582">
        <f>'Revenue matching'!AF135</f>
        <v>0</v>
      </c>
      <c r="AG34" s="582">
        <f>'Revenue matching'!AG135</f>
        <v>0</v>
      </c>
      <c r="AH34" s="582">
        <f>'Revenue matching'!AH135</f>
        <v>0</v>
      </c>
      <c r="AI34" s="582">
        <f>'Revenue matching'!AI135</f>
        <v>0</v>
      </c>
      <c r="AJ34" s="582">
        <f>'Revenue matching'!AJ135</f>
        <v>0</v>
      </c>
      <c r="AK34" s="582">
        <f>'Revenue matching'!AK135</f>
        <v>0</v>
      </c>
      <c r="AL34" s="582">
        <f>'Revenue matching'!AL135</f>
        <v>0</v>
      </c>
      <c r="AM34" s="582">
        <f>'Revenue matching'!AM135</f>
        <v>0</v>
      </c>
      <c r="AN34" s="582">
        <f>'Revenue matching'!AN135</f>
        <v>0</v>
      </c>
      <c r="AO34" s="582">
        <f>'Revenue matching'!AO135</f>
        <v>0</v>
      </c>
      <c r="AP34" s="582">
        <f>'Revenue matching'!AP135</f>
        <v>0</v>
      </c>
      <c r="AQ34" s="571"/>
      <c r="AR34" s="571"/>
    </row>
    <row r="35" spans="3:44" x14ac:dyDescent="0.25">
      <c r="E35" s="89"/>
      <c r="F35" s="66" t="s">
        <v>384</v>
      </c>
      <c r="G35" s="90" t="s">
        <v>382</v>
      </c>
      <c r="H35" s="205"/>
      <c r="I35" s="90"/>
      <c r="J35" s="403"/>
      <c r="K35" s="403"/>
      <c r="L35" s="403"/>
      <c r="M35" s="403"/>
      <c r="N35" s="403"/>
      <c r="O35" s="403"/>
      <c r="P35" s="403"/>
      <c r="Q35" s="403"/>
      <c r="R35" s="403"/>
      <c r="S35" s="403"/>
      <c r="T35" s="403"/>
      <c r="U35" s="403"/>
      <c r="V35" s="403"/>
      <c r="W35" s="403"/>
      <c r="X35" s="403"/>
      <c r="Y35" s="403"/>
      <c r="Z35" s="403"/>
      <c r="AA35" s="403"/>
      <c r="AB35" s="403"/>
      <c r="AC35" s="403"/>
      <c r="AD35" s="403"/>
      <c r="AE35" s="403"/>
      <c r="AF35" s="403"/>
      <c r="AG35" s="403"/>
      <c r="AH35" s="403"/>
      <c r="AI35" s="403"/>
      <c r="AJ35" s="403"/>
      <c r="AK35" s="403"/>
      <c r="AL35" s="403"/>
      <c r="AM35" s="403"/>
      <c r="AN35" s="403"/>
      <c r="AO35" s="403"/>
      <c r="AP35" s="403"/>
    </row>
    <row r="36" spans="3:44" x14ac:dyDescent="0.25">
      <c r="E36" s="89"/>
      <c r="F36" s="66" t="s">
        <v>385</v>
      </c>
      <c r="G36" s="90" t="s">
        <v>381</v>
      </c>
      <c r="H36" s="205"/>
      <c r="I36" s="90"/>
      <c r="J36" s="403"/>
      <c r="K36" s="403"/>
      <c r="L36" s="403"/>
      <c r="M36" s="403"/>
      <c r="N36" s="403"/>
      <c r="O36" s="403"/>
      <c r="P36" s="403"/>
      <c r="Q36" s="403"/>
      <c r="R36" s="403"/>
      <c r="S36" s="403"/>
      <c r="T36" s="403"/>
      <c r="U36" s="403"/>
      <c r="V36" s="403"/>
      <c r="W36" s="403"/>
      <c r="X36" s="403"/>
      <c r="Y36" s="403"/>
      <c r="Z36" s="403"/>
      <c r="AA36" s="403"/>
      <c r="AB36" s="403"/>
      <c r="AC36" s="403"/>
      <c r="AD36" s="403"/>
      <c r="AE36" s="403"/>
      <c r="AF36" s="403"/>
      <c r="AG36" s="403"/>
      <c r="AH36" s="403"/>
      <c r="AI36" s="403"/>
      <c r="AJ36" s="403"/>
      <c r="AK36" s="403"/>
      <c r="AL36" s="403"/>
      <c r="AM36" s="403"/>
      <c r="AN36" s="403"/>
      <c r="AO36" s="403"/>
      <c r="AP36" s="403"/>
    </row>
    <row r="37" spans="3:44" x14ac:dyDescent="0.25">
      <c r="E37" s="89"/>
      <c r="F37" s="66" t="s">
        <v>386</v>
      </c>
      <c r="G37" s="90" t="s">
        <v>381</v>
      </c>
      <c r="H37" s="205"/>
      <c r="I37" s="90"/>
      <c r="J37" s="403"/>
      <c r="K37" s="403"/>
      <c r="L37" s="403"/>
      <c r="M37" s="403"/>
      <c r="N37" s="403"/>
      <c r="O37" s="403"/>
      <c r="P37" s="403"/>
      <c r="Q37" s="403"/>
      <c r="R37" s="403"/>
      <c r="S37" s="403"/>
      <c r="T37" s="403"/>
      <c r="U37" s="403"/>
      <c r="V37" s="403"/>
      <c r="W37" s="403"/>
      <c r="X37" s="403"/>
      <c r="Y37" s="403"/>
      <c r="Z37" s="403"/>
      <c r="AA37" s="403"/>
      <c r="AB37" s="403"/>
      <c r="AC37" s="403"/>
      <c r="AD37" s="403"/>
      <c r="AE37" s="403"/>
      <c r="AF37" s="403"/>
      <c r="AG37" s="403"/>
      <c r="AH37" s="403"/>
      <c r="AI37" s="403"/>
      <c r="AJ37" s="403"/>
      <c r="AK37" s="403"/>
      <c r="AL37" s="403"/>
      <c r="AM37" s="403"/>
      <c r="AN37" s="403"/>
      <c r="AO37" s="403"/>
      <c r="AP37" s="403"/>
    </row>
    <row r="38" spans="3:44" x14ac:dyDescent="0.25">
      <c r="E38" s="89"/>
      <c r="F38" s="67" t="s">
        <v>387</v>
      </c>
      <c r="G38" s="16" t="s">
        <v>388</v>
      </c>
      <c r="H38" s="588"/>
      <c r="I38" s="574"/>
      <c r="J38" s="579"/>
      <c r="K38" s="579"/>
      <c r="L38" s="579"/>
      <c r="M38" s="579"/>
      <c r="N38" s="579"/>
      <c r="O38" s="579"/>
      <c r="P38" s="579"/>
      <c r="Q38" s="579"/>
      <c r="R38" s="579"/>
      <c r="S38" s="579"/>
      <c r="T38" s="579"/>
      <c r="U38" s="579"/>
      <c r="V38" s="579"/>
      <c r="W38" s="579"/>
      <c r="X38" s="579"/>
      <c r="Y38" s="579"/>
      <c r="Z38" s="579"/>
      <c r="AA38" s="579"/>
      <c r="AB38" s="579"/>
      <c r="AC38" s="579"/>
      <c r="AD38" s="579"/>
      <c r="AE38" s="579"/>
      <c r="AF38" s="579"/>
      <c r="AG38" s="579"/>
      <c r="AH38" s="579"/>
      <c r="AI38" s="579"/>
      <c r="AJ38" s="579"/>
      <c r="AK38" s="579"/>
      <c r="AL38" s="579"/>
      <c r="AM38" s="579"/>
      <c r="AN38" s="579"/>
      <c r="AO38" s="579"/>
      <c r="AP38" s="579"/>
      <c r="AQ38" s="571"/>
      <c r="AR38" s="571"/>
    </row>
    <row r="39" spans="3:44" x14ac:dyDescent="0.25">
      <c r="D39" s="89"/>
      <c r="E39" s="88"/>
      <c r="F39" s="160"/>
    </row>
    <row r="40" spans="3:44" s="338" customFormat="1" x14ac:dyDescent="0.25">
      <c r="C40" s="22" t="str">
        <f ca="1">INDEX('Version control'!$H$34:$H$59,MATCH($A$1,'Version control'!$F$34:$F$59,0),1)&amp;"-C: LDNO discounts"</f>
        <v>Section 519-C: LDNO discounts</v>
      </c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</row>
    <row r="41" spans="3:44" s="338" customFormat="1" x14ac:dyDescent="0.25">
      <c r="D41" s="175"/>
      <c r="E41" s="175"/>
    </row>
    <row r="42" spans="3:44" s="160" customFormat="1" x14ac:dyDescent="0.25">
      <c r="E42" s="161" t="s">
        <v>620</v>
      </c>
      <c r="I42" s="160" t="s">
        <v>525</v>
      </c>
      <c r="AR42" s="474" t="s">
        <v>1196</v>
      </c>
    </row>
    <row r="43" spans="3:44" s="160" customFormat="1" x14ac:dyDescent="0.25">
      <c r="E43" s="161"/>
      <c r="F43" s="180" t="s">
        <v>151</v>
      </c>
      <c r="G43" s="166" t="s">
        <v>111</v>
      </c>
      <c r="H43" s="253"/>
      <c r="I43" s="166"/>
      <c r="J43" s="187">
        <f>'Volume adjustments'!J$62</f>
        <v>0.34755258472512618</v>
      </c>
      <c r="K43" s="187">
        <f>'Volume adjustments'!K$62</f>
        <v>0.34755258472512618</v>
      </c>
      <c r="L43" s="187">
        <f>'Volume adjustments'!L$62</f>
        <v>0.34755258472512618</v>
      </c>
      <c r="M43" s="187">
        <f>'Volume adjustments'!M$62</f>
        <v>0.34755258472512618</v>
      </c>
      <c r="N43" s="187">
        <f>'Volume adjustments'!N$62</f>
        <v>0.34755258472512618</v>
      </c>
      <c r="O43" s="187">
        <f>'Volume adjustments'!O$62</f>
        <v>0.34755258472512618</v>
      </c>
      <c r="P43" s="187">
        <f>'Volume adjustments'!P$62</f>
        <v>0.34755258472512618</v>
      </c>
      <c r="Q43" s="187">
        <f>'Volume adjustments'!Q$62</f>
        <v>0</v>
      </c>
      <c r="R43" s="187">
        <f>'Volume adjustments'!R$62</f>
        <v>0</v>
      </c>
      <c r="S43" s="187">
        <f>'Volume adjustments'!S$62</f>
        <v>0.34755258472512618</v>
      </c>
      <c r="T43" s="187">
        <f>'Volume adjustments'!T$62</f>
        <v>0.34755258472512618</v>
      </c>
      <c r="U43" s="187">
        <f>'Volume adjustments'!U$62</f>
        <v>0.34755258472512618</v>
      </c>
      <c r="V43" s="187">
        <f>'Volume adjustments'!V$62</f>
        <v>0</v>
      </c>
      <c r="W43" s="187">
        <f>'Volume adjustments'!W$62</f>
        <v>0</v>
      </c>
      <c r="X43" s="187">
        <f>'Volume adjustments'!X$62</f>
        <v>0.34755258472512618</v>
      </c>
      <c r="Y43" s="187">
        <f>'Volume adjustments'!Y$62</f>
        <v>0.34755258472512618</v>
      </c>
      <c r="Z43" s="187">
        <f>'Volume adjustments'!Z$62</f>
        <v>0.34755258472512618</v>
      </c>
      <c r="AA43" s="187">
        <f>'Volume adjustments'!AA$62</f>
        <v>0.34755258472512618</v>
      </c>
      <c r="AB43" s="187">
        <f>'Volume adjustments'!AB$62</f>
        <v>0.34755258472512618</v>
      </c>
      <c r="AC43" s="187">
        <f>'Volume adjustments'!AC$62</f>
        <v>0</v>
      </c>
      <c r="AD43" s="187">
        <f>'Volume adjustments'!AD$62</f>
        <v>0</v>
      </c>
      <c r="AE43" s="187">
        <f>'Volume adjustments'!AE$62</f>
        <v>0</v>
      </c>
      <c r="AF43" s="187">
        <f>'Volume adjustments'!AF$62</f>
        <v>0</v>
      </c>
      <c r="AG43" s="187">
        <f>'Volume adjustments'!AG$62</f>
        <v>0</v>
      </c>
      <c r="AH43" s="187">
        <f>'Volume adjustments'!AH$62</f>
        <v>0</v>
      </c>
      <c r="AI43" s="187">
        <f>'Volume adjustments'!AI$62</f>
        <v>0</v>
      </c>
      <c r="AJ43" s="187">
        <f>'Volume adjustments'!AJ$62</f>
        <v>0</v>
      </c>
      <c r="AK43" s="187">
        <f>'Volume adjustments'!AK$62</f>
        <v>0</v>
      </c>
      <c r="AL43" s="187">
        <f>'Volume adjustments'!AL$62</f>
        <v>0</v>
      </c>
      <c r="AM43" s="187">
        <f>'Volume adjustments'!AM$62</f>
        <v>0</v>
      </c>
      <c r="AN43" s="187">
        <f>'Volume adjustments'!AN$62</f>
        <v>0</v>
      </c>
      <c r="AO43" s="187">
        <f>'Volume adjustments'!AO$62</f>
        <v>0</v>
      </c>
      <c r="AP43" s="187">
        <f>'Volume adjustments'!AP$62</f>
        <v>0</v>
      </c>
    </row>
    <row r="44" spans="3:44" s="160" customFormat="1" x14ac:dyDescent="0.25">
      <c r="E44" s="161"/>
      <c r="F44" s="176" t="s">
        <v>152</v>
      </c>
      <c r="G44" s="167" t="s">
        <v>111</v>
      </c>
      <c r="H44" s="205"/>
      <c r="I44" s="167"/>
      <c r="J44" s="181">
        <f>'Volume adjustments'!J$73</f>
        <v>0.34755258472512618</v>
      </c>
      <c r="K44" s="181">
        <f>'Volume adjustments'!K$73</f>
        <v>0.34755258472512618</v>
      </c>
      <c r="L44" s="181">
        <f>'Volume adjustments'!L$73</f>
        <v>0.34755258472512618</v>
      </c>
      <c r="M44" s="181">
        <f>'Volume adjustments'!M$73</f>
        <v>0.34755258472512618</v>
      </c>
      <c r="N44" s="181">
        <f>'Volume adjustments'!N$73</f>
        <v>0.34755258472512618</v>
      </c>
      <c r="O44" s="181">
        <f>'Volume adjustments'!O$73</f>
        <v>0.34755258472512618</v>
      </c>
      <c r="P44" s="181">
        <f>'Volume adjustments'!P$73</f>
        <v>0.34755258472512618</v>
      </c>
      <c r="Q44" s="181">
        <f>'Volume adjustments'!Q$73</f>
        <v>0</v>
      </c>
      <c r="R44" s="181">
        <f>'Volume adjustments'!R$73</f>
        <v>0</v>
      </c>
      <c r="S44" s="181">
        <f>'Volume adjustments'!S$73</f>
        <v>0.34755258472512618</v>
      </c>
      <c r="T44" s="181">
        <f>'Volume adjustments'!T$73</f>
        <v>0.34755258472512618</v>
      </c>
      <c r="U44" s="181">
        <f>'Volume adjustments'!U$73</f>
        <v>0.34755258472512618</v>
      </c>
      <c r="V44" s="181">
        <f>'Volume adjustments'!V$73</f>
        <v>0</v>
      </c>
      <c r="W44" s="181">
        <f>'Volume adjustments'!W$73</f>
        <v>0</v>
      </c>
      <c r="X44" s="181">
        <f>'Volume adjustments'!X$73</f>
        <v>0.34755258472512618</v>
      </c>
      <c r="Y44" s="181">
        <f>'Volume adjustments'!Y$73</f>
        <v>0.34755258472512618</v>
      </c>
      <c r="Z44" s="181">
        <f>'Volume adjustments'!Z$73</f>
        <v>0.34755258472512618</v>
      </c>
      <c r="AA44" s="181">
        <f>'Volume adjustments'!AA$73</f>
        <v>0.34755258472512618</v>
      </c>
      <c r="AB44" s="181">
        <f>'Volume adjustments'!AB$73</f>
        <v>0.34755258472512618</v>
      </c>
      <c r="AC44" s="181">
        <f>'Volume adjustments'!AC$73</f>
        <v>0</v>
      </c>
      <c r="AD44" s="181">
        <f>'Volume adjustments'!AD$73</f>
        <v>0</v>
      </c>
      <c r="AE44" s="181">
        <f>'Volume adjustments'!AE$73</f>
        <v>0</v>
      </c>
      <c r="AF44" s="181">
        <f>'Volume adjustments'!AF$73</f>
        <v>0</v>
      </c>
      <c r="AG44" s="181">
        <f>'Volume adjustments'!AG$73</f>
        <v>0</v>
      </c>
      <c r="AH44" s="181">
        <f>'Volume adjustments'!AH$73</f>
        <v>0</v>
      </c>
      <c r="AI44" s="181">
        <f>'Volume adjustments'!AI$73</f>
        <v>0</v>
      </c>
      <c r="AJ44" s="181">
        <f>'Volume adjustments'!AJ$73</f>
        <v>0</v>
      </c>
      <c r="AK44" s="181">
        <f>'Volume adjustments'!AK$73</f>
        <v>0</v>
      </c>
      <c r="AL44" s="181">
        <f>'Volume adjustments'!AL$73</f>
        <v>0</v>
      </c>
      <c r="AM44" s="181">
        <f>'Volume adjustments'!AM$73</f>
        <v>0</v>
      </c>
      <c r="AN44" s="181">
        <f>'Volume adjustments'!AN$73</f>
        <v>0</v>
      </c>
      <c r="AO44" s="181">
        <f>'Volume adjustments'!AO$73</f>
        <v>0</v>
      </c>
      <c r="AP44" s="181">
        <f>'Volume adjustments'!AP$73</f>
        <v>0</v>
      </c>
    </row>
    <row r="45" spans="3:44" s="160" customFormat="1" x14ac:dyDescent="0.25">
      <c r="E45" s="161"/>
      <c r="F45" s="176" t="s">
        <v>153</v>
      </c>
      <c r="G45" s="167" t="s">
        <v>111</v>
      </c>
      <c r="H45" s="205"/>
      <c r="I45" s="167"/>
      <c r="J45" s="181">
        <f>'Volume adjustments'!J$84</f>
        <v>0.34755258472512618</v>
      </c>
      <c r="K45" s="181">
        <f>'Volume adjustments'!K$84</f>
        <v>0.34755258472512618</v>
      </c>
      <c r="L45" s="181">
        <f>'Volume adjustments'!L$84</f>
        <v>0.34755258472512618</v>
      </c>
      <c r="M45" s="181">
        <f>'Volume adjustments'!M$84</f>
        <v>0.34755258472512618</v>
      </c>
      <c r="N45" s="181">
        <f>'Volume adjustments'!N$84</f>
        <v>0.34755258472512618</v>
      </c>
      <c r="O45" s="181">
        <f>'Volume adjustments'!O$84</f>
        <v>0.34755258472512618</v>
      </c>
      <c r="P45" s="181">
        <f>'Volume adjustments'!P$84</f>
        <v>0.34755258472512618</v>
      </c>
      <c r="Q45" s="181">
        <f>'Volume adjustments'!Q$84</f>
        <v>0</v>
      </c>
      <c r="R45" s="181">
        <f>'Volume adjustments'!R$84</f>
        <v>0</v>
      </c>
      <c r="S45" s="181">
        <f>'Volume adjustments'!S$84</f>
        <v>0.34755258472512618</v>
      </c>
      <c r="T45" s="181">
        <f>'Volume adjustments'!T$84</f>
        <v>0.34755258472512618</v>
      </c>
      <c r="U45" s="181">
        <f>'Volume adjustments'!U$84</f>
        <v>0.34755258472512618</v>
      </c>
      <c r="V45" s="181">
        <f>'Volume adjustments'!V$84</f>
        <v>0</v>
      </c>
      <c r="W45" s="181">
        <f>'Volume adjustments'!W$84</f>
        <v>0</v>
      </c>
      <c r="X45" s="181">
        <f>'Volume adjustments'!X$84</f>
        <v>0.34755258472512618</v>
      </c>
      <c r="Y45" s="181">
        <f>'Volume adjustments'!Y$84</f>
        <v>0.34755258472512618</v>
      </c>
      <c r="Z45" s="181">
        <f>'Volume adjustments'!Z$84</f>
        <v>0.34755258472512618</v>
      </c>
      <c r="AA45" s="181">
        <f>'Volume adjustments'!AA$84</f>
        <v>0.34755258472512618</v>
      </c>
      <c r="AB45" s="181">
        <f>'Volume adjustments'!AB$84</f>
        <v>0.34755258472512618</v>
      </c>
      <c r="AC45" s="181">
        <f>'Volume adjustments'!AC$84</f>
        <v>0</v>
      </c>
      <c r="AD45" s="181">
        <f>'Volume adjustments'!AD$84</f>
        <v>0</v>
      </c>
      <c r="AE45" s="181">
        <f>'Volume adjustments'!AE$84</f>
        <v>0</v>
      </c>
      <c r="AF45" s="181">
        <f>'Volume adjustments'!AF$84</f>
        <v>0</v>
      </c>
      <c r="AG45" s="181">
        <f>'Volume adjustments'!AG$84</f>
        <v>0</v>
      </c>
      <c r="AH45" s="181">
        <f>'Volume adjustments'!AH$84</f>
        <v>0</v>
      </c>
      <c r="AI45" s="181">
        <f>'Volume adjustments'!AI$84</f>
        <v>0</v>
      </c>
      <c r="AJ45" s="181">
        <f>'Volume adjustments'!AJ$84</f>
        <v>0</v>
      </c>
      <c r="AK45" s="181">
        <f>'Volume adjustments'!AK$84</f>
        <v>0</v>
      </c>
      <c r="AL45" s="181">
        <f>'Volume adjustments'!AL$84</f>
        <v>0</v>
      </c>
      <c r="AM45" s="181">
        <f>'Volume adjustments'!AM$84</f>
        <v>0</v>
      </c>
      <c r="AN45" s="181">
        <f>'Volume adjustments'!AN$84</f>
        <v>0</v>
      </c>
      <c r="AO45" s="181">
        <f>'Volume adjustments'!AO$84</f>
        <v>0</v>
      </c>
      <c r="AP45" s="181">
        <f>'Volume adjustments'!AP$84</f>
        <v>0</v>
      </c>
    </row>
    <row r="46" spans="3:44" s="160" customFormat="1" x14ac:dyDescent="0.25">
      <c r="E46" s="161"/>
      <c r="F46" s="176" t="s">
        <v>384</v>
      </c>
      <c r="G46" s="167" t="s">
        <v>111</v>
      </c>
      <c r="H46" s="205"/>
      <c r="I46" s="167"/>
      <c r="J46" s="181">
        <f>'Volume adjustments'!J$99</f>
        <v>0.34755258472512618</v>
      </c>
      <c r="K46" s="181">
        <f>'Volume adjustments'!K$99</f>
        <v>0.34755258472512618</v>
      </c>
      <c r="L46" s="181">
        <f>'Volume adjustments'!L$99</f>
        <v>0.34755258472512618</v>
      </c>
      <c r="M46" s="181">
        <f>'Volume adjustments'!M$99</f>
        <v>0.34755258472512618</v>
      </c>
      <c r="N46" s="181">
        <f>'Volume adjustments'!N$99</f>
        <v>0.34755258472512618</v>
      </c>
      <c r="O46" s="181">
        <f>'Volume adjustments'!O$99</f>
        <v>0.34755258472512618</v>
      </c>
      <c r="P46" s="181">
        <f>'Volume adjustments'!P$99</f>
        <v>0.34755258472512618</v>
      </c>
      <c r="Q46" s="181">
        <f>'Volume adjustments'!Q$99</f>
        <v>0</v>
      </c>
      <c r="R46" s="181">
        <f>'Volume adjustments'!R$99</f>
        <v>0</v>
      </c>
      <c r="S46" s="181">
        <f>'Volume adjustments'!S$99</f>
        <v>0.34755258472512618</v>
      </c>
      <c r="T46" s="181">
        <f>'Volume adjustments'!T$99</f>
        <v>0.34755258472512618</v>
      </c>
      <c r="U46" s="181">
        <f>'Volume adjustments'!U$99</f>
        <v>0.34755258472512618</v>
      </c>
      <c r="V46" s="181">
        <f>'Volume adjustments'!V$99</f>
        <v>0</v>
      </c>
      <c r="W46" s="181">
        <f>'Volume adjustments'!W$99</f>
        <v>0</v>
      </c>
      <c r="X46" s="181">
        <f>'Volume adjustments'!X$99</f>
        <v>0.34755258472512618</v>
      </c>
      <c r="Y46" s="181">
        <f>'Volume adjustments'!Y$99</f>
        <v>0.34755258472512618</v>
      </c>
      <c r="Z46" s="181">
        <f>'Volume adjustments'!Z$99</f>
        <v>0.34755258472512618</v>
      </c>
      <c r="AA46" s="181">
        <f>'Volume adjustments'!AA$99</f>
        <v>0.34755258472512618</v>
      </c>
      <c r="AB46" s="181">
        <f>'Volume adjustments'!AB$99</f>
        <v>0.34755258472512618</v>
      </c>
      <c r="AC46" s="181">
        <f>'Volume adjustments'!AC$99</f>
        <v>1</v>
      </c>
      <c r="AD46" s="181">
        <f>'Volume adjustments'!AD$99</f>
        <v>1</v>
      </c>
      <c r="AE46" s="181">
        <f>'Volume adjustments'!AE$99</f>
        <v>1</v>
      </c>
      <c r="AF46" s="181">
        <f>'Volume adjustments'!AF$99</f>
        <v>1</v>
      </c>
      <c r="AG46" s="181">
        <f>'Volume adjustments'!AG$99</f>
        <v>1</v>
      </c>
      <c r="AH46" s="181">
        <f>'Volume adjustments'!AH$99</f>
        <v>1</v>
      </c>
      <c r="AI46" s="181">
        <f>'Volume adjustments'!AI$99</f>
        <v>1</v>
      </c>
      <c r="AJ46" s="181">
        <f>'Volume adjustments'!AJ$99</f>
        <v>1</v>
      </c>
      <c r="AK46" s="181">
        <f>'Volume adjustments'!AK$99</f>
        <v>1</v>
      </c>
      <c r="AL46" s="181">
        <f>'Volume adjustments'!AL$99</f>
        <v>1</v>
      </c>
      <c r="AM46" s="181">
        <f>'Volume adjustments'!AM$99</f>
        <v>1</v>
      </c>
      <c r="AN46" s="181">
        <f>'Volume adjustments'!AN$99</f>
        <v>1</v>
      </c>
      <c r="AO46" s="181">
        <f>'Volume adjustments'!AO$99</f>
        <v>1</v>
      </c>
      <c r="AP46" s="181">
        <f>'Volume adjustments'!AP$99</f>
        <v>1</v>
      </c>
    </row>
    <row r="47" spans="3:44" s="160" customFormat="1" x14ac:dyDescent="0.25">
      <c r="E47" s="161"/>
      <c r="F47" s="176" t="s">
        <v>385</v>
      </c>
      <c r="G47" s="167" t="s">
        <v>111</v>
      </c>
      <c r="H47" s="205"/>
      <c r="I47" s="167"/>
      <c r="J47" s="181">
        <f>'Volume adjustments'!J$110</f>
        <v>0.34755258472512618</v>
      </c>
      <c r="K47" s="181">
        <f>'Volume adjustments'!K$110</f>
        <v>0.34755258472512618</v>
      </c>
      <c r="L47" s="181">
        <f>'Volume adjustments'!L$110</f>
        <v>0.34755258472512618</v>
      </c>
      <c r="M47" s="181">
        <f>'Volume adjustments'!M$110</f>
        <v>0.34755258472512618</v>
      </c>
      <c r="N47" s="181">
        <f>'Volume adjustments'!N$110</f>
        <v>0.34755258472512618</v>
      </c>
      <c r="O47" s="181">
        <f>'Volume adjustments'!O$110</f>
        <v>0.34755258472512618</v>
      </c>
      <c r="P47" s="181">
        <f>'Volume adjustments'!P$110</f>
        <v>0.34755258472512618</v>
      </c>
      <c r="Q47" s="181">
        <f>'Volume adjustments'!Q$110</f>
        <v>0</v>
      </c>
      <c r="R47" s="181">
        <f>'Volume adjustments'!R$110</f>
        <v>0</v>
      </c>
      <c r="S47" s="181">
        <f>'Volume adjustments'!S$110</f>
        <v>0.34755258472512618</v>
      </c>
      <c r="T47" s="181">
        <f>'Volume adjustments'!T$110</f>
        <v>0.34755258472512618</v>
      </c>
      <c r="U47" s="181">
        <f>'Volume adjustments'!U$110</f>
        <v>0.34755258472512618</v>
      </c>
      <c r="V47" s="181">
        <f>'Volume adjustments'!V$110</f>
        <v>0</v>
      </c>
      <c r="W47" s="181">
        <f>'Volume adjustments'!W$110</f>
        <v>0</v>
      </c>
      <c r="X47" s="181">
        <f>'Volume adjustments'!X$110</f>
        <v>0.34755258472512618</v>
      </c>
      <c r="Y47" s="181">
        <f>'Volume adjustments'!Y$110</f>
        <v>0.34755258472512618</v>
      </c>
      <c r="Z47" s="181">
        <f>'Volume adjustments'!Z$110</f>
        <v>0.34755258472512618</v>
      </c>
      <c r="AA47" s="181">
        <f>'Volume adjustments'!AA$110</f>
        <v>0.34755258472512618</v>
      </c>
      <c r="AB47" s="181">
        <f>'Volume adjustments'!AB$110</f>
        <v>0.34755258472512618</v>
      </c>
      <c r="AC47" s="181">
        <f>'Volume adjustments'!AC$110</f>
        <v>0</v>
      </c>
      <c r="AD47" s="181">
        <f>'Volume adjustments'!AD$110</f>
        <v>0</v>
      </c>
      <c r="AE47" s="181">
        <f>'Volume adjustments'!AE$110</f>
        <v>0</v>
      </c>
      <c r="AF47" s="181">
        <f>'Volume adjustments'!AF$110</f>
        <v>0</v>
      </c>
      <c r="AG47" s="181">
        <f>'Volume adjustments'!AG$110</f>
        <v>0</v>
      </c>
      <c r="AH47" s="181">
        <f>'Volume adjustments'!AH$110</f>
        <v>0</v>
      </c>
      <c r="AI47" s="181">
        <f>'Volume adjustments'!AI$110</f>
        <v>0</v>
      </c>
      <c r="AJ47" s="181">
        <f>'Volume adjustments'!AJ$110</f>
        <v>0</v>
      </c>
      <c r="AK47" s="181">
        <f>'Volume adjustments'!AK$110</f>
        <v>0</v>
      </c>
      <c r="AL47" s="181">
        <f>'Volume adjustments'!AL$110</f>
        <v>0</v>
      </c>
      <c r="AM47" s="181">
        <f>'Volume adjustments'!AM$110</f>
        <v>0</v>
      </c>
      <c r="AN47" s="181">
        <f>'Volume adjustments'!AN$110</f>
        <v>0</v>
      </c>
      <c r="AO47" s="181">
        <f>'Volume adjustments'!AO$110</f>
        <v>0</v>
      </c>
      <c r="AP47" s="181">
        <f>'Volume adjustments'!AP$110</f>
        <v>0</v>
      </c>
    </row>
    <row r="48" spans="3:44" s="160" customFormat="1" x14ac:dyDescent="0.25">
      <c r="E48" s="161"/>
      <c r="F48" s="176" t="s">
        <v>386</v>
      </c>
      <c r="G48" s="167" t="s">
        <v>111</v>
      </c>
      <c r="H48" s="205"/>
      <c r="I48" s="167"/>
      <c r="J48" s="181">
        <f>'Volume adjustments'!J$121</f>
        <v>0.34755258472512618</v>
      </c>
      <c r="K48" s="181">
        <f>'Volume adjustments'!K$121</f>
        <v>0.34755258472512618</v>
      </c>
      <c r="L48" s="181">
        <f>'Volume adjustments'!L$121</f>
        <v>0.34755258472512618</v>
      </c>
      <c r="M48" s="181">
        <f>'Volume adjustments'!M$121</f>
        <v>0.34755258472512618</v>
      </c>
      <c r="N48" s="181">
        <f>'Volume adjustments'!N$121</f>
        <v>0.34755258472512618</v>
      </c>
      <c r="O48" s="181">
        <f>'Volume adjustments'!O$121</f>
        <v>0.34755258472512618</v>
      </c>
      <c r="P48" s="181">
        <f>'Volume adjustments'!P$121</f>
        <v>0.34755258472512618</v>
      </c>
      <c r="Q48" s="181">
        <f>'Volume adjustments'!Q$121</f>
        <v>0</v>
      </c>
      <c r="R48" s="181">
        <f>'Volume adjustments'!R$121</f>
        <v>0</v>
      </c>
      <c r="S48" s="181">
        <f>'Volume adjustments'!S$121</f>
        <v>0.34755258472512618</v>
      </c>
      <c r="T48" s="181">
        <f>'Volume adjustments'!T$121</f>
        <v>0.34755258472512618</v>
      </c>
      <c r="U48" s="181">
        <f>'Volume adjustments'!U$121</f>
        <v>0.34755258472512618</v>
      </c>
      <c r="V48" s="181">
        <f>'Volume adjustments'!V$121</f>
        <v>0</v>
      </c>
      <c r="W48" s="181">
        <f>'Volume adjustments'!W$121</f>
        <v>0</v>
      </c>
      <c r="X48" s="181">
        <f>'Volume adjustments'!X$121</f>
        <v>0.34755258472512618</v>
      </c>
      <c r="Y48" s="181">
        <f>'Volume adjustments'!Y$121</f>
        <v>0.34755258472512618</v>
      </c>
      <c r="Z48" s="181">
        <f>'Volume adjustments'!Z$121</f>
        <v>0.34755258472512618</v>
      </c>
      <c r="AA48" s="181">
        <f>'Volume adjustments'!AA$121</f>
        <v>0.34755258472512618</v>
      </c>
      <c r="AB48" s="181">
        <f>'Volume adjustments'!AB$121</f>
        <v>0.34755258472512618</v>
      </c>
      <c r="AC48" s="181">
        <f>'Volume adjustments'!AC$121</f>
        <v>0</v>
      </c>
      <c r="AD48" s="181">
        <f>'Volume adjustments'!AD$121</f>
        <v>0</v>
      </c>
      <c r="AE48" s="181">
        <f>'Volume adjustments'!AE$121</f>
        <v>0</v>
      </c>
      <c r="AF48" s="181">
        <f>'Volume adjustments'!AF$121</f>
        <v>0</v>
      </c>
      <c r="AG48" s="181">
        <f>'Volume adjustments'!AG$121</f>
        <v>0</v>
      </c>
      <c r="AH48" s="181">
        <f>'Volume adjustments'!AH$121</f>
        <v>0</v>
      </c>
      <c r="AI48" s="181">
        <f>'Volume adjustments'!AI$121</f>
        <v>0</v>
      </c>
      <c r="AJ48" s="181">
        <f>'Volume adjustments'!AJ$121</f>
        <v>0</v>
      </c>
      <c r="AK48" s="181">
        <f>'Volume adjustments'!AK$121</f>
        <v>0</v>
      </c>
      <c r="AL48" s="181">
        <f>'Volume adjustments'!AL$121</f>
        <v>0</v>
      </c>
      <c r="AM48" s="181">
        <f>'Volume adjustments'!AM$121</f>
        <v>0</v>
      </c>
      <c r="AN48" s="181">
        <f>'Volume adjustments'!AN$121</f>
        <v>0</v>
      </c>
      <c r="AO48" s="181">
        <f>'Volume adjustments'!AO$121</f>
        <v>0</v>
      </c>
      <c r="AP48" s="181">
        <f>'Volume adjustments'!AP$121</f>
        <v>0</v>
      </c>
    </row>
    <row r="49" spans="3:44" s="160" customFormat="1" x14ac:dyDescent="0.25">
      <c r="E49" s="161"/>
      <c r="F49" s="177" t="s">
        <v>387</v>
      </c>
      <c r="G49" s="168" t="s">
        <v>111</v>
      </c>
      <c r="H49" s="208"/>
      <c r="I49" s="168"/>
      <c r="J49" s="182">
        <f>'Volume adjustments'!J$132</f>
        <v>0.34755258472512618</v>
      </c>
      <c r="K49" s="182">
        <f>'Volume adjustments'!K$132</f>
        <v>0.34755258472512618</v>
      </c>
      <c r="L49" s="182">
        <f>'Volume adjustments'!L$132</f>
        <v>0.34755258472512618</v>
      </c>
      <c r="M49" s="182">
        <f>'Volume adjustments'!M$132</f>
        <v>0.34755258472512618</v>
      </c>
      <c r="N49" s="182">
        <f>'Volume adjustments'!N$132</f>
        <v>0.34755258472512618</v>
      </c>
      <c r="O49" s="182">
        <f>'Volume adjustments'!O$132</f>
        <v>0.34755258472512618</v>
      </c>
      <c r="P49" s="182">
        <f>'Volume adjustments'!P$132</f>
        <v>0.34755258472512618</v>
      </c>
      <c r="Q49" s="182">
        <f>'Volume adjustments'!Q$132</f>
        <v>0</v>
      </c>
      <c r="R49" s="182">
        <f>'Volume adjustments'!R$132</f>
        <v>0</v>
      </c>
      <c r="S49" s="182">
        <f>'Volume adjustments'!S$132</f>
        <v>0.34755258472512618</v>
      </c>
      <c r="T49" s="182">
        <f>'Volume adjustments'!T$132</f>
        <v>0.34755258472512618</v>
      </c>
      <c r="U49" s="182">
        <f>'Volume adjustments'!U$132</f>
        <v>0.34755258472512618</v>
      </c>
      <c r="V49" s="182">
        <f>'Volume adjustments'!V$132</f>
        <v>0</v>
      </c>
      <c r="W49" s="182">
        <f>'Volume adjustments'!W$132</f>
        <v>0</v>
      </c>
      <c r="X49" s="182">
        <f>'Volume adjustments'!X$132</f>
        <v>0.34755258472512618</v>
      </c>
      <c r="Y49" s="182">
        <f>'Volume adjustments'!Y$132</f>
        <v>0.34755258472512618</v>
      </c>
      <c r="Z49" s="182">
        <f>'Volume adjustments'!Z$132</f>
        <v>0.34755258472512618</v>
      </c>
      <c r="AA49" s="182">
        <f>'Volume adjustments'!AA$132</f>
        <v>0.34755258472512618</v>
      </c>
      <c r="AB49" s="182">
        <f>'Volume adjustments'!AB$132</f>
        <v>0.34755258472512618</v>
      </c>
      <c r="AC49" s="182">
        <f>'Volume adjustments'!AC$132</f>
        <v>0</v>
      </c>
      <c r="AD49" s="182">
        <f>'Volume adjustments'!AD$132</f>
        <v>0</v>
      </c>
      <c r="AE49" s="182">
        <f>'Volume adjustments'!AE$132</f>
        <v>0</v>
      </c>
      <c r="AF49" s="182">
        <f>'Volume adjustments'!AF$132</f>
        <v>0</v>
      </c>
      <c r="AG49" s="182">
        <f>'Volume adjustments'!AG$132</f>
        <v>0</v>
      </c>
      <c r="AH49" s="182">
        <f>'Volume adjustments'!AH$132</f>
        <v>0</v>
      </c>
      <c r="AI49" s="182">
        <f>'Volume adjustments'!AI$132</f>
        <v>0</v>
      </c>
      <c r="AJ49" s="182">
        <f>'Volume adjustments'!AJ$132</f>
        <v>0</v>
      </c>
      <c r="AK49" s="182">
        <f>'Volume adjustments'!AK$132</f>
        <v>0</v>
      </c>
      <c r="AL49" s="182">
        <f>'Volume adjustments'!AL$132</f>
        <v>0</v>
      </c>
      <c r="AM49" s="182">
        <f>'Volume adjustments'!AM$132</f>
        <v>0</v>
      </c>
      <c r="AN49" s="182">
        <f>'Volume adjustments'!AN$132</f>
        <v>0</v>
      </c>
      <c r="AO49" s="182">
        <f>'Volume adjustments'!AO$132</f>
        <v>0</v>
      </c>
      <c r="AP49" s="182">
        <f>'Volume adjustments'!AP$132</f>
        <v>0</v>
      </c>
    </row>
    <row r="50" spans="3:44" s="160" customFormat="1" x14ac:dyDescent="0.25">
      <c r="D50" s="161"/>
    </row>
    <row r="51" spans="3:44" s="160" customFormat="1" x14ac:dyDescent="0.25">
      <c r="E51" s="161" t="s">
        <v>621</v>
      </c>
      <c r="I51" s="160" t="s">
        <v>525</v>
      </c>
      <c r="AR51" s="474" t="s">
        <v>1196</v>
      </c>
    </row>
    <row r="52" spans="3:44" s="160" customFormat="1" x14ac:dyDescent="0.25">
      <c r="E52" s="161"/>
      <c r="F52" s="180" t="s">
        <v>151</v>
      </c>
      <c r="G52" s="166" t="s">
        <v>111</v>
      </c>
      <c r="H52" s="253"/>
      <c r="I52" s="166"/>
      <c r="J52" s="187">
        <f>'Volume adjustments'!J$63</f>
        <v>0.56592745965042113</v>
      </c>
      <c r="K52" s="187">
        <f>'Volume adjustments'!K$63</f>
        <v>0.56592745965042113</v>
      </c>
      <c r="L52" s="187">
        <f>'Volume adjustments'!L$63</f>
        <v>0.56592745965042113</v>
      </c>
      <c r="M52" s="187">
        <f>'Volume adjustments'!M$63</f>
        <v>0.56592745965042113</v>
      </c>
      <c r="N52" s="187">
        <f>'Volume adjustments'!N$63</f>
        <v>0.56592745965042113</v>
      </c>
      <c r="O52" s="187">
        <f>'Volume adjustments'!O$63</f>
        <v>0.56592745965042113</v>
      </c>
      <c r="P52" s="187">
        <f>'Volume adjustments'!P$63</f>
        <v>0.56592745965042113</v>
      </c>
      <c r="Q52" s="187">
        <f>'Volume adjustments'!Q$63</f>
        <v>0</v>
      </c>
      <c r="R52" s="187">
        <f>'Volume adjustments'!R$63</f>
        <v>0</v>
      </c>
      <c r="S52" s="187">
        <f>'Volume adjustments'!S$63</f>
        <v>0.56592745965042113</v>
      </c>
      <c r="T52" s="187">
        <f>'Volume adjustments'!T$63</f>
        <v>0.56592745965042113</v>
      </c>
      <c r="U52" s="187">
        <f>'Volume adjustments'!U$63</f>
        <v>0.56592745965042113</v>
      </c>
      <c r="V52" s="187">
        <f>'Volume adjustments'!V$63</f>
        <v>0.30780783362179165</v>
      </c>
      <c r="W52" s="187">
        <f>'Volume adjustments'!W$63</f>
        <v>0.20760110839034102</v>
      </c>
      <c r="X52" s="187">
        <f>'Volume adjustments'!X$63</f>
        <v>0.56592745965042113</v>
      </c>
      <c r="Y52" s="187">
        <f>'Volume adjustments'!Y$63</f>
        <v>0.56592745965042113</v>
      </c>
      <c r="Z52" s="187">
        <f>'Volume adjustments'!Z$63</f>
        <v>0.56592745965042113</v>
      </c>
      <c r="AA52" s="187">
        <f>'Volume adjustments'!AA$63</f>
        <v>0.56592745965042113</v>
      </c>
      <c r="AB52" s="187">
        <f>'Volume adjustments'!AB$63</f>
        <v>0.56592745965042113</v>
      </c>
      <c r="AC52" s="187">
        <f>'Volume adjustments'!AC$63</f>
        <v>0</v>
      </c>
      <c r="AD52" s="187">
        <f>'Volume adjustments'!AD$63</f>
        <v>0</v>
      </c>
      <c r="AE52" s="187">
        <f>'Volume adjustments'!AE$63</f>
        <v>0</v>
      </c>
      <c r="AF52" s="187">
        <f>'Volume adjustments'!AF$63</f>
        <v>0</v>
      </c>
      <c r="AG52" s="187">
        <f>'Volume adjustments'!AG$63</f>
        <v>0</v>
      </c>
      <c r="AH52" s="187">
        <f>'Volume adjustments'!AH$63</f>
        <v>0</v>
      </c>
      <c r="AI52" s="187">
        <f>'Volume adjustments'!AI$63</f>
        <v>0</v>
      </c>
      <c r="AJ52" s="187">
        <f>'Volume adjustments'!AJ$63</f>
        <v>0</v>
      </c>
      <c r="AK52" s="187">
        <f>'Volume adjustments'!AK$63</f>
        <v>0</v>
      </c>
      <c r="AL52" s="187">
        <f>'Volume adjustments'!AL$63</f>
        <v>0</v>
      </c>
      <c r="AM52" s="187">
        <f>'Volume adjustments'!AM$63</f>
        <v>0</v>
      </c>
      <c r="AN52" s="187">
        <f>'Volume adjustments'!AN$63</f>
        <v>0</v>
      </c>
      <c r="AO52" s="187">
        <f>'Volume adjustments'!AO$63</f>
        <v>0</v>
      </c>
      <c r="AP52" s="187">
        <f>'Volume adjustments'!AP$63</f>
        <v>0</v>
      </c>
    </row>
    <row r="53" spans="3:44" s="160" customFormat="1" x14ac:dyDescent="0.25">
      <c r="E53" s="161"/>
      <c r="F53" s="176" t="s">
        <v>152</v>
      </c>
      <c r="G53" s="167" t="s">
        <v>111</v>
      </c>
      <c r="H53" s="205"/>
      <c r="I53" s="167"/>
      <c r="J53" s="181">
        <f>'Volume adjustments'!J$74</f>
        <v>0.56592745965042113</v>
      </c>
      <c r="K53" s="181">
        <f>'Volume adjustments'!K$74</f>
        <v>0.56592745965042113</v>
      </c>
      <c r="L53" s="181">
        <f>'Volume adjustments'!L$74</f>
        <v>0.56592745965042113</v>
      </c>
      <c r="M53" s="181">
        <f>'Volume adjustments'!M$74</f>
        <v>0.56592745965042113</v>
      </c>
      <c r="N53" s="181">
        <f>'Volume adjustments'!N$74</f>
        <v>0.56592745965042113</v>
      </c>
      <c r="O53" s="181">
        <f>'Volume adjustments'!O$74</f>
        <v>0.56592745965042113</v>
      </c>
      <c r="P53" s="181">
        <f>'Volume adjustments'!P$74</f>
        <v>0.56592745965042113</v>
      </c>
      <c r="Q53" s="181">
        <f>'Volume adjustments'!Q$74</f>
        <v>0</v>
      </c>
      <c r="R53" s="181">
        <f>'Volume adjustments'!R$74</f>
        <v>0</v>
      </c>
      <c r="S53" s="181">
        <f>'Volume adjustments'!S$74</f>
        <v>0.56592745965042113</v>
      </c>
      <c r="T53" s="181">
        <f>'Volume adjustments'!T$74</f>
        <v>0.56592745965042113</v>
      </c>
      <c r="U53" s="181">
        <f>'Volume adjustments'!U$74</f>
        <v>0.56592745965042113</v>
      </c>
      <c r="V53" s="181">
        <f>'Volume adjustments'!V$74</f>
        <v>0.30780783362179165</v>
      </c>
      <c r="W53" s="181">
        <f>'Volume adjustments'!W$74</f>
        <v>0.20760110839034102</v>
      </c>
      <c r="X53" s="181">
        <f>'Volume adjustments'!X$74</f>
        <v>0.56592745965042113</v>
      </c>
      <c r="Y53" s="181">
        <f>'Volume adjustments'!Y$74</f>
        <v>0.56592745965042113</v>
      </c>
      <c r="Z53" s="181">
        <f>'Volume adjustments'!Z$74</f>
        <v>0.56592745965042113</v>
      </c>
      <c r="AA53" s="181">
        <f>'Volume adjustments'!AA$74</f>
        <v>0.56592745965042113</v>
      </c>
      <c r="AB53" s="181">
        <f>'Volume adjustments'!AB$74</f>
        <v>0.56592745965042113</v>
      </c>
      <c r="AC53" s="181">
        <f>'Volume adjustments'!AC$74</f>
        <v>0</v>
      </c>
      <c r="AD53" s="181">
        <f>'Volume adjustments'!AD$74</f>
        <v>0</v>
      </c>
      <c r="AE53" s="181">
        <f>'Volume adjustments'!AE$74</f>
        <v>0</v>
      </c>
      <c r="AF53" s="181">
        <f>'Volume adjustments'!AF$74</f>
        <v>0</v>
      </c>
      <c r="AG53" s="181">
        <f>'Volume adjustments'!AG$74</f>
        <v>0</v>
      </c>
      <c r="AH53" s="181">
        <f>'Volume adjustments'!AH$74</f>
        <v>0</v>
      </c>
      <c r="AI53" s="181">
        <f>'Volume adjustments'!AI$74</f>
        <v>0</v>
      </c>
      <c r="AJ53" s="181">
        <f>'Volume adjustments'!AJ$74</f>
        <v>0</v>
      </c>
      <c r="AK53" s="181">
        <f>'Volume adjustments'!AK$74</f>
        <v>0</v>
      </c>
      <c r="AL53" s="181">
        <f>'Volume adjustments'!AL$74</f>
        <v>0</v>
      </c>
      <c r="AM53" s="181">
        <f>'Volume adjustments'!AM$74</f>
        <v>0</v>
      </c>
      <c r="AN53" s="181">
        <f>'Volume adjustments'!AN$74</f>
        <v>0</v>
      </c>
      <c r="AO53" s="181">
        <f>'Volume adjustments'!AO$74</f>
        <v>0</v>
      </c>
      <c r="AP53" s="181">
        <f>'Volume adjustments'!AP$74</f>
        <v>0</v>
      </c>
    </row>
    <row r="54" spans="3:44" s="160" customFormat="1" x14ac:dyDescent="0.25">
      <c r="E54" s="161"/>
      <c r="F54" s="176" t="s">
        <v>153</v>
      </c>
      <c r="G54" s="167" t="s">
        <v>111</v>
      </c>
      <c r="H54" s="205"/>
      <c r="I54" s="167"/>
      <c r="J54" s="181">
        <f>'Volume adjustments'!J$85</f>
        <v>0.56592745965042113</v>
      </c>
      <c r="K54" s="181">
        <f>'Volume adjustments'!K$85</f>
        <v>0.56592745965042113</v>
      </c>
      <c r="L54" s="181">
        <f>'Volume adjustments'!L$85</f>
        <v>0.56592745965042113</v>
      </c>
      <c r="M54" s="181">
        <f>'Volume adjustments'!M$85</f>
        <v>0.56592745965042113</v>
      </c>
      <c r="N54" s="181">
        <f>'Volume adjustments'!N$85</f>
        <v>0.56592745965042113</v>
      </c>
      <c r="O54" s="181">
        <f>'Volume adjustments'!O$85</f>
        <v>0.56592745965042113</v>
      </c>
      <c r="P54" s="181">
        <f>'Volume adjustments'!P$85</f>
        <v>0.56592745965042113</v>
      </c>
      <c r="Q54" s="181">
        <f>'Volume adjustments'!Q$85</f>
        <v>0</v>
      </c>
      <c r="R54" s="181">
        <f>'Volume adjustments'!R$85</f>
        <v>0</v>
      </c>
      <c r="S54" s="181">
        <f>'Volume adjustments'!S$85</f>
        <v>0.56592745965042113</v>
      </c>
      <c r="T54" s="181">
        <f>'Volume adjustments'!T$85</f>
        <v>0.56592745965042113</v>
      </c>
      <c r="U54" s="181">
        <f>'Volume adjustments'!U$85</f>
        <v>0.56592745965042113</v>
      </c>
      <c r="V54" s="181">
        <f>'Volume adjustments'!V$85</f>
        <v>0.30780783362179165</v>
      </c>
      <c r="W54" s="181">
        <f>'Volume adjustments'!W$85</f>
        <v>0.20760110839034102</v>
      </c>
      <c r="X54" s="181">
        <f>'Volume adjustments'!X$85</f>
        <v>0.56592745965042113</v>
      </c>
      <c r="Y54" s="181">
        <f>'Volume adjustments'!Y$85</f>
        <v>0.56592745965042113</v>
      </c>
      <c r="Z54" s="181">
        <f>'Volume adjustments'!Z$85</f>
        <v>0.56592745965042113</v>
      </c>
      <c r="AA54" s="181">
        <f>'Volume adjustments'!AA$85</f>
        <v>0.56592745965042113</v>
      </c>
      <c r="AB54" s="181">
        <f>'Volume adjustments'!AB$85</f>
        <v>0.56592745965042113</v>
      </c>
      <c r="AC54" s="181">
        <f>'Volume adjustments'!AC$85</f>
        <v>0</v>
      </c>
      <c r="AD54" s="181">
        <f>'Volume adjustments'!AD$85</f>
        <v>0</v>
      </c>
      <c r="AE54" s="181">
        <f>'Volume adjustments'!AE$85</f>
        <v>0</v>
      </c>
      <c r="AF54" s="181">
        <f>'Volume adjustments'!AF$85</f>
        <v>0</v>
      </c>
      <c r="AG54" s="181">
        <f>'Volume adjustments'!AG$85</f>
        <v>0</v>
      </c>
      <c r="AH54" s="181">
        <f>'Volume adjustments'!AH$85</f>
        <v>0</v>
      </c>
      <c r="AI54" s="181">
        <f>'Volume adjustments'!AI$85</f>
        <v>0</v>
      </c>
      <c r="AJ54" s="181">
        <f>'Volume adjustments'!AJ$85</f>
        <v>0</v>
      </c>
      <c r="AK54" s="181">
        <f>'Volume adjustments'!AK$85</f>
        <v>0</v>
      </c>
      <c r="AL54" s="181">
        <f>'Volume adjustments'!AL$85</f>
        <v>0</v>
      </c>
      <c r="AM54" s="181">
        <f>'Volume adjustments'!AM$85</f>
        <v>0</v>
      </c>
      <c r="AN54" s="181">
        <f>'Volume adjustments'!AN$85</f>
        <v>0</v>
      </c>
      <c r="AO54" s="181">
        <f>'Volume adjustments'!AO$85</f>
        <v>0</v>
      </c>
      <c r="AP54" s="181">
        <f>'Volume adjustments'!AP$85</f>
        <v>0</v>
      </c>
    </row>
    <row r="55" spans="3:44" s="160" customFormat="1" x14ac:dyDescent="0.25">
      <c r="E55" s="161"/>
      <c r="F55" s="176" t="s">
        <v>384</v>
      </c>
      <c r="G55" s="167" t="s">
        <v>111</v>
      </c>
      <c r="H55" s="205"/>
      <c r="I55" s="167"/>
      <c r="J55" s="181">
        <f>'Volume adjustments'!J$100</f>
        <v>0.56592745965042113</v>
      </c>
      <c r="K55" s="181">
        <f>'Volume adjustments'!K$100</f>
        <v>0.56592745965042113</v>
      </c>
      <c r="L55" s="181">
        <f>'Volume adjustments'!L$100</f>
        <v>0.56592745965042113</v>
      </c>
      <c r="M55" s="181">
        <f>'Volume adjustments'!M$100</f>
        <v>0.56592745965042113</v>
      </c>
      <c r="N55" s="181">
        <f>'Volume adjustments'!N$100</f>
        <v>0.56592745965042113</v>
      </c>
      <c r="O55" s="181">
        <f>'Volume adjustments'!O$100</f>
        <v>0.56592745965042113</v>
      </c>
      <c r="P55" s="181">
        <f>'Volume adjustments'!P$100</f>
        <v>0.56592745965042113</v>
      </c>
      <c r="Q55" s="181">
        <f>'Volume adjustments'!Q$100</f>
        <v>0</v>
      </c>
      <c r="R55" s="181">
        <f>'Volume adjustments'!R$100</f>
        <v>0</v>
      </c>
      <c r="S55" s="181">
        <f>'Volume adjustments'!S$100</f>
        <v>0.56592745965042113</v>
      </c>
      <c r="T55" s="181">
        <f>'Volume adjustments'!T$100</f>
        <v>0.56592745965042113</v>
      </c>
      <c r="U55" s="181">
        <f>'Volume adjustments'!U$100</f>
        <v>0.56592745965042113</v>
      </c>
      <c r="V55" s="181">
        <f>'Volume adjustments'!V$100</f>
        <v>0.30780783362179165</v>
      </c>
      <c r="W55" s="181">
        <f>'Volume adjustments'!W$100</f>
        <v>0.20760110839034102</v>
      </c>
      <c r="X55" s="181">
        <f>'Volume adjustments'!X$100</f>
        <v>0.56592745965042113</v>
      </c>
      <c r="Y55" s="181">
        <f>'Volume adjustments'!Y$100</f>
        <v>0.56592745965042113</v>
      </c>
      <c r="Z55" s="181">
        <f>'Volume adjustments'!Z$100</f>
        <v>0.56592745965042113</v>
      </c>
      <c r="AA55" s="181">
        <f>'Volume adjustments'!AA$100</f>
        <v>0.56592745965042113</v>
      </c>
      <c r="AB55" s="181">
        <f>'Volume adjustments'!AB$100</f>
        <v>0.56592745965042113</v>
      </c>
      <c r="AC55" s="181">
        <f>'Volume adjustments'!AC$100</f>
        <v>1</v>
      </c>
      <c r="AD55" s="181">
        <f>'Volume adjustments'!AD$100</f>
        <v>1</v>
      </c>
      <c r="AE55" s="181">
        <f>'Volume adjustments'!AE$100</f>
        <v>1</v>
      </c>
      <c r="AF55" s="181">
        <f>'Volume adjustments'!AF$100</f>
        <v>1</v>
      </c>
      <c r="AG55" s="181">
        <f>'Volume adjustments'!AG$100</f>
        <v>1</v>
      </c>
      <c r="AH55" s="181">
        <f>'Volume adjustments'!AH$100</f>
        <v>1</v>
      </c>
      <c r="AI55" s="181">
        <f>'Volume adjustments'!AI$100</f>
        <v>1</v>
      </c>
      <c r="AJ55" s="181">
        <f>'Volume adjustments'!AJ$100</f>
        <v>1</v>
      </c>
      <c r="AK55" s="181">
        <f>'Volume adjustments'!AK$100</f>
        <v>1</v>
      </c>
      <c r="AL55" s="181">
        <f>'Volume adjustments'!AL$100</f>
        <v>1</v>
      </c>
      <c r="AM55" s="181">
        <f>'Volume adjustments'!AM$100</f>
        <v>1</v>
      </c>
      <c r="AN55" s="181">
        <f>'Volume adjustments'!AN$100</f>
        <v>1</v>
      </c>
      <c r="AO55" s="181">
        <f>'Volume adjustments'!AO$100</f>
        <v>1</v>
      </c>
      <c r="AP55" s="181">
        <f>'Volume adjustments'!AP$100</f>
        <v>1</v>
      </c>
    </row>
    <row r="56" spans="3:44" s="160" customFormat="1" x14ac:dyDescent="0.25">
      <c r="E56" s="161"/>
      <c r="F56" s="176" t="s">
        <v>385</v>
      </c>
      <c r="G56" s="167" t="s">
        <v>111</v>
      </c>
      <c r="H56" s="205"/>
      <c r="I56" s="167"/>
      <c r="J56" s="181">
        <f>'Volume adjustments'!J$111</f>
        <v>0.56592745965042113</v>
      </c>
      <c r="K56" s="181">
        <f>'Volume adjustments'!K$111</f>
        <v>0.56592745965042113</v>
      </c>
      <c r="L56" s="181">
        <f>'Volume adjustments'!L$111</f>
        <v>0.56592745965042113</v>
      </c>
      <c r="M56" s="181">
        <f>'Volume adjustments'!M$111</f>
        <v>0.56592745965042113</v>
      </c>
      <c r="N56" s="181">
        <f>'Volume adjustments'!N$111</f>
        <v>0.56592745965042113</v>
      </c>
      <c r="O56" s="181">
        <f>'Volume adjustments'!O$111</f>
        <v>0.56592745965042113</v>
      </c>
      <c r="P56" s="181">
        <f>'Volume adjustments'!P$111</f>
        <v>0.56592745965042113</v>
      </c>
      <c r="Q56" s="181">
        <f>'Volume adjustments'!Q$111</f>
        <v>0</v>
      </c>
      <c r="R56" s="181">
        <f>'Volume adjustments'!R$111</f>
        <v>0</v>
      </c>
      <c r="S56" s="181">
        <f>'Volume adjustments'!S$111</f>
        <v>0.56592745965042113</v>
      </c>
      <c r="T56" s="181">
        <f>'Volume adjustments'!T$111</f>
        <v>0.56592745965042113</v>
      </c>
      <c r="U56" s="181">
        <f>'Volume adjustments'!U$111</f>
        <v>0.56592745965042113</v>
      </c>
      <c r="V56" s="181">
        <f>'Volume adjustments'!V$111</f>
        <v>0.30780783362179165</v>
      </c>
      <c r="W56" s="181">
        <f>'Volume adjustments'!W$111</f>
        <v>0.20760110839034102</v>
      </c>
      <c r="X56" s="181">
        <f>'Volume adjustments'!X$111</f>
        <v>0.56592745965042113</v>
      </c>
      <c r="Y56" s="181">
        <f>'Volume adjustments'!Y$111</f>
        <v>0.56592745965042113</v>
      </c>
      <c r="Z56" s="181">
        <f>'Volume adjustments'!Z$111</f>
        <v>0.56592745965042113</v>
      </c>
      <c r="AA56" s="181">
        <f>'Volume adjustments'!AA$111</f>
        <v>0.56592745965042113</v>
      </c>
      <c r="AB56" s="181">
        <f>'Volume adjustments'!AB$111</f>
        <v>0.56592745965042113</v>
      </c>
      <c r="AC56" s="181">
        <f>'Volume adjustments'!AC$111</f>
        <v>0</v>
      </c>
      <c r="AD56" s="181">
        <f>'Volume adjustments'!AD$111</f>
        <v>0</v>
      </c>
      <c r="AE56" s="181">
        <f>'Volume adjustments'!AE$111</f>
        <v>0</v>
      </c>
      <c r="AF56" s="181">
        <f>'Volume adjustments'!AF$111</f>
        <v>0</v>
      </c>
      <c r="AG56" s="181">
        <f>'Volume adjustments'!AG$111</f>
        <v>0</v>
      </c>
      <c r="AH56" s="181">
        <f>'Volume adjustments'!AH$111</f>
        <v>0</v>
      </c>
      <c r="AI56" s="181">
        <f>'Volume adjustments'!AI$111</f>
        <v>0</v>
      </c>
      <c r="AJ56" s="181">
        <f>'Volume adjustments'!AJ$111</f>
        <v>0</v>
      </c>
      <c r="AK56" s="181">
        <f>'Volume adjustments'!AK$111</f>
        <v>0</v>
      </c>
      <c r="AL56" s="181">
        <f>'Volume adjustments'!AL$111</f>
        <v>0</v>
      </c>
      <c r="AM56" s="181">
        <f>'Volume adjustments'!AM$111</f>
        <v>0</v>
      </c>
      <c r="AN56" s="181">
        <f>'Volume adjustments'!AN$111</f>
        <v>0</v>
      </c>
      <c r="AO56" s="181">
        <f>'Volume adjustments'!AO$111</f>
        <v>0</v>
      </c>
      <c r="AP56" s="181">
        <f>'Volume adjustments'!AP$111</f>
        <v>0</v>
      </c>
    </row>
    <row r="57" spans="3:44" s="160" customFormat="1" x14ac:dyDescent="0.25">
      <c r="E57" s="161"/>
      <c r="F57" s="176" t="s">
        <v>386</v>
      </c>
      <c r="G57" s="167" t="s">
        <v>111</v>
      </c>
      <c r="H57" s="205"/>
      <c r="I57" s="167"/>
      <c r="J57" s="181">
        <f>'Volume adjustments'!J$122</f>
        <v>0.56592745965042113</v>
      </c>
      <c r="K57" s="181">
        <f>'Volume adjustments'!K$122</f>
        <v>0.56592745965042113</v>
      </c>
      <c r="L57" s="181">
        <f>'Volume adjustments'!L$122</f>
        <v>0.56592745965042113</v>
      </c>
      <c r="M57" s="181">
        <f>'Volume adjustments'!M$122</f>
        <v>0.56592745965042113</v>
      </c>
      <c r="N57" s="181">
        <f>'Volume adjustments'!N$122</f>
        <v>0.56592745965042113</v>
      </c>
      <c r="O57" s="181">
        <f>'Volume adjustments'!O$122</f>
        <v>0.56592745965042113</v>
      </c>
      <c r="P57" s="181">
        <f>'Volume adjustments'!P$122</f>
        <v>0.56592745965042113</v>
      </c>
      <c r="Q57" s="181">
        <f>'Volume adjustments'!Q$122</f>
        <v>0</v>
      </c>
      <c r="R57" s="181">
        <f>'Volume adjustments'!R$122</f>
        <v>0</v>
      </c>
      <c r="S57" s="181">
        <f>'Volume adjustments'!S$122</f>
        <v>0.56592745965042113</v>
      </c>
      <c r="T57" s="181">
        <f>'Volume adjustments'!T$122</f>
        <v>0.56592745965042113</v>
      </c>
      <c r="U57" s="181">
        <f>'Volume adjustments'!U$122</f>
        <v>0.56592745965042113</v>
      </c>
      <c r="V57" s="181">
        <f>'Volume adjustments'!V$122</f>
        <v>0.30780783362179165</v>
      </c>
      <c r="W57" s="181">
        <f>'Volume adjustments'!W$122</f>
        <v>0.20760110839034102</v>
      </c>
      <c r="X57" s="181">
        <f>'Volume adjustments'!X$122</f>
        <v>0.56592745965042113</v>
      </c>
      <c r="Y57" s="181">
        <f>'Volume adjustments'!Y$122</f>
        <v>0.56592745965042113</v>
      </c>
      <c r="Z57" s="181">
        <f>'Volume adjustments'!Z$122</f>
        <v>0.56592745965042113</v>
      </c>
      <c r="AA57" s="181">
        <f>'Volume adjustments'!AA$122</f>
        <v>0.56592745965042113</v>
      </c>
      <c r="AB57" s="181">
        <f>'Volume adjustments'!AB$122</f>
        <v>0.56592745965042113</v>
      </c>
      <c r="AC57" s="181">
        <f>'Volume adjustments'!AC$122</f>
        <v>0</v>
      </c>
      <c r="AD57" s="181">
        <f>'Volume adjustments'!AD$122</f>
        <v>0</v>
      </c>
      <c r="AE57" s="181">
        <f>'Volume adjustments'!AE$122</f>
        <v>0</v>
      </c>
      <c r="AF57" s="181">
        <f>'Volume adjustments'!AF$122</f>
        <v>0</v>
      </c>
      <c r="AG57" s="181">
        <f>'Volume adjustments'!AG$122</f>
        <v>0</v>
      </c>
      <c r="AH57" s="181">
        <f>'Volume adjustments'!AH$122</f>
        <v>0</v>
      </c>
      <c r="AI57" s="181">
        <f>'Volume adjustments'!AI$122</f>
        <v>0</v>
      </c>
      <c r="AJ57" s="181">
        <f>'Volume adjustments'!AJ$122</f>
        <v>0</v>
      </c>
      <c r="AK57" s="181">
        <f>'Volume adjustments'!AK$122</f>
        <v>0</v>
      </c>
      <c r="AL57" s="181">
        <f>'Volume adjustments'!AL$122</f>
        <v>0</v>
      </c>
      <c r="AM57" s="181">
        <f>'Volume adjustments'!AM$122</f>
        <v>0</v>
      </c>
      <c r="AN57" s="181">
        <f>'Volume adjustments'!AN$122</f>
        <v>0</v>
      </c>
      <c r="AO57" s="181">
        <f>'Volume adjustments'!AO$122</f>
        <v>0</v>
      </c>
      <c r="AP57" s="181">
        <f>'Volume adjustments'!AP$122</f>
        <v>0</v>
      </c>
    </row>
    <row r="58" spans="3:44" s="160" customFormat="1" x14ac:dyDescent="0.25">
      <c r="E58" s="161"/>
      <c r="F58" s="177" t="s">
        <v>387</v>
      </c>
      <c r="G58" s="168" t="s">
        <v>111</v>
      </c>
      <c r="H58" s="208"/>
      <c r="I58" s="168"/>
      <c r="J58" s="182">
        <f>'Volume adjustments'!J$133</f>
        <v>0.56592745965042113</v>
      </c>
      <c r="K58" s="182">
        <f>'Volume adjustments'!K$133</f>
        <v>0.56592745965042113</v>
      </c>
      <c r="L58" s="182">
        <f>'Volume adjustments'!L$133</f>
        <v>0.56592745965042113</v>
      </c>
      <c r="M58" s="182">
        <f>'Volume adjustments'!M$133</f>
        <v>0.56592745965042113</v>
      </c>
      <c r="N58" s="182">
        <f>'Volume adjustments'!N$133</f>
        <v>0.56592745965042113</v>
      </c>
      <c r="O58" s="182">
        <f>'Volume adjustments'!O$133</f>
        <v>0.56592745965042113</v>
      </c>
      <c r="P58" s="182">
        <f>'Volume adjustments'!P$133</f>
        <v>0.56592745965042113</v>
      </c>
      <c r="Q58" s="182">
        <f>'Volume adjustments'!Q$133</f>
        <v>0</v>
      </c>
      <c r="R58" s="182">
        <f>'Volume adjustments'!R$133</f>
        <v>0</v>
      </c>
      <c r="S58" s="182">
        <f>'Volume adjustments'!S$133</f>
        <v>0.56592745965042113</v>
      </c>
      <c r="T58" s="182">
        <f>'Volume adjustments'!T$133</f>
        <v>0.56592745965042113</v>
      </c>
      <c r="U58" s="182">
        <f>'Volume adjustments'!U$133</f>
        <v>0.56592745965042113</v>
      </c>
      <c r="V58" s="182">
        <f>'Volume adjustments'!V$133</f>
        <v>0.30780783362179165</v>
      </c>
      <c r="W58" s="182">
        <f>'Volume adjustments'!W$133</f>
        <v>0.20760110839034102</v>
      </c>
      <c r="X58" s="182">
        <f>'Volume adjustments'!X$133</f>
        <v>0.56592745965042113</v>
      </c>
      <c r="Y58" s="182">
        <f>'Volume adjustments'!Y$133</f>
        <v>0.56592745965042113</v>
      </c>
      <c r="Z58" s="182">
        <f>'Volume adjustments'!Z$133</f>
        <v>0.56592745965042113</v>
      </c>
      <c r="AA58" s="182">
        <f>'Volume adjustments'!AA$133</f>
        <v>0.56592745965042113</v>
      </c>
      <c r="AB58" s="182">
        <f>'Volume adjustments'!AB$133</f>
        <v>0.56592745965042113</v>
      </c>
      <c r="AC58" s="182">
        <f>'Volume adjustments'!AC$133</f>
        <v>0</v>
      </c>
      <c r="AD58" s="182">
        <f>'Volume adjustments'!AD$133</f>
        <v>0</v>
      </c>
      <c r="AE58" s="182">
        <f>'Volume adjustments'!AE$133</f>
        <v>0</v>
      </c>
      <c r="AF58" s="182">
        <f>'Volume adjustments'!AF$133</f>
        <v>0</v>
      </c>
      <c r="AG58" s="182">
        <f>'Volume adjustments'!AG$133</f>
        <v>0</v>
      </c>
      <c r="AH58" s="182">
        <f>'Volume adjustments'!AH$133</f>
        <v>0</v>
      </c>
      <c r="AI58" s="182">
        <f>'Volume adjustments'!AI$133</f>
        <v>0</v>
      </c>
      <c r="AJ58" s="182">
        <f>'Volume adjustments'!AJ$133</f>
        <v>0</v>
      </c>
      <c r="AK58" s="182">
        <f>'Volume adjustments'!AK$133</f>
        <v>0</v>
      </c>
      <c r="AL58" s="182">
        <f>'Volume adjustments'!AL$133</f>
        <v>0</v>
      </c>
      <c r="AM58" s="182">
        <f>'Volume adjustments'!AM$133</f>
        <v>0</v>
      </c>
      <c r="AN58" s="182">
        <f>'Volume adjustments'!AN$133</f>
        <v>0</v>
      </c>
      <c r="AO58" s="182">
        <f>'Volume adjustments'!AO$133</f>
        <v>0</v>
      </c>
      <c r="AP58" s="182">
        <f>'Volume adjustments'!AP$133</f>
        <v>0</v>
      </c>
    </row>
    <row r="59" spans="3:44" s="160" customFormat="1" x14ac:dyDescent="0.25">
      <c r="D59" s="161"/>
    </row>
    <row r="60" spans="3:44" s="338" customFormat="1" x14ac:dyDescent="0.25">
      <c r="C60" s="22" t="str">
        <f ca="1">INDEX('Version control'!$H$34:$H$59,MATCH($A$1,'Version control'!$F$34:$F$59,0),1)&amp;"-D: Decimal places for rounding"</f>
        <v>Section 519-D: Decimal places for rounding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</row>
    <row r="61" spans="3:44" s="338" customFormat="1" x14ac:dyDescent="0.25">
      <c r="D61" s="175"/>
      <c r="E61" s="175"/>
    </row>
    <row r="62" spans="3:44" x14ac:dyDescent="0.25">
      <c r="E62" s="87" t="s">
        <v>390</v>
      </c>
      <c r="I62" s="88" t="s">
        <v>525</v>
      </c>
      <c r="AR62" s="160" t="s">
        <v>947</v>
      </c>
    </row>
    <row r="63" spans="3:44" x14ac:dyDescent="0.25">
      <c r="C63" s="89"/>
      <c r="E63" s="91"/>
      <c r="F63" s="72" t="s">
        <v>151</v>
      </c>
      <c r="G63" s="13" t="s">
        <v>635</v>
      </c>
      <c r="H63" s="253">
        <f>'Fixed inputs'!H25</f>
        <v>3</v>
      </c>
    </row>
    <row r="64" spans="3:44" x14ac:dyDescent="0.25">
      <c r="C64" s="89"/>
      <c r="E64" s="91"/>
      <c r="F64" s="66" t="s">
        <v>152</v>
      </c>
      <c r="G64" s="90" t="s">
        <v>635</v>
      </c>
      <c r="H64" s="205">
        <f>'Fixed inputs'!H26</f>
        <v>3</v>
      </c>
    </row>
    <row r="65" spans="2:44" x14ac:dyDescent="0.25">
      <c r="C65" s="89"/>
      <c r="E65" s="91"/>
      <c r="F65" s="66" t="s">
        <v>153</v>
      </c>
      <c r="G65" s="90" t="s">
        <v>635</v>
      </c>
      <c r="H65" s="205">
        <f>'Fixed inputs'!H27</f>
        <v>3</v>
      </c>
    </row>
    <row r="66" spans="2:44" x14ac:dyDescent="0.25">
      <c r="C66" s="89"/>
      <c r="E66" s="91"/>
      <c r="F66" s="66" t="s">
        <v>384</v>
      </c>
      <c r="G66" s="90" t="s">
        <v>635</v>
      </c>
      <c r="H66" s="205">
        <f>'Fixed inputs'!H28</f>
        <v>2</v>
      </c>
    </row>
    <row r="67" spans="2:44" x14ac:dyDescent="0.25">
      <c r="C67" s="89"/>
      <c r="E67" s="91"/>
      <c r="F67" s="66" t="s">
        <v>385</v>
      </c>
      <c r="G67" s="90" t="s">
        <v>635</v>
      </c>
      <c r="H67" s="205">
        <f>'Fixed inputs'!H29</f>
        <v>2</v>
      </c>
    </row>
    <row r="68" spans="2:44" x14ac:dyDescent="0.25">
      <c r="C68" s="89"/>
      <c r="E68" s="91"/>
      <c r="F68" s="66" t="s">
        <v>386</v>
      </c>
      <c r="G68" s="90" t="s">
        <v>635</v>
      </c>
      <c r="H68" s="205">
        <f>'Fixed inputs'!H30</f>
        <v>2</v>
      </c>
    </row>
    <row r="69" spans="2:44" x14ac:dyDescent="0.25">
      <c r="C69" s="89"/>
      <c r="E69" s="91"/>
      <c r="F69" s="67" t="s">
        <v>387</v>
      </c>
      <c r="G69" s="16" t="s">
        <v>635</v>
      </c>
      <c r="H69" s="208">
        <f>'Fixed inputs'!H31</f>
        <v>3</v>
      </c>
    </row>
    <row r="70" spans="2:44" x14ac:dyDescent="0.25">
      <c r="C70" s="89"/>
    </row>
    <row r="71" spans="2:44" x14ac:dyDescent="0.25">
      <c r="B71" s="171" t="s">
        <v>1037</v>
      </c>
      <c r="C71" s="171"/>
      <c r="D71" s="171"/>
      <c r="E71" s="171"/>
      <c r="F71" s="171"/>
      <c r="G71" s="171"/>
      <c r="H71" s="171"/>
      <c r="I71" s="171"/>
      <c r="J71" s="171"/>
      <c r="K71" s="171"/>
      <c r="L71" s="171"/>
      <c r="M71" s="171"/>
      <c r="N71" s="171"/>
      <c r="O71" s="171"/>
      <c r="P71" s="171"/>
      <c r="Q71" s="171"/>
      <c r="R71" s="171"/>
      <c r="S71" s="171"/>
      <c r="T71" s="171"/>
      <c r="U71" s="171"/>
      <c r="V71" s="171"/>
      <c r="W71" s="171"/>
      <c r="X71" s="171"/>
      <c r="Y71" s="171"/>
      <c r="Z71" s="171"/>
      <c r="AA71" s="171"/>
      <c r="AB71" s="171"/>
      <c r="AC71" s="171"/>
      <c r="AD71" s="171"/>
      <c r="AE71" s="171"/>
      <c r="AF71" s="171"/>
      <c r="AG71" s="171"/>
      <c r="AH71" s="171"/>
      <c r="AI71" s="171"/>
      <c r="AJ71" s="171"/>
      <c r="AK71" s="171"/>
      <c r="AL71" s="171"/>
      <c r="AM71" s="171"/>
      <c r="AN71" s="171"/>
      <c r="AO71" s="171"/>
      <c r="AP71" s="171"/>
      <c r="AQ71" s="171"/>
      <c r="AR71" s="171"/>
    </row>
    <row r="72" spans="2:44" s="160" customFormat="1" x14ac:dyDescent="0.25">
      <c r="D72" s="175"/>
      <c r="E72" s="175"/>
    </row>
    <row r="73" spans="2:44" x14ac:dyDescent="0.25">
      <c r="C73" s="152" t="s">
        <v>1038</v>
      </c>
    </row>
    <row r="74" spans="2:44" s="160" customFormat="1" x14ac:dyDescent="0.25">
      <c r="D74" s="175"/>
      <c r="E74" s="175"/>
    </row>
    <row r="75" spans="2:44" s="338" customFormat="1" x14ac:dyDescent="0.25">
      <c r="C75" s="22" t="str">
        <f ca="1">INDEX('Version control'!$H$34:$H$59,MATCH($A$1,'Version control'!$F$34:$F$59,0),1)&amp;"-E: All the way tariff forecast, pre-rounding"</f>
        <v>Section 519-E: All the way tariff forecast, pre-rounding</v>
      </c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</row>
    <row r="76" spans="2:44" s="338" customFormat="1" x14ac:dyDescent="0.25">
      <c r="D76" s="175"/>
      <c r="E76" s="175"/>
    </row>
    <row r="77" spans="2:44" s="160" customFormat="1" x14ac:dyDescent="0.25">
      <c r="E77" s="172" t="s">
        <v>1039</v>
      </c>
      <c r="F77" s="172"/>
    </row>
    <row r="78" spans="2:44" s="160" customFormat="1" x14ac:dyDescent="0.25">
      <c r="E78" s="161"/>
      <c r="F78" s="180" t="s">
        <v>151</v>
      </c>
      <c r="G78" s="166" t="s">
        <v>201</v>
      </c>
      <c r="H78" s="581"/>
      <c r="I78" s="569"/>
      <c r="J78" s="584">
        <f>J20+J32</f>
        <v>1.9335743125540996</v>
      </c>
      <c r="K78" s="584">
        <f t="shared" ref="K78:AP78" si="0">K20+K32</f>
        <v>2.3868456316076871</v>
      </c>
      <c r="L78" s="584">
        <f t="shared" si="0"/>
        <v>0.53661330507339899</v>
      </c>
      <c r="M78" s="584">
        <f t="shared" si="0"/>
        <v>1.7773413432853069</v>
      </c>
      <c r="N78" s="584">
        <f t="shared" si="0"/>
        <v>2.5897787259355134</v>
      </c>
      <c r="O78" s="584">
        <f t="shared" si="0"/>
        <v>0.66501190271473809</v>
      </c>
      <c r="P78" s="584">
        <f t="shared" si="0"/>
        <v>1.4840674574135986</v>
      </c>
      <c r="Q78" s="584">
        <f t="shared" si="0"/>
        <v>1.2758075231902162</v>
      </c>
      <c r="R78" s="584">
        <f t="shared" si="0"/>
        <v>0.86159367791004104</v>
      </c>
      <c r="S78" s="584">
        <f t="shared" si="0"/>
        <v>8.7004709403785565</v>
      </c>
      <c r="T78" s="584">
        <f t="shared" si="0"/>
        <v>9.1649168886883743</v>
      </c>
      <c r="U78" s="584">
        <f t="shared" si="0"/>
        <v>6.2698173763839202</v>
      </c>
      <c r="V78" s="584">
        <f t="shared" si="0"/>
        <v>4.8635980733547921</v>
      </c>
      <c r="W78" s="584">
        <f t="shared" si="0"/>
        <v>3.5439733883976086</v>
      </c>
      <c r="X78" s="584">
        <f t="shared" si="0"/>
        <v>2.601462341076477</v>
      </c>
      <c r="Y78" s="584">
        <f t="shared" si="0"/>
        <v>2.6565636233001042</v>
      </c>
      <c r="Z78" s="584">
        <f t="shared" si="0"/>
        <v>3.4012647520342645</v>
      </c>
      <c r="AA78" s="584">
        <f t="shared" si="0"/>
        <v>2.6110595208611316</v>
      </c>
      <c r="AB78" s="584">
        <f t="shared" si="0"/>
        <v>13.724297450623643</v>
      </c>
      <c r="AC78" s="584">
        <f t="shared" si="0"/>
        <v>-0.79377796595710459</v>
      </c>
      <c r="AD78" s="584">
        <f t="shared" si="0"/>
        <v>-0.69465934114707428</v>
      </c>
      <c r="AE78" s="584">
        <f t="shared" si="0"/>
        <v>-0.79377796595710459</v>
      </c>
      <c r="AF78" s="584">
        <f t="shared" si="0"/>
        <v>-0.79377796595710459</v>
      </c>
      <c r="AG78" s="584">
        <f t="shared" si="0"/>
        <v>-5.5360453006887784</v>
      </c>
      <c r="AH78" s="584">
        <f t="shared" si="0"/>
        <v>-5.5360453006887784</v>
      </c>
      <c r="AI78" s="584">
        <f t="shared" si="0"/>
        <v>-0.69465934114707428</v>
      </c>
      <c r="AJ78" s="584">
        <f t="shared" si="0"/>
        <v>-0.69465934114707428</v>
      </c>
      <c r="AK78" s="584">
        <f t="shared" si="0"/>
        <v>-4.9939526180609626</v>
      </c>
      <c r="AL78" s="584">
        <f t="shared" si="0"/>
        <v>-4.9939526180609626</v>
      </c>
      <c r="AM78" s="584">
        <f t="shared" si="0"/>
        <v>-0.45988671665948044</v>
      </c>
      <c r="AN78" s="584">
        <f t="shared" si="0"/>
        <v>-0.45988671665948044</v>
      </c>
      <c r="AO78" s="584">
        <f t="shared" si="0"/>
        <v>-3.8382142689374743</v>
      </c>
      <c r="AP78" s="584">
        <f t="shared" si="0"/>
        <v>-3.8382142689374743</v>
      </c>
      <c r="AQ78" s="571"/>
      <c r="AR78" s="571"/>
    </row>
    <row r="79" spans="2:44" s="160" customFormat="1" x14ac:dyDescent="0.25">
      <c r="E79" s="161"/>
      <c r="F79" s="176" t="s">
        <v>152</v>
      </c>
      <c r="G79" s="167" t="s">
        <v>201</v>
      </c>
      <c r="H79" s="582"/>
      <c r="I79" s="572"/>
      <c r="J79" s="585">
        <f t="shared" ref="J79:AP79" si="1">J21+J33</f>
        <v>0</v>
      </c>
      <c r="K79" s="585">
        <f t="shared" si="1"/>
        <v>0.44075181714071127</v>
      </c>
      <c r="L79" s="585">
        <f t="shared" si="1"/>
        <v>0</v>
      </c>
      <c r="M79" s="585">
        <f t="shared" si="1"/>
        <v>0</v>
      </c>
      <c r="N79" s="585">
        <f t="shared" si="1"/>
        <v>0.59133522915437542</v>
      </c>
      <c r="O79" s="585">
        <f t="shared" si="1"/>
        <v>0</v>
      </c>
      <c r="P79" s="585">
        <f t="shared" si="1"/>
        <v>0.4301817521843937</v>
      </c>
      <c r="Q79" s="585">
        <f t="shared" si="1"/>
        <v>0.40902626788612095</v>
      </c>
      <c r="R79" s="585">
        <f t="shared" si="1"/>
        <v>0.36820556271081861</v>
      </c>
      <c r="S79" s="585">
        <f t="shared" si="1"/>
        <v>1.1992786821660091</v>
      </c>
      <c r="T79" s="585">
        <f t="shared" si="1"/>
        <v>1.2473190295876413</v>
      </c>
      <c r="U79" s="585">
        <f t="shared" si="1"/>
        <v>0.86633493616717061</v>
      </c>
      <c r="V79" s="585">
        <f t="shared" si="1"/>
        <v>0.60534748081033662</v>
      </c>
      <c r="W79" s="585">
        <f t="shared" si="1"/>
        <v>0.49758893173900237</v>
      </c>
      <c r="X79" s="585">
        <f t="shared" si="1"/>
        <v>0</v>
      </c>
      <c r="Y79" s="585">
        <f t="shared" si="1"/>
        <v>0</v>
      </c>
      <c r="Z79" s="585">
        <f t="shared" si="1"/>
        <v>0</v>
      </c>
      <c r="AA79" s="585">
        <f t="shared" si="1"/>
        <v>0</v>
      </c>
      <c r="AB79" s="585">
        <f t="shared" si="1"/>
        <v>2.5762932073685176</v>
      </c>
      <c r="AC79" s="585">
        <f t="shared" si="1"/>
        <v>0</v>
      </c>
      <c r="AD79" s="585">
        <f t="shared" si="1"/>
        <v>0</v>
      </c>
      <c r="AE79" s="585">
        <f t="shared" si="1"/>
        <v>0</v>
      </c>
      <c r="AF79" s="585">
        <f t="shared" si="1"/>
        <v>0</v>
      </c>
      <c r="AG79" s="585">
        <f t="shared" si="1"/>
        <v>-0.57117143880771426</v>
      </c>
      <c r="AH79" s="585">
        <f t="shared" si="1"/>
        <v>-0.57117143880771426</v>
      </c>
      <c r="AI79" s="585">
        <f t="shared" si="1"/>
        <v>0</v>
      </c>
      <c r="AJ79" s="585">
        <f t="shared" si="1"/>
        <v>0</v>
      </c>
      <c r="AK79" s="585">
        <f t="shared" si="1"/>
        <v>-0.47519726588679745</v>
      </c>
      <c r="AL79" s="585">
        <f t="shared" si="1"/>
        <v>-0.47519726588679745</v>
      </c>
      <c r="AM79" s="585">
        <f t="shared" si="1"/>
        <v>0</v>
      </c>
      <c r="AN79" s="585">
        <f t="shared" si="1"/>
        <v>0</v>
      </c>
      <c r="AO79" s="585">
        <f t="shared" si="1"/>
        <v>-0.22667318511436871</v>
      </c>
      <c r="AP79" s="585">
        <f t="shared" si="1"/>
        <v>-0.22667318511436871</v>
      </c>
      <c r="AQ79" s="571"/>
      <c r="AR79" s="571"/>
    </row>
    <row r="80" spans="2:44" s="160" customFormat="1" x14ac:dyDescent="0.25">
      <c r="E80" s="161"/>
      <c r="F80" s="176" t="s">
        <v>153</v>
      </c>
      <c r="G80" s="167" t="s">
        <v>201</v>
      </c>
      <c r="H80" s="582"/>
      <c r="I80" s="572"/>
      <c r="J80" s="585">
        <f t="shared" ref="J80:AP80" si="2">J22+J34</f>
        <v>0</v>
      </c>
      <c r="K80" s="585">
        <f t="shared" si="2"/>
        <v>0</v>
      </c>
      <c r="L80" s="585">
        <f t="shared" si="2"/>
        <v>0</v>
      </c>
      <c r="M80" s="585">
        <f t="shared" si="2"/>
        <v>0</v>
      </c>
      <c r="N80" s="585">
        <f t="shared" si="2"/>
        <v>0</v>
      </c>
      <c r="O80" s="585">
        <f t="shared" si="2"/>
        <v>0</v>
      </c>
      <c r="P80" s="585">
        <f t="shared" si="2"/>
        <v>0</v>
      </c>
      <c r="Q80" s="585">
        <f t="shared" si="2"/>
        <v>0</v>
      </c>
      <c r="R80" s="585">
        <f t="shared" si="2"/>
        <v>0</v>
      </c>
      <c r="S80" s="585">
        <f t="shared" si="2"/>
        <v>0.38580327438281387</v>
      </c>
      <c r="T80" s="585">
        <f t="shared" si="2"/>
        <v>0.3885431481468643</v>
      </c>
      <c r="U80" s="585">
        <f t="shared" si="2"/>
        <v>0.36467549854808129</v>
      </c>
      <c r="V80" s="585">
        <f t="shared" si="2"/>
        <v>0.34676011986776656</v>
      </c>
      <c r="W80" s="585">
        <f t="shared" si="2"/>
        <v>0.34153844079377482</v>
      </c>
      <c r="X80" s="585">
        <f t="shared" si="2"/>
        <v>0</v>
      </c>
      <c r="Y80" s="585">
        <f t="shared" si="2"/>
        <v>0</v>
      </c>
      <c r="Z80" s="585">
        <f t="shared" si="2"/>
        <v>0</v>
      </c>
      <c r="AA80" s="585">
        <f t="shared" si="2"/>
        <v>0</v>
      </c>
      <c r="AB80" s="585">
        <f t="shared" si="2"/>
        <v>1.838645699263683</v>
      </c>
      <c r="AC80" s="585">
        <f t="shared" si="2"/>
        <v>0</v>
      </c>
      <c r="AD80" s="585">
        <f t="shared" si="2"/>
        <v>0</v>
      </c>
      <c r="AE80" s="585">
        <f t="shared" si="2"/>
        <v>0</v>
      </c>
      <c r="AF80" s="585">
        <f t="shared" si="2"/>
        <v>0</v>
      </c>
      <c r="AG80" s="585">
        <f t="shared" si="2"/>
        <v>-3.2538395709517873E-2</v>
      </c>
      <c r="AH80" s="585">
        <f t="shared" si="2"/>
        <v>-3.2538395709517873E-2</v>
      </c>
      <c r="AI80" s="585">
        <f t="shared" si="2"/>
        <v>0</v>
      </c>
      <c r="AJ80" s="585">
        <f t="shared" si="2"/>
        <v>0</v>
      </c>
      <c r="AK80" s="585">
        <f t="shared" si="2"/>
        <v>-2.6018043903937992E-2</v>
      </c>
      <c r="AL80" s="585">
        <f t="shared" si="2"/>
        <v>-2.6018043903937992E-2</v>
      </c>
      <c r="AM80" s="585">
        <f t="shared" si="2"/>
        <v>0</v>
      </c>
      <c r="AN80" s="585">
        <f t="shared" si="2"/>
        <v>0</v>
      </c>
      <c r="AO80" s="585">
        <f t="shared" si="2"/>
        <v>-8.4674213394694883E-3</v>
      </c>
      <c r="AP80" s="585">
        <f t="shared" si="2"/>
        <v>-8.4674213394694883E-3</v>
      </c>
      <c r="AQ80" s="571"/>
      <c r="AR80" s="571"/>
    </row>
    <row r="81" spans="1:44" s="160" customFormat="1" x14ac:dyDescent="0.25">
      <c r="E81" s="161"/>
      <c r="F81" s="176" t="s">
        <v>384</v>
      </c>
      <c r="G81" s="167" t="s">
        <v>382</v>
      </c>
      <c r="H81" s="205"/>
      <c r="I81" s="167"/>
      <c r="J81" s="428">
        <f t="shared" ref="J81:AP81" si="3">J23+J35</f>
        <v>3.5067219949848085</v>
      </c>
      <c r="K81" s="428">
        <f t="shared" si="3"/>
        <v>3.5067219949848085</v>
      </c>
      <c r="L81" s="428">
        <f t="shared" si="3"/>
        <v>0</v>
      </c>
      <c r="M81" s="428">
        <f t="shared" si="3"/>
        <v>5.253552324850304</v>
      </c>
      <c r="N81" s="428">
        <f t="shared" si="3"/>
        <v>5.253552324850304</v>
      </c>
      <c r="O81" s="428">
        <f t="shared" si="3"/>
        <v>0</v>
      </c>
      <c r="P81" s="428">
        <f t="shared" si="3"/>
        <v>28.966037960368407</v>
      </c>
      <c r="Q81" s="428">
        <f t="shared" si="3"/>
        <v>25.779541777058597</v>
      </c>
      <c r="R81" s="428">
        <f t="shared" si="3"/>
        <v>288.71453531245277</v>
      </c>
      <c r="S81" s="428">
        <f t="shared" si="3"/>
        <v>3.5067219949848085</v>
      </c>
      <c r="T81" s="428">
        <f t="shared" si="3"/>
        <v>5.253552324850304</v>
      </c>
      <c r="U81" s="428">
        <f t="shared" si="3"/>
        <v>16.485812680056686</v>
      </c>
      <c r="V81" s="428">
        <f t="shared" si="3"/>
        <v>25.779541777058597</v>
      </c>
      <c r="W81" s="428">
        <f t="shared" si="3"/>
        <v>147.36429719068178</v>
      </c>
      <c r="X81" s="428">
        <f t="shared" si="3"/>
        <v>0</v>
      </c>
      <c r="Y81" s="428">
        <f t="shared" si="3"/>
        <v>0</v>
      </c>
      <c r="Z81" s="428">
        <f t="shared" si="3"/>
        <v>0</v>
      </c>
      <c r="AA81" s="428">
        <f t="shared" si="3"/>
        <v>0</v>
      </c>
      <c r="AB81" s="428">
        <f t="shared" si="3"/>
        <v>0</v>
      </c>
      <c r="AC81" s="428">
        <f t="shared" si="3"/>
        <v>0</v>
      </c>
      <c r="AD81" s="428">
        <f t="shared" si="3"/>
        <v>0</v>
      </c>
      <c r="AE81" s="428">
        <f t="shared" si="3"/>
        <v>0</v>
      </c>
      <c r="AF81" s="428">
        <f t="shared" si="3"/>
        <v>0</v>
      </c>
      <c r="AG81" s="428">
        <f t="shared" si="3"/>
        <v>0</v>
      </c>
      <c r="AH81" s="428">
        <f t="shared" si="3"/>
        <v>0</v>
      </c>
      <c r="AI81" s="428">
        <f t="shared" si="3"/>
        <v>0</v>
      </c>
      <c r="AJ81" s="428">
        <f t="shared" si="3"/>
        <v>0</v>
      </c>
      <c r="AK81" s="428">
        <f t="shared" si="3"/>
        <v>0</v>
      </c>
      <c r="AL81" s="428">
        <f t="shared" si="3"/>
        <v>0</v>
      </c>
      <c r="AM81" s="428">
        <f t="shared" si="3"/>
        <v>242.78017970172101</v>
      </c>
      <c r="AN81" s="428">
        <f t="shared" si="3"/>
        <v>242.78017970172101</v>
      </c>
      <c r="AO81" s="428">
        <f t="shared" si="3"/>
        <v>242.78017970172101</v>
      </c>
      <c r="AP81" s="428">
        <f t="shared" si="3"/>
        <v>242.78017970172101</v>
      </c>
    </row>
    <row r="82" spans="1:44" s="160" customFormat="1" x14ac:dyDescent="0.25">
      <c r="E82" s="161"/>
      <c r="F82" s="176" t="s">
        <v>385</v>
      </c>
      <c r="G82" s="167" t="s">
        <v>381</v>
      </c>
      <c r="H82" s="205"/>
      <c r="I82" s="167"/>
      <c r="J82" s="428">
        <f t="shared" ref="J82:AP82" si="4">J24+J36</f>
        <v>0</v>
      </c>
      <c r="K82" s="428">
        <f t="shared" si="4"/>
        <v>0</v>
      </c>
      <c r="L82" s="428">
        <f t="shared" si="4"/>
        <v>0</v>
      </c>
      <c r="M82" s="428">
        <f t="shared" si="4"/>
        <v>0</v>
      </c>
      <c r="N82" s="428">
        <f t="shared" si="4"/>
        <v>0</v>
      </c>
      <c r="O82" s="428">
        <f t="shared" si="4"/>
        <v>0</v>
      </c>
      <c r="P82" s="428">
        <f t="shared" si="4"/>
        <v>0</v>
      </c>
      <c r="Q82" s="428">
        <f t="shared" si="4"/>
        <v>0</v>
      </c>
      <c r="R82" s="428">
        <f t="shared" si="4"/>
        <v>0</v>
      </c>
      <c r="S82" s="428">
        <f t="shared" si="4"/>
        <v>0</v>
      </c>
      <c r="T82" s="428">
        <f t="shared" si="4"/>
        <v>0</v>
      </c>
      <c r="U82" s="428">
        <f t="shared" si="4"/>
        <v>2.4194688143102887</v>
      </c>
      <c r="V82" s="428">
        <f t="shared" si="4"/>
        <v>4.276118885709975</v>
      </c>
      <c r="W82" s="428">
        <f t="shared" si="4"/>
        <v>5.2830912098228762</v>
      </c>
      <c r="X82" s="428">
        <f t="shared" si="4"/>
        <v>0</v>
      </c>
      <c r="Y82" s="428">
        <f t="shared" si="4"/>
        <v>0</v>
      </c>
      <c r="Z82" s="428">
        <f t="shared" si="4"/>
        <v>0</v>
      </c>
      <c r="AA82" s="428">
        <f t="shared" si="4"/>
        <v>0</v>
      </c>
      <c r="AB82" s="428">
        <f t="shared" si="4"/>
        <v>0</v>
      </c>
      <c r="AC82" s="428">
        <f t="shared" si="4"/>
        <v>0</v>
      </c>
      <c r="AD82" s="428">
        <f t="shared" si="4"/>
        <v>0</v>
      </c>
      <c r="AE82" s="428">
        <f t="shared" si="4"/>
        <v>0</v>
      </c>
      <c r="AF82" s="428">
        <f t="shared" si="4"/>
        <v>0</v>
      </c>
      <c r="AG82" s="428">
        <f t="shared" si="4"/>
        <v>0</v>
      </c>
      <c r="AH82" s="428">
        <f t="shared" si="4"/>
        <v>0</v>
      </c>
      <c r="AI82" s="428">
        <f t="shared" si="4"/>
        <v>0</v>
      </c>
      <c r="AJ82" s="428">
        <f t="shared" si="4"/>
        <v>0</v>
      </c>
      <c r="AK82" s="428">
        <f t="shared" si="4"/>
        <v>0</v>
      </c>
      <c r="AL82" s="428">
        <f t="shared" si="4"/>
        <v>0</v>
      </c>
      <c r="AM82" s="428">
        <f t="shared" si="4"/>
        <v>0</v>
      </c>
      <c r="AN82" s="428">
        <f t="shared" si="4"/>
        <v>0</v>
      </c>
      <c r="AO82" s="428">
        <f t="shared" si="4"/>
        <v>0</v>
      </c>
      <c r="AP82" s="428">
        <f t="shared" si="4"/>
        <v>0</v>
      </c>
    </row>
    <row r="83" spans="1:44" s="160" customFormat="1" x14ac:dyDescent="0.25">
      <c r="E83" s="161"/>
      <c r="F83" s="176" t="s">
        <v>386</v>
      </c>
      <c r="G83" s="167" t="s">
        <v>381</v>
      </c>
      <c r="H83" s="205"/>
      <c r="I83" s="167"/>
      <c r="J83" s="428">
        <f t="shared" ref="J83:AP83" si="5">J25+J37</f>
        <v>0</v>
      </c>
      <c r="K83" s="428">
        <f t="shared" si="5"/>
        <v>0</v>
      </c>
      <c r="L83" s="428">
        <f t="shared" si="5"/>
        <v>0</v>
      </c>
      <c r="M83" s="428">
        <f t="shared" si="5"/>
        <v>0</v>
      </c>
      <c r="N83" s="428">
        <f t="shared" si="5"/>
        <v>0</v>
      </c>
      <c r="O83" s="428">
        <f t="shared" si="5"/>
        <v>0</v>
      </c>
      <c r="P83" s="428">
        <f t="shared" si="5"/>
        <v>0</v>
      </c>
      <c r="Q83" s="428">
        <f t="shared" si="5"/>
        <v>0</v>
      </c>
      <c r="R83" s="428">
        <f t="shared" si="5"/>
        <v>0</v>
      </c>
      <c r="S83" s="428">
        <f t="shared" si="5"/>
        <v>0</v>
      </c>
      <c r="T83" s="428">
        <f t="shared" si="5"/>
        <v>0</v>
      </c>
      <c r="U83" s="428">
        <f t="shared" si="5"/>
        <v>4.5823456808537575</v>
      </c>
      <c r="V83" s="428">
        <f t="shared" si="5"/>
        <v>5.7697386725894155</v>
      </c>
      <c r="W83" s="428">
        <f t="shared" si="5"/>
        <v>6.5484178941700018</v>
      </c>
      <c r="X83" s="428">
        <f t="shared" si="5"/>
        <v>0</v>
      </c>
      <c r="Y83" s="428">
        <f t="shared" si="5"/>
        <v>0</v>
      </c>
      <c r="Z83" s="428">
        <f t="shared" si="5"/>
        <v>0</v>
      </c>
      <c r="AA83" s="428">
        <f t="shared" si="5"/>
        <v>0</v>
      </c>
      <c r="AB83" s="428">
        <f t="shared" si="5"/>
        <v>0</v>
      </c>
      <c r="AC83" s="428">
        <f t="shared" si="5"/>
        <v>0</v>
      </c>
      <c r="AD83" s="428">
        <f t="shared" si="5"/>
        <v>0</v>
      </c>
      <c r="AE83" s="428">
        <f t="shared" si="5"/>
        <v>0</v>
      </c>
      <c r="AF83" s="428">
        <f t="shared" si="5"/>
        <v>0</v>
      </c>
      <c r="AG83" s="428">
        <f t="shared" si="5"/>
        <v>0</v>
      </c>
      <c r="AH83" s="428">
        <f t="shared" si="5"/>
        <v>0</v>
      </c>
      <c r="AI83" s="428">
        <f t="shared" si="5"/>
        <v>0</v>
      </c>
      <c r="AJ83" s="428">
        <f t="shared" si="5"/>
        <v>0</v>
      </c>
      <c r="AK83" s="428">
        <f t="shared" si="5"/>
        <v>0</v>
      </c>
      <c r="AL83" s="428">
        <f t="shared" si="5"/>
        <v>0</v>
      </c>
      <c r="AM83" s="428">
        <f t="shared" si="5"/>
        <v>0</v>
      </c>
      <c r="AN83" s="428">
        <f t="shared" si="5"/>
        <v>0</v>
      </c>
      <c r="AO83" s="428">
        <f t="shared" si="5"/>
        <v>0</v>
      </c>
      <c r="AP83" s="428">
        <f t="shared" si="5"/>
        <v>0</v>
      </c>
    </row>
    <row r="84" spans="1:44" s="160" customFormat="1" x14ac:dyDescent="0.25">
      <c r="E84" s="161"/>
      <c r="F84" s="177" t="s">
        <v>387</v>
      </c>
      <c r="G84" s="168" t="s">
        <v>388</v>
      </c>
      <c r="H84" s="588"/>
      <c r="I84" s="574"/>
      <c r="J84" s="589">
        <f t="shared" ref="J84:AP84" si="6">J26+J38</f>
        <v>0</v>
      </c>
      <c r="K84" s="589">
        <f t="shared" si="6"/>
        <v>0</v>
      </c>
      <c r="L84" s="589">
        <f t="shared" si="6"/>
        <v>0</v>
      </c>
      <c r="M84" s="589">
        <f t="shared" si="6"/>
        <v>0</v>
      </c>
      <c r="N84" s="589">
        <f t="shared" si="6"/>
        <v>0</v>
      </c>
      <c r="O84" s="589">
        <f t="shared" si="6"/>
        <v>0</v>
      </c>
      <c r="P84" s="589">
        <f t="shared" si="6"/>
        <v>0</v>
      </c>
      <c r="Q84" s="589">
        <f t="shared" si="6"/>
        <v>0</v>
      </c>
      <c r="R84" s="589">
        <f t="shared" si="6"/>
        <v>0</v>
      </c>
      <c r="S84" s="589">
        <f t="shared" si="6"/>
        <v>0</v>
      </c>
      <c r="T84" s="589">
        <f t="shared" si="6"/>
        <v>0</v>
      </c>
      <c r="U84" s="589">
        <f t="shared" si="6"/>
        <v>0.20429574981631735</v>
      </c>
      <c r="V84" s="589">
        <f t="shared" si="6"/>
        <v>0.1294785680312045</v>
      </c>
      <c r="W84" s="589">
        <f t="shared" si="6"/>
        <v>8.5988859420168706E-2</v>
      </c>
      <c r="X84" s="589">
        <f t="shared" si="6"/>
        <v>0</v>
      </c>
      <c r="Y84" s="589">
        <f t="shared" si="6"/>
        <v>0</v>
      </c>
      <c r="Z84" s="589">
        <f t="shared" si="6"/>
        <v>0</v>
      </c>
      <c r="AA84" s="589">
        <f t="shared" si="6"/>
        <v>0</v>
      </c>
      <c r="AB84" s="589">
        <f t="shared" si="6"/>
        <v>0</v>
      </c>
      <c r="AC84" s="589">
        <f t="shared" si="6"/>
        <v>0</v>
      </c>
      <c r="AD84" s="589">
        <f t="shared" si="6"/>
        <v>0</v>
      </c>
      <c r="AE84" s="589">
        <f t="shared" si="6"/>
        <v>0.18588029896524536</v>
      </c>
      <c r="AF84" s="589">
        <f t="shared" si="6"/>
        <v>0</v>
      </c>
      <c r="AG84" s="589">
        <f t="shared" si="6"/>
        <v>0.18588029896524536</v>
      </c>
      <c r="AH84" s="589">
        <f t="shared" si="6"/>
        <v>0</v>
      </c>
      <c r="AI84" s="589">
        <f t="shared" si="6"/>
        <v>0.16638235815020677</v>
      </c>
      <c r="AJ84" s="589">
        <f t="shared" si="6"/>
        <v>0</v>
      </c>
      <c r="AK84" s="589">
        <f t="shared" si="6"/>
        <v>0.16638235815020677</v>
      </c>
      <c r="AL84" s="589">
        <f t="shared" si="6"/>
        <v>0</v>
      </c>
      <c r="AM84" s="589">
        <f t="shared" si="6"/>
        <v>0.14664466661720621</v>
      </c>
      <c r="AN84" s="589">
        <f t="shared" si="6"/>
        <v>0</v>
      </c>
      <c r="AO84" s="589">
        <f t="shared" si="6"/>
        <v>0.14664466661720621</v>
      </c>
      <c r="AP84" s="589">
        <f t="shared" si="6"/>
        <v>0</v>
      </c>
      <c r="AQ84" s="571"/>
      <c r="AR84" s="571"/>
    </row>
    <row r="85" spans="1:44" s="160" customFormat="1" x14ac:dyDescent="0.25">
      <c r="D85" s="172"/>
      <c r="J85" s="416"/>
      <c r="K85" s="416"/>
      <c r="L85" s="416"/>
      <c r="M85" s="416"/>
      <c r="N85" s="416"/>
      <c r="O85" s="416"/>
      <c r="P85" s="416"/>
      <c r="Q85" s="416"/>
      <c r="R85" s="416"/>
      <c r="S85" s="416"/>
      <c r="T85" s="416"/>
      <c r="U85" s="416"/>
      <c r="V85" s="416"/>
      <c r="W85" s="416"/>
      <c r="X85" s="416"/>
      <c r="Y85" s="416"/>
      <c r="Z85" s="416"/>
      <c r="AA85" s="416"/>
      <c r="AB85" s="416"/>
      <c r="AC85" s="416"/>
      <c r="AD85" s="416"/>
      <c r="AE85" s="416"/>
      <c r="AF85" s="416"/>
      <c r="AG85" s="416"/>
      <c r="AH85" s="416"/>
      <c r="AI85" s="416"/>
      <c r="AJ85" s="416"/>
      <c r="AK85" s="416"/>
      <c r="AL85" s="416"/>
      <c r="AM85" s="416"/>
      <c r="AN85" s="416"/>
      <c r="AO85" s="416"/>
      <c r="AP85" s="416"/>
    </row>
    <row r="86" spans="1:44" s="338" customFormat="1" x14ac:dyDescent="0.25">
      <c r="C86" s="22" t="str">
        <f ca="1">INDEX('Version control'!$H$34:$H$59,MATCH($A$1,'Version control'!$F$34:$F$59,0),1)&amp;"-F: tariff forecast, post-rounding"</f>
        <v>Section 519-F: tariff forecast, post-rounding</v>
      </c>
      <c r="D86" s="22"/>
      <c r="E86" s="22"/>
      <c r="F86" s="22"/>
      <c r="G86" s="22"/>
      <c r="H86" s="22"/>
      <c r="I86" s="22"/>
      <c r="J86" s="406"/>
      <c r="K86" s="406"/>
      <c r="L86" s="406"/>
      <c r="M86" s="406"/>
      <c r="N86" s="406"/>
      <c r="O86" s="406"/>
      <c r="P86" s="406"/>
      <c r="Q86" s="406"/>
      <c r="R86" s="406"/>
      <c r="S86" s="406"/>
      <c r="T86" s="406"/>
      <c r="U86" s="406"/>
      <c r="V86" s="406"/>
      <c r="W86" s="406"/>
      <c r="X86" s="406"/>
      <c r="Y86" s="406"/>
      <c r="Z86" s="406"/>
      <c r="AA86" s="406"/>
      <c r="AB86" s="406"/>
      <c r="AC86" s="406"/>
      <c r="AD86" s="406"/>
      <c r="AE86" s="406"/>
      <c r="AF86" s="406"/>
      <c r="AG86" s="406"/>
      <c r="AH86" s="406"/>
      <c r="AI86" s="406"/>
      <c r="AJ86" s="406"/>
      <c r="AK86" s="406"/>
      <c r="AL86" s="406"/>
      <c r="AM86" s="406"/>
      <c r="AN86" s="406"/>
      <c r="AO86" s="406"/>
      <c r="AP86" s="406"/>
      <c r="AQ86" s="22"/>
      <c r="AR86" s="22"/>
    </row>
    <row r="87" spans="1:44" s="338" customFormat="1" x14ac:dyDescent="0.25">
      <c r="D87" s="175"/>
      <c r="E87" s="175"/>
      <c r="J87" s="416"/>
      <c r="K87" s="416"/>
      <c r="L87" s="416"/>
      <c r="M87" s="416"/>
      <c r="N87" s="416"/>
      <c r="O87" s="416"/>
      <c r="P87" s="416"/>
      <c r="Q87" s="416"/>
      <c r="R87" s="416"/>
      <c r="S87" s="416"/>
      <c r="T87" s="416"/>
      <c r="U87" s="416"/>
      <c r="V87" s="416"/>
      <c r="W87" s="416"/>
      <c r="X87" s="416"/>
      <c r="Y87" s="416"/>
      <c r="Z87" s="416"/>
      <c r="AA87" s="416"/>
      <c r="AB87" s="416"/>
      <c r="AC87" s="416"/>
      <c r="AD87" s="416"/>
      <c r="AE87" s="416"/>
      <c r="AF87" s="416"/>
      <c r="AG87" s="416"/>
      <c r="AH87" s="416"/>
      <c r="AI87" s="416"/>
      <c r="AJ87" s="416"/>
      <c r="AK87" s="416"/>
      <c r="AL87" s="416"/>
      <c r="AM87" s="416"/>
      <c r="AN87" s="416"/>
      <c r="AO87" s="416"/>
      <c r="AP87" s="416"/>
    </row>
    <row r="88" spans="1:44" x14ac:dyDescent="0.25">
      <c r="A88" s="160"/>
      <c r="E88" s="87" t="s">
        <v>1040</v>
      </c>
      <c r="F88" s="172"/>
      <c r="I88" s="88" t="s">
        <v>525</v>
      </c>
      <c r="J88" s="416"/>
      <c r="K88" s="416"/>
      <c r="L88" s="416"/>
      <c r="M88" s="416"/>
      <c r="N88" s="416"/>
      <c r="O88" s="416"/>
      <c r="P88" s="416"/>
      <c r="Q88" s="416"/>
      <c r="R88" s="416"/>
      <c r="S88" s="416"/>
      <c r="T88" s="416"/>
      <c r="U88" s="416"/>
      <c r="V88" s="416"/>
      <c r="W88" s="416"/>
      <c r="X88" s="416"/>
      <c r="Y88" s="416"/>
      <c r="Z88" s="416"/>
      <c r="AA88" s="416"/>
      <c r="AB88" s="416"/>
      <c r="AC88" s="416"/>
      <c r="AD88" s="416"/>
      <c r="AE88" s="416"/>
      <c r="AF88" s="416"/>
      <c r="AG88" s="416"/>
      <c r="AH88" s="416"/>
      <c r="AI88" s="416"/>
      <c r="AJ88" s="416"/>
      <c r="AK88" s="416"/>
      <c r="AL88" s="416"/>
      <c r="AM88" s="416"/>
      <c r="AN88" s="416"/>
      <c r="AO88" s="416"/>
      <c r="AP88" s="416"/>
      <c r="AR88" s="160" t="s">
        <v>947</v>
      </c>
    </row>
    <row r="89" spans="1:44" x14ac:dyDescent="0.25">
      <c r="E89" s="89"/>
      <c r="F89" s="72" t="s">
        <v>151</v>
      </c>
      <c r="G89" s="13" t="s">
        <v>201</v>
      </c>
      <c r="H89" s="581"/>
      <c r="I89" s="569"/>
      <c r="J89" s="570">
        <f>ROUND(J78,$H63)</f>
        <v>1.9339999999999999</v>
      </c>
      <c r="K89" s="570">
        <f t="shared" ref="K89:AP89" si="7">ROUND(K78,$H63)</f>
        <v>2.387</v>
      </c>
      <c r="L89" s="570">
        <f t="shared" si="7"/>
        <v>0.53700000000000003</v>
      </c>
      <c r="M89" s="570">
        <f t="shared" si="7"/>
        <v>1.7769999999999999</v>
      </c>
      <c r="N89" s="570">
        <f t="shared" si="7"/>
        <v>2.59</v>
      </c>
      <c r="O89" s="570">
        <f t="shared" si="7"/>
        <v>0.66500000000000004</v>
      </c>
      <c r="P89" s="570">
        <f t="shared" si="7"/>
        <v>1.484</v>
      </c>
      <c r="Q89" s="570">
        <f t="shared" si="7"/>
        <v>1.276</v>
      </c>
      <c r="R89" s="570">
        <f t="shared" si="7"/>
        <v>0.86199999999999999</v>
      </c>
      <c r="S89" s="570">
        <f t="shared" si="7"/>
        <v>8.6999999999999993</v>
      </c>
      <c r="T89" s="570">
        <f t="shared" si="7"/>
        <v>9.1649999999999991</v>
      </c>
      <c r="U89" s="570">
        <f t="shared" si="7"/>
        <v>6.27</v>
      </c>
      <c r="V89" s="570">
        <f t="shared" si="7"/>
        <v>4.8639999999999999</v>
      </c>
      <c r="W89" s="570">
        <f t="shared" si="7"/>
        <v>3.544</v>
      </c>
      <c r="X89" s="570">
        <f t="shared" si="7"/>
        <v>2.601</v>
      </c>
      <c r="Y89" s="570">
        <f t="shared" si="7"/>
        <v>2.657</v>
      </c>
      <c r="Z89" s="570">
        <f t="shared" si="7"/>
        <v>3.4009999999999998</v>
      </c>
      <c r="AA89" s="570">
        <f t="shared" si="7"/>
        <v>2.6110000000000002</v>
      </c>
      <c r="AB89" s="570">
        <f t="shared" si="7"/>
        <v>13.724</v>
      </c>
      <c r="AC89" s="570">
        <f t="shared" si="7"/>
        <v>-0.79400000000000004</v>
      </c>
      <c r="AD89" s="570">
        <f t="shared" si="7"/>
        <v>-0.69499999999999995</v>
      </c>
      <c r="AE89" s="570">
        <f t="shared" si="7"/>
        <v>-0.79400000000000004</v>
      </c>
      <c r="AF89" s="570">
        <f t="shared" si="7"/>
        <v>-0.79400000000000004</v>
      </c>
      <c r="AG89" s="570">
        <f t="shared" si="7"/>
        <v>-5.5359999999999996</v>
      </c>
      <c r="AH89" s="570">
        <f t="shared" si="7"/>
        <v>-5.5359999999999996</v>
      </c>
      <c r="AI89" s="570">
        <f t="shared" si="7"/>
        <v>-0.69499999999999995</v>
      </c>
      <c r="AJ89" s="570">
        <f t="shared" si="7"/>
        <v>-0.69499999999999995</v>
      </c>
      <c r="AK89" s="570">
        <f t="shared" si="7"/>
        <v>-4.9939999999999998</v>
      </c>
      <c r="AL89" s="570">
        <f t="shared" si="7"/>
        <v>-4.9939999999999998</v>
      </c>
      <c r="AM89" s="570">
        <f t="shared" si="7"/>
        <v>-0.46</v>
      </c>
      <c r="AN89" s="570">
        <f t="shared" si="7"/>
        <v>-0.46</v>
      </c>
      <c r="AO89" s="570">
        <f t="shared" si="7"/>
        <v>-3.8380000000000001</v>
      </c>
      <c r="AP89" s="570">
        <f t="shared" si="7"/>
        <v>-3.8380000000000001</v>
      </c>
      <c r="AQ89" s="571"/>
      <c r="AR89" s="571"/>
    </row>
    <row r="90" spans="1:44" x14ac:dyDescent="0.25">
      <c r="E90" s="89"/>
      <c r="F90" s="66" t="s">
        <v>152</v>
      </c>
      <c r="G90" s="90" t="s">
        <v>201</v>
      </c>
      <c r="H90" s="582"/>
      <c r="I90" s="572"/>
      <c r="J90" s="573">
        <f t="shared" ref="J90:AP90" si="8">ROUND(J79,$H64)</f>
        <v>0</v>
      </c>
      <c r="K90" s="573">
        <f t="shared" si="8"/>
        <v>0.441</v>
      </c>
      <c r="L90" s="573">
        <f t="shared" si="8"/>
        <v>0</v>
      </c>
      <c r="M90" s="573">
        <f t="shared" si="8"/>
        <v>0</v>
      </c>
      <c r="N90" s="573">
        <f t="shared" si="8"/>
        <v>0.59099999999999997</v>
      </c>
      <c r="O90" s="573">
        <f t="shared" si="8"/>
        <v>0</v>
      </c>
      <c r="P90" s="573">
        <f t="shared" si="8"/>
        <v>0.43</v>
      </c>
      <c r="Q90" s="573">
        <f t="shared" si="8"/>
        <v>0.40899999999999997</v>
      </c>
      <c r="R90" s="573">
        <f t="shared" si="8"/>
        <v>0.36799999999999999</v>
      </c>
      <c r="S90" s="573">
        <f t="shared" si="8"/>
        <v>1.1990000000000001</v>
      </c>
      <c r="T90" s="573">
        <f t="shared" si="8"/>
        <v>1.2470000000000001</v>
      </c>
      <c r="U90" s="573">
        <f t="shared" si="8"/>
        <v>0.86599999999999999</v>
      </c>
      <c r="V90" s="573">
        <f t="shared" si="8"/>
        <v>0.60499999999999998</v>
      </c>
      <c r="W90" s="573">
        <f t="shared" si="8"/>
        <v>0.498</v>
      </c>
      <c r="X90" s="573">
        <f t="shared" si="8"/>
        <v>0</v>
      </c>
      <c r="Y90" s="573">
        <f t="shared" si="8"/>
        <v>0</v>
      </c>
      <c r="Z90" s="573">
        <f t="shared" si="8"/>
        <v>0</v>
      </c>
      <c r="AA90" s="573">
        <f t="shared" si="8"/>
        <v>0</v>
      </c>
      <c r="AB90" s="573">
        <f t="shared" si="8"/>
        <v>2.5760000000000001</v>
      </c>
      <c r="AC90" s="573">
        <f t="shared" si="8"/>
        <v>0</v>
      </c>
      <c r="AD90" s="573">
        <f t="shared" si="8"/>
        <v>0</v>
      </c>
      <c r="AE90" s="573">
        <f t="shared" si="8"/>
        <v>0</v>
      </c>
      <c r="AF90" s="573">
        <f t="shared" si="8"/>
        <v>0</v>
      </c>
      <c r="AG90" s="573">
        <f t="shared" si="8"/>
        <v>-0.57099999999999995</v>
      </c>
      <c r="AH90" s="573">
        <f t="shared" si="8"/>
        <v>-0.57099999999999995</v>
      </c>
      <c r="AI90" s="573">
        <f t="shared" si="8"/>
        <v>0</v>
      </c>
      <c r="AJ90" s="573">
        <f t="shared" si="8"/>
        <v>0</v>
      </c>
      <c r="AK90" s="573">
        <f t="shared" si="8"/>
        <v>-0.47499999999999998</v>
      </c>
      <c r="AL90" s="573">
        <f t="shared" si="8"/>
        <v>-0.47499999999999998</v>
      </c>
      <c r="AM90" s="573">
        <f t="shared" si="8"/>
        <v>0</v>
      </c>
      <c r="AN90" s="573">
        <f t="shared" si="8"/>
        <v>0</v>
      </c>
      <c r="AO90" s="573">
        <f t="shared" si="8"/>
        <v>-0.22700000000000001</v>
      </c>
      <c r="AP90" s="573">
        <f t="shared" si="8"/>
        <v>-0.22700000000000001</v>
      </c>
      <c r="AQ90" s="571"/>
      <c r="AR90" s="571"/>
    </row>
    <row r="91" spans="1:44" x14ac:dyDescent="0.25">
      <c r="E91" s="89"/>
      <c r="F91" s="66" t="s">
        <v>153</v>
      </c>
      <c r="G91" s="90" t="s">
        <v>201</v>
      </c>
      <c r="H91" s="582"/>
      <c r="I91" s="572"/>
      <c r="J91" s="573">
        <f t="shared" ref="J91:AP91" si="9">ROUND(J80,$H65)</f>
        <v>0</v>
      </c>
      <c r="K91" s="573">
        <f t="shared" si="9"/>
        <v>0</v>
      </c>
      <c r="L91" s="573">
        <f t="shared" si="9"/>
        <v>0</v>
      </c>
      <c r="M91" s="573">
        <f t="shared" si="9"/>
        <v>0</v>
      </c>
      <c r="N91" s="573">
        <f t="shared" si="9"/>
        <v>0</v>
      </c>
      <c r="O91" s="573">
        <f t="shared" si="9"/>
        <v>0</v>
      </c>
      <c r="P91" s="573">
        <f t="shared" si="9"/>
        <v>0</v>
      </c>
      <c r="Q91" s="573">
        <f t="shared" si="9"/>
        <v>0</v>
      </c>
      <c r="R91" s="573">
        <f t="shared" si="9"/>
        <v>0</v>
      </c>
      <c r="S91" s="573">
        <f t="shared" si="9"/>
        <v>0.38600000000000001</v>
      </c>
      <c r="T91" s="573">
        <f t="shared" si="9"/>
        <v>0.38900000000000001</v>
      </c>
      <c r="U91" s="573">
        <f t="shared" si="9"/>
        <v>0.36499999999999999</v>
      </c>
      <c r="V91" s="573">
        <f t="shared" si="9"/>
        <v>0.34699999999999998</v>
      </c>
      <c r="W91" s="573">
        <f t="shared" si="9"/>
        <v>0.34200000000000003</v>
      </c>
      <c r="X91" s="573">
        <f t="shared" si="9"/>
        <v>0</v>
      </c>
      <c r="Y91" s="573">
        <f t="shared" si="9"/>
        <v>0</v>
      </c>
      <c r="Z91" s="573">
        <f t="shared" si="9"/>
        <v>0</v>
      </c>
      <c r="AA91" s="573">
        <f t="shared" si="9"/>
        <v>0</v>
      </c>
      <c r="AB91" s="573">
        <f t="shared" si="9"/>
        <v>1.839</v>
      </c>
      <c r="AC91" s="573">
        <f t="shared" si="9"/>
        <v>0</v>
      </c>
      <c r="AD91" s="573">
        <f t="shared" si="9"/>
        <v>0</v>
      </c>
      <c r="AE91" s="573">
        <f t="shared" si="9"/>
        <v>0</v>
      </c>
      <c r="AF91" s="573">
        <f t="shared" si="9"/>
        <v>0</v>
      </c>
      <c r="AG91" s="573">
        <f t="shared" si="9"/>
        <v>-3.3000000000000002E-2</v>
      </c>
      <c r="AH91" s="573">
        <f t="shared" si="9"/>
        <v>-3.3000000000000002E-2</v>
      </c>
      <c r="AI91" s="573">
        <f t="shared" si="9"/>
        <v>0</v>
      </c>
      <c r="AJ91" s="573">
        <f t="shared" si="9"/>
        <v>0</v>
      </c>
      <c r="AK91" s="573">
        <f t="shared" si="9"/>
        <v>-2.5999999999999999E-2</v>
      </c>
      <c r="AL91" s="573">
        <f t="shared" si="9"/>
        <v>-2.5999999999999999E-2</v>
      </c>
      <c r="AM91" s="573">
        <f t="shared" si="9"/>
        <v>0</v>
      </c>
      <c r="AN91" s="573">
        <f t="shared" si="9"/>
        <v>0</v>
      </c>
      <c r="AO91" s="573">
        <f t="shared" si="9"/>
        <v>-8.0000000000000002E-3</v>
      </c>
      <c r="AP91" s="573">
        <f t="shared" si="9"/>
        <v>-8.0000000000000002E-3</v>
      </c>
      <c r="AQ91" s="571"/>
      <c r="AR91" s="571"/>
    </row>
    <row r="92" spans="1:44" x14ac:dyDescent="0.25">
      <c r="E92" s="89"/>
      <c r="F92" s="66" t="s">
        <v>384</v>
      </c>
      <c r="G92" s="90" t="s">
        <v>382</v>
      </c>
      <c r="H92" s="205"/>
      <c r="I92" s="90"/>
      <c r="J92" s="420">
        <f t="shared" ref="J92:AP92" si="10">ROUND(J81,$H66)</f>
        <v>3.51</v>
      </c>
      <c r="K92" s="420">
        <f t="shared" si="10"/>
        <v>3.51</v>
      </c>
      <c r="L92" s="420">
        <f t="shared" si="10"/>
        <v>0</v>
      </c>
      <c r="M92" s="420">
        <f t="shared" si="10"/>
        <v>5.25</v>
      </c>
      <c r="N92" s="420">
        <f t="shared" si="10"/>
        <v>5.25</v>
      </c>
      <c r="O92" s="420">
        <f t="shared" si="10"/>
        <v>0</v>
      </c>
      <c r="P92" s="420">
        <f t="shared" si="10"/>
        <v>28.97</v>
      </c>
      <c r="Q92" s="420">
        <f t="shared" si="10"/>
        <v>25.78</v>
      </c>
      <c r="R92" s="420">
        <f t="shared" si="10"/>
        <v>288.70999999999998</v>
      </c>
      <c r="S92" s="420">
        <f t="shared" si="10"/>
        <v>3.51</v>
      </c>
      <c r="T92" s="420">
        <f t="shared" si="10"/>
        <v>5.25</v>
      </c>
      <c r="U92" s="420">
        <f t="shared" si="10"/>
        <v>16.489999999999998</v>
      </c>
      <c r="V92" s="420">
        <f t="shared" si="10"/>
        <v>25.78</v>
      </c>
      <c r="W92" s="420">
        <f t="shared" si="10"/>
        <v>147.36000000000001</v>
      </c>
      <c r="X92" s="420">
        <f t="shared" si="10"/>
        <v>0</v>
      </c>
      <c r="Y92" s="420">
        <f t="shared" si="10"/>
        <v>0</v>
      </c>
      <c r="Z92" s="420">
        <f t="shared" si="10"/>
        <v>0</v>
      </c>
      <c r="AA92" s="420">
        <f t="shared" si="10"/>
        <v>0</v>
      </c>
      <c r="AB92" s="420">
        <f t="shared" si="10"/>
        <v>0</v>
      </c>
      <c r="AC92" s="420">
        <f t="shared" si="10"/>
        <v>0</v>
      </c>
      <c r="AD92" s="420">
        <f t="shared" si="10"/>
        <v>0</v>
      </c>
      <c r="AE92" s="420">
        <f t="shared" si="10"/>
        <v>0</v>
      </c>
      <c r="AF92" s="420">
        <f t="shared" si="10"/>
        <v>0</v>
      </c>
      <c r="AG92" s="420">
        <f t="shared" si="10"/>
        <v>0</v>
      </c>
      <c r="AH92" s="420">
        <f t="shared" si="10"/>
        <v>0</v>
      </c>
      <c r="AI92" s="420">
        <f t="shared" si="10"/>
        <v>0</v>
      </c>
      <c r="AJ92" s="420">
        <f t="shared" si="10"/>
        <v>0</v>
      </c>
      <c r="AK92" s="420">
        <f t="shared" si="10"/>
        <v>0</v>
      </c>
      <c r="AL92" s="420">
        <f t="shared" si="10"/>
        <v>0</v>
      </c>
      <c r="AM92" s="420">
        <f t="shared" si="10"/>
        <v>242.78</v>
      </c>
      <c r="AN92" s="420">
        <f t="shared" si="10"/>
        <v>242.78</v>
      </c>
      <c r="AO92" s="420">
        <f t="shared" si="10"/>
        <v>242.78</v>
      </c>
      <c r="AP92" s="420">
        <f t="shared" si="10"/>
        <v>242.78</v>
      </c>
    </row>
    <row r="93" spans="1:44" x14ac:dyDescent="0.25">
      <c r="E93" s="89"/>
      <c r="F93" s="66" t="s">
        <v>385</v>
      </c>
      <c r="G93" s="90" t="s">
        <v>381</v>
      </c>
      <c r="H93" s="205"/>
      <c r="I93" s="90"/>
      <c r="J93" s="420">
        <f t="shared" ref="J93:AP93" si="11">ROUND(J82,$H67)</f>
        <v>0</v>
      </c>
      <c r="K93" s="420">
        <f t="shared" si="11"/>
        <v>0</v>
      </c>
      <c r="L93" s="420">
        <f t="shared" si="11"/>
        <v>0</v>
      </c>
      <c r="M93" s="420">
        <f t="shared" si="11"/>
        <v>0</v>
      </c>
      <c r="N93" s="420">
        <f t="shared" si="11"/>
        <v>0</v>
      </c>
      <c r="O93" s="420">
        <f t="shared" si="11"/>
        <v>0</v>
      </c>
      <c r="P93" s="420">
        <f t="shared" si="11"/>
        <v>0</v>
      </c>
      <c r="Q93" s="420">
        <f t="shared" si="11"/>
        <v>0</v>
      </c>
      <c r="R93" s="420">
        <f t="shared" si="11"/>
        <v>0</v>
      </c>
      <c r="S93" s="420">
        <f t="shared" si="11"/>
        <v>0</v>
      </c>
      <c r="T93" s="420">
        <f t="shared" si="11"/>
        <v>0</v>
      </c>
      <c r="U93" s="420">
        <f t="shared" si="11"/>
        <v>2.42</v>
      </c>
      <c r="V93" s="420">
        <f t="shared" si="11"/>
        <v>4.28</v>
      </c>
      <c r="W93" s="420">
        <f t="shared" si="11"/>
        <v>5.28</v>
      </c>
      <c r="X93" s="420">
        <f t="shared" si="11"/>
        <v>0</v>
      </c>
      <c r="Y93" s="420">
        <f t="shared" si="11"/>
        <v>0</v>
      </c>
      <c r="Z93" s="420">
        <f t="shared" si="11"/>
        <v>0</v>
      </c>
      <c r="AA93" s="420">
        <f t="shared" si="11"/>
        <v>0</v>
      </c>
      <c r="AB93" s="420">
        <f t="shared" si="11"/>
        <v>0</v>
      </c>
      <c r="AC93" s="420">
        <f t="shared" si="11"/>
        <v>0</v>
      </c>
      <c r="AD93" s="420">
        <f t="shared" si="11"/>
        <v>0</v>
      </c>
      <c r="AE93" s="420">
        <f t="shared" si="11"/>
        <v>0</v>
      </c>
      <c r="AF93" s="420">
        <f t="shared" si="11"/>
        <v>0</v>
      </c>
      <c r="AG93" s="420">
        <f t="shared" si="11"/>
        <v>0</v>
      </c>
      <c r="AH93" s="420">
        <f t="shared" si="11"/>
        <v>0</v>
      </c>
      <c r="AI93" s="420">
        <f t="shared" si="11"/>
        <v>0</v>
      </c>
      <c r="AJ93" s="420">
        <f t="shared" si="11"/>
        <v>0</v>
      </c>
      <c r="AK93" s="420">
        <f t="shared" si="11"/>
        <v>0</v>
      </c>
      <c r="AL93" s="420">
        <f t="shared" si="11"/>
        <v>0</v>
      </c>
      <c r="AM93" s="420">
        <f t="shared" si="11"/>
        <v>0</v>
      </c>
      <c r="AN93" s="420">
        <f t="shared" si="11"/>
        <v>0</v>
      </c>
      <c r="AO93" s="420">
        <f t="shared" si="11"/>
        <v>0</v>
      </c>
      <c r="AP93" s="420">
        <f t="shared" si="11"/>
        <v>0</v>
      </c>
    </row>
    <row r="94" spans="1:44" x14ac:dyDescent="0.25">
      <c r="E94" s="89"/>
      <c r="F94" s="66" t="s">
        <v>386</v>
      </c>
      <c r="G94" s="90" t="s">
        <v>381</v>
      </c>
      <c r="H94" s="205"/>
      <c r="I94" s="90"/>
      <c r="J94" s="420">
        <f t="shared" ref="J94:AP94" si="12">ROUND(J83,$H68)</f>
        <v>0</v>
      </c>
      <c r="K94" s="420">
        <f t="shared" si="12"/>
        <v>0</v>
      </c>
      <c r="L94" s="420">
        <f t="shared" si="12"/>
        <v>0</v>
      </c>
      <c r="M94" s="420">
        <f t="shared" si="12"/>
        <v>0</v>
      </c>
      <c r="N94" s="420">
        <f t="shared" si="12"/>
        <v>0</v>
      </c>
      <c r="O94" s="420">
        <f t="shared" si="12"/>
        <v>0</v>
      </c>
      <c r="P94" s="420">
        <f t="shared" si="12"/>
        <v>0</v>
      </c>
      <c r="Q94" s="420">
        <f t="shared" si="12"/>
        <v>0</v>
      </c>
      <c r="R94" s="420">
        <f t="shared" si="12"/>
        <v>0</v>
      </c>
      <c r="S94" s="420">
        <f t="shared" si="12"/>
        <v>0</v>
      </c>
      <c r="T94" s="420">
        <f t="shared" si="12"/>
        <v>0</v>
      </c>
      <c r="U94" s="420">
        <f t="shared" si="12"/>
        <v>4.58</v>
      </c>
      <c r="V94" s="420">
        <f t="shared" si="12"/>
        <v>5.77</v>
      </c>
      <c r="W94" s="420">
        <f t="shared" si="12"/>
        <v>6.55</v>
      </c>
      <c r="X94" s="420">
        <f t="shared" si="12"/>
        <v>0</v>
      </c>
      <c r="Y94" s="420">
        <f t="shared" si="12"/>
        <v>0</v>
      </c>
      <c r="Z94" s="420">
        <f t="shared" si="12"/>
        <v>0</v>
      </c>
      <c r="AA94" s="420">
        <f t="shared" si="12"/>
        <v>0</v>
      </c>
      <c r="AB94" s="420">
        <f t="shared" si="12"/>
        <v>0</v>
      </c>
      <c r="AC94" s="420">
        <f t="shared" si="12"/>
        <v>0</v>
      </c>
      <c r="AD94" s="420">
        <f t="shared" si="12"/>
        <v>0</v>
      </c>
      <c r="AE94" s="420">
        <f t="shared" si="12"/>
        <v>0</v>
      </c>
      <c r="AF94" s="420">
        <f t="shared" si="12"/>
        <v>0</v>
      </c>
      <c r="AG94" s="420">
        <f t="shared" si="12"/>
        <v>0</v>
      </c>
      <c r="AH94" s="420">
        <f t="shared" si="12"/>
        <v>0</v>
      </c>
      <c r="AI94" s="420">
        <f t="shared" si="12"/>
        <v>0</v>
      </c>
      <c r="AJ94" s="420">
        <f t="shared" si="12"/>
        <v>0</v>
      </c>
      <c r="AK94" s="420">
        <f t="shared" si="12"/>
        <v>0</v>
      </c>
      <c r="AL94" s="420">
        <f t="shared" si="12"/>
        <v>0</v>
      </c>
      <c r="AM94" s="420">
        <f t="shared" si="12"/>
        <v>0</v>
      </c>
      <c r="AN94" s="420">
        <f t="shared" si="12"/>
        <v>0</v>
      </c>
      <c r="AO94" s="420">
        <f t="shared" si="12"/>
        <v>0</v>
      </c>
      <c r="AP94" s="420">
        <f t="shared" si="12"/>
        <v>0</v>
      </c>
    </row>
    <row r="95" spans="1:44" x14ac:dyDescent="0.25">
      <c r="E95" s="89"/>
      <c r="F95" s="67" t="s">
        <v>387</v>
      </c>
      <c r="G95" s="16" t="s">
        <v>388</v>
      </c>
      <c r="H95" s="588"/>
      <c r="I95" s="574"/>
      <c r="J95" s="575">
        <f t="shared" ref="J95:AP95" si="13">ROUND(J84,$H69)</f>
        <v>0</v>
      </c>
      <c r="K95" s="575">
        <f t="shared" si="13"/>
        <v>0</v>
      </c>
      <c r="L95" s="575">
        <f t="shared" si="13"/>
        <v>0</v>
      </c>
      <c r="M95" s="575">
        <f t="shared" si="13"/>
        <v>0</v>
      </c>
      <c r="N95" s="575">
        <f t="shared" si="13"/>
        <v>0</v>
      </c>
      <c r="O95" s="575">
        <f t="shared" si="13"/>
        <v>0</v>
      </c>
      <c r="P95" s="575">
        <f t="shared" si="13"/>
        <v>0</v>
      </c>
      <c r="Q95" s="575">
        <f t="shared" si="13"/>
        <v>0</v>
      </c>
      <c r="R95" s="575">
        <f t="shared" si="13"/>
        <v>0</v>
      </c>
      <c r="S95" s="575">
        <f t="shared" si="13"/>
        <v>0</v>
      </c>
      <c r="T95" s="575">
        <f t="shared" si="13"/>
        <v>0</v>
      </c>
      <c r="U95" s="575">
        <f t="shared" si="13"/>
        <v>0.20399999999999999</v>
      </c>
      <c r="V95" s="575">
        <f t="shared" si="13"/>
        <v>0.129</v>
      </c>
      <c r="W95" s="575">
        <f t="shared" si="13"/>
        <v>8.5999999999999993E-2</v>
      </c>
      <c r="X95" s="575">
        <f t="shared" si="13"/>
        <v>0</v>
      </c>
      <c r="Y95" s="575">
        <f t="shared" si="13"/>
        <v>0</v>
      </c>
      <c r="Z95" s="575">
        <f t="shared" si="13"/>
        <v>0</v>
      </c>
      <c r="AA95" s="575">
        <f t="shared" si="13"/>
        <v>0</v>
      </c>
      <c r="AB95" s="575">
        <f t="shared" si="13"/>
        <v>0</v>
      </c>
      <c r="AC95" s="575">
        <f t="shared" si="13"/>
        <v>0</v>
      </c>
      <c r="AD95" s="575">
        <f t="shared" si="13"/>
        <v>0</v>
      </c>
      <c r="AE95" s="575">
        <f t="shared" si="13"/>
        <v>0.186</v>
      </c>
      <c r="AF95" s="575">
        <f t="shared" si="13"/>
        <v>0</v>
      </c>
      <c r="AG95" s="575">
        <f t="shared" si="13"/>
        <v>0.186</v>
      </c>
      <c r="AH95" s="575">
        <f t="shared" si="13"/>
        <v>0</v>
      </c>
      <c r="AI95" s="575">
        <f t="shared" si="13"/>
        <v>0.16600000000000001</v>
      </c>
      <c r="AJ95" s="575">
        <f t="shared" si="13"/>
        <v>0</v>
      </c>
      <c r="AK95" s="575">
        <f t="shared" si="13"/>
        <v>0.16600000000000001</v>
      </c>
      <c r="AL95" s="575">
        <f t="shared" si="13"/>
        <v>0</v>
      </c>
      <c r="AM95" s="575">
        <f t="shared" si="13"/>
        <v>0.14699999999999999</v>
      </c>
      <c r="AN95" s="575">
        <f t="shared" si="13"/>
        <v>0</v>
      </c>
      <c r="AO95" s="575">
        <f t="shared" si="13"/>
        <v>0.14699999999999999</v>
      </c>
      <c r="AP95" s="575">
        <f t="shared" si="13"/>
        <v>0</v>
      </c>
      <c r="AQ95" s="571"/>
      <c r="AR95" s="571"/>
    </row>
    <row r="96" spans="1:44" x14ac:dyDescent="0.25">
      <c r="E96" s="87"/>
      <c r="J96" s="416"/>
      <c r="K96" s="416"/>
      <c r="L96" s="416"/>
      <c r="M96" s="416"/>
      <c r="N96" s="416"/>
      <c r="O96" s="416"/>
      <c r="P96" s="416"/>
      <c r="Q96" s="416"/>
      <c r="R96" s="416"/>
      <c r="S96" s="416"/>
      <c r="T96" s="416"/>
      <c r="U96" s="416"/>
      <c r="V96" s="416"/>
      <c r="W96" s="416"/>
      <c r="X96" s="416"/>
      <c r="Y96" s="416"/>
      <c r="Z96" s="416"/>
      <c r="AA96" s="416"/>
      <c r="AB96" s="416"/>
      <c r="AC96" s="416"/>
      <c r="AD96" s="416"/>
      <c r="AE96" s="416"/>
      <c r="AF96" s="416"/>
      <c r="AG96" s="416"/>
      <c r="AH96" s="416"/>
      <c r="AI96" s="416"/>
      <c r="AJ96" s="416"/>
      <c r="AK96" s="416"/>
      <c r="AL96" s="416"/>
      <c r="AM96" s="416"/>
      <c r="AN96" s="416"/>
      <c r="AO96" s="416"/>
      <c r="AP96" s="416"/>
    </row>
    <row r="97" spans="3:44" x14ac:dyDescent="0.25">
      <c r="E97" s="87" t="s">
        <v>1041</v>
      </c>
      <c r="I97" s="88" t="s">
        <v>525</v>
      </c>
      <c r="J97" s="416"/>
      <c r="K97" s="416"/>
      <c r="L97" s="416"/>
      <c r="M97" s="416"/>
      <c r="N97" s="416"/>
      <c r="O97" s="416"/>
      <c r="P97" s="416"/>
      <c r="Q97" s="416"/>
      <c r="R97" s="416"/>
      <c r="S97" s="416"/>
      <c r="T97" s="416"/>
      <c r="U97" s="416"/>
      <c r="V97" s="416"/>
      <c r="W97" s="416"/>
      <c r="X97" s="416"/>
      <c r="Y97" s="416"/>
      <c r="Z97" s="416"/>
      <c r="AA97" s="416"/>
      <c r="AB97" s="416"/>
      <c r="AC97" s="416"/>
      <c r="AD97" s="416"/>
      <c r="AE97" s="416"/>
      <c r="AF97" s="416"/>
      <c r="AG97" s="416"/>
      <c r="AH97" s="416"/>
      <c r="AI97" s="416"/>
      <c r="AJ97" s="416"/>
      <c r="AK97" s="416"/>
      <c r="AL97" s="416"/>
      <c r="AM97" s="416"/>
      <c r="AN97" s="416"/>
      <c r="AO97" s="416"/>
      <c r="AP97" s="416"/>
      <c r="AR97" s="160" t="s">
        <v>947</v>
      </c>
    </row>
    <row r="98" spans="3:44" x14ac:dyDescent="0.25">
      <c r="E98" s="89"/>
      <c r="F98" s="72" t="s">
        <v>151</v>
      </c>
      <c r="G98" s="13" t="s">
        <v>201</v>
      </c>
      <c r="H98" s="581"/>
      <c r="I98" s="569"/>
      <c r="J98" s="570">
        <f t="shared" ref="J98:P104" si="14">ROUND(J89*(1-J43),$H63)</f>
        <v>1.262</v>
      </c>
      <c r="K98" s="570">
        <f t="shared" si="14"/>
        <v>1.5569999999999999</v>
      </c>
      <c r="L98" s="570">
        <f t="shared" si="14"/>
        <v>0.35</v>
      </c>
      <c r="M98" s="570">
        <f t="shared" si="14"/>
        <v>1.159</v>
      </c>
      <c r="N98" s="570">
        <f t="shared" si="14"/>
        <v>1.69</v>
      </c>
      <c r="O98" s="570">
        <f t="shared" si="14"/>
        <v>0.434</v>
      </c>
      <c r="P98" s="570">
        <f t="shared" si="14"/>
        <v>0.96799999999999997</v>
      </c>
      <c r="Q98" s="583"/>
      <c r="R98" s="583"/>
      <c r="S98" s="570">
        <f t="shared" ref="S98:U104" si="15">ROUND(S89*(1-S43),$H63)</f>
        <v>5.6760000000000002</v>
      </c>
      <c r="T98" s="570">
        <f t="shared" si="15"/>
        <v>5.98</v>
      </c>
      <c r="U98" s="570">
        <f t="shared" si="15"/>
        <v>4.0910000000000002</v>
      </c>
      <c r="V98" s="583"/>
      <c r="W98" s="583"/>
      <c r="X98" s="570">
        <f t="shared" ref="X98:AC104" si="16">ROUND(X89*(1-X43),$H63)</f>
        <v>1.6970000000000001</v>
      </c>
      <c r="Y98" s="570">
        <f t="shared" si="16"/>
        <v>1.734</v>
      </c>
      <c r="Z98" s="570">
        <f t="shared" si="16"/>
        <v>2.2189999999999999</v>
      </c>
      <c r="AA98" s="570">
        <f t="shared" si="16"/>
        <v>1.704</v>
      </c>
      <c r="AB98" s="570">
        <f t="shared" si="16"/>
        <v>8.9540000000000006</v>
      </c>
      <c r="AC98" s="570">
        <f t="shared" si="16"/>
        <v>-0.79400000000000004</v>
      </c>
      <c r="AD98" s="583"/>
      <c r="AE98" s="570">
        <f t="shared" ref="AE98:AE104" si="17">ROUND(AE89*(1-AE43),$H63)</f>
        <v>-0.79400000000000004</v>
      </c>
      <c r="AF98" s="583"/>
      <c r="AG98" s="570">
        <f t="shared" ref="AG98:AG104" si="18">ROUND(AG89*(1-AG43),$H63)</f>
        <v>-5.5359999999999996</v>
      </c>
      <c r="AH98" s="583"/>
      <c r="AI98" s="583"/>
      <c r="AJ98" s="583"/>
      <c r="AK98" s="583"/>
      <c r="AL98" s="583"/>
      <c r="AM98" s="583"/>
      <c r="AN98" s="583"/>
      <c r="AO98" s="583"/>
      <c r="AP98" s="583"/>
      <c r="AQ98" s="571"/>
      <c r="AR98" s="571"/>
    </row>
    <row r="99" spans="3:44" x14ac:dyDescent="0.25">
      <c r="E99" s="89"/>
      <c r="F99" s="66" t="s">
        <v>152</v>
      </c>
      <c r="G99" s="90" t="s">
        <v>201</v>
      </c>
      <c r="H99" s="582"/>
      <c r="I99" s="572"/>
      <c r="J99" s="573">
        <f t="shared" si="14"/>
        <v>0</v>
      </c>
      <c r="K99" s="573">
        <f t="shared" si="14"/>
        <v>0.28799999999999998</v>
      </c>
      <c r="L99" s="573">
        <f t="shared" si="14"/>
        <v>0</v>
      </c>
      <c r="M99" s="573">
        <f t="shared" si="14"/>
        <v>0</v>
      </c>
      <c r="N99" s="573">
        <f t="shared" si="14"/>
        <v>0.38600000000000001</v>
      </c>
      <c r="O99" s="573">
        <f t="shared" si="14"/>
        <v>0</v>
      </c>
      <c r="P99" s="573">
        <f t="shared" si="14"/>
        <v>0.28100000000000003</v>
      </c>
      <c r="Q99" s="587"/>
      <c r="R99" s="587"/>
      <c r="S99" s="573">
        <f t="shared" si="15"/>
        <v>0.78200000000000003</v>
      </c>
      <c r="T99" s="573">
        <f t="shared" si="15"/>
        <v>0.81399999999999995</v>
      </c>
      <c r="U99" s="573">
        <f t="shared" si="15"/>
        <v>0.56499999999999995</v>
      </c>
      <c r="V99" s="587"/>
      <c r="W99" s="587"/>
      <c r="X99" s="573">
        <f t="shared" si="16"/>
        <v>0</v>
      </c>
      <c r="Y99" s="573">
        <f t="shared" si="16"/>
        <v>0</v>
      </c>
      <c r="Z99" s="573">
        <f t="shared" si="16"/>
        <v>0</v>
      </c>
      <c r="AA99" s="573">
        <f t="shared" si="16"/>
        <v>0</v>
      </c>
      <c r="AB99" s="573">
        <f t="shared" si="16"/>
        <v>1.681</v>
      </c>
      <c r="AC99" s="573">
        <f t="shared" si="16"/>
        <v>0</v>
      </c>
      <c r="AD99" s="587"/>
      <c r="AE99" s="573">
        <f t="shared" si="17"/>
        <v>0</v>
      </c>
      <c r="AF99" s="587"/>
      <c r="AG99" s="573">
        <f t="shared" si="18"/>
        <v>-0.57099999999999995</v>
      </c>
      <c r="AH99" s="587"/>
      <c r="AI99" s="587"/>
      <c r="AJ99" s="587"/>
      <c r="AK99" s="587"/>
      <c r="AL99" s="587"/>
      <c r="AM99" s="587"/>
      <c r="AN99" s="587"/>
      <c r="AO99" s="587"/>
      <c r="AP99" s="587"/>
      <c r="AQ99" s="571"/>
      <c r="AR99" s="571"/>
    </row>
    <row r="100" spans="3:44" x14ac:dyDescent="0.25">
      <c r="E100" s="89"/>
      <c r="F100" s="66" t="s">
        <v>153</v>
      </c>
      <c r="G100" s="90" t="s">
        <v>201</v>
      </c>
      <c r="H100" s="582"/>
      <c r="I100" s="572"/>
      <c r="J100" s="573">
        <f t="shared" si="14"/>
        <v>0</v>
      </c>
      <c r="K100" s="573">
        <f t="shared" si="14"/>
        <v>0</v>
      </c>
      <c r="L100" s="573">
        <f t="shared" si="14"/>
        <v>0</v>
      </c>
      <c r="M100" s="573">
        <f t="shared" si="14"/>
        <v>0</v>
      </c>
      <c r="N100" s="573">
        <f t="shared" si="14"/>
        <v>0</v>
      </c>
      <c r="O100" s="573">
        <f t="shared" si="14"/>
        <v>0</v>
      </c>
      <c r="P100" s="573">
        <f t="shared" si="14"/>
        <v>0</v>
      </c>
      <c r="Q100" s="587"/>
      <c r="R100" s="587"/>
      <c r="S100" s="573">
        <f t="shared" si="15"/>
        <v>0.252</v>
      </c>
      <c r="T100" s="573">
        <f t="shared" si="15"/>
        <v>0.254</v>
      </c>
      <c r="U100" s="573">
        <f t="shared" si="15"/>
        <v>0.23799999999999999</v>
      </c>
      <c r="V100" s="587"/>
      <c r="W100" s="587"/>
      <c r="X100" s="573">
        <f t="shared" si="16"/>
        <v>0</v>
      </c>
      <c r="Y100" s="573">
        <f t="shared" si="16"/>
        <v>0</v>
      </c>
      <c r="Z100" s="573">
        <f t="shared" si="16"/>
        <v>0</v>
      </c>
      <c r="AA100" s="573">
        <f t="shared" si="16"/>
        <v>0</v>
      </c>
      <c r="AB100" s="573">
        <f t="shared" si="16"/>
        <v>1.2</v>
      </c>
      <c r="AC100" s="573">
        <f t="shared" si="16"/>
        <v>0</v>
      </c>
      <c r="AD100" s="587"/>
      <c r="AE100" s="573">
        <f t="shared" si="17"/>
        <v>0</v>
      </c>
      <c r="AF100" s="587"/>
      <c r="AG100" s="573">
        <f t="shared" si="18"/>
        <v>-3.3000000000000002E-2</v>
      </c>
      <c r="AH100" s="587"/>
      <c r="AI100" s="587"/>
      <c r="AJ100" s="587"/>
      <c r="AK100" s="587"/>
      <c r="AL100" s="587"/>
      <c r="AM100" s="587"/>
      <c r="AN100" s="587"/>
      <c r="AO100" s="587"/>
      <c r="AP100" s="587"/>
      <c r="AQ100" s="571"/>
      <c r="AR100" s="571"/>
    </row>
    <row r="101" spans="3:44" x14ac:dyDescent="0.25">
      <c r="E101" s="89"/>
      <c r="F101" s="66" t="s">
        <v>384</v>
      </c>
      <c r="G101" s="90" t="s">
        <v>382</v>
      </c>
      <c r="H101" s="205"/>
      <c r="I101" s="90"/>
      <c r="J101" s="420">
        <f t="shared" si="14"/>
        <v>2.29</v>
      </c>
      <c r="K101" s="420">
        <f t="shared" si="14"/>
        <v>2.29</v>
      </c>
      <c r="L101" s="420">
        <f t="shared" si="14"/>
        <v>0</v>
      </c>
      <c r="M101" s="420">
        <f t="shared" si="14"/>
        <v>3.43</v>
      </c>
      <c r="N101" s="420">
        <f t="shared" si="14"/>
        <v>3.43</v>
      </c>
      <c r="O101" s="420">
        <f t="shared" si="14"/>
        <v>0</v>
      </c>
      <c r="P101" s="420">
        <f t="shared" si="14"/>
        <v>18.899999999999999</v>
      </c>
      <c r="Q101" s="403"/>
      <c r="R101" s="403"/>
      <c r="S101" s="420">
        <f t="shared" si="15"/>
        <v>2.29</v>
      </c>
      <c r="T101" s="420">
        <f t="shared" si="15"/>
        <v>3.43</v>
      </c>
      <c r="U101" s="420">
        <f t="shared" si="15"/>
        <v>10.76</v>
      </c>
      <c r="V101" s="403"/>
      <c r="W101" s="403"/>
      <c r="X101" s="420">
        <f t="shared" si="16"/>
        <v>0</v>
      </c>
      <c r="Y101" s="420">
        <f t="shared" si="16"/>
        <v>0</v>
      </c>
      <c r="Z101" s="420">
        <f t="shared" si="16"/>
        <v>0</v>
      </c>
      <c r="AA101" s="420">
        <f t="shared" si="16"/>
        <v>0</v>
      </c>
      <c r="AB101" s="420">
        <f t="shared" si="16"/>
        <v>0</v>
      </c>
      <c r="AC101" s="420">
        <f t="shared" si="16"/>
        <v>0</v>
      </c>
      <c r="AD101" s="403"/>
      <c r="AE101" s="420">
        <f t="shared" si="17"/>
        <v>0</v>
      </c>
      <c r="AF101" s="403"/>
      <c r="AG101" s="420">
        <f t="shared" si="18"/>
        <v>0</v>
      </c>
      <c r="AH101" s="403"/>
      <c r="AI101" s="403"/>
      <c r="AJ101" s="403"/>
      <c r="AK101" s="403"/>
      <c r="AL101" s="403"/>
      <c r="AM101" s="403"/>
      <c r="AN101" s="403"/>
      <c r="AO101" s="403"/>
      <c r="AP101" s="403"/>
    </row>
    <row r="102" spans="3:44" x14ac:dyDescent="0.25">
      <c r="E102" s="89"/>
      <c r="F102" s="66" t="s">
        <v>385</v>
      </c>
      <c r="G102" s="90" t="s">
        <v>381</v>
      </c>
      <c r="H102" s="205"/>
      <c r="I102" s="90"/>
      <c r="J102" s="420">
        <f t="shared" si="14"/>
        <v>0</v>
      </c>
      <c r="K102" s="420">
        <f t="shared" si="14"/>
        <v>0</v>
      </c>
      <c r="L102" s="420">
        <f t="shared" si="14"/>
        <v>0</v>
      </c>
      <c r="M102" s="420">
        <f t="shared" si="14"/>
        <v>0</v>
      </c>
      <c r="N102" s="420">
        <f t="shared" si="14"/>
        <v>0</v>
      </c>
      <c r="O102" s="420">
        <f t="shared" si="14"/>
        <v>0</v>
      </c>
      <c r="P102" s="420">
        <f t="shared" si="14"/>
        <v>0</v>
      </c>
      <c r="Q102" s="403"/>
      <c r="R102" s="403"/>
      <c r="S102" s="420">
        <f t="shared" si="15"/>
        <v>0</v>
      </c>
      <c r="T102" s="420">
        <f t="shared" si="15"/>
        <v>0</v>
      </c>
      <c r="U102" s="420">
        <f t="shared" si="15"/>
        <v>1.58</v>
      </c>
      <c r="V102" s="403"/>
      <c r="W102" s="403"/>
      <c r="X102" s="420">
        <f t="shared" si="16"/>
        <v>0</v>
      </c>
      <c r="Y102" s="420">
        <f t="shared" si="16"/>
        <v>0</v>
      </c>
      <c r="Z102" s="420">
        <f t="shared" si="16"/>
        <v>0</v>
      </c>
      <c r="AA102" s="420">
        <f t="shared" si="16"/>
        <v>0</v>
      </c>
      <c r="AB102" s="420">
        <f t="shared" si="16"/>
        <v>0</v>
      </c>
      <c r="AC102" s="420">
        <f t="shared" si="16"/>
        <v>0</v>
      </c>
      <c r="AD102" s="403"/>
      <c r="AE102" s="420">
        <f t="shared" si="17"/>
        <v>0</v>
      </c>
      <c r="AF102" s="403"/>
      <c r="AG102" s="420">
        <f t="shared" si="18"/>
        <v>0</v>
      </c>
      <c r="AH102" s="403"/>
      <c r="AI102" s="403"/>
      <c r="AJ102" s="403"/>
      <c r="AK102" s="403"/>
      <c r="AL102" s="403"/>
      <c r="AM102" s="403"/>
      <c r="AN102" s="403"/>
      <c r="AO102" s="403"/>
      <c r="AP102" s="403"/>
    </row>
    <row r="103" spans="3:44" x14ac:dyDescent="0.25">
      <c r="E103" s="89"/>
      <c r="F103" s="66" t="s">
        <v>386</v>
      </c>
      <c r="G103" s="90" t="s">
        <v>381</v>
      </c>
      <c r="H103" s="205"/>
      <c r="I103" s="90"/>
      <c r="J103" s="420">
        <f t="shared" si="14"/>
        <v>0</v>
      </c>
      <c r="K103" s="420">
        <f t="shared" si="14"/>
        <v>0</v>
      </c>
      <c r="L103" s="420">
        <f t="shared" si="14"/>
        <v>0</v>
      </c>
      <c r="M103" s="420">
        <f t="shared" si="14"/>
        <v>0</v>
      </c>
      <c r="N103" s="420">
        <f t="shared" si="14"/>
        <v>0</v>
      </c>
      <c r="O103" s="420">
        <f t="shared" si="14"/>
        <v>0</v>
      </c>
      <c r="P103" s="420">
        <f t="shared" si="14"/>
        <v>0</v>
      </c>
      <c r="Q103" s="403"/>
      <c r="R103" s="403"/>
      <c r="S103" s="420">
        <f t="shared" si="15"/>
        <v>0</v>
      </c>
      <c r="T103" s="420">
        <f t="shared" si="15"/>
        <v>0</v>
      </c>
      <c r="U103" s="420">
        <f t="shared" si="15"/>
        <v>2.99</v>
      </c>
      <c r="V103" s="403"/>
      <c r="W103" s="403"/>
      <c r="X103" s="420">
        <f t="shared" si="16"/>
        <v>0</v>
      </c>
      <c r="Y103" s="420">
        <f t="shared" si="16"/>
        <v>0</v>
      </c>
      <c r="Z103" s="420">
        <f t="shared" si="16"/>
        <v>0</v>
      </c>
      <c r="AA103" s="420">
        <f t="shared" si="16"/>
        <v>0</v>
      </c>
      <c r="AB103" s="420">
        <f t="shared" si="16"/>
        <v>0</v>
      </c>
      <c r="AC103" s="420">
        <f t="shared" si="16"/>
        <v>0</v>
      </c>
      <c r="AD103" s="403"/>
      <c r="AE103" s="420">
        <f t="shared" si="17"/>
        <v>0</v>
      </c>
      <c r="AF103" s="403"/>
      <c r="AG103" s="420">
        <f t="shared" si="18"/>
        <v>0</v>
      </c>
      <c r="AH103" s="403"/>
      <c r="AI103" s="403"/>
      <c r="AJ103" s="403"/>
      <c r="AK103" s="403"/>
      <c r="AL103" s="403"/>
      <c r="AM103" s="403"/>
      <c r="AN103" s="403"/>
      <c r="AO103" s="403"/>
      <c r="AP103" s="403"/>
    </row>
    <row r="104" spans="3:44" x14ac:dyDescent="0.25">
      <c r="E104" s="89"/>
      <c r="F104" s="67" t="s">
        <v>387</v>
      </c>
      <c r="G104" s="16" t="s">
        <v>388</v>
      </c>
      <c r="H104" s="588"/>
      <c r="I104" s="574"/>
      <c r="J104" s="575">
        <f t="shared" si="14"/>
        <v>0</v>
      </c>
      <c r="K104" s="575">
        <f t="shared" si="14"/>
        <v>0</v>
      </c>
      <c r="L104" s="575">
        <f t="shared" si="14"/>
        <v>0</v>
      </c>
      <c r="M104" s="575">
        <f t="shared" si="14"/>
        <v>0</v>
      </c>
      <c r="N104" s="575">
        <f t="shared" si="14"/>
        <v>0</v>
      </c>
      <c r="O104" s="575">
        <f t="shared" si="14"/>
        <v>0</v>
      </c>
      <c r="P104" s="575">
        <f t="shared" si="14"/>
        <v>0</v>
      </c>
      <c r="Q104" s="579"/>
      <c r="R104" s="579"/>
      <c r="S104" s="575">
        <f t="shared" si="15"/>
        <v>0</v>
      </c>
      <c r="T104" s="575">
        <f t="shared" si="15"/>
        <v>0</v>
      </c>
      <c r="U104" s="575">
        <f t="shared" si="15"/>
        <v>0.13300000000000001</v>
      </c>
      <c r="V104" s="579"/>
      <c r="W104" s="579"/>
      <c r="X104" s="575">
        <f t="shared" si="16"/>
        <v>0</v>
      </c>
      <c r="Y104" s="575">
        <f t="shared" si="16"/>
        <v>0</v>
      </c>
      <c r="Z104" s="575">
        <f t="shared" si="16"/>
        <v>0</v>
      </c>
      <c r="AA104" s="575">
        <f t="shared" si="16"/>
        <v>0</v>
      </c>
      <c r="AB104" s="575">
        <f t="shared" si="16"/>
        <v>0</v>
      </c>
      <c r="AC104" s="575">
        <f t="shared" si="16"/>
        <v>0</v>
      </c>
      <c r="AD104" s="579"/>
      <c r="AE104" s="575">
        <f t="shared" si="17"/>
        <v>0.186</v>
      </c>
      <c r="AF104" s="579"/>
      <c r="AG104" s="575">
        <f t="shared" si="18"/>
        <v>0.186</v>
      </c>
      <c r="AH104" s="579"/>
      <c r="AI104" s="579"/>
      <c r="AJ104" s="579"/>
      <c r="AK104" s="579"/>
      <c r="AL104" s="579"/>
      <c r="AM104" s="579"/>
      <c r="AN104" s="579"/>
      <c r="AO104" s="579"/>
      <c r="AP104" s="579"/>
      <c r="AQ104" s="571"/>
      <c r="AR104" s="571"/>
    </row>
    <row r="105" spans="3:44" x14ac:dyDescent="0.25">
      <c r="E105" s="89"/>
      <c r="J105" s="416"/>
      <c r="K105" s="416"/>
      <c r="L105" s="416"/>
      <c r="M105" s="416"/>
      <c r="N105" s="416"/>
      <c r="O105" s="416"/>
      <c r="P105" s="416"/>
      <c r="Q105" s="416"/>
      <c r="R105" s="416"/>
      <c r="S105" s="416"/>
      <c r="T105" s="416"/>
      <c r="U105" s="416"/>
      <c r="V105" s="416"/>
      <c r="W105" s="416"/>
      <c r="X105" s="416"/>
      <c r="Y105" s="416"/>
      <c r="Z105" s="416"/>
      <c r="AA105" s="416"/>
      <c r="AB105" s="416"/>
      <c r="AC105" s="416"/>
      <c r="AD105" s="416"/>
      <c r="AE105" s="416"/>
      <c r="AF105" s="416"/>
      <c r="AG105" s="416"/>
      <c r="AH105" s="416"/>
      <c r="AI105" s="416"/>
      <c r="AJ105" s="416"/>
      <c r="AK105" s="416"/>
      <c r="AL105" s="416"/>
      <c r="AM105" s="416"/>
      <c r="AN105" s="416"/>
      <c r="AO105" s="416"/>
      <c r="AP105" s="416"/>
    </row>
    <row r="106" spans="3:44" x14ac:dyDescent="0.25">
      <c r="E106" s="87" t="s">
        <v>1042</v>
      </c>
      <c r="I106" s="88" t="s">
        <v>525</v>
      </c>
      <c r="J106" s="416"/>
      <c r="K106" s="416"/>
      <c r="L106" s="416"/>
      <c r="M106" s="416"/>
      <c r="N106" s="416"/>
      <c r="O106" s="416"/>
      <c r="P106" s="416"/>
      <c r="Q106" s="416"/>
      <c r="R106" s="416"/>
      <c r="S106" s="416"/>
      <c r="T106" s="416"/>
      <c r="U106" s="416"/>
      <c r="V106" s="416"/>
      <c r="W106" s="416"/>
      <c r="X106" s="416"/>
      <c r="Y106" s="416"/>
      <c r="Z106" s="416"/>
      <c r="AA106" s="416"/>
      <c r="AB106" s="416"/>
      <c r="AC106" s="416"/>
      <c r="AD106" s="416"/>
      <c r="AE106" s="416"/>
      <c r="AF106" s="416"/>
      <c r="AG106" s="416"/>
      <c r="AH106" s="416"/>
      <c r="AI106" s="416"/>
      <c r="AJ106" s="416"/>
      <c r="AK106" s="416"/>
      <c r="AL106" s="416"/>
      <c r="AM106" s="416"/>
      <c r="AN106" s="416"/>
      <c r="AO106" s="416"/>
      <c r="AP106" s="416"/>
      <c r="AR106" s="160" t="s">
        <v>947</v>
      </c>
    </row>
    <row r="107" spans="3:44" x14ac:dyDescent="0.25">
      <c r="C107" s="89"/>
      <c r="E107" s="91"/>
      <c r="F107" s="72" t="s">
        <v>151</v>
      </c>
      <c r="G107" s="13" t="s">
        <v>201</v>
      </c>
      <c r="H107" s="581"/>
      <c r="I107" s="569"/>
      <c r="J107" s="570">
        <f t="shared" ref="J107:P113" si="19">ROUND(J89*(1-J52),$H63)</f>
        <v>0.83899999999999997</v>
      </c>
      <c r="K107" s="570">
        <f t="shared" si="19"/>
        <v>1.036</v>
      </c>
      <c r="L107" s="570">
        <f t="shared" si="19"/>
        <v>0.23300000000000001</v>
      </c>
      <c r="M107" s="570">
        <f t="shared" si="19"/>
        <v>0.77100000000000002</v>
      </c>
      <c r="N107" s="570">
        <f t="shared" si="19"/>
        <v>1.1240000000000001</v>
      </c>
      <c r="O107" s="570">
        <f t="shared" si="19"/>
        <v>0.28899999999999998</v>
      </c>
      <c r="P107" s="570">
        <f t="shared" si="19"/>
        <v>0.64400000000000002</v>
      </c>
      <c r="Q107" s="583"/>
      <c r="R107" s="583"/>
      <c r="S107" s="570">
        <f t="shared" ref="S107:AE107" si="20">ROUND(S89*(1-S52),$H63)</f>
        <v>3.7759999999999998</v>
      </c>
      <c r="T107" s="570">
        <f t="shared" si="20"/>
        <v>3.9780000000000002</v>
      </c>
      <c r="U107" s="570">
        <f t="shared" si="20"/>
        <v>2.722</v>
      </c>
      <c r="V107" s="570">
        <f t="shared" si="20"/>
        <v>3.367</v>
      </c>
      <c r="W107" s="570">
        <f t="shared" si="20"/>
        <v>2.8079999999999998</v>
      </c>
      <c r="X107" s="570">
        <f t="shared" si="20"/>
        <v>1.129</v>
      </c>
      <c r="Y107" s="570">
        <f t="shared" si="20"/>
        <v>1.153</v>
      </c>
      <c r="Z107" s="570">
        <f t="shared" si="20"/>
        <v>1.476</v>
      </c>
      <c r="AA107" s="570">
        <f t="shared" si="20"/>
        <v>1.133</v>
      </c>
      <c r="AB107" s="570">
        <f t="shared" si="20"/>
        <v>5.9569999999999999</v>
      </c>
      <c r="AC107" s="570">
        <f t="shared" si="20"/>
        <v>-0.79400000000000004</v>
      </c>
      <c r="AD107" s="570">
        <f t="shared" si="20"/>
        <v>-0.69499999999999995</v>
      </c>
      <c r="AE107" s="570">
        <f t="shared" si="20"/>
        <v>-0.79400000000000004</v>
      </c>
      <c r="AF107" s="583"/>
      <c r="AG107" s="570">
        <f t="shared" ref="AG107:AG113" si="21">ROUND(AG89*(1-AG52),$H63)</f>
        <v>-5.5359999999999996</v>
      </c>
      <c r="AH107" s="583"/>
      <c r="AI107" s="570">
        <f t="shared" ref="AI107:AI113" si="22">ROUND(AI89*(1-AI52),$H63)</f>
        <v>-0.69499999999999995</v>
      </c>
      <c r="AJ107" s="583"/>
      <c r="AK107" s="570">
        <f t="shared" ref="AK107:AK113" si="23">ROUND(AK89*(1-AK52),$H63)</f>
        <v>-4.9939999999999998</v>
      </c>
      <c r="AL107" s="583"/>
      <c r="AM107" s="570">
        <f t="shared" ref="AM107:AM113" si="24">ROUND(AM89*(1-AM52),$H63)</f>
        <v>-0.46</v>
      </c>
      <c r="AN107" s="583"/>
      <c r="AO107" s="570">
        <f t="shared" ref="AO107:AO113" si="25">ROUND(AO89*(1-AO52),$H63)</f>
        <v>-3.8380000000000001</v>
      </c>
      <c r="AP107" s="583"/>
      <c r="AQ107" s="571"/>
      <c r="AR107" s="571"/>
    </row>
    <row r="108" spans="3:44" x14ac:dyDescent="0.25">
      <c r="C108" s="89"/>
      <c r="E108" s="91"/>
      <c r="F108" s="66" t="s">
        <v>152</v>
      </c>
      <c r="G108" s="90" t="s">
        <v>201</v>
      </c>
      <c r="H108" s="582"/>
      <c r="I108" s="572"/>
      <c r="J108" s="573">
        <f t="shared" si="19"/>
        <v>0</v>
      </c>
      <c r="K108" s="573">
        <f t="shared" si="19"/>
        <v>0.191</v>
      </c>
      <c r="L108" s="573">
        <f t="shared" si="19"/>
        <v>0</v>
      </c>
      <c r="M108" s="573">
        <f t="shared" si="19"/>
        <v>0</v>
      </c>
      <c r="N108" s="573">
        <f t="shared" si="19"/>
        <v>0.25700000000000001</v>
      </c>
      <c r="O108" s="573">
        <f t="shared" si="19"/>
        <v>0</v>
      </c>
      <c r="P108" s="573">
        <f t="shared" si="19"/>
        <v>0.187</v>
      </c>
      <c r="Q108" s="587"/>
      <c r="R108" s="587"/>
      <c r="S108" s="573">
        <f t="shared" ref="S108:AE108" si="26">ROUND(S90*(1-S53),$H64)</f>
        <v>0.52</v>
      </c>
      <c r="T108" s="573">
        <f t="shared" si="26"/>
        <v>0.54100000000000004</v>
      </c>
      <c r="U108" s="573">
        <f t="shared" si="26"/>
        <v>0.376</v>
      </c>
      <c r="V108" s="573">
        <f t="shared" si="26"/>
        <v>0.41899999999999998</v>
      </c>
      <c r="W108" s="573">
        <f t="shared" si="26"/>
        <v>0.39500000000000002</v>
      </c>
      <c r="X108" s="573">
        <f t="shared" si="26"/>
        <v>0</v>
      </c>
      <c r="Y108" s="573">
        <f t="shared" si="26"/>
        <v>0</v>
      </c>
      <c r="Z108" s="573">
        <f t="shared" si="26"/>
        <v>0</v>
      </c>
      <c r="AA108" s="573">
        <f t="shared" si="26"/>
        <v>0</v>
      </c>
      <c r="AB108" s="573">
        <f t="shared" si="26"/>
        <v>1.1180000000000001</v>
      </c>
      <c r="AC108" s="573">
        <f t="shared" si="26"/>
        <v>0</v>
      </c>
      <c r="AD108" s="573">
        <f t="shared" si="26"/>
        <v>0</v>
      </c>
      <c r="AE108" s="573">
        <f t="shared" si="26"/>
        <v>0</v>
      </c>
      <c r="AF108" s="587"/>
      <c r="AG108" s="573">
        <f t="shared" si="21"/>
        <v>-0.57099999999999995</v>
      </c>
      <c r="AH108" s="587"/>
      <c r="AI108" s="573">
        <f t="shared" si="22"/>
        <v>0</v>
      </c>
      <c r="AJ108" s="587"/>
      <c r="AK108" s="573">
        <f t="shared" si="23"/>
        <v>-0.47499999999999998</v>
      </c>
      <c r="AL108" s="587"/>
      <c r="AM108" s="573">
        <f t="shared" si="24"/>
        <v>0</v>
      </c>
      <c r="AN108" s="587"/>
      <c r="AO108" s="573">
        <f t="shared" si="25"/>
        <v>-0.22700000000000001</v>
      </c>
      <c r="AP108" s="587"/>
      <c r="AQ108" s="571"/>
      <c r="AR108" s="571"/>
    </row>
    <row r="109" spans="3:44" x14ac:dyDescent="0.25">
      <c r="C109" s="89"/>
      <c r="E109" s="91"/>
      <c r="F109" s="66" t="s">
        <v>153</v>
      </c>
      <c r="G109" s="90" t="s">
        <v>201</v>
      </c>
      <c r="H109" s="582"/>
      <c r="I109" s="572"/>
      <c r="J109" s="573">
        <f t="shared" si="19"/>
        <v>0</v>
      </c>
      <c r="K109" s="573">
        <f t="shared" si="19"/>
        <v>0</v>
      </c>
      <c r="L109" s="573">
        <f t="shared" si="19"/>
        <v>0</v>
      </c>
      <c r="M109" s="573">
        <f t="shared" si="19"/>
        <v>0</v>
      </c>
      <c r="N109" s="573">
        <f t="shared" si="19"/>
        <v>0</v>
      </c>
      <c r="O109" s="573">
        <f t="shared" si="19"/>
        <v>0</v>
      </c>
      <c r="P109" s="573">
        <f t="shared" si="19"/>
        <v>0</v>
      </c>
      <c r="Q109" s="587"/>
      <c r="R109" s="587"/>
      <c r="S109" s="573">
        <f t="shared" ref="S109:AE109" si="27">ROUND(S91*(1-S54),$H65)</f>
        <v>0.16800000000000001</v>
      </c>
      <c r="T109" s="573">
        <f t="shared" si="27"/>
        <v>0.16900000000000001</v>
      </c>
      <c r="U109" s="573">
        <f t="shared" si="27"/>
        <v>0.158</v>
      </c>
      <c r="V109" s="573">
        <f t="shared" si="27"/>
        <v>0.24</v>
      </c>
      <c r="W109" s="573">
        <f t="shared" si="27"/>
        <v>0.27100000000000002</v>
      </c>
      <c r="X109" s="573">
        <f t="shared" si="27"/>
        <v>0</v>
      </c>
      <c r="Y109" s="573">
        <f t="shared" si="27"/>
        <v>0</v>
      </c>
      <c r="Z109" s="573">
        <f t="shared" si="27"/>
        <v>0</v>
      </c>
      <c r="AA109" s="573">
        <f t="shared" si="27"/>
        <v>0</v>
      </c>
      <c r="AB109" s="573">
        <f t="shared" si="27"/>
        <v>0.79800000000000004</v>
      </c>
      <c r="AC109" s="573">
        <f t="shared" si="27"/>
        <v>0</v>
      </c>
      <c r="AD109" s="573">
        <f t="shared" si="27"/>
        <v>0</v>
      </c>
      <c r="AE109" s="573">
        <f t="shared" si="27"/>
        <v>0</v>
      </c>
      <c r="AF109" s="587"/>
      <c r="AG109" s="573">
        <f t="shared" si="21"/>
        <v>-3.3000000000000002E-2</v>
      </c>
      <c r="AH109" s="587"/>
      <c r="AI109" s="573">
        <f t="shared" si="22"/>
        <v>0</v>
      </c>
      <c r="AJ109" s="587"/>
      <c r="AK109" s="573">
        <f t="shared" si="23"/>
        <v>-2.5999999999999999E-2</v>
      </c>
      <c r="AL109" s="587"/>
      <c r="AM109" s="573">
        <f t="shared" si="24"/>
        <v>0</v>
      </c>
      <c r="AN109" s="587"/>
      <c r="AO109" s="573">
        <f t="shared" si="25"/>
        <v>-8.0000000000000002E-3</v>
      </c>
      <c r="AP109" s="587"/>
      <c r="AQ109" s="571"/>
      <c r="AR109" s="571"/>
    </row>
    <row r="110" spans="3:44" x14ac:dyDescent="0.25">
      <c r="C110" s="89"/>
      <c r="E110" s="91"/>
      <c r="F110" s="66" t="s">
        <v>384</v>
      </c>
      <c r="G110" s="90" t="s">
        <v>382</v>
      </c>
      <c r="H110" s="205"/>
      <c r="I110" s="90"/>
      <c r="J110" s="420">
        <f t="shared" si="19"/>
        <v>1.52</v>
      </c>
      <c r="K110" s="420">
        <f t="shared" si="19"/>
        <v>1.52</v>
      </c>
      <c r="L110" s="420">
        <f t="shared" si="19"/>
        <v>0</v>
      </c>
      <c r="M110" s="420">
        <f t="shared" si="19"/>
        <v>2.2799999999999998</v>
      </c>
      <c r="N110" s="420">
        <f t="shared" si="19"/>
        <v>2.2799999999999998</v>
      </c>
      <c r="O110" s="420">
        <f t="shared" si="19"/>
        <v>0</v>
      </c>
      <c r="P110" s="420">
        <f t="shared" si="19"/>
        <v>12.58</v>
      </c>
      <c r="Q110" s="403"/>
      <c r="R110" s="403"/>
      <c r="S110" s="420">
        <f t="shared" ref="S110:AE110" si="28">ROUND(S92*(1-S55),$H66)</f>
        <v>1.52</v>
      </c>
      <c r="T110" s="420">
        <f t="shared" si="28"/>
        <v>2.2799999999999998</v>
      </c>
      <c r="U110" s="420">
        <f t="shared" si="28"/>
        <v>7.16</v>
      </c>
      <c r="V110" s="420">
        <f t="shared" si="28"/>
        <v>17.84</v>
      </c>
      <c r="W110" s="420">
        <f t="shared" si="28"/>
        <v>116.77</v>
      </c>
      <c r="X110" s="420">
        <f t="shared" si="28"/>
        <v>0</v>
      </c>
      <c r="Y110" s="420">
        <f t="shared" si="28"/>
        <v>0</v>
      </c>
      <c r="Z110" s="420">
        <f t="shared" si="28"/>
        <v>0</v>
      </c>
      <c r="AA110" s="420">
        <f t="shared" si="28"/>
        <v>0</v>
      </c>
      <c r="AB110" s="420">
        <f t="shared" si="28"/>
        <v>0</v>
      </c>
      <c r="AC110" s="420">
        <f t="shared" si="28"/>
        <v>0</v>
      </c>
      <c r="AD110" s="420">
        <f t="shared" si="28"/>
        <v>0</v>
      </c>
      <c r="AE110" s="420">
        <f t="shared" si="28"/>
        <v>0</v>
      </c>
      <c r="AF110" s="403"/>
      <c r="AG110" s="420">
        <f t="shared" si="21"/>
        <v>0</v>
      </c>
      <c r="AH110" s="403"/>
      <c r="AI110" s="420">
        <f t="shared" si="22"/>
        <v>0</v>
      </c>
      <c r="AJ110" s="403"/>
      <c r="AK110" s="420">
        <f t="shared" si="23"/>
        <v>0</v>
      </c>
      <c r="AL110" s="403"/>
      <c r="AM110" s="420">
        <f t="shared" si="24"/>
        <v>0</v>
      </c>
      <c r="AN110" s="403"/>
      <c r="AO110" s="420">
        <f t="shared" si="25"/>
        <v>0</v>
      </c>
      <c r="AP110" s="403"/>
    </row>
    <row r="111" spans="3:44" x14ac:dyDescent="0.25">
      <c r="C111" s="89"/>
      <c r="E111" s="91"/>
      <c r="F111" s="66" t="s">
        <v>385</v>
      </c>
      <c r="G111" s="90" t="s">
        <v>381</v>
      </c>
      <c r="H111" s="205"/>
      <c r="I111" s="90"/>
      <c r="J111" s="420">
        <f t="shared" si="19"/>
        <v>0</v>
      </c>
      <c r="K111" s="420">
        <f t="shared" si="19"/>
        <v>0</v>
      </c>
      <c r="L111" s="420">
        <f t="shared" si="19"/>
        <v>0</v>
      </c>
      <c r="M111" s="420">
        <f t="shared" si="19"/>
        <v>0</v>
      </c>
      <c r="N111" s="420">
        <f t="shared" si="19"/>
        <v>0</v>
      </c>
      <c r="O111" s="420">
        <f t="shared" si="19"/>
        <v>0</v>
      </c>
      <c r="P111" s="420">
        <f t="shared" si="19"/>
        <v>0</v>
      </c>
      <c r="Q111" s="403"/>
      <c r="R111" s="403"/>
      <c r="S111" s="420">
        <f t="shared" ref="S111:AE111" si="29">ROUND(S93*(1-S56),$H67)</f>
        <v>0</v>
      </c>
      <c r="T111" s="420">
        <f t="shared" si="29"/>
        <v>0</v>
      </c>
      <c r="U111" s="420">
        <f t="shared" si="29"/>
        <v>1.05</v>
      </c>
      <c r="V111" s="420">
        <f t="shared" si="29"/>
        <v>2.96</v>
      </c>
      <c r="W111" s="420">
        <f t="shared" si="29"/>
        <v>4.18</v>
      </c>
      <c r="X111" s="420">
        <f t="shared" si="29"/>
        <v>0</v>
      </c>
      <c r="Y111" s="420">
        <f t="shared" si="29"/>
        <v>0</v>
      </c>
      <c r="Z111" s="420">
        <f t="shared" si="29"/>
        <v>0</v>
      </c>
      <c r="AA111" s="420">
        <f t="shared" si="29"/>
        <v>0</v>
      </c>
      <c r="AB111" s="420">
        <f t="shared" si="29"/>
        <v>0</v>
      </c>
      <c r="AC111" s="420">
        <f t="shared" si="29"/>
        <v>0</v>
      </c>
      <c r="AD111" s="420">
        <f t="shared" si="29"/>
        <v>0</v>
      </c>
      <c r="AE111" s="420">
        <f t="shared" si="29"/>
        <v>0</v>
      </c>
      <c r="AF111" s="403"/>
      <c r="AG111" s="420">
        <f t="shared" si="21"/>
        <v>0</v>
      </c>
      <c r="AH111" s="403"/>
      <c r="AI111" s="420">
        <f t="shared" si="22"/>
        <v>0</v>
      </c>
      <c r="AJ111" s="403"/>
      <c r="AK111" s="420">
        <f t="shared" si="23"/>
        <v>0</v>
      </c>
      <c r="AL111" s="403"/>
      <c r="AM111" s="420">
        <f t="shared" si="24"/>
        <v>0</v>
      </c>
      <c r="AN111" s="403"/>
      <c r="AO111" s="420">
        <f t="shared" si="25"/>
        <v>0</v>
      </c>
      <c r="AP111" s="403"/>
    </row>
    <row r="112" spans="3:44" x14ac:dyDescent="0.25">
      <c r="C112" s="89"/>
      <c r="E112" s="91"/>
      <c r="F112" s="66" t="s">
        <v>386</v>
      </c>
      <c r="G112" s="90" t="s">
        <v>381</v>
      </c>
      <c r="H112" s="205"/>
      <c r="I112" s="90"/>
      <c r="J112" s="420">
        <f t="shared" si="19"/>
        <v>0</v>
      </c>
      <c r="K112" s="420">
        <f t="shared" si="19"/>
        <v>0</v>
      </c>
      <c r="L112" s="420">
        <f t="shared" si="19"/>
        <v>0</v>
      </c>
      <c r="M112" s="420">
        <f t="shared" si="19"/>
        <v>0</v>
      </c>
      <c r="N112" s="420">
        <f t="shared" si="19"/>
        <v>0</v>
      </c>
      <c r="O112" s="420">
        <f t="shared" si="19"/>
        <v>0</v>
      </c>
      <c r="P112" s="420">
        <f t="shared" si="19"/>
        <v>0</v>
      </c>
      <c r="Q112" s="403"/>
      <c r="R112" s="403"/>
      <c r="S112" s="420">
        <f t="shared" ref="S112:AE112" si="30">ROUND(S94*(1-S57),$H68)</f>
        <v>0</v>
      </c>
      <c r="T112" s="420">
        <f t="shared" si="30"/>
        <v>0</v>
      </c>
      <c r="U112" s="420">
        <f t="shared" si="30"/>
        <v>1.99</v>
      </c>
      <c r="V112" s="420">
        <f t="shared" si="30"/>
        <v>3.99</v>
      </c>
      <c r="W112" s="420">
        <f t="shared" si="30"/>
        <v>5.19</v>
      </c>
      <c r="X112" s="420">
        <f t="shared" si="30"/>
        <v>0</v>
      </c>
      <c r="Y112" s="420">
        <f t="shared" si="30"/>
        <v>0</v>
      </c>
      <c r="Z112" s="420">
        <f t="shared" si="30"/>
        <v>0</v>
      </c>
      <c r="AA112" s="420">
        <f t="shared" si="30"/>
        <v>0</v>
      </c>
      <c r="AB112" s="420">
        <f t="shared" si="30"/>
        <v>0</v>
      </c>
      <c r="AC112" s="420">
        <f t="shared" si="30"/>
        <v>0</v>
      </c>
      <c r="AD112" s="420">
        <f t="shared" si="30"/>
        <v>0</v>
      </c>
      <c r="AE112" s="420">
        <f t="shared" si="30"/>
        <v>0</v>
      </c>
      <c r="AF112" s="403"/>
      <c r="AG112" s="420">
        <f t="shared" si="21"/>
        <v>0</v>
      </c>
      <c r="AH112" s="403"/>
      <c r="AI112" s="420">
        <f t="shared" si="22"/>
        <v>0</v>
      </c>
      <c r="AJ112" s="403"/>
      <c r="AK112" s="420">
        <f t="shared" si="23"/>
        <v>0</v>
      </c>
      <c r="AL112" s="403"/>
      <c r="AM112" s="420">
        <f t="shared" si="24"/>
        <v>0</v>
      </c>
      <c r="AN112" s="403"/>
      <c r="AO112" s="420">
        <f t="shared" si="25"/>
        <v>0</v>
      </c>
      <c r="AP112" s="403"/>
    </row>
    <row r="113" spans="2:44" x14ac:dyDescent="0.25">
      <c r="C113" s="89"/>
      <c r="E113" s="91"/>
      <c r="F113" s="67" t="s">
        <v>387</v>
      </c>
      <c r="G113" s="16" t="s">
        <v>388</v>
      </c>
      <c r="H113" s="588"/>
      <c r="I113" s="574"/>
      <c r="J113" s="575">
        <f t="shared" si="19"/>
        <v>0</v>
      </c>
      <c r="K113" s="575">
        <f t="shared" si="19"/>
        <v>0</v>
      </c>
      <c r="L113" s="575">
        <f t="shared" si="19"/>
        <v>0</v>
      </c>
      <c r="M113" s="575">
        <f t="shared" si="19"/>
        <v>0</v>
      </c>
      <c r="N113" s="575">
        <f t="shared" si="19"/>
        <v>0</v>
      </c>
      <c r="O113" s="575">
        <f t="shared" si="19"/>
        <v>0</v>
      </c>
      <c r="P113" s="575">
        <f t="shared" si="19"/>
        <v>0</v>
      </c>
      <c r="Q113" s="579"/>
      <c r="R113" s="579"/>
      <c r="S113" s="575">
        <f t="shared" ref="S113:AE113" si="31">ROUND(S95*(1-S58),$H69)</f>
        <v>0</v>
      </c>
      <c r="T113" s="575">
        <f t="shared" si="31"/>
        <v>0</v>
      </c>
      <c r="U113" s="575">
        <f t="shared" si="31"/>
        <v>8.8999999999999996E-2</v>
      </c>
      <c r="V113" s="575">
        <f t="shared" si="31"/>
        <v>8.8999999999999996E-2</v>
      </c>
      <c r="W113" s="575">
        <f t="shared" si="31"/>
        <v>6.8000000000000005E-2</v>
      </c>
      <c r="X113" s="575">
        <f t="shared" si="31"/>
        <v>0</v>
      </c>
      <c r="Y113" s="575">
        <f t="shared" si="31"/>
        <v>0</v>
      </c>
      <c r="Z113" s="575">
        <f t="shared" si="31"/>
        <v>0</v>
      </c>
      <c r="AA113" s="575">
        <f t="shared" si="31"/>
        <v>0</v>
      </c>
      <c r="AB113" s="575">
        <f t="shared" si="31"/>
        <v>0</v>
      </c>
      <c r="AC113" s="575">
        <f t="shared" si="31"/>
        <v>0</v>
      </c>
      <c r="AD113" s="575">
        <f t="shared" si="31"/>
        <v>0</v>
      </c>
      <c r="AE113" s="575">
        <f t="shared" si="31"/>
        <v>0.186</v>
      </c>
      <c r="AF113" s="579"/>
      <c r="AG113" s="575">
        <f t="shared" si="21"/>
        <v>0.186</v>
      </c>
      <c r="AH113" s="579"/>
      <c r="AI113" s="575">
        <f t="shared" si="22"/>
        <v>0.16600000000000001</v>
      </c>
      <c r="AJ113" s="579"/>
      <c r="AK113" s="575">
        <f t="shared" si="23"/>
        <v>0.16600000000000001</v>
      </c>
      <c r="AL113" s="579"/>
      <c r="AM113" s="575">
        <f t="shared" si="24"/>
        <v>0.14699999999999999</v>
      </c>
      <c r="AN113" s="579"/>
      <c r="AO113" s="575">
        <f t="shared" si="25"/>
        <v>0.14699999999999999</v>
      </c>
      <c r="AP113" s="579"/>
      <c r="AQ113" s="571"/>
      <c r="AR113" s="571"/>
    </row>
    <row r="114" spans="2:44" x14ac:dyDescent="0.25">
      <c r="C114" s="89"/>
    </row>
    <row r="115" spans="2:44" s="160" customFormat="1" x14ac:dyDescent="0.25">
      <c r="B115" s="171" t="s">
        <v>126</v>
      </c>
      <c r="C115" s="171"/>
      <c r="D115" s="171"/>
      <c r="E115" s="171"/>
      <c r="F115" s="171"/>
      <c r="G115" s="171"/>
      <c r="H115" s="171"/>
      <c r="I115" s="171"/>
      <c r="J115" s="171"/>
      <c r="K115" s="171"/>
      <c r="L115" s="171"/>
      <c r="M115" s="171"/>
      <c r="N115" s="171"/>
      <c r="O115" s="171"/>
      <c r="P115" s="171"/>
      <c r="Q115" s="171"/>
      <c r="R115" s="171"/>
      <c r="S115" s="171"/>
      <c r="T115" s="171"/>
      <c r="U115" s="171"/>
      <c r="V115" s="171"/>
      <c r="W115" s="171"/>
      <c r="X115" s="171"/>
      <c r="Y115" s="171"/>
      <c r="Z115" s="171"/>
      <c r="AA115" s="171"/>
      <c r="AB115" s="171"/>
      <c r="AC115" s="171"/>
      <c r="AD115" s="171"/>
      <c r="AE115" s="171"/>
      <c r="AF115" s="171"/>
      <c r="AG115" s="171"/>
      <c r="AH115" s="171"/>
      <c r="AI115" s="171"/>
      <c r="AJ115" s="171"/>
      <c r="AK115" s="171"/>
      <c r="AL115" s="171"/>
      <c r="AM115" s="171"/>
      <c r="AN115" s="171"/>
      <c r="AO115" s="171"/>
      <c r="AP115" s="171"/>
      <c r="AQ115" s="171"/>
      <c r="AR115" s="171"/>
    </row>
    <row r="116" spans="2:44" s="160" customFormat="1" x14ac:dyDescent="0.25">
      <c r="D116" s="175"/>
      <c r="E116" s="175"/>
    </row>
    <row r="117" spans="2:44" s="160" customFormat="1" x14ac:dyDescent="0.25">
      <c r="D117" s="175"/>
      <c r="E117" s="160" t="s">
        <v>622</v>
      </c>
      <c r="G117" s="111" t="s">
        <v>814</v>
      </c>
      <c r="H117" s="362">
        <f t="array" ref="H117">SUM(IF(ISERROR(H20:AP113), 1))</f>
        <v>0</v>
      </c>
    </row>
    <row r="118" spans="2:44" s="160" customFormat="1" x14ac:dyDescent="0.25">
      <c r="D118" s="175"/>
      <c r="E118" s="175"/>
    </row>
    <row r="119" spans="2:44" x14ac:dyDescent="0.25">
      <c r="B119" s="171" t="s">
        <v>127</v>
      </c>
      <c r="C119" s="171"/>
      <c r="D119" s="171"/>
      <c r="E119" s="171"/>
      <c r="F119" s="171"/>
      <c r="G119" s="171"/>
      <c r="H119" s="171"/>
      <c r="I119" s="171"/>
      <c r="J119" s="171"/>
      <c r="K119" s="171"/>
      <c r="L119" s="171"/>
      <c r="M119" s="171"/>
      <c r="N119" s="171"/>
      <c r="O119" s="171"/>
      <c r="P119" s="171"/>
      <c r="Q119" s="171"/>
      <c r="R119" s="171"/>
      <c r="S119" s="171"/>
      <c r="T119" s="171"/>
      <c r="U119" s="171"/>
      <c r="V119" s="171"/>
      <c r="W119" s="171"/>
      <c r="X119" s="171"/>
      <c r="Y119" s="171"/>
      <c r="Z119" s="171"/>
      <c r="AA119" s="171"/>
      <c r="AB119" s="171"/>
      <c r="AC119" s="171"/>
      <c r="AD119" s="171"/>
      <c r="AE119" s="171"/>
      <c r="AF119" s="171"/>
      <c r="AG119" s="171"/>
      <c r="AH119" s="171"/>
      <c r="AI119" s="171"/>
      <c r="AJ119" s="171"/>
      <c r="AK119" s="171"/>
      <c r="AL119" s="171"/>
      <c r="AM119" s="171"/>
      <c r="AN119" s="171"/>
      <c r="AO119" s="171"/>
      <c r="AP119" s="171"/>
      <c r="AQ119" s="171"/>
      <c r="AR119" s="171"/>
    </row>
  </sheetData>
  <sheetProtection sheet="1" objects="1" formatCells="0" formatColumns="0" formatRows="0" sort="0" autoFilter="0"/>
  <conditionalFormatting sqref="H117">
    <cfRule type="cellIs" dxfId="7" priority="2" operator="greaterThan">
      <formula>0</formula>
    </cfRule>
  </conditionalFormatting>
  <conditionalFormatting sqref="A4:XFD4">
    <cfRule type="expression" dxfId="6" priority="1">
      <formula>LEFT($A$4,1) &lt;&gt; "0"</formula>
    </cfRule>
  </conditionalFormatting>
  <hyperlinks>
    <hyperlink ref="B5:F5" location="'Model map'!A1" display="Click here to return to model map"/>
    <hyperlink ref="AR62" location="'Aggreg'!B314" display="x1 = 3308. Unit rate 1 p/kWh (total) (in Summary of charges before revenue matching)"/>
  </hyperlinks>
  <pageMargins left="0.7" right="0.7" top="0.75" bottom="0.75" header="0.3" footer="0.3"/>
  <pageSetup paperSize="9" scale="32" fitToHeight="0" orientation="portrait" r:id="rId1"/>
  <headerFooter>
    <oddHeader>&amp;L&amp;A&amp;C&amp;R&amp;P of &amp;N</oddHeader>
    <oddFooter>&amp;F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tabColor theme="4" tint="0.59999389629810485"/>
  </sheetPr>
  <dimension ref="A1:CS132"/>
  <sheetViews>
    <sheetView showGridLines="0" zoomScale="80" zoomScaleNormal="80" workbookViewId="0">
      <pane xSplit="9" ySplit="5" topLeftCell="J6" activePane="bottomRight" state="frozen"/>
      <selection activeCell="N50" sqref="N50"/>
      <selection pane="topRight" activeCell="N50" sqref="N50"/>
      <selection pane="bottomLeft" activeCell="N50" sqref="N50"/>
      <selection pane="bottomRight" activeCell="J6" sqref="J6"/>
    </sheetView>
  </sheetViews>
  <sheetFormatPr defaultColWidth="0" defaultRowHeight="15" x14ac:dyDescent="0.25"/>
  <cols>
    <col min="1" max="5" width="2.7109375" style="160" customWidth="1"/>
    <col min="6" max="6" width="59.5703125" style="160" customWidth="1"/>
    <col min="7" max="8" width="20.7109375" style="160" customWidth="1"/>
    <col min="9" max="9" width="2.28515625" style="160" customWidth="1"/>
    <col min="10" max="42" width="17" style="160" customWidth="1"/>
    <col min="43" max="43" width="2.28515625" style="160" customWidth="1"/>
    <col min="44" max="44" width="50.7109375" style="160" customWidth="1"/>
    <col min="45" max="45" width="2.28515625" style="160" customWidth="1"/>
    <col min="46" max="16384" width="9.140625" style="160" hidden="1"/>
  </cols>
  <sheetData>
    <row r="1" spans="1:97" s="25" customFormat="1" x14ac:dyDescent="0.25">
      <c r="A1" s="25" t="str">
        <f ca="1">MID(CELL("filename",A1),FIND("]",CELL("filename",A1))+1,255)</f>
        <v>Net revenue summary</v>
      </c>
    </row>
    <row r="2" spans="1:97" s="25" customFormat="1" x14ac:dyDescent="0.25">
      <c r="A2" s="25" t="str">
        <f>Cover!D21&amp;" - "&amp;Cover!D23</f>
        <v>SEPD - Final</v>
      </c>
    </row>
    <row r="3" spans="1:97" s="97" customFormat="1" x14ac:dyDescent="0.25">
      <c r="A3" s="97" t="str">
        <f>Cover!D2&amp;" - "&amp;Cover!D8&amp;" v"&amp;Cover!D10&amp;" - "&amp;Cover!D19</f>
        <v>ARP model - Release for charge setting v3 - 2020/21</v>
      </c>
    </row>
    <row r="4" spans="1:97" s="338" customFormat="1" x14ac:dyDescent="0.25">
      <c r="A4" s="392" t="str">
        <f>H130 &amp; IF(H130 = 1, " issue", " issues") &amp;" identified in checks on this sheet"</f>
        <v>0 issues identified in checks on this sheet</v>
      </c>
      <c r="B4" s="393"/>
      <c r="C4" s="393"/>
      <c r="D4" s="393"/>
      <c r="E4" s="393"/>
      <c r="F4" s="393"/>
      <c r="G4" s="393"/>
      <c r="H4" s="394"/>
      <c r="I4" s="394"/>
      <c r="J4" s="393"/>
      <c r="K4" s="383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3"/>
      <c r="AD4" s="383"/>
      <c r="AE4" s="383"/>
      <c r="AF4" s="383"/>
      <c r="AG4" s="383"/>
      <c r="AH4" s="383"/>
      <c r="AI4" s="383"/>
      <c r="AJ4" s="383"/>
      <c r="AK4" s="383"/>
      <c r="AL4" s="383"/>
      <c r="AM4" s="383"/>
      <c r="AN4" s="383"/>
      <c r="AO4" s="383"/>
      <c r="AP4" s="383"/>
      <c r="AQ4" s="383"/>
      <c r="AR4" s="383"/>
      <c r="AS4" s="383"/>
      <c r="AT4" s="383"/>
      <c r="AU4" s="383"/>
      <c r="AV4" s="383"/>
      <c r="AW4" s="383"/>
      <c r="AX4" s="383"/>
      <c r="AY4" s="383"/>
      <c r="AZ4" s="383"/>
      <c r="BA4" s="383"/>
      <c r="BB4" s="383"/>
      <c r="BC4" s="383"/>
      <c r="BD4" s="383"/>
      <c r="BE4" s="383"/>
      <c r="BF4" s="383"/>
      <c r="BG4" s="383"/>
      <c r="BH4" s="383"/>
      <c r="BI4" s="383"/>
      <c r="BJ4" s="383"/>
      <c r="BK4" s="383"/>
      <c r="BL4" s="383"/>
      <c r="BM4" s="383"/>
      <c r="BN4" s="383"/>
      <c r="BO4" s="383"/>
      <c r="BP4" s="383"/>
      <c r="BQ4" s="383"/>
      <c r="BR4" s="383"/>
      <c r="BS4" s="383"/>
      <c r="BT4" s="383"/>
      <c r="BU4" s="383"/>
      <c r="BV4" s="383"/>
      <c r="BW4" s="383"/>
      <c r="BX4" s="383"/>
      <c r="BY4" s="383"/>
      <c r="BZ4" s="383"/>
      <c r="CA4" s="383"/>
      <c r="CB4" s="383"/>
      <c r="CC4" s="383"/>
      <c r="CD4" s="383"/>
      <c r="CE4" s="383"/>
      <c r="CF4" s="383"/>
      <c r="CG4" s="383"/>
      <c r="CH4" s="383"/>
      <c r="CI4" s="383"/>
      <c r="CJ4" s="383"/>
      <c r="CK4" s="383"/>
      <c r="CL4" s="383"/>
      <c r="CM4" s="383"/>
      <c r="CN4" s="383"/>
      <c r="CO4" s="383"/>
      <c r="CP4" s="383"/>
      <c r="CQ4" s="383"/>
      <c r="CR4" s="383"/>
      <c r="CS4" s="383"/>
    </row>
    <row r="5" spans="1:97" ht="60" x14ac:dyDescent="0.25">
      <c r="B5" s="244" t="s">
        <v>667</v>
      </c>
      <c r="C5" s="24"/>
      <c r="D5" s="24"/>
      <c r="E5" s="24"/>
      <c r="F5" s="24"/>
      <c r="G5" s="1" t="s">
        <v>108</v>
      </c>
      <c r="H5" s="2" t="s">
        <v>109</v>
      </c>
      <c r="J5" s="2" t="s">
        <v>52</v>
      </c>
      <c r="K5" s="2" t="s">
        <v>53</v>
      </c>
      <c r="L5" s="2" t="s">
        <v>84</v>
      </c>
      <c r="M5" s="2" t="s">
        <v>54</v>
      </c>
      <c r="N5" s="2" t="s">
        <v>55</v>
      </c>
      <c r="O5" s="2" t="s">
        <v>85</v>
      </c>
      <c r="P5" s="2" t="s">
        <v>56</v>
      </c>
      <c r="Q5" s="2" t="s">
        <v>57</v>
      </c>
      <c r="R5" s="2" t="s">
        <v>72</v>
      </c>
      <c r="S5" s="2" t="s">
        <v>58</v>
      </c>
      <c r="T5" s="2" t="s">
        <v>59</v>
      </c>
      <c r="U5" s="2" t="s">
        <v>60</v>
      </c>
      <c r="V5" s="2" t="s">
        <v>61</v>
      </c>
      <c r="W5" s="2" t="s">
        <v>73</v>
      </c>
      <c r="X5" s="2" t="s">
        <v>86</v>
      </c>
      <c r="Y5" s="2" t="s">
        <v>87</v>
      </c>
      <c r="Z5" s="2" t="s">
        <v>88</v>
      </c>
      <c r="AA5" s="2" t="s">
        <v>89</v>
      </c>
      <c r="AB5" s="2" t="s">
        <v>90</v>
      </c>
      <c r="AC5" s="2" t="s">
        <v>62</v>
      </c>
      <c r="AD5" s="2" t="s">
        <v>63</v>
      </c>
      <c r="AE5" s="2" t="s">
        <v>64</v>
      </c>
      <c r="AF5" s="2" t="s">
        <v>65</v>
      </c>
      <c r="AG5" s="2" t="s">
        <v>66</v>
      </c>
      <c r="AH5" s="2" t="s">
        <v>67</v>
      </c>
      <c r="AI5" s="2" t="s">
        <v>68</v>
      </c>
      <c r="AJ5" s="2" t="s">
        <v>69</v>
      </c>
      <c r="AK5" s="2" t="s">
        <v>70</v>
      </c>
      <c r="AL5" s="2" t="s">
        <v>71</v>
      </c>
      <c r="AM5" s="2" t="s">
        <v>74</v>
      </c>
      <c r="AN5" s="2" t="s">
        <v>75</v>
      </c>
      <c r="AO5" s="2" t="s">
        <v>76</v>
      </c>
      <c r="AP5" s="2" t="s">
        <v>77</v>
      </c>
      <c r="AR5" s="1" t="s">
        <v>110</v>
      </c>
    </row>
    <row r="7" spans="1:97" x14ac:dyDescent="0.25">
      <c r="B7" s="171" t="s">
        <v>107</v>
      </c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</row>
    <row r="9" spans="1:97" x14ac:dyDescent="0.25">
      <c r="C9" s="152" t="s">
        <v>886</v>
      </c>
    </row>
    <row r="10" spans="1:97" x14ac:dyDescent="0.25">
      <c r="C10" s="35"/>
    </row>
    <row r="11" spans="1:97" x14ac:dyDescent="0.25">
      <c r="B11" s="171" t="s">
        <v>929</v>
      </c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1"/>
      <c r="Z11" s="171"/>
      <c r="AA11" s="171"/>
      <c r="AB11" s="171"/>
      <c r="AC11" s="171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</row>
    <row r="12" spans="1:97" x14ac:dyDescent="0.25">
      <c r="D12" s="175"/>
      <c r="E12" s="175"/>
    </row>
    <row r="13" spans="1:97" x14ac:dyDescent="0.25">
      <c r="C13" s="22" t="str">
        <f ca="1">INDEX('Version control'!$H$34:$H$59,MATCH($A$1,'Version control'!$F$34:$F$59,0),1)&amp;"-A: Volume forecasts"</f>
        <v>Section 520-A: Volume forecasts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</row>
    <row r="14" spans="1:97" x14ac:dyDescent="0.25">
      <c r="D14" s="172"/>
    </row>
    <row r="15" spans="1:97" x14ac:dyDescent="0.25">
      <c r="E15" s="261" t="s">
        <v>1176</v>
      </c>
      <c r="I15" s="160" t="s">
        <v>525</v>
      </c>
      <c r="J15" s="167"/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67"/>
      <c r="Z15" s="167"/>
      <c r="AA15" s="167"/>
      <c r="AB15" s="167"/>
      <c r="AC15" s="167"/>
      <c r="AD15" s="167"/>
      <c r="AE15" s="167"/>
      <c r="AF15" s="167"/>
      <c r="AG15" s="167"/>
      <c r="AH15" s="167"/>
      <c r="AI15" s="167"/>
      <c r="AJ15" s="167"/>
      <c r="AK15" s="167"/>
      <c r="AL15" s="167"/>
      <c r="AM15" s="167"/>
      <c r="AN15" s="167"/>
      <c r="AO15" s="167"/>
      <c r="AP15" s="167"/>
      <c r="AR15" s="160" t="s">
        <v>939</v>
      </c>
    </row>
    <row r="16" spans="1:97" x14ac:dyDescent="0.25">
      <c r="F16" s="240" t="s">
        <v>327</v>
      </c>
      <c r="G16" s="240" t="s">
        <v>137</v>
      </c>
      <c r="H16" s="166"/>
      <c r="I16" s="166"/>
      <c r="J16" s="438">
        <f>'Inputs by customer type'!J24</f>
        <v>9531037.1113550775</v>
      </c>
      <c r="K16" s="438">
        <f>'Inputs by customer type'!K24</f>
        <v>829359.55798209063</v>
      </c>
      <c r="L16" s="438">
        <f>'Inputs by customer type'!L24</f>
        <v>198584.80851954999</v>
      </c>
      <c r="M16" s="438">
        <f>'Inputs by customer type'!M24</f>
        <v>2689300.0489968094</v>
      </c>
      <c r="N16" s="438">
        <f>'Inputs by customer type'!N24</f>
        <v>446135.31452730647</v>
      </c>
      <c r="O16" s="438">
        <f>'Inputs by customer type'!O24</f>
        <v>42294.937322173275</v>
      </c>
      <c r="P16" s="438">
        <f>'Inputs by customer type'!P24</f>
        <v>103112.00714729202</v>
      </c>
      <c r="Q16" s="438">
        <f>'Inputs by customer type'!Q24</f>
        <v>0</v>
      </c>
      <c r="R16" s="438">
        <f>'Inputs by customer type'!R24</f>
        <v>282.01794456199212</v>
      </c>
      <c r="S16" s="438">
        <f>'Inputs by customer type'!S24</f>
        <v>7860.2223380748837</v>
      </c>
      <c r="T16" s="438">
        <f>'Inputs by customer type'!T24</f>
        <v>31138.137808719577</v>
      </c>
      <c r="U16" s="438">
        <f>'Inputs by customer type'!U24</f>
        <v>620967.59047240799</v>
      </c>
      <c r="V16" s="438">
        <f>'Inputs by customer type'!V24</f>
        <v>32405.101745710148</v>
      </c>
      <c r="W16" s="438">
        <f>'Inputs by customer type'!W24</f>
        <v>451823.76166343415</v>
      </c>
      <c r="X16" s="438">
        <f>'Inputs by customer type'!X24</f>
        <v>24506.465925337929</v>
      </c>
      <c r="Y16" s="438">
        <f>'Inputs by customer type'!Y24</f>
        <v>15376.103638428405</v>
      </c>
      <c r="Z16" s="438">
        <f>'Inputs by customer type'!Z24</f>
        <v>714.0158417184947</v>
      </c>
      <c r="AA16" s="438">
        <f>'Inputs by customer type'!AA24</f>
        <v>149.6510564463434</v>
      </c>
      <c r="AB16" s="438">
        <f>'Inputs by customer type'!AB24</f>
        <v>11658.410074193856</v>
      </c>
      <c r="AC16" s="438">
        <f>'Inputs by customer type'!AC24</f>
        <v>4225.3710170849599</v>
      </c>
      <c r="AD16" s="438">
        <f>'Inputs by customer type'!AD24</f>
        <v>263.02538443584314</v>
      </c>
      <c r="AE16" s="438">
        <f>'Inputs by customer type'!AE24</f>
        <v>35961.144003908586</v>
      </c>
      <c r="AF16" s="438">
        <f>'Inputs by customer type'!AF24</f>
        <v>0</v>
      </c>
      <c r="AG16" s="438">
        <f>'Inputs by customer type'!AG24</f>
        <v>1371.2423324055203</v>
      </c>
      <c r="AH16" s="438">
        <f>'Inputs by customer type'!AH24</f>
        <v>0</v>
      </c>
      <c r="AI16" s="438">
        <f>'Inputs by customer type'!AI24</f>
        <v>0</v>
      </c>
      <c r="AJ16" s="438">
        <f>'Inputs by customer type'!AJ24</f>
        <v>0</v>
      </c>
      <c r="AK16" s="438">
        <f>'Inputs by customer type'!AK24</f>
        <v>0</v>
      </c>
      <c r="AL16" s="438">
        <f>'Inputs by customer type'!AL24</f>
        <v>0</v>
      </c>
      <c r="AM16" s="438">
        <f>'Inputs by customer type'!AM24</f>
        <v>468706.30956186936</v>
      </c>
      <c r="AN16" s="438">
        <f>'Inputs by customer type'!AN24</f>
        <v>0</v>
      </c>
      <c r="AO16" s="438">
        <f>'Inputs by customer type'!AO24</f>
        <v>57940.367337102631</v>
      </c>
      <c r="AP16" s="438">
        <f>'Inputs by customer type'!AP24</f>
        <v>0</v>
      </c>
    </row>
    <row r="17" spans="5:44" x14ac:dyDescent="0.25">
      <c r="E17" s="227"/>
      <c r="F17" s="290" t="s">
        <v>328</v>
      </c>
      <c r="G17" s="290" t="s">
        <v>137</v>
      </c>
      <c r="H17" s="167"/>
      <c r="I17" s="167"/>
      <c r="J17" s="437">
        <f>'Inputs by customer type'!J25</f>
        <v>0</v>
      </c>
      <c r="K17" s="437">
        <f>'Inputs by customer type'!K25</f>
        <v>730893.49412617984</v>
      </c>
      <c r="L17" s="437">
        <f>'Inputs by customer type'!L25</f>
        <v>0</v>
      </c>
      <c r="M17" s="437">
        <f>'Inputs by customer type'!M25</f>
        <v>0</v>
      </c>
      <c r="N17" s="437">
        <f>'Inputs by customer type'!N25</f>
        <v>277893.67674845975</v>
      </c>
      <c r="O17" s="437">
        <f>'Inputs by customer type'!O25</f>
        <v>0</v>
      </c>
      <c r="P17" s="437">
        <f>'Inputs by customer type'!P25</f>
        <v>6823.4996808388805</v>
      </c>
      <c r="Q17" s="437">
        <f>'Inputs by customer type'!Q25</f>
        <v>0</v>
      </c>
      <c r="R17" s="437">
        <f>'Inputs by customer type'!R25</f>
        <v>4.3459831614531019</v>
      </c>
      <c r="S17" s="437">
        <f>'Inputs by customer type'!S25</f>
        <v>24994.390520249668</v>
      </c>
      <c r="T17" s="437">
        <f>'Inputs by customer type'!T25</f>
        <v>177190.04826048089</v>
      </c>
      <c r="U17" s="437">
        <f>'Inputs by customer type'!U25</f>
        <v>3514047.1190492325</v>
      </c>
      <c r="V17" s="437">
        <f>'Inputs by customer type'!V25</f>
        <v>187630.12698838831</v>
      </c>
      <c r="W17" s="437">
        <f>'Inputs by customer type'!W25</f>
        <v>2539336.4296852075</v>
      </c>
      <c r="X17" s="437">
        <f>'Inputs by customer type'!X25</f>
        <v>0</v>
      </c>
      <c r="Y17" s="437">
        <f>'Inputs by customer type'!Y25</f>
        <v>0</v>
      </c>
      <c r="Z17" s="437">
        <f>'Inputs by customer type'!Z25</f>
        <v>0</v>
      </c>
      <c r="AA17" s="437">
        <f>'Inputs by customer type'!AA25</f>
        <v>0</v>
      </c>
      <c r="AB17" s="437">
        <f>'Inputs by customer type'!AB25</f>
        <v>68737.449629691037</v>
      </c>
      <c r="AC17" s="437">
        <f>'Inputs by customer type'!AC25</f>
        <v>0</v>
      </c>
      <c r="AD17" s="437">
        <f>'Inputs by customer type'!AD25</f>
        <v>0</v>
      </c>
      <c r="AE17" s="437">
        <f>'Inputs by customer type'!AE25</f>
        <v>0</v>
      </c>
      <c r="AF17" s="437">
        <f>'Inputs by customer type'!AF25</f>
        <v>0</v>
      </c>
      <c r="AG17" s="437">
        <f>'Inputs by customer type'!AG25</f>
        <v>7613.1539114026109</v>
      </c>
      <c r="AH17" s="437">
        <f>'Inputs by customer type'!AH25</f>
        <v>0</v>
      </c>
      <c r="AI17" s="437">
        <f>'Inputs by customer type'!AI25</f>
        <v>0</v>
      </c>
      <c r="AJ17" s="437">
        <f>'Inputs by customer type'!AJ25</f>
        <v>0</v>
      </c>
      <c r="AK17" s="437">
        <f>'Inputs by customer type'!AK25</f>
        <v>0</v>
      </c>
      <c r="AL17" s="437">
        <f>'Inputs by customer type'!AL25</f>
        <v>0</v>
      </c>
      <c r="AM17" s="437">
        <f>'Inputs by customer type'!AM25</f>
        <v>0</v>
      </c>
      <c r="AN17" s="437">
        <f>'Inputs by customer type'!AN25</f>
        <v>0</v>
      </c>
      <c r="AO17" s="437">
        <f>'Inputs by customer type'!AO25</f>
        <v>308061.97136442841</v>
      </c>
      <c r="AP17" s="437">
        <f>'Inputs by customer type'!AP25</f>
        <v>0</v>
      </c>
    </row>
    <row r="18" spans="5:44" x14ac:dyDescent="0.25">
      <c r="E18" s="227"/>
      <c r="F18" s="290" t="s">
        <v>329</v>
      </c>
      <c r="G18" s="290" t="s">
        <v>137</v>
      </c>
      <c r="H18" s="167"/>
      <c r="I18" s="167"/>
      <c r="J18" s="437">
        <f>'Inputs by customer type'!J26</f>
        <v>0</v>
      </c>
      <c r="K18" s="437">
        <f>'Inputs by customer type'!K26</f>
        <v>0</v>
      </c>
      <c r="L18" s="437">
        <f>'Inputs by customer type'!L26</f>
        <v>0</v>
      </c>
      <c r="M18" s="437">
        <f>'Inputs by customer type'!M26</f>
        <v>0</v>
      </c>
      <c r="N18" s="437">
        <f>'Inputs by customer type'!N26</f>
        <v>0</v>
      </c>
      <c r="O18" s="437">
        <f>'Inputs by customer type'!O26</f>
        <v>0</v>
      </c>
      <c r="P18" s="437">
        <f>'Inputs by customer type'!P26</f>
        <v>0</v>
      </c>
      <c r="Q18" s="437">
        <f>'Inputs by customer type'!Q26</f>
        <v>0</v>
      </c>
      <c r="R18" s="437">
        <f>'Inputs by customer type'!R26</f>
        <v>0</v>
      </c>
      <c r="S18" s="437">
        <f>'Inputs by customer type'!S26</f>
        <v>14748.66215848906</v>
      </c>
      <c r="T18" s="437">
        <f>'Inputs by customer type'!T26</f>
        <v>84561.767602422755</v>
      </c>
      <c r="U18" s="437">
        <f>'Inputs by customer type'!U26</f>
        <v>1852935.9149048373</v>
      </c>
      <c r="V18" s="437">
        <f>'Inputs by customer type'!V26</f>
        <v>115440.36843887392</v>
      </c>
      <c r="W18" s="437">
        <f>'Inputs by customer type'!W26</f>
        <v>1744020.8732995491</v>
      </c>
      <c r="X18" s="437">
        <f>'Inputs by customer type'!X26</f>
        <v>0</v>
      </c>
      <c r="Y18" s="437">
        <f>'Inputs by customer type'!Y26</f>
        <v>0</v>
      </c>
      <c r="Z18" s="437">
        <f>'Inputs by customer type'!Z26</f>
        <v>0</v>
      </c>
      <c r="AA18" s="437">
        <f>'Inputs by customer type'!AA26</f>
        <v>0</v>
      </c>
      <c r="AB18" s="437">
        <f>'Inputs by customer type'!AB26</f>
        <v>135195.92288743221</v>
      </c>
      <c r="AC18" s="437">
        <f>'Inputs by customer type'!AC26</f>
        <v>0</v>
      </c>
      <c r="AD18" s="437">
        <f>'Inputs by customer type'!AD26</f>
        <v>0</v>
      </c>
      <c r="AE18" s="437">
        <f>'Inputs by customer type'!AE26</f>
        <v>0</v>
      </c>
      <c r="AF18" s="437">
        <f>'Inputs by customer type'!AF26</f>
        <v>0</v>
      </c>
      <c r="AG18" s="437">
        <f>'Inputs by customer type'!AG26</f>
        <v>5014.6004963348978</v>
      </c>
      <c r="AH18" s="437">
        <f>'Inputs by customer type'!AH26</f>
        <v>0</v>
      </c>
      <c r="AI18" s="437">
        <f>'Inputs by customer type'!AI26</f>
        <v>0</v>
      </c>
      <c r="AJ18" s="437">
        <f>'Inputs by customer type'!AJ26</f>
        <v>0</v>
      </c>
      <c r="AK18" s="437">
        <f>'Inputs by customer type'!AK26</f>
        <v>0</v>
      </c>
      <c r="AL18" s="437">
        <f>'Inputs by customer type'!AL26</f>
        <v>0</v>
      </c>
      <c r="AM18" s="437">
        <f>'Inputs by customer type'!AM26</f>
        <v>0</v>
      </c>
      <c r="AN18" s="437">
        <f>'Inputs by customer type'!AN26</f>
        <v>0</v>
      </c>
      <c r="AO18" s="437">
        <f>'Inputs by customer type'!AO26</f>
        <v>227982.97660961846</v>
      </c>
      <c r="AP18" s="437">
        <f>'Inputs by customer type'!AP26</f>
        <v>0</v>
      </c>
    </row>
    <row r="19" spans="5:44" x14ac:dyDescent="0.25">
      <c r="E19" s="227"/>
      <c r="F19" s="290" t="s">
        <v>91</v>
      </c>
      <c r="G19" s="290" t="s">
        <v>91</v>
      </c>
      <c r="H19" s="167"/>
      <c r="I19" s="167"/>
      <c r="J19" s="437">
        <f>'Inputs by customer type'!J27</f>
        <v>2614336.2413237519</v>
      </c>
      <c r="K19" s="437">
        <f>'Inputs by customer type'!K27</f>
        <v>249507.66931899733</v>
      </c>
      <c r="L19" s="437">
        <f>'Inputs by customer type'!L27</f>
        <v>44801.254681196289</v>
      </c>
      <c r="M19" s="437">
        <f>'Inputs by customer type'!M27</f>
        <v>194209.09842697342</v>
      </c>
      <c r="N19" s="437">
        <f>'Inputs by customer type'!N27</f>
        <v>30953.589782380437</v>
      </c>
      <c r="O19" s="437">
        <f>'Inputs by customer type'!O27</f>
        <v>5572.2471252403921</v>
      </c>
      <c r="P19" s="437">
        <f>'Inputs by customer type'!P27</f>
        <v>1417.7198422895481</v>
      </c>
      <c r="Q19" s="437">
        <f>'Inputs by customer type'!Q27</f>
        <v>0</v>
      </c>
      <c r="R19" s="437">
        <f>'Inputs by customer type'!R27</f>
        <v>4</v>
      </c>
      <c r="S19" s="437">
        <f>'Inputs by customer type'!S27</f>
        <v>9733.7777777777792</v>
      </c>
      <c r="T19" s="437">
        <f>'Inputs by customer type'!T27</f>
        <v>3801.3479683887344</v>
      </c>
      <c r="U19" s="437">
        <f>'Inputs by customer type'!U27</f>
        <v>21731.709871195584</v>
      </c>
      <c r="V19" s="437">
        <f>'Inputs by customer type'!V27</f>
        <v>256.88272060595517</v>
      </c>
      <c r="W19" s="437">
        <f>'Inputs by customer type'!W27</f>
        <v>1862</v>
      </c>
      <c r="X19" s="437">
        <f>'Inputs by customer type'!X27</f>
        <v>2107.666666666667</v>
      </c>
      <c r="Y19" s="437">
        <f>'Inputs by customer type'!Y27</f>
        <v>1294.6666666666665</v>
      </c>
      <c r="Z19" s="437">
        <f>'Inputs by customer type'!Z27</f>
        <v>136</v>
      </c>
      <c r="AA19" s="437">
        <f>'Inputs by customer type'!AA27</f>
        <v>9</v>
      </c>
      <c r="AB19" s="437">
        <f>'Inputs by customer type'!AB27</f>
        <v>41</v>
      </c>
      <c r="AC19" s="437">
        <f>'Inputs by customer type'!AC27</f>
        <v>1105.7222222222224</v>
      </c>
      <c r="AD19" s="437">
        <f>'Inputs by customer type'!AD27</f>
        <v>45</v>
      </c>
      <c r="AE19" s="437">
        <f>'Inputs by customer type'!AE27</f>
        <v>808.8746645937498</v>
      </c>
      <c r="AF19" s="437">
        <f>'Inputs by customer type'!AF27</f>
        <v>0</v>
      </c>
      <c r="AG19" s="437">
        <f>'Inputs by customer type'!AG27</f>
        <v>45</v>
      </c>
      <c r="AH19" s="437">
        <f>'Inputs by customer type'!AH27</f>
        <v>0</v>
      </c>
      <c r="AI19" s="437">
        <f>'Inputs by customer type'!AI27</f>
        <v>1</v>
      </c>
      <c r="AJ19" s="437">
        <f>'Inputs by customer type'!AJ27</f>
        <v>0</v>
      </c>
      <c r="AK19" s="437">
        <f>'Inputs by customer type'!AK27</f>
        <v>0</v>
      </c>
      <c r="AL19" s="437">
        <f>'Inputs by customer type'!AL27</f>
        <v>0</v>
      </c>
      <c r="AM19" s="437">
        <f>'Inputs by customer type'!AM27</f>
        <v>165</v>
      </c>
      <c r="AN19" s="437">
        <f>'Inputs by customer type'!AN27</f>
        <v>0</v>
      </c>
      <c r="AO19" s="437">
        <f>'Inputs by customer type'!AO27</f>
        <v>115</v>
      </c>
      <c r="AP19" s="437">
        <f>'Inputs by customer type'!AP27</f>
        <v>0</v>
      </c>
    </row>
    <row r="20" spans="5:44" x14ac:dyDescent="0.25">
      <c r="E20" s="227"/>
      <c r="F20" s="290" t="s">
        <v>330</v>
      </c>
      <c r="G20" s="290" t="s">
        <v>186</v>
      </c>
      <c r="H20" s="167"/>
      <c r="I20" s="167"/>
      <c r="J20" s="437">
        <f>'Inputs by customer type'!J28</f>
        <v>0</v>
      </c>
      <c r="K20" s="437">
        <f>'Inputs by customer type'!K28</f>
        <v>0</v>
      </c>
      <c r="L20" s="437">
        <f>'Inputs by customer type'!L28</f>
        <v>0</v>
      </c>
      <c r="M20" s="437">
        <f>'Inputs by customer type'!M28</f>
        <v>0</v>
      </c>
      <c r="N20" s="437">
        <f>'Inputs by customer type'!N28</f>
        <v>0</v>
      </c>
      <c r="O20" s="437">
        <f>'Inputs by customer type'!O28</f>
        <v>0</v>
      </c>
      <c r="P20" s="437">
        <f>'Inputs by customer type'!P28</f>
        <v>0</v>
      </c>
      <c r="Q20" s="437">
        <f>'Inputs by customer type'!Q28</f>
        <v>0</v>
      </c>
      <c r="R20" s="437">
        <f>'Inputs by customer type'!R28</f>
        <v>0</v>
      </c>
      <c r="S20" s="437">
        <f>'Inputs by customer type'!S28</f>
        <v>0</v>
      </c>
      <c r="T20" s="437">
        <f>'Inputs by customer type'!T28</f>
        <v>0</v>
      </c>
      <c r="U20" s="437">
        <f>'Inputs by customer type'!U28</f>
        <v>3227335.4267025632</v>
      </c>
      <c r="V20" s="437">
        <f>'Inputs by customer type'!V28</f>
        <v>100042.21699417738</v>
      </c>
      <c r="W20" s="437">
        <f>'Inputs by customer type'!W28</f>
        <v>2034386.008332856</v>
      </c>
      <c r="X20" s="437">
        <f>'Inputs by customer type'!X28</f>
        <v>0</v>
      </c>
      <c r="Y20" s="437">
        <f>'Inputs by customer type'!Y28</f>
        <v>0</v>
      </c>
      <c r="Z20" s="437">
        <f>'Inputs by customer type'!Z28</f>
        <v>0</v>
      </c>
      <c r="AA20" s="437">
        <f>'Inputs by customer type'!AA28</f>
        <v>0</v>
      </c>
      <c r="AB20" s="437">
        <f>'Inputs by customer type'!AB28</f>
        <v>0</v>
      </c>
      <c r="AC20" s="437">
        <f>'Inputs by customer type'!AC28</f>
        <v>0</v>
      </c>
      <c r="AD20" s="437">
        <f>'Inputs by customer type'!AD28</f>
        <v>0</v>
      </c>
      <c r="AE20" s="437">
        <f>'Inputs by customer type'!AE28</f>
        <v>0</v>
      </c>
      <c r="AF20" s="437">
        <f>'Inputs by customer type'!AF28</f>
        <v>0</v>
      </c>
      <c r="AG20" s="437">
        <f>'Inputs by customer type'!AG28</f>
        <v>0</v>
      </c>
      <c r="AH20" s="437">
        <f>'Inputs by customer type'!AH28</f>
        <v>0</v>
      </c>
      <c r="AI20" s="437">
        <f>'Inputs by customer type'!AI28</f>
        <v>0</v>
      </c>
      <c r="AJ20" s="437">
        <f>'Inputs by customer type'!AJ28</f>
        <v>0</v>
      </c>
      <c r="AK20" s="437">
        <f>'Inputs by customer type'!AK28</f>
        <v>0</v>
      </c>
      <c r="AL20" s="437">
        <f>'Inputs by customer type'!AL28</f>
        <v>0</v>
      </c>
      <c r="AM20" s="437">
        <f>'Inputs by customer type'!AM28</f>
        <v>0</v>
      </c>
      <c r="AN20" s="437">
        <f>'Inputs by customer type'!AN28</f>
        <v>0</v>
      </c>
      <c r="AO20" s="437">
        <f>'Inputs by customer type'!AO28</f>
        <v>0</v>
      </c>
      <c r="AP20" s="437">
        <f>'Inputs by customer type'!AP28</f>
        <v>0</v>
      </c>
    </row>
    <row r="21" spans="5:44" x14ac:dyDescent="0.25">
      <c r="E21" s="227"/>
      <c r="F21" s="290" t="s">
        <v>331</v>
      </c>
      <c r="G21" s="290" t="s">
        <v>186</v>
      </c>
      <c r="H21" s="167"/>
      <c r="I21" s="167"/>
      <c r="J21" s="437">
        <f>'Inputs by customer type'!J29</f>
        <v>0</v>
      </c>
      <c r="K21" s="437">
        <f>'Inputs by customer type'!K29</f>
        <v>0</v>
      </c>
      <c r="L21" s="437">
        <f>'Inputs by customer type'!L29</f>
        <v>0</v>
      </c>
      <c r="M21" s="437">
        <f>'Inputs by customer type'!M29</f>
        <v>0</v>
      </c>
      <c r="N21" s="437">
        <f>'Inputs by customer type'!N29</f>
        <v>0</v>
      </c>
      <c r="O21" s="437">
        <f>'Inputs by customer type'!O29</f>
        <v>0</v>
      </c>
      <c r="P21" s="437">
        <f>'Inputs by customer type'!P29</f>
        <v>0</v>
      </c>
      <c r="Q21" s="437">
        <f>'Inputs by customer type'!Q29</f>
        <v>0</v>
      </c>
      <c r="R21" s="437">
        <f>'Inputs by customer type'!R29</f>
        <v>0</v>
      </c>
      <c r="S21" s="437">
        <f>'Inputs by customer type'!S29</f>
        <v>0</v>
      </c>
      <c r="T21" s="437">
        <f>'Inputs by customer type'!T29</f>
        <v>0</v>
      </c>
      <c r="U21" s="437">
        <f>'Inputs by customer type'!U29</f>
        <v>60070.389599462484</v>
      </c>
      <c r="V21" s="437">
        <f>'Inputs by customer type'!V29</f>
        <v>1898.8027415114705</v>
      </c>
      <c r="W21" s="437">
        <f>'Inputs by customer type'!W29</f>
        <v>28310.579478142176</v>
      </c>
      <c r="X21" s="437">
        <f>'Inputs by customer type'!X29</f>
        <v>0</v>
      </c>
      <c r="Y21" s="437">
        <f>'Inputs by customer type'!Y29</f>
        <v>0</v>
      </c>
      <c r="Z21" s="437">
        <f>'Inputs by customer type'!Z29</f>
        <v>0</v>
      </c>
      <c r="AA21" s="437">
        <f>'Inputs by customer type'!AA29</f>
        <v>0</v>
      </c>
      <c r="AB21" s="437">
        <f>'Inputs by customer type'!AB29</f>
        <v>0</v>
      </c>
      <c r="AC21" s="437">
        <f>'Inputs by customer type'!AC29</f>
        <v>0</v>
      </c>
      <c r="AD21" s="437">
        <f>'Inputs by customer type'!AD29</f>
        <v>0</v>
      </c>
      <c r="AE21" s="437">
        <f>'Inputs by customer type'!AE29</f>
        <v>0</v>
      </c>
      <c r="AF21" s="437">
        <f>'Inputs by customer type'!AF29</f>
        <v>0</v>
      </c>
      <c r="AG21" s="437">
        <f>'Inputs by customer type'!AG29</f>
        <v>0</v>
      </c>
      <c r="AH21" s="437">
        <f>'Inputs by customer type'!AH29</f>
        <v>0</v>
      </c>
      <c r="AI21" s="437">
        <f>'Inputs by customer type'!AI29</f>
        <v>0</v>
      </c>
      <c r="AJ21" s="437">
        <f>'Inputs by customer type'!AJ29</f>
        <v>0</v>
      </c>
      <c r="AK21" s="437">
        <f>'Inputs by customer type'!AK29</f>
        <v>0</v>
      </c>
      <c r="AL21" s="437">
        <f>'Inputs by customer type'!AL29</f>
        <v>0</v>
      </c>
      <c r="AM21" s="437">
        <f>'Inputs by customer type'!AM29</f>
        <v>0</v>
      </c>
      <c r="AN21" s="437">
        <f>'Inputs by customer type'!AN29</f>
        <v>0</v>
      </c>
      <c r="AO21" s="437">
        <f>'Inputs by customer type'!AO29</f>
        <v>0</v>
      </c>
      <c r="AP21" s="437">
        <f>'Inputs by customer type'!AP29</f>
        <v>0</v>
      </c>
    </row>
    <row r="22" spans="5:44" x14ac:dyDescent="0.25">
      <c r="E22" s="227"/>
      <c r="F22" s="241" t="s">
        <v>332</v>
      </c>
      <c r="G22" s="241" t="s">
        <v>187</v>
      </c>
      <c r="H22" s="168"/>
      <c r="I22" s="168"/>
      <c r="J22" s="440">
        <f>'Inputs by customer type'!J30</f>
        <v>0</v>
      </c>
      <c r="K22" s="440">
        <f>'Inputs by customer type'!K30</f>
        <v>0</v>
      </c>
      <c r="L22" s="440">
        <f>'Inputs by customer type'!L30</f>
        <v>0</v>
      </c>
      <c r="M22" s="440">
        <f>'Inputs by customer type'!M30</f>
        <v>0</v>
      </c>
      <c r="N22" s="440">
        <f>'Inputs by customer type'!N30</f>
        <v>0</v>
      </c>
      <c r="O22" s="440">
        <f>'Inputs by customer type'!O30</f>
        <v>0</v>
      </c>
      <c r="P22" s="440">
        <f>'Inputs by customer type'!P30</f>
        <v>0</v>
      </c>
      <c r="Q22" s="440">
        <f>'Inputs by customer type'!Q30</f>
        <v>0</v>
      </c>
      <c r="R22" s="440">
        <f>'Inputs by customer type'!R30</f>
        <v>0</v>
      </c>
      <c r="S22" s="440">
        <f>'Inputs by customer type'!S30</f>
        <v>0</v>
      </c>
      <c r="T22" s="440">
        <f>'Inputs by customer type'!T30</f>
        <v>0</v>
      </c>
      <c r="U22" s="440">
        <f>'Inputs by customer type'!U30</f>
        <v>495537.78754534118</v>
      </c>
      <c r="V22" s="440">
        <f>'Inputs by customer type'!V30</f>
        <v>24991.029942327667</v>
      </c>
      <c r="W22" s="440">
        <f>'Inputs by customer type'!W30</f>
        <v>355995.74561946333</v>
      </c>
      <c r="X22" s="440">
        <f>'Inputs by customer type'!X30</f>
        <v>0</v>
      </c>
      <c r="Y22" s="440">
        <f>'Inputs by customer type'!Y30</f>
        <v>0</v>
      </c>
      <c r="Z22" s="440">
        <f>'Inputs by customer type'!Z30</f>
        <v>0</v>
      </c>
      <c r="AA22" s="440">
        <f>'Inputs by customer type'!AA30</f>
        <v>0</v>
      </c>
      <c r="AB22" s="440">
        <f>'Inputs by customer type'!AB30</f>
        <v>0</v>
      </c>
      <c r="AC22" s="440">
        <f>'Inputs by customer type'!AC30</f>
        <v>0</v>
      </c>
      <c r="AD22" s="440">
        <f>'Inputs by customer type'!AD30</f>
        <v>0</v>
      </c>
      <c r="AE22" s="440">
        <f>'Inputs by customer type'!AE30</f>
        <v>5006.8769289301918</v>
      </c>
      <c r="AF22" s="440">
        <f>'Inputs by customer type'!AF30</f>
        <v>0</v>
      </c>
      <c r="AG22" s="440">
        <f>'Inputs by customer type'!AG30</f>
        <v>364.90995026032709</v>
      </c>
      <c r="AH22" s="440">
        <f>'Inputs by customer type'!AH30</f>
        <v>0</v>
      </c>
      <c r="AI22" s="440">
        <f>'Inputs by customer type'!AI30</f>
        <v>0</v>
      </c>
      <c r="AJ22" s="440">
        <f>'Inputs by customer type'!AJ30</f>
        <v>0</v>
      </c>
      <c r="AK22" s="440">
        <f>'Inputs by customer type'!AK30</f>
        <v>0</v>
      </c>
      <c r="AL22" s="440">
        <f>'Inputs by customer type'!AL30</f>
        <v>0</v>
      </c>
      <c r="AM22" s="440">
        <f>'Inputs by customer type'!AM30</f>
        <v>21616.418527358299</v>
      </c>
      <c r="AN22" s="440">
        <f>'Inputs by customer type'!AN30</f>
        <v>0</v>
      </c>
      <c r="AO22" s="440">
        <f>'Inputs by customer type'!AO30</f>
        <v>22280.782866737216</v>
      </c>
      <c r="AP22" s="440">
        <f>'Inputs by customer type'!AP30</f>
        <v>0</v>
      </c>
    </row>
    <row r="23" spans="5:44" s="562" customFormat="1" x14ac:dyDescent="0.25">
      <c r="E23" s="568"/>
      <c r="F23" s="564"/>
      <c r="G23" s="564"/>
      <c r="J23" s="566"/>
      <c r="K23" s="566"/>
      <c r="L23" s="566"/>
      <c r="M23" s="566"/>
      <c r="N23" s="566"/>
      <c r="O23" s="566"/>
      <c r="P23" s="566"/>
      <c r="Q23" s="566"/>
      <c r="R23" s="566"/>
      <c r="S23" s="566"/>
      <c r="T23" s="566"/>
      <c r="U23" s="566"/>
      <c r="V23" s="566"/>
      <c r="W23" s="566"/>
      <c r="X23" s="566"/>
      <c r="Y23" s="566"/>
      <c r="Z23" s="566"/>
      <c r="AA23" s="566"/>
      <c r="AB23" s="566"/>
      <c r="AC23" s="566"/>
      <c r="AD23" s="566"/>
      <c r="AE23" s="566"/>
      <c r="AF23" s="566"/>
      <c r="AG23" s="566"/>
      <c r="AH23" s="566"/>
      <c r="AI23" s="566"/>
      <c r="AJ23" s="566"/>
      <c r="AK23" s="566"/>
      <c r="AL23" s="566"/>
      <c r="AM23" s="566"/>
      <c r="AN23" s="566"/>
      <c r="AO23" s="566"/>
      <c r="AP23" s="566"/>
    </row>
    <row r="24" spans="5:44" x14ac:dyDescent="0.25">
      <c r="E24" s="261" t="s">
        <v>1177</v>
      </c>
      <c r="F24" s="241"/>
      <c r="G24" s="241"/>
      <c r="H24" s="168"/>
      <c r="I24" s="160" t="s">
        <v>525</v>
      </c>
      <c r="J24" s="436"/>
      <c r="K24" s="436"/>
      <c r="L24" s="436"/>
      <c r="M24" s="436"/>
      <c r="N24" s="436"/>
      <c r="O24" s="436"/>
      <c r="P24" s="436"/>
      <c r="Q24" s="436"/>
      <c r="R24" s="436"/>
      <c r="S24" s="436"/>
      <c r="T24" s="436"/>
      <c r="U24" s="436"/>
      <c r="V24" s="436"/>
      <c r="W24" s="436"/>
      <c r="X24" s="436"/>
      <c r="Y24" s="436"/>
      <c r="Z24" s="436"/>
      <c r="AA24" s="436"/>
      <c r="AB24" s="436"/>
      <c r="AC24" s="436"/>
      <c r="AD24" s="436"/>
      <c r="AE24" s="436"/>
      <c r="AF24" s="436"/>
      <c r="AG24" s="436"/>
      <c r="AH24" s="436"/>
      <c r="AI24" s="436"/>
      <c r="AJ24" s="436"/>
      <c r="AK24" s="436"/>
      <c r="AL24" s="436"/>
      <c r="AM24" s="436"/>
      <c r="AN24" s="436"/>
      <c r="AO24" s="436"/>
      <c r="AP24" s="436"/>
      <c r="AR24" s="160" t="s">
        <v>939</v>
      </c>
    </row>
    <row r="25" spans="5:44" x14ac:dyDescent="0.25">
      <c r="F25" s="290" t="s">
        <v>327</v>
      </c>
      <c r="G25" s="290" t="s">
        <v>137</v>
      </c>
      <c r="H25" s="151"/>
      <c r="I25" s="166"/>
      <c r="J25" s="438">
        <f>'Inputs by customer type'!J33</f>
        <v>50529.318635033887</v>
      </c>
      <c r="K25" s="438">
        <f>'Inputs by customer type'!K33</f>
        <v>2826.5797541852289</v>
      </c>
      <c r="L25" s="438">
        <f>'Inputs by customer type'!L33</f>
        <v>0</v>
      </c>
      <c r="M25" s="438">
        <f>'Inputs by customer type'!M33</f>
        <v>9109.385454381918</v>
      </c>
      <c r="N25" s="438">
        <f>'Inputs by customer type'!N33</f>
        <v>122.97201795974398</v>
      </c>
      <c r="O25" s="438">
        <f>'Inputs by customer type'!O33</f>
        <v>0</v>
      </c>
      <c r="P25" s="438">
        <f>'Inputs by customer type'!P33</f>
        <v>460.11276428235038</v>
      </c>
      <c r="Q25" s="438">
        <f>'Inputs by customer type'!Q33</f>
        <v>0</v>
      </c>
      <c r="R25" s="438">
        <f>'Inputs by customer type'!R33</f>
        <v>0</v>
      </c>
      <c r="S25" s="438">
        <f>'Inputs by customer type'!S33</f>
        <v>0.64704682591866147</v>
      </c>
      <c r="T25" s="438">
        <f>'Inputs by customer type'!T33</f>
        <v>53.240169966642156</v>
      </c>
      <c r="U25" s="438">
        <f>'Inputs by customer type'!U33</f>
        <v>2012.5375530019282</v>
      </c>
      <c r="V25" s="438">
        <f>'Inputs by customer type'!V33</f>
        <v>0</v>
      </c>
      <c r="W25" s="438">
        <f>'Inputs by customer type'!W33</f>
        <v>0</v>
      </c>
      <c r="X25" s="438">
        <f>'Inputs by customer type'!X33</f>
        <v>0</v>
      </c>
      <c r="Y25" s="438">
        <f>'Inputs by customer type'!Y33</f>
        <v>55.545909609640468</v>
      </c>
      <c r="Z25" s="438">
        <f>'Inputs by customer type'!Z33</f>
        <v>98.417000000000044</v>
      </c>
      <c r="AA25" s="438">
        <f>'Inputs by customer type'!AA33</f>
        <v>0</v>
      </c>
      <c r="AB25" s="438">
        <f>'Inputs by customer type'!AB33</f>
        <v>23.182509259259259</v>
      </c>
      <c r="AC25" s="438">
        <f>'Inputs by customer type'!AC33</f>
        <v>254.77322828784122</v>
      </c>
      <c r="AD25" s="438">
        <f>'Inputs by customer type'!AD33</f>
        <v>0</v>
      </c>
      <c r="AE25" s="438">
        <f>'Inputs by customer type'!AE33</f>
        <v>0</v>
      </c>
      <c r="AF25" s="438">
        <f>'Inputs by customer type'!AF33</f>
        <v>0</v>
      </c>
      <c r="AG25" s="438">
        <f>'Inputs by customer type'!AG33</f>
        <v>0</v>
      </c>
      <c r="AH25" s="438">
        <f>'Inputs by customer type'!AH33</f>
        <v>0</v>
      </c>
      <c r="AI25" s="438">
        <f>'Inputs by customer type'!AI33</f>
        <v>0</v>
      </c>
      <c r="AJ25" s="438">
        <f>'Inputs by customer type'!AJ33</f>
        <v>0</v>
      </c>
      <c r="AK25" s="438">
        <f>'Inputs by customer type'!AK33</f>
        <v>0</v>
      </c>
      <c r="AL25" s="438">
        <f>'Inputs by customer type'!AL33</f>
        <v>0</v>
      </c>
      <c r="AM25" s="438">
        <f>'Inputs by customer type'!AM33</f>
        <v>0</v>
      </c>
      <c r="AN25" s="438">
        <f>'Inputs by customer type'!AN33</f>
        <v>0</v>
      </c>
      <c r="AO25" s="438">
        <f>'Inputs by customer type'!AO33</f>
        <v>0</v>
      </c>
      <c r="AP25" s="438">
        <f>'Inputs by customer type'!AP33</f>
        <v>0</v>
      </c>
    </row>
    <row r="26" spans="5:44" x14ac:dyDescent="0.25">
      <c r="E26" s="227"/>
      <c r="F26" s="290" t="s">
        <v>328</v>
      </c>
      <c r="G26" s="290" t="s">
        <v>137</v>
      </c>
      <c r="H26" s="167"/>
      <c r="I26" s="167"/>
      <c r="J26" s="437">
        <f>'Inputs by customer type'!J34</f>
        <v>0</v>
      </c>
      <c r="K26" s="437">
        <f>'Inputs by customer type'!K34</f>
        <v>2396.1142504338291</v>
      </c>
      <c r="L26" s="437">
        <f>'Inputs by customer type'!L34</f>
        <v>0</v>
      </c>
      <c r="M26" s="437">
        <f>'Inputs by customer type'!M34</f>
        <v>0</v>
      </c>
      <c r="N26" s="437">
        <f>'Inputs by customer type'!N34</f>
        <v>61.757731154595682</v>
      </c>
      <c r="O26" s="437">
        <f>'Inputs by customer type'!O34</f>
        <v>0</v>
      </c>
      <c r="P26" s="437">
        <f>'Inputs by customer type'!P34</f>
        <v>118.18680029802398</v>
      </c>
      <c r="Q26" s="437">
        <f>'Inputs by customer type'!Q34</f>
        <v>0</v>
      </c>
      <c r="R26" s="437">
        <f>'Inputs by customer type'!R34</f>
        <v>0</v>
      </c>
      <c r="S26" s="437">
        <f>'Inputs by customer type'!S34</f>
        <v>2.8336971138765716</v>
      </c>
      <c r="T26" s="437">
        <f>'Inputs by customer type'!T34</f>
        <v>310.45438892643443</v>
      </c>
      <c r="U26" s="437">
        <f>'Inputs by customer type'!U34</f>
        <v>11336.770739504416</v>
      </c>
      <c r="V26" s="437">
        <f>'Inputs by customer type'!V34</f>
        <v>0</v>
      </c>
      <c r="W26" s="437">
        <f>'Inputs by customer type'!W34</f>
        <v>0</v>
      </c>
      <c r="X26" s="437">
        <f>'Inputs by customer type'!X34</f>
        <v>0</v>
      </c>
      <c r="Y26" s="437">
        <f>'Inputs by customer type'!Y34</f>
        <v>0</v>
      </c>
      <c r="Z26" s="437">
        <f>'Inputs by customer type'!Z34</f>
        <v>0</v>
      </c>
      <c r="AA26" s="437">
        <f>'Inputs by customer type'!AA34</f>
        <v>0</v>
      </c>
      <c r="AB26" s="437">
        <f>'Inputs by customer type'!AB34</f>
        <v>172.79039814814809</v>
      </c>
      <c r="AC26" s="437">
        <f>'Inputs by customer type'!AC34</f>
        <v>0</v>
      </c>
      <c r="AD26" s="437">
        <f>'Inputs by customer type'!AD34</f>
        <v>0</v>
      </c>
      <c r="AE26" s="437">
        <f>'Inputs by customer type'!AE34</f>
        <v>0</v>
      </c>
      <c r="AF26" s="437">
        <f>'Inputs by customer type'!AF34</f>
        <v>0</v>
      </c>
      <c r="AG26" s="437">
        <f>'Inputs by customer type'!AG34</f>
        <v>0</v>
      </c>
      <c r="AH26" s="437">
        <f>'Inputs by customer type'!AH34</f>
        <v>0</v>
      </c>
      <c r="AI26" s="437">
        <f>'Inputs by customer type'!AI34</f>
        <v>0</v>
      </c>
      <c r="AJ26" s="437">
        <f>'Inputs by customer type'!AJ34</f>
        <v>0</v>
      </c>
      <c r="AK26" s="437">
        <f>'Inputs by customer type'!AK34</f>
        <v>0</v>
      </c>
      <c r="AL26" s="437">
        <f>'Inputs by customer type'!AL34</f>
        <v>0</v>
      </c>
      <c r="AM26" s="437">
        <f>'Inputs by customer type'!AM34</f>
        <v>0</v>
      </c>
      <c r="AN26" s="437">
        <f>'Inputs by customer type'!AN34</f>
        <v>0</v>
      </c>
      <c r="AO26" s="437">
        <f>'Inputs by customer type'!AO34</f>
        <v>0</v>
      </c>
      <c r="AP26" s="437">
        <f>'Inputs by customer type'!AP34</f>
        <v>0</v>
      </c>
    </row>
    <row r="27" spans="5:44" x14ac:dyDescent="0.25">
      <c r="E27" s="227"/>
      <c r="F27" s="290" t="s">
        <v>329</v>
      </c>
      <c r="G27" s="290" t="s">
        <v>137</v>
      </c>
      <c r="H27" s="167"/>
      <c r="I27" s="167"/>
      <c r="J27" s="437">
        <f>'Inputs by customer type'!J35</f>
        <v>0</v>
      </c>
      <c r="K27" s="437">
        <f>'Inputs by customer type'!K35</f>
        <v>0</v>
      </c>
      <c r="L27" s="437">
        <f>'Inputs by customer type'!L35</f>
        <v>0</v>
      </c>
      <c r="M27" s="437">
        <f>'Inputs by customer type'!M35</f>
        <v>0</v>
      </c>
      <c r="N27" s="437">
        <f>'Inputs by customer type'!N35</f>
        <v>0</v>
      </c>
      <c r="O27" s="437">
        <f>'Inputs by customer type'!O35</f>
        <v>0</v>
      </c>
      <c r="P27" s="437">
        <f>'Inputs by customer type'!P35</f>
        <v>0</v>
      </c>
      <c r="Q27" s="437">
        <f>'Inputs by customer type'!Q35</f>
        <v>0</v>
      </c>
      <c r="R27" s="437">
        <f>'Inputs by customer type'!R35</f>
        <v>0</v>
      </c>
      <c r="S27" s="437">
        <f>'Inputs by customer type'!S35</f>
        <v>1.960655519354884</v>
      </c>
      <c r="T27" s="437">
        <f>'Inputs by customer type'!T35</f>
        <v>236.46547066076781</v>
      </c>
      <c r="U27" s="437">
        <f>'Inputs by customer type'!U35</f>
        <v>6229.6832884471451</v>
      </c>
      <c r="V27" s="437">
        <f>'Inputs by customer type'!V35</f>
        <v>0</v>
      </c>
      <c r="W27" s="437">
        <f>'Inputs by customer type'!W35</f>
        <v>0</v>
      </c>
      <c r="X27" s="437">
        <f>'Inputs by customer type'!X35</f>
        <v>0</v>
      </c>
      <c r="Y27" s="437">
        <f>'Inputs by customer type'!Y35</f>
        <v>0</v>
      </c>
      <c r="Z27" s="437">
        <f>'Inputs by customer type'!Z35</f>
        <v>0</v>
      </c>
      <c r="AA27" s="437">
        <f>'Inputs by customer type'!AA35</f>
        <v>0</v>
      </c>
      <c r="AB27" s="437">
        <f>'Inputs by customer type'!AB35</f>
        <v>57.53181172839507</v>
      </c>
      <c r="AC27" s="437">
        <f>'Inputs by customer type'!AC35</f>
        <v>0</v>
      </c>
      <c r="AD27" s="437">
        <f>'Inputs by customer type'!AD35</f>
        <v>0</v>
      </c>
      <c r="AE27" s="437">
        <f>'Inputs by customer type'!AE35</f>
        <v>0</v>
      </c>
      <c r="AF27" s="437">
        <f>'Inputs by customer type'!AF35</f>
        <v>0</v>
      </c>
      <c r="AG27" s="437">
        <f>'Inputs by customer type'!AG35</f>
        <v>0</v>
      </c>
      <c r="AH27" s="437">
        <f>'Inputs by customer type'!AH35</f>
        <v>0</v>
      </c>
      <c r="AI27" s="437">
        <f>'Inputs by customer type'!AI35</f>
        <v>0</v>
      </c>
      <c r="AJ27" s="437">
        <f>'Inputs by customer type'!AJ35</f>
        <v>0</v>
      </c>
      <c r="AK27" s="437">
        <f>'Inputs by customer type'!AK35</f>
        <v>0</v>
      </c>
      <c r="AL27" s="437">
        <f>'Inputs by customer type'!AL35</f>
        <v>0</v>
      </c>
      <c r="AM27" s="437">
        <f>'Inputs by customer type'!AM35</f>
        <v>0</v>
      </c>
      <c r="AN27" s="437">
        <f>'Inputs by customer type'!AN35</f>
        <v>0</v>
      </c>
      <c r="AO27" s="437">
        <f>'Inputs by customer type'!AO35</f>
        <v>0</v>
      </c>
      <c r="AP27" s="437">
        <f>'Inputs by customer type'!AP35</f>
        <v>0</v>
      </c>
    </row>
    <row r="28" spans="5:44" x14ac:dyDescent="0.25">
      <c r="E28" s="227"/>
      <c r="F28" s="290" t="s">
        <v>91</v>
      </c>
      <c r="G28" s="290" t="s">
        <v>91</v>
      </c>
      <c r="H28" s="167"/>
      <c r="I28" s="167"/>
      <c r="J28" s="437">
        <f>'Inputs by customer type'!J36</f>
        <v>18223.85019065559</v>
      </c>
      <c r="K28" s="437">
        <f>'Inputs by customer type'!K36</f>
        <v>1459.6137124210763</v>
      </c>
      <c r="L28" s="437">
        <f>'Inputs by customer type'!L36</f>
        <v>0</v>
      </c>
      <c r="M28" s="437">
        <f>'Inputs by customer type'!M36</f>
        <v>1161.2699590843611</v>
      </c>
      <c r="N28" s="437">
        <f>'Inputs by customer type'!N36</f>
        <v>7</v>
      </c>
      <c r="O28" s="437">
        <f>'Inputs by customer type'!O36</f>
        <v>0</v>
      </c>
      <c r="P28" s="437">
        <f>'Inputs by customer type'!P36</f>
        <v>7</v>
      </c>
      <c r="Q28" s="437">
        <f>'Inputs by customer type'!Q36</f>
        <v>0</v>
      </c>
      <c r="R28" s="437">
        <f>'Inputs by customer type'!R36</f>
        <v>0</v>
      </c>
      <c r="S28" s="437">
        <f>'Inputs by customer type'!S36</f>
        <v>1</v>
      </c>
      <c r="T28" s="437">
        <f>'Inputs by customer type'!T36</f>
        <v>5</v>
      </c>
      <c r="U28" s="437">
        <f>'Inputs by customer type'!U36</f>
        <v>127.65171416270677</v>
      </c>
      <c r="V28" s="437">
        <f>'Inputs by customer type'!V36</f>
        <v>0</v>
      </c>
      <c r="W28" s="437">
        <f>'Inputs by customer type'!W36</f>
        <v>0</v>
      </c>
      <c r="X28" s="437">
        <f>'Inputs by customer type'!X36</f>
        <v>38</v>
      </c>
      <c r="Y28" s="437">
        <f>'Inputs by customer type'!Y36</f>
        <v>46</v>
      </c>
      <c r="Z28" s="437">
        <f>'Inputs by customer type'!Z36</f>
        <v>2</v>
      </c>
      <c r="AA28" s="437">
        <f>'Inputs by customer type'!AA36</f>
        <v>0</v>
      </c>
      <c r="AB28" s="437">
        <f>'Inputs by customer type'!AB36</f>
        <v>1.2962962962962961</v>
      </c>
      <c r="AC28" s="437">
        <f>'Inputs by customer type'!AC36</f>
        <v>50</v>
      </c>
      <c r="AD28" s="437">
        <f>'Inputs by customer type'!AD36</f>
        <v>0</v>
      </c>
      <c r="AE28" s="437">
        <f>'Inputs by customer type'!AE36</f>
        <v>0</v>
      </c>
      <c r="AF28" s="437">
        <f>'Inputs by customer type'!AF36</f>
        <v>0</v>
      </c>
      <c r="AG28" s="437">
        <f>'Inputs by customer type'!AG36</f>
        <v>0</v>
      </c>
      <c r="AH28" s="437">
        <f>'Inputs by customer type'!AH36</f>
        <v>0</v>
      </c>
      <c r="AI28" s="437">
        <f>'Inputs by customer type'!AI36</f>
        <v>0</v>
      </c>
      <c r="AJ28" s="437">
        <f>'Inputs by customer type'!AJ36</f>
        <v>0</v>
      </c>
      <c r="AK28" s="437">
        <f>'Inputs by customer type'!AK36</f>
        <v>0</v>
      </c>
      <c r="AL28" s="437">
        <f>'Inputs by customer type'!AL36</f>
        <v>0</v>
      </c>
      <c r="AM28" s="437">
        <f>'Inputs by customer type'!AM36</f>
        <v>0</v>
      </c>
      <c r="AN28" s="437">
        <f>'Inputs by customer type'!AN36</f>
        <v>0</v>
      </c>
      <c r="AO28" s="437">
        <f>'Inputs by customer type'!AO36</f>
        <v>0</v>
      </c>
      <c r="AP28" s="437">
        <f>'Inputs by customer type'!AP36</f>
        <v>0</v>
      </c>
    </row>
    <row r="29" spans="5:44" x14ac:dyDescent="0.25">
      <c r="E29" s="227"/>
      <c r="F29" s="290" t="s">
        <v>330</v>
      </c>
      <c r="G29" s="290" t="s">
        <v>186</v>
      </c>
      <c r="H29" s="167"/>
      <c r="I29" s="167"/>
      <c r="J29" s="437">
        <f>'Inputs by customer type'!J37</f>
        <v>0</v>
      </c>
      <c r="K29" s="437">
        <f>'Inputs by customer type'!K37</f>
        <v>0</v>
      </c>
      <c r="L29" s="437">
        <f>'Inputs by customer type'!L37</f>
        <v>0</v>
      </c>
      <c r="M29" s="437">
        <f>'Inputs by customer type'!M37</f>
        <v>0</v>
      </c>
      <c r="N29" s="437">
        <f>'Inputs by customer type'!N37</f>
        <v>0</v>
      </c>
      <c r="O29" s="437">
        <f>'Inputs by customer type'!O37</f>
        <v>0</v>
      </c>
      <c r="P29" s="437">
        <f>'Inputs by customer type'!P37</f>
        <v>0</v>
      </c>
      <c r="Q29" s="437">
        <f>'Inputs by customer type'!Q37</f>
        <v>0</v>
      </c>
      <c r="R29" s="437">
        <f>'Inputs by customer type'!R37</f>
        <v>0</v>
      </c>
      <c r="S29" s="437">
        <f>'Inputs by customer type'!S37</f>
        <v>0</v>
      </c>
      <c r="T29" s="437">
        <f>'Inputs by customer type'!T37</f>
        <v>0</v>
      </c>
      <c r="U29" s="437">
        <f>'Inputs by customer type'!U37</f>
        <v>20780.103419261635</v>
      </c>
      <c r="V29" s="437">
        <f>'Inputs by customer type'!V37</f>
        <v>0</v>
      </c>
      <c r="W29" s="437">
        <f>'Inputs by customer type'!W37</f>
        <v>0</v>
      </c>
      <c r="X29" s="437">
        <f>'Inputs by customer type'!X37</f>
        <v>0</v>
      </c>
      <c r="Y29" s="437">
        <f>'Inputs by customer type'!Y37</f>
        <v>0</v>
      </c>
      <c r="Z29" s="437">
        <f>'Inputs by customer type'!Z37</f>
        <v>0</v>
      </c>
      <c r="AA29" s="437">
        <f>'Inputs by customer type'!AA37</f>
        <v>0</v>
      </c>
      <c r="AB29" s="437">
        <f>'Inputs by customer type'!AB37</f>
        <v>0</v>
      </c>
      <c r="AC29" s="437">
        <f>'Inputs by customer type'!AC37</f>
        <v>0</v>
      </c>
      <c r="AD29" s="437">
        <f>'Inputs by customer type'!AD37</f>
        <v>0</v>
      </c>
      <c r="AE29" s="437">
        <f>'Inputs by customer type'!AE37</f>
        <v>0</v>
      </c>
      <c r="AF29" s="437">
        <f>'Inputs by customer type'!AF37</f>
        <v>0</v>
      </c>
      <c r="AG29" s="437">
        <f>'Inputs by customer type'!AG37</f>
        <v>0</v>
      </c>
      <c r="AH29" s="437">
        <f>'Inputs by customer type'!AH37</f>
        <v>0</v>
      </c>
      <c r="AI29" s="437">
        <f>'Inputs by customer type'!AI37</f>
        <v>0</v>
      </c>
      <c r="AJ29" s="437">
        <f>'Inputs by customer type'!AJ37</f>
        <v>0</v>
      </c>
      <c r="AK29" s="437">
        <f>'Inputs by customer type'!AK37</f>
        <v>0</v>
      </c>
      <c r="AL29" s="437">
        <f>'Inputs by customer type'!AL37</f>
        <v>0</v>
      </c>
      <c r="AM29" s="437">
        <f>'Inputs by customer type'!AM37</f>
        <v>0</v>
      </c>
      <c r="AN29" s="437">
        <f>'Inputs by customer type'!AN37</f>
        <v>0</v>
      </c>
      <c r="AO29" s="437">
        <f>'Inputs by customer type'!AO37</f>
        <v>0</v>
      </c>
      <c r="AP29" s="437">
        <f>'Inputs by customer type'!AP37</f>
        <v>0</v>
      </c>
    </row>
    <row r="30" spans="5:44" x14ac:dyDescent="0.25">
      <c r="E30" s="227"/>
      <c r="F30" s="290" t="s">
        <v>331</v>
      </c>
      <c r="G30" s="290" t="s">
        <v>186</v>
      </c>
      <c r="H30" s="167"/>
      <c r="I30" s="167"/>
      <c r="J30" s="437">
        <f>'Inputs by customer type'!J38</f>
        <v>0</v>
      </c>
      <c r="K30" s="437">
        <f>'Inputs by customer type'!K38</f>
        <v>0</v>
      </c>
      <c r="L30" s="437">
        <f>'Inputs by customer type'!L38</f>
        <v>0</v>
      </c>
      <c r="M30" s="437">
        <f>'Inputs by customer type'!M38</f>
        <v>0</v>
      </c>
      <c r="N30" s="437">
        <f>'Inputs by customer type'!N38</f>
        <v>0</v>
      </c>
      <c r="O30" s="437">
        <f>'Inputs by customer type'!O38</f>
        <v>0</v>
      </c>
      <c r="P30" s="437">
        <f>'Inputs by customer type'!P38</f>
        <v>0</v>
      </c>
      <c r="Q30" s="437">
        <f>'Inputs by customer type'!Q38</f>
        <v>0</v>
      </c>
      <c r="R30" s="437">
        <f>'Inputs by customer type'!R38</f>
        <v>0</v>
      </c>
      <c r="S30" s="437">
        <f>'Inputs by customer type'!S38</f>
        <v>0</v>
      </c>
      <c r="T30" s="437">
        <f>'Inputs by customer type'!T38</f>
        <v>0</v>
      </c>
      <c r="U30" s="437">
        <f>'Inputs by customer type'!U38</f>
        <v>123</v>
      </c>
      <c r="V30" s="437">
        <f>'Inputs by customer type'!V38</f>
        <v>0</v>
      </c>
      <c r="W30" s="437">
        <f>'Inputs by customer type'!W38</f>
        <v>0</v>
      </c>
      <c r="X30" s="437">
        <f>'Inputs by customer type'!X38</f>
        <v>0</v>
      </c>
      <c r="Y30" s="437">
        <f>'Inputs by customer type'!Y38</f>
        <v>0</v>
      </c>
      <c r="Z30" s="437">
        <f>'Inputs by customer type'!Z38</f>
        <v>0</v>
      </c>
      <c r="AA30" s="437">
        <f>'Inputs by customer type'!AA38</f>
        <v>0</v>
      </c>
      <c r="AB30" s="437">
        <f>'Inputs by customer type'!AB38</f>
        <v>0</v>
      </c>
      <c r="AC30" s="437">
        <f>'Inputs by customer type'!AC38</f>
        <v>0</v>
      </c>
      <c r="AD30" s="437">
        <f>'Inputs by customer type'!AD38</f>
        <v>0</v>
      </c>
      <c r="AE30" s="437">
        <f>'Inputs by customer type'!AE38</f>
        <v>0</v>
      </c>
      <c r="AF30" s="437">
        <f>'Inputs by customer type'!AF38</f>
        <v>0</v>
      </c>
      <c r="AG30" s="437">
        <f>'Inputs by customer type'!AG38</f>
        <v>0</v>
      </c>
      <c r="AH30" s="437">
        <f>'Inputs by customer type'!AH38</f>
        <v>0</v>
      </c>
      <c r="AI30" s="437">
        <f>'Inputs by customer type'!AI38</f>
        <v>0</v>
      </c>
      <c r="AJ30" s="437">
        <f>'Inputs by customer type'!AJ38</f>
        <v>0</v>
      </c>
      <c r="AK30" s="437">
        <f>'Inputs by customer type'!AK38</f>
        <v>0</v>
      </c>
      <c r="AL30" s="437">
        <f>'Inputs by customer type'!AL38</f>
        <v>0</v>
      </c>
      <c r="AM30" s="437">
        <f>'Inputs by customer type'!AM38</f>
        <v>0</v>
      </c>
      <c r="AN30" s="437">
        <f>'Inputs by customer type'!AN38</f>
        <v>0</v>
      </c>
      <c r="AO30" s="437">
        <f>'Inputs by customer type'!AO38</f>
        <v>0</v>
      </c>
      <c r="AP30" s="437">
        <f>'Inputs by customer type'!AP38</f>
        <v>0</v>
      </c>
    </row>
    <row r="31" spans="5:44" x14ac:dyDescent="0.25">
      <c r="E31" s="227"/>
      <c r="F31" s="241" t="s">
        <v>332</v>
      </c>
      <c r="G31" s="241" t="s">
        <v>187</v>
      </c>
      <c r="H31" s="168"/>
      <c r="I31" s="168"/>
      <c r="J31" s="440">
        <f>'Inputs by customer type'!J39</f>
        <v>0</v>
      </c>
      <c r="K31" s="440">
        <f>'Inputs by customer type'!K39</f>
        <v>0</v>
      </c>
      <c r="L31" s="440">
        <f>'Inputs by customer type'!L39</f>
        <v>0</v>
      </c>
      <c r="M31" s="440">
        <f>'Inputs by customer type'!M39</f>
        <v>0</v>
      </c>
      <c r="N31" s="440">
        <f>'Inputs by customer type'!N39</f>
        <v>0</v>
      </c>
      <c r="O31" s="440">
        <f>'Inputs by customer type'!O39</f>
        <v>0</v>
      </c>
      <c r="P31" s="440">
        <f>'Inputs by customer type'!P39</f>
        <v>0</v>
      </c>
      <c r="Q31" s="440">
        <f>'Inputs by customer type'!Q39</f>
        <v>0</v>
      </c>
      <c r="R31" s="440">
        <f>'Inputs by customer type'!R39</f>
        <v>0</v>
      </c>
      <c r="S31" s="440">
        <f>'Inputs by customer type'!S39</f>
        <v>0</v>
      </c>
      <c r="T31" s="440">
        <f>'Inputs by customer type'!T39</f>
        <v>0</v>
      </c>
      <c r="U31" s="440">
        <f>'Inputs by customer type'!U39</f>
        <v>2049.8358140473201</v>
      </c>
      <c r="V31" s="440">
        <f>'Inputs by customer type'!V39</f>
        <v>0</v>
      </c>
      <c r="W31" s="440">
        <f>'Inputs by customer type'!W39</f>
        <v>0</v>
      </c>
      <c r="X31" s="440">
        <f>'Inputs by customer type'!X39</f>
        <v>0</v>
      </c>
      <c r="Y31" s="440">
        <f>'Inputs by customer type'!Y39</f>
        <v>0</v>
      </c>
      <c r="Z31" s="440">
        <f>'Inputs by customer type'!Z39</f>
        <v>0</v>
      </c>
      <c r="AA31" s="440">
        <f>'Inputs by customer type'!AA39</f>
        <v>0</v>
      </c>
      <c r="AB31" s="440">
        <f>'Inputs by customer type'!AB39</f>
        <v>0</v>
      </c>
      <c r="AC31" s="440">
        <f>'Inputs by customer type'!AC39</f>
        <v>0</v>
      </c>
      <c r="AD31" s="440">
        <f>'Inputs by customer type'!AD39</f>
        <v>0</v>
      </c>
      <c r="AE31" s="440">
        <f>'Inputs by customer type'!AE39</f>
        <v>0</v>
      </c>
      <c r="AF31" s="440">
        <f>'Inputs by customer type'!AF39</f>
        <v>0</v>
      </c>
      <c r="AG31" s="440">
        <f>'Inputs by customer type'!AG39</f>
        <v>0</v>
      </c>
      <c r="AH31" s="440">
        <f>'Inputs by customer type'!AH39</f>
        <v>0</v>
      </c>
      <c r="AI31" s="440">
        <f>'Inputs by customer type'!AI39</f>
        <v>0</v>
      </c>
      <c r="AJ31" s="440">
        <f>'Inputs by customer type'!AJ39</f>
        <v>0</v>
      </c>
      <c r="AK31" s="440">
        <f>'Inputs by customer type'!AK39</f>
        <v>0</v>
      </c>
      <c r="AL31" s="440">
        <f>'Inputs by customer type'!AL39</f>
        <v>0</v>
      </c>
      <c r="AM31" s="440">
        <f>'Inputs by customer type'!AM39</f>
        <v>0</v>
      </c>
      <c r="AN31" s="440">
        <f>'Inputs by customer type'!AN39</f>
        <v>0</v>
      </c>
      <c r="AO31" s="440">
        <f>'Inputs by customer type'!AO39</f>
        <v>0</v>
      </c>
      <c r="AP31" s="440">
        <f>'Inputs by customer type'!AP39</f>
        <v>0</v>
      </c>
    </row>
    <row r="32" spans="5:44" s="562" customFormat="1" x14ac:dyDescent="0.25">
      <c r="E32" s="568"/>
      <c r="F32" s="564"/>
      <c r="G32" s="564"/>
      <c r="J32" s="566"/>
      <c r="K32" s="566"/>
      <c r="L32" s="566"/>
      <c r="M32" s="566"/>
      <c r="N32" s="566"/>
      <c r="O32" s="566"/>
      <c r="P32" s="566"/>
      <c r="Q32" s="566"/>
      <c r="R32" s="566"/>
      <c r="S32" s="566"/>
      <c r="T32" s="566"/>
      <c r="U32" s="566"/>
      <c r="V32" s="566"/>
      <c r="W32" s="566"/>
      <c r="X32" s="566"/>
      <c r="Y32" s="566"/>
      <c r="Z32" s="566"/>
      <c r="AA32" s="566"/>
      <c r="AB32" s="566"/>
      <c r="AC32" s="566"/>
      <c r="AD32" s="566"/>
      <c r="AE32" s="566"/>
      <c r="AF32" s="566"/>
      <c r="AG32" s="566"/>
      <c r="AH32" s="566"/>
      <c r="AI32" s="566"/>
      <c r="AJ32" s="566"/>
      <c r="AK32" s="566"/>
      <c r="AL32" s="566"/>
      <c r="AM32" s="566"/>
      <c r="AN32" s="566"/>
      <c r="AO32" s="566"/>
      <c r="AP32" s="566"/>
    </row>
    <row r="33" spans="3:44" x14ac:dyDescent="0.25">
      <c r="E33" s="261" t="s">
        <v>1178</v>
      </c>
      <c r="F33" s="241"/>
      <c r="G33" s="241"/>
      <c r="H33" s="168"/>
      <c r="I33" s="160" t="s">
        <v>525</v>
      </c>
      <c r="J33" s="436"/>
      <c r="K33" s="436"/>
      <c r="L33" s="436"/>
      <c r="M33" s="436"/>
      <c r="N33" s="436"/>
      <c r="O33" s="436"/>
      <c r="P33" s="436"/>
      <c r="Q33" s="436"/>
      <c r="R33" s="436"/>
      <c r="S33" s="436"/>
      <c r="T33" s="436"/>
      <c r="U33" s="436"/>
      <c r="V33" s="436"/>
      <c r="W33" s="436"/>
      <c r="X33" s="436"/>
      <c r="Y33" s="436"/>
      <c r="Z33" s="436"/>
      <c r="AA33" s="436"/>
      <c r="AB33" s="436"/>
      <c r="AC33" s="436"/>
      <c r="AD33" s="436"/>
      <c r="AE33" s="436"/>
      <c r="AF33" s="436"/>
      <c r="AG33" s="436"/>
      <c r="AH33" s="436"/>
      <c r="AI33" s="436"/>
      <c r="AJ33" s="436"/>
      <c r="AK33" s="436"/>
      <c r="AL33" s="436"/>
      <c r="AM33" s="436"/>
      <c r="AN33" s="436"/>
      <c r="AO33" s="436"/>
      <c r="AP33" s="436"/>
      <c r="AR33" s="160" t="s">
        <v>939</v>
      </c>
    </row>
    <row r="34" spans="3:44" x14ac:dyDescent="0.25">
      <c r="E34" s="227"/>
      <c r="F34" s="290" t="s">
        <v>327</v>
      </c>
      <c r="G34" s="290" t="s">
        <v>137</v>
      </c>
      <c r="H34" s="151"/>
      <c r="I34" s="166"/>
      <c r="J34" s="438">
        <f>'Inputs by customer type'!J42</f>
        <v>128042.06247445293</v>
      </c>
      <c r="K34" s="438">
        <f>'Inputs by customer type'!K42</f>
        <v>9961.5917488090909</v>
      </c>
      <c r="L34" s="438">
        <f>'Inputs by customer type'!L42</f>
        <v>1642.8229351986647</v>
      </c>
      <c r="M34" s="438">
        <f>'Inputs by customer type'!M42</f>
        <v>25404.549211144709</v>
      </c>
      <c r="N34" s="438">
        <f>'Inputs by customer type'!N42</f>
        <v>587.8029452604552</v>
      </c>
      <c r="O34" s="438">
        <f>'Inputs by customer type'!O42</f>
        <v>0</v>
      </c>
      <c r="P34" s="438">
        <f>'Inputs by customer type'!P42</f>
        <v>1375.6596426496874</v>
      </c>
      <c r="Q34" s="438">
        <f>'Inputs by customer type'!Q42</f>
        <v>0</v>
      </c>
      <c r="R34" s="438">
        <f>'Inputs by customer type'!R42</f>
        <v>0</v>
      </c>
      <c r="S34" s="438">
        <f>'Inputs by customer type'!S42</f>
        <v>0.22114678626725176</v>
      </c>
      <c r="T34" s="438">
        <f>'Inputs by customer type'!T42</f>
        <v>59.804498599573854</v>
      </c>
      <c r="U34" s="438">
        <f>'Inputs by customer type'!U42</f>
        <v>8301.7540976715045</v>
      </c>
      <c r="V34" s="438">
        <f>'Inputs by customer type'!V42</f>
        <v>8741.990979795848</v>
      </c>
      <c r="W34" s="438">
        <f>'Inputs by customer type'!W42</f>
        <v>903.32747033353644</v>
      </c>
      <c r="X34" s="438">
        <f>'Inputs by customer type'!X42</f>
        <v>60.28171039388527</v>
      </c>
      <c r="Y34" s="438">
        <f>'Inputs by customer type'!Y42</f>
        <v>558.33750802365216</v>
      </c>
      <c r="Z34" s="438">
        <f>'Inputs by customer type'!Z42</f>
        <v>1.028</v>
      </c>
      <c r="AA34" s="438">
        <f>'Inputs by customer type'!AA42</f>
        <v>0</v>
      </c>
      <c r="AB34" s="438">
        <f>'Inputs by customer type'!AB42</f>
        <v>0</v>
      </c>
      <c r="AC34" s="438">
        <f>'Inputs by customer type'!AC42</f>
        <v>0</v>
      </c>
      <c r="AD34" s="438">
        <f>'Inputs by customer type'!AD42</f>
        <v>0</v>
      </c>
      <c r="AE34" s="438">
        <f>'Inputs by customer type'!AE42</f>
        <v>10.962686666666666</v>
      </c>
      <c r="AF34" s="438">
        <f>'Inputs by customer type'!AF42</f>
        <v>0</v>
      </c>
      <c r="AG34" s="438">
        <f>'Inputs by customer type'!AG42</f>
        <v>1354.6776029105479</v>
      </c>
      <c r="AH34" s="438">
        <f>'Inputs by customer type'!AH42</f>
        <v>0</v>
      </c>
      <c r="AI34" s="438">
        <f>'Inputs by customer type'!AI42</f>
        <v>0</v>
      </c>
      <c r="AJ34" s="438">
        <f>'Inputs by customer type'!AJ42</f>
        <v>0</v>
      </c>
      <c r="AK34" s="438">
        <f>'Inputs by customer type'!AK42</f>
        <v>0</v>
      </c>
      <c r="AL34" s="438">
        <f>'Inputs by customer type'!AL42</f>
        <v>0</v>
      </c>
      <c r="AM34" s="438">
        <f>'Inputs by customer type'!AM42</f>
        <v>0</v>
      </c>
      <c r="AN34" s="438">
        <f>'Inputs by customer type'!AN42</f>
        <v>0</v>
      </c>
      <c r="AO34" s="438">
        <f>'Inputs by customer type'!AO42</f>
        <v>0</v>
      </c>
      <c r="AP34" s="438">
        <f>'Inputs by customer type'!AP42</f>
        <v>0</v>
      </c>
    </row>
    <row r="35" spans="3:44" x14ac:dyDescent="0.25">
      <c r="E35" s="227"/>
      <c r="F35" s="290" t="s">
        <v>328</v>
      </c>
      <c r="G35" s="290" t="s">
        <v>137</v>
      </c>
      <c r="H35" s="167"/>
      <c r="I35" s="167"/>
      <c r="J35" s="437">
        <f>'Inputs by customer type'!J43</f>
        <v>0</v>
      </c>
      <c r="K35" s="437">
        <f>'Inputs by customer type'!K43</f>
        <v>7275.4295652110532</v>
      </c>
      <c r="L35" s="437">
        <f>'Inputs by customer type'!L43</f>
        <v>0</v>
      </c>
      <c r="M35" s="437">
        <f>'Inputs by customer type'!M43</f>
        <v>0</v>
      </c>
      <c r="N35" s="437">
        <f>'Inputs by customer type'!N43</f>
        <v>157.93286889862742</v>
      </c>
      <c r="O35" s="437">
        <f>'Inputs by customer type'!O43</f>
        <v>0</v>
      </c>
      <c r="P35" s="437">
        <f>'Inputs by customer type'!P43</f>
        <v>465.18908808089174</v>
      </c>
      <c r="Q35" s="437">
        <f>'Inputs by customer type'!Q43</f>
        <v>0</v>
      </c>
      <c r="R35" s="437">
        <f>'Inputs by customer type'!R43</f>
        <v>0</v>
      </c>
      <c r="S35" s="437">
        <f>'Inputs by customer type'!S43</f>
        <v>1.0391097254883945</v>
      </c>
      <c r="T35" s="437">
        <f>'Inputs by customer type'!T43</f>
        <v>416.1951696043169</v>
      </c>
      <c r="U35" s="437">
        <f>'Inputs by customer type'!U43</f>
        <v>44810.252998318196</v>
      </c>
      <c r="V35" s="437">
        <f>'Inputs by customer type'!V43</f>
        <v>48732.247052773768</v>
      </c>
      <c r="W35" s="437">
        <f>'Inputs by customer type'!W43</f>
        <v>4887.221980112171</v>
      </c>
      <c r="X35" s="437">
        <f>'Inputs by customer type'!X43</f>
        <v>0</v>
      </c>
      <c r="Y35" s="437">
        <f>'Inputs by customer type'!Y43</f>
        <v>0</v>
      </c>
      <c r="Z35" s="437">
        <f>'Inputs by customer type'!Z43</f>
        <v>0</v>
      </c>
      <c r="AA35" s="437">
        <f>'Inputs by customer type'!AA43</f>
        <v>0</v>
      </c>
      <c r="AB35" s="437">
        <f>'Inputs by customer type'!AB43</f>
        <v>0</v>
      </c>
      <c r="AC35" s="437">
        <f>'Inputs by customer type'!AC43</f>
        <v>0</v>
      </c>
      <c r="AD35" s="437">
        <f>'Inputs by customer type'!AD43</f>
        <v>0</v>
      </c>
      <c r="AE35" s="437">
        <f>'Inputs by customer type'!AE43</f>
        <v>0</v>
      </c>
      <c r="AF35" s="437">
        <f>'Inputs by customer type'!AF43</f>
        <v>0</v>
      </c>
      <c r="AG35" s="437">
        <f>'Inputs by customer type'!AG43</f>
        <v>7448.517500130537</v>
      </c>
      <c r="AH35" s="437">
        <f>'Inputs by customer type'!AH43</f>
        <v>0</v>
      </c>
      <c r="AI35" s="437">
        <f>'Inputs by customer type'!AI43</f>
        <v>0</v>
      </c>
      <c r="AJ35" s="437">
        <f>'Inputs by customer type'!AJ43</f>
        <v>0</v>
      </c>
      <c r="AK35" s="437">
        <f>'Inputs by customer type'!AK43</f>
        <v>0</v>
      </c>
      <c r="AL35" s="437">
        <f>'Inputs by customer type'!AL43</f>
        <v>0</v>
      </c>
      <c r="AM35" s="437">
        <f>'Inputs by customer type'!AM43</f>
        <v>0</v>
      </c>
      <c r="AN35" s="437">
        <f>'Inputs by customer type'!AN43</f>
        <v>0</v>
      </c>
      <c r="AO35" s="437">
        <f>'Inputs by customer type'!AO43</f>
        <v>0</v>
      </c>
      <c r="AP35" s="437">
        <f>'Inputs by customer type'!AP43</f>
        <v>0</v>
      </c>
    </row>
    <row r="36" spans="3:44" x14ac:dyDescent="0.25">
      <c r="E36" s="227"/>
      <c r="F36" s="290" t="s">
        <v>329</v>
      </c>
      <c r="G36" s="290" t="s">
        <v>137</v>
      </c>
      <c r="H36" s="167"/>
      <c r="I36" s="167"/>
      <c r="J36" s="437">
        <f>'Inputs by customer type'!J44</f>
        <v>0</v>
      </c>
      <c r="K36" s="437">
        <f>'Inputs by customer type'!K44</f>
        <v>0</v>
      </c>
      <c r="L36" s="437">
        <f>'Inputs by customer type'!L44</f>
        <v>0</v>
      </c>
      <c r="M36" s="437">
        <f>'Inputs by customer type'!M44</f>
        <v>0</v>
      </c>
      <c r="N36" s="437">
        <f>'Inputs by customer type'!N44</f>
        <v>0</v>
      </c>
      <c r="O36" s="437">
        <f>'Inputs by customer type'!O44</f>
        <v>0</v>
      </c>
      <c r="P36" s="437">
        <f>'Inputs by customer type'!P44</f>
        <v>0</v>
      </c>
      <c r="Q36" s="437">
        <f>'Inputs by customer type'!Q44</f>
        <v>0</v>
      </c>
      <c r="R36" s="437">
        <f>'Inputs by customer type'!R44</f>
        <v>0</v>
      </c>
      <c r="S36" s="437">
        <f>'Inputs by customer type'!S44</f>
        <v>3.4553003774553748</v>
      </c>
      <c r="T36" s="437">
        <f>'Inputs by customer type'!T44</f>
        <v>142.96120727923861</v>
      </c>
      <c r="U36" s="437">
        <f>'Inputs by customer type'!U44</f>
        <v>22437.37026037119</v>
      </c>
      <c r="V36" s="437">
        <f>'Inputs by customer type'!V44</f>
        <v>26827.416415695428</v>
      </c>
      <c r="W36" s="437">
        <f>'Inputs by customer type'!W44</f>
        <v>4039.9979659290289</v>
      </c>
      <c r="X36" s="437">
        <f>'Inputs by customer type'!X44</f>
        <v>0</v>
      </c>
      <c r="Y36" s="437">
        <f>'Inputs by customer type'!Y44</f>
        <v>0</v>
      </c>
      <c r="Z36" s="437">
        <f>'Inputs by customer type'!Z44</f>
        <v>0</v>
      </c>
      <c r="AA36" s="437">
        <f>'Inputs by customer type'!AA44</f>
        <v>0</v>
      </c>
      <c r="AB36" s="437">
        <f>'Inputs by customer type'!AB44</f>
        <v>0</v>
      </c>
      <c r="AC36" s="437">
        <f>'Inputs by customer type'!AC44</f>
        <v>0</v>
      </c>
      <c r="AD36" s="437">
        <f>'Inputs by customer type'!AD44</f>
        <v>0</v>
      </c>
      <c r="AE36" s="437">
        <f>'Inputs by customer type'!AE44</f>
        <v>0</v>
      </c>
      <c r="AF36" s="437">
        <f>'Inputs by customer type'!AF44</f>
        <v>0</v>
      </c>
      <c r="AG36" s="437">
        <f>'Inputs by customer type'!AG44</f>
        <v>6068.5133861525028</v>
      </c>
      <c r="AH36" s="437">
        <f>'Inputs by customer type'!AH44</f>
        <v>0</v>
      </c>
      <c r="AI36" s="437">
        <f>'Inputs by customer type'!AI44</f>
        <v>0</v>
      </c>
      <c r="AJ36" s="437">
        <f>'Inputs by customer type'!AJ44</f>
        <v>0</v>
      </c>
      <c r="AK36" s="437">
        <f>'Inputs by customer type'!AK44</f>
        <v>0</v>
      </c>
      <c r="AL36" s="437">
        <f>'Inputs by customer type'!AL44</f>
        <v>0</v>
      </c>
      <c r="AM36" s="437">
        <f>'Inputs by customer type'!AM44</f>
        <v>0</v>
      </c>
      <c r="AN36" s="437">
        <f>'Inputs by customer type'!AN44</f>
        <v>0</v>
      </c>
      <c r="AO36" s="437">
        <f>'Inputs by customer type'!AO44</f>
        <v>0</v>
      </c>
      <c r="AP36" s="437">
        <f>'Inputs by customer type'!AP44</f>
        <v>0</v>
      </c>
    </row>
    <row r="37" spans="3:44" x14ac:dyDescent="0.25">
      <c r="E37" s="227"/>
      <c r="F37" s="290" t="s">
        <v>91</v>
      </c>
      <c r="G37" s="290" t="s">
        <v>91</v>
      </c>
      <c r="H37" s="167"/>
      <c r="I37" s="167"/>
      <c r="J37" s="437">
        <f>'Inputs by customer type'!J45</f>
        <v>49309.356739824492</v>
      </c>
      <c r="K37" s="437">
        <f>'Inputs by customer type'!K45</f>
        <v>3797.6520885792729</v>
      </c>
      <c r="L37" s="437">
        <f>'Inputs by customer type'!L45</f>
        <v>536.27962963224388</v>
      </c>
      <c r="M37" s="437">
        <f>'Inputs by customer type'!M45</f>
        <v>2173.8834441108206</v>
      </c>
      <c r="N37" s="437">
        <f>'Inputs by customer type'!N45</f>
        <v>74.916666636388058</v>
      </c>
      <c r="O37" s="437">
        <f>'Inputs by customer type'!O45</f>
        <v>0</v>
      </c>
      <c r="P37" s="437">
        <f>'Inputs by customer type'!P45</f>
        <v>19.806451612903228</v>
      </c>
      <c r="Q37" s="437">
        <f>'Inputs by customer type'!Q45</f>
        <v>0</v>
      </c>
      <c r="R37" s="437">
        <f>'Inputs by customer type'!R45</f>
        <v>0</v>
      </c>
      <c r="S37" s="437">
        <f>'Inputs by customer type'!S45</f>
        <v>1</v>
      </c>
      <c r="T37" s="437">
        <f>'Inputs by customer type'!T45</f>
        <v>12</v>
      </c>
      <c r="U37" s="437">
        <f>'Inputs by customer type'!U45</f>
        <v>323</v>
      </c>
      <c r="V37" s="437">
        <f>'Inputs by customer type'!V45</f>
        <v>123.02347193221176</v>
      </c>
      <c r="W37" s="437">
        <f>'Inputs by customer type'!W45</f>
        <v>2</v>
      </c>
      <c r="X37" s="437">
        <f>'Inputs by customer type'!X45</f>
        <v>179.26290356628354</v>
      </c>
      <c r="Y37" s="437">
        <f>'Inputs by customer type'!Y45</f>
        <v>249.50734817815297</v>
      </c>
      <c r="Z37" s="437">
        <f>'Inputs by customer type'!Z45</f>
        <v>2</v>
      </c>
      <c r="AA37" s="437">
        <f>'Inputs by customer type'!AA45</f>
        <v>2</v>
      </c>
      <c r="AB37" s="437">
        <f>'Inputs by customer type'!AB45</f>
        <v>0</v>
      </c>
      <c r="AC37" s="437">
        <f>'Inputs by customer type'!AC45</f>
        <v>0</v>
      </c>
      <c r="AD37" s="437">
        <f>'Inputs by customer type'!AD45</f>
        <v>0</v>
      </c>
      <c r="AE37" s="437">
        <f>'Inputs by customer type'!AE45</f>
        <v>2</v>
      </c>
      <c r="AF37" s="437">
        <f>'Inputs by customer type'!AF45</f>
        <v>0</v>
      </c>
      <c r="AG37" s="437">
        <f>'Inputs by customer type'!AG45</f>
        <v>26.305665645125487</v>
      </c>
      <c r="AH37" s="437">
        <f>'Inputs by customer type'!AH45</f>
        <v>0</v>
      </c>
      <c r="AI37" s="437">
        <f>'Inputs by customer type'!AI45</f>
        <v>0</v>
      </c>
      <c r="AJ37" s="437">
        <f>'Inputs by customer type'!AJ45</f>
        <v>0</v>
      </c>
      <c r="AK37" s="437">
        <f>'Inputs by customer type'!AK45</f>
        <v>0</v>
      </c>
      <c r="AL37" s="437">
        <f>'Inputs by customer type'!AL45</f>
        <v>0</v>
      </c>
      <c r="AM37" s="437">
        <f>'Inputs by customer type'!AM45</f>
        <v>0</v>
      </c>
      <c r="AN37" s="437">
        <f>'Inputs by customer type'!AN45</f>
        <v>0</v>
      </c>
      <c r="AO37" s="437">
        <f>'Inputs by customer type'!AO45</f>
        <v>0</v>
      </c>
      <c r="AP37" s="437">
        <f>'Inputs by customer type'!AP45</f>
        <v>0</v>
      </c>
    </row>
    <row r="38" spans="3:44" x14ac:dyDescent="0.25">
      <c r="E38" s="227"/>
      <c r="F38" s="290" t="s">
        <v>330</v>
      </c>
      <c r="G38" s="290" t="s">
        <v>186</v>
      </c>
      <c r="H38" s="167"/>
      <c r="I38" s="167"/>
      <c r="J38" s="437">
        <f>'Inputs by customer type'!J46</f>
        <v>0</v>
      </c>
      <c r="K38" s="437">
        <f>'Inputs by customer type'!K46</f>
        <v>0</v>
      </c>
      <c r="L38" s="437">
        <f>'Inputs by customer type'!L46</f>
        <v>0</v>
      </c>
      <c r="M38" s="437">
        <f>'Inputs by customer type'!M46</f>
        <v>0</v>
      </c>
      <c r="N38" s="437">
        <f>'Inputs by customer type'!N46</f>
        <v>0</v>
      </c>
      <c r="O38" s="437">
        <f>'Inputs by customer type'!O46</f>
        <v>0</v>
      </c>
      <c r="P38" s="437">
        <f>'Inputs by customer type'!P46</f>
        <v>0</v>
      </c>
      <c r="Q38" s="437">
        <f>'Inputs by customer type'!Q46</f>
        <v>0</v>
      </c>
      <c r="R38" s="437">
        <f>'Inputs by customer type'!R46</f>
        <v>0</v>
      </c>
      <c r="S38" s="437">
        <f>'Inputs by customer type'!S46</f>
        <v>0</v>
      </c>
      <c r="T38" s="437">
        <f>'Inputs by customer type'!T46</f>
        <v>0</v>
      </c>
      <c r="U38" s="437">
        <f>'Inputs by customer type'!U46</f>
        <v>84322.897330595457</v>
      </c>
      <c r="V38" s="437">
        <f>'Inputs by customer type'!V46</f>
        <v>79573.818436153335</v>
      </c>
      <c r="W38" s="437">
        <f>'Inputs by customer type'!W46</f>
        <v>4375</v>
      </c>
      <c r="X38" s="437">
        <f>'Inputs by customer type'!X46</f>
        <v>0</v>
      </c>
      <c r="Y38" s="437">
        <f>'Inputs by customer type'!Y46</f>
        <v>0</v>
      </c>
      <c r="Z38" s="437">
        <f>'Inputs by customer type'!Z46</f>
        <v>0</v>
      </c>
      <c r="AA38" s="437">
        <f>'Inputs by customer type'!AA46</f>
        <v>0</v>
      </c>
      <c r="AB38" s="437">
        <f>'Inputs by customer type'!AB46</f>
        <v>0</v>
      </c>
      <c r="AC38" s="437">
        <f>'Inputs by customer type'!AC46</f>
        <v>0</v>
      </c>
      <c r="AD38" s="437">
        <f>'Inputs by customer type'!AD46</f>
        <v>0</v>
      </c>
      <c r="AE38" s="437">
        <f>'Inputs by customer type'!AE46</f>
        <v>0</v>
      </c>
      <c r="AF38" s="437">
        <f>'Inputs by customer type'!AF46</f>
        <v>0</v>
      </c>
      <c r="AG38" s="437">
        <f>'Inputs by customer type'!AG46</f>
        <v>0</v>
      </c>
      <c r="AH38" s="437">
        <f>'Inputs by customer type'!AH46</f>
        <v>0</v>
      </c>
      <c r="AI38" s="437">
        <f>'Inputs by customer type'!AI46</f>
        <v>0</v>
      </c>
      <c r="AJ38" s="437">
        <f>'Inputs by customer type'!AJ46</f>
        <v>0</v>
      </c>
      <c r="AK38" s="437">
        <f>'Inputs by customer type'!AK46</f>
        <v>0</v>
      </c>
      <c r="AL38" s="437">
        <f>'Inputs by customer type'!AL46</f>
        <v>0</v>
      </c>
      <c r="AM38" s="437">
        <f>'Inputs by customer type'!AM46</f>
        <v>0</v>
      </c>
      <c r="AN38" s="437">
        <f>'Inputs by customer type'!AN46</f>
        <v>0</v>
      </c>
      <c r="AO38" s="437">
        <f>'Inputs by customer type'!AO46</f>
        <v>0</v>
      </c>
      <c r="AP38" s="437">
        <f>'Inputs by customer type'!AP46</f>
        <v>0</v>
      </c>
    </row>
    <row r="39" spans="3:44" x14ac:dyDescent="0.25">
      <c r="E39" s="227"/>
      <c r="F39" s="290" t="s">
        <v>331</v>
      </c>
      <c r="G39" s="290" t="s">
        <v>186</v>
      </c>
      <c r="H39" s="167"/>
      <c r="I39" s="167"/>
      <c r="J39" s="437">
        <f>'Inputs by customer type'!J47</f>
        <v>0</v>
      </c>
      <c r="K39" s="437">
        <f>'Inputs by customer type'!K47</f>
        <v>0</v>
      </c>
      <c r="L39" s="437">
        <f>'Inputs by customer type'!L47</f>
        <v>0</v>
      </c>
      <c r="M39" s="437">
        <f>'Inputs by customer type'!M47</f>
        <v>0</v>
      </c>
      <c r="N39" s="437">
        <f>'Inputs by customer type'!N47</f>
        <v>0</v>
      </c>
      <c r="O39" s="437">
        <f>'Inputs by customer type'!O47</f>
        <v>0</v>
      </c>
      <c r="P39" s="437">
        <f>'Inputs by customer type'!P47</f>
        <v>0</v>
      </c>
      <c r="Q39" s="437">
        <f>'Inputs by customer type'!Q47</f>
        <v>0</v>
      </c>
      <c r="R39" s="437">
        <f>'Inputs by customer type'!R47</f>
        <v>0</v>
      </c>
      <c r="S39" s="437">
        <f>'Inputs by customer type'!S47</f>
        <v>0</v>
      </c>
      <c r="T39" s="437">
        <f>'Inputs by customer type'!T47</f>
        <v>0</v>
      </c>
      <c r="U39" s="437">
        <f>'Inputs by customer type'!U47</f>
        <v>62.000000000000021</v>
      </c>
      <c r="V39" s="437">
        <f>'Inputs by customer type'!V47</f>
        <v>0</v>
      </c>
      <c r="W39" s="437">
        <f>'Inputs by customer type'!W47</f>
        <v>0</v>
      </c>
      <c r="X39" s="437">
        <f>'Inputs by customer type'!X47</f>
        <v>0</v>
      </c>
      <c r="Y39" s="437">
        <f>'Inputs by customer type'!Y47</f>
        <v>0</v>
      </c>
      <c r="Z39" s="437">
        <f>'Inputs by customer type'!Z47</f>
        <v>0</v>
      </c>
      <c r="AA39" s="437">
        <f>'Inputs by customer type'!AA47</f>
        <v>0</v>
      </c>
      <c r="AB39" s="437">
        <f>'Inputs by customer type'!AB47</f>
        <v>0</v>
      </c>
      <c r="AC39" s="437">
        <f>'Inputs by customer type'!AC47</f>
        <v>0</v>
      </c>
      <c r="AD39" s="437">
        <f>'Inputs by customer type'!AD47</f>
        <v>0</v>
      </c>
      <c r="AE39" s="437">
        <f>'Inputs by customer type'!AE47</f>
        <v>0</v>
      </c>
      <c r="AF39" s="437">
        <f>'Inputs by customer type'!AF47</f>
        <v>0</v>
      </c>
      <c r="AG39" s="437">
        <f>'Inputs by customer type'!AG47</f>
        <v>0</v>
      </c>
      <c r="AH39" s="437">
        <f>'Inputs by customer type'!AH47</f>
        <v>0</v>
      </c>
      <c r="AI39" s="437">
        <f>'Inputs by customer type'!AI47</f>
        <v>0</v>
      </c>
      <c r="AJ39" s="437">
        <f>'Inputs by customer type'!AJ47</f>
        <v>0</v>
      </c>
      <c r="AK39" s="437">
        <f>'Inputs by customer type'!AK47</f>
        <v>0</v>
      </c>
      <c r="AL39" s="437">
        <f>'Inputs by customer type'!AL47</f>
        <v>0</v>
      </c>
      <c r="AM39" s="437">
        <f>'Inputs by customer type'!AM47</f>
        <v>0</v>
      </c>
      <c r="AN39" s="437">
        <f>'Inputs by customer type'!AN47</f>
        <v>0</v>
      </c>
      <c r="AO39" s="437">
        <f>'Inputs by customer type'!AO47</f>
        <v>0</v>
      </c>
      <c r="AP39" s="437">
        <f>'Inputs by customer type'!AP47</f>
        <v>0</v>
      </c>
    </row>
    <row r="40" spans="3:44" x14ac:dyDescent="0.25">
      <c r="E40" s="227"/>
      <c r="F40" s="241" t="s">
        <v>332</v>
      </c>
      <c r="G40" s="241" t="s">
        <v>187</v>
      </c>
      <c r="H40" s="168"/>
      <c r="I40" s="168"/>
      <c r="J40" s="440">
        <f>'Inputs by customer type'!J48</f>
        <v>0</v>
      </c>
      <c r="K40" s="440">
        <f>'Inputs by customer type'!K48</f>
        <v>0</v>
      </c>
      <c r="L40" s="440">
        <f>'Inputs by customer type'!L48</f>
        <v>0</v>
      </c>
      <c r="M40" s="440">
        <f>'Inputs by customer type'!M48</f>
        <v>0</v>
      </c>
      <c r="N40" s="440">
        <f>'Inputs by customer type'!N48</f>
        <v>0</v>
      </c>
      <c r="O40" s="440">
        <f>'Inputs by customer type'!O48</f>
        <v>0</v>
      </c>
      <c r="P40" s="440">
        <f>'Inputs by customer type'!P48</f>
        <v>0</v>
      </c>
      <c r="Q40" s="440">
        <f>'Inputs by customer type'!Q48</f>
        <v>0</v>
      </c>
      <c r="R40" s="440">
        <f>'Inputs by customer type'!R48</f>
        <v>0</v>
      </c>
      <c r="S40" s="440">
        <f>'Inputs by customer type'!S48</f>
        <v>0</v>
      </c>
      <c r="T40" s="440">
        <f>'Inputs by customer type'!T48</f>
        <v>0</v>
      </c>
      <c r="U40" s="440">
        <f>'Inputs by customer type'!U48</f>
        <v>4751.2714203241194</v>
      </c>
      <c r="V40" s="440">
        <f>'Inputs by customer type'!V48</f>
        <v>6522.9622123524096</v>
      </c>
      <c r="W40" s="440">
        <f>'Inputs by customer type'!W48</f>
        <v>0</v>
      </c>
      <c r="X40" s="440">
        <f>'Inputs by customer type'!X48</f>
        <v>0</v>
      </c>
      <c r="Y40" s="440">
        <f>'Inputs by customer type'!Y48</f>
        <v>0</v>
      </c>
      <c r="Z40" s="440">
        <f>'Inputs by customer type'!Z48</f>
        <v>0</v>
      </c>
      <c r="AA40" s="440">
        <f>'Inputs by customer type'!AA48</f>
        <v>0</v>
      </c>
      <c r="AB40" s="440">
        <f>'Inputs by customer type'!AB48</f>
        <v>0</v>
      </c>
      <c r="AC40" s="440">
        <f>'Inputs by customer type'!AC48</f>
        <v>0</v>
      </c>
      <c r="AD40" s="440">
        <f>'Inputs by customer type'!AD48</f>
        <v>0</v>
      </c>
      <c r="AE40" s="440">
        <f>'Inputs by customer type'!AE48</f>
        <v>0</v>
      </c>
      <c r="AF40" s="440">
        <f>'Inputs by customer type'!AF48</f>
        <v>0</v>
      </c>
      <c r="AG40" s="440">
        <f>'Inputs by customer type'!AG48</f>
        <v>0</v>
      </c>
      <c r="AH40" s="440">
        <f>'Inputs by customer type'!AH48</f>
        <v>0</v>
      </c>
      <c r="AI40" s="440">
        <f>'Inputs by customer type'!AI48</f>
        <v>0</v>
      </c>
      <c r="AJ40" s="440">
        <f>'Inputs by customer type'!AJ48</f>
        <v>0</v>
      </c>
      <c r="AK40" s="440">
        <f>'Inputs by customer type'!AK48</f>
        <v>0</v>
      </c>
      <c r="AL40" s="440">
        <f>'Inputs by customer type'!AL48</f>
        <v>0</v>
      </c>
      <c r="AM40" s="440">
        <f>'Inputs by customer type'!AM48</f>
        <v>0</v>
      </c>
      <c r="AN40" s="440">
        <f>'Inputs by customer type'!AN48</f>
        <v>0</v>
      </c>
      <c r="AO40" s="440">
        <f>'Inputs by customer type'!AO48</f>
        <v>0</v>
      </c>
      <c r="AP40" s="440">
        <f>'Inputs by customer type'!AP48</f>
        <v>0</v>
      </c>
    </row>
    <row r="41" spans="3:44" x14ac:dyDescent="0.25">
      <c r="E41" s="227"/>
      <c r="G41" s="194"/>
      <c r="J41" s="416"/>
      <c r="K41" s="416"/>
      <c r="L41" s="416"/>
      <c r="M41" s="416"/>
      <c r="N41" s="416"/>
      <c r="O41" s="416"/>
      <c r="P41" s="416"/>
      <c r="Q41" s="416"/>
      <c r="R41" s="416"/>
      <c r="S41" s="416"/>
      <c r="T41" s="416"/>
      <c r="U41" s="416"/>
      <c r="V41" s="416"/>
      <c r="W41" s="416"/>
      <c r="X41" s="416"/>
      <c r="Y41" s="416"/>
      <c r="Z41" s="416"/>
      <c r="AA41" s="416"/>
      <c r="AB41" s="416"/>
      <c r="AC41" s="416"/>
      <c r="AD41" s="416"/>
      <c r="AE41" s="416"/>
      <c r="AF41" s="416"/>
      <c r="AG41" s="416"/>
      <c r="AH41" s="416"/>
      <c r="AI41" s="416"/>
      <c r="AJ41" s="416"/>
      <c r="AK41" s="416"/>
      <c r="AL41" s="416"/>
      <c r="AM41" s="416"/>
      <c r="AN41" s="416"/>
      <c r="AO41" s="416"/>
      <c r="AP41" s="416"/>
    </row>
    <row r="42" spans="3:44" x14ac:dyDescent="0.25">
      <c r="C42" s="22" t="str">
        <f ca="1">INDEX('Version control'!$H$34:$H$59,MATCH($A$1,'Version control'!$F$34:$F$59,0),1)&amp;"-B: Tariff forecast"</f>
        <v>Section 520-B: Tariff forecast</v>
      </c>
      <c r="D42" s="22"/>
      <c r="E42" s="22"/>
      <c r="F42" s="22"/>
      <c r="G42" s="22"/>
      <c r="H42" s="22"/>
      <c r="I42" s="22"/>
      <c r="J42" s="406"/>
      <c r="K42" s="406"/>
      <c r="L42" s="406"/>
      <c r="M42" s="406"/>
      <c r="N42" s="406"/>
      <c r="O42" s="406"/>
      <c r="P42" s="406"/>
      <c r="Q42" s="406"/>
      <c r="R42" s="406"/>
      <c r="S42" s="406"/>
      <c r="T42" s="406"/>
      <c r="U42" s="406"/>
      <c r="V42" s="406"/>
      <c r="W42" s="406"/>
      <c r="X42" s="406"/>
      <c r="Y42" s="406"/>
      <c r="Z42" s="406"/>
      <c r="AA42" s="406"/>
      <c r="AB42" s="406"/>
      <c r="AC42" s="406"/>
      <c r="AD42" s="406"/>
      <c r="AE42" s="406"/>
      <c r="AF42" s="406"/>
      <c r="AG42" s="406"/>
      <c r="AH42" s="406"/>
      <c r="AI42" s="406"/>
      <c r="AJ42" s="406"/>
      <c r="AK42" s="406"/>
      <c r="AL42" s="406"/>
      <c r="AM42" s="406"/>
      <c r="AN42" s="406"/>
      <c r="AO42" s="406"/>
      <c r="AP42" s="406"/>
      <c r="AQ42" s="22"/>
      <c r="AR42" s="22"/>
    </row>
    <row r="43" spans="3:44" x14ac:dyDescent="0.25">
      <c r="D43" s="172"/>
      <c r="E43" s="227"/>
      <c r="G43" s="194"/>
      <c r="J43" s="416"/>
      <c r="K43" s="416"/>
      <c r="L43" s="416"/>
      <c r="M43" s="416"/>
      <c r="N43" s="416"/>
      <c r="O43" s="416"/>
      <c r="P43" s="416"/>
      <c r="Q43" s="416"/>
      <c r="R43" s="416"/>
      <c r="S43" s="416"/>
      <c r="T43" s="416"/>
      <c r="U43" s="416"/>
      <c r="V43" s="416"/>
      <c r="W43" s="416"/>
      <c r="X43" s="416"/>
      <c r="Y43" s="416"/>
      <c r="Z43" s="416"/>
      <c r="AA43" s="416"/>
      <c r="AB43" s="416"/>
      <c r="AC43" s="416"/>
      <c r="AD43" s="416"/>
      <c r="AE43" s="416"/>
      <c r="AF43" s="416"/>
      <c r="AG43" s="416"/>
      <c r="AH43" s="416"/>
      <c r="AI43" s="416"/>
      <c r="AJ43" s="416"/>
      <c r="AK43" s="416"/>
      <c r="AL43" s="416"/>
      <c r="AM43" s="416"/>
      <c r="AN43" s="416"/>
      <c r="AO43" s="416"/>
      <c r="AP43" s="416"/>
    </row>
    <row r="44" spans="3:44" x14ac:dyDescent="0.25">
      <c r="E44" s="261" t="s">
        <v>1043</v>
      </c>
      <c r="G44" s="194"/>
      <c r="I44" s="160" t="s">
        <v>525</v>
      </c>
      <c r="J44" s="416"/>
      <c r="K44" s="416"/>
      <c r="L44" s="416"/>
      <c r="M44" s="416"/>
      <c r="N44" s="416"/>
      <c r="O44" s="416"/>
      <c r="P44" s="416"/>
      <c r="Q44" s="416"/>
      <c r="R44" s="416"/>
      <c r="S44" s="416"/>
      <c r="T44" s="416"/>
      <c r="U44" s="416"/>
      <c r="V44" s="416"/>
      <c r="W44" s="416"/>
      <c r="X44" s="416"/>
      <c r="Y44" s="416"/>
      <c r="Z44" s="416"/>
      <c r="AA44" s="416"/>
      <c r="AB44" s="416"/>
      <c r="AC44" s="416"/>
      <c r="AD44" s="416"/>
      <c r="AE44" s="416"/>
      <c r="AF44" s="416"/>
      <c r="AG44" s="416"/>
      <c r="AH44" s="416"/>
      <c r="AI44" s="416"/>
      <c r="AJ44" s="416"/>
      <c r="AK44" s="416"/>
      <c r="AL44" s="416"/>
      <c r="AM44" s="416"/>
      <c r="AN44" s="416"/>
      <c r="AO44" s="416"/>
      <c r="AP44" s="416"/>
      <c r="AR44" s="160" t="s">
        <v>947</v>
      </c>
    </row>
    <row r="45" spans="3:44" x14ac:dyDescent="0.25">
      <c r="F45" s="180" t="s">
        <v>151</v>
      </c>
      <c r="G45" s="237" t="s">
        <v>201</v>
      </c>
      <c r="H45" s="581"/>
      <c r="I45" s="569"/>
      <c r="J45" s="581">
        <f>Rounding!J89</f>
        <v>1.9339999999999999</v>
      </c>
      <c r="K45" s="581">
        <f>Rounding!K89</f>
        <v>2.387</v>
      </c>
      <c r="L45" s="581">
        <f>Rounding!L89</f>
        <v>0.53700000000000003</v>
      </c>
      <c r="M45" s="581">
        <f>Rounding!M89</f>
        <v>1.7769999999999999</v>
      </c>
      <c r="N45" s="581">
        <f>Rounding!N89</f>
        <v>2.59</v>
      </c>
      <c r="O45" s="581">
        <f>Rounding!O89</f>
        <v>0.66500000000000004</v>
      </c>
      <c r="P45" s="581">
        <f>Rounding!P89</f>
        <v>1.484</v>
      </c>
      <c r="Q45" s="581">
        <f>Rounding!Q89</f>
        <v>1.276</v>
      </c>
      <c r="R45" s="581">
        <f>Rounding!R89</f>
        <v>0.86199999999999999</v>
      </c>
      <c r="S45" s="581">
        <f>Rounding!S89</f>
        <v>8.6999999999999993</v>
      </c>
      <c r="T45" s="581">
        <f>Rounding!T89</f>
        <v>9.1649999999999991</v>
      </c>
      <c r="U45" s="581">
        <f>Rounding!U89</f>
        <v>6.27</v>
      </c>
      <c r="V45" s="581">
        <f>Rounding!V89</f>
        <v>4.8639999999999999</v>
      </c>
      <c r="W45" s="581">
        <f>Rounding!W89</f>
        <v>3.544</v>
      </c>
      <c r="X45" s="581">
        <f>Rounding!X89</f>
        <v>2.601</v>
      </c>
      <c r="Y45" s="581">
        <f>Rounding!Y89</f>
        <v>2.657</v>
      </c>
      <c r="Z45" s="581">
        <f>Rounding!Z89</f>
        <v>3.4009999999999998</v>
      </c>
      <c r="AA45" s="581">
        <f>Rounding!AA89</f>
        <v>2.6110000000000002</v>
      </c>
      <c r="AB45" s="581">
        <f>Rounding!AB89</f>
        <v>13.724</v>
      </c>
      <c r="AC45" s="581">
        <f>Rounding!AC89</f>
        <v>-0.79400000000000004</v>
      </c>
      <c r="AD45" s="581">
        <f>Rounding!AD89</f>
        <v>-0.69499999999999995</v>
      </c>
      <c r="AE45" s="581">
        <f>Rounding!AE89</f>
        <v>-0.79400000000000004</v>
      </c>
      <c r="AF45" s="581">
        <f>Rounding!AF89</f>
        <v>-0.79400000000000004</v>
      </c>
      <c r="AG45" s="581">
        <f>Rounding!AG89</f>
        <v>-5.5359999999999996</v>
      </c>
      <c r="AH45" s="581">
        <f>Rounding!AH89</f>
        <v>-5.5359999999999996</v>
      </c>
      <c r="AI45" s="581">
        <f>Rounding!AI89</f>
        <v>-0.69499999999999995</v>
      </c>
      <c r="AJ45" s="581">
        <f>Rounding!AJ89</f>
        <v>-0.69499999999999995</v>
      </c>
      <c r="AK45" s="581">
        <f>Rounding!AK89</f>
        <v>-4.9939999999999998</v>
      </c>
      <c r="AL45" s="581">
        <f>Rounding!AL89</f>
        <v>-4.9939999999999998</v>
      </c>
      <c r="AM45" s="581">
        <f>Rounding!AM89</f>
        <v>-0.46</v>
      </c>
      <c r="AN45" s="581">
        <f>Rounding!AN89</f>
        <v>-0.46</v>
      </c>
      <c r="AO45" s="581">
        <f>Rounding!AO89</f>
        <v>-3.8380000000000001</v>
      </c>
      <c r="AP45" s="581">
        <f>Rounding!AP89</f>
        <v>-3.8380000000000001</v>
      </c>
      <c r="AQ45" s="571"/>
      <c r="AR45" s="571"/>
    </row>
    <row r="46" spans="3:44" x14ac:dyDescent="0.25">
      <c r="E46" s="227"/>
      <c r="F46" s="176" t="s">
        <v>152</v>
      </c>
      <c r="G46" s="238" t="s">
        <v>201</v>
      </c>
      <c r="H46" s="582"/>
      <c r="I46" s="572"/>
      <c r="J46" s="582">
        <f>Rounding!J90</f>
        <v>0</v>
      </c>
      <c r="K46" s="582">
        <f>Rounding!K90</f>
        <v>0.441</v>
      </c>
      <c r="L46" s="582">
        <f>Rounding!L90</f>
        <v>0</v>
      </c>
      <c r="M46" s="582">
        <f>Rounding!M90</f>
        <v>0</v>
      </c>
      <c r="N46" s="582">
        <f>Rounding!N90</f>
        <v>0.59099999999999997</v>
      </c>
      <c r="O46" s="582">
        <f>Rounding!O90</f>
        <v>0</v>
      </c>
      <c r="P46" s="582">
        <f>Rounding!P90</f>
        <v>0.43</v>
      </c>
      <c r="Q46" s="582">
        <f>Rounding!Q90</f>
        <v>0.40899999999999997</v>
      </c>
      <c r="R46" s="582">
        <f>Rounding!R90</f>
        <v>0.36799999999999999</v>
      </c>
      <c r="S46" s="582">
        <f>Rounding!S90</f>
        <v>1.1990000000000001</v>
      </c>
      <c r="T46" s="582">
        <f>Rounding!T90</f>
        <v>1.2470000000000001</v>
      </c>
      <c r="U46" s="582">
        <f>Rounding!U90</f>
        <v>0.86599999999999999</v>
      </c>
      <c r="V46" s="582">
        <f>Rounding!V90</f>
        <v>0.60499999999999998</v>
      </c>
      <c r="W46" s="582">
        <f>Rounding!W90</f>
        <v>0.498</v>
      </c>
      <c r="X46" s="582">
        <f>Rounding!X90</f>
        <v>0</v>
      </c>
      <c r="Y46" s="582">
        <f>Rounding!Y90</f>
        <v>0</v>
      </c>
      <c r="Z46" s="582">
        <f>Rounding!Z90</f>
        <v>0</v>
      </c>
      <c r="AA46" s="582">
        <f>Rounding!AA90</f>
        <v>0</v>
      </c>
      <c r="AB46" s="582">
        <f>Rounding!AB90</f>
        <v>2.5760000000000001</v>
      </c>
      <c r="AC46" s="582">
        <f>Rounding!AC90</f>
        <v>0</v>
      </c>
      <c r="AD46" s="582">
        <f>Rounding!AD90</f>
        <v>0</v>
      </c>
      <c r="AE46" s="582">
        <f>Rounding!AE90</f>
        <v>0</v>
      </c>
      <c r="AF46" s="582">
        <f>Rounding!AF90</f>
        <v>0</v>
      </c>
      <c r="AG46" s="582">
        <f>Rounding!AG90</f>
        <v>-0.57099999999999995</v>
      </c>
      <c r="AH46" s="582">
        <f>Rounding!AH90</f>
        <v>-0.57099999999999995</v>
      </c>
      <c r="AI46" s="582">
        <f>Rounding!AI90</f>
        <v>0</v>
      </c>
      <c r="AJ46" s="582">
        <f>Rounding!AJ90</f>
        <v>0</v>
      </c>
      <c r="AK46" s="582">
        <f>Rounding!AK90</f>
        <v>-0.47499999999999998</v>
      </c>
      <c r="AL46" s="582">
        <f>Rounding!AL90</f>
        <v>-0.47499999999999998</v>
      </c>
      <c r="AM46" s="582">
        <f>Rounding!AM90</f>
        <v>0</v>
      </c>
      <c r="AN46" s="582">
        <f>Rounding!AN90</f>
        <v>0</v>
      </c>
      <c r="AO46" s="582">
        <f>Rounding!AO90</f>
        <v>-0.22700000000000001</v>
      </c>
      <c r="AP46" s="582">
        <f>Rounding!AP90</f>
        <v>-0.22700000000000001</v>
      </c>
      <c r="AQ46" s="571"/>
      <c r="AR46" s="571"/>
    </row>
    <row r="47" spans="3:44" x14ac:dyDescent="0.25">
      <c r="E47" s="227"/>
      <c r="F47" s="176" t="s">
        <v>153</v>
      </c>
      <c r="G47" s="238" t="s">
        <v>201</v>
      </c>
      <c r="H47" s="582"/>
      <c r="I47" s="572"/>
      <c r="J47" s="582">
        <f>Rounding!J91</f>
        <v>0</v>
      </c>
      <c r="K47" s="582">
        <f>Rounding!K91</f>
        <v>0</v>
      </c>
      <c r="L47" s="582">
        <f>Rounding!L91</f>
        <v>0</v>
      </c>
      <c r="M47" s="582">
        <f>Rounding!M91</f>
        <v>0</v>
      </c>
      <c r="N47" s="582">
        <f>Rounding!N91</f>
        <v>0</v>
      </c>
      <c r="O47" s="582">
        <f>Rounding!O91</f>
        <v>0</v>
      </c>
      <c r="P47" s="582">
        <f>Rounding!P91</f>
        <v>0</v>
      </c>
      <c r="Q47" s="582">
        <f>Rounding!Q91</f>
        <v>0</v>
      </c>
      <c r="R47" s="582">
        <f>Rounding!R91</f>
        <v>0</v>
      </c>
      <c r="S47" s="582">
        <f>Rounding!S91</f>
        <v>0.38600000000000001</v>
      </c>
      <c r="T47" s="582">
        <f>Rounding!T91</f>
        <v>0.38900000000000001</v>
      </c>
      <c r="U47" s="582">
        <f>Rounding!U91</f>
        <v>0.36499999999999999</v>
      </c>
      <c r="V47" s="582">
        <f>Rounding!V91</f>
        <v>0.34699999999999998</v>
      </c>
      <c r="W47" s="582">
        <f>Rounding!W91</f>
        <v>0.34200000000000003</v>
      </c>
      <c r="X47" s="582">
        <f>Rounding!X91</f>
        <v>0</v>
      </c>
      <c r="Y47" s="582">
        <f>Rounding!Y91</f>
        <v>0</v>
      </c>
      <c r="Z47" s="582">
        <f>Rounding!Z91</f>
        <v>0</v>
      </c>
      <c r="AA47" s="582">
        <f>Rounding!AA91</f>
        <v>0</v>
      </c>
      <c r="AB47" s="582">
        <f>Rounding!AB91</f>
        <v>1.839</v>
      </c>
      <c r="AC47" s="582">
        <f>Rounding!AC91</f>
        <v>0</v>
      </c>
      <c r="AD47" s="582">
        <f>Rounding!AD91</f>
        <v>0</v>
      </c>
      <c r="AE47" s="582">
        <f>Rounding!AE91</f>
        <v>0</v>
      </c>
      <c r="AF47" s="582">
        <f>Rounding!AF91</f>
        <v>0</v>
      </c>
      <c r="AG47" s="582">
        <f>Rounding!AG91</f>
        <v>-3.3000000000000002E-2</v>
      </c>
      <c r="AH47" s="582">
        <f>Rounding!AH91</f>
        <v>-3.3000000000000002E-2</v>
      </c>
      <c r="AI47" s="582">
        <f>Rounding!AI91</f>
        <v>0</v>
      </c>
      <c r="AJ47" s="582">
        <f>Rounding!AJ91</f>
        <v>0</v>
      </c>
      <c r="AK47" s="582">
        <f>Rounding!AK91</f>
        <v>-2.5999999999999999E-2</v>
      </c>
      <c r="AL47" s="582">
        <f>Rounding!AL91</f>
        <v>-2.5999999999999999E-2</v>
      </c>
      <c r="AM47" s="582">
        <f>Rounding!AM91</f>
        <v>0</v>
      </c>
      <c r="AN47" s="582">
        <f>Rounding!AN91</f>
        <v>0</v>
      </c>
      <c r="AO47" s="582">
        <f>Rounding!AO91</f>
        <v>-8.0000000000000002E-3</v>
      </c>
      <c r="AP47" s="582">
        <f>Rounding!AP91</f>
        <v>-8.0000000000000002E-3</v>
      </c>
      <c r="AQ47" s="571"/>
      <c r="AR47" s="571"/>
    </row>
    <row r="48" spans="3:44" x14ac:dyDescent="0.25">
      <c r="E48" s="227"/>
      <c r="F48" s="176" t="s">
        <v>384</v>
      </c>
      <c r="G48" s="238" t="s">
        <v>382</v>
      </c>
      <c r="H48" s="205"/>
      <c r="I48" s="167"/>
      <c r="J48" s="437">
        <f>Rounding!J92</f>
        <v>3.51</v>
      </c>
      <c r="K48" s="437">
        <f>Rounding!K92</f>
        <v>3.51</v>
      </c>
      <c r="L48" s="437">
        <f>Rounding!L92</f>
        <v>0</v>
      </c>
      <c r="M48" s="437">
        <f>Rounding!M92</f>
        <v>5.25</v>
      </c>
      <c r="N48" s="437">
        <f>Rounding!N92</f>
        <v>5.25</v>
      </c>
      <c r="O48" s="437">
        <f>Rounding!O92</f>
        <v>0</v>
      </c>
      <c r="P48" s="437">
        <f>Rounding!P92</f>
        <v>28.97</v>
      </c>
      <c r="Q48" s="437">
        <f>Rounding!Q92</f>
        <v>25.78</v>
      </c>
      <c r="R48" s="437">
        <f>Rounding!R92</f>
        <v>288.70999999999998</v>
      </c>
      <c r="S48" s="437">
        <f>Rounding!S92</f>
        <v>3.51</v>
      </c>
      <c r="T48" s="437">
        <f>Rounding!T92</f>
        <v>5.25</v>
      </c>
      <c r="U48" s="437">
        <f>Rounding!U92</f>
        <v>16.489999999999998</v>
      </c>
      <c r="V48" s="437">
        <f>Rounding!V92</f>
        <v>25.78</v>
      </c>
      <c r="W48" s="437">
        <f>Rounding!W92</f>
        <v>147.36000000000001</v>
      </c>
      <c r="X48" s="437">
        <f>Rounding!X92</f>
        <v>0</v>
      </c>
      <c r="Y48" s="437">
        <f>Rounding!Y92</f>
        <v>0</v>
      </c>
      <c r="Z48" s="437">
        <f>Rounding!Z92</f>
        <v>0</v>
      </c>
      <c r="AA48" s="437">
        <f>Rounding!AA92</f>
        <v>0</v>
      </c>
      <c r="AB48" s="437">
        <f>Rounding!AB92</f>
        <v>0</v>
      </c>
      <c r="AC48" s="437">
        <f>Rounding!AC92</f>
        <v>0</v>
      </c>
      <c r="AD48" s="437">
        <f>Rounding!AD92</f>
        <v>0</v>
      </c>
      <c r="AE48" s="437">
        <f>Rounding!AE92</f>
        <v>0</v>
      </c>
      <c r="AF48" s="437">
        <f>Rounding!AF92</f>
        <v>0</v>
      </c>
      <c r="AG48" s="437">
        <f>Rounding!AG92</f>
        <v>0</v>
      </c>
      <c r="AH48" s="437">
        <f>Rounding!AH92</f>
        <v>0</v>
      </c>
      <c r="AI48" s="437">
        <f>Rounding!AI92</f>
        <v>0</v>
      </c>
      <c r="AJ48" s="437">
        <f>Rounding!AJ92</f>
        <v>0</v>
      </c>
      <c r="AK48" s="437">
        <f>Rounding!AK92</f>
        <v>0</v>
      </c>
      <c r="AL48" s="437">
        <f>Rounding!AL92</f>
        <v>0</v>
      </c>
      <c r="AM48" s="437">
        <f>Rounding!AM92</f>
        <v>242.78</v>
      </c>
      <c r="AN48" s="437">
        <f>Rounding!AN92</f>
        <v>242.78</v>
      </c>
      <c r="AO48" s="437">
        <f>Rounding!AO92</f>
        <v>242.78</v>
      </c>
      <c r="AP48" s="437">
        <f>Rounding!AP92</f>
        <v>242.78</v>
      </c>
    </row>
    <row r="49" spans="3:44" x14ac:dyDescent="0.25">
      <c r="E49" s="227"/>
      <c r="F49" s="176" t="s">
        <v>385</v>
      </c>
      <c r="G49" s="238" t="s">
        <v>381</v>
      </c>
      <c r="H49" s="205"/>
      <c r="I49" s="167"/>
      <c r="J49" s="437">
        <f>Rounding!J93</f>
        <v>0</v>
      </c>
      <c r="K49" s="437">
        <f>Rounding!K93</f>
        <v>0</v>
      </c>
      <c r="L49" s="437">
        <f>Rounding!L93</f>
        <v>0</v>
      </c>
      <c r="M49" s="437">
        <f>Rounding!M93</f>
        <v>0</v>
      </c>
      <c r="N49" s="437">
        <f>Rounding!N93</f>
        <v>0</v>
      </c>
      <c r="O49" s="437">
        <f>Rounding!O93</f>
        <v>0</v>
      </c>
      <c r="P49" s="437">
        <f>Rounding!P93</f>
        <v>0</v>
      </c>
      <c r="Q49" s="437">
        <f>Rounding!Q93</f>
        <v>0</v>
      </c>
      <c r="R49" s="437">
        <f>Rounding!R93</f>
        <v>0</v>
      </c>
      <c r="S49" s="437">
        <f>Rounding!S93</f>
        <v>0</v>
      </c>
      <c r="T49" s="437">
        <f>Rounding!T93</f>
        <v>0</v>
      </c>
      <c r="U49" s="437">
        <f>Rounding!U93</f>
        <v>2.42</v>
      </c>
      <c r="V49" s="437">
        <f>Rounding!V93</f>
        <v>4.28</v>
      </c>
      <c r="W49" s="437">
        <f>Rounding!W93</f>
        <v>5.28</v>
      </c>
      <c r="X49" s="437">
        <f>Rounding!X93</f>
        <v>0</v>
      </c>
      <c r="Y49" s="437">
        <f>Rounding!Y93</f>
        <v>0</v>
      </c>
      <c r="Z49" s="437">
        <f>Rounding!Z93</f>
        <v>0</v>
      </c>
      <c r="AA49" s="437">
        <f>Rounding!AA93</f>
        <v>0</v>
      </c>
      <c r="AB49" s="437">
        <f>Rounding!AB93</f>
        <v>0</v>
      </c>
      <c r="AC49" s="437">
        <f>Rounding!AC93</f>
        <v>0</v>
      </c>
      <c r="AD49" s="437">
        <f>Rounding!AD93</f>
        <v>0</v>
      </c>
      <c r="AE49" s="437">
        <f>Rounding!AE93</f>
        <v>0</v>
      </c>
      <c r="AF49" s="437">
        <f>Rounding!AF93</f>
        <v>0</v>
      </c>
      <c r="AG49" s="437">
        <f>Rounding!AG93</f>
        <v>0</v>
      </c>
      <c r="AH49" s="437">
        <f>Rounding!AH93</f>
        <v>0</v>
      </c>
      <c r="AI49" s="437">
        <f>Rounding!AI93</f>
        <v>0</v>
      </c>
      <c r="AJ49" s="437">
        <f>Rounding!AJ93</f>
        <v>0</v>
      </c>
      <c r="AK49" s="437">
        <f>Rounding!AK93</f>
        <v>0</v>
      </c>
      <c r="AL49" s="437">
        <f>Rounding!AL93</f>
        <v>0</v>
      </c>
      <c r="AM49" s="437">
        <f>Rounding!AM93</f>
        <v>0</v>
      </c>
      <c r="AN49" s="437">
        <f>Rounding!AN93</f>
        <v>0</v>
      </c>
      <c r="AO49" s="437">
        <f>Rounding!AO93</f>
        <v>0</v>
      </c>
      <c r="AP49" s="437">
        <f>Rounding!AP93</f>
        <v>0</v>
      </c>
    </row>
    <row r="50" spans="3:44" x14ac:dyDescent="0.25">
      <c r="E50" s="227"/>
      <c r="F50" s="176" t="s">
        <v>386</v>
      </c>
      <c r="G50" s="238" t="s">
        <v>381</v>
      </c>
      <c r="H50" s="205"/>
      <c r="I50" s="167"/>
      <c r="J50" s="437">
        <f>Rounding!J94</f>
        <v>0</v>
      </c>
      <c r="K50" s="437">
        <f>Rounding!K94</f>
        <v>0</v>
      </c>
      <c r="L50" s="437">
        <f>Rounding!L94</f>
        <v>0</v>
      </c>
      <c r="M50" s="437">
        <f>Rounding!M94</f>
        <v>0</v>
      </c>
      <c r="N50" s="437">
        <f>Rounding!N94</f>
        <v>0</v>
      </c>
      <c r="O50" s="437">
        <f>Rounding!O94</f>
        <v>0</v>
      </c>
      <c r="P50" s="437">
        <f>Rounding!P94</f>
        <v>0</v>
      </c>
      <c r="Q50" s="437">
        <f>Rounding!Q94</f>
        <v>0</v>
      </c>
      <c r="R50" s="437">
        <f>Rounding!R94</f>
        <v>0</v>
      </c>
      <c r="S50" s="437">
        <f>Rounding!S94</f>
        <v>0</v>
      </c>
      <c r="T50" s="437">
        <f>Rounding!T94</f>
        <v>0</v>
      </c>
      <c r="U50" s="437">
        <f>Rounding!U94</f>
        <v>4.58</v>
      </c>
      <c r="V50" s="437">
        <f>Rounding!V94</f>
        <v>5.77</v>
      </c>
      <c r="W50" s="437">
        <f>Rounding!W94</f>
        <v>6.55</v>
      </c>
      <c r="X50" s="437">
        <f>Rounding!X94</f>
        <v>0</v>
      </c>
      <c r="Y50" s="437">
        <f>Rounding!Y94</f>
        <v>0</v>
      </c>
      <c r="Z50" s="437">
        <f>Rounding!Z94</f>
        <v>0</v>
      </c>
      <c r="AA50" s="437">
        <f>Rounding!AA94</f>
        <v>0</v>
      </c>
      <c r="AB50" s="437">
        <f>Rounding!AB94</f>
        <v>0</v>
      </c>
      <c r="AC50" s="437">
        <f>Rounding!AC94</f>
        <v>0</v>
      </c>
      <c r="AD50" s="437">
        <f>Rounding!AD94</f>
        <v>0</v>
      </c>
      <c r="AE50" s="437">
        <f>Rounding!AE94</f>
        <v>0</v>
      </c>
      <c r="AF50" s="437">
        <f>Rounding!AF94</f>
        <v>0</v>
      </c>
      <c r="AG50" s="437">
        <f>Rounding!AG94</f>
        <v>0</v>
      </c>
      <c r="AH50" s="437">
        <f>Rounding!AH94</f>
        <v>0</v>
      </c>
      <c r="AI50" s="437">
        <f>Rounding!AI94</f>
        <v>0</v>
      </c>
      <c r="AJ50" s="437">
        <f>Rounding!AJ94</f>
        <v>0</v>
      </c>
      <c r="AK50" s="437">
        <f>Rounding!AK94</f>
        <v>0</v>
      </c>
      <c r="AL50" s="437">
        <f>Rounding!AL94</f>
        <v>0</v>
      </c>
      <c r="AM50" s="437">
        <f>Rounding!AM94</f>
        <v>0</v>
      </c>
      <c r="AN50" s="437">
        <f>Rounding!AN94</f>
        <v>0</v>
      </c>
      <c r="AO50" s="437">
        <f>Rounding!AO94</f>
        <v>0</v>
      </c>
      <c r="AP50" s="437">
        <f>Rounding!AP94</f>
        <v>0</v>
      </c>
    </row>
    <row r="51" spans="3:44" x14ac:dyDescent="0.25">
      <c r="E51" s="227"/>
      <c r="F51" s="177" t="s">
        <v>387</v>
      </c>
      <c r="G51" s="239" t="s">
        <v>388</v>
      </c>
      <c r="H51" s="588"/>
      <c r="I51" s="574"/>
      <c r="J51" s="588">
        <f>Rounding!J95</f>
        <v>0</v>
      </c>
      <c r="K51" s="588">
        <f>Rounding!K95</f>
        <v>0</v>
      </c>
      <c r="L51" s="588">
        <f>Rounding!L95</f>
        <v>0</v>
      </c>
      <c r="M51" s="588">
        <f>Rounding!M95</f>
        <v>0</v>
      </c>
      <c r="N51" s="588">
        <f>Rounding!N95</f>
        <v>0</v>
      </c>
      <c r="O51" s="588">
        <f>Rounding!O95</f>
        <v>0</v>
      </c>
      <c r="P51" s="588">
        <f>Rounding!P95</f>
        <v>0</v>
      </c>
      <c r="Q51" s="588">
        <f>Rounding!Q95</f>
        <v>0</v>
      </c>
      <c r="R51" s="588">
        <f>Rounding!R95</f>
        <v>0</v>
      </c>
      <c r="S51" s="588">
        <f>Rounding!S95</f>
        <v>0</v>
      </c>
      <c r="T51" s="588">
        <f>Rounding!T95</f>
        <v>0</v>
      </c>
      <c r="U51" s="588">
        <f>Rounding!U95</f>
        <v>0.20399999999999999</v>
      </c>
      <c r="V51" s="588">
        <f>Rounding!V95</f>
        <v>0.129</v>
      </c>
      <c r="W51" s="588">
        <f>Rounding!W95</f>
        <v>8.5999999999999993E-2</v>
      </c>
      <c r="X51" s="588">
        <f>Rounding!X95</f>
        <v>0</v>
      </c>
      <c r="Y51" s="588">
        <f>Rounding!Y95</f>
        <v>0</v>
      </c>
      <c r="Z51" s="588">
        <f>Rounding!Z95</f>
        <v>0</v>
      </c>
      <c r="AA51" s="588">
        <f>Rounding!AA95</f>
        <v>0</v>
      </c>
      <c r="AB51" s="588">
        <f>Rounding!AB95</f>
        <v>0</v>
      </c>
      <c r="AC51" s="588">
        <f>Rounding!AC95</f>
        <v>0</v>
      </c>
      <c r="AD51" s="588">
        <f>Rounding!AD95</f>
        <v>0</v>
      </c>
      <c r="AE51" s="588">
        <f>Rounding!AE95</f>
        <v>0.186</v>
      </c>
      <c r="AF51" s="588">
        <f>Rounding!AF95</f>
        <v>0</v>
      </c>
      <c r="AG51" s="588">
        <f>Rounding!AG95</f>
        <v>0.186</v>
      </c>
      <c r="AH51" s="588">
        <f>Rounding!AH95</f>
        <v>0</v>
      </c>
      <c r="AI51" s="588">
        <f>Rounding!AI95</f>
        <v>0.16600000000000001</v>
      </c>
      <c r="AJ51" s="588">
        <f>Rounding!AJ95</f>
        <v>0</v>
      </c>
      <c r="AK51" s="588">
        <f>Rounding!AK95</f>
        <v>0.16600000000000001</v>
      </c>
      <c r="AL51" s="588">
        <f>Rounding!AL95</f>
        <v>0</v>
      </c>
      <c r="AM51" s="588">
        <f>Rounding!AM95</f>
        <v>0.14699999999999999</v>
      </c>
      <c r="AN51" s="588">
        <f>Rounding!AN95</f>
        <v>0</v>
      </c>
      <c r="AO51" s="588">
        <f>Rounding!AO95</f>
        <v>0.14699999999999999</v>
      </c>
      <c r="AP51" s="588">
        <f>Rounding!AP95</f>
        <v>0</v>
      </c>
      <c r="AQ51" s="571"/>
      <c r="AR51" s="571"/>
    </row>
    <row r="52" spans="3:44" x14ac:dyDescent="0.25">
      <c r="E52" s="227"/>
      <c r="G52" s="194"/>
      <c r="J52" s="435"/>
      <c r="K52" s="435"/>
      <c r="L52" s="435"/>
      <c r="M52" s="435"/>
      <c r="N52" s="435"/>
      <c r="O52" s="435"/>
      <c r="P52" s="435"/>
      <c r="Q52" s="435"/>
      <c r="R52" s="435"/>
      <c r="S52" s="435"/>
      <c r="T52" s="435"/>
      <c r="U52" s="435"/>
      <c r="V52" s="435"/>
      <c r="W52" s="435"/>
      <c r="X52" s="435"/>
      <c r="Y52" s="435"/>
      <c r="Z52" s="435"/>
      <c r="AA52" s="435"/>
      <c r="AB52" s="435"/>
      <c r="AC52" s="435"/>
      <c r="AD52" s="435"/>
      <c r="AE52" s="435"/>
      <c r="AF52" s="435"/>
      <c r="AG52" s="435"/>
      <c r="AH52" s="435"/>
      <c r="AI52" s="435"/>
      <c r="AJ52" s="435"/>
      <c r="AK52" s="435"/>
      <c r="AL52" s="435"/>
      <c r="AM52" s="435"/>
      <c r="AN52" s="435"/>
      <c r="AO52" s="435"/>
      <c r="AP52" s="435"/>
    </row>
    <row r="53" spans="3:44" x14ac:dyDescent="0.25">
      <c r="E53" s="261" t="s">
        <v>1044</v>
      </c>
      <c r="G53" s="194"/>
      <c r="I53" s="160" t="s">
        <v>525</v>
      </c>
      <c r="J53" s="436"/>
      <c r="K53" s="436"/>
      <c r="L53" s="436"/>
      <c r="M53" s="436"/>
      <c r="N53" s="436"/>
      <c r="O53" s="436"/>
      <c r="P53" s="436"/>
      <c r="Q53" s="436"/>
      <c r="R53" s="436"/>
      <c r="S53" s="436"/>
      <c r="T53" s="436"/>
      <c r="U53" s="436"/>
      <c r="V53" s="436"/>
      <c r="W53" s="436"/>
      <c r="X53" s="436"/>
      <c r="Y53" s="436"/>
      <c r="Z53" s="436"/>
      <c r="AA53" s="436"/>
      <c r="AB53" s="436"/>
      <c r="AC53" s="436"/>
      <c r="AD53" s="436"/>
      <c r="AE53" s="436"/>
      <c r="AF53" s="436"/>
      <c r="AG53" s="436"/>
      <c r="AH53" s="436"/>
      <c r="AI53" s="436"/>
      <c r="AJ53" s="436"/>
      <c r="AK53" s="436"/>
      <c r="AL53" s="436"/>
      <c r="AM53" s="436"/>
      <c r="AN53" s="436"/>
      <c r="AO53" s="436"/>
      <c r="AP53" s="436"/>
      <c r="AR53" s="160" t="s">
        <v>947</v>
      </c>
    </row>
    <row r="54" spans="3:44" x14ac:dyDescent="0.25">
      <c r="F54" s="180" t="s">
        <v>151</v>
      </c>
      <c r="G54" s="237" t="s">
        <v>201</v>
      </c>
      <c r="H54" s="581"/>
      <c r="I54" s="569"/>
      <c r="J54" s="581">
        <f>Rounding!J98</f>
        <v>1.262</v>
      </c>
      <c r="K54" s="581">
        <f>Rounding!K98</f>
        <v>1.5569999999999999</v>
      </c>
      <c r="L54" s="581">
        <f>Rounding!L98</f>
        <v>0.35</v>
      </c>
      <c r="M54" s="581">
        <f>Rounding!M98</f>
        <v>1.159</v>
      </c>
      <c r="N54" s="581">
        <f>Rounding!N98</f>
        <v>1.69</v>
      </c>
      <c r="O54" s="581">
        <f>Rounding!O98</f>
        <v>0.434</v>
      </c>
      <c r="P54" s="581">
        <f>Rounding!P98</f>
        <v>0.96799999999999997</v>
      </c>
      <c r="Q54" s="581">
        <f>Rounding!Q98</f>
        <v>0</v>
      </c>
      <c r="R54" s="581">
        <f>Rounding!R98</f>
        <v>0</v>
      </c>
      <c r="S54" s="581">
        <f>Rounding!S98</f>
        <v>5.6760000000000002</v>
      </c>
      <c r="T54" s="581">
        <f>Rounding!T98</f>
        <v>5.98</v>
      </c>
      <c r="U54" s="581">
        <f>Rounding!U98</f>
        <v>4.0910000000000002</v>
      </c>
      <c r="V54" s="581">
        <f>Rounding!V98</f>
        <v>0</v>
      </c>
      <c r="W54" s="581">
        <f>Rounding!W98</f>
        <v>0</v>
      </c>
      <c r="X54" s="581">
        <f>Rounding!X98</f>
        <v>1.6970000000000001</v>
      </c>
      <c r="Y54" s="581">
        <f>Rounding!Y98</f>
        <v>1.734</v>
      </c>
      <c r="Z54" s="581">
        <f>Rounding!Z98</f>
        <v>2.2189999999999999</v>
      </c>
      <c r="AA54" s="581">
        <f>Rounding!AA98</f>
        <v>1.704</v>
      </c>
      <c r="AB54" s="581">
        <f>Rounding!AB98</f>
        <v>8.9540000000000006</v>
      </c>
      <c r="AC54" s="581">
        <f>Rounding!AC98</f>
        <v>-0.79400000000000004</v>
      </c>
      <c r="AD54" s="581">
        <f>Rounding!AD98</f>
        <v>0</v>
      </c>
      <c r="AE54" s="581">
        <f>Rounding!AE98</f>
        <v>-0.79400000000000004</v>
      </c>
      <c r="AF54" s="581">
        <f>Rounding!AF98</f>
        <v>0</v>
      </c>
      <c r="AG54" s="581">
        <f>Rounding!AG98</f>
        <v>-5.5359999999999996</v>
      </c>
      <c r="AH54" s="581">
        <f>Rounding!AH98</f>
        <v>0</v>
      </c>
      <c r="AI54" s="581">
        <f>Rounding!AI98</f>
        <v>0</v>
      </c>
      <c r="AJ54" s="581">
        <f>Rounding!AJ98</f>
        <v>0</v>
      </c>
      <c r="AK54" s="581">
        <f>Rounding!AK98</f>
        <v>0</v>
      </c>
      <c r="AL54" s="581">
        <f>Rounding!AL98</f>
        <v>0</v>
      </c>
      <c r="AM54" s="581">
        <f>Rounding!AM98</f>
        <v>0</v>
      </c>
      <c r="AN54" s="581">
        <f>Rounding!AN98</f>
        <v>0</v>
      </c>
      <c r="AO54" s="581">
        <f>Rounding!AO98</f>
        <v>0</v>
      </c>
      <c r="AP54" s="581">
        <f>Rounding!AP98</f>
        <v>0</v>
      </c>
      <c r="AQ54" s="571"/>
      <c r="AR54" s="571"/>
    </row>
    <row r="55" spans="3:44" x14ac:dyDescent="0.25">
      <c r="E55" s="227"/>
      <c r="F55" s="176" t="s">
        <v>152</v>
      </c>
      <c r="G55" s="238" t="s">
        <v>201</v>
      </c>
      <c r="H55" s="582"/>
      <c r="I55" s="572"/>
      <c r="J55" s="582">
        <f>Rounding!J99</f>
        <v>0</v>
      </c>
      <c r="K55" s="582">
        <f>Rounding!K99</f>
        <v>0.28799999999999998</v>
      </c>
      <c r="L55" s="582">
        <f>Rounding!L99</f>
        <v>0</v>
      </c>
      <c r="M55" s="582">
        <f>Rounding!M99</f>
        <v>0</v>
      </c>
      <c r="N55" s="582">
        <f>Rounding!N99</f>
        <v>0.38600000000000001</v>
      </c>
      <c r="O55" s="582">
        <f>Rounding!O99</f>
        <v>0</v>
      </c>
      <c r="P55" s="582">
        <f>Rounding!P99</f>
        <v>0.28100000000000003</v>
      </c>
      <c r="Q55" s="582">
        <f>Rounding!Q99</f>
        <v>0</v>
      </c>
      <c r="R55" s="582">
        <f>Rounding!R99</f>
        <v>0</v>
      </c>
      <c r="S55" s="582">
        <f>Rounding!S99</f>
        <v>0.78200000000000003</v>
      </c>
      <c r="T55" s="582">
        <f>Rounding!T99</f>
        <v>0.81399999999999995</v>
      </c>
      <c r="U55" s="582">
        <f>Rounding!U99</f>
        <v>0.56499999999999995</v>
      </c>
      <c r="V55" s="582">
        <f>Rounding!V99</f>
        <v>0</v>
      </c>
      <c r="W55" s="582">
        <f>Rounding!W99</f>
        <v>0</v>
      </c>
      <c r="X55" s="582">
        <f>Rounding!X99</f>
        <v>0</v>
      </c>
      <c r="Y55" s="582">
        <f>Rounding!Y99</f>
        <v>0</v>
      </c>
      <c r="Z55" s="582">
        <f>Rounding!Z99</f>
        <v>0</v>
      </c>
      <c r="AA55" s="582">
        <f>Rounding!AA99</f>
        <v>0</v>
      </c>
      <c r="AB55" s="582">
        <f>Rounding!AB99</f>
        <v>1.681</v>
      </c>
      <c r="AC55" s="582">
        <f>Rounding!AC99</f>
        <v>0</v>
      </c>
      <c r="AD55" s="582">
        <f>Rounding!AD99</f>
        <v>0</v>
      </c>
      <c r="AE55" s="582">
        <f>Rounding!AE99</f>
        <v>0</v>
      </c>
      <c r="AF55" s="582">
        <f>Rounding!AF99</f>
        <v>0</v>
      </c>
      <c r="AG55" s="582">
        <f>Rounding!AG99</f>
        <v>-0.57099999999999995</v>
      </c>
      <c r="AH55" s="582">
        <f>Rounding!AH99</f>
        <v>0</v>
      </c>
      <c r="AI55" s="582">
        <f>Rounding!AI99</f>
        <v>0</v>
      </c>
      <c r="AJ55" s="582">
        <f>Rounding!AJ99</f>
        <v>0</v>
      </c>
      <c r="AK55" s="582">
        <f>Rounding!AK99</f>
        <v>0</v>
      </c>
      <c r="AL55" s="582">
        <f>Rounding!AL99</f>
        <v>0</v>
      </c>
      <c r="AM55" s="582">
        <f>Rounding!AM99</f>
        <v>0</v>
      </c>
      <c r="AN55" s="582">
        <f>Rounding!AN99</f>
        <v>0</v>
      </c>
      <c r="AO55" s="582">
        <f>Rounding!AO99</f>
        <v>0</v>
      </c>
      <c r="AP55" s="582">
        <f>Rounding!AP99</f>
        <v>0</v>
      </c>
      <c r="AQ55" s="571"/>
      <c r="AR55" s="571"/>
    </row>
    <row r="56" spans="3:44" x14ac:dyDescent="0.25">
      <c r="E56" s="227"/>
      <c r="F56" s="176" t="s">
        <v>153</v>
      </c>
      <c r="G56" s="238" t="s">
        <v>201</v>
      </c>
      <c r="H56" s="582"/>
      <c r="I56" s="572"/>
      <c r="J56" s="582">
        <f>Rounding!J100</f>
        <v>0</v>
      </c>
      <c r="K56" s="582">
        <f>Rounding!K100</f>
        <v>0</v>
      </c>
      <c r="L56" s="582">
        <f>Rounding!L100</f>
        <v>0</v>
      </c>
      <c r="M56" s="582">
        <f>Rounding!M100</f>
        <v>0</v>
      </c>
      <c r="N56" s="582">
        <f>Rounding!N100</f>
        <v>0</v>
      </c>
      <c r="O56" s="582">
        <f>Rounding!O100</f>
        <v>0</v>
      </c>
      <c r="P56" s="582">
        <f>Rounding!P100</f>
        <v>0</v>
      </c>
      <c r="Q56" s="582">
        <f>Rounding!Q100</f>
        <v>0</v>
      </c>
      <c r="R56" s="582">
        <f>Rounding!R100</f>
        <v>0</v>
      </c>
      <c r="S56" s="582">
        <f>Rounding!S100</f>
        <v>0.252</v>
      </c>
      <c r="T56" s="582">
        <f>Rounding!T100</f>
        <v>0.254</v>
      </c>
      <c r="U56" s="582">
        <f>Rounding!U100</f>
        <v>0.23799999999999999</v>
      </c>
      <c r="V56" s="582">
        <f>Rounding!V100</f>
        <v>0</v>
      </c>
      <c r="W56" s="582">
        <f>Rounding!W100</f>
        <v>0</v>
      </c>
      <c r="X56" s="582">
        <f>Rounding!X100</f>
        <v>0</v>
      </c>
      <c r="Y56" s="582">
        <f>Rounding!Y100</f>
        <v>0</v>
      </c>
      <c r="Z56" s="582">
        <f>Rounding!Z100</f>
        <v>0</v>
      </c>
      <c r="AA56" s="582">
        <f>Rounding!AA100</f>
        <v>0</v>
      </c>
      <c r="AB56" s="582">
        <f>Rounding!AB100</f>
        <v>1.2</v>
      </c>
      <c r="AC56" s="582">
        <f>Rounding!AC100</f>
        <v>0</v>
      </c>
      <c r="AD56" s="582">
        <f>Rounding!AD100</f>
        <v>0</v>
      </c>
      <c r="AE56" s="582">
        <f>Rounding!AE100</f>
        <v>0</v>
      </c>
      <c r="AF56" s="582">
        <f>Rounding!AF100</f>
        <v>0</v>
      </c>
      <c r="AG56" s="582">
        <f>Rounding!AG100</f>
        <v>-3.3000000000000002E-2</v>
      </c>
      <c r="AH56" s="582">
        <f>Rounding!AH100</f>
        <v>0</v>
      </c>
      <c r="AI56" s="582">
        <f>Rounding!AI100</f>
        <v>0</v>
      </c>
      <c r="AJ56" s="582">
        <f>Rounding!AJ100</f>
        <v>0</v>
      </c>
      <c r="AK56" s="582">
        <f>Rounding!AK100</f>
        <v>0</v>
      </c>
      <c r="AL56" s="582">
        <f>Rounding!AL100</f>
        <v>0</v>
      </c>
      <c r="AM56" s="582">
        <f>Rounding!AM100</f>
        <v>0</v>
      </c>
      <c r="AN56" s="582">
        <f>Rounding!AN100</f>
        <v>0</v>
      </c>
      <c r="AO56" s="582">
        <f>Rounding!AO100</f>
        <v>0</v>
      </c>
      <c r="AP56" s="582">
        <f>Rounding!AP100</f>
        <v>0</v>
      </c>
      <c r="AQ56" s="571"/>
      <c r="AR56" s="571"/>
    </row>
    <row r="57" spans="3:44" x14ac:dyDescent="0.25">
      <c r="E57" s="227"/>
      <c r="F57" s="176" t="s">
        <v>384</v>
      </c>
      <c r="G57" s="238" t="s">
        <v>382</v>
      </c>
      <c r="H57" s="205"/>
      <c r="I57" s="167"/>
      <c r="J57" s="437">
        <f>Rounding!J101</f>
        <v>2.29</v>
      </c>
      <c r="K57" s="437">
        <f>Rounding!K101</f>
        <v>2.29</v>
      </c>
      <c r="L57" s="437">
        <f>Rounding!L101</f>
        <v>0</v>
      </c>
      <c r="M57" s="437">
        <f>Rounding!M101</f>
        <v>3.43</v>
      </c>
      <c r="N57" s="437">
        <f>Rounding!N101</f>
        <v>3.43</v>
      </c>
      <c r="O57" s="437">
        <f>Rounding!O101</f>
        <v>0</v>
      </c>
      <c r="P57" s="437">
        <f>Rounding!P101</f>
        <v>18.899999999999999</v>
      </c>
      <c r="Q57" s="437">
        <f>Rounding!Q101</f>
        <v>0</v>
      </c>
      <c r="R57" s="437">
        <f>Rounding!R101</f>
        <v>0</v>
      </c>
      <c r="S57" s="437">
        <f>Rounding!S101</f>
        <v>2.29</v>
      </c>
      <c r="T57" s="437">
        <f>Rounding!T101</f>
        <v>3.43</v>
      </c>
      <c r="U57" s="437">
        <f>Rounding!U101</f>
        <v>10.76</v>
      </c>
      <c r="V57" s="437">
        <f>Rounding!V101</f>
        <v>0</v>
      </c>
      <c r="W57" s="437">
        <f>Rounding!W101</f>
        <v>0</v>
      </c>
      <c r="X57" s="437">
        <f>Rounding!X101</f>
        <v>0</v>
      </c>
      <c r="Y57" s="437">
        <f>Rounding!Y101</f>
        <v>0</v>
      </c>
      <c r="Z57" s="437">
        <f>Rounding!Z101</f>
        <v>0</v>
      </c>
      <c r="AA57" s="437">
        <f>Rounding!AA101</f>
        <v>0</v>
      </c>
      <c r="AB57" s="437">
        <f>Rounding!AB101</f>
        <v>0</v>
      </c>
      <c r="AC57" s="437">
        <f>Rounding!AC101</f>
        <v>0</v>
      </c>
      <c r="AD57" s="437">
        <f>Rounding!AD101</f>
        <v>0</v>
      </c>
      <c r="AE57" s="437">
        <f>Rounding!AE101</f>
        <v>0</v>
      </c>
      <c r="AF57" s="437">
        <f>Rounding!AF101</f>
        <v>0</v>
      </c>
      <c r="AG57" s="437">
        <f>Rounding!AG101</f>
        <v>0</v>
      </c>
      <c r="AH57" s="437">
        <f>Rounding!AH101</f>
        <v>0</v>
      </c>
      <c r="AI57" s="437">
        <f>Rounding!AI101</f>
        <v>0</v>
      </c>
      <c r="AJ57" s="437">
        <f>Rounding!AJ101</f>
        <v>0</v>
      </c>
      <c r="AK57" s="437">
        <f>Rounding!AK101</f>
        <v>0</v>
      </c>
      <c r="AL57" s="437">
        <f>Rounding!AL101</f>
        <v>0</v>
      </c>
      <c r="AM57" s="437">
        <f>Rounding!AM101</f>
        <v>0</v>
      </c>
      <c r="AN57" s="437">
        <f>Rounding!AN101</f>
        <v>0</v>
      </c>
      <c r="AO57" s="437">
        <f>Rounding!AO101</f>
        <v>0</v>
      </c>
      <c r="AP57" s="437">
        <f>Rounding!AP101</f>
        <v>0</v>
      </c>
    </row>
    <row r="58" spans="3:44" x14ac:dyDescent="0.25">
      <c r="E58" s="227"/>
      <c r="F58" s="176" t="s">
        <v>385</v>
      </c>
      <c r="G58" s="238" t="s">
        <v>381</v>
      </c>
      <c r="H58" s="205"/>
      <c r="I58" s="167"/>
      <c r="J58" s="437">
        <f>Rounding!J102</f>
        <v>0</v>
      </c>
      <c r="K58" s="437">
        <f>Rounding!K102</f>
        <v>0</v>
      </c>
      <c r="L58" s="437">
        <f>Rounding!L102</f>
        <v>0</v>
      </c>
      <c r="M58" s="437">
        <f>Rounding!M102</f>
        <v>0</v>
      </c>
      <c r="N58" s="437">
        <f>Rounding!N102</f>
        <v>0</v>
      </c>
      <c r="O58" s="437">
        <f>Rounding!O102</f>
        <v>0</v>
      </c>
      <c r="P58" s="437">
        <f>Rounding!P102</f>
        <v>0</v>
      </c>
      <c r="Q58" s="437">
        <f>Rounding!Q102</f>
        <v>0</v>
      </c>
      <c r="R58" s="437">
        <f>Rounding!R102</f>
        <v>0</v>
      </c>
      <c r="S58" s="437">
        <f>Rounding!S102</f>
        <v>0</v>
      </c>
      <c r="T58" s="437">
        <f>Rounding!T102</f>
        <v>0</v>
      </c>
      <c r="U58" s="437">
        <f>Rounding!U102</f>
        <v>1.58</v>
      </c>
      <c r="V58" s="437">
        <f>Rounding!V102</f>
        <v>0</v>
      </c>
      <c r="W58" s="437">
        <f>Rounding!W102</f>
        <v>0</v>
      </c>
      <c r="X58" s="437">
        <f>Rounding!X102</f>
        <v>0</v>
      </c>
      <c r="Y58" s="437">
        <f>Rounding!Y102</f>
        <v>0</v>
      </c>
      <c r="Z58" s="437">
        <f>Rounding!Z102</f>
        <v>0</v>
      </c>
      <c r="AA58" s="437">
        <f>Rounding!AA102</f>
        <v>0</v>
      </c>
      <c r="AB58" s="437">
        <f>Rounding!AB102</f>
        <v>0</v>
      </c>
      <c r="AC58" s="437">
        <f>Rounding!AC102</f>
        <v>0</v>
      </c>
      <c r="AD58" s="437">
        <f>Rounding!AD102</f>
        <v>0</v>
      </c>
      <c r="AE58" s="437">
        <f>Rounding!AE102</f>
        <v>0</v>
      </c>
      <c r="AF58" s="437">
        <f>Rounding!AF102</f>
        <v>0</v>
      </c>
      <c r="AG58" s="437">
        <f>Rounding!AG102</f>
        <v>0</v>
      </c>
      <c r="AH58" s="437">
        <f>Rounding!AH102</f>
        <v>0</v>
      </c>
      <c r="AI58" s="437">
        <f>Rounding!AI102</f>
        <v>0</v>
      </c>
      <c r="AJ58" s="437">
        <f>Rounding!AJ102</f>
        <v>0</v>
      </c>
      <c r="AK58" s="437">
        <f>Rounding!AK102</f>
        <v>0</v>
      </c>
      <c r="AL58" s="437">
        <f>Rounding!AL102</f>
        <v>0</v>
      </c>
      <c r="AM58" s="437">
        <f>Rounding!AM102</f>
        <v>0</v>
      </c>
      <c r="AN58" s="437">
        <f>Rounding!AN102</f>
        <v>0</v>
      </c>
      <c r="AO58" s="437">
        <f>Rounding!AO102</f>
        <v>0</v>
      </c>
      <c r="AP58" s="437">
        <f>Rounding!AP102</f>
        <v>0</v>
      </c>
    </row>
    <row r="59" spans="3:44" x14ac:dyDescent="0.25">
      <c r="E59" s="227"/>
      <c r="F59" s="176" t="s">
        <v>386</v>
      </c>
      <c r="G59" s="238" t="s">
        <v>381</v>
      </c>
      <c r="H59" s="205"/>
      <c r="I59" s="167"/>
      <c r="J59" s="437">
        <f>Rounding!J103</f>
        <v>0</v>
      </c>
      <c r="K59" s="437">
        <f>Rounding!K103</f>
        <v>0</v>
      </c>
      <c r="L59" s="437">
        <f>Rounding!L103</f>
        <v>0</v>
      </c>
      <c r="M59" s="437">
        <f>Rounding!M103</f>
        <v>0</v>
      </c>
      <c r="N59" s="437">
        <f>Rounding!N103</f>
        <v>0</v>
      </c>
      <c r="O59" s="437">
        <f>Rounding!O103</f>
        <v>0</v>
      </c>
      <c r="P59" s="437">
        <f>Rounding!P103</f>
        <v>0</v>
      </c>
      <c r="Q59" s="437">
        <f>Rounding!Q103</f>
        <v>0</v>
      </c>
      <c r="R59" s="437">
        <f>Rounding!R103</f>
        <v>0</v>
      </c>
      <c r="S59" s="437">
        <f>Rounding!S103</f>
        <v>0</v>
      </c>
      <c r="T59" s="437">
        <f>Rounding!T103</f>
        <v>0</v>
      </c>
      <c r="U59" s="437">
        <f>Rounding!U103</f>
        <v>2.99</v>
      </c>
      <c r="V59" s="437">
        <f>Rounding!V103</f>
        <v>0</v>
      </c>
      <c r="W59" s="437">
        <f>Rounding!W103</f>
        <v>0</v>
      </c>
      <c r="X59" s="437">
        <f>Rounding!X103</f>
        <v>0</v>
      </c>
      <c r="Y59" s="437">
        <f>Rounding!Y103</f>
        <v>0</v>
      </c>
      <c r="Z59" s="437">
        <f>Rounding!Z103</f>
        <v>0</v>
      </c>
      <c r="AA59" s="437">
        <f>Rounding!AA103</f>
        <v>0</v>
      </c>
      <c r="AB59" s="437">
        <f>Rounding!AB103</f>
        <v>0</v>
      </c>
      <c r="AC59" s="437">
        <f>Rounding!AC103</f>
        <v>0</v>
      </c>
      <c r="AD59" s="437">
        <f>Rounding!AD103</f>
        <v>0</v>
      </c>
      <c r="AE59" s="437">
        <f>Rounding!AE103</f>
        <v>0</v>
      </c>
      <c r="AF59" s="437">
        <f>Rounding!AF103</f>
        <v>0</v>
      </c>
      <c r="AG59" s="437">
        <f>Rounding!AG103</f>
        <v>0</v>
      </c>
      <c r="AH59" s="437">
        <f>Rounding!AH103</f>
        <v>0</v>
      </c>
      <c r="AI59" s="437">
        <f>Rounding!AI103</f>
        <v>0</v>
      </c>
      <c r="AJ59" s="437">
        <f>Rounding!AJ103</f>
        <v>0</v>
      </c>
      <c r="AK59" s="437">
        <f>Rounding!AK103</f>
        <v>0</v>
      </c>
      <c r="AL59" s="437">
        <f>Rounding!AL103</f>
        <v>0</v>
      </c>
      <c r="AM59" s="437">
        <f>Rounding!AM103</f>
        <v>0</v>
      </c>
      <c r="AN59" s="437">
        <f>Rounding!AN103</f>
        <v>0</v>
      </c>
      <c r="AO59" s="437">
        <f>Rounding!AO103</f>
        <v>0</v>
      </c>
      <c r="AP59" s="437">
        <f>Rounding!AP103</f>
        <v>0</v>
      </c>
    </row>
    <row r="60" spans="3:44" x14ac:dyDescent="0.25">
      <c r="E60" s="227"/>
      <c r="F60" s="177" t="s">
        <v>387</v>
      </c>
      <c r="G60" s="239" t="s">
        <v>388</v>
      </c>
      <c r="H60" s="588"/>
      <c r="I60" s="574"/>
      <c r="J60" s="588">
        <f>Rounding!J104</f>
        <v>0</v>
      </c>
      <c r="K60" s="588">
        <f>Rounding!K104</f>
        <v>0</v>
      </c>
      <c r="L60" s="588">
        <f>Rounding!L104</f>
        <v>0</v>
      </c>
      <c r="M60" s="588">
        <f>Rounding!M104</f>
        <v>0</v>
      </c>
      <c r="N60" s="588">
        <f>Rounding!N104</f>
        <v>0</v>
      </c>
      <c r="O60" s="588">
        <f>Rounding!O104</f>
        <v>0</v>
      </c>
      <c r="P60" s="588">
        <f>Rounding!P104</f>
        <v>0</v>
      </c>
      <c r="Q60" s="588">
        <f>Rounding!Q104</f>
        <v>0</v>
      </c>
      <c r="R60" s="588">
        <f>Rounding!R104</f>
        <v>0</v>
      </c>
      <c r="S60" s="588">
        <f>Rounding!S104</f>
        <v>0</v>
      </c>
      <c r="T60" s="588">
        <f>Rounding!T104</f>
        <v>0</v>
      </c>
      <c r="U60" s="588">
        <f>Rounding!U104</f>
        <v>0.13300000000000001</v>
      </c>
      <c r="V60" s="588">
        <f>Rounding!V104</f>
        <v>0</v>
      </c>
      <c r="W60" s="588">
        <f>Rounding!W104</f>
        <v>0</v>
      </c>
      <c r="X60" s="588">
        <f>Rounding!X104</f>
        <v>0</v>
      </c>
      <c r="Y60" s="588">
        <f>Rounding!Y104</f>
        <v>0</v>
      </c>
      <c r="Z60" s="588">
        <f>Rounding!Z104</f>
        <v>0</v>
      </c>
      <c r="AA60" s="588">
        <f>Rounding!AA104</f>
        <v>0</v>
      </c>
      <c r="AB60" s="588">
        <f>Rounding!AB104</f>
        <v>0</v>
      </c>
      <c r="AC60" s="588">
        <f>Rounding!AC104</f>
        <v>0</v>
      </c>
      <c r="AD60" s="588">
        <f>Rounding!AD104</f>
        <v>0</v>
      </c>
      <c r="AE60" s="588">
        <f>Rounding!AE104</f>
        <v>0.186</v>
      </c>
      <c r="AF60" s="588">
        <f>Rounding!AF104</f>
        <v>0</v>
      </c>
      <c r="AG60" s="588">
        <f>Rounding!AG104</f>
        <v>0.186</v>
      </c>
      <c r="AH60" s="588">
        <f>Rounding!AH104</f>
        <v>0</v>
      </c>
      <c r="AI60" s="588">
        <f>Rounding!AI104</f>
        <v>0</v>
      </c>
      <c r="AJ60" s="588">
        <f>Rounding!AJ104</f>
        <v>0</v>
      </c>
      <c r="AK60" s="588">
        <f>Rounding!AK104</f>
        <v>0</v>
      </c>
      <c r="AL60" s="588">
        <f>Rounding!AL104</f>
        <v>0</v>
      </c>
      <c r="AM60" s="588">
        <f>Rounding!AM104</f>
        <v>0</v>
      </c>
      <c r="AN60" s="588">
        <f>Rounding!AN104</f>
        <v>0</v>
      </c>
      <c r="AO60" s="588">
        <f>Rounding!AO104</f>
        <v>0</v>
      </c>
      <c r="AP60" s="588">
        <f>Rounding!AP104</f>
        <v>0</v>
      </c>
      <c r="AQ60" s="571"/>
      <c r="AR60" s="571"/>
    </row>
    <row r="61" spans="3:44" x14ac:dyDescent="0.25">
      <c r="E61" s="227"/>
      <c r="G61" s="194"/>
      <c r="J61" s="435"/>
      <c r="K61" s="435"/>
      <c r="L61" s="435"/>
      <c r="M61" s="435"/>
      <c r="N61" s="435"/>
      <c r="O61" s="435"/>
      <c r="P61" s="435"/>
      <c r="Q61" s="435"/>
      <c r="R61" s="435"/>
      <c r="S61" s="435"/>
      <c r="T61" s="435"/>
      <c r="U61" s="435"/>
      <c r="V61" s="435"/>
      <c r="W61" s="435"/>
      <c r="X61" s="435"/>
      <c r="Y61" s="435"/>
      <c r="Z61" s="435"/>
      <c r="AA61" s="435"/>
      <c r="AB61" s="435"/>
      <c r="AC61" s="435"/>
      <c r="AD61" s="435"/>
      <c r="AE61" s="435"/>
      <c r="AF61" s="435"/>
      <c r="AG61" s="435"/>
      <c r="AH61" s="435"/>
      <c r="AI61" s="435"/>
      <c r="AJ61" s="435"/>
      <c r="AK61" s="435"/>
      <c r="AL61" s="435"/>
      <c r="AM61" s="435"/>
      <c r="AN61" s="435"/>
      <c r="AO61" s="435"/>
      <c r="AP61" s="435"/>
    </row>
    <row r="62" spans="3:44" x14ac:dyDescent="0.25">
      <c r="E62" s="261" t="s">
        <v>1045</v>
      </c>
      <c r="G62" s="194"/>
      <c r="I62" s="160" t="s">
        <v>525</v>
      </c>
      <c r="J62" s="436"/>
      <c r="K62" s="436"/>
      <c r="L62" s="436"/>
      <c r="M62" s="436"/>
      <c r="N62" s="436"/>
      <c r="O62" s="436"/>
      <c r="P62" s="436"/>
      <c r="Q62" s="436"/>
      <c r="R62" s="436"/>
      <c r="S62" s="436"/>
      <c r="T62" s="436"/>
      <c r="U62" s="436"/>
      <c r="V62" s="436"/>
      <c r="W62" s="436"/>
      <c r="X62" s="436"/>
      <c r="Y62" s="436"/>
      <c r="Z62" s="436"/>
      <c r="AA62" s="436"/>
      <c r="AB62" s="436"/>
      <c r="AC62" s="436"/>
      <c r="AD62" s="436"/>
      <c r="AE62" s="436"/>
      <c r="AF62" s="436"/>
      <c r="AG62" s="436"/>
      <c r="AH62" s="436"/>
      <c r="AI62" s="436"/>
      <c r="AJ62" s="436"/>
      <c r="AK62" s="436"/>
      <c r="AL62" s="436"/>
      <c r="AM62" s="436"/>
      <c r="AN62" s="436"/>
      <c r="AO62" s="436"/>
      <c r="AP62" s="436"/>
      <c r="AR62" s="160" t="s">
        <v>947</v>
      </c>
    </row>
    <row r="63" spans="3:44" x14ac:dyDescent="0.25">
      <c r="C63" s="161"/>
      <c r="F63" s="180" t="s">
        <v>151</v>
      </c>
      <c r="G63" s="237" t="s">
        <v>201</v>
      </c>
      <c r="H63" s="581"/>
      <c r="I63" s="569"/>
      <c r="J63" s="581">
        <f>Rounding!J107</f>
        <v>0.83899999999999997</v>
      </c>
      <c r="K63" s="581">
        <f>Rounding!K107</f>
        <v>1.036</v>
      </c>
      <c r="L63" s="581">
        <f>Rounding!L107</f>
        <v>0.23300000000000001</v>
      </c>
      <c r="M63" s="581">
        <f>Rounding!M107</f>
        <v>0.77100000000000002</v>
      </c>
      <c r="N63" s="581">
        <f>Rounding!N107</f>
        <v>1.1240000000000001</v>
      </c>
      <c r="O63" s="581">
        <f>Rounding!O107</f>
        <v>0.28899999999999998</v>
      </c>
      <c r="P63" s="581">
        <f>Rounding!P107</f>
        <v>0.64400000000000002</v>
      </c>
      <c r="Q63" s="581">
        <f>Rounding!Q107</f>
        <v>0</v>
      </c>
      <c r="R63" s="581">
        <f>Rounding!R107</f>
        <v>0</v>
      </c>
      <c r="S63" s="581">
        <f>Rounding!S107</f>
        <v>3.7759999999999998</v>
      </c>
      <c r="T63" s="581">
        <f>Rounding!T107</f>
        <v>3.9780000000000002</v>
      </c>
      <c r="U63" s="581">
        <f>Rounding!U107</f>
        <v>2.722</v>
      </c>
      <c r="V63" s="581">
        <f>Rounding!V107</f>
        <v>3.367</v>
      </c>
      <c r="W63" s="581">
        <f>Rounding!W107</f>
        <v>2.8079999999999998</v>
      </c>
      <c r="X63" s="581">
        <f>Rounding!X107</f>
        <v>1.129</v>
      </c>
      <c r="Y63" s="581">
        <f>Rounding!Y107</f>
        <v>1.153</v>
      </c>
      <c r="Z63" s="581">
        <f>Rounding!Z107</f>
        <v>1.476</v>
      </c>
      <c r="AA63" s="581">
        <f>Rounding!AA107</f>
        <v>1.133</v>
      </c>
      <c r="AB63" s="581">
        <f>Rounding!AB107</f>
        <v>5.9569999999999999</v>
      </c>
      <c r="AC63" s="581">
        <f>Rounding!AC107</f>
        <v>-0.79400000000000004</v>
      </c>
      <c r="AD63" s="581">
        <f>Rounding!AD107</f>
        <v>-0.69499999999999995</v>
      </c>
      <c r="AE63" s="581">
        <f>Rounding!AE107</f>
        <v>-0.79400000000000004</v>
      </c>
      <c r="AF63" s="581">
        <f>Rounding!AF107</f>
        <v>0</v>
      </c>
      <c r="AG63" s="581">
        <f>Rounding!AG107</f>
        <v>-5.5359999999999996</v>
      </c>
      <c r="AH63" s="581">
        <f>Rounding!AH107</f>
        <v>0</v>
      </c>
      <c r="AI63" s="581">
        <f>Rounding!AI107</f>
        <v>-0.69499999999999995</v>
      </c>
      <c r="AJ63" s="581">
        <f>Rounding!AJ107</f>
        <v>0</v>
      </c>
      <c r="AK63" s="581">
        <f>Rounding!AK107</f>
        <v>-4.9939999999999998</v>
      </c>
      <c r="AL63" s="581">
        <f>Rounding!AL107</f>
        <v>0</v>
      </c>
      <c r="AM63" s="581">
        <f>Rounding!AM107</f>
        <v>-0.46</v>
      </c>
      <c r="AN63" s="581">
        <f>Rounding!AN107</f>
        <v>0</v>
      </c>
      <c r="AO63" s="581">
        <f>Rounding!AO107</f>
        <v>-3.8380000000000001</v>
      </c>
      <c r="AP63" s="581">
        <f>Rounding!AP107</f>
        <v>0</v>
      </c>
      <c r="AQ63" s="571"/>
      <c r="AR63" s="571"/>
    </row>
    <row r="64" spans="3:44" x14ac:dyDescent="0.25">
      <c r="C64" s="161"/>
      <c r="F64" s="176" t="s">
        <v>152</v>
      </c>
      <c r="G64" s="238" t="s">
        <v>201</v>
      </c>
      <c r="H64" s="582"/>
      <c r="I64" s="572"/>
      <c r="J64" s="582">
        <f>Rounding!J108</f>
        <v>0</v>
      </c>
      <c r="K64" s="582">
        <f>Rounding!K108</f>
        <v>0.191</v>
      </c>
      <c r="L64" s="582">
        <f>Rounding!L108</f>
        <v>0</v>
      </c>
      <c r="M64" s="582">
        <f>Rounding!M108</f>
        <v>0</v>
      </c>
      <c r="N64" s="582">
        <f>Rounding!N108</f>
        <v>0.25700000000000001</v>
      </c>
      <c r="O64" s="582">
        <f>Rounding!O108</f>
        <v>0</v>
      </c>
      <c r="P64" s="582">
        <f>Rounding!P108</f>
        <v>0.187</v>
      </c>
      <c r="Q64" s="582">
        <f>Rounding!Q108</f>
        <v>0</v>
      </c>
      <c r="R64" s="582">
        <f>Rounding!R108</f>
        <v>0</v>
      </c>
      <c r="S64" s="582">
        <f>Rounding!S108</f>
        <v>0.52</v>
      </c>
      <c r="T64" s="582">
        <f>Rounding!T108</f>
        <v>0.54100000000000004</v>
      </c>
      <c r="U64" s="582">
        <f>Rounding!U108</f>
        <v>0.376</v>
      </c>
      <c r="V64" s="582">
        <f>Rounding!V108</f>
        <v>0.41899999999999998</v>
      </c>
      <c r="W64" s="582">
        <f>Rounding!W108</f>
        <v>0.39500000000000002</v>
      </c>
      <c r="X64" s="582">
        <f>Rounding!X108</f>
        <v>0</v>
      </c>
      <c r="Y64" s="582">
        <f>Rounding!Y108</f>
        <v>0</v>
      </c>
      <c r="Z64" s="582">
        <f>Rounding!Z108</f>
        <v>0</v>
      </c>
      <c r="AA64" s="582">
        <f>Rounding!AA108</f>
        <v>0</v>
      </c>
      <c r="AB64" s="582">
        <f>Rounding!AB108</f>
        <v>1.1180000000000001</v>
      </c>
      <c r="AC64" s="582">
        <f>Rounding!AC108</f>
        <v>0</v>
      </c>
      <c r="AD64" s="582">
        <f>Rounding!AD108</f>
        <v>0</v>
      </c>
      <c r="AE64" s="582">
        <f>Rounding!AE108</f>
        <v>0</v>
      </c>
      <c r="AF64" s="582">
        <f>Rounding!AF108</f>
        <v>0</v>
      </c>
      <c r="AG64" s="582">
        <f>Rounding!AG108</f>
        <v>-0.57099999999999995</v>
      </c>
      <c r="AH64" s="582">
        <f>Rounding!AH108</f>
        <v>0</v>
      </c>
      <c r="AI64" s="582">
        <f>Rounding!AI108</f>
        <v>0</v>
      </c>
      <c r="AJ64" s="582">
        <f>Rounding!AJ108</f>
        <v>0</v>
      </c>
      <c r="AK64" s="582">
        <f>Rounding!AK108</f>
        <v>-0.47499999999999998</v>
      </c>
      <c r="AL64" s="582">
        <f>Rounding!AL108</f>
        <v>0</v>
      </c>
      <c r="AM64" s="582">
        <f>Rounding!AM108</f>
        <v>0</v>
      </c>
      <c r="AN64" s="582">
        <f>Rounding!AN108</f>
        <v>0</v>
      </c>
      <c r="AO64" s="582">
        <f>Rounding!AO108</f>
        <v>-0.22700000000000001</v>
      </c>
      <c r="AP64" s="582">
        <f>Rounding!AP108</f>
        <v>0</v>
      </c>
      <c r="AQ64" s="571"/>
      <c r="AR64" s="571"/>
    </row>
    <row r="65" spans="2:44" x14ac:dyDescent="0.25">
      <c r="C65" s="161"/>
      <c r="F65" s="176" t="s">
        <v>153</v>
      </c>
      <c r="G65" s="238" t="s">
        <v>201</v>
      </c>
      <c r="H65" s="582"/>
      <c r="I65" s="572"/>
      <c r="J65" s="582">
        <f>Rounding!J109</f>
        <v>0</v>
      </c>
      <c r="K65" s="582">
        <f>Rounding!K109</f>
        <v>0</v>
      </c>
      <c r="L65" s="582">
        <f>Rounding!L109</f>
        <v>0</v>
      </c>
      <c r="M65" s="582">
        <f>Rounding!M109</f>
        <v>0</v>
      </c>
      <c r="N65" s="582">
        <f>Rounding!N109</f>
        <v>0</v>
      </c>
      <c r="O65" s="582">
        <f>Rounding!O109</f>
        <v>0</v>
      </c>
      <c r="P65" s="582">
        <f>Rounding!P109</f>
        <v>0</v>
      </c>
      <c r="Q65" s="582">
        <f>Rounding!Q109</f>
        <v>0</v>
      </c>
      <c r="R65" s="582">
        <f>Rounding!R109</f>
        <v>0</v>
      </c>
      <c r="S65" s="582">
        <f>Rounding!S109</f>
        <v>0.16800000000000001</v>
      </c>
      <c r="T65" s="582">
        <f>Rounding!T109</f>
        <v>0.16900000000000001</v>
      </c>
      <c r="U65" s="582">
        <f>Rounding!U109</f>
        <v>0.158</v>
      </c>
      <c r="V65" s="582">
        <f>Rounding!V109</f>
        <v>0.24</v>
      </c>
      <c r="W65" s="582">
        <f>Rounding!W109</f>
        <v>0.27100000000000002</v>
      </c>
      <c r="X65" s="582">
        <f>Rounding!X109</f>
        <v>0</v>
      </c>
      <c r="Y65" s="582">
        <f>Rounding!Y109</f>
        <v>0</v>
      </c>
      <c r="Z65" s="582">
        <f>Rounding!Z109</f>
        <v>0</v>
      </c>
      <c r="AA65" s="582">
        <f>Rounding!AA109</f>
        <v>0</v>
      </c>
      <c r="AB65" s="582">
        <f>Rounding!AB109</f>
        <v>0.79800000000000004</v>
      </c>
      <c r="AC65" s="582">
        <f>Rounding!AC109</f>
        <v>0</v>
      </c>
      <c r="AD65" s="582">
        <f>Rounding!AD109</f>
        <v>0</v>
      </c>
      <c r="AE65" s="582">
        <f>Rounding!AE109</f>
        <v>0</v>
      </c>
      <c r="AF65" s="582">
        <f>Rounding!AF109</f>
        <v>0</v>
      </c>
      <c r="AG65" s="582">
        <f>Rounding!AG109</f>
        <v>-3.3000000000000002E-2</v>
      </c>
      <c r="AH65" s="582">
        <f>Rounding!AH109</f>
        <v>0</v>
      </c>
      <c r="AI65" s="582">
        <f>Rounding!AI109</f>
        <v>0</v>
      </c>
      <c r="AJ65" s="582">
        <f>Rounding!AJ109</f>
        <v>0</v>
      </c>
      <c r="AK65" s="582">
        <f>Rounding!AK109</f>
        <v>-2.5999999999999999E-2</v>
      </c>
      <c r="AL65" s="582">
        <f>Rounding!AL109</f>
        <v>0</v>
      </c>
      <c r="AM65" s="582">
        <f>Rounding!AM109</f>
        <v>0</v>
      </c>
      <c r="AN65" s="582">
        <f>Rounding!AN109</f>
        <v>0</v>
      </c>
      <c r="AO65" s="582">
        <f>Rounding!AO109</f>
        <v>-8.0000000000000002E-3</v>
      </c>
      <c r="AP65" s="582">
        <f>Rounding!AP109</f>
        <v>0</v>
      </c>
      <c r="AQ65" s="571"/>
      <c r="AR65" s="571"/>
    </row>
    <row r="66" spans="2:44" x14ac:dyDescent="0.25">
      <c r="C66" s="161"/>
      <c r="F66" s="176" t="s">
        <v>384</v>
      </c>
      <c r="G66" s="238" t="s">
        <v>382</v>
      </c>
      <c r="H66" s="205"/>
      <c r="I66" s="167"/>
      <c r="J66" s="437">
        <f>Rounding!J110</f>
        <v>1.52</v>
      </c>
      <c r="K66" s="437">
        <f>Rounding!K110</f>
        <v>1.52</v>
      </c>
      <c r="L66" s="437">
        <f>Rounding!L110</f>
        <v>0</v>
      </c>
      <c r="M66" s="437">
        <f>Rounding!M110</f>
        <v>2.2799999999999998</v>
      </c>
      <c r="N66" s="437">
        <f>Rounding!N110</f>
        <v>2.2799999999999998</v>
      </c>
      <c r="O66" s="437">
        <f>Rounding!O110</f>
        <v>0</v>
      </c>
      <c r="P66" s="437">
        <f>Rounding!P110</f>
        <v>12.58</v>
      </c>
      <c r="Q66" s="437">
        <f>Rounding!Q110</f>
        <v>0</v>
      </c>
      <c r="R66" s="437">
        <f>Rounding!R110</f>
        <v>0</v>
      </c>
      <c r="S66" s="437">
        <f>Rounding!S110</f>
        <v>1.52</v>
      </c>
      <c r="T66" s="437">
        <f>Rounding!T110</f>
        <v>2.2799999999999998</v>
      </c>
      <c r="U66" s="437">
        <f>Rounding!U110</f>
        <v>7.16</v>
      </c>
      <c r="V66" s="437">
        <f>Rounding!V110</f>
        <v>17.84</v>
      </c>
      <c r="W66" s="437">
        <f>Rounding!W110</f>
        <v>116.77</v>
      </c>
      <c r="X66" s="437">
        <f>Rounding!X110</f>
        <v>0</v>
      </c>
      <c r="Y66" s="437">
        <f>Rounding!Y110</f>
        <v>0</v>
      </c>
      <c r="Z66" s="437">
        <f>Rounding!Z110</f>
        <v>0</v>
      </c>
      <c r="AA66" s="437">
        <f>Rounding!AA110</f>
        <v>0</v>
      </c>
      <c r="AB66" s="437">
        <f>Rounding!AB110</f>
        <v>0</v>
      </c>
      <c r="AC66" s="437">
        <f>Rounding!AC110</f>
        <v>0</v>
      </c>
      <c r="AD66" s="437">
        <f>Rounding!AD110</f>
        <v>0</v>
      </c>
      <c r="AE66" s="437">
        <f>Rounding!AE110</f>
        <v>0</v>
      </c>
      <c r="AF66" s="437">
        <f>Rounding!AF110</f>
        <v>0</v>
      </c>
      <c r="AG66" s="437">
        <f>Rounding!AG110</f>
        <v>0</v>
      </c>
      <c r="AH66" s="437">
        <f>Rounding!AH110</f>
        <v>0</v>
      </c>
      <c r="AI66" s="437">
        <f>Rounding!AI110</f>
        <v>0</v>
      </c>
      <c r="AJ66" s="437">
        <f>Rounding!AJ110</f>
        <v>0</v>
      </c>
      <c r="AK66" s="437">
        <f>Rounding!AK110</f>
        <v>0</v>
      </c>
      <c r="AL66" s="437">
        <f>Rounding!AL110</f>
        <v>0</v>
      </c>
      <c r="AM66" s="437">
        <f>Rounding!AM110</f>
        <v>0</v>
      </c>
      <c r="AN66" s="437">
        <f>Rounding!AN110</f>
        <v>0</v>
      </c>
      <c r="AO66" s="437">
        <f>Rounding!AO110</f>
        <v>0</v>
      </c>
      <c r="AP66" s="437">
        <f>Rounding!AP110</f>
        <v>0</v>
      </c>
    </row>
    <row r="67" spans="2:44" x14ac:dyDescent="0.25">
      <c r="C67" s="161"/>
      <c r="F67" s="176" t="s">
        <v>385</v>
      </c>
      <c r="G67" s="238" t="s">
        <v>381</v>
      </c>
      <c r="H67" s="205"/>
      <c r="I67" s="167"/>
      <c r="J67" s="437">
        <f>Rounding!J111</f>
        <v>0</v>
      </c>
      <c r="K67" s="437">
        <f>Rounding!K111</f>
        <v>0</v>
      </c>
      <c r="L67" s="437">
        <f>Rounding!L111</f>
        <v>0</v>
      </c>
      <c r="M67" s="437">
        <f>Rounding!M111</f>
        <v>0</v>
      </c>
      <c r="N67" s="437">
        <f>Rounding!N111</f>
        <v>0</v>
      </c>
      <c r="O67" s="437">
        <f>Rounding!O111</f>
        <v>0</v>
      </c>
      <c r="P67" s="437">
        <f>Rounding!P111</f>
        <v>0</v>
      </c>
      <c r="Q67" s="437">
        <f>Rounding!Q111</f>
        <v>0</v>
      </c>
      <c r="R67" s="437">
        <f>Rounding!R111</f>
        <v>0</v>
      </c>
      <c r="S67" s="437">
        <f>Rounding!S111</f>
        <v>0</v>
      </c>
      <c r="T67" s="437">
        <f>Rounding!T111</f>
        <v>0</v>
      </c>
      <c r="U67" s="437">
        <f>Rounding!U111</f>
        <v>1.05</v>
      </c>
      <c r="V67" s="437">
        <f>Rounding!V111</f>
        <v>2.96</v>
      </c>
      <c r="W67" s="437">
        <f>Rounding!W111</f>
        <v>4.18</v>
      </c>
      <c r="X67" s="437">
        <f>Rounding!X111</f>
        <v>0</v>
      </c>
      <c r="Y67" s="437">
        <f>Rounding!Y111</f>
        <v>0</v>
      </c>
      <c r="Z67" s="437">
        <f>Rounding!Z111</f>
        <v>0</v>
      </c>
      <c r="AA67" s="437">
        <f>Rounding!AA111</f>
        <v>0</v>
      </c>
      <c r="AB67" s="437">
        <f>Rounding!AB111</f>
        <v>0</v>
      </c>
      <c r="AC67" s="437">
        <f>Rounding!AC111</f>
        <v>0</v>
      </c>
      <c r="AD67" s="437">
        <f>Rounding!AD111</f>
        <v>0</v>
      </c>
      <c r="AE67" s="437">
        <f>Rounding!AE111</f>
        <v>0</v>
      </c>
      <c r="AF67" s="437">
        <f>Rounding!AF111</f>
        <v>0</v>
      </c>
      <c r="AG67" s="437">
        <f>Rounding!AG111</f>
        <v>0</v>
      </c>
      <c r="AH67" s="437">
        <f>Rounding!AH111</f>
        <v>0</v>
      </c>
      <c r="AI67" s="437">
        <f>Rounding!AI111</f>
        <v>0</v>
      </c>
      <c r="AJ67" s="437">
        <f>Rounding!AJ111</f>
        <v>0</v>
      </c>
      <c r="AK67" s="437">
        <f>Rounding!AK111</f>
        <v>0</v>
      </c>
      <c r="AL67" s="437">
        <f>Rounding!AL111</f>
        <v>0</v>
      </c>
      <c r="AM67" s="437">
        <f>Rounding!AM111</f>
        <v>0</v>
      </c>
      <c r="AN67" s="437">
        <f>Rounding!AN111</f>
        <v>0</v>
      </c>
      <c r="AO67" s="437">
        <f>Rounding!AO111</f>
        <v>0</v>
      </c>
      <c r="AP67" s="437">
        <f>Rounding!AP111</f>
        <v>0</v>
      </c>
    </row>
    <row r="68" spans="2:44" x14ac:dyDescent="0.25">
      <c r="C68" s="161"/>
      <c r="F68" s="176" t="s">
        <v>386</v>
      </c>
      <c r="G68" s="238" t="s">
        <v>381</v>
      </c>
      <c r="H68" s="205"/>
      <c r="I68" s="167"/>
      <c r="J68" s="437">
        <f>Rounding!J112</f>
        <v>0</v>
      </c>
      <c r="K68" s="437">
        <f>Rounding!K112</f>
        <v>0</v>
      </c>
      <c r="L68" s="437">
        <f>Rounding!L112</f>
        <v>0</v>
      </c>
      <c r="M68" s="437">
        <f>Rounding!M112</f>
        <v>0</v>
      </c>
      <c r="N68" s="437">
        <f>Rounding!N112</f>
        <v>0</v>
      </c>
      <c r="O68" s="437">
        <f>Rounding!O112</f>
        <v>0</v>
      </c>
      <c r="P68" s="437">
        <f>Rounding!P112</f>
        <v>0</v>
      </c>
      <c r="Q68" s="437">
        <f>Rounding!Q112</f>
        <v>0</v>
      </c>
      <c r="R68" s="437">
        <f>Rounding!R112</f>
        <v>0</v>
      </c>
      <c r="S68" s="437">
        <f>Rounding!S112</f>
        <v>0</v>
      </c>
      <c r="T68" s="437">
        <f>Rounding!T112</f>
        <v>0</v>
      </c>
      <c r="U68" s="437">
        <f>Rounding!U112</f>
        <v>1.99</v>
      </c>
      <c r="V68" s="437">
        <f>Rounding!V112</f>
        <v>3.99</v>
      </c>
      <c r="W68" s="437">
        <f>Rounding!W112</f>
        <v>5.19</v>
      </c>
      <c r="X68" s="437">
        <f>Rounding!X112</f>
        <v>0</v>
      </c>
      <c r="Y68" s="437">
        <f>Rounding!Y112</f>
        <v>0</v>
      </c>
      <c r="Z68" s="437">
        <f>Rounding!Z112</f>
        <v>0</v>
      </c>
      <c r="AA68" s="437">
        <f>Rounding!AA112</f>
        <v>0</v>
      </c>
      <c r="AB68" s="437">
        <f>Rounding!AB112</f>
        <v>0</v>
      </c>
      <c r="AC68" s="437">
        <f>Rounding!AC112</f>
        <v>0</v>
      </c>
      <c r="AD68" s="437">
        <f>Rounding!AD112</f>
        <v>0</v>
      </c>
      <c r="AE68" s="437">
        <f>Rounding!AE112</f>
        <v>0</v>
      </c>
      <c r="AF68" s="437">
        <f>Rounding!AF112</f>
        <v>0</v>
      </c>
      <c r="AG68" s="437">
        <f>Rounding!AG112</f>
        <v>0</v>
      </c>
      <c r="AH68" s="437">
        <f>Rounding!AH112</f>
        <v>0</v>
      </c>
      <c r="AI68" s="437">
        <f>Rounding!AI112</f>
        <v>0</v>
      </c>
      <c r="AJ68" s="437">
        <f>Rounding!AJ112</f>
        <v>0</v>
      </c>
      <c r="AK68" s="437">
        <f>Rounding!AK112</f>
        <v>0</v>
      </c>
      <c r="AL68" s="437">
        <f>Rounding!AL112</f>
        <v>0</v>
      </c>
      <c r="AM68" s="437">
        <f>Rounding!AM112</f>
        <v>0</v>
      </c>
      <c r="AN68" s="437">
        <f>Rounding!AN112</f>
        <v>0</v>
      </c>
      <c r="AO68" s="437">
        <f>Rounding!AO112</f>
        <v>0</v>
      </c>
      <c r="AP68" s="437">
        <f>Rounding!AP112</f>
        <v>0</v>
      </c>
    </row>
    <row r="69" spans="2:44" x14ac:dyDescent="0.25">
      <c r="C69" s="161"/>
      <c r="F69" s="177" t="s">
        <v>387</v>
      </c>
      <c r="G69" s="239" t="s">
        <v>388</v>
      </c>
      <c r="H69" s="588"/>
      <c r="I69" s="574"/>
      <c r="J69" s="588">
        <f>Rounding!J113</f>
        <v>0</v>
      </c>
      <c r="K69" s="588">
        <f>Rounding!K113</f>
        <v>0</v>
      </c>
      <c r="L69" s="588">
        <f>Rounding!L113</f>
        <v>0</v>
      </c>
      <c r="M69" s="588">
        <f>Rounding!M113</f>
        <v>0</v>
      </c>
      <c r="N69" s="588">
        <f>Rounding!N113</f>
        <v>0</v>
      </c>
      <c r="O69" s="588">
        <f>Rounding!O113</f>
        <v>0</v>
      </c>
      <c r="P69" s="588">
        <f>Rounding!P113</f>
        <v>0</v>
      </c>
      <c r="Q69" s="588">
        <f>Rounding!Q113</f>
        <v>0</v>
      </c>
      <c r="R69" s="588">
        <f>Rounding!R113</f>
        <v>0</v>
      </c>
      <c r="S69" s="588">
        <f>Rounding!S113</f>
        <v>0</v>
      </c>
      <c r="T69" s="588">
        <f>Rounding!T113</f>
        <v>0</v>
      </c>
      <c r="U69" s="588">
        <f>Rounding!U113</f>
        <v>8.8999999999999996E-2</v>
      </c>
      <c r="V69" s="588">
        <f>Rounding!V113</f>
        <v>8.8999999999999996E-2</v>
      </c>
      <c r="W69" s="588">
        <f>Rounding!W113</f>
        <v>6.8000000000000005E-2</v>
      </c>
      <c r="X69" s="588">
        <f>Rounding!X113</f>
        <v>0</v>
      </c>
      <c r="Y69" s="588">
        <f>Rounding!Y113</f>
        <v>0</v>
      </c>
      <c r="Z69" s="588">
        <f>Rounding!Z113</f>
        <v>0</v>
      </c>
      <c r="AA69" s="588">
        <f>Rounding!AA113</f>
        <v>0</v>
      </c>
      <c r="AB69" s="588">
        <f>Rounding!AB113</f>
        <v>0</v>
      </c>
      <c r="AC69" s="588">
        <f>Rounding!AC113</f>
        <v>0</v>
      </c>
      <c r="AD69" s="588">
        <f>Rounding!AD113</f>
        <v>0</v>
      </c>
      <c r="AE69" s="588">
        <f>Rounding!AE113</f>
        <v>0.186</v>
      </c>
      <c r="AF69" s="588">
        <f>Rounding!AF113</f>
        <v>0</v>
      </c>
      <c r="AG69" s="588">
        <f>Rounding!AG113</f>
        <v>0.186</v>
      </c>
      <c r="AH69" s="588">
        <f>Rounding!AH113</f>
        <v>0</v>
      </c>
      <c r="AI69" s="588">
        <f>Rounding!AI113</f>
        <v>0.16600000000000001</v>
      </c>
      <c r="AJ69" s="588">
        <f>Rounding!AJ113</f>
        <v>0</v>
      </c>
      <c r="AK69" s="588">
        <f>Rounding!AK113</f>
        <v>0.16600000000000001</v>
      </c>
      <c r="AL69" s="588">
        <f>Rounding!AL113</f>
        <v>0</v>
      </c>
      <c r="AM69" s="588">
        <f>Rounding!AM113</f>
        <v>0.14699999999999999</v>
      </c>
      <c r="AN69" s="588">
        <f>Rounding!AN113</f>
        <v>0</v>
      </c>
      <c r="AO69" s="588">
        <f>Rounding!AO113</f>
        <v>0.14699999999999999</v>
      </c>
      <c r="AP69" s="588">
        <f>Rounding!AP113</f>
        <v>0</v>
      </c>
      <c r="AQ69" s="571"/>
      <c r="AR69" s="571"/>
    </row>
    <row r="70" spans="2:44" x14ac:dyDescent="0.25">
      <c r="C70" s="161"/>
      <c r="D70" s="175"/>
      <c r="E70" s="175"/>
      <c r="G70" s="194"/>
      <c r="J70" s="416"/>
      <c r="K70" s="416"/>
      <c r="L70" s="416"/>
      <c r="M70" s="416"/>
      <c r="N70" s="416"/>
      <c r="O70" s="416"/>
      <c r="P70" s="416"/>
      <c r="Q70" s="416"/>
      <c r="R70" s="416"/>
      <c r="S70" s="416"/>
      <c r="T70" s="416"/>
      <c r="U70" s="416"/>
      <c r="V70" s="416"/>
      <c r="W70" s="416"/>
      <c r="X70" s="416"/>
      <c r="Y70" s="416"/>
      <c r="Z70" s="416"/>
      <c r="AA70" s="416"/>
      <c r="AB70" s="416"/>
      <c r="AC70" s="416"/>
      <c r="AD70" s="416"/>
      <c r="AE70" s="416"/>
      <c r="AF70" s="416"/>
      <c r="AG70" s="416"/>
      <c r="AH70" s="416"/>
      <c r="AI70" s="416"/>
      <c r="AJ70" s="416"/>
      <c r="AK70" s="416"/>
      <c r="AL70" s="416"/>
      <c r="AM70" s="416"/>
      <c r="AN70" s="416"/>
      <c r="AO70" s="416"/>
      <c r="AP70" s="416"/>
    </row>
    <row r="71" spans="2:44" s="338" customFormat="1" x14ac:dyDescent="0.25">
      <c r="C71" s="22" t="str">
        <f ca="1">INDEX('Version control'!$H$34:$H$59,MATCH($A$1,'Version control'!$F$34:$F$59,0),1)&amp;"-C: Net revenue components"</f>
        <v>Section 520-C: Net revenue components</v>
      </c>
      <c r="D71" s="22"/>
      <c r="E71" s="22"/>
      <c r="F71" s="22"/>
      <c r="G71" s="22"/>
      <c r="H71" s="22"/>
      <c r="I71" s="22"/>
      <c r="J71" s="406"/>
      <c r="K71" s="406"/>
      <c r="L71" s="406"/>
      <c r="M71" s="406"/>
      <c r="N71" s="406"/>
      <c r="O71" s="406"/>
      <c r="P71" s="406"/>
      <c r="Q71" s="406"/>
      <c r="R71" s="406"/>
      <c r="S71" s="406"/>
      <c r="T71" s="406"/>
      <c r="U71" s="406"/>
      <c r="V71" s="406"/>
      <c r="W71" s="406"/>
      <c r="X71" s="406"/>
      <c r="Y71" s="406"/>
      <c r="Z71" s="406"/>
      <c r="AA71" s="406"/>
      <c r="AB71" s="406"/>
      <c r="AC71" s="406"/>
      <c r="AD71" s="406"/>
      <c r="AE71" s="406"/>
      <c r="AF71" s="406"/>
      <c r="AG71" s="406"/>
      <c r="AH71" s="406"/>
      <c r="AI71" s="406"/>
      <c r="AJ71" s="406"/>
      <c r="AK71" s="406"/>
      <c r="AL71" s="406"/>
      <c r="AM71" s="406"/>
      <c r="AN71" s="406"/>
      <c r="AO71" s="406"/>
      <c r="AP71" s="406"/>
      <c r="AQ71" s="22"/>
      <c r="AR71" s="22"/>
    </row>
    <row r="72" spans="2:44" s="338" customFormat="1" x14ac:dyDescent="0.25">
      <c r="D72" s="172"/>
      <c r="J72" s="416"/>
      <c r="K72" s="416"/>
      <c r="L72" s="416"/>
      <c r="M72" s="416"/>
      <c r="N72" s="416"/>
      <c r="O72" s="416"/>
      <c r="P72" s="416"/>
      <c r="Q72" s="416"/>
      <c r="R72" s="416"/>
      <c r="S72" s="416"/>
      <c r="T72" s="416"/>
      <c r="U72" s="416"/>
      <c r="V72" s="416"/>
      <c r="W72" s="416"/>
      <c r="X72" s="416"/>
      <c r="Y72" s="416"/>
      <c r="Z72" s="416"/>
      <c r="AA72" s="416"/>
      <c r="AB72" s="416"/>
      <c r="AC72" s="416"/>
      <c r="AD72" s="416"/>
      <c r="AE72" s="416"/>
      <c r="AF72" s="416"/>
      <c r="AG72" s="416"/>
      <c r="AH72" s="416"/>
      <c r="AI72" s="416"/>
      <c r="AJ72" s="416"/>
      <c r="AK72" s="416"/>
      <c r="AL72" s="416"/>
      <c r="AM72" s="416"/>
      <c r="AN72" s="416"/>
      <c r="AO72" s="416"/>
      <c r="AP72" s="416"/>
    </row>
    <row r="73" spans="2:44" s="338" customFormat="1" x14ac:dyDescent="0.25">
      <c r="E73" s="176" t="s">
        <v>209</v>
      </c>
      <c r="F73" s="176"/>
      <c r="G73" s="238" t="s">
        <v>124</v>
      </c>
      <c r="H73" s="437">
        <f>'General inputs'!$H$88</f>
        <v>514457124.88364506</v>
      </c>
      <c r="I73" s="339"/>
      <c r="J73" s="397"/>
      <c r="K73" s="397"/>
      <c r="L73" s="397"/>
      <c r="M73" s="397"/>
      <c r="N73" s="397"/>
      <c r="O73" s="397"/>
      <c r="P73" s="397"/>
      <c r="Q73" s="397"/>
      <c r="R73" s="397"/>
      <c r="S73" s="397"/>
      <c r="T73" s="397"/>
      <c r="U73" s="397"/>
      <c r="V73" s="397"/>
      <c r="W73" s="397"/>
      <c r="X73" s="397"/>
      <c r="Y73" s="397"/>
      <c r="Z73" s="397"/>
      <c r="AA73" s="397"/>
      <c r="AB73" s="397"/>
      <c r="AC73" s="397"/>
      <c r="AD73" s="397"/>
      <c r="AE73" s="397"/>
      <c r="AF73" s="397"/>
      <c r="AG73" s="397"/>
      <c r="AH73" s="397"/>
      <c r="AI73" s="397"/>
      <c r="AJ73" s="397"/>
      <c r="AK73" s="397"/>
      <c r="AL73" s="397"/>
      <c r="AM73" s="397"/>
      <c r="AN73" s="397"/>
      <c r="AO73" s="397"/>
      <c r="AP73" s="397"/>
    </row>
    <row r="74" spans="2:44" s="338" customFormat="1" x14ac:dyDescent="0.25">
      <c r="E74" s="176" t="s">
        <v>843</v>
      </c>
      <c r="F74" s="176"/>
      <c r="G74" s="238" t="s">
        <v>124</v>
      </c>
      <c r="H74" s="437">
        <f>'Revenue matching'!H52</f>
        <v>424422031.31836885</v>
      </c>
      <c r="I74" s="339"/>
      <c r="J74" s="397"/>
      <c r="K74" s="397"/>
      <c r="L74" s="397"/>
      <c r="M74" s="397"/>
      <c r="N74" s="397"/>
      <c r="O74" s="397"/>
      <c r="P74" s="397"/>
      <c r="Q74" s="397"/>
      <c r="R74" s="397"/>
      <c r="S74" s="397"/>
      <c r="T74" s="397"/>
      <c r="U74" s="397"/>
      <c r="V74" s="397"/>
      <c r="W74" s="397"/>
      <c r="X74" s="397"/>
      <c r="Y74" s="397"/>
      <c r="Z74" s="397"/>
      <c r="AA74" s="397"/>
      <c r="AB74" s="397"/>
      <c r="AC74" s="397"/>
      <c r="AD74" s="397"/>
      <c r="AE74" s="397"/>
      <c r="AF74" s="397"/>
      <c r="AG74" s="397"/>
      <c r="AH74" s="397"/>
      <c r="AI74" s="397"/>
      <c r="AJ74" s="397"/>
      <c r="AK74" s="397"/>
      <c r="AL74" s="397"/>
      <c r="AM74" s="397"/>
      <c r="AN74" s="397"/>
      <c r="AO74" s="397"/>
      <c r="AP74" s="397"/>
    </row>
    <row r="75" spans="2:44" s="338" customFormat="1" x14ac:dyDescent="0.25">
      <c r="E75" s="176" t="s">
        <v>842</v>
      </c>
      <c r="F75" s="176"/>
      <c r="G75" s="238" t="s">
        <v>124</v>
      </c>
      <c r="H75" s="437">
        <f>'Revenue matching'!H152</f>
        <v>514457124.88364512</v>
      </c>
      <c r="I75" s="339"/>
      <c r="J75" s="397"/>
      <c r="K75" s="397"/>
      <c r="L75" s="397"/>
      <c r="M75" s="397"/>
      <c r="N75" s="397"/>
      <c r="O75" s="397"/>
      <c r="P75" s="397"/>
      <c r="Q75" s="397"/>
      <c r="R75" s="397"/>
      <c r="S75" s="397"/>
      <c r="T75" s="397"/>
      <c r="U75" s="397"/>
      <c r="V75" s="397"/>
      <c r="W75" s="397"/>
      <c r="X75" s="397"/>
      <c r="Y75" s="397"/>
      <c r="Z75" s="397"/>
      <c r="AA75" s="397"/>
      <c r="AB75" s="397"/>
      <c r="AC75" s="397"/>
      <c r="AD75" s="397"/>
      <c r="AE75" s="397"/>
      <c r="AF75" s="397"/>
      <c r="AG75" s="397"/>
      <c r="AH75" s="397"/>
      <c r="AI75" s="397"/>
      <c r="AJ75" s="397"/>
      <c r="AK75" s="397"/>
      <c r="AL75" s="397"/>
      <c r="AM75" s="397"/>
      <c r="AN75" s="397"/>
      <c r="AO75" s="397"/>
      <c r="AP75" s="397"/>
    </row>
    <row r="76" spans="2:44" s="338" customFormat="1" x14ac:dyDescent="0.25">
      <c r="D76" s="172"/>
      <c r="H76" s="416"/>
      <c r="J76" s="416"/>
      <c r="K76" s="416"/>
      <c r="L76" s="416"/>
      <c r="M76" s="416"/>
      <c r="N76" s="416"/>
      <c r="O76" s="416"/>
      <c r="P76" s="416"/>
      <c r="Q76" s="416"/>
      <c r="R76" s="416"/>
      <c r="S76" s="416"/>
      <c r="T76" s="416"/>
      <c r="U76" s="416"/>
      <c r="V76" s="416"/>
      <c r="W76" s="416"/>
      <c r="X76" s="416"/>
      <c r="Y76" s="416"/>
      <c r="Z76" s="416"/>
      <c r="AA76" s="416"/>
      <c r="AB76" s="416"/>
      <c r="AC76" s="416"/>
      <c r="AD76" s="416"/>
      <c r="AE76" s="416"/>
      <c r="AF76" s="416"/>
      <c r="AG76" s="416"/>
      <c r="AH76" s="416"/>
      <c r="AI76" s="416"/>
      <c r="AJ76" s="416"/>
      <c r="AK76" s="416"/>
      <c r="AL76" s="416"/>
      <c r="AM76" s="416"/>
      <c r="AN76" s="416"/>
      <c r="AO76" s="416"/>
      <c r="AP76" s="416"/>
    </row>
    <row r="77" spans="2:44" s="338" customFormat="1" x14ac:dyDescent="0.25">
      <c r="B77" s="171" t="s">
        <v>699</v>
      </c>
      <c r="C77" s="171"/>
      <c r="D77" s="171"/>
      <c r="E77" s="171"/>
      <c r="F77" s="171"/>
      <c r="G77" s="171"/>
      <c r="H77" s="454"/>
      <c r="I77" s="171"/>
      <c r="J77" s="454"/>
      <c r="K77" s="454"/>
      <c r="L77" s="454"/>
      <c r="M77" s="454"/>
      <c r="N77" s="454"/>
      <c r="O77" s="454"/>
      <c r="P77" s="454"/>
      <c r="Q77" s="454"/>
      <c r="R77" s="454"/>
      <c r="S77" s="454"/>
      <c r="T77" s="454"/>
      <c r="U77" s="454"/>
      <c r="V77" s="454"/>
      <c r="W77" s="454"/>
      <c r="X77" s="454"/>
      <c r="Y77" s="454"/>
      <c r="Z77" s="454"/>
      <c r="AA77" s="454"/>
      <c r="AB77" s="454"/>
      <c r="AC77" s="454"/>
      <c r="AD77" s="454"/>
      <c r="AE77" s="454"/>
      <c r="AF77" s="454"/>
      <c r="AG77" s="454"/>
      <c r="AH77" s="454"/>
      <c r="AI77" s="454"/>
      <c r="AJ77" s="454"/>
      <c r="AK77" s="454"/>
      <c r="AL77" s="454"/>
      <c r="AM77" s="454"/>
      <c r="AN77" s="454"/>
      <c r="AO77" s="454"/>
      <c r="AP77" s="454"/>
      <c r="AQ77" s="171"/>
      <c r="AR77" s="171"/>
    </row>
    <row r="78" spans="2:44" s="338" customFormat="1" x14ac:dyDescent="0.25">
      <c r="D78" s="175"/>
      <c r="E78" s="175"/>
      <c r="H78" s="416"/>
      <c r="J78" s="416"/>
      <c r="K78" s="416"/>
      <c r="L78" s="416"/>
      <c r="M78" s="416"/>
      <c r="N78" s="416"/>
      <c r="O78" s="416"/>
      <c r="P78" s="416"/>
      <c r="Q78" s="416"/>
      <c r="R78" s="416"/>
      <c r="S78" s="416"/>
      <c r="T78" s="416"/>
      <c r="U78" s="416"/>
      <c r="V78" s="416"/>
      <c r="W78" s="416"/>
      <c r="X78" s="416"/>
      <c r="Y78" s="416"/>
      <c r="Z78" s="416"/>
      <c r="AA78" s="416"/>
      <c r="AB78" s="416"/>
      <c r="AC78" s="416"/>
      <c r="AD78" s="416"/>
      <c r="AE78" s="416"/>
      <c r="AF78" s="416"/>
      <c r="AG78" s="416"/>
      <c r="AH78" s="416"/>
      <c r="AI78" s="416"/>
      <c r="AJ78" s="416"/>
      <c r="AK78" s="416"/>
      <c r="AL78" s="416"/>
      <c r="AM78" s="416"/>
      <c r="AN78" s="416"/>
      <c r="AO78" s="416"/>
      <c r="AP78" s="416"/>
    </row>
    <row r="79" spans="2:44" s="338" customFormat="1" x14ac:dyDescent="0.25">
      <c r="C79" s="22" t="str">
        <f ca="1">INDEX('Version control'!$H$34:$H$59,MATCH($A$1,'Version control'!$F$34:$F$59,0),1)&amp;"-D: Net revenue by tariff"</f>
        <v>Section 520-D: Net revenue by tariff</v>
      </c>
      <c r="D79" s="22"/>
      <c r="E79" s="22"/>
      <c r="F79" s="22"/>
      <c r="G79" s="22"/>
      <c r="H79" s="406"/>
      <c r="I79" s="22"/>
      <c r="J79" s="406"/>
      <c r="K79" s="406"/>
      <c r="L79" s="406"/>
      <c r="M79" s="406"/>
      <c r="N79" s="406"/>
      <c r="O79" s="406"/>
      <c r="P79" s="406"/>
      <c r="Q79" s="406"/>
      <c r="R79" s="406"/>
      <c r="S79" s="406"/>
      <c r="T79" s="406"/>
      <c r="U79" s="406"/>
      <c r="V79" s="406"/>
      <c r="W79" s="406"/>
      <c r="X79" s="406"/>
      <c r="Y79" s="406"/>
      <c r="Z79" s="406"/>
      <c r="AA79" s="406"/>
      <c r="AB79" s="406"/>
      <c r="AC79" s="406"/>
      <c r="AD79" s="406"/>
      <c r="AE79" s="406"/>
      <c r="AF79" s="406"/>
      <c r="AG79" s="406"/>
      <c r="AH79" s="406"/>
      <c r="AI79" s="406"/>
      <c r="AJ79" s="406"/>
      <c r="AK79" s="406"/>
      <c r="AL79" s="406"/>
      <c r="AM79" s="406"/>
      <c r="AN79" s="406"/>
      <c r="AO79" s="406"/>
      <c r="AP79" s="406"/>
      <c r="AQ79" s="22"/>
      <c r="AR79" s="22"/>
    </row>
    <row r="80" spans="2:44" x14ac:dyDescent="0.25">
      <c r="F80" s="163"/>
      <c r="G80" s="293"/>
      <c r="H80" s="442"/>
      <c r="I80" s="163"/>
      <c r="J80" s="416"/>
      <c r="K80" s="416"/>
      <c r="L80" s="416"/>
      <c r="M80" s="416"/>
      <c r="N80" s="416"/>
      <c r="O80" s="416"/>
      <c r="P80" s="416"/>
      <c r="Q80" s="416"/>
      <c r="R80" s="416"/>
      <c r="S80" s="416"/>
      <c r="T80" s="416"/>
      <c r="U80" s="416"/>
      <c r="V80" s="416"/>
      <c r="W80" s="416"/>
      <c r="X80" s="416"/>
      <c r="Y80" s="416"/>
      <c r="Z80" s="416"/>
      <c r="AA80" s="416"/>
      <c r="AB80" s="416"/>
      <c r="AC80" s="416"/>
      <c r="AD80" s="416"/>
      <c r="AE80" s="416"/>
      <c r="AF80" s="416"/>
      <c r="AG80" s="416"/>
      <c r="AH80" s="416"/>
      <c r="AI80" s="416"/>
      <c r="AJ80" s="416"/>
      <c r="AK80" s="416"/>
      <c r="AL80" s="416"/>
      <c r="AM80" s="416"/>
      <c r="AN80" s="416"/>
      <c r="AO80" s="416"/>
      <c r="AP80" s="416"/>
    </row>
    <row r="81" spans="5:42" x14ac:dyDescent="0.25">
      <c r="E81" s="261" t="s">
        <v>1182</v>
      </c>
      <c r="G81" s="194"/>
      <c r="H81" s="463" t="s">
        <v>345</v>
      </c>
      <c r="J81" s="416"/>
      <c r="K81" s="416"/>
      <c r="L81" s="416"/>
      <c r="M81" s="416"/>
      <c r="N81" s="416"/>
      <c r="O81" s="416"/>
      <c r="P81" s="416"/>
      <c r="Q81" s="416"/>
      <c r="R81" s="416"/>
      <c r="S81" s="416"/>
      <c r="T81" s="416"/>
      <c r="U81" s="416"/>
      <c r="V81" s="416"/>
      <c r="W81" s="416"/>
      <c r="X81" s="416"/>
      <c r="Y81" s="416"/>
      <c r="Z81" s="416"/>
      <c r="AA81" s="416"/>
      <c r="AB81" s="416"/>
      <c r="AC81" s="416"/>
      <c r="AD81" s="416"/>
      <c r="AE81" s="416"/>
      <c r="AF81" s="416"/>
      <c r="AG81" s="416"/>
      <c r="AH81" s="416"/>
      <c r="AI81" s="416"/>
      <c r="AJ81" s="416"/>
      <c r="AK81" s="416"/>
      <c r="AL81" s="416"/>
      <c r="AM81" s="416"/>
      <c r="AN81" s="416"/>
      <c r="AO81" s="416"/>
      <c r="AP81" s="416"/>
    </row>
    <row r="82" spans="5:42" x14ac:dyDescent="0.25">
      <c r="E82" s="227"/>
      <c r="F82" s="180" t="s">
        <v>151</v>
      </c>
      <c r="G82" s="237" t="s">
        <v>124</v>
      </c>
      <c r="H82" s="431">
        <f t="shared" ref="H82:H88" si="0">SUM(J82:AP82)</f>
        <v>324309773.95896673</v>
      </c>
      <c r="I82" s="166"/>
      <c r="J82" s="431">
        <f t="shared" ref="J82:AP82" si="1">J16 * thousand * J45 / hundred</f>
        <v>184330257.7336072</v>
      </c>
      <c r="K82" s="431">
        <f t="shared" si="1"/>
        <v>19796812.649032503</v>
      </c>
      <c r="L82" s="431">
        <f t="shared" si="1"/>
        <v>1066400.4217499837</v>
      </c>
      <c r="M82" s="431">
        <f t="shared" si="1"/>
        <v>47788861.870673306</v>
      </c>
      <c r="N82" s="431">
        <f t="shared" si="1"/>
        <v>11554904.646257238</v>
      </c>
      <c r="O82" s="431">
        <f t="shared" si="1"/>
        <v>281261.33319245232</v>
      </c>
      <c r="P82" s="431">
        <f t="shared" si="1"/>
        <v>1530182.1860658135</v>
      </c>
      <c r="Q82" s="431">
        <f t="shared" si="1"/>
        <v>0</v>
      </c>
      <c r="R82" s="431">
        <f t="shared" si="1"/>
        <v>2430.994682124372</v>
      </c>
      <c r="S82" s="431">
        <f t="shared" si="1"/>
        <v>683839.34341251478</v>
      </c>
      <c r="T82" s="431">
        <f t="shared" si="1"/>
        <v>2853810.3301691492</v>
      </c>
      <c r="U82" s="431">
        <f t="shared" si="1"/>
        <v>38934667.922619976</v>
      </c>
      <c r="V82" s="431">
        <f t="shared" si="1"/>
        <v>1576184.1489113418</v>
      </c>
      <c r="W82" s="431">
        <f t="shared" si="1"/>
        <v>16012634.113352105</v>
      </c>
      <c r="X82" s="431">
        <f t="shared" si="1"/>
        <v>637413.17871803953</v>
      </c>
      <c r="Y82" s="431">
        <f t="shared" si="1"/>
        <v>408543.0736730427</v>
      </c>
      <c r="Z82" s="431">
        <f t="shared" si="1"/>
        <v>24283.678776846002</v>
      </c>
      <c r="AA82" s="431">
        <f t="shared" si="1"/>
        <v>3907.3890838140269</v>
      </c>
      <c r="AB82" s="431">
        <f t="shared" si="1"/>
        <v>1600000.1985823649</v>
      </c>
      <c r="AC82" s="431">
        <f t="shared" si="1"/>
        <v>-33549.445875654586</v>
      </c>
      <c r="AD82" s="431">
        <f t="shared" si="1"/>
        <v>-1828.0264218291099</v>
      </c>
      <c r="AE82" s="431">
        <f t="shared" si="1"/>
        <v>-285531.48339103424</v>
      </c>
      <c r="AF82" s="431">
        <f t="shared" si="1"/>
        <v>0</v>
      </c>
      <c r="AG82" s="431">
        <f t="shared" si="1"/>
        <v>-75911.975521969594</v>
      </c>
      <c r="AH82" s="431">
        <f t="shared" si="1"/>
        <v>0</v>
      </c>
      <c r="AI82" s="431">
        <f t="shared" si="1"/>
        <v>0</v>
      </c>
      <c r="AJ82" s="431">
        <f t="shared" si="1"/>
        <v>0</v>
      </c>
      <c r="AK82" s="431">
        <f t="shared" si="1"/>
        <v>0</v>
      </c>
      <c r="AL82" s="431">
        <f t="shared" si="1"/>
        <v>0</v>
      </c>
      <c r="AM82" s="431">
        <f t="shared" si="1"/>
        <v>-2156049.0239845989</v>
      </c>
      <c r="AN82" s="431">
        <f t="shared" si="1"/>
        <v>0</v>
      </c>
      <c r="AO82" s="431">
        <f t="shared" si="1"/>
        <v>-2223751.2983979988</v>
      </c>
      <c r="AP82" s="431">
        <f t="shared" si="1"/>
        <v>0</v>
      </c>
    </row>
    <row r="83" spans="5:42" x14ac:dyDescent="0.25">
      <c r="E83" s="227"/>
      <c r="F83" s="176" t="s">
        <v>152</v>
      </c>
      <c r="G83" s="238" t="s">
        <v>124</v>
      </c>
      <c r="H83" s="428">
        <f t="shared" si="0"/>
        <v>52644802.282379389</v>
      </c>
      <c r="I83" s="339"/>
      <c r="J83" s="428">
        <f t="shared" ref="J83:AP83" si="2">J17 * thousand * J46 / hundred</f>
        <v>0</v>
      </c>
      <c r="K83" s="428">
        <f t="shared" si="2"/>
        <v>3223240.3090964532</v>
      </c>
      <c r="L83" s="428">
        <f t="shared" si="2"/>
        <v>0</v>
      </c>
      <c r="M83" s="428">
        <f t="shared" si="2"/>
        <v>0</v>
      </c>
      <c r="N83" s="428">
        <f t="shared" si="2"/>
        <v>1642351.6295833972</v>
      </c>
      <c r="O83" s="428">
        <f t="shared" si="2"/>
        <v>0</v>
      </c>
      <c r="P83" s="428">
        <f t="shared" si="2"/>
        <v>29341.048627607186</v>
      </c>
      <c r="Q83" s="428">
        <f t="shared" si="2"/>
        <v>0</v>
      </c>
      <c r="R83" s="428">
        <f t="shared" si="2"/>
        <v>15.993218034147416</v>
      </c>
      <c r="S83" s="428">
        <f t="shared" si="2"/>
        <v>299682.74233779358</v>
      </c>
      <c r="T83" s="428">
        <f t="shared" si="2"/>
        <v>2209559.9018081967</v>
      </c>
      <c r="U83" s="428">
        <f t="shared" si="2"/>
        <v>30431648.050966352</v>
      </c>
      <c r="V83" s="428">
        <f t="shared" si="2"/>
        <v>1135162.2682797492</v>
      </c>
      <c r="W83" s="428">
        <f t="shared" si="2"/>
        <v>12645895.419832332</v>
      </c>
      <c r="X83" s="428">
        <f t="shared" si="2"/>
        <v>0</v>
      </c>
      <c r="Y83" s="428">
        <f t="shared" si="2"/>
        <v>0</v>
      </c>
      <c r="Z83" s="428">
        <f t="shared" si="2"/>
        <v>0</v>
      </c>
      <c r="AA83" s="428">
        <f t="shared" si="2"/>
        <v>0</v>
      </c>
      <c r="AB83" s="428">
        <f t="shared" si="2"/>
        <v>1770676.7024608413</v>
      </c>
      <c r="AC83" s="428">
        <f t="shared" si="2"/>
        <v>0</v>
      </c>
      <c r="AD83" s="428">
        <f t="shared" si="2"/>
        <v>0</v>
      </c>
      <c r="AE83" s="428">
        <f t="shared" si="2"/>
        <v>0</v>
      </c>
      <c r="AF83" s="428">
        <f t="shared" si="2"/>
        <v>0</v>
      </c>
      <c r="AG83" s="428">
        <f t="shared" si="2"/>
        <v>-43471.108834108905</v>
      </c>
      <c r="AH83" s="428">
        <f t="shared" si="2"/>
        <v>0</v>
      </c>
      <c r="AI83" s="428">
        <f t="shared" si="2"/>
        <v>0</v>
      </c>
      <c r="AJ83" s="428">
        <f t="shared" si="2"/>
        <v>0</v>
      </c>
      <c r="AK83" s="428">
        <f t="shared" si="2"/>
        <v>0</v>
      </c>
      <c r="AL83" s="428">
        <f t="shared" si="2"/>
        <v>0</v>
      </c>
      <c r="AM83" s="428">
        <f t="shared" si="2"/>
        <v>0</v>
      </c>
      <c r="AN83" s="428">
        <f t="shared" si="2"/>
        <v>0</v>
      </c>
      <c r="AO83" s="428">
        <f t="shared" si="2"/>
        <v>-699300.67499725253</v>
      </c>
      <c r="AP83" s="428">
        <f t="shared" si="2"/>
        <v>0</v>
      </c>
    </row>
    <row r="84" spans="5:42" x14ac:dyDescent="0.25">
      <c r="E84" s="227"/>
      <c r="F84" s="176" t="s">
        <v>153</v>
      </c>
      <c r="G84" s="238" t="s">
        <v>124</v>
      </c>
      <c r="H84" s="428">
        <f t="shared" si="0"/>
        <v>15980580.23208252</v>
      </c>
      <c r="I84" s="339"/>
      <c r="J84" s="428">
        <f t="shared" ref="J84:AP84" si="3">J18 * thousand * J47 / hundred</f>
        <v>0</v>
      </c>
      <c r="K84" s="428">
        <f t="shared" si="3"/>
        <v>0</v>
      </c>
      <c r="L84" s="428">
        <f t="shared" si="3"/>
        <v>0</v>
      </c>
      <c r="M84" s="428">
        <f t="shared" si="3"/>
        <v>0</v>
      </c>
      <c r="N84" s="428">
        <f t="shared" si="3"/>
        <v>0</v>
      </c>
      <c r="O84" s="428">
        <f t="shared" si="3"/>
        <v>0</v>
      </c>
      <c r="P84" s="428">
        <f t="shared" si="3"/>
        <v>0</v>
      </c>
      <c r="Q84" s="428">
        <f t="shared" si="3"/>
        <v>0</v>
      </c>
      <c r="R84" s="428">
        <f t="shared" si="3"/>
        <v>0</v>
      </c>
      <c r="S84" s="428">
        <f t="shared" si="3"/>
        <v>56929.835931767775</v>
      </c>
      <c r="T84" s="428">
        <f t="shared" si="3"/>
        <v>328945.27597342455</v>
      </c>
      <c r="U84" s="428">
        <f t="shared" si="3"/>
        <v>6763216.089402657</v>
      </c>
      <c r="V84" s="428">
        <f t="shared" si="3"/>
        <v>400578.07848289242</v>
      </c>
      <c r="W84" s="428">
        <f t="shared" si="3"/>
        <v>5964551.3866844587</v>
      </c>
      <c r="X84" s="428">
        <f t="shared" si="3"/>
        <v>0</v>
      </c>
      <c r="Y84" s="428">
        <f t="shared" si="3"/>
        <v>0</v>
      </c>
      <c r="Z84" s="428">
        <f t="shared" si="3"/>
        <v>0</v>
      </c>
      <c r="AA84" s="428">
        <f t="shared" si="3"/>
        <v>0</v>
      </c>
      <c r="AB84" s="428">
        <f t="shared" si="3"/>
        <v>2486253.0218998785</v>
      </c>
      <c r="AC84" s="428">
        <f t="shared" si="3"/>
        <v>0</v>
      </c>
      <c r="AD84" s="428">
        <f t="shared" si="3"/>
        <v>0</v>
      </c>
      <c r="AE84" s="428">
        <f t="shared" si="3"/>
        <v>0</v>
      </c>
      <c r="AF84" s="428">
        <f t="shared" si="3"/>
        <v>0</v>
      </c>
      <c r="AG84" s="428">
        <f t="shared" si="3"/>
        <v>-1654.8181637905163</v>
      </c>
      <c r="AH84" s="428">
        <f t="shared" si="3"/>
        <v>0</v>
      </c>
      <c r="AI84" s="428">
        <f t="shared" si="3"/>
        <v>0</v>
      </c>
      <c r="AJ84" s="428">
        <f t="shared" si="3"/>
        <v>0</v>
      </c>
      <c r="AK84" s="428">
        <f t="shared" si="3"/>
        <v>0</v>
      </c>
      <c r="AL84" s="428">
        <f t="shared" si="3"/>
        <v>0</v>
      </c>
      <c r="AM84" s="428">
        <f t="shared" si="3"/>
        <v>0</v>
      </c>
      <c r="AN84" s="428">
        <f t="shared" si="3"/>
        <v>0</v>
      </c>
      <c r="AO84" s="428">
        <f t="shared" si="3"/>
        <v>-18238.638128769478</v>
      </c>
      <c r="AP84" s="428">
        <f t="shared" si="3"/>
        <v>0</v>
      </c>
    </row>
    <row r="85" spans="5:42" x14ac:dyDescent="0.25">
      <c r="E85" s="227"/>
      <c r="F85" s="180" t="s">
        <v>384</v>
      </c>
      <c r="G85" s="237" t="s">
        <v>124</v>
      </c>
      <c r="H85" s="431">
        <f t="shared" si="0"/>
        <v>43938284.310382508</v>
      </c>
      <c r="I85" s="166"/>
      <c r="J85" s="431">
        <f t="shared" ref="J85:AP85" si="4" xml:space="preserve"> J19 * J48 * days_in_year / hundred</f>
        <v>33493568.755719248</v>
      </c>
      <c r="K85" s="431">
        <f t="shared" si="4"/>
        <v>3196567.5054803342</v>
      </c>
      <c r="L85" s="431">
        <f t="shared" si="4"/>
        <v>0</v>
      </c>
      <c r="M85" s="431">
        <f t="shared" si="4"/>
        <v>3721531.8486068784</v>
      </c>
      <c r="N85" s="431">
        <f t="shared" si="4"/>
        <v>593148.16420486523</v>
      </c>
      <c r="O85" s="431">
        <f t="shared" si="4"/>
        <v>0</v>
      </c>
      <c r="P85" s="431">
        <f t="shared" si="4"/>
        <v>149910.40498361795</v>
      </c>
      <c r="Q85" s="431">
        <f t="shared" si="4"/>
        <v>0</v>
      </c>
      <c r="R85" s="431">
        <f t="shared" si="4"/>
        <v>4215.1660000000002</v>
      </c>
      <c r="S85" s="431">
        <f t="shared" si="4"/>
        <v>124704.29400000002</v>
      </c>
      <c r="T85" s="431">
        <f t="shared" si="4"/>
        <v>72843.330444249121</v>
      </c>
      <c r="U85" s="431">
        <f t="shared" si="4"/>
        <v>1307999.019582455</v>
      </c>
      <c r="V85" s="431">
        <f t="shared" si="4"/>
        <v>24171.893360858565</v>
      </c>
      <c r="W85" s="431">
        <f t="shared" si="4"/>
        <v>1001502.7679999999</v>
      </c>
      <c r="X85" s="431">
        <f t="shared" si="4"/>
        <v>0</v>
      </c>
      <c r="Y85" s="431">
        <f t="shared" si="4"/>
        <v>0</v>
      </c>
      <c r="Z85" s="431">
        <f t="shared" si="4"/>
        <v>0</v>
      </c>
      <c r="AA85" s="431">
        <f t="shared" si="4"/>
        <v>0</v>
      </c>
      <c r="AB85" s="431">
        <f t="shared" si="4"/>
        <v>0</v>
      </c>
      <c r="AC85" s="431">
        <f t="shared" si="4"/>
        <v>0</v>
      </c>
      <c r="AD85" s="431">
        <f t="shared" si="4"/>
        <v>0</v>
      </c>
      <c r="AE85" s="431">
        <f t="shared" si="4"/>
        <v>0</v>
      </c>
      <c r="AF85" s="431">
        <f t="shared" si="4"/>
        <v>0</v>
      </c>
      <c r="AG85" s="431">
        <f t="shared" si="4"/>
        <v>0</v>
      </c>
      <c r="AH85" s="431">
        <f t="shared" si="4"/>
        <v>0</v>
      </c>
      <c r="AI85" s="431">
        <f t="shared" si="4"/>
        <v>0</v>
      </c>
      <c r="AJ85" s="431">
        <f t="shared" si="4"/>
        <v>0</v>
      </c>
      <c r="AK85" s="431">
        <f t="shared" si="4"/>
        <v>0</v>
      </c>
      <c r="AL85" s="431">
        <f t="shared" si="4"/>
        <v>0</v>
      </c>
      <c r="AM85" s="431">
        <f t="shared" si="4"/>
        <v>146214.25499999998</v>
      </c>
      <c r="AN85" s="431">
        <f t="shared" si="4"/>
        <v>0</v>
      </c>
      <c r="AO85" s="431">
        <f t="shared" si="4"/>
        <v>101906.905</v>
      </c>
      <c r="AP85" s="431">
        <f t="shared" si="4"/>
        <v>0</v>
      </c>
    </row>
    <row r="86" spans="5:42" x14ac:dyDescent="0.25">
      <c r="E86" s="227"/>
      <c r="F86" s="176" t="s">
        <v>385</v>
      </c>
      <c r="G86" s="238" t="s">
        <v>124</v>
      </c>
      <c r="H86" s="428">
        <f t="shared" si="0"/>
        <v>69276600.490537584</v>
      </c>
      <c r="I86" s="339"/>
      <c r="J86" s="428">
        <f t="shared" ref="J86:AP86" si="5" xml:space="preserve"> J20 * J49 * days_in_year / hundred</f>
        <v>0</v>
      </c>
      <c r="K86" s="428">
        <f t="shared" si="5"/>
        <v>0</v>
      </c>
      <c r="L86" s="428">
        <f t="shared" si="5"/>
        <v>0</v>
      </c>
      <c r="M86" s="428">
        <f t="shared" si="5"/>
        <v>0</v>
      </c>
      <c r="N86" s="428">
        <f t="shared" si="5"/>
        <v>0</v>
      </c>
      <c r="O86" s="428">
        <f t="shared" si="5"/>
        <v>0</v>
      </c>
      <c r="P86" s="428">
        <f t="shared" si="5"/>
        <v>0</v>
      </c>
      <c r="Q86" s="428">
        <f t="shared" si="5"/>
        <v>0</v>
      </c>
      <c r="R86" s="428">
        <f t="shared" si="5"/>
        <v>0</v>
      </c>
      <c r="S86" s="428">
        <f t="shared" si="5"/>
        <v>0</v>
      </c>
      <c r="T86" s="428">
        <f t="shared" si="5"/>
        <v>0</v>
      </c>
      <c r="U86" s="428">
        <f t="shared" si="5"/>
        <v>28507053.824063741</v>
      </c>
      <c r="V86" s="428">
        <f t="shared" si="5"/>
        <v>1562859.5138830391</v>
      </c>
      <c r="W86" s="428">
        <f t="shared" si="5"/>
        <v>39206687.152590796</v>
      </c>
      <c r="X86" s="428">
        <f t="shared" si="5"/>
        <v>0</v>
      </c>
      <c r="Y86" s="428">
        <f t="shared" si="5"/>
        <v>0</v>
      </c>
      <c r="Z86" s="428">
        <f t="shared" si="5"/>
        <v>0</v>
      </c>
      <c r="AA86" s="428">
        <f t="shared" si="5"/>
        <v>0</v>
      </c>
      <c r="AB86" s="428">
        <f t="shared" si="5"/>
        <v>0</v>
      </c>
      <c r="AC86" s="428">
        <f t="shared" si="5"/>
        <v>0</v>
      </c>
      <c r="AD86" s="428">
        <f t="shared" si="5"/>
        <v>0</v>
      </c>
      <c r="AE86" s="428">
        <f t="shared" si="5"/>
        <v>0</v>
      </c>
      <c r="AF86" s="428">
        <f t="shared" si="5"/>
        <v>0</v>
      </c>
      <c r="AG86" s="428">
        <f t="shared" si="5"/>
        <v>0</v>
      </c>
      <c r="AH86" s="428">
        <f t="shared" si="5"/>
        <v>0</v>
      </c>
      <c r="AI86" s="428">
        <f t="shared" si="5"/>
        <v>0</v>
      </c>
      <c r="AJ86" s="428">
        <f t="shared" si="5"/>
        <v>0</v>
      </c>
      <c r="AK86" s="428">
        <f t="shared" si="5"/>
        <v>0</v>
      </c>
      <c r="AL86" s="428">
        <f t="shared" si="5"/>
        <v>0</v>
      </c>
      <c r="AM86" s="428">
        <f t="shared" si="5"/>
        <v>0</v>
      </c>
      <c r="AN86" s="428">
        <f t="shared" si="5"/>
        <v>0</v>
      </c>
      <c r="AO86" s="428">
        <f t="shared" si="5"/>
        <v>0</v>
      </c>
      <c r="AP86" s="428">
        <f t="shared" si="5"/>
        <v>0</v>
      </c>
    </row>
    <row r="87" spans="5:42" x14ac:dyDescent="0.25">
      <c r="E87" s="227"/>
      <c r="F87" s="176" t="s">
        <v>386</v>
      </c>
      <c r="G87" s="238" t="s">
        <v>124</v>
      </c>
      <c r="H87" s="428">
        <f t="shared" si="0"/>
        <v>1721021.616945501</v>
      </c>
      <c r="I87" s="339"/>
      <c r="J87" s="428">
        <f t="shared" ref="J87:AP87" si="6" xml:space="preserve"> J21 * J50 * days_in_year / hundred</f>
        <v>0</v>
      </c>
      <c r="K87" s="428">
        <f t="shared" si="6"/>
        <v>0</v>
      </c>
      <c r="L87" s="428">
        <f t="shared" si="6"/>
        <v>0</v>
      </c>
      <c r="M87" s="428">
        <f t="shared" si="6"/>
        <v>0</v>
      </c>
      <c r="N87" s="428">
        <f t="shared" si="6"/>
        <v>0</v>
      </c>
      <c r="O87" s="428">
        <f t="shared" si="6"/>
        <v>0</v>
      </c>
      <c r="P87" s="428">
        <f t="shared" si="6"/>
        <v>0</v>
      </c>
      <c r="Q87" s="428">
        <f t="shared" si="6"/>
        <v>0</v>
      </c>
      <c r="R87" s="428">
        <f t="shared" si="6"/>
        <v>0</v>
      </c>
      <c r="S87" s="428">
        <f t="shared" si="6"/>
        <v>0</v>
      </c>
      <c r="T87" s="428">
        <f t="shared" si="6"/>
        <v>0</v>
      </c>
      <c r="U87" s="428">
        <f t="shared" si="6"/>
        <v>1004196.7029342145</v>
      </c>
      <c r="V87" s="428">
        <f t="shared" si="6"/>
        <v>39989.735137602322</v>
      </c>
      <c r="W87" s="428">
        <f t="shared" si="6"/>
        <v>676835.17887368414</v>
      </c>
      <c r="X87" s="428">
        <f t="shared" si="6"/>
        <v>0</v>
      </c>
      <c r="Y87" s="428">
        <f t="shared" si="6"/>
        <v>0</v>
      </c>
      <c r="Z87" s="428">
        <f t="shared" si="6"/>
        <v>0</v>
      </c>
      <c r="AA87" s="428">
        <f t="shared" si="6"/>
        <v>0</v>
      </c>
      <c r="AB87" s="428">
        <f t="shared" si="6"/>
        <v>0</v>
      </c>
      <c r="AC87" s="428">
        <f t="shared" si="6"/>
        <v>0</v>
      </c>
      <c r="AD87" s="428">
        <f t="shared" si="6"/>
        <v>0</v>
      </c>
      <c r="AE87" s="428">
        <f t="shared" si="6"/>
        <v>0</v>
      </c>
      <c r="AF87" s="428">
        <f t="shared" si="6"/>
        <v>0</v>
      </c>
      <c r="AG87" s="428">
        <f t="shared" si="6"/>
        <v>0</v>
      </c>
      <c r="AH87" s="428">
        <f t="shared" si="6"/>
        <v>0</v>
      </c>
      <c r="AI87" s="428">
        <f t="shared" si="6"/>
        <v>0</v>
      </c>
      <c r="AJ87" s="428">
        <f t="shared" si="6"/>
        <v>0</v>
      </c>
      <c r="AK87" s="428">
        <f t="shared" si="6"/>
        <v>0</v>
      </c>
      <c r="AL87" s="428">
        <f t="shared" si="6"/>
        <v>0</v>
      </c>
      <c r="AM87" s="428">
        <f t="shared" si="6"/>
        <v>0</v>
      </c>
      <c r="AN87" s="428">
        <f t="shared" si="6"/>
        <v>0</v>
      </c>
      <c r="AO87" s="428">
        <f t="shared" si="6"/>
        <v>0</v>
      </c>
      <c r="AP87" s="428">
        <f t="shared" si="6"/>
        <v>0</v>
      </c>
    </row>
    <row r="88" spans="5:42" x14ac:dyDescent="0.25">
      <c r="E88" s="227"/>
      <c r="F88" s="180" t="s">
        <v>387</v>
      </c>
      <c r="G88" s="237" t="s">
        <v>124</v>
      </c>
      <c r="H88" s="431">
        <f t="shared" si="0"/>
        <v>1423812.266095452</v>
      </c>
      <c r="I88" s="166"/>
      <c r="J88" s="431">
        <f t="shared" ref="J88:AP88" si="7">J22 * thousand * J51 / hundred</f>
        <v>0</v>
      </c>
      <c r="K88" s="431">
        <f t="shared" si="7"/>
        <v>0</v>
      </c>
      <c r="L88" s="431">
        <f t="shared" si="7"/>
        <v>0</v>
      </c>
      <c r="M88" s="431">
        <f t="shared" si="7"/>
        <v>0</v>
      </c>
      <c r="N88" s="431">
        <f t="shared" si="7"/>
        <v>0</v>
      </c>
      <c r="O88" s="431">
        <f t="shared" si="7"/>
        <v>0</v>
      </c>
      <c r="P88" s="431">
        <f t="shared" si="7"/>
        <v>0</v>
      </c>
      <c r="Q88" s="431">
        <f t="shared" si="7"/>
        <v>0</v>
      </c>
      <c r="R88" s="431">
        <f t="shared" si="7"/>
        <v>0</v>
      </c>
      <c r="S88" s="431">
        <f t="shared" si="7"/>
        <v>0</v>
      </c>
      <c r="T88" s="431">
        <f t="shared" si="7"/>
        <v>0</v>
      </c>
      <c r="U88" s="431">
        <f t="shared" si="7"/>
        <v>1010897.086592496</v>
      </c>
      <c r="V88" s="431">
        <f t="shared" si="7"/>
        <v>32238.42862560269</v>
      </c>
      <c r="W88" s="431">
        <f t="shared" si="7"/>
        <v>306156.3412327384</v>
      </c>
      <c r="X88" s="431">
        <f t="shared" si="7"/>
        <v>0</v>
      </c>
      <c r="Y88" s="431">
        <f t="shared" si="7"/>
        <v>0</v>
      </c>
      <c r="Z88" s="431">
        <f t="shared" si="7"/>
        <v>0</v>
      </c>
      <c r="AA88" s="431">
        <f t="shared" si="7"/>
        <v>0</v>
      </c>
      <c r="AB88" s="431">
        <f t="shared" si="7"/>
        <v>0</v>
      </c>
      <c r="AC88" s="431">
        <f t="shared" si="7"/>
        <v>0</v>
      </c>
      <c r="AD88" s="431">
        <f t="shared" si="7"/>
        <v>0</v>
      </c>
      <c r="AE88" s="431">
        <f t="shared" si="7"/>
        <v>9312.7910878101557</v>
      </c>
      <c r="AF88" s="431">
        <f t="shared" si="7"/>
        <v>0</v>
      </c>
      <c r="AG88" s="431">
        <f t="shared" si="7"/>
        <v>678.73250748420833</v>
      </c>
      <c r="AH88" s="431">
        <f t="shared" si="7"/>
        <v>0</v>
      </c>
      <c r="AI88" s="431">
        <f t="shared" si="7"/>
        <v>0</v>
      </c>
      <c r="AJ88" s="431">
        <f t="shared" si="7"/>
        <v>0</v>
      </c>
      <c r="AK88" s="431">
        <f t="shared" si="7"/>
        <v>0</v>
      </c>
      <c r="AL88" s="431">
        <f t="shared" si="7"/>
        <v>0</v>
      </c>
      <c r="AM88" s="431">
        <f t="shared" si="7"/>
        <v>31776.135235216698</v>
      </c>
      <c r="AN88" s="431">
        <f t="shared" si="7"/>
        <v>0</v>
      </c>
      <c r="AO88" s="431">
        <f t="shared" si="7"/>
        <v>32752.750814103707</v>
      </c>
      <c r="AP88" s="431">
        <f t="shared" si="7"/>
        <v>0</v>
      </c>
    </row>
    <row r="89" spans="5:42" x14ac:dyDescent="0.25">
      <c r="E89" s="227"/>
      <c r="F89" s="125" t="s">
        <v>128</v>
      </c>
      <c r="G89" s="294" t="s">
        <v>124</v>
      </c>
      <c r="H89" s="434">
        <f>SUM(H82:H88)</f>
        <v>509294875.1573897</v>
      </c>
      <c r="I89" s="326"/>
      <c r="J89" s="434">
        <f t="shared" ref="J89:AP89" si="8">SUM(J82:J88)</f>
        <v>217823826.48932645</v>
      </c>
      <c r="K89" s="434">
        <f t="shared" si="8"/>
        <v>26216620.463609289</v>
      </c>
      <c r="L89" s="434">
        <f t="shared" si="8"/>
        <v>1066400.4217499837</v>
      </c>
      <c r="M89" s="434">
        <f t="shared" si="8"/>
        <v>51510393.719280183</v>
      </c>
      <c r="N89" s="434">
        <f t="shared" si="8"/>
        <v>13790404.440045502</v>
      </c>
      <c r="O89" s="434">
        <f t="shared" si="8"/>
        <v>281261.33319245232</v>
      </c>
      <c r="P89" s="434">
        <f t="shared" si="8"/>
        <v>1709433.6396770389</v>
      </c>
      <c r="Q89" s="434">
        <f t="shared" si="8"/>
        <v>0</v>
      </c>
      <c r="R89" s="434">
        <f t="shared" si="8"/>
        <v>6662.1539001585197</v>
      </c>
      <c r="S89" s="434">
        <f t="shared" si="8"/>
        <v>1165156.2156820763</v>
      </c>
      <c r="T89" s="434">
        <f t="shared" si="8"/>
        <v>5465158.8383950191</v>
      </c>
      <c r="U89" s="434">
        <f t="shared" si="8"/>
        <v>107959678.69616188</v>
      </c>
      <c r="V89" s="434">
        <f t="shared" si="8"/>
        <v>4771184.0666810861</v>
      </c>
      <c r="W89" s="434">
        <f t="shared" si="8"/>
        <v>75814262.360566124</v>
      </c>
      <c r="X89" s="434">
        <f t="shared" si="8"/>
        <v>637413.17871803953</v>
      </c>
      <c r="Y89" s="434">
        <f t="shared" si="8"/>
        <v>408543.0736730427</v>
      </c>
      <c r="Z89" s="434">
        <f t="shared" si="8"/>
        <v>24283.678776846002</v>
      </c>
      <c r="AA89" s="434">
        <f t="shared" si="8"/>
        <v>3907.3890838140269</v>
      </c>
      <c r="AB89" s="434">
        <f t="shared" si="8"/>
        <v>5856929.9229430854</v>
      </c>
      <c r="AC89" s="434">
        <f t="shared" si="8"/>
        <v>-33549.445875654586</v>
      </c>
      <c r="AD89" s="434">
        <f t="shared" si="8"/>
        <v>-1828.0264218291099</v>
      </c>
      <c r="AE89" s="434">
        <f t="shared" si="8"/>
        <v>-276218.69230322406</v>
      </c>
      <c r="AF89" s="434">
        <f t="shared" si="8"/>
        <v>0</v>
      </c>
      <c r="AG89" s="434">
        <f t="shared" si="8"/>
        <v>-120359.17001238481</v>
      </c>
      <c r="AH89" s="434">
        <f t="shared" si="8"/>
        <v>0</v>
      </c>
      <c r="AI89" s="434">
        <f t="shared" si="8"/>
        <v>0</v>
      </c>
      <c r="AJ89" s="434">
        <f t="shared" si="8"/>
        <v>0</v>
      </c>
      <c r="AK89" s="434">
        <f t="shared" si="8"/>
        <v>0</v>
      </c>
      <c r="AL89" s="434">
        <f t="shared" si="8"/>
        <v>0</v>
      </c>
      <c r="AM89" s="434">
        <f t="shared" si="8"/>
        <v>-1978058.6337493823</v>
      </c>
      <c r="AN89" s="434">
        <f t="shared" si="8"/>
        <v>0</v>
      </c>
      <c r="AO89" s="434">
        <f t="shared" si="8"/>
        <v>-2806630.9557099175</v>
      </c>
      <c r="AP89" s="434">
        <f t="shared" si="8"/>
        <v>0</v>
      </c>
    </row>
    <row r="90" spans="5:42" x14ac:dyDescent="0.25">
      <c r="E90" s="227"/>
      <c r="G90" s="194"/>
      <c r="H90" s="416"/>
      <c r="J90" s="416"/>
      <c r="K90" s="416"/>
      <c r="L90" s="416"/>
      <c r="M90" s="416"/>
      <c r="N90" s="416"/>
      <c r="O90" s="416"/>
      <c r="P90" s="416"/>
      <c r="Q90" s="416"/>
      <c r="R90" s="416"/>
      <c r="S90" s="416"/>
      <c r="T90" s="416"/>
      <c r="U90" s="416"/>
      <c r="V90" s="416"/>
      <c r="W90" s="416"/>
      <c r="X90" s="416"/>
      <c r="Y90" s="416"/>
      <c r="Z90" s="416"/>
      <c r="AA90" s="416"/>
      <c r="AB90" s="416"/>
      <c r="AC90" s="416"/>
      <c r="AD90" s="416"/>
      <c r="AE90" s="416"/>
      <c r="AF90" s="416"/>
      <c r="AG90" s="416"/>
      <c r="AH90" s="416"/>
      <c r="AI90" s="416"/>
      <c r="AJ90" s="416"/>
      <c r="AK90" s="416"/>
      <c r="AL90" s="416"/>
      <c r="AM90" s="416"/>
      <c r="AN90" s="416"/>
      <c r="AO90" s="416"/>
      <c r="AP90" s="416"/>
    </row>
    <row r="91" spans="5:42" x14ac:dyDescent="0.25">
      <c r="E91" s="261" t="s">
        <v>1183</v>
      </c>
      <c r="G91" s="194"/>
      <c r="H91" s="463" t="s">
        <v>345</v>
      </c>
      <c r="J91" s="416"/>
      <c r="K91" s="416"/>
      <c r="L91" s="416"/>
      <c r="M91" s="416"/>
      <c r="N91" s="416"/>
      <c r="O91" s="416"/>
      <c r="P91" s="416"/>
      <c r="Q91" s="416"/>
      <c r="R91" s="416"/>
      <c r="S91" s="416"/>
      <c r="T91" s="416"/>
      <c r="U91" s="416"/>
      <c r="V91" s="416"/>
      <c r="W91" s="416"/>
      <c r="X91" s="416"/>
      <c r="Y91" s="416"/>
      <c r="Z91" s="416"/>
      <c r="AA91" s="416"/>
      <c r="AB91" s="416"/>
      <c r="AC91" s="416"/>
      <c r="AD91" s="416"/>
      <c r="AE91" s="416"/>
      <c r="AF91" s="416"/>
      <c r="AG91" s="416"/>
      <c r="AH91" s="416"/>
      <c r="AI91" s="416"/>
      <c r="AJ91" s="416"/>
      <c r="AK91" s="416"/>
      <c r="AL91" s="416"/>
      <c r="AM91" s="416"/>
      <c r="AN91" s="416"/>
      <c r="AO91" s="416"/>
      <c r="AP91" s="416"/>
    </row>
    <row r="92" spans="5:42" x14ac:dyDescent="0.25">
      <c r="E92" s="227"/>
      <c r="F92" s="180" t="s">
        <v>151</v>
      </c>
      <c r="G92" s="237" t="s">
        <v>124</v>
      </c>
      <c r="H92" s="431">
        <f t="shared" ref="H92:H98" si="9">SUM(J92:AP92)</f>
        <v>882553.04560910386</v>
      </c>
      <c r="I92" s="166"/>
      <c r="J92" s="431">
        <f t="shared" ref="J92:AP92" si="10">J25 * thousand * J54 / hundred</f>
        <v>637680.00117412768</v>
      </c>
      <c r="K92" s="431">
        <f t="shared" si="10"/>
        <v>44009.846772664016</v>
      </c>
      <c r="L92" s="431">
        <f t="shared" si="10"/>
        <v>0</v>
      </c>
      <c r="M92" s="431">
        <f t="shared" si="10"/>
        <v>105577.77741628644</v>
      </c>
      <c r="N92" s="431">
        <f t="shared" si="10"/>
        <v>2078.2271035196736</v>
      </c>
      <c r="O92" s="431">
        <f t="shared" si="10"/>
        <v>0</v>
      </c>
      <c r="P92" s="431">
        <f t="shared" si="10"/>
        <v>4453.8915582531517</v>
      </c>
      <c r="Q92" s="431">
        <f t="shared" si="10"/>
        <v>0</v>
      </c>
      <c r="R92" s="431">
        <f t="shared" si="10"/>
        <v>0</v>
      </c>
      <c r="S92" s="431">
        <f t="shared" si="10"/>
        <v>36.726377839143225</v>
      </c>
      <c r="T92" s="431">
        <f t="shared" si="10"/>
        <v>3183.7621640052012</v>
      </c>
      <c r="U92" s="431">
        <f t="shared" si="10"/>
        <v>82332.911293308891</v>
      </c>
      <c r="V92" s="431">
        <f t="shared" si="10"/>
        <v>0</v>
      </c>
      <c r="W92" s="431">
        <f t="shared" si="10"/>
        <v>0</v>
      </c>
      <c r="X92" s="431">
        <f t="shared" si="10"/>
        <v>0</v>
      </c>
      <c r="Y92" s="431">
        <f t="shared" si="10"/>
        <v>963.16607263116578</v>
      </c>
      <c r="Z92" s="431">
        <f t="shared" si="10"/>
        <v>2183.8732300000011</v>
      </c>
      <c r="AA92" s="431">
        <f t="shared" si="10"/>
        <v>0</v>
      </c>
      <c r="AB92" s="431">
        <f t="shared" si="10"/>
        <v>2075.7618790740739</v>
      </c>
      <c r="AC92" s="431">
        <f t="shared" si="10"/>
        <v>-2022.8994326054592</v>
      </c>
      <c r="AD92" s="431">
        <f t="shared" si="10"/>
        <v>0</v>
      </c>
      <c r="AE92" s="431">
        <f t="shared" si="10"/>
        <v>0</v>
      </c>
      <c r="AF92" s="431">
        <f t="shared" si="10"/>
        <v>0</v>
      </c>
      <c r="AG92" s="431">
        <f t="shared" si="10"/>
        <v>0</v>
      </c>
      <c r="AH92" s="431">
        <f t="shared" si="10"/>
        <v>0</v>
      </c>
      <c r="AI92" s="431">
        <f t="shared" si="10"/>
        <v>0</v>
      </c>
      <c r="AJ92" s="431">
        <f t="shared" si="10"/>
        <v>0</v>
      </c>
      <c r="AK92" s="431">
        <f t="shared" si="10"/>
        <v>0</v>
      </c>
      <c r="AL92" s="431">
        <f t="shared" si="10"/>
        <v>0</v>
      </c>
      <c r="AM92" s="431">
        <f t="shared" si="10"/>
        <v>0</v>
      </c>
      <c r="AN92" s="431">
        <f t="shared" si="10"/>
        <v>0</v>
      </c>
      <c r="AO92" s="431">
        <f t="shared" si="10"/>
        <v>0</v>
      </c>
      <c r="AP92" s="431">
        <f t="shared" si="10"/>
        <v>0</v>
      </c>
    </row>
    <row r="93" spans="5:42" x14ac:dyDescent="0.25">
      <c r="E93" s="227"/>
      <c r="F93" s="176" t="s">
        <v>152</v>
      </c>
      <c r="G93" s="238" t="s">
        <v>124</v>
      </c>
      <c r="H93" s="428">
        <f t="shared" si="9"/>
        <v>76977.918300705627</v>
      </c>
      <c r="I93" s="339"/>
      <c r="J93" s="428">
        <f t="shared" ref="J93:AP93" si="11">J26 * thousand * J55 / hundred</f>
        <v>0</v>
      </c>
      <c r="K93" s="428">
        <f t="shared" si="11"/>
        <v>6900.8090412494275</v>
      </c>
      <c r="L93" s="428">
        <f t="shared" si="11"/>
        <v>0</v>
      </c>
      <c r="M93" s="428">
        <f t="shared" si="11"/>
        <v>0</v>
      </c>
      <c r="N93" s="428">
        <f t="shared" si="11"/>
        <v>238.38484225673935</v>
      </c>
      <c r="O93" s="428">
        <f t="shared" si="11"/>
        <v>0</v>
      </c>
      <c r="P93" s="428">
        <f t="shared" si="11"/>
        <v>332.10490883744745</v>
      </c>
      <c r="Q93" s="428">
        <f t="shared" si="11"/>
        <v>0</v>
      </c>
      <c r="R93" s="428">
        <f t="shared" si="11"/>
        <v>0</v>
      </c>
      <c r="S93" s="428">
        <f t="shared" si="11"/>
        <v>22.15951143051479</v>
      </c>
      <c r="T93" s="428">
        <f t="shared" si="11"/>
        <v>2527.0987258611763</v>
      </c>
      <c r="U93" s="428">
        <f t="shared" si="11"/>
        <v>64052.754678199941</v>
      </c>
      <c r="V93" s="428">
        <f t="shared" si="11"/>
        <v>0</v>
      </c>
      <c r="W93" s="428">
        <f t="shared" si="11"/>
        <v>0</v>
      </c>
      <c r="X93" s="428">
        <f t="shared" si="11"/>
        <v>0</v>
      </c>
      <c r="Y93" s="428">
        <f t="shared" si="11"/>
        <v>0</v>
      </c>
      <c r="Z93" s="428">
        <f t="shared" si="11"/>
        <v>0</v>
      </c>
      <c r="AA93" s="428">
        <f t="shared" si="11"/>
        <v>0</v>
      </c>
      <c r="AB93" s="428">
        <f t="shared" si="11"/>
        <v>2904.6065928703692</v>
      </c>
      <c r="AC93" s="428">
        <f t="shared" si="11"/>
        <v>0</v>
      </c>
      <c r="AD93" s="428">
        <f t="shared" si="11"/>
        <v>0</v>
      </c>
      <c r="AE93" s="428">
        <f t="shared" si="11"/>
        <v>0</v>
      </c>
      <c r="AF93" s="428">
        <f t="shared" si="11"/>
        <v>0</v>
      </c>
      <c r="AG93" s="428">
        <f t="shared" si="11"/>
        <v>0</v>
      </c>
      <c r="AH93" s="428">
        <f t="shared" si="11"/>
        <v>0</v>
      </c>
      <c r="AI93" s="428">
        <f t="shared" si="11"/>
        <v>0</v>
      </c>
      <c r="AJ93" s="428">
        <f t="shared" si="11"/>
        <v>0</v>
      </c>
      <c r="AK93" s="428">
        <f t="shared" si="11"/>
        <v>0</v>
      </c>
      <c r="AL93" s="428">
        <f t="shared" si="11"/>
        <v>0</v>
      </c>
      <c r="AM93" s="428">
        <f t="shared" si="11"/>
        <v>0</v>
      </c>
      <c r="AN93" s="428">
        <f t="shared" si="11"/>
        <v>0</v>
      </c>
      <c r="AO93" s="428">
        <f t="shared" si="11"/>
        <v>0</v>
      </c>
      <c r="AP93" s="428">
        <f t="shared" si="11"/>
        <v>0</v>
      </c>
    </row>
    <row r="94" spans="5:42" x14ac:dyDescent="0.25">
      <c r="E94" s="227"/>
      <c r="F94" s="176" t="s">
        <v>153</v>
      </c>
      <c r="G94" s="238" t="s">
        <v>124</v>
      </c>
      <c r="H94" s="428">
        <f t="shared" si="9"/>
        <v>16122.59111463207</v>
      </c>
      <c r="I94" s="339"/>
      <c r="J94" s="428">
        <f t="shared" ref="J94:AP94" si="12">J27 * thousand * J56 / hundred</f>
        <v>0</v>
      </c>
      <c r="K94" s="428">
        <f t="shared" si="12"/>
        <v>0</v>
      </c>
      <c r="L94" s="428">
        <f t="shared" si="12"/>
        <v>0</v>
      </c>
      <c r="M94" s="428">
        <f t="shared" si="12"/>
        <v>0</v>
      </c>
      <c r="N94" s="428">
        <f t="shared" si="12"/>
        <v>0</v>
      </c>
      <c r="O94" s="428">
        <f t="shared" si="12"/>
        <v>0</v>
      </c>
      <c r="P94" s="428">
        <f t="shared" si="12"/>
        <v>0</v>
      </c>
      <c r="Q94" s="428">
        <f t="shared" si="12"/>
        <v>0</v>
      </c>
      <c r="R94" s="428">
        <f t="shared" si="12"/>
        <v>0</v>
      </c>
      <c r="S94" s="428">
        <f t="shared" si="12"/>
        <v>4.9408519087743077</v>
      </c>
      <c r="T94" s="428">
        <f t="shared" si="12"/>
        <v>600.62229547835022</v>
      </c>
      <c r="U94" s="428">
        <f t="shared" si="12"/>
        <v>14826.646226504205</v>
      </c>
      <c r="V94" s="428">
        <f t="shared" si="12"/>
        <v>0</v>
      </c>
      <c r="W94" s="428">
        <f t="shared" si="12"/>
        <v>0</v>
      </c>
      <c r="X94" s="428">
        <f t="shared" si="12"/>
        <v>0</v>
      </c>
      <c r="Y94" s="428">
        <f t="shared" si="12"/>
        <v>0</v>
      </c>
      <c r="Z94" s="428">
        <f t="shared" si="12"/>
        <v>0</v>
      </c>
      <c r="AA94" s="428">
        <f t="shared" si="12"/>
        <v>0</v>
      </c>
      <c r="AB94" s="428">
        <f t="shared" si="12"/>
        <v>690.38174074074084</v>
      </c>
      <c r="AC94" s="428">
        <f t="shared" si="12"/>
        <v>0</v>
      </c>
      <c r="AD94" s="428">
        <f t="shared" si="12"/>
        <v>0</v>
      </c>
      <c r="AE94" s="428">
        <f t="shared" si="12"/>
        <v>0</v>
      </c>
      <c r="AF94" s="428">
        <f t="shared" si="12"/>
        <v>0</v>
      </c>
      <c r="AG94" s="428">
        <f t="shared" si="12"/>
        <v>0</v>
      </c>
      <c r="AH94" s="428">
        <f t="shared" si="12"/>
        <v>0</v>
      </c>
      <c r="AI94" s="428">
        <f t="shared" si="12"/>
        <v>0</v>
      </c>
      <c r="AJ94" s="428">
        <f t="shared" si="12"/>
        <v>0</v>
      </c>
      <c r="AK94" s="428">
        <f t="shared" si="12"/>
        <v>0</v>
      </c>
      <c r="AL94" s="428">
        <f t="shared" si="12"/>
        <v>0</v>
      </c>
      <c r="AM94" s="428">
        <f t="shared" si="12"/>
        <v>0</v>
      </c>
      <c r="AN94" s="428">
        <f t="shared" si="12"/>
        <v>0</v>
      </c>
      <c r="AO94" s="428">
        <f t="shared" si="12"/>
        <v>0</v>
      </c>
      <c r="AP94" s="428">
        <f t="shared" si="12"/>
        <v>0</v>
      </c>
    </row>
    <row r="95" spans="5:42" x14ac:dyDescent="0.25">
      <c r="E95" s="227"/>
      <c r="F95" s="180" t="s">
        <v>384</v>
      </c>
      <c r="G95" s="237" t="s">
        <v>124</v>
      </c>
      <c r="H95" s="431">
        <f t="shared" si="9"/>
        <v>184717.63320864915</v>
      </c>
      <c r="I95" s="166"/>
      <c r="J95" s="431">
        <f t="shared" ref="J95:AP95" si="13" xml:space="preserve"> J28 * J57 * days_in_year / hundred</f>
        <v>152324.05181859477</v>
      </c>
      <c r="K95" s="431">
        <f t="shared" si="13"/>
        <v>12200.181215271568</v>
      </c>
      <c r="L95" s="431">
        <f t="shared" si="13"/>
        <v>0</v>
      </c>
      <c r="M95" s="431">
        <f t="shared" si="13"/>
        <v>14538.51925275666</v>
      </c>
      <c r="N95" s="431">
        <f t="shared" si="13"/>
        <v>87.636500000000012</v>
      </c>
      <c r="O95" s="431">
        <f t="shared" si="13"/>
        <v>0</v>
      </c>
      <c r="P95" s="431">
        <f t="shared" si="13"/>
        <v>482.89499999999992</v>
      </c>
      <c r="Q95" s="431">
        <f t="shared" si="13"/>
        <v>0</v>
      </c>
      <c r="R95" s="431">
        <f t="shared" si="13"/>
        <v>0</v>
      </c>
      <c r="S95" s="431">
        <f t="shared" si="13"/>
        <v>8.3584999999999994</v>
      </c>
      <c r="T95" s="431">
        <f t="shared" si="13"/>
        <v>62.597500000000011</v>
      </c>
      <c r="U95" s="431">
        <f t="shared" si="13"/>
        <v>5013.3934220261453</v>
      </c>
      <c r="V95" s="431">
        <f t="shared" si="13"/>
        <v>0</v>
      </c>
      <c r="W95" s="431">
        <f t="shared" si="13"/>
        <v>0</v>
      </c>
      <c r="X95" s="431">
        <f t="shared" si="13"/>
        <v>0</v>
      </c>
      <c r="Y95" s="431">
        <f t="shared" si="13"/>
        <v>0</v>
      </c>
      <c r="Z95" s="431">
        <f t="shared" si="13"/>
        <v>0</v>
      </c>
      <c r="AA95" s="431">
        <f t="shared" si="13"/>
        <v>0</v>
      </c>
      <c r="AB95" s="431">
        <f t="shared" si="13"/>
        <v>0</v>
      </c>
      <c r="AC95" s="431">
        <f t="shared" si="13"/>
        <v>0</v>
      </c>
      <c r="AD95" s="431">
        <f t="shared" si="13"/>
        <v>0</v>
      </c>
      <c r="AE95" s="431">
        <f t="shared" si="13"/>
        <v>0</v>
      </c>
      <c r="AF95" s="431">
        <f t="shared" si="13"/>
        <v>0</v>
      </c>
      <c r="AG95" s="431">
        <f t="shared" si="13"/>
        <v>0</v>
      </c>
      <c r="AH95" s="431">
        <f t="shared" si="13"/>
        <v>0</v>
      </c>
      <c r="AI95" s="431">
        <f t="shared" si="13"/>
        <v>0</v>
      </c>
      <c r="AJ95" s="431">
        <f t="shared" si="13"/>
        <v>0</v>
      </c>
      <c r="AK95" s="431">
        <f t="shared" si="13"/>
        <v>0</v>
      </c>
      <c r="AL95" s="431">
        <f t="shared" si="13"/>
        <v>0</v>
      </c>
      <c r="AM95" s="431">
        <f t="shared" si="13"/>
        <v>0</v>
      </c>
      <c r="AN95" s="431">
        <f t="shared" si="13"/>
        <v>0</v>
      </c>
      <c r="AO95" s="431">
        <f t="shared" si="13"/>
        <v>0</v>
      </c>
      <c r="AP95" s="431">
        <f t="shared" si="13"/>
        <v>0</v>
      </c>
    </row>
    <row r="96" spans="5:42" x14ac:dyDescent="0.25">
      <c r="E96" s="227"/>
      <c r="F96" s="176" t="s">
        <v>385</v>
      </c>
      <c r="G96" s="238" t="s">
        <v>124</v>
      </c>
      <c r="H96" s="428">
        <f t="shared" si="9"/>
        <v>119838.85641888186</v>
      </c>
      <c r="I96" s="339"/>
      <c r="J96" s="428">
        <f t="shared" ref="J96:AP96" si="14" xml:space="preserve"> J29 * J58 * days_in_year / hundred</f>
        <v>0</v>
      </c>
      <c r="K96" s="428">
        <f t="shared" si="14"/>
        <v>0</v>
      </c>
      <c r="L96" s="428">
        <f t="shared" si="14"/>
        <v>0</v>
      </c>
      <c r="M96" s="428">
        <f t="shared" si="14"/>
        <v>0</v>
      </c>
      <c r="N96" s="428">
        <f t="shared" si="14"/>
        <v>0</v>
      </c>
      <c r="O96" s="428">
        <f t="shared" si="14"/>
        <v>0</v>
      </c>
      <c r="P96" s="428">
        <f t="shared" si="14"/>
        <v>0</v>
      </c>
      <c r="Q96" s="428">
        <f t="shared" si="14"/>
        <v>0</v>
      </c>
      <c r="R96" s="428">
        <f t="shared" si="14"/>
        <v>0</v>
      </c>
      <c r="S96" s="428">
        <f t="shared" si="14"/>
        <v>0</v>
      </c>
      <c r="T96" s="428">
        <f t="shared" si="14"/>
        <v>0</v>
      </c>
      <c r="U96" s="428">
        <f t="shared" si="14"/>
        <v>119838.85641888186</v>
      </c>
      <c r="V96" s="428">
        <f t="shared" si="14"/>
        <v>0</v>
      </c>
      <c r="W96" s="428">
        <f t="shared" si="14"/>
        <v>0</v>
      </c>
      <c r="X96" s="428">
        <f t="shared" si="14"/>
        <v>0</v>
      </c>
      <c r="Y96" s="428">
        <f t="shared" si="14"/>
        <v>0</v>
      </c>
      <c r="Z96" s="428">
        <f t="shared" si="14"/>
        <v>0</v>
      </c>
      <c r="AA96" s="428">
        <f t="shared" si="14"/>
        <v>0</v>
      </c>
      <c r="AB96" s="428">
        <f t="shared" si="14"/>
        <v>0</v>
      </c>
      <c r="AC96" s="428">
        <f t="shared" si="14"/>
        <v>0</v>
      </c>
      <c r="AD96" s="428">
        <f t="shared" si="14"/>
        <v>0</v>
      </c>
      <c r="AE96" s="428">
        <f t="shared" si="14"/>
        <v>0</v>
      </c>
      <c r="AF96" s="428">
        <f t="shared" si="14"/>
        <v>0</v>
      </c>
      <c r="AG96" s="428">
        <f t="shared" si="14"/>
        <v>0</v>
      </c>
      <c r="AH96" s="428">
        <f t="shared" si="14"/>
        <v>0</v>
      </c>
      <c r="AI96" s="428">
        <f t="shared" si="14"/>
        <v>0</v>
      </c>
      <c r="AJ96" s="428">
        <f t="shared" si="14"/>
        <v>0</v>
      </c>
      <c r="AK96" s="428">
        <f t="shared" si="14"/>
        <v>0</v>
      </c>
      <c r="AL96" s="428">
        <f t="shared" si="14"/>
        <v>0</v>
      </c>
      <c r="AM96" s="428">
        <f t="shared" si="14"/>
        <v>0</v>
      </c>
      <c r="AN96" s="428">
        <f t="shared" si="14"/>
        <v>0</v>
      </c>
      <c r="AO96" s="428">
        <f t="shared" si="14"/>
        <v>0</v>
      </c>
      <c r="AP96" s="428">
        <f t="shared" si="14"/>
        <v>0</v>
      </c>
    </row>
    <row r="97" spans="3:44" x14ac:dyDescent="0.25">
      <c r="E97" s="227"/>
      <c r="F97" s="176" t="s">
        <v>386</v>
      </c>
      <c r="G97" s="238" t="s">
        <v>124</v>
      </c>
      <c r="H97" s="428">
        <f t="shared" si="9"/>
        <v>1342.3605000000002</v>
      </c>
      <c r="I97" s="339"/>
      <c r="J97" s="428">
        <f t="shared" ref="J97:AP97" si="15" xml:space="preserve"> J30 * J59 * days_in_year / hundred</f>
        <v>0</v>
      </c>
      <c r="K97" s="428">
        <f t="shared" si="15"/>
        <v>0</v>
      </c>
      <c r="L97" s="428">
        <f t="shared" si="15"/>
        <v>0</v>
      </c>
      <c r="M97" s="428">
        <f t="shared" si="15"/>
        <v>0</v>
      </c>
      <c r="N97" s="428">
        <f t="shared" si="15"/>
        <v>0</v>
      </c>
      <c r="O97" s="428">
        <f t="shared" si="15"/>
        <v>0</v>
      </c>
      <c r="P97" s="428">
        <f t="shared" si="15"/>
        <v>0</v>
      </c>
      <c r="Q97" s="428">
        <f t="shared" si="15"/>
        <v>0</v>
      </c>
      <c r="R97" s="428">
        <f t="shared" si="15"/>
        <v>0</v>
      </c>
      <c r="S97" s="428">
        <f t="shared" si="15"/>
        <v>0</v>
      </c>
      <c r="T97" s="428">
        <f t="shared" si="15"/>
        <v>0</v>
      </c>
      <c r="U97" s="428">
        <f t="shared" si="15"/>
        <v>1342.3605000000002</v>
      </c>
      <c r="V97" s="428">
        <f t="shared" si="15"/>
        <v>0</v>
      </c>
      <c r="W97" s="428">
        <f t="shared" si="15"/>
        <v>0</v>
      </c>
      <c r="X97" s="428">
        <f t="shared" si="15"/>
        <v>0</v>
      </c>
      <c r="Y97" s="428">
        <f t="shared" si="15"/>
        <v>0</v>
      </c>
      <c r="Z97" s="428">
        <f t="shared" si="15"/>
        <v>0</v>
      </c>
      <c r="AA97" s="428">
        <f t="shared" si="15"/>
        <v>0</v>
      </c>
      <c r="AB97" s="428">
        <f t="shared" si="15"/>
        <v>0</v>
      </c>
      <c r="AC97" s="428">
        <f t="shared" si="15"/>
        <v>0</v>
      </c>
      <c r="AD97" s="428">
        <f t="shared" si="15"/>
        <v>0</v>
      </c>
      <c r="AE97" s="428">
        <f t="shared" si="15"/>
        <v>0</v>
      </c>
      <c r="AF97" s="428">
        <f t="shared" si="15"/>
        <v>0</v>
      </c>
      <c r="AG97" s="428">
        <f t="shared" si="15"/>
        <v>0</v>
      </c>
      <c r="AH97" s="428">
        <f t="shared" si="15"/>
        <v>0</v>
      </c>
      <c r="AI97" s="428">
        <f t="shared" si="15"/>
        <v>0</v>
      </c>
      <c r="AJ97" s="428">
        <f t="shared" si="15"/>
        <v>0</v>
      </c>
      <c r="AK97" s="428">
        <f t="shared" si="15"/>
        <v>0</v>
      </c>
      <c r="AL97" s="428">
        <f t="shared" si="15"/>
        <v>0</v>
      </c>
      <c r="AM97" s="428">
        <f t="shared" si="15"/>
        <v>0</v>
      </c>
      <c r="AN97" s="428">
        <f t="shared" si="15"/>
        <v>0</v>
      </c>
      <c r="AO97" s="428">
        <f t="shared" si="15"/>
        <v>0</v>
      </c>
      <c r="AP97" s="428">
        <f t="shared" si="15"/>
        <v>0</v>
      </c>
    </row>
    <row r="98" spans="3:44" x14ac:dyDescent="0.25">
      <c r="E98" s="227"/>
      <c r="F98" s="180" t="s">
        <v>387</v>
      </c>
      <c r="G98" s="237" t="s">
        <v>124</v>
      </c>
      <c r="H98" s="431">
        <f t="shared" si="9"/>
        <v>2726.2816326829361</v>
      </c>
      <c r="I98" s="166"/>
      <c r="J98" s="431">
        <f t="shared" ref="J98:AP98" si="16">J31 * thousand * J60 / hundred</f>
        <v>0</v>
      </c>
      <c r="K98" s="431">
        <f t="shared" si="16"/>
        <v>0</v>
      </c>
      <c r="L98" s="431">
        <f t="shared" si="16"/>
        <v>0</v>
      </c>
      <c r="M98" s="431">
        <f t="shared" si="16"/>
        <v>0</v>
      </c>
      <c r="N98" s="431">
        <f t="shared" si="16"/>
        <v>0</v>
      </c>
      <c r="O98" s="431">
        <f t="shared" si="16"/>
        <v>0</v>
      </c>
      <c r="P98" s="431">
        <f t="shared" si="16"/>
        <v>0</v>
      </c>
      <c r="Q98" s="431">
        <f t="shared" si="16"/>
        <v>0</v>
      </c>
      <c r="R98" s="431">
        <f t="shared" si="16"/>
        <v>0</v>
      </c>
      <c r="S98" s="431">
        <f t="shared" si="16"/>
        <v>0</v>
      </c>
      <c r="T98" s="431">
        <f t="shared" si="16"/>
        <v>0</v>
      </c>
      <c r="U98" s="431">
        <f t="shared" si="16"/>
        <v>2726.2816326829361</v>
      </c>
      <c r="V98" s="431">
        <f t="shared" si="16"/>
        <v>0</v>
      </c>
      <c r="W98" s="431">
        <f t="shared" si="16"/>
        <v>0</v>
      </c>
      <c r="X98" s="431">
        <f t="shared" si="16"/>
        <v>0</v>
      </c>
      <c r="Y98" s="431">
        <f t="shared" si="16"/>
        <v>0</v>
      </c>
      <c r="Z98" s="431">
        <f t="shared" si="16"/>
        <v>0</v>
      </c>
      <c r="AA98" s="431">
        <f t="shared" si="16"/>
        <v>0</v>
      </c>
      <c r="AB98" s="431">
        <f t="shared" si="16"/>
        <v>0</v>
      </c>
      <c r="AC98" s="431">
        <f t="shared" si="16"/>
        <v>0</v>
      </c>
      <c r="AD98" s="431">
        <f t="shared" si="16"/>
        <v>0</v>
      </c>
      <c r="AE98" s="431">
        <f t="shared" si="16"/>
        <v>0</v>
      </c>
      <c r="AF98" s="431">
        <f t="shared" si="16"/>
        <v>0</v>
      </c>
      <c r="AG98" s="431">
        <f t="shared" si="16"/>
        <v>0</v>
      </c>
      <c r="AH98" s="431">
        <f t="shared" si="16"/>
        <v>0</v>
      </c>
      <c r="AI98" s="431">
        <f t="shared" si="16"/>
        <v>0</v>
      </c>
      <c r="AJ98" s="431">
        <f t="shared" si="16"/>
        <v>0</v>
      </c>
      <c r="AK98" s="431">
        <f t="shared" si="16"/>
        <v>0</v>
      </c>
      <c r="AL98" s="431">
        <f t="shared" si="16"/>
        <v>0</v>
      </c>
      <c r="AM98" s="431">
        <f t="shared" si="16"/>
        <v>0</v>
      </c>
      <c r="AN98" s="431">
        <f t="shared" si="16"/>
        <v>0</v>
      </c>
      <c r="AO98" s="431">
        <f t="shared" si="16"/>
        <v>0</v>
      </c>
      <c r="AP98" s="431">
        <f t="shared" si="16"/>
        <v>0</v>
      </c>
    </row>
    <row r="99" spans="3:44" x14ac:dyDescent="0.25">
      <c r="E99" s="227"/>
      <c r="F99" s="125" t="s">
        <v>128</v>
      </c>
      <c r="G99" s="294" t="s">
        <v>124</v>
      </c>
      <c r="H99" s="434">
        <f>SUM(H92:H98)</f>
        <v>1284278.6867846556</v>
      </c>
      <c r="I99" s="138"/>
      <c r="J99" s="434">
        <f t="shared" ref="J99:AP99" si="17">SUM(J92:J98)</f>
        <v>790004.05299272249</v>
      </c>
      <c r="K99" s="434">
        <f t="shared" si="17"/>
        <v>63110.837029185015</v>
      </c>
      <c r="L99" s="434">
        <f t="shared" si="17"/>
        <v>0</v>
      </c>
      <c r="M99" s="434">
        <f t="shared" si="17"/>
        <v>120116.29666904309</v>
      </c>
      <c r="N99" s="434">
        <f t="shared" si="17"/>
        <v>2404.2484457764131</v>
      </c>
      <c r="O99" s="434">
        <f t="shared" si="17"/>
        <v>0</v>
      </c>
      <c r="P99" s="434">
        <f t="shared" si="17"/>
        <v>5268.8914670905988</v>
      </c>
      <c r="Q99" s="434">
        <f t="shared" si="17"/>
        <v>0</v>
      </c>
      <c r="R99" s="434">
        <f t="shared" si="17"/>
        <v>0</v>
      </c>
      <c r="S99" s="434">
        <f t="shared" si="17"/>
        <v>72.185241178432321</v>
      </c>
      <c r="T99" s="434">
        <f t="shared" si="17"/>
        <v>6374.0806853447266</v>
      </c>
      <c r="U99" s="434">
        <f t="shared" si="17"/>
        <v>290133.20417160401</v>
      </c>
      <c r="V99" s="434">
        <f t="shared" si="17"/>
        <v>0</v>
      </c>
      <c r="W99" s="434">
        <f t="shared" si="17"/>
        <v>0</v>
      </c>
      <c r="X99" s="434">
        <f t="shared" si="17"/>
        <v>0</v>
      </c>
      <c r="Y99" s="434">
        <f t="shared" si="17"/>
        <v>963.16607263116578</v>
      </c>
      <c r="Z99" s="434">
        <f t="shared" si="17"/>
        <v>2183.8732300000011</v>
      </c>
      <c r="AA99" s="434">
        <f t="shared" si="17"/>
        <v>0</v>
      </c>
      <c r="AB99" s="434">
        <f t="shared" si="17"/>
        <v>5670.7502126851832</v>
      </c>
      <c r="AC99" s="434">
        <f t="shared" si="17"/>
        <v>-2022.8994326054592</v>
      </c>
      <c r="AD99" s="434">
        <f t="shared" si="17"/>
        <v>0</v>
      </c>
      <c r="AE99" s="434">
        <f t="shared" si="17"/>
        <v>0</v>
      </c>
      <c r="AF99" s="434">
        <f t="shared" si="17"/>
        <v>0</v>
      </c>
      <c r="AG99" s="434">
        <f t="shared" si="17"/>
        <v>0</v>
      </c>
      <c r="AH99" s="434">
        <f t="shared" si="17"/>
        <v>0</v>
      </c>
      <c r="AI99" s="434">
        <f t="shared" si="17"/>
        <v>0</v>
      </c>
      <c r="AJ99" s="434">
        <f t="shared" si="17"/>
        <v>0</v>
      </c>
      <c r="AK99" s="434">
        <f t="shared" si="17"/>
        <v>0</v>
      </c>
      <c r="AL99" s="434">
        <f t="shared" si="17"/>
        <v>0</v>
      </c>
      <c r="AM99" s="434">
        <f t="shared" si="17"/>
        <v>0</v>
      </c>
      <c r="AN99" s="434">
        <f t="shared" si="17"/>
        <v>0</v>
      </c>
      <c r="AO99" s="434">
        <f t="shared" si="17"/>
        <v>0</v>
      </c>
      <c r="AP99" s="434">
        <f t="shared" si="17"/>
        <v>0</v>
      </c>
    </row>
    <row r="100" spans="3:44" x14ac:dyDescent="0.25">
      <c r="E100" s="227"/>
      <c r="G100" s="194"/>
      <c r="H100" s="416"/>
      <c r="J100" s="416"/>
      <c r="K100" s="416"/>
      <c r="L100" s="416"/>
      <c r="M100" s="416"/>
      <c r="N100" s="416"/>
      <c r="O100" s="416"/>
      <c r="P100" s="416"/>
      <c r="Q100" s="416"/>
      <c r="R100" s="416"/>
      <c r="S100" s="416"/>
      <c r="T100" s="416"/>
      <c r="U100" s="416"/>
      <c r="V100" s="416"/>
      <c r="W100" s="416"/>
      <c r="X100" s="416"/>
      <c r="Y100" s="416"/>
      <c r="Z100" s="416"/>
      <c r="AA100" s="416"/>
      <c r="AB100" s="416"/>
      <c r="AC100" s="416"/>
      <c r="AD100" s="416"/>
      <c r="AE100" s="416"/>
      <c r="AF100" s="416"/>
      <c r="AG100" s="416"/>
      <c r="AH100" s="416"/>
      <c r="AI100" s="416"/>
      <c r="AJ100" s="416"/>
      <c r="AK100" s="416"/>
      <c r="AL100" s="416"/>
      <c r="AM100" s="416"/>
      <c r="AN100" s="416"/>
      <c r="AO100" s="416"/>
      <c r="AP100" s="416"/>
    </row>
    <row r="101" spans="3:44" x14ac:dyDescent="0.25">
      <c r="E101" s="261" t="s">
        <v>1184</v>
      </c>
      <c r="G101" s="194"/>
      <c r="H101" s="463" t="s">
        <v>345</v>
      </c>
      <c r="J101" s="416"/>
      <c r="K101" s="416"/>
      <c r="L101" s="416"/>
      <c r="M101" s="416"/>
      <c r="N101" s="416"/>
      <c r="O101" s="416"/>
      <c r="P101" s="416"/>
      <c r="Q101" s="416"/>
      <c r="R101" s="416"/>
      <c r="S101" s="416"/>
      <c r="T101" s="416"/>
      <c r="U101" s="416"/>
      <c r="V101" s="416"/>
      <c r="W101" s="416"/>
      <c r="X101" s="416"/>
      <c r="Y101" s="416"/>
      <c r="Z101" s="416"/>
      <c r="AA101" s="416"/>
      <c r="AB101" s="416"/>
      <c r="AC101" s="416"/>
      <c r="AD101" s="416"/>
      <c r="AE101" s="416"/>
      <c r="AF101" s="416"/>
      <c r="AG101" s="416"/>
      <c r="AH101" s="416"/>
      <c r="AI101" s="416"/>
      <c r="AJ101" s="416"/>
      <c r="AK101" s="416"/>
      <c r="AL101" s="416"/>
      <c r="AM101" s="416"/>
      <c r="AN101" s="416"/>
      <c r="AO101" s="416"/>
      <c r="AP101" s="416"/>
    </row>
    <row r="102" spans="3:44" x14ac:dyDescent="0.25">
      <c r="C102" s="161"/>
      <c r="F102" s="180" t="s">
        <v>151</v>
      </c>
      <c r="G102" s="237" t="s">
        <v>124</v>
      </c>
      <c r="H102" s="431">
        <f t="shared" ref="H102:H108" si="18">SUM(J102:AP102)</f>
        <v>1872758.7808195015</v>
      </c>
      <c r="I102" s="166"/>
      <c r="J102" s="431">
        <f t="shared" ref="J102:AP102" si="19">J34 * thousand * J63 / hundred</f>
        <v>1074272.90416066</v>
      </c>
      <c r="K102" s="431">
        <f t="shared" si="19"/>
        <v>103202.09051766219</v>
      </c>
      <c r="L102" s="431">
        <f t="shared" si="19"/>
        <v>3827.7774390128889</v>
      </c>
      <c r="M102" s="431">
        <f t="shared" si="19"/>
        <v>195869.0744179257</v>
      </c>
      <c r="N102" s="431">
        <f t="shared" si="19"/>
        <v>6606.9051047275179</v>
      </c>
      <c r="O102" s="431">
        <f t="shared" si="19"/>
        <v>0</v>
      </c>
      <c r="P102" s="431">
        <f t="shared" si="19"/>
        <v>8859.2480986639875</v>
      </c>
      <c r="Q102" s="431">
        <f t="shared" si="19"/>
        <v>0</v>
      </c>
      <c r="R102" s="431">
        <f t="shared" si="19"/>
        <v>0</v>
      </c>
      <c r="S102" s="431">
        <f t="shared" si="19"/>
        <v>8.3505026494514265</v>
      </c>
      <c r="T102" s="431">
        <f t="shared" si="19"/>
        <v>2379.0229542910479</v>
      </c>
      <c r="U102" s="431">
        <f t="shared" si="19"/>
        <v>225973.74653861835</v>
      </c>
      <c r="V102" s="431">
        <f t="shared" si="19"/>
        <v>294342.83628972626</v>
      </c>
      <c r="W102" s="431">
        <f t="shared" si="19"/>
        <v>25365.435366965699</v>
      </c>
      <c r="X102" s="431">
        <f t="shared" si="19"/>
        <v>680.58051034696473</v>
      </c>
      <c r="Y102" s="431">
        <f t="shared" si="19"/>
        <v>6437.6314675127096</v>
      </c>
      <c r="Z102" s="431">
        <f t="shared" si="19"/>
        <v>15.17328</v>
      </c>
      <c r="AA102" s="431">
        <f t="shared" si="19"/>
        <v>0</v>
      </c>
      <c r="AB102" s="431">
        <f t="shared" si="19"/>
        <v>0</v>
      </c>
      <c r="AC102" s="431">
        <f t="shared" si="19"/>
        <v>0</v>
      </c>
      <c r="AD102" s="431">
        <f t="shared" si="19"/>
        <v>0</v>
      </c>
      <c r="AE102" s="431">
        <f t="shared" si="19"/>
        <v>-87.043732133333336</v>
      </c>
      <c r="AF102" s="431">
        <f t="shared" si="19"/>
        <v>0</v>
      </c>
      <c r="AG102" s="431">
        <f t="shared" si="19"/>
        <v>-74994.952097127927</v>
      </c>
      <c r="AH102" s="431">
        <f t="shared" si="19"/>
        <v>0</v>
      </c>
      <c r="AI102" s="431">
        <f t="shared" si="19"/>
        <v>0</v>
      </c>
      <c r="AJ102" s="431">
        <f t="shared" si="19"/>
        <v>0</v>
      </c>
      <c r="AK102" s="431">
        <f t="shared" si="19"/>
        <v>0</v>
      </c>
      <c r="AL102" s="431">
        <f t="shared" si="19"/>
        <v>0</v>
      </c>
      <c r="AM102" s="431">
        <f t="shared" si="19"/>
        <v>0</v>
      </c>
      <c r="AN102" s="431">
        <f t="shared" si="19"/>
        <v>0</v>
      </c>
      <c r="AO102" s="431">
        <f t="shared" si="19"/>
        <v>0</v>
      </c>
      <c r="AP102" s="431">
        <f t="shared" si="19"/>
        <v>0</v>
      </c>
    </row>
    <row r="103" spans="3:44" x14ac:dyDescent="0.25">
      <c r="C103" s="161"/>
      <c r="F103" s="176" t="s">
        <v>152</v>
      </c>
      <c r="G103" s="238" t="s">
        <v>124</v>
      </c>
      <c r="H103" s="428">
        <f t="shared" si="18"/>
        <v>366877.03909596195</v>
      </c>
      <c r="I103" s="339"/>
      <c r="J103" s="428">
        <f t="shared" ref="J103:AP103" si="20">J35 * thousand * J64 / hundred</f>
        <v>0</v>
      </c>
      <c r="K103" s="428">
        <f t="shared" si="20"/>
        <v>13896.070469553111</v>
      </c>
      <c r="L103" s="428">
        <f t="shared" si="20"/>
        <v>0</v>
      </c>
      <c r="M103" s="428">
        <f t="shared" si="20"/>
        <v>0</v>
      </c>
      <c r="N103" s="428">
        <f t="shared" si="20"/>
        <v>405.88747306947249</v>
      </c>
      <c r="O103" s="428">
        <f t="shared" si="20"/>
        <v>0</v>
      </c>
      <c r="P103" s="428">
        <f t="shared" si="20"/>
        <v>869.9035947112676</v>
      </c>
      <c r="Q103" s="428">
        <f t="shared" si="20"/>
        <v>0</v>
      </c>
      <c r="R103" s="428">
        <f t="shared" si="20"/>
        <v>0</v>
      </c>
      <c r="S103" s="428">
        <f t="shared" si="20"/>
        <v>5.4033705725396519</v>
      </c>
      <c r="T103" s="428">
        <f t="shared" si="20"/>
        <v>2251.6158675593547</v>
      </c>
      <c r="U103" s="428">
        <f t="shared" si="20"/>
        <v>168486.55127367642</v>
      </c>
      <c r="V103" s="428">
        <f t="shared" si="20"/>
        <v>204188.11515112207</v>
      </c>
      <c r="W103" s="428">
        <f t="shared" si="20"/>
        <v>19304.526821443076</v>
      </c>
      <c r="X103" s="428">
        <f t="shared" si="20"/>
        <v>0</v>
      </c>
      <c r="Y103" s="428">
        <f t="shared" si="20"/>
        <v>0</v>
      </c>
      <c r="Z103" s="428">
        <f t="shared" si="20"/>
        <v>0</v>
      </c>
      <c r="AA103" s="428">
        <f t="shared" si="20"/>
        <v>0</v>
      </c>
      <c r="AB103" s="428">
        <f t="shared" si="20"/>
        <v>0</v>
      </c>
      <c r="AC103" s="428">
        <f t="shared" si="20"/>
        <v>0</v>
      </c>
      <c r="AD103" s="428">
        <f t="shared" si="20"/>
        <v>0</v>
      </c>
      <c r="AE103" s="428">
        <f t="shared" si="20"/>
        <v>0</v>
      </c>
      <c r="AF103" s="428">
        <f t="shared" si="20"/>
        <v>0</v>
      </c>
      <c r="AG103" s="428">
        <f t="shared" si="20"/>
        <v>-42531.034925745364</v>
      </c>
      <c r="AH103" s="428">
        <f t="shared" si="20"/>
        <v>0</v>
      </c>
      <c r="AI103" s="428">
        <f t="shared" si="20"/>
        <v>0</v>
      </c>
      <c r="AJ103" s="428">
        <f t="shared" si="20"/>
        <v>0</v>
      </c>
      <c r="AK103" s="428">
        <f t="shared" si="20"/>
        <v>0</v>
      </c>
      <c r="AL103" s="428">
        <f t="shared" si="20"/>
        <v>0</v>
      </c>
      <c r="AM103" s="428">
        <f t="shared" si="20"/>
        <v>0</v>
      </c>
      <c r="AN103" s="428">
        <f t="shared" si="20"/>
        <v>0</v>
      </c>
      <c r="AO103" s="428">
        <f t="shared" si="20"/>
        <v>0</v>
      </c>
      <c r="AP103" s="428">
        <f t="shared" si="20"/>
        <v>0</v>
      </c>
    </row>
    <row r="104" spans="3:44" x14ac:dyDescent="0.25">
      <c r="C104" s="161"/>
      <c r="F104" s="176" t="s">
        <v>153</v>
      </c>
      <c r="G104" s="238" t="s">
        <v>124</v>
      </c>
      <c r="H104" s="428">
        <f t="shared" si="18"/>
        <v>109030.03882422888</v>
      </c>
      <c r="I104" s="339"/>
      <c r="J104" s="428">
        <f t="shared" ref="J104:AP104" si="21">J36 * thousand * J65 / hundred</f>
        <v>0</v>
      </c>
      <c r="K104" s="428">
        <f t="shared" si="21"/>
        <v>0</v>
      </c>
      <c r="L104" s="428">
        <f t="shared" si="21"/>
        <v>0</v>
      </c>
      <c r="M104" s="428">
        <f t="shared" si="21"/>
        <v>0</v>
      </c>
      <c r="N104" s="428">
        <f t="shared" si="21"/>
        <v>0</v>
      </c>
      <c r="O104" s="428">
        <f t="shared" si="21"/>
        <v>0</v>
      </c>
      <c r="P104" s="428">
        <f t="shared" si="21"/>
        <v>0</v>
      </c>
      <c r="Q104" s="428">
        <f t="shared" si="21"/>
        <v>0</v>
      </c>
      <c r="R104" s="428">
        <f t="shared" si="21"/>
        <v>0</v>
      </c>
      <c r="S104" s="428">
        <f t="shared" si="21"/>
        <v>5.8049046341250303</v>
      </c>
      <c r="T104" s="428">
        <f t="shared" si="21"/>
        <v>241.60444030191329</v>
      </c>
      <c r="U104" s="428">
        <f t="shared" si="21"/>
        <v>35451.045011386479</v>
      </c>
      <c r="V104" s="428">
        <f t="shared" si="21"/>
        <v>64385.799397669027</v>
      </c>
      <c r="W104" s="428">
        <f t="shared" si="21"/>
        <v>10948.394487667671</v>
      </c>
      <c r="X104" s="428">
        <f t="shared" si="21"/>
        <v>0</v>
      </c>
      <c r="Y104" s="428">
        <f t="shared" si="21"/>
        <v>0</v>
      </c>
      <c r="Z104" s="428">
        <f t="shared" si="21"/>
        <v>0</v>
      </c>
      <c r="AA104" s="428">
        <f t="shared" si="21"/>
        <v>0</v>
      </c>
      <c r="AB104" s="428">
        <f t="shared" si="21"/>
        <v>0</v>
      </c>
      <c r="AC104" s="428">
        <f t="shared" si="21"/>
        <v>0</v>
      </c>
      <c r="AD104" s="428">
        <f t="shared" si="21"/>
        <v>0</v>
      </c>
      <c r="AE104" s="428">
        <f t="shared" si="21"/>
        <v>0</v>
      </c>
      <c r="AF104" s="428">
        <f t="shared" si="21"/>
        <v>0</v>
      </c>
      <c r="AG104" s="428">
        <f t="shared" si="21"/>
        <v>-2002.6094174303259</v>
      </c>
      <c r="AH104" s="428">
        <f t="shared" si="21"/>
        <v>0</v>
      </c>
      <c r="AI104" s="428">
        <f t="shared" si="21"/>
        <v>0</v>
      </c>
      <c r="AJ104" s="428">
        <f t="shared" si="21"/>
        <v>0</v>
      </c>
      <c r="AK104" s="428">
        <f t="shared" si="21"/>
        <v>0</v>
      </c>
      <c r="AL104" s="428">
        <f t="shared" si="21"/>
        <v>0</v>
      </c>
      <c r="AM104" s="428">
        <f t="shared" si="21"/>
        <v>0</v>
      </c>
      <c r="AN104" s="428">
        <f t="shared" si="21"/>
        <v>0</v>
      </c>
      <c r="AO104" s="428">
        <f t="shared" si="21"/>
        <v>0</v>
      </c>
      <c r="AP104" s="428">
        <f t="shared" si="21"/>
        <v>0</v>
      </c>
    </row>
    <row r="105" spans="3:44" x14ac:dyDescent="0.25">
      <c r="C105" s="161"/>
      <c r="F105" s="180" t="s">
        <v>384</v>
      </c>
      <c r="G105" s="237" t="s">
        <v>124</v>
      </c>
      <c r="H105" s="431">
        <f t="shared" si="18"/>
        <v>331671.56373866997</v>
      </c>
      <c r="I105" s="166"/>
      <c r="J105" s="431">
        <f t="shared" ref="J105:AP105" si="22" xml:space="preserve"> J37 * J66 * days_in_year / hundred</f>
        <v>273568.31119254627</v>
      </c>
      <c r="K105" s="431">
        <f t="shared" si="22"/>
        <v>21069.373787437809</v>
      </c>
      <c r="L105" s="431">
        <f t="shared" si="22"/>
        <v>0</v>
      </c>
      <c r="M105" s="431">
        <f t="shared" si="22"/>
        <v>18091.058021890247</v>
      </c>
      <c r="N105" s="431">
        <f t="shared" si="22"/>
        <v>623.45649974802132</v>
      </c>
      <c r="O105" s="431">
        <f t="shared" si="22"/>
        <v>0</v>
      </c>
      <c r="P105" s="431">
        <f t="shared" si="22"/>
        <v>909.45283870967751</v>
      </c>
      <c r="Q105" s="431">
        <f t="shared" si="22"/>
        <v>0</v>
      </c>
      <c r="R105" s="431">
        <f t="shared" si="22"/>
        <v>0</v>
      </c>
      <c r="S105" s="431">
        <f t="shared" si="22"/>
        <v>5.5479999999999992</v>
      </c>
      <c r="T105" s="431">
        <f t="shared" si="22"/>
        <v>99.86399999999999</v>
      </c>
      <c r="U105" s="431">
        <f t="shared" si="22"/>
        <v>8441.2819999999992</v>
      </c>
      <c r="V105" s="431">
        <f t="shared" si="22"/>
        <v>8010.7963983379013</v>
      </c>
      <c r="W105" s="431">
        <f t="shared" si="22"/>
        <v>852.42099999999994</v>
      </c>
      <c r="X105" s="431">
        <f t="shared" si="22"/>
        <v>0</v>
      </c>
      <c r="Y105" s="431">
        <f t="shared" si="22"/>
        <v>0</v>
      </c>
      <c r="Z105" s="431">
        <f t="shared" si="22"/>
        <v>0</v>
      </c>
      <c r="AA105" s="431">
        <f t="shared" si="22"/>
        <v>0</v>
      </c>
      <c r="AB105" s="431">
        <f t="shared" si="22"/>
        <v>0</v>
      </c>
      <c r="AC105" s="431">
        <f t="shared" si="22"/>
        <v>0</v>
      </c>
      <c r="AD105" s="431">
        <f t="shared" si="22"/>
        <v>0</v>
      </c>
      <c r="AE105" s="431">
        <f t="shared" si="22"/>
        <v>0</v>
      </c>
      <c r="AF105" s="431">
        <f t="shared" si="22"/>
        <v>0</v>
      </c>
      <c r="AG105" s="431">
        <f t="shared" si="22"/>
        <v>0</v>
      </c>
      <c r="AH105" s="431">
        <f t="shared" si="22"/>
        <v>0</v>
      </c>
      <c r="AI105" s="431">
        <f t="shared" si="22"/>
        <v>0</v>
      </c>
      <c r="AJ105" s="431">
        <f t="shared" si="22"/>
        <v>0</v>
      </c>
      <c r="AK105" s="431">
        <f t="shared" si="22"/>
        <v>0</v>
      </c>
      <c r="AL105" s="431">
        <f t="shared" si="22"/>
        <v>0</v>
      </c>
      <c r="AM105" s="431">
        <f t="shared" si="22"/>
        <v>0</v>
      </c>
      <c r="AN105" s="431">
        <f t="shared" si="22"/>
        <v>0</v>
      </c>
      <c r="AO105" s="431">
        <f t="shared" si="22"/>
        <v>0</v>
      </c>
      <c r="AP105" s="431">
        <f t="shared" si="22"/>
        <v>0</v>
      </c>
    </row>
    <row r="106" spans="3:44" x14ac:dyDescent="0.25">
      <c r="C106" s="161"/>
      <c r="F106" s="176" t="s">
        <v>385</v>
      </c>
      <c r="G106" s="238" t="s">
        <v>124</v>
      </c>
      <c r="H106" s="428">
        <f t="shared" si="18"/>
        <v>1249632.4134037076</v>
      </c>
      <c r="I106" s="339"/>
      <c r="J106" s="428">
        <f t="shared" ref="J106:AP106" si="23" xml:space="preserve"> J38 * J67 * days_in_year / hundred</f>
        <v>0</v>
      </c>
      <c r="K106" s="428">
        <f t="shared" si="23"/>
        <v>0</v>
      </c>
      <c r="L106" s="428">
        <f t="shared" si="23"/>
        <v>0</v>
      </c>
      <c r="M106" s="428">
        <f t="shared" si="23"/>
        <v>0</v>
      </c>
      <c r="N106" s="428">
        <f t="shared" si="23"/>
        <v>0</v>
      </c>
      <c r="O106" s="428">
        <f t="shared" si="23"/>
        <v>0</v>
      </c>
      <c r="P106" s="428">
        <f t="shared" si="23"/>
        <v>0</v>
      </c>
      <c r="Q106" s="428">
        <f t="shared" si="23"/>
        <v>0</v>
      </c>
      <c r="R106" s="428">
        <f t="shared" si="23"/>
        <v>0</v>
      </c>
      <c r="S106" s="428">
        <f t="shared" si="23"/>
        <v>0</v>
      </c>
      <c r="T106" s="428">
        <f t="shared" si="23"/>
        <v>0</v>
      </c>
      <c r="U106" s="428">
        <f t="shared" si="23"/>
        <v>323167.50401950709</v>
      </c>
      <c r="V106" s="428">
        <f t="shared" si="23"/>
        <v>859715.53438420058</v>
      </c>
      <c r="W106" s="428">
        <f t="shared" si="23"/>
        <v>66749.375</v>
      </c>
      <c r="X106" s="428">
        <f t="shared" si="23"/>
        <v>0</v>
      </c>
      <c r="Y106" s="428">
        <f t="shared" si="23"/>
        <v>0</v>
      </c>
      <c r="Z106" s="428">
        <f t="shared" si="23"/>
        <v>0</v>
      </c>
      <c r="AA106" s="428">
        <f t="shared" si="23"/>
        <v>0</v>
      </c>
      <c r="AB106" s="428">
        <f t="shared" si="23"/>
        <v>0</v>
      </c>
      <c r="AC106" s="428">
        <f t="shared" si="23"/>
        <v>0</v>
      </c>
      <c r="AD106" s="428">
        <f t="shared" si="23"/>
        <v>0</v>
      </c>
      <c r="AE106" s="428">
        <f t="shared" si="23"/>
        <v>0</v>
      </c>
      <c r="AF106" s="428">
        <f t="shared" si="23"/>
        <v>0</v>
      </c>
      <c r="AG106" s="428">
        <f t="shared" si="23"/>
        <v>0</v>
      </c>
      <c r="AH106" s="428">
        <f t="shared" si="23"/>
        <v>0</v>
      </c>
      <c r="AI106" s="428">
        <f t="shared" si="23"/>
        <v>0</v>
      </c>
      <c r="AJ106" s="428">
        <f t="shared" si="23"/>
        <v>0</v>
      </c>
      <c r="AK106" s="428">
        <f t="shared" si="23"/>
        <v>0</v>
      </c>
      <c r="AL106" s="428">
        <f t="shared" si="23"/>
        <v>0</v>
      </c>
      <c r="AM106" s="428">
        <f t="shared" si="23"/>
        <v>0</v>
      </c>
      <c r="AN106" s="428">
        <f t="shared" si="23"/>
        <v>0</v>
      </c>
      <c r="AO106" s="428">
        <f t="shared" si="23"/>
        <v>0</v>
      </c>
      <c r="AP106" s="428">
        <f t="shared" si="23"/>
        <v>0</v>
      </c>
    </row>
    <row r="107" spans="3:44" x14ac:dyDescent="0.25">
      <c r="C107" s="161"/>
      <c r="F107" s="176" t="s">
        <v>386</v>
      </c>
      <c r="G107" s="238" t="s">
        <v>124</v>
      </c>
      <c r="H107" s="428">
        <f t="shared" si="18"/>
        <v>450.3370000000001</v>
      </c>
      <c r="I107" s="339"/>
      <c r="J107" s="428">
        <f t="shared" ref="J107:AP107" si="24" xml:space="preserve"> J39 * J68 * days_in_year / hundred</f>
        <v>0</v>
      </c>
      <c r="K107" s="428">
        <f t="shared" si="24"/>
        <v>0</v>
      </c>
      <c r="L107" s="428">
        <f t="shared" si="24"/>
        <v>0</v>
      </c>
      <c r="M107" s="428">
        <f t="shared" si="24"/>
        <v>0</v>
      </c>
      <c r="N107" s="428">
        <f t="shared" si="24"/>
        <v>0</v>
      </c>
      <c r="O107" s="428">
        <f t="shared" si="24"/>
        <v>0</v>
      </c>
      <c r="P107" s="428">
        <f t="shared" si="24"/>
        <v>0</v>
      </c>
      <c r="Q107" s="428">
        <f t="shared" si="24"/>
        <v>0</v>
      </c>
      <c r="R107" s="428">
        <f t="shared" si="24"/>
        <v>0</v>
      </c>
      <c r="S107" s="428">
        <f t="shared" si="24"/>
        <v>0</v>
      </c>
      <c r="T107" s="428">
        <f t="shared" si="24"/>
        <v>0</v>
      </c>
      <c r="U107" s="428">
        <f t="shared" si="24"/>
        <v>450.3370000000001</v>
      </c>
      <c r="V107" s="428">
        <f t="shared" si="24"/>
        <v>0</v>
      </c>
      <c r="W107" s="428">
        <f t="shared" si="24"/>
        <v>0</v>
      </c>
      <c r="X107" s="428">
        <f t="shared" si="24"/>
        <v>0</v>
      </c>
      <c r="Y107" s="428">
        <f t="shared" si="24"/>
        <v>0</v>
      </c>
      <c r="Z107" s="428">
        <f t="shared" si="24"/>
        <v>0</v>
      </c>
      <c r="AA107" s="428">
        <f t="shared" si="24"/>
        <v>0</v>
      </c>
      <c r="AB107" s="428">
        <f t="shared" si="24"/>
        <v>0</v>
      </c>
      <c r="AC107" s="428">
        <f t="shared" si="24"/>
        <v>0</v>
      </c>
      <c r="AD107" s="428">
        <f t="shared" si="24"/>
        <v>0</v>
      </c>
      <c r="AE107" s="428">
        <f t="shared" si="24"/>
        <v>0</v>
      </c>
      <c r="AF107" s="428">
        <f t="shared" si="24"/>
        <v>0</v>
      </c>
      <c r="AG107" s="428">
        <f t="shared" si="24"/>
        <v>0</v>
      </c>
      <c r="AH107" s="428">
        <f t="shared" si="24"/>
        <v>0</v>
      </c>
      <c r="AI107" s="428">
        <f t="shared" si="24"/>
        <v>0</v>
      </c>
      <c r="AJ107" s="428">
        <f t="shared" si="24"/>
        <v>0</v>
      </c>
      <c r="AK107" s="428">
        <f t="shared" si="24"/>
        <v>0</v>
      </c>
      <c r="AL107" s="428">
        <f t="shared" si="24"/>
        <v>0</v>
      </c>
      <c r="AM107" s="428">
        <f t="shared" si="24"/>
        <v>0</v>
      </c>
      <c r="AN107" s="428">
        <f t="shared" si="24"/>
        <v>0</v>
      </c>
      <c r="AO107" s="428">
        <f t="shared" si="24"/>
        <v>0</v>
      </c>
      <c r="AP107" s="428">
        <f t="shared" si="24"/>
        <v>0</v>
      </c>
    </row>
    <row r="108" spans="3:44" x14ac:dyDescent="0.25">
      <c r="C108" s="161"/>
      <c r="F108" s="180" t="s">
        <v>387</v>
      </c>
      <c r="G108" s="237" t="s">
        <v>124</v>
      </c>
      <c r="H108" s="431">
        <f t="shared" si="18"/>
        <v>10034.067933082111</v>
      </c>
      <c r="I108" s="166"/>
      <c r="J108" s="431">
        <f t="shared" ref="J108:AP108" si="25">J40 * thousand * J69 / hundred</f>
        <v>0</v>
      </c>
      <c r="K108" s="431">
        <f t="shared" si="25"/>
        <v>0</v>
      </c>
      <c r="L108" s="431">
        <f t="shared" si="25"/>
        <v>0</v>
      </c>
      <c r="M108" s="431">
        <f t="shared" si="25"/>
        <v>0</v>
      </c>
      <c r="N108" s="431">
        <f t="shared" si="25"/>
        <v>0</v>
      </c>
      <c r="O108" s="431">
        <f t="shared" si="25"/>
        <v>0</v>
      </c>
      <c r="P108" s="431">
        <f t="shared" si="25"/>
        <v>0</v>
      </c>
      <c r="Q108" s="431">
        <f t="shared" si="25"/>
        <v>0</v>
      </c>
      <c r="R108" s="431">
        <f t="shared" si="25"/>
        <v>0</v>
      </c>
      <c r="S108" s="431">
        <f t="shared" si="25"/>
        <v>0</v>
      </c>
      <c r="T108" s="431">
        <f t="shared" si="25"/>
        <v>0</v>
      </c>
      <c r="U108" s="431">
        <f t="shared" si="25"/>
        <v>4228.6315640884659</v>
      </c>
      <c r="V108" s="431">
        <f t="shared" si="25"/>
        <v>5805.4363689936445</v>
      </c>
      <c r="W108" s="431">
        <f t="shared" si="25"/>
        <v>0</v>
      </c>
      <c r="X108" s="431">
        <f t="shared" si="25"/>
        <v>0</v>
      </c>
      <c r="Y108" s="431">
        <f t="shared" si="25"/>
        <v>0</v>
      </c>
      <c r="Z108" s="431">
        <f t="shared" si="25"/>
        <v>0</v>
      </c>
      <c r="AA108" s="431">
        <f t="shared" si="25"/>
        <v>0</v>
      </c>
      <c r="AB108" s="431">
        <f t="shared" si="25"/>
        <v>0</v>
      </c>
      <c r="AC108" s="431">
        <f t="shared" si="25"/>
        <v>0</v>
      </c>
      <c r="AD108" s="431">
        <f t="shared" si="25"/>
        <v>0</v>
      </c>
      <c r="AE108" s="431">
        <f t="shared" si="25"/>
        <v>0</v>
      </c>
      <c r="AF108" s="431">
        <f t="shared" si="25"/>
        <v>0</v>
      </c>
      <c r="AG108" s="431">
        <f t="shared" si="25"/>
        <v>0</v>
      </c>
      <c r="AH108" s="431">
        <f t="shared" si="25"/>
        <v>0</v>
      </c>
      <c r="AI108" s="431">
        <f t="shared" si="25"/>
        <v>0</v>
      </c>
      <c r="AJ108" s="431">
        <f t="shared" si="25"/>
        <v>0</v>
      </c>
      <c r="AK108" s="431">
        <f t="shared" si="25"/>
        <v>0</v>
      </c>
      <c r="AL108" s="431">
        <f t="shared" si="25"/>
        <v>0</v>
      </c>
      <c r="AM108" s="431">
        <f t="shared" si="25"/>
        <v>0</v>
      </c>
      <c r="AN108" s="431">
        <f t="shared" si="25"/>
        <v>0</v>
      </c>
      <c r="AO108" s="431">
        <f t="shared" si="25"/>
        <v>0</v>
      </c>
      <c r="AP108" s="431">
        <f t="shared" si="25"/>
        <v>0</v>
      </c>
    </row>
    <row r="109" spans="3:44" x14ac:dyDescent="0.25">
      <c r="C109" s="161"/>
      <c r="F109" s="125" t="s">
        <v>128</v>
      </c>
      <c r="G109" s="294" t="s">
        <v>124</v>
      </c>
      <c r="H109" s="434">
        <f>SUM(H102:H108)</f>
        <v>3940454.2408151515</v>
      </c>
      <c r="I109" s="138"/>
      <c r="J109" s="434">
        <f t="shared" ref="J109:AP109" si="26">SUM(J102:J108)</f>
        <v>1347841.2153532063</v>
      </c>
      <c r="K109" s="434">
        <f t="shared" si="26"/>
        <v>138167.53477465312</v>
      </c>
      <c r="L109" s="434">
        <f t="shared" si="26"/>
        <v>3827.7774390128889</v>
      </c>
      <c r="M109" s="434">
        <f t="shared" si="26"/>
        <v>213960.13243981596</v>
      </c>
      <c r="N109" s="434">
        <f t="shared" si="26"/>
        <v>7636.2490775450115</v>
      </c>
      <c r="O109" s="434">
        <f t="shared" si="26"/>
        <v>0</v>
      </c>
      <c r="P109" s="434">
        <f t="shared" si="26"/>
        <v>10638.604532084933</v>
      </c>
      <c r="Q109" s="434">
        <f t="shared" si="26"/>
        <v>0</v>
      </c>
      <c r="R109" s="434">
        <f t="shared" si="26"/>
        <v>0</v>
      </c>
      <c r="S109" s="434">
        <f t="shared" si="26"/>
        <v>25.106777856116107</v>
      </c>
      <c r="T109" s="434">
        <f t="shared" si="26"/>
        <v>4972.1072621523153</v>
      </c>
      <c r="U109" s="434">
        <f t="shared" si="26"/>
        <v>766199.09740727697</v>
      </c>
      <c r="V109" s="434">
        <f t="shared" si="26"/>
        <v>1436448.5179900497</v>
      </c>
      <c r="W109" s="434">
        <f t="shared" si="26"/>
        <v>123220.15267607645</v>
      </c>
      <c r="X109" s="434">
        <f t="shared" si="26"/>
        <v>680.58051034696473</v>
      </c>
      <c r="Y109" s="434">
        <f t="shared" si="26"/>
        <v>6437.6314675127096</v>
      </c>
      <c r="Z109" s="434">
        <f t="shared" si="26"/>
        <v>15.17328</v>
      </c>
      <c r="AA109" s="434">
        <f t="shared" si="26"/>
        <v>0</v>
      </c>
      <c r="AB109" s="434">
        <f t="shared" si="26"/>
        <v>0</v>
      </c>
      <c r="AC109" s="434">
        <f t="shared" si="26"/>
        <v>0</v>
      </c>
      <c r="AD109" s="434">
        <f t="shared" si="26"/>
        <v>0</v>
      </c>
      <c r="AE109" s="434">
        <f t="shared" si="26"/>
        <v>-87.043732133333336</v>
      </c>
      <c r="AF109" s="434">
        <f t="shared" si="26"/>
        <v>0</v>
      </c>
      <c r="AG109" s="434">
        <f t="shared" si="26"/>
        <v>-119528.59644030362</v>
      </c>
      <c r="AH109" s="434">
        <f t="shared" si="26"/>
        <v>0</v>
      </c>
      <c r="AI109" s="434">
        <f t="shared" si="26"/>
        <v>0</v>
      </c>
      <c r="AJ109" s="434">
        <f t="shared" si="26"/>
        <v>0</v>
      </c>
      <c r="AK109" s="434">
        <f t="shared" si="26"/>
        <v>0</v>
      </c>
      <c r="AL109" s="434">
        <f t="shared" si="26"/>
        <v>0</v>
      </c>
      <c r="AM109" s="434">
        <f t="shared" si="26"/>
        <v>0</v>
      </c>
      <c r="AN109" s="434">
        <f t="shared" si="26"/>
        <v>0</v>
      </c>
      <c r="AO109" s="434">
        <f t="shared" si="26"/>
        <v>0</v>
      </c>
      <c r="AP109" s="434">
        <f t="shared" si="26"/>
        <v>0</v>
      </c>
    </row>
    <row r="110" spans="3:44" x14ac:dyDescent="0.25">
      <c r="C110" s="161"/>
      <c r="D110" s="175"/>
      <c r="E110" s="175"/>
      <c r="G110" s="194"/>
      <c r="H110" s="416"/>
      <c r="J110" s="416"/>
      <c r="K110" s="416"/>
      <c r="L110" s="416"/>
      <c r="M110" s="416"/>
      <c r="N110" s="416"/>
      <c r="O110" s="416"/>
      <c r="P110" s="416"/>
      <c r="Q110" s="416"/>
      <c r="R110" s="416"/>
      <c r="S110" s="416"/>
      <c r="T110" s="416"/>
      <c r="U110" s="416"/>
      <c r="V110" s="416"/>
      <c r="W110" s="416"/>
      <c r="X110" s="416"/>
      <c r="Y110" s="416"/>
      <c r="Z110" s="416"/>
      <c r="AA110" s="416"/>
      <c r="AB110" s="416"/>
      <c r="AC110" s="416"/>
      <c r="AD110" s="416"/>
      <c r="AE110" s="416"/>
      <c r="AF110" s="416"/>
      <c r="AG110" s="416"/>
      <c r="AH110" s="416"/>
      <c r="AI110" s="416"/>
      <c r="AJ110" s="416"/>
      <c r="AK110" s="416"/>
      <c r="AL110" s="416"/>
      <c r="AM110" s="416"/>
      <c r="AN110" s="416"/>
      <c r="AO110" s="416"/>
      <c r="AP110" s="416"/>
    </row>
    <row r="111" spans="3:44" s="338" customFormat="1" x14ac:dyDescent="0.25">
      <c r="C111" s="22" t="str">
        <f ca="1">INDEX('Version control'!$H$34:$H$59,MATCH($A$1,'Version control'!$F$34:$F$59,0),1)&amp;"-E: Net revenue summary (for information only)"</f>
        <v>Section 520-E: Net revenue summary (for information only)</v>
      </c>
      <c r="D111" s="22"/>
      <c r="E111" s="22"/>
      <c r="F111" s="22"/>
      <c r="G111" s="22"/>
      <c r="H111" s="406"/>
      <c r="I111" s="22"/>
      <c r="J111" s="406"/>
      <c r="K111" s="406"/>
      <c r="L111" s="406"/>
      <c r="M111" s="406"/>
      <c r="N111" s="406"/>
      <c r="O111" s="406"/>
      <c r="P111" s="406"/>
      <c r="Q111" s="406"/>
      <c r="R111" s="406"/>
      <c r="S111" s="406"/>
      <c r="T111" s="406"/>
      <c r="U111" s="406"/>
      <c r="V111" s="406"/>
      <c r="W111" s="406"/>
      <c r="X111" s="406"/>
      <c r="Y111" s="406"/>
      <c r="Z111" s="406"/>
      <c r="AA111" s="406"/>
      <c r="AB111" s="406"/>
      <c r="AC111" s="406"/>
      <c r="AD111" s="406"/>
      <c r="AE111" s="406"/>
      <c r="AF111" s="406"/>
      <c r="AG111" s="406"/>
      <c r="AH111" s="406"/>
      <c r="AI111" s="406"/>
      <c r="AJ111" s="406"/>
      <c r="AK111" s="406"/>
      <c r="AL111" s="406"/>
      <c r="AM111" s="406"/>
      <c r="AN111" s="406"/>
      <c r="AO111" s="406"/>
      <c r="AP111" s="406"/>
      <c r="AQ111" s="22"/>
      <c r="AR111" s="22"/>
    </row>
    <row r="112" spans="3:44" s="338" customFormat="1" x14ac:dyDescent="0.25">
      <c r="F112" s="163"/>
      <c r="G112" s="293"/>
      <c r="H112" s="442"/>
      <c r="I112" s="163"/>
      <c r="J112" s="416"/>
      <c r="K112" s="416"/>
      <c r="L112" s="416"/>
      <c r="M112" s="416"/>
      <c r="N112" s="416"/>
      <c r="O112" s="416"/>
      <c r="P112" s="416"/>
      <c r="Q112" s="416"/>
      <c r="R112" s="416"/>
      <c r="S112" s="416"/>
      <c r="T112" s="416"/>
      <c r="U112" s="416"/>
      <c r="V112" s="416"/>
      <c r="W112" s="416"/>
      <c r="X112" s="416"/>
      <c r="Y112" s="416"/>
      <c r="Z112" s="416"/>
      <c r="AA112" s="416"/>
      <c r="AB112" s="416"/>
      <c r="AC112" s="416"/>
      <c r="AD112" s="416"/>
      <c r="AE112" s="416"/>
      <c r="AF112" s="416"/>
      <c r="AG112" s="416"/>
      <c r="AH112" s="416"/>
      <c r="AI112" s="416"/>
      <c r="AJ112" s="416"/>
      <c r="AK112" s="416"/>
      <c r="AL112" s="416"/>
      <c r="AM112" s="416"/>
      <c r="AN112" s="416"/>
      <c r="AO112" s="416"/>
      <c r="AP112" s="416"/>
    </row>
    <row r="113" spans="2:44" s="338" customFormat="1" x14ac:dyDescent="0.25">
      <c r="E113" s="176" t="s">
        <v>209</v>
      </c>
      <c r="F113" s="176"/>
      <c r="G113" s="238" t="s">
        <v>124</v>
      </c>
      <c r="H113" s="411">
        <f>H73</f>
        <v>514457124.88364506</v>
      </c>
      <c r="I113" s="339"/>
      <c r="J113" s="397"/>
      <c r="K113" s="397"/>
      <c r="L113" s="397"/>
      <c r="M113" s="397"/>
      <c r="N113" s="397"/>
      <c r="O113" s="397"/>
      <c r="P113" s="397"/>
      <c r="Q113" s="397"/>
      <c r="R113" s="397"/>
      <c r="S113" s="397"/>
      <c r="T113" s="397"/>
      <c r="U113" s="397"/>
      <c r="V113" s="397"/>
      <c r="W113" s="397"/>
      <c r="X113" s="397"/>
      <c r="Y113" s="397"/>
      <c r="Z113" s="397"/>
      <c r="AA113" s="397"/>
      <c r="AB113" s="397"/>
      <c r="AC113" s="397"/>
      <c r="AD113" s="397"/>
      <c r="AE113" s="397"/>
      <c r="AF113" s="397"/>
      <c r="AG113" s="397"/>
      <c r="AH113" s="397"/>
      <c r="AI113" s="397"/>
      <c r="AJ113" s="397"/>
      <c r="AK113" s="397"/>
      <c r="AL113" s="397"/>
      <c r="AM113" s="397"/>
      <c r="AN113" s="397"/>
      <c r="AO113" s="397"/>
      <c r="AP113" s="397"/>
    </row>
    <row r="114" spans="2:44" s="338" customFormat="1" x14ac:dyDescent="0.25">
      <c r="E114" s="176" t="s">
        <v>837</v>
      </c>
      <c r="F114" s="176"/>
      <c r="G114" s="238" t="s">
        <v>124</v>
      </c>
      <c r="H114" s="411">
        <f>H74</f>
        <v>424422031.31836885</v>
      </c>
      <c r="I114" s="339"/>
      <c r="J114" s="397"/>
      <c r="K114" s="397"/>
      <c r="L114" s="397"/>
      <c r="M114" s="397"/>
      <c r="N114" s="397"/>
      <c r="O114" s="397"/>
      <c r="P114" s="397"/>
      <c r="Q114" s="397"/>
      <c r="R114" s="397"/>
      <c r="S114" s="397"/>
      <c r="T114" s="397"/>
      <c r="U114" s="397"/>
      <c r="V114" s="397"/>
      <c r="W114" s="397"/>
      <c r="X114" s="397"/>
      <c r="Y114" s="397"/>
      <c r="Z114" s="397"/>
      <c r="AA114" s="397"/>
      <c r="AB114" s="397"/>
      <c r="AC114" s="397"/>
      <c r="AD114" s="397"/>
      <c r="AE114" s="397"/>
      <c r="AF114" s="397"/>
      <c r="AG114" s="397"/>
      <c r="AH114" s="397"/>
      <c r="AI114" s="397"/>
      <c r="AJ114" s="397"/>
      <c r="AK114" s="397"/>
      <c r="AL114" s="397"/>
      <c r="AM114" s="397"/>
      <c r="AN114" s="397"/>
      <c r="AO114" s="397"/>
      <c r="AP114" s="397"/>
    </row>
    <row r="115" spans="2:44" s="338" customFormat="1" x14ac:dyDescent="0.25">
      <c r="E115" s="176" t="s">
        <v>838</v>
      </c>
      <c r="F115" s="176"/>
      <c r="G115" s="238" t="s">
        <v>124</v>
      </c>
      <c r="H115" s="411">
        <f>H75-'Net revenue summary'!H114</f>
        <v>90035093.565276265</v>
      </c>
      <c r="I115" s="339"/>
      <c r="J115" s="397"/>
      <c r="K115" s="397"/>
      <c r="L115" s="397"/>
      <c r="M115" s="397"/>
      <c r="N115" s="397"/>
      <c r="O115" s="397"/>
      <c r="P115" s="397"/>
      <c r="Q115" s="397"/>
      <c r="R115" s="397"/>
      <c r="S115" s="397"/>
      <c r="T115" s="397"/>
      <c r="U115" s="397"/>
      <c r="V115" s="397"/>
      <c r="W115" s="397"/>
      <c r="X115" s="397"/>
      <c r="Y115" s="397"/>
      <c r="Z115" s="397"/>
      <c r="AA115" s="397"/>
      <c r="AB115" s="397"/>
      <c r="AC115" s="397"/>
      <c r="AD115" s="397"/>
      <c r="AE115" s="397"/>
      <c r="AF115" s="397"/>
      <c r="AG115" s="397"/>
      <c r="AH115" s="397"/>
      <c r="AI115" s="397"/>
      <c r="AJ115" s="397"/>
      <c r="AK115" s="397"/>
      <c r="AL115" s="397"/>
      <c r="AM115" s="397"/>
      <c r="AN115" s="397"/>
      <c r="AO115" s="397"/>
      <c r="AP115" s="397"/>
    </row>
    <row r="116" spans="2:44" s="338" customFormat="1" x14ac:dyDescent="0.25">
      <c r="E116" s="176" t="s">
        <v>839</v>
      </c>
      <c r="F116" s="176"/>
      <c r="G116" s="238" t="s">
        <v>124</v>
      </c>
      <c r="H116" s="411">
        <f>SUM(H89,H99,H109) - SUM(H114:H115)</f>
        <v>62483.201344430447</v>
      </c>
      <c r="I116" s="339"/>
      <c r="J116" s="397"/>
      <c r="K116" s="397"/>
      <c r="L116" s="397"/>
      <c r="M116" s="397"/>
      <c r="N116" s="397"/>
      <c r="O116" s="397"/>
      <c r="P116" s="397"/>
      <c r="Q116" s="397"/>
      <c r="R116" s="397"/>
      <c r="S116" s="397"/>
      <c r="T116" s="397"/>
      <c r="U116" s="397"/>
      <c r="V116" s="397"/>
      <c r="W116" s="397"/>
      <c r="X116" s="397"/>
      <c r="Y116" s="397"/>
      <c r="Z116" s="397"/>
      <c r="AA116" s="397"/>
      <c r="AB116" s="397"/>
      <c r="AC116" s="397"/>
      <c r="AD116" s="397"/>
      <c r="AE116" s="397"/>
      <c r="AF116" s="397"/>
      <c r="AG116" s="397"/>
      <c r="AH116" s="397"/>
      <c r="AI116" s="397"/>
      <c r="AJ116" s="397"/>
      <c r="AK116" s="397"/>
      <c r="AL116" s="397"/>
      <c r="AM116" s="397"/>
      <c r="AN116" s="397"/>
      <c r="AO116" s="397"/>
      <c r="AP116" s="397"/>
    </row>
    <row r="117" spans="2:44" s="338" customFormat="1" x14ac:dyDescent="0.25">
      <c r="E117" s="125" t="s">
        <v>841</v>
      </c>
      <c r="F117" s="125"/>
      <c r="G117" s="294" t="s">
        <v>124</v>
      </c>
      <c r="H117" s="464">
        <f>SUM(H114:H116)</f>
        <v>514519608.08498955</v>
      </c>
      <c r="I117" s="339"/>
      <c r="J117" s="397"/>
      <c r="K117" s="397"/>
      <c r="L117" s="397"/>
      <c r="M117" s="397"/>
      <c r="N117" s="397"/>
      <c r="O117" s="397"/>
      <c r="P117" s="397"/>
      <c r="Q117" s="397"/>
      <c r="R117" s="397"/>
      <c r="S117" s="397"/>
      <c r="T117" s="397"/>
      <c r="U117" s="397"/>
      <c r="V117" s="397"/>
      <c r="W117" s="397"/>
      <c r="X117" s="397"/>
      <c r="Y117" s="397"/>
      <c r="Z117" s="397"/>
      <c r="AA117" s="397"/>
      <c r="AB117" s="397"/>
      <c r="AC117" s="397"/>
      <c r="AD117" s="397"/>
      <c r="AE117" s="397"/>
      <c r="AF117" s="397"/>
      <c r="AG117" s="397"/>
      <c r="AH117" s="397"/>
      <c r="AI117" s="397"/>
      <c r="AJ117" s="397"/>
      <c r="AK117" s="397"/>
      <c r="AL117" s="397"/>
      <c r="AM117" s="397"/>
      <c r="AN117" s="397"/>
      <c r="AO117" s="397"/>
      <c r="AP117" s="397"/>
    </row>
    <row r="118" spans="2:44" s="338" customFormat="1" x14ac:dyDescent="0.25">
      <c r="E118" s="176"/>
      <c r="F118" s="176"/>
      <c r="G118" s="238"/>
      <c r="H118" s="397"/>
      <c r="I118" s="339"/>
      <c r="J118" s="397"/>
      <c r="K118" s="397"/>
      <c r="L118" s="397"/>
      <c r="M118" s="397"/>
      <c r="N118" s="397"/>
      <c r="O118" s="397"/>
      <c r="P118" s="397"/>
      <c r="Q118" s="397"/>
      <c r="R118" s="397"/>
      <c r="S118" s="397"/>
      <c r="T118" s="397"/>
      <c r="U118" s="397"/>
      <c r="V118" s="397"/>
      <c r="W118" s="397"/>
      <c r="X118" s="397"/>
      <c r="Y118" s="397"/>
      <c r="Z118" s="397"/>
      <c r="AA118" s="397"/>
      <c r="AB118" s="397"/>
      <c r="AC118" s="397"/>
      <c r="AD118" s="397"/>
      <c r="AE118" s="397"/>
      <c r="AF118" s="397"/>
      <c r="AG118" s="397"/>
      <c r="AH118" s="397"/>
      <c r="AI118" s="397"/>
      <c r="AJ118" s="397"/>
      <c r="AK118" s="397"/>
      <c r="AL118" s="397"/>
      <c r="AM118" s="397"/>
      <c r="AN118" s="397"/>
      <c r="AO118" s="397"/>
      <c r="AP118" s="397"/>
    </row>
    <row r="119" spans="2:44" s="338" customFormat="1" x14ac:dyDescent="0.25">
      <c r="E119" s="176" t="s">
        <v>840</v>
      </c>
      <c r="F119" s="176"/>
      <c r="G119" s="238" t="s">
        <v>124</v>
      </c>
      <c r="H119" s="411">
        <f>H117 - H113</f>
        <v>62483.201344490051</v>
      </c>
      <c r="I119" s="339"/>
      <c r="J119" s="397"/>
      <c r="K119" s="397"/>
      <c r="L119" s="397"/>
      <c r="M119" s="397"/>
      <c r="N119" s="397"/>
      <c r="O119" s="397"/>
      <c r="P119" s="397"/>
      <c r="Q119" s="397"/>
      <c r="R119" s="397"/>
      <c r="S119" s="397"/>
      <c r="T119" s="397"/>
      <c r="U119" s="397"/>
      <c r="V119" s="397"/>
      <c r="W119" s="397"/>
      <c r="X119" s="397"/>
      <c r="Y119" s="397"/>
      <c r="Z119" s="397"/>
      <c r="AA119" s="397"/>
      <c r="AB119" s="397"/>
      <c r="AC119" s="397"/>
      <c r="AD119" s="397"/>
      <c r="AE119" s="397"/>
      <c r="AF119" s="397"/>
      <c r="AG119" s="397"/>
      <c r="AH119" s="397"/>
      <c r="AI119" s="397"/>
      <c r="AJ119" s="397"/>
      <c r="AK119" s="397"/>
      <c r="AL119" s="397"/>
      <c r="AM119" s="397"/>
      <c r="AN119" s="397"/>
      <c r="AO119" s="397"/>
      <c r="AP119" s="397"/>
    </row>
    <row r="120" spans="2:44" s="338" customFormat="1" x14ac:dyDescent="0.25">
      <c r="E120" s="176" t="s">
        <v>840</v>
      </c>
      <c r="F120" s="176"/>
      <c r="G120" s="238" t="s">
        <v>111</v>
      </c>
      <c r="H120" s="411">
        <f>(H117 - H113) / H113</f>
        <v>1.2145463309235322E-4</v>
      </c>
      <c r="I120" s="339"/>
      <c r="J120" s="397"/>
      <c r="K120" s="397"/>
      <c r="L120" s="397"/>
      <c r="M120" s="397"/>
      <c r="N120" s="397"/>
      <c r="O120" s="397"/>
      <c r="P120" s="397"/>
      <c r="Q120" s="397"/>
      <c r="R120" s="397"/>
      <c r="S120" s="397"/>
      <c r="T120" s="397"/>
      <c r="U120" s="397"/>
      <c r="V120" s="397"/>
      <c r="W120" s="397"/>
      <c r="X120" s="397"/>
      <c r="Y120" s="397"/>
      <c r="Z120" s="397"/>
      <c r="AA120" s="397"/>
      <c r="AB120" s="397"/>
      <c r="AC120" s="397"/>
      <c r="AD120" s="397"/>
      <c r="AE120" s="397"/>
      <c r="AF120" s="397"/>
      <c r="AG120" s="397"/>
      <c r="AH120" s="397"/>
      <c r="AI120" s="397"/>
      <c r="AJ120" s="397"/>
      <c r="AK120" s="397"/>
      <c r="AL120" s="397"/>
      <c r="AM120" s="397"/>
      <c r="AN120" s="397"/>
      <c r="AO120" s="397"/>
      <c r="AP120" s="397"/>
    </row>
    <row r="121" spans="2:44" s="338" customFormat="1" x14ac:dyDescent="0.25">
      <c r="C121" s="161"/>
      <c r="D121" s="175"/>
      <c r="E121" s="175"/>
      <c r="G121" s="194"/>
      <c r="J121" s="416"/>
      <c r="K121" s="416"/>
      <c r="L121" s="416"/>
      <c r="M121" s="416"/>
      <c r="N121" s="416"/>
      <c r="O121" s="416"/>
      <c r="P121" s="416"/>
      <c r="Q121" s="416"/>
      <c r="R121" s="416"/>
      <c r="S121" s="416"/>
      <c r="T121" s="416"/>
      <c r="U121" s="416"/>
      <c r="V121" s="416"/>
      <c r="W121" s="416"/>
      <c r="X121" s="416"/>
      <c r="Y121" s="416"/>
      <c r="Z121" s="416"/>
      <c r="AA121" s="416"/>
      <c r="AB121" s="416"/>
      <c r="AC121" s="416"/>
      <c r="AD121" s="416"/>
      <c r="AE121" s="416"/>
      <c r="AF121" s="416"/>
      <c r="AG121" s="416"/>
      <c r="AH121" s="416"/>
      <c r="AI121" s="416"/>
      <c r="AJ121" s="416"/>
      <c r="AK121" s="416"/>
      <c r="AL121" s="416"/>
      <c r="AM121" s="416"/>
      <c r="AN121" s="416"/>
      <c r="AO121" s="416"/>
      <c r="AP121" s="416"/>
    </row>
    <row r="122" spans="2:44" s="338" customFormat="1" x14ac:dyDescent="0.25">
      <c r="C122" s="22" t="str">
        <f ca="1">INDEX('Version control'!$H$34:$H$59,MATCH($A$1,'Version control'!$F$34:$F$59,0),1)&amp;"-F: Typical bills"</f>
        <v>Section 520-F: Typical bills</v>
      </c>
      <c r="D122" s="22"/>
      <c r="E122" s="22"/>
      <c r="F122" s="22"/>
      <c r="G122" s="22"/>
      <c r="H122" s="22"/>
      <c r="I122" s="22"/>
      <c r="J122" s="406"/>
      <c r="K122" s="406"/>
      <c r="L122" s="406"/>
      <c r="M122" s="406"/>
      <c r="N122" s="406"/>
      <c r="O122" s="406"/>
      <c r="P122" s="406"/>
      <c r="Q122" s="406"/>
      <c r="R122" s="406"/>
      <c r="S122" s="406"/>
      <c r="T122" s="406"/>
      <c r="U122" s="406"/>
      <c r="V122" s="406"/>
      <c r="W122" s="406"/>
      <c r="X122" s="406"/>
      <c r="Y122" s="406"/>
      <c r="Z122" s="406"/>
      <c r="AA122" s="406"/>
      <c r="AB122" s="406"/>
      <c r="AC122" s="406"/>
      <c r="AD122" s="406"/>
      <c r="AE122" s="406"/>
      <c r="AF122" s="406"/>
      <c r="AG122" s="406"/>
      <c r="AH122" s="406"/>
      <c r="AI122" s="406"/>
      <c r="AJ122" s="406"/>
      <c r="AK122" s="406"/>
      <c r="AL122" s="406"/>
      <c r="AM122" s="406"/>
      <c r="AN122" s="406"/>
      <c r="AO122" s="406"/>
      <c r="AP122" s="406"/>
      <c r="AQ122" s="22"/>
      <c r="AR122" s="22"/>
    </row>
    <row r="123" spans="2:44" x14ac:dyDescent="0.25">
      <c r="F123" s="163"/>
      <c r="G123" s="293"/>
      <c r="H123" s="163"/>
      <c r="I123" s="163"/>
      <c r="J123" s="416"/>
      <c r="K123" s="416"/>
      <c r="L123" s="416"/>
      <c r="M123" s="416"/>
      <c r="N123" s="416"/>
      <c r="O123" s="416"/>
      <c r="P123" s="416"/>
      <c r="Q123" s="416"/>
      <c r="R123" s="416"/>
      <c r="S123" s="416"/>
      <c r="T123" s="416"/>
      <c r="U123" s="416"/>
      <c r="V123" s="416"/>
      <c r="W123" s="416"/>
      <c r="X123" s="416"/>
      <c r="Y123" s="416"/>
      <c r="Z123" s="416"/>
      <c r="AA123" s="416"/>
      <c r="AB123" s="416"/>
      <c r="AC123" s="416"/>
      <c r="AD123" s="416"/>
      <c r="AE123" s="416"/>
      <c r="AF123" s="416"/>
      <c r="AG123" s="416"/>
      <c r="AH123" s="416"/>
      <c r="AI123" s="416"/>
      <c r="AJ123" s="416"/>
      <c r="AK123" s="416"/>
      <c r="AL123" s="416"/>
      <c r="AM123" s="416"/>
      <c r="AN123" s="416"/>
      <c r="AO123" s="416"/>
      <c r="AP123" s="416"/>
    </row>
    <row r="124" spans="2:44" x14ac:dyDescent="0.25">
      <c r="E124" s="176" t="s">
        <v>700</v>
      </c>
      <c r="F124" s="176"/>
      <c r="G124" s="238" t="s">
        <v>928</v>
      </c>
      <c r="H124" s="167" t="s">
        <v>391</v>
      </c>
      <c r="I124" s="167"/>
      <c r="J124" s="397">
        <f t="shared" ref="J124:AP124" si="27" xml:space="preserve"> IF( J19 &lt;&gt; 0, J89 / J19, "")</f>
        <v>83.318979038072314</v>
      </c>
      <c r="K124" s="397">
        <f t="shared" si="27"/>
        <v>105.07340529918203</v>
      </c>
      <c r="L124" s="397">
        <f t="shared" si="27"/>
        <v>23.802914211631819</v>
      </c>
      <c r="M124" s="397">
        <f t="shared" si="27"/>
        <v>265.2316196125546</v>
      </c>
      <c r="N124" s="397">
        <f t="shared" si="27"/>
        <v>445.51874393241934</v>
      </c>
      <c r="O124" s="397">
        <f t="shared" si="27"/>
        <v>50.475387553870995</v>
      </c>
      <c r="P124" s="397">
        <f t="shared" si="27"/>
        <v>1205.7626540067236</v>
      </c>
      <c r="Q124" s="397" t="str">
        <f t="shared" si="27"/>
        <v/>
      </c>
      <c r="R124" s="397">
        <f t="shared" si="27"/>
        <v>1665.5384750396299</v>
      </c>
      <c r="S124" s="397">
        <f t="shared" si="27"/>
        <v>119.70236451690202</v>
      </c>
      <c r="T124" s="397">
        <f t="shared" si="27"/>
        <v>1437.689704768469</v>
      </c>
      <c r="U124" s="397">
        <f t="shared" si="27"/>
        <v>4967.8409722954029</v>
      </c>
      <c r="V124" s="397">
        <f t="shared" si="27"/>
        <v>18573.394331181335</v>
      </c>
      <c r="W124" s="397">
        <f t="shared" si="27"/>
        <v>40716.57484455753</v>
      </c>
      <c r="X124" s="397">
        <f t="shared" si="27"/>
        <v>302.42599021890214</v>
      </c>
      <c r="Y124" s="397">
        <f t="shared" si="27"/>
        <v>315.55850180719057</v>
      </c>
      <c r="Z124" s="397">
        <f t="shared" si="27"/>
        <v>178.5564615944559</v>
      </c>
      <c r="AA124" s="397">
        <f t="shared" si="27"/>
        <v>434.15434264600299</v>
      </c>
      <c r="AB124" s="397">
        <f t="shared" si="27"/>
        <v>142851.94934007525</v>
      </c>
      <c r="AC124" s="397">
        <f t="shared" si="27"/>
        <v>-30.341658330994445</v>
      </c>
      <c r="AD124" s="397">
        <f t="shared" si="27"/>
        <v>-40.622809373980218</v>
      </c>
      <c r="AE124" s="397">
        <f t="shared" si="27"/>
        <v>-341.48515758242036</v>
      </c>
      <c r="AF124" s="397" t="str">
        <f t="shared" si="27"/>
        <v/>
      </c>
      <c r="AG124" s="397">
        <f t="shared" si="27"/>
        <v>-2674.6482224974402</v>
      </c>
      <c r="AH124" s="397" t="str">
        <f t="shared" si="27"/>
        <v/>
      </c>
      <c r="AI124" s="397">
        <f t="shared" si="27"/>
        <v>0</v>
      </c>
      <c r="AJ124" s="397" t="str">
        <f t="shared" si="27"/>
        <v/>
      </c>
      <c r="AK124" s="397" t="str">
        <f t="shared" si="27"/>
        <v/>
      </c>
      <c r="AL124" s="397" t="str">
        <f t="shared" si="27"/>
        <v/>
      </c>
      <c r="AM124" s="397">
        <f t="shared" si="27"/>
        <v>-11988.23414393565</v>
      </c>
      <c r="AN124" s="397" t="str">
        <f t="shared" si="27"/>
        <v/>
      </c>
      <c r="AO124" s="397">
        <f t="shared" si="27"/>
        <v>-24405.486571390586</v>
      </c>
      <c r="AP124" s="397" t="str">
        <f t="shared" si="27"/>
        <v/>
      </c>
    </row>
    <row r="125" spans="2:44" x14ac:dyDescent="0.25">
      <c r="E125" s="176" t="s">
        <v>701</v>
      </c>
      <c r="F125" s="176"/>
      <c r="G125" s="238" t="s">
        <v>928</v>
      </c>
      <c r="H125" s="167" t="s">
        <v>163</v>
      </c>
      <c r="I125" s="167"/>
      <c r="J125" s="397">
        <f t="shared" ref="J125:AP125" si="28" xml:space="preserve"> IF( J28 &lt;&gt; 0, J99 / J28, "")</f>
        <v>43.350008078852774</v>
      </c>
      <c r="K125" s="397">
        <f t="shared" si="28"/>
        <v>43.238040648784001</v>
      </c>
      <c r="L125" s="397" t="str">
        <f t="shared" si="28"/>
        <v/>
      </c>
      <c r="M125" s="397">
        <f t="shared" si="28"/>
        <v>103.43529144915836</v>
      </c>
      <c r="N125" s="397">
        <f t="shared" si="28"/>
        <v>343.46406368234472</v>
      </c>
      <c r="O125" s="397" t="str">
        <f t="shared" si="28"/>
        <v/>
      </c>
      <c r="P125" s="397">
        <f t="shared" si="28"/>
        <v>752.69878101294273</v>
      </c>
      <c r="Q125" s="397" t="str">
        <f t="shared" si="28"/>
        <v/>
      </c>
      <c r="R125" s="397" t="str">
        <f t="shared" si="28"/>
        <v/>
      </c>
      <c r="S125" s="397">
        <f t="shared" si="28"/>
        <v>72.185241178432321</v>
      </c>
      <c r="T125" s="397">
        <f t="shared" si="28"/>
        <v>1274.8161370689454</v>
      </c>
      <c r="U125" s="397">
        <f t="shared" si="28"/>
        <v>2272.8500441584038</v>
      </c>
      <c r="V125" s="397" t="str">
        <f t="shared" si="28"/>
        <v/>
      </c>
      <c r="W125" s="397" t="str">
        <f t="shared" si="28"/>
        <v/>
      </c>
      <c r="X125" s="397">
        <f t="shared" si="28"/>
        <v>0</v>
      </c>
      <c r="Y125" s="397">
        <f t="shared" si="28"/>
        <v>20.938392883286213</v>
      </c>
      <c r="Z125" s="397">
        <f t="shared" si="28"/>
        <v>1091.9366150000005</v>
      </c>
      <c r="AA125" s="397" t="str">
        <f t="shared" si="28"/>
        <v/>
      </c>
      <c r="AB125" s="397">
        <f t="shared" si="28"/>
        <v>4374.5787354999993</v>
      </c>
      <c r="AC125" s="397">
        <f t="shared" si="28"/>
        <v>-40.457988652109186</v>
      </c>
      <c r="AD125" s="397" t="str">
        <f t="shared" si="28"/>
        <v/>
      </c>
      <c r="AE125" s="397" t="str">
        <f t="shared" si="28"/>
        <v/>
      </c>
      <c r="AF125" s="397" t="str">
        <f t="shared" si="28"/>
        <v/>
      </c>
      <c r="AG125" s="397" t="str">
        <f t="shared" si="28"/>
        <v/>
      </c>
      <c r="AH125" s="397" t="str">
        <f t="shared" si="28"/>
        <v/>
      </c>
      <c r="AI125" s="397" t="str">
        <f t="shared" si="28"/>
        <v/>
      </c>
      <c r="AJ125" s="397" t="str">
        <f t="shared" si="28"/>
        <v/>
      </c>
      <c r="AK125" s="397" t="str">
        <f t="shared" si="28"/>
        <v/>
      </c>
      <c r="AL125" s="397" t="str">
        <f t="shared" si="28"/>
        <v/>
      </c>
      <c r="AM125" s="397" t="str">
        <f t="shared" si="28"/>
        <v/>
      </c>
      <c r="AN125" s="397" t="str">
        <f t="shared" si="28"/>
        <v/>
      </c>
      <c r="AO125" s="397" t="str">
        <f t="shared" si="28"/>
        <v/>
      </c>
      <c r="AP125" s="397" t="str">
        <f t="shared" si="28"/>
        <v/>
      </c>
    </row>
    <row r="126" spans="2:44" x14ac:dyDescent="0.25">
      <c r="E126" s="176" t="s">
        <v>702</v>
      </c>
      <c r="F126" s="176"/>
      <c r="G126" s="238" t="s">
        <v>928</v>
      </c>
      <c r="H126" s="167" t="s">
        <v>164</v>
      </c>
      <c r="I126" s="167"/>
      <c r="J126" s="397">
        <f t="shared" ref="J126:AP126" si="29" xml:space="preserve"> IF( J37 &lt;&gt; 0, J109 / J37, "")</f>
        <v>27.334390559279555</v>
      </c>
      <c r="K126" s="397">
        <f t="shared" si="29"/>
        <v>36.382357191214567</v>
      </c>
      <c r="L126" s="397">
        <f t="shared" si="29"/>
        <v>7.1376521268163851</v>
      </c>
      <c r="M126" s="397">
        <f t="shared" si="29"/>
        <v>98.423001021258372</v>
      </c>
      <c r="N126" s="397">
        <f t="shared" si="29"/>
        <v>101.92990986382168</v>
      </c>
      <c r="O126" s="397" t="str">
        <f t="shared" si="29"/>
        <v/>
      </c>
      <c r="P126" s="397">
        <f t="shared" si="29"/>
        <v>537.12824184793635</v>
      </c>
      <c r="Q126" s="397" t="str">
        <f t="shared" si="29"/>
        <v/>
      </c>
      <c r="R126" s="397" t="str">
        <f t="shared" si="29"/>
        <v/>
      </c>
      <c r="S126" s="397">
        <f t="shared" si="29"/>
        <v>25.106777856116107</v>
      </c>
      <c r="T126" s="397">
        <f t="shared" si="29"/>
        <v>414.34227184602628</v>
      </c>
      <c r="U126" s="397">
        <f t="shared" si="29"/>
        <v>2372.1334285055013</v>
      </c>
      <c r="V126" s="397">
        <f t="shared" si="29"/>
        <v>11676.215078546635</v>
      </c>
      <c r="W126" s="397">
        <f t="shared" si="29"/>
        <v>61610.076338038227</v>
      </c>
      <c r="X126" s="397">
        <f t="shared" si="29"/>
        <v>3.7965496307791087</v>
      </c>
      <c r="Y126" s="397">
        <f t="shared" si="29"/>
        <v>25.801370238266966</v>
      </c>
      <c r="Z126" s="397">
        <f t="shared" si="29"/>
        <v>7.5866400000000001</v>
      </c>
      <c r="AA126" s="397">
        <f t="shared" si="29"/>
        <v>0</v>
      </c>
      <c r="AB126" s="397" t="str">
        <f t="shared" si="29"/>
        <v/>
      </c>
      <c r="AC126" s="397" t="str">
        <f t="shared" si="29"/>
        <v/>
      </c>
      <c r="AD126" s="397" t="str">
        <f t="shared" si="29"/>
        <v/>
      </c>
      <c r="AE126" s="397">
        <f t="shared" si="29"/>
        <v>-43.521866066666668</v>
      </c>
      <c r="AF126" s="397" t="str">
        <f t="shared" si="29"/>
        <v/>
      </c>
      <c r="AG126" s="397">
        <f t="shared" si="29"/>
        <v>-4543.8347028657154</v>
      </c>
      <c r="AH126" s="397" t="str">
        <f t="shared" si="29"/>
        <v/>
      </c>
      <c r="AI126" s="397" t="str">
        <f t="shared" si="29"/>
        <v/>
      </c>
      <c r="AJ126" s="397" t="str">
        <f t="shared" si="29"/>
        <v/>
      </c>
      <c r="AK126" s="397" t="str">
        <f t="shared" si="29"/>
        <v/>
      </c>
      <c r="AL126" s="397" t="str">
        <f t="shared" si="29"/>
        <v/>
      </c>
      <c r="AM126" s="397" t="str">
        <f t="shared" si="29"/>
        <v/>
      </c>
      <c r="AN126" s="397" t="str">
        <f t="shared" si="29"/>
        <v/>
      </c>
      <c r="AO126" s="397" t="str">
        <f t="shared" si="29"/>
        <v/>
      </c>
      <c r="AP126" s="397" t="str">
        <f t="shared" si="29"/>
        <v/>
      </c>
    </row>
    <row r="127" spans="2:44" x14ac:dyDescent="0.25">
      <c r="D127" s="175"/>
      <c r="E127" s="175"/>
      <c r="G127" s="194"/>
      <c r="J127" s="416"/>
      <c r="K127" s="416"/>
      <c r="L127" s="416"/>
      <c r="M127" s="416"/>
      <c r="N127" s="416"/>
      <c r="O127" s="416"/>
      <c r="P127" s="416"/>
      <c r="Q127" s="416"/>
      <c r="R127" s="416"/>
      <c r="S127" s="416"/>
      <c r="T127" s="416"/>
      <c r="U127" s="416"/>
      <c r="V127" s="416"/>
      <c r="W127" s="416"/>
      <c r="X127" s="416"/>
      <c r="Y127" s="416"/>
      <c r="Z127" s="416"/>
      <c r="AA127" s="416"/>
      <c r="AB127" s="416"/>
      <c r="AC127" s="416"/>
      <c r="AD127" s="416"/>
      <c r="AE127" s="416"/>
      <c r="AF127" s="416"/>
      <c r="AG127" s="416"/>
      <c r="AH127" s="416"/>
      <c r="AI127" s="416"/>
      <c r="AJ127" s="416"/>
      <c r="AK127" s="416"/>
      <c r="AL127" s="416"/>
      <c r="AM127" s="416"/>
      <c r="AN127" s="416"/>
      <c r="AO127" s="416"/>
      <c r="AP127" s="416"/>
    </row>
    <row r="128" spans="2:44" x14ac:dyDescent="0.25">
      <c r="B128" s="171" t="s">
        <v>126</v>
      </c>
      <c r="C128" s="171"/>
      <c r="D128" s="171"/>
      <c r="E128" s="171"/>
      <c r="F128" s="171"/>
      <c r="G128" s="236"/>
      <c r="H128" s="171"/>
      <c r="I128" s="171"/>
      <c r="J128" s="171"/>
      <c r="K128" s="171"/>
      <c r="L128" s="171"/>
      <c r="M128" s="171"/>
      <c r="N128" s="171"/>
      <c r="O128" s="171"/>
      <c r="P128" s="171"/>
      <c r="Q128" s="171"/>
      <c r="R128" s="171"/>
      <c r="S128" s="171"/>
      <c r="T128" s="171"/>
      <c r="U128" s="171"/>
      <c r="V128" s="171"/>
      <c r="W128" s="171"/>
      <c r="X128" s="171"/>
      <c r="Y128" s="171"/>
      <c r="Z128" s="171"/>
      <c r="AA128" s="171"/>
      <c r="AB128" s="171"/>
      <c r="AC128" s="171"/>
      <c r="AD128" s="171"/>
      <c r="AE128" s="171"/>
      <c r="AF128" s="171"/>
      <c r="AG128" s="171"/>
      <c r="AH128" s="171"/>
      <c r="AI128" s="171"/>
      <c r="AJ128" s="171"/>
      <c r="AK128" s="171"/>
      <c r="AL128" s="171"/>
      <c r="AM128" s="171"/>
      <c r="AN128" s="171"/>
      <c r="AO128" s="171"/>
      <c r="AP128" s="171"/>
      <c r="AQ128" s="171"/>
      <c r="AR128" s="171"/>
    </row>
    <row r="129" spans="2:44" x14ac:dyDescent="0.25">
      <c r="F129" s="163"/>
      <c r="G129" s="293"/>
      <c r="H129" s="163"/>
      <c r="I129" s="163"/>
    </row>
    <row r="130" spans="2:44" x14ac:dyDescent="0.25">
      <c r="D130" s="160" t="s">
        <v>622</v>
      </c>
      <c r="G130" s="111" t="s">
        <v>814</v>
      </c>
      <c r="H130" s="362">
        <f t="array" ref="H130">SUM(IF(ISERROR($H$13:$AQ$127), 1))</f>
        <v>0</v>
      </c>
      <c r="I130" s="163"/>
    </row>
    <row r="131" spans="2:44" x14ac:dyDescent="0.25">
      <c r="F131" s="163"/>
      <c r="G131" s="163"/>
      <c r="H131" s="163"/>
      <c r="I131" s="163"/>
    </row>
    <row r="132" spans="2:44" x14ac:dyDescent="0.25">
      <c r="B132" s="171" t="s">
        <v>127</v>
      </c>
      <c r="C132" s="171"/>
      <c r="D132" s="171"/>
      <c r="E132" s="171"/>
      <c r="F132" s="171"/>
      <c r="G132" s="171"/>
      <c r="H132" s="171"/>
      <c r="I132" s="171"/>
      <c r="J132" s="171"/>
      <c r="K132" s="171"/>
      <c r="L132" s="171"/>
      <c r="M132" s="171"/>
      <c r="N132" s="171"/>
      <c r="O132" s="171"/>
      <c r="P132" s="171"/>
      <c r="Q132" s="171"/>
      <c r="R132" s="171"/>
      <c r="S132" s="171"/>
      <c r="T132" s="171"/>
      <c r="U132" s="171"/>
      <c r="V132" s="171"/>
      <c r="W132" s="171"/>
      <c r="X132" s="171"/>
      <c r="Y132" s="171"/>
      <c r="Z132" s="171"/>
      <c r="AA132" s="171"/>
      <c r="AB132" s="171"/>
      <c r="AC132" s="171"/>
      <c r="AD132" s="171"/>
      <c r="AE132" s="171"/>
      <c r="AF132" s="171"/>
      <c r="AG132" s="171"/>
      <c r="AH132" s="171"/>
      <c r="AI132" s="171"/>
      <c r="AJ132" s="171"/>
      <c r="AK132" s="171"/>
      <c r="AL132" s="171"/>
      <c r="AM132" s="171"/>
      <c r="AN132" s="171"/>
      <c r="AO132" s="171"/>
      <c r="AP132" s="171"/>
      <c r="AQ132" s="171"/>
      <c r="AR132" s="171"/>
    </row>
  </sheetData>
  <sheetProtection sheet="1" objects="1" formatCells="0" formatColumns="0" formatRows="0" sort="0" autoFilter="0"/>
  <conditionalFormatting sqref="H130">
    <cfRule type="cellIs" dxfId="5" priority="15" operator="greaterThan">
      <formula>0</formula>
    </cfRule>
  </conditionalFormatting>
  <conditionalFormatting sqref="A4:XFD4">
    <cfRule type="expression" dxfId="4" priority="1">
      <formula>LEFT($A$4,1) &lt;&gt; "0"</formula>
    </cfRule>
  </conditionalFormatting>
  <dataValidations count="1">
    <dataValidation type="decimal" operator="greaterThanOrEqual" allowBlank="1" showInputMessage="1" showErrorMessage="1" errorTitle="Invalid volume data" error="Invalid volume data (negative number or unused cell)." sqref="J45:AP69 J16:AP40">
      <formula1>0</formula1>
    </dataValidation>
  </dataValidations>
  <hyperlinks>
    <hyperlink ref="B5:F5" location="'Model map'!A1" display="Click here to return to model map"/>
  </hyperlink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theme="9" tint="0.39997558519241921"/>
    <pageSetUpPr fitToPage="1"/>
  </sheetPr>
  <dimension ref="A1:JV663"/>
  <sheetViews>
    <sheetView showGridLines="0" zoomScale="80" zoomScaleNormal="80" workbookViewId="0">
      <pane xSplit="9" ySplit="5" topLeftCell="J6" activePane="bottomRight" state="frozen"/>
      <selection activeCell="N50" sqref="N50"/>
      <selection pane="topRight" activeCell="N50" sqref="N50"/>
      <selection pane="bottomLeft" activeCell="N50" sqref="N50"/>
      <selection pane="bottomRight" activeCell="J6" sqref="J6"/>
    </sheetView>
  </sheetViews>
  <sheetFormatPr defaultColWidth="0" defaultRowHeight="15" x14ac:dyDescent="0.25"/>
  <cols>
    <col min="1" max="3" width="2.7109375" style="160" customWidth="1"/>
    <col min="4" max="5" width="2.7109375" style="175" customWidth="1"/>
    <col min="6" max="6" width="59.5703125" style="160" customWidth="1"/>
    <col min="7" max="8" width="20.7109375" style="160" customWidth="1"/>
    <col min="9" max="9" width="2.28515625" style="160" customWidth="1"/>
    <col min="10" max="16" width="17" style="160" customWidth="1"/>
    <col min="17" max="17" width="2.28515625" style="160" customWidth="1"/>
    <col min="18" max="18" width="50.7109375" style="160" customWidth="1"/>
    <col min="19" max="19" width="2.28515625" style="160" customWidth="1"/>
    <col min="20" max="27" width="0" style="160" hidden="1" customWidth="1"/>
    <col min="28" max="28" width="24.5703125" style="160" hidden="1" customWidth="1"/>
    <col min="29" max="29" width="3.5703125" style="160" hidden="1" customWidth="1"/>
    <col min="30" max="30" width="15.42578125" style="160" hidden="1" customWidth="1"/>
    <col min="31" max="282" width="24.5703125" style="160" hidden="1" customWidth="1"/>
    <col min="283" max="16384" width="8.7109375" style="160" hidden="1"/>
  </cols>
  <sheetData>
    <row r="1" spans="1:97" s="25" customFormat="1" x14ac:dyDescent="0.25">
      <c r="A1" s="25" t="str">
        <f ca="1">MID(CELL("filename",A1),FIND("]",CELL("filename",A1))+1,255)</f>
        <v>Tariff summary</v>
      </c>
    </row>
    <row r="2" spans="1:97" s="25" customFormat="1" x14ac:dyDescent="0.25">
      <c r="A2" s="25" t="str">
        <f>Cover!D21&amp;" - "&amp;Cover!D23</f>
        <v>SEPD - Final</v>
      </c>
    </row>
    <row r="3" spans="1:97" s="97" customFormat="1" x14ac:dyDescent="0.25">
      <c r="A3" s="97" t="str">
        <f>Cover!D2&amp;" - "&amp;Cover!D8&amp;" v"&amp;Cover!D10&amp;" - "&amp;Cover!D19</f>
        <v>ARP model - Release for charge setting v3 - 2020/21</v>
      </c>
    </row>
    <row r="4" spans="1:97" s="338" customFormat="1" x14ac:dyDescent="0.25">
      <c r="A4" s="392" t="str">
        <f>H659 &amp; IF(H659 = 1, " issue", " issues") &amp;" identified in checks on this sheet"</f>
        <v>0 issues identified in checks on this sheet</v>
      </c>
      <c r="B4" s="393"/>
      <c r="C4" s="393"/>
      <c r="D4" s="393"/>
      <c r="E4" s="393"/>
      <c r="F4" s="393"/>
      <c r="G4" s="393"/>
      <c r="H4" s="394"/>
      <c r="I4" s="394"/>
      <c r="J4" s="393"/>
      <c r="K4" s="383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3"/>
      <c r="AD4" s="383"/>
      <c r="AE4" s="383"/>
      <c r="AF4" s="383"/>
      <c r="AG4" s="383"/>
      <c r="AH4" s="383"/>
      <c r="AI4" s="383"/>
      <c r="AJ4" s="383"/>
      <c r="AK4" s="383"/>
      <c r="AL4" s="383"/>
      <c r="AM4" s="383"/>
      <c r="AN4" s="383"/>
      <c r="AO4" s="383"/>
      <c r="AP4" s="383"/>
      <c r="AQ4" s="383"/>
      <c r="AR4" s="383"/>
      <c r="AS4" s="383"/>
      <c r="AT4" s="383"/>
      <c r="AU4" s="383"/>
      <c r="AV4" s="383"/>
      <c r="AW4" s="383"/>
      <c r="AX4" s="383"/>
      <c r="AY4" s="383"/>
      <c r="AZ4" s="383"/>
      <c r="BA4" s="383"/>
      <c r="BB4" s="383"/>
      <c r="BC4" s="383"/>
      <c r="BD4" s="383"/>
      <c r="BE4" s="383"/>
      <c r="BF4" s="383"/>
      <c r="BG4" s="383"/>
      <c r="BH4" s="383"/>
      <c r="BI4" s="383"/>
      <c r="BJ4" s="383"/>
      <c r="BK4" s="383"/>
      <c r="BL4" s="383"/>
      <c r="BM4" s="383"/>
      <c r="BN4" s="383"/>
      <c r="BO4" s="383"/>
      <c r="BP4" s="383"/>
      <c r="BQ4" s="383"/>
      <c r="BR4" s="383"/>
      <c r="BS4" s="383"/>
      <c r="BT4" s="383"/>
      <c r="BU4" s="383"/>
      <c r="BV4" s="383"/>
      <c r="BW4" s="383"/>
      <c r="BX4" s="383"/>
      <c r="BY4" s="383"/>
      <c r="BZ4" s="383"/>
      <c r="CA4" s="383"/>
      <c r="CB4" s="383"/>
      <c r="CC4" s="383"/>
      <c r="CD4" s="383"/>
      <c r="CE4" s="383"/>
      <c r="CF4" s="383"/>
      <c r="CG4" s="383"/>
      <c r="CH4" s="383"/>
      <c r="CI4" s="383"/>
      <c r="CJ4" s="383"/>
      <c r="CK4" s="383"/>
      <c r="CL4" s="383"/>
      <c r="CM4" s="383"/>
      <c r="CN4" s="383"/>
      <c r="CO4" s="383"/>
      <c r="CP4" s="383"/>
      <c r="CQ4" s="383"/>
      <c r="CR4" s="383"/>
      <c r="CS4" s="383"/>
    </row>
    <row r="5" spans="1:97" ht="45" x14ac:dyDescent="0.25">
      <c r="B5" s="244" t="s">
        <v>667</v>
      </c>
      <c r="C5" s="24"/>
      <c r="D5" s="24"/>
      <c r="E5" s="24"/>
      <c r="F5" s="24"/>
      <c r="G5" s="1"/>
      <c r="H5" s="1" t="s">
        <v>750</v>
      </c>
      <c r="J5" s="2" t="s">
        <v>411</v>
      </c>
      <c r="K5" s="2" t="s">
        <v>410</v>
      </c>
      <c r="L5" s="2" t="s">
        <v>409</v>
      </c>
      <c r="M5" s="2" t="s">
        <v>408</v>
      </c>
      <c r="N5" s="2" t="s">
        <v>407</v>
      </c>
      <c r="O5" s="2" t="s">
        <v>406</v>
      </c>
      <c r="P5" s="2" t="s">
        <v>405</v>
      </c>
      <c r="R5" s="1" t="s">
        <v>110</v>
      </c>
    </row>
    <row r="7" spans="1:97" x14ac:dyDescent="0.25">
      <c r="B7" s="171" t="s">
        <v>107</v>
      </c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</row>
    <row r="9" spans="1:97" x14ac:dyDescent="0.25">
      <c r="C9" s="152" t="s">
        <v>1046</v>
      </c>
    </row>
    <row r="10" spans="1:97" x14ac:dyDescent="0.25">
      <c r="C10" s="152" t="s">
        <v>1047</v>
      </c>
    </row>
    <row r="11" spans="1:97" x14ac:dyDescent="0.25">
      <c r="C11" s="152" t="s">
        <v>724</v>
      </c>
    </row>
    <row r="13" spans="1:97" s="338" customFormat="1" x14ac:dyDescent="0.25">
      <c r="B13" s="171" t="s">
        <v>645</v>
      </c>
      <c r="C13" s="171"/>
      <c r="D13" s="171"/>
      <c r="E13" s="171"/>
      <c r="F13" s="171"/>
      <c r="G13" s="171"/>
      <c r="H13" s="171"/>
      <c r="I13" s="171"/>
      <c r="J13" s="171"/>
      <c r="K13" s="171"/>
      <c r="L13" s="135"/>
      <c r="M13" s="135"/>
      <c r="N13" s="135"/>
      <c r="O13" s="135"/>
      <c r="P13" s="135"/>
      <c r="Q13" s="135"/>
      <c r="R13" s="135"/>
    </row>
    <row r="14" spans="1:97" s="338" customFormat="1" x14ac:dyDescent="0.25"/>
    <row r="15" spans="1:97" x14ac:dyDescent="0.25">
      <c r="C15" s="22" t="str">
        <f ca="1">INDEX('Version control'!$H$34:$H$59,MATCH($A$1,'Version control'!$F$34:$F$59,0),1)&amp;"-A: Live tariff results (" &amp; charging_year_selected &amp; ")"</f>
        <v>Output 501-A: Live tariff results (2020/21)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</row>
    <row r="16" spans="1:97" x14ac:dyDescent="0.25">
      <c r="D16" s="160"/>
      <c r="E16" s="160"/>
    </row>
    <row r="17" spans="4:16" x14ac:dyDescent="0.25">
      <c r="D17" s="172"/>
      <c r="E17" s="172" t="str">
        <f>"All the way tariff forecast (" &amp; charging_year_selected &amp; ")"</f>
        <v>All the way tariff forecast (2020/21)</v>
      </c>
      <c r="F17" s="338"/>
    </row>
    <row r="18" spans="4:16" x14ac:dyDescent="0.25">
      <c r="F18" s="180" t="s">
        <v>52</v>
      </c>
      <c r="G18" s="166"/>
      <c r="H18" s="166" t="s">
        <v>391</v>
      </c>
      <c r="I18" s="166"/>
      <c r="J18" s="312">
        <f t="array" ref="J18:P50">TRANSPOSE(Rounding!J89:AP95)</f>
        <v>1.9339999999999999</v>
      </c>
      <c r="K18" s="312">
        <v>0</v>
      </c>
      <c r="L18" s="312">
        <v>0</v>
      </c>
      <c r="M18" s="365">
        <v>3.51</v>
      </c>
      <c r="N18" s="365">
        <v>0</v>
      </c>
      <c r="O18" s="365">
        <v>0</v>
      </c>
      <c r="P18" s="312">
        <v>0</v>
      </c>
    </row>
    <row r="19" spans="4:16" x14ac:dyDescent="0.25">
      <c r="F19" s="176" t="s">
        <v>53</v>
      </c>
      <c r="G19" s="167"/>
      <c r="H19" s="167" t="s">
        <v>391</v>
      </c>
      <c r="I19" s="167"/>
      <c r="J19" s="313">
        <v>2.387</v>
      </c>
      <c r="K19" s="313">
        <v>0.441</v>
      </c>
      <c r="L19" s="313">
        <v>0</v>
      </c>
      <c r="M19" s="366">
        <v>3.51</v>
      </c>
      <c r="N19" s="366">
        <v>0</v>
      </c>
      <c r="O19" s="366">
        <v>0</v>
      </c>
      <c r="P19" s="313">
        <v>0</v>
      </c>
    </row>
    <row r="20" spans="4:16" x14ac:dyDescent="0.25">
      <c r="F20" s="176" t="s">
        <v>84</v>
      </c>
      <c r="G20" s="167"/>
      <c r="H20" s="167" t="s">
        <v>391</v>
      </c>
      <c r="I20" s="167"/>
      <c r="J20" s="313">
        <v>0.53700000000000003</v>
      </c>
      <c r="K20" s="313">
        <v>0</v>
      </c>
      <c r="L20" s="313">
        <v>0</v>
      </c>
      <c r="M20" s="366">
        <v>0</v>
      </c>
      <c r="N20" s="366">
        <v>0</v>
      </c>
      <c r="O20" s="366">
        <v>0</v>
      </c>
      <c r="P20" s="313">
        <v>0</v>
      </c>
    </row>
    <row r="21" spans="4:16" x14ac:dyDescent="0.25">
      <c r="F21" s="176" t="s">
        <v>54</v>
      </c>
      <c r="G21" s="167"/>
      <c r="H21" s="167" t="s">
        <v>391</v>
      </c>
      <c r="I21" s="167"/>
      <c r="J21" s="313">
        <v>1.7769999999999999</v>
      </c>
      <c r="K21" s="313">
        <v>0</v>
      </c>
      <c r="L21" s="313">
        <v>0</v>
      </c>
      <c r="M21" s="366">
        <v>5.25</v>
      </c>
      <c r="N21" s="366">
        <v>0</v>
      </c>
      <c r="O21" s="366">
        <v>0</v>
      </c>
      <c r="P21" s="313">
        <v>0</v>
      </c>
    </row>
    <row r="22" spans="4:16" x14ac:dyDescent="0.25">
      <c r="F22" s="176" t="s">
        <v>55</v>
      </c>
      <c r="G22" s="167"/>
      <c r="H22" s="167" t="s">
        <v>391</v>
      </c>
      <c r="I22" s="167"/>
      <c r="J22" s="313">
        <v>2.59</v>
      </c>
      <c r="K22" s="313">
        <v>0.59099999999999997</v>
      </c>
      <c r="L22" s="313">
        <v>0</v>
      </c>
      <c r="M22" s="366">
        <v>5.25</v>
      </c>
      <c r="N22" s="366">
        <v>0</v>
      </c>
      <c r="O22" s="366">
        <v>0</v>
      </c>
      <c r="P22" s="313">
        <v>0</v>
      </c>
    </row>
    <row r="23" spans="4:16" x14ac:dyDescent="0.25">
      <c r="F23" s="176" t="s">
        <v>85</v>
      </c>
      <c r="G23" s="167"/>
      <c r="H23" s="167" t="s">
        <v>391</v>
      </c>
      <c r="I23" s="167"/>
      <c r="J23" s="313">
        <v>0.66500000000000004</v>
      </c>
      <c r="K23" s="313">
        <v>0</v>
      </c>
      <c r="L23" s="313">
        <v>0</v>
      </c>
      <c r="M23" s="366">
        <v>0</v>
      </c>
      <c r="N23" s="366">
        <v>0</v>
      </c>
      <c r="O23" s="366">
        <v>0</v>
      </c>
      <c r="P23" s="313">
        <v>0</v>
      </c>
    </row>
    <row r="24" spans="4:16" x14ac:dyDescent="0.25">
      <c r="F24" s="176" t="s">
        <v>56</v>
      </c>
      <c r="G24" s="167"/>
      <c r="H24" s="167" t="s">
        <v>391</v>
      </c>
      <c r="I24" s="167"/>
      <c r="J24" s="313">
        <v>1.484</v>
      </c>
      <c r="K24" s="313">
        <v>0.43</v>
      </c>
      <c r="L24" s="313">
        <v>0</v>
      </c>
      <c r="M24" s="366">
        <v>28.97</v>
      </c>
      <c r="N24" s="366">
        <v>0</v>
      </c>
      <c r="O24" s="366">
        <v>0</v>
      </c>
      <c r="P24" s="313">
        <v>0</v>
      </c>
    </row>
    <row r="25" spans="4:16" x14ac:dyDescent="0.25">
      <c r="F25" s="176" t="s">
        <v>57</v>
      </c>
      <c r="G25" s="167"/>
      <c r="H25" s="167" t="s">
        <v>391</v>
      </c>
      <c r="I25" s="167"/>
      <c r="J25" s="313">
        <v>1.276</v>
      </c>
      <c r="K25" s="313">
        <v>0.40899999999999997</v>
      </c>
      <c r="L25" s="313">
        <v>0</v>
      </c>
      <c r="M25" s="366">
        <v>25.78</v>
      </c>
      <c r="N25" s="366">
        <v>0</v>
      </c>
      <c r="O25" s="366">
        <v>0</v>
      </c>
      <c r="P25" s="313">
        <v>0</v>
      </c>
    </row>
    <row r="26" spans="4:16" x14ac:dyDescent="0.25">
      <c r="F26" s="176" t="s">
        <v>72</v>
      </c>
      <c r="G26" s="167"/>
      <c r="H26" s="167" t="s">
        <v>391</v>
      </c>
      <c r="I26" s="167"/>
      <c r="J26" s="313">
        <v>0.86199999999999999</v>
      </c>
      <c r="K26" s="313">
        <v>0.36799999999999999</v>
      </c>
      <c r="L26" s="313">
        <v>0</v>
      </c>
      <c r="M26" s="366">
        <v>288.70999999999998</v>
      </c>
      <c r="N26" s="366">
        <v>0</v>
      </c>
      <c r="O26" s="366">
        <v>0</v>
      </c>
      <c r="P26" s="313">
        <v>0</v>
      </c>
    </row>
    <row r="27" spans="4:16" x14ac:dyDescent="0.25">
      <c r="F27" s="176" t="s">
        <v>58</v>
      </c>
      <c r="G27" s="167"/>
      <c r="H27" s="167" t="s">
        <v>391</v>
      </c>
      <c r="I27" s="167"/>
      <c r="J27" s="313">
        <v>8.6999999999999993</v>
      </c>
      <c r="K27" s="313">
        <v>1.1990000000000001</v>
      </c>
      <c r="L27" s="313">
        <v>0.38600000000000001</v>
      </c>
      <c r="M27" s="366">
        <v>3.51</v>
      </c>
      <c r="N27" s="366">
        <v>0</v>
      </c>
      <c r="O27" s="366">
        <v>0</v>
      </c>
      <c r="P27" s="313">
        <v>0</v>
      </c>
    </row>
    <row r="28" spans="4:16" x14ac:dyDescent="0.25">
      <c r="F28" s="176" t="s">
        <v>59</v>
      </c>
      <c r="G28" s="167"/>
      <c r="H28" s="167" t="s">
        <v>391</v>
      </c>
      <c r="I28" s="167"/>
      <c r="J28" s="313">
        <v>9.1649999999999991</v>
      </c>
      <c r="K28" s="313">
        <v>1.2470000000000001</v>
      </c>
      <c r="L28" s="313">
        <v>0.38900000000000001</v>
      </c>
      <c r="M28" s="366">
        <v>5.25</v>
      </c>
      <c r="N28" s="366">
        <v>0</v>
      </c>
      <c r="O28" s="366">
        <v>0</v>
      </c>
      <c r="P28" s="313">
        <v>0</v>
      </c>
    </row>
    <row r="29" spans="4:16" x14ac:dyDescent="0.25">
      <c r="F29" s="176" t="s">
        <v>60</v>
      </c>
      <c r="G29" s="167"/>
      <c r="H29" s="167" t="s">
        <v>391</v>
      </c>
      <c r="I29" s="167"/>
      <c r="J29" s="313">
        <v>6.27</v>
      </c>
      <c r="K29" s="313">
        <v>0.86599999999999999</v>
      </c>
      <c r="L29" s="313">
        <v>0.36499999999999999</v>
      </c>
      <c r="M29" s="366">
        <v>16.489999999999998</v>
      </c>
      <c r="N29" s="366">
        <v>2.42</v>
      </c>
      <c r="O29" s="366">
        <v>4.58</v>
      </c>
      <c r="P29" s="313">
        <v>0.20399999999999999</v>
      </c>
    </row>
    <row r="30" spans="4:16" x14ac:dyDescent="0.25">
      <c r="F30" s="176" t="s">
        <v>61</v>
      </c>
      <c r="G30" s="167"/>
      <c r="H30" s="167" t="s">
        <v>391</v>
      </c>
      <c r="I30" s="167"/>
      <c r="J30" s="313">
        <v>4.8639999999999999</v>
      </c>
      <c r="K30" s="313">
        <v>0.60499999999999998</v>
      </c>
      <c r="L30" s="313">
        <v>0.34699999999999998</v>
      </c>
      <c r="M30" s="366">
        <v>25.78</v>
      </c>
      <c r="N30" s="366">
        <v>4.28</v>
      </c>
      <c r="O30" s="366">
        <v>5.77</v>
      </c>
      <c r="P30" s="313">
        <v>0.129</v>
      </c>
    </row>
    <row r="31" spans="4:16" x14ac:dyDescent="0.25">
      <c r="F31" s="176" t="s">
        <v>73</v>
      </c>
      <c r="G31" s="167"/>
      <c r="H31" s="167" t="s">
        <v>391</v>
      </c>
      <c r="I31" s="167"/>
      <c r="J31" s="313">
        <v>3.544</v>
      </c>
      <c r="K31" s="313">
        <v>0.498</v>
      </c>
      <c r="L31" s="313">
        <v>0.34200000000000003</v>
      </c>
      <c r="M31" s="366">
        <v>147.36000000000001</v>
      </c>
      <c r="N31" s="366">
        <v>5.28</v>
      </c>
      <c r="O31" s="366">
        <v>6.55</v>
      </c>
      <c r="P31" s="313">
        <v>8.5999999999999993E-2</v>
      </c>
    </row>
    <row r="32" spans="4:16" x14ac:dyDescent="0.25">
      <c r="F32" s="176" t="s">
        <v>86</v>
      </c>
      <c r="G32" s="167"/>
      <c r="H32" s="167" t="s">
        <v>391</v>
      </c>
      <c r="I32" s="167"/>
      <c r="J32" s="313">
        <v>2.601</v>
      </c>
      <c r="K32" s="313">
        <v>0</v>
      </c>
      <c r="L32" s="313">
        <v>0</v>
      </c>
      <c r="M32" s="366">
        <v>0</v>
      </c>
      <c r="N32" s="366">
        <v>0</v>
      </c>
      <c r="O32" s="366">
        <v>0</v>
      </c>
      <c r="P32" s="313">
        <v>0</v>
      </c>
    </row>
    <row r="33" spans="6:16" x14ac:dyDescent="0.25">
      <c r="F33" s="176" t="s">
        <v>87</v>
      </c>
      <c r="G33" s="167"/>
      <c r="H33" s="167" t="s">
        <v>391</v>
      </c>
      <c r="I33" s="167"/>
      <c r="J33" s="313">
        <v>2.657</v>
      </c>
      <c r="K33" s="313">
        <v>0</v>
      </c>
      <c r="L33" s="313">
        <v>0</v>
      </c>
      <c r="M33" s="366">
        <v>0</v>
      </c>
      <c r="N33" s="366">
        <v>0</v>
      </c>
      <c r="O33" s="366">
        <v>0</v>
      </c>
      <c r="P33" s="313">
        <v>0</v>
      </c>
    </row>
    <row r="34" spans="6:16" x14ac:dyDescent="0.25">
      <c r="F34" s="176" t="s">
        <v>88</v>
      </c>
      <c r="G34" s="167"/>
      <c r="H34" s="167" t="s">
        <v>391</v>
      </c>
      <c r="I34" s="167"/>
      <c r="J34" s="313">
        <v>3.4009999999999998</v>
      </c>
      <c r="K34" s="313">
        <v>0</v>
      </c>
      <c r="L34" s="313">
        <v>0</v>
      </c>
      <c r="M34" s="366">
        <v>0</v>
      </c>
      <c r="N34" s="366">
        <v>0</v>
      </c>
      <c r="O34" s="366">
        <v>0</v>
      </c>
      <c r="P34" s="313">
        <v>0</v>
      </c>
    </row>
    <row r="35" spans="6:16" x14ac:dyDescent="0.25">
      <c r="F35" s="176" t="s">
        <v>89</v>
      </c>
      <c r="G35" s="167"/>
      <c r="H35" s="167" t="s">
        <v>391</v>
      </c>
      <c r="I35" s="167"/>
      <c r="J35" s="313">
        <v>2.6110000000000002</v>
      </c>
      <c r="K35" s="313">
        <v>0</v>
      </c>
      <c r="L35" s="313">
        <v>0</v>
      </c>
      <c r="M35" s="366">
        <v>0</v>
      </c>
      <c r="N35" s="366">
        <v>0</v>
      </c>
      <c r="O35" s="366">
        <v>0</v>
      </c>
      <c r="P35" s="313">
        <v>0</v>
      </c>
    </row>
    <row r="36" spans="6:16" x14ac:dyDescent="0.25">
      <c r="F36" s="176" t="s">
        <v>90</v>
      </c>
      <c r="G36" s="167"/>
      <c r="H36" s="167" t="s">
        <v>391</v>
      </c>
      <c r="I36" s="167"/>
      <c r="J36" s="313">
        <v>13.724</v>
      </c>
      <c r="K36" s="313">
        <v>2.5760000000000001</v>
      </c>
      <c r="L36" s="313">
        <v>1.839</v>
      </c>
      <c r="M36" s="366">
        <v>0</v>
      </c>
      <c r="N36" s="366">
        <v>0</v>
      </c>
      <c r="O36" s="366">
        <v>0</v>
      </c>
      <c r="P36" s="313">
        <v>0</v>
      </c>
    </row>
    <row r="37" spans="6:16" x14ac:dyDescent="0.25">
      <c r="F37" s="176" t="s">
        <v>62</v>
      </c>
      <c r="G37" s="167"/>
      <c r="H37" s="167" t="s">
        <v>391</v>
      </c>
      <c r="I37" s="167"/>
      <c r="J37" s="313">
        <v>-0.79400000000000004</v>
      </c>
      <c r="K37" s="313">
        <v>0</v>
      </c>
      <c r="L37" s="313">
        <v>0</v>
      </c>
      <c r="M37" s="366">
        <v>0</v>
      </c>
      <c r="N37" s="366">
        <v>0</v>
      </c>
      <c r="O37" s="366">
        <v>0</v>
      </c>
      <c r="P37" s="313">
        <v>0</v>
      </c>
    </row>
    <row r="38" spans="6:16" x14ac:dyDescent="0.25">
      <c r="F38" s="176" t="s">
        <v>63</v>
      </c>
      <c r="G38" s="167"/>
      <c r="H38" s="167" t="s">
        <v>391</v>
      </c>
      <c r="I38" s="167"/>
      <c r="J38" s="313">
        <v>-0.69499999999999995</v>
      </c>
      <c r="K38" s="313">
        <v>0</v>
      </c>
      <c r="L38" s="313">
        <v>0</v>
      </c>
      <c r="M38" s="366">
        <v>0</v>
      </c>
      <c r="N38" s="366">
        <v>0</v>
      </c>
      <c r="O38" s="366">
        <v>0</v>
      </c>
      <c r="P38" s="313">
        <v>0</v>
      </c>
    </row>
    <row r="39" spans="6:16" x14ac:dyDescent="0.25">
      <c r="F39" s="176" t="s">
        <v>64</v>
      </c>
      <c r="G39" s="167"/>
      <c r="H39" s="167" t="s">
        <v>391</v>
      </c>
      <c r="I39" s="167"/>
      <c r="J39" s="313">
        <v>-0.79400000000000004</v>
      </c>
      <c r="K39" s="313">
        <v>0</v>
      </c>
      <c r="L39" s="313">
        <v>0</v>
      </c>
      <c r="M39" s="366">
        <v>0</v>
      </c>
      <c r="N39" s="366">
        <v>0</v>
      </c>
      <c r="O39" s="366">
        <v>0</v>
      </c>
      <c r="P39" s="313">
        <v>0.186</v>
      </c>
    </row>
    <row r="40" spans="6:16" x14ac:dyDescent="0.25">
      <c r="F40" s="176" t="s">
        <v>65</v>
      </c>
      <c r="G40" s="167"/>
      <c r="H40" s="167" t="s">
        <v>391</v>
      </c>
      <c r="I40" s="167"/>
      <c r="J40" s="313">
        <v>-0.79400000000000004</v>
      </c>
      <c r="K40" s="313">
        <v>0</v>
      </c>
      <c r="L40" s="313">
        <v>0</v>
      </c>
      <c r="M40" s="366">
        <v>0</v>
      </c>
      <c r="N40" s="366">
        <v>0</v>
      </c>
      <c r="O40" s="366">
        <v>0</v>
      </c>
      <c r="P40" s="313">
        <v>0</v>
      </c>
    </row>
    <row r="41" spans="6:16" x14ac:dyDescent="0.25">
      <c r="F41" s="176" t="s">
        <v>66</v>
      </c>
      <c r="G41" s="167"/>
      <c r="H41" s="167" t="s">
        <v>391</v>
      </c>
      <c r="I41" s="167"/>
      <c r="J41" s="313">
        <v>-5.5359999999999996</v>
      </c>
      <c r="K41" s="313">
        <v>-0.57099999999999995</v>
      </c>
      <c r="L41" s="313">
        <v>-3.3000000000000002E-2</v>
      </c>
      <c r="M41" s="366">
        <v>0</v>
      </c>
      <c r="N41" s="366">
        <v>0</v>
      </c>
      <c r="O41" s="366">
        <v>0</v>
      </c>
      <c r="P41" s="313">
        <v>0.186</v>
      </c>
    </row>
    <row r="42" spans="6:16" x14ac:dyDescent="0.25">
      <c r="F42" s="176" t="s">
        <v>67</v>
      </c>
      <c r="G42" s="167"/>
      <c r="H42" s="167" t="s">
        <v>391</v>
      </c>
      <c r="I42" s="167"/>
      <c r="J42" s="313">
        <v>-5.5359999999999996</v>
      </c>
      <c r="K42" s="313">
        <v>-0.57099999999999995</v>
      </c>
      <c r="L42" s="313">
        <v>-3.3000000000000002E-2</v>
      </c>
      <c r="M42" s="366">
        <v>0</v>
      </c>
      <c r="N42" s="366">
        <v>0</v>
      </c>
      <c r="O42" s="366">
        <v>0</v>
      </c>
      <c r="P42" s="313">
        <v>0</v>
      </c>
    </row>
    <row r="43" spans="6:16" x14ac:dyDescent="0.25">
      <c r="F43" s="176" t="s">
        <v>68</v>
      </c>
      <c r="G43" s="167"/>
      <c r="H43" s="167" t="s">
        <v>391</v>
      </c>
      <c r="I43" s="167"/>
      <c r="J43" s="313">
        <v>-0.69499999999999995</v>
      </c>
      <c r="K43" s="313">
        <v>0</v>
      </c>
      <c r="L43" s="313">
        <v>0</v>
      </c>
      <c r="M43" s="366">
        <v>0</v>
      </c>
      <c r="N43" s="366">
        <v>0</v>
      </c>
      <c r="O43" s="366">
        <v>0</v>
      </c>
      <c r="P43" s="313">
        <v>0.16600000000000001</v>
      </c>
    </row>
    <row r="44" spans="6:16" x14ac:dyDescent="0.25">
      <c r="F44" s="176" t="s">
        <v>69</v>
      </c>
      <c r="G44" s="167"/>
      <c r="H44" s="167" t="s">
        <v>391</v>
      </c>
      <c r="I44" s="167"/>
      <c r="J44" s="313">
        <v>-0.69499999999999995</v>
      </c>
      <c r="K44" s="313">
        <v>0</v>
      </c>
      <c r="L44" s="313">
        <v>0</v>
      </c>
      <c r="M44" s="366">
        <v>0</v>
      </c>
      <c r="N44" s="366">
        <v>0</v>
      </c>
      <c r="O44" s="366">
        <v>0</v>
      </c>
      <c r="P44" s="313">
        <v>0</v>
      </c>
    </row>
    <row r="45" spans="6:16" x14ac:dyDescent="0.25">
      <c r="F45" s="176" t="s">
        <v>70</v>
      </c>
      <c r="G45" s="167"/>
      <c r="H45" s="167" t="s">
        <v>391</v>
      </c>
      <c r="I45" s="167"/>
      <c r="J45" s="313">
        <v>-4.9939999999999998</v>
      </c>
      <c r="K45" s="313">
        <v>-0.47499999999999998</v>
      </c>
      <c r="L45" s="313">
        <v>-2.5999999999999999E-2</v>
      </c>
      <c r="M45" s="366">
        <v>0</v>
      </c>
      <c r="N45" s="366">
        <v>0</v>
      </c>
      <c r="O45" s="366">
        <v>0</v>
      </c>
      <c r="P45" s="313">
        <v>0.16600000000000001</v>
      </c>
    </row>
    <row r="46" spans="6:16" x14ac:dyDescent="0.25">
      <c r="F46" s="176" t="s">
        <v>71</v>
      </c>
      <c r="G46" s="167"/>
      <c r="H46" s="167" t="s">
        <v>391</v>
      </c>
      <c r="I46" s="167"/>
      <c r="J46" s="313">
        <v>-4.9939999999999998</v>
      </c>
      <c r="K46" s="313">
        <v>-0.47499999999999998</v>
      </c>
      <c r="L46" s="313">
        <v>-2.5999999999999999E-2</v>
      </c>
      <c r="M46" s="366">
        <v>0</v>
      </c>
      <c r="N46" s="366">
        <v>0</v>
      </c>
      <c r="O46" s="366">
        <v>0</v>
      </c>
      <c r="P46" s="313">
        <v>0</v>
      </c>
    </row>
    <row r="47" spans="6:16" x14ac:dyDescent="0.25">
      <c r="F47" s="176" t="s">
        <v>74</v>
      </c>
      <c r="G47" s="167"/>
      <c r="H47" s="167" t="s">
        <v>391</v>
      </c>
      <c r="I47" s="167"/>
      <c r="J47" s="313">
        <v>-0.46</v>
      </c>
      <c r="K47" s="313">
        <v>0</v>
      </c>
      <c r="L47" s="313">
        <v>0</v>
      </c>
      <c r="M47" s="366">
        <v>242.78</v>
      </c>
      <c r="N47" s="366">
        <v>0</v>
      </c>
      <c r="O47" s="366">
        <v>0</v>
      </c>
      <c r="P47" s="313">
        <v>0.14699999999999999</v>
      </c>
    </row>
    <row r="48" spans="6:16" x14ac:dyDescent="0.25">
      <c r="F48" s="176" t="s">
        <v>75</v>
      </c>
      <c r="G48" s="167"/>
      <c r="H48" s="167" t="s">
        <v>391</v>
      </c>
      <c r="I48" s="167"/>
      <c r="J48" s="313">
        <v>-0.46</v>
      </c>
      <c r="K48" s="313">
        <v>0</v>
      </c>
      <c r="L48" s="313">
        <v>0</v>
      </c>
      <c r="M48" s="366">
        <v>242.78</v>
      </c>
      <c r="N48" s="366">
        <v>0</v>
      </c>
      <c r="O48" s="366">
        <v>0</v>
      </c>
      <c r="P48" s="313">
        <v>0</v>
      </c>
    </row>
    <row r="49" spans="4:16" x14ac:dyDescent="0.25">
      <c r="F49" s="176" t="s">
        <v>76</v>
      </c>
      <c r="G49" s="167"/>
      <c r="H49" s="167" t="s">
        <v>391</v>
      </c>
      <c r="I49" s="167"/>
      <c r="J49" s="313">
        <v>-3.8380000000000001</v>
      </c>
      <c r="K49" s="313">
        <v>-0.22700000000000001</v>
      </c>
      <c r="L49" s="313">
        <v>-8.0000000000000002E-3</v>
      </c>
      <c r="M49" s="366">
        <v>242.78</v>
      </c>
      <c r="N49" s="366">
        <v>0</v>
      </c>
      <c r="O49" s="366">
        <v>0</v>
      </c>
      <c r="P49" s="313">
        <v>0.14699999999999999</v>
      </c>
    </row>
    <row r="50" spans="4:16" x14ac:dyDescent="0.25">
      <c r="F50" s="177" t="s">
        <v>77</v>
      </c>
      <c r="G50" s="168"/>
      <c r="H50" s="168" t="s">
        <v>391</v>
      </c>
      <c r="I50" s="168"/>
      <c r="J50" s="314">
        <v>-3.8380000000000001</v>
      </c>
      <c r="K50" s="314">
        <v>-0.22700000000000001</v>
      </c>
      <c r="L50" s="314">
        <v>-8.0000000000000002E-3</v>
      </c>
      <c r="M50" s="367">
        <v>242.78</v>
      </c>
      <c r="N50" s="367">
        <v>0</v>
      </c>
      <c r="O50" s="367">
        <v>0</v>
      </c>
      <c r="P50" s="314">
        <v>0</v>
      </c>
    </row>
    <row r="51" spans="4:16" x14ac:dyDescent="0.25">
      <c r="F51" s="175"/>
      <c r="J51" s="200"/>
      <c r="K51" s="200"/>
      <c r="L51" s="200"/>
      <c r="M51" s="368"/>
      <c r="N51" s="368"/>
      <c r="O51" s="368"/>
      <c r="P51" s="200"/>
    </row>
    <row r="52" spans="4:16" x14ac:dyDescent="0.25">
      <c r="D52" s="172"/>
      <c r="E52" s="172" t="str">
        <f>"LDNO LV tariff forecast (" &amp; charging_year_selected &amp; ")"</f>
        <v>LDNO LV tariff forecast (2020/21)</v>
      </c>
      <c r="F52" s="175"/>
      <c r="J52" s="200"/>
      <c r="K52" s="200"/>
      <c r="L52" s="200"/>
      <c r="M52" s="368"/>
      <c r="N52" s="368"/>
      <c r="O52" s="368"/>
      <c r="P52" s="200"/>
    </row>
    <row r="53" spans="4:16" x14ac:dyDescent="0.25">
      <c r="F53" s="180" t="s">
        <v>52</v>
      </c>
      <c r="G53" s="166"/>
      <c r="H53" s="166" t="s">
        <v>163</v>
      </c>
      <c r="I53" s="166"/>
      <c r="J53" s="312">
        <f t="array" ref="J53:P59">TRANSPOSE(Rounding!J98:P104)</f>
        <v>1.262</v>
      </c>
      <c r="K53" s="312">
        <v>0</v>
      </c>
      <c r="L53" s="312">
        <v>0</v>
      </c>
      <c r="M53" s="365">
        <v>2.29</v>
      </c>
      <c r="N53" s="365">
        <v>0</v>
      </c>
      <c r="O53" s="365">
        <v>0</v>
      </c>
      <c r="P53" s="312">
        <v>0</v>
      </c>
    </row>
    <row r="54" spans="4:16" x14ac:dyDescent="0.25">
      <c r="F54" s="176" t="s">
        <v>53</v>
      </c>
      <c r="G54" s="167"/>
      <c r="H54" s="167" t="s">
        <v>163</v>
      </c>
      <c r="I54" s="167"/>
      <c r="J54" s="313">
        <v>1.5569999999999999</v>
      </c>
      <c r="K54" s="313">
        <v>0.28799999999999998</v>
      </c>
      <c r="L54" s="313">
        <v>0</v>
      </c>
      <c r="M54" s="366">
        <v>2.29</v>
      </c>
      <c r="N54" s="366">
        <v>0</v>
      </c>
      <c r="O54" s="366">
        <v>0</v>
      </c>
      <c r="P54" s="313">
        <v>0</v>
      </c>
    </row>
    <row r="55" spans="4:16" x14ac:dyDescent="0.25">
      <c r="F55" s="176" t="s">
        <v>84</v>
      </c>
      <c r="G55" s="167"/>
      <c r="H55" s="167" t="s">
        <v>163</v>
      </c>
      <c r="I55" s="167"/>
      <c r="J55" s="313">
        <v>0.35</v>
      </c>
      <c r="K55" s="313">
        <v>0</v>
      </c>
      <c r="L55" s="313">
        <v>0</v>
      </c>
      <c r="M55" s="366">
        <v>0</v>
      </c>
      <c r="N55" s="366">
        <v>0</v>
      </c>
      <c r="O55" s="366">
        <v>0</v>
      </c>
      <c r="P55" s="313">
        <v>0</v>
      </c>
    </row>
    <row r="56" spans="4:16" x14ac:dyDescent="0.25">
      <c r="F56" s="176" t="s">
        <v>54</v>
      </c>
      <c r="G56" s="167"/>
      <c r="H56" s="167" t="s">
        <v>163</v>
      </c>
      <c r="I56" s="167"/>
      <c r="J56" s="313">
        <v>1.159</v>
      </c>
      <c r="K56" s="313">
        <v>0</v>
      </c>
      <c r="L56" s="313">
        <v>0</v>
      </c>
      <c r="M56" s="366">
        <v>3.43</v>
      </c>
      <c r="N56" s="366">
        <v>0</v>
      </c>
      <c r="O56" s="366">
        <v>0</v>
      </c>
      <c r="P56" s="313">
        <v>0</v>
      </c>
    </row>
    <row r="57" spans="4:16" x14ac:dyDescent="0.25">
      <c r="F57" s="176" t="s">
        <v>55</v>
      </c>
      <c r="G57" s="167"/>
      <c r="H57" s="167" t="s">
        <v>163</v>
      </c>
      <c r="I57" s="167"/>
      <c r="J57" s="313">
        <v>1.69</v>
      </c>
      <c r="K57" s="313">
        <v>0.38600000000000001</v>
      </c>
      <c r="L57" s="313">
        <v>0</v>
      </c>
      <c r="M57" s="366">
        <v>3.43</v>
      </c>
      <c r="N57" s="366">
        <v>0</v>
      </c>
      <c r="O57" s="366">
        <v>0</v>
      </c>
      <c r="P57" s="313">
        <v>0</v>
      </c>
    </row>
    <row r="58" spans="4:16" x14ac:dyDescent="0.25">
      <c r="F58" s="176" t="s">
        <v>85</v>
      </c>
      <c r="G58" s="167"/>
      <c r="H58" s="167" t="s">
        <v>163</v>
      </c>
      <c r="I58" s="167"/>
      <c r="J58" s="313">
        <v>0.434</v>
      </c>
      <c r="K58" s="313">
        <v>0</v>
      </c>
      <c r="L58" s="313">
        <v>0</v>
      </c>
      <c r="M58" s="366">
        <v>0</v>
      </c>
      <c r="N58" s="366">
        <v>0</v>
      </c>
      <c r="O58" s="366">
        <v>0</v>
      </c>
      <c r="P58" s="313">
        <v>0</v>
      </c>
    </row>
    <row r="59" spans="4:16" x14ac:dyDescent="0.25">
      <c r="F59" s="176" t="s">
        <v>56</v>
      </c>
      <c r="G59" s="167"/>
      <c r="H59" s="167" t="s">
        <v>163</v>
      </c>
      <c r="I59" s="167"/>
      <c r="J59" s="313">
        <v>0.96799999999999997</v>
      </c>
      <c r="K59" s="313">
        <v>0.28100000000000003</v>
      </c>
      <c r="L59" s="313">
        <v>0</v>
      </c>
      <c r="M59" s="366">
        <v>18.899999999999999</v>
      </c>
      <c r="N59" s="366">
        <v>0</v>
      </c>
      <c r="O59" s="366">
        <v>0</v>
      </c>
      <c r="P59" s="313">
        <v>0</v>
      </c>
    </row>
    <row r="60" spans="4:16" x14ac:dyDescent="0.25">
      <c r="F60" s="176" t="s">
        <v>57</v>
      </c>
      <c r="G60" s="167"/>
      <c r="H60" s="167" t="s">
        <v>163</v>
      </c>
      <c r="I60" s="167"/>
      <c r="J60" s="71"/>
      <c r="K60" s="71"/>
      <c r="L60" s="71"/>
      <c r="M60" s="465"/>
      <c r="N60" s="465"/>
      <c r="O60" s="465"/>
      <c r="P60" s="71"/>
    </row>
    <row r="61" spans="4:16" x14ac:dyDescent="0.25">
      <c r="F61" s="176" t="s">
        <v>72</v>
      </c>
      <c r="G61" s="167"/>
      <c r="H61" s="167" t="s">
        <v>163</v>
      </c>
      <c r="I61" s="167"/>
      <c r="J61" s="71"/>
      <c r="K61" s="71"/>
      <c r="L61" s="71"/>
      <c r="M61" s="465"/>
      <c r="N61" s="465"/>
      <c r="O61" s="465"/>
      <c r="P61" s="71"/>
    </row>
    <row r="62" spans="4:16" x14ac:dyDescent="0.25">
      <c r="F62" s="176" t="s">
        <v>58</v>
      </c>
      <c r="G62" s="167"/>
      <c r="H62" s="167" t="s">
        <v>163</v>
      </c>
      <c r="I62" s="167"/>
      <c r="J62" s="313">
        <f t="array" ref="J62:P64">TRANSPOSE(Rounding!S98:U104)</f>
        <v>5.6760000000000002</v>
      </c>
      <c r="K62" s="313">
        <v>0.78200000000000003</v>
      </c>
      <c r="L62" s="313">
        <v>0.252</v>
      </c>
      <c r="M62" s="366">
        <v>2.29</v>
      </c>
      <c r="N62" s="366">
        <v>0</v>
      </c>
      <c r="O62" s="366">
        <v>0</v>
      </c>
      <c r="P62" s="313">
        <v>0</v>
      </c>
    </row>
    <row r="63" spans="4:16" x14ac:dyDescent="0.25">
      <c r="F63" s="176" t="s">
        <v>59</v>
      </c>
      <c r="G63" s="167"/>
      <c r="H63" s="167" t="s">
        <v>163</v>
      </c>
      <c r="I63" s="167"/>
      <c r="J63" s="313">
        <v>5.98</v>
      </c>
      <c r="K63" s="313">
        <v>0.81399999999999995</v>
      </c>
      <c r="L63" s="313">
        <v>0.254</v>
      </c>
      <c r="M63" s="366">
        <v>3.43</v>
      </c>
      <c r="N63" s="366">
        <v>0</v>
      </c>
      <c r="O63" s="366">
        <v>0</v>
      </c>
      <c r="P63" s="313">
        <v>0</v>
      </c>
    </row>
    <row r="64" spans="4:16" x14ac:dyDescent="0.25">
      <c r="F64" s="176" t="s">
        <v>60</v>
      </c>
      <c r="G64" s="167"/>
      <c r="H64" s="167" t="s">
        <v>163</v>
      </c>
      <c r="I64" s="167"/>
      <c r="J64" s="313">
        <v>4.0910000000000002</v>
      </c>
      <c r="K64" s="313">
        <v>0.56499999999999995</v>
      </c>
      <c r="L64" s="313">
        <v>0.23799999999999999</v>
      </c>
      <c r="M64" s="366">
        <v>10.76</v>
      </c>
      <c r="N64" s="366">
        <v>1.58</v>
      </c>
      <c r="O64" s="366">
        <v>2.99</v>
      </c>
      <c r="P64" s="313">
        <v>0.13300000000000001</v>
      </c>
    </row>
    <row r="65" spans="6:16" x14ac:dyDescent="0.25">
      <c r="F65" s="176" t="s">
        <v>61</v>
      </c>
      <c r="G65" s="167"/>
      <c r="H65" s="167" t="s">
        <v>163</v>
      </c>
      <c r="I65" s="167"/>
      <c r="J65" s="71"/>
      <c r="K65" s="71"/>
      <c r="L65" s="71"/>
      <c r="M65" s="465"/>
      <c r="N65" s="465"/>
      <c r="O65" s="465"/>
      <c r="P65" s="71"/>
    </row>
    <row r="66" spans="6:16" x14ac:dyDescent="0.25">
      <c r="F66" s="176" t="s">
        <v>73</v>
      </c>
      <c r="G66" s="167"/>
      <c r="H66" s="167" t="s">
        <v>163</v>
      </c>
      <c r="I66" s="167"/>
      <c r="J66" s="71"/>
      <c r="K66" s="71"/>
      <c r="L66" s="71"/>
      <c r="M66" s="465"/>
      <c r="N66" s="465"/>
      <c r="O66" s="465"/>
      <c r="P66" s="71"/>
    </row>
    <row r="67" spans="6:16" x14ac:dyDescent="0.25">
      <c r="F67" s="176" t="s">
        <v>86</v>
      </c>
      <c r="G67" s="167"/>
      <c r="H67" s="167" t="s">
        <v>163</v>
      </c>
      <c r="I67" s="167"/>
      <c r="J67" s="313">
        <f t="array" ref="J67:P72">TRANSPOSE(Rounding!X98:AC104)</f>
        <v>1.6970000000000001</v>
      </c>
      <c r="K67" s="313">
        <v>0</v>
      </c>
      <c r="L67" s="313">
        <v>0</v>
      </c>
      <c r="M67" s="366">
        <v>0</v>
      </c>
      <c r="N67" s="366">
        <v>0</v>
      </c>
      <c r="O67" s="366">
        <v>0</v>
      </c>
      <c r="P67" s="313">
        <v>0</v>
      </c>
    </row>
    <row r="68" spans="6:16" x14ac:dyDescent="0.25">
      <c r="F68" s="176" t="s">
        <v>87</v>
      </c>
      <c r="G68" s="167"/>
      <c r="H68" s="167" t="s">
        <v>163</v>
      </c>
      <c r="I68" s="167"/>
      <c r="J68" s="313">
        <v>1.734</v>
      </c>
      <c r="K68" s="313">
        <v>0</v>
      </c>
      <c r="L68" s="313">
        <v>0</v>
      </c>
      <c r="M68" s="366">
        <v>0</v>
      </c>
      <c r="N68" s="366">
        <v>0</v>
      </c>
      <c r="O68" s="366">
        <v>0</v>
      </c>
      <c r="P68" s="313">
        <v>0</v>
      </c>
    </row>
    <row r="69" spans="6:16" x14ac:dyDescent="0.25">
      <c r="F69" s="176" t="s">
        <v>88</v>
      </c>
      <c r="G69" s="167"/>
      <c r="H69" s="167" t="s">
        <v>163</v>
      </c>
      <c r="I69" s="167"/>
      <c r="J69" s="313">
        <v>2.2189999999999999</v>
      </c>
      <c r="K69" s="313">
        <v>0</v>
      </c>
      <c r="L69" s="313">
        <v>0</v>
      </c>
      <c r="M69" s="366">
        <v>0</v>
      </c>
      <c r="N69" s="366">
        <v>0</v>
      </c>
      <c r="O69" s="366">
        <v>0</v>
      </c>
      <c r="P69" s="313">
        <v>0</v>
      </c>
    </row>
    <row r="70" spans="6:16" x14ac:dyDescent="0.25">
      <c r="F70" s="176" t="s">
        <v>89</v>
      </c>
      <c r="G70" s="167"/>
      <c r="H70" s="167" t="s">
        <v>163</v>
      </c>
      <c r="I70" s="167"/>
      <c r="J70" s="313">
        <v>1.704</v>
      </c>
      <c r="K70" s="313">
        <v>0</v>
      </c>
      <c r="L70" s="313">
        <v>0</v>
      </c>
      <c r="M70" s="366">
        <v>0</v>
      </c>
      <c r="N70" s="366">
        <v>0</v>
      </c>
      <c r="O70" s="366">
        <v>0</v>
      </c>
      <c r="P70" s="313">
        <v>0</v>
      </c>
    </row>
    <row r="71" spans="6:16" x14ac:dyDescent="0.25">
      <c r="F71" s="176" t="s">
        <v>90</v>
      </c>
      <c r="G71" s="167"/>
      <c r="H71" s="167" t="s">
        <v>163</v>
      </c>
      <c r="I71" s="167"/>
      <c r="J71" s="313">
        <v>8.9540000000000006</v>
      </c>
      <c r="K71" s="313">
        <v>1.681</v>
      </c>
      <c r="L71" s="313">
        <v>1.2</v>
      </c>
      <c r="M71" s="366">
        <v>0</v>
      </c>
      <c r="N71" s="366">
        <v>0</v>
      </c>
      <c r="O71" s="366">
        <v>0</v>
      </c>
      <c r="P71" s="313">
        <v>0</v>
      </c>
    </row>
    <row r="72" spans="6:16" x14ac:dyDescent="0.25">
      <c r="F72" s="176" t="s">
        <v>62</v>
      </c>
      <c r="G72" s="167"/>
      <c r="H72" s="167" t="s">
        <v>163</v>
      </c>
      <c r="I72" s="167"/>
      <c r="J72" s="313">
        <v>-0.79400000000000004</v>
      </c>
      <c r="K72" s="313">
        <v>0</v>
      </c>
      <c r="L72" s="313">
        <v>0</v>
      </c>
      <c r="M72" s="366">
        <v>0</v>
      </c>
      <c r="N72" s="366">
        <v>0</v>
      </c>
      <c r="O72" s="366">
        <v>0</v>
      </c>
      <c r="P72" s="313">
        <v>0</v>
      </c>
    </row>
    <row r="73" spans="6:16" x14ac:dyDescent="0.25">
      <c r="F73" s="176" t="s">
        <v>63</v>
      </c>
      <c r="G73" s="167"/>
      <c r="H73" s="167" t="s">
        <v>163</v>
      </c>
      <c r="I73" s="167"/>
      <c r="J73" s="71"/>
      <c r="K73" s="71"/>
      <c r="L73" s="71"/>
      <c r="M73" s="465"/>
      <c r="N73" s="465"/>
      <c r="O73" s="465"/>
      <c r="P73" s="71"/>
    </row>
    <row r="74" spans="6:16" x14ac:dyDescent="0.25">
      <c r="F74" s="176" t="s">
        <v>64</v>
      </c>
      <c r="G74" s="167"/>
      <c r="H74" s="167" t="s">
        <v>163</v>
      </c>
      <c r="I74" s="167"/>
      <c r="J74" s="313">
        <f t="array" ref="J74:P74">TRANSPOSE(Rounding!AE98:AE104)</f>
        <v>-0.79400000000000004</v>
      </c>
      <c r="K74" s="313">
        <v>0</v>
      </c>
      <c r="L74" s="313">
        <v>0</v>
      </c>
      <c r="M74" s="366">
        <v>0</v>
      </c>
      <c r="N74" s="366">
        <v>0</v>
      </c>
      <c r="O74" s="366">
        <v>0</v>
      </c>
      <c r="P74" s="313">
        <v>0.186</v>
      </c>
    </row>
    <row r="75" spans="6:16" x14ac:dyDescent="0.25">
      <c r="F75" s="176" t="s">
        <v>65</v>
      </c>
      <c r="G75" s="167"/>
      <c r="H75" s="167" t="s">
        <v>163</v>
      </c>
      <c r="I75" s="167"/>
      <c r="J75" s="71"/>
      <c r="K75" s="71"/>
      <c r="L75" s="71"/>
      <c r="M75" s="465"/>
      <c r="N75" s="465"/>
      <c r="O75" s="465"/>
      <c r="P75" s="71"/>
    </row>
    <row r="76" spans="6:16" x14ac:dyDescent="0.25">
      <c r="F76" s="176" t="s">
        <v>66</v>
      </c>
      <c r="G76" s="167"/>
      <c r="H76" s="167" t="s">
        <v>163</v>
      </c>
      <c r="I76" s="167"/>
      <c r="J76" s="313">
        <f t="array" ref="J76:P76">TRANSPOSE(Rounding!AG98:AG104)</f>
        <v>-5.5359999999999996</v>
      </c>
      <c r="K76" s="313">
        <v>-0.57099999999999995</v>
      </c>
      <c r="L76" s="313">
        <v>-3.3000000000000002E-2</v>
      </c>
      <c r="M76" s="366">
        <v>0</v>
      </c>
      <c r="N76" s="366">
        <v>0</v>
      </c>
      <c r="O76" s="366">
        <v>0</v>
      </c>
      <c r="P76" s="313">
        <v>0.186</v>
      </c>
    </row>
    <row r="77" spans="6:16" x14ac:dyDescent="0.25">
      <c r="F77" s="176" t="s">
        <v>67</v>
      </c>
      <c r="G77" s="167"/>
      <c r="H77" s="167" t="s">
        <v>163</v>
      </c>
      <c r="I77" s="167"/>
      <c r="J77" s="71"/>
      <c r="K77" s="71"/>
      <c r="L77" s="71"/>
      <c r="M77" s="465"/>
      <c r="N77" s="465"/>
      <c r="O77" s="465"/>
      <c r="P77" s="71"/>
    </row>
    <row r="78" spans="6:16" x14ac:dyDescent="0.25">
      <c r="F78" s="176" t="s">
        <v>68</v>
      </c>
      <c r="G78" s="167"/>
      <c r="H78" s="167" t="s">
        <v>163</v>
      </c>
      <c r="I78" s="167"/>
      <c r="J78" s="71"/>
      <c r="K78" s="71"/>
      <c r="L78" s="71"/>
      <c r="M78" s="465"/>
      <c r="N78" s="465"/>
      <c r="O78" s="465"/>
      <c r="P78" s="71"/>
    </row>
    <row r="79" spans="6:16" x14ac:dyDescent="0.25">
      <c r="F79" s="176" t="s">
        <v>69</v>
      </c>
      <c r="G79" s="167"/>
      <c r="H79" s="167" t="s">
        <v>163</v>
      </c>
      <c r="I79" s="167"/>
      <c r="J79" s="71"/>
      <c r="K79" s="71"/>
      <c r="L79" s="71"/>
      <c r="M79" s="465"/>
      <c r="N79" s="465"/>
      <c r="O79" s="465"/>
      <c r="P79" s="71"/>
    </row>
    <row r="80" spans="6:16" x14ac:dyDescent="0.25">
      <c r="F80" s="176" t="s">
        <v>70</v>
      </c>
      <c r="G80" s="167"/>
      <c r="H80" s="167" t="s">
        <v>163</v>
      </c>
      <c r="I80" s="167"/>
      <c r="J80" s="71"/>
      <c r="K80" s="71"/>
      <c r="L80" s="71"/>
      <c r="M80" s="465"/>
      <c r="N80" s="465"/>
      <c r="O80" s="465"/>
      <c r="P80" s="71"/>
    </row>
    <row r="81" spans="4:19" x14ac:dyDescent="0.25">
      <c r="F81" s="176" t="s">
        <v>71</v>
      </c>
      <c r="G81" s="167"/>
      <c r="H81" s="167" t="s">
        <v>163</v>
      </c>
      <c r="I81" s="167"/>
      <c r="J81" s="71"/>
      <c r="K81" s="71"/>
      <c r="L81" s="71"/>
      <c r="M81" s="465"/>
      <c r="N81" s="465"/>
      <c r="O81" s="465"/>
      <c r="P81" s="71"/>
    </row>
    <row r="82" spans="4:19" x14ac:dyDescent="0.25">
      <c r="F82" s="176" t="s">
        <v>74</v>
      </c>
      <c r="G82" s="167"/>
      <c r="H82" s="167" t="s">
        <v>163</v>
      </c>
      <c r="I82" s="167"/>
      <c r="J82" s="71"/>
      <c r="K82" s="71"/>
      <c r="L82" s="71"/>
      <c r="M82" s="465"/>
      <c r="N82" s="465"/>
      <c r="O82" s="465"/>
      <c r="P82" s="71"/>
    </row>
    <row r="83" spans="4:19" x14ac:dyDescent="0.25">
      <c r="F83" s="176" t="s">
        <v>75</v>
      </c>
      <c r="G83" s="167"/>
      <c r="H83" s="167" t="s">
        <v>163</v>
      </c>
      <c r="I83" s="167"/>
      <c r="J83" s="71"/>
      <c r="K83" s="71"/>
      <c r="L83" s="71"/>
      <c r="M83" s="465"/>
      <c r="N83" s="465"/>
      <c r="O83" s="465"/>
      <c r="P83" s="71"/>
    </row>
    <row r="84" spans="4:19" x14ac:dyDescent="0.25">
      <c r="F84" s="176" t="s">
        <v>76</v>
      </c>
      <c r="G84" s="167"/>
      <c r="H84" s="167" t="s">
        <v>163</v>
      </c>
      <c r="I84" s="167"/>
      <c r="J84" s="71"/>
      <c r="K84" s="71"/>
      <c r="L84" s="71"/>
      <c r="M84" s="465"/>
      <c r="N84" s="465"/>
      <c r="O84" s="465"/>
      <c r="P84" s="71"/>
    </row>
    <row r="85" spans="4:19" x14ac:dyDescent="0.25">
      <c r="F85" s="177" t="s">
        <v>77</v>
      </c>
      <c r="G85" s="168"/>
      <c r="H85" s="168" t="s">
        <v>163</v>
      </c>
      <c r="I85" s="168"/>
      <c r="J85" s="347"/>
      <c r="K85" s="347"/>
      <c r="L85" s="347"/>
      <c r="M85" s="466"/>
      <c r="N85" s="466"/>
      <c r="O85" s="466"/>
      <c r="P85" s="347"/>
    </row>
    <row r="86" spans="4:19" x14ac:dyDescent="0.25">
      <c r="D86" s="338"/>
      <c r="E86" s="338"/>
      <c r="F86" s="338"/>
      <c r="G86" s="338"/>
      <c r="H86" s="338"/>
      <c r="I86" s="338"/>
      <c r="J86" s="338"/>
      <c r="K86" s="338"/>
      <c r="L86" s="338"/>
      <c r="M86" s="369"/>
      <c r="N86" s="369"/>
      <c r="O86" s="369"/>
      <c r="P86" s="338"/>
      <c r="Q86" s="338"/>
      <c r="R86" s="338"/>
      <c r="S86" s="338"/>
    </row>
    <row r="87" spans="4:19" x14ac:dyDescent="0.25">
      <c r="D87" s="172"/>
      <c r="E87" s="172" t="str">
        <f>"LDNO HV tariff forecast (" &amp; charging_year_selected &amp; ")"</f>
        <v>LDNO HV tariff forecast (2020/21)</v>
      </c>
      <c r="F87" s="338"/>
      <c r="G87" s="338"/>
      <c r="H87" s="338"/>
      <c r="I87" s="338"/>
      <c r="J87" s="338"/>
      <c r="K87" s="338"/>
      <c r="L87" s="338"/>
      <c r="M87" s="369"/>
      <c r="N87" s="369"/>
      <c r="O87" s="369"/>
      <c r="P87" s="338"/>
      <c r="Q87" s="338"/>
      <c r="R87" s="338"/>
      <c r="S87" s="338"/>
    </row>
    <row r="88" spans="4:19" x14ac:dyDescent="0.25">
      <c r="F88" s="180" t="s">
        <v>52</v>
      </c>
      <c r="G88" s="166"/>
      <c r="H88" s="166" t="s">
        <v>164</v>
      </c>
      <c r="I88" s="166"/>
      <c r="J88" s="312">
        <f t="array" ref="J88:P94">TRANSPOSE(Rounding!J107:P113)</f>
        <v>0.83899999999999997</v>
      </c>
      <c r="K88" s="312">
        <v>0</v>
      </c>
      <c r="L88" s="312">
        <v>0</v>
      </c>
      <c r="M88" s="365">
        <v>1.52</v>
      </c>
      <c r="N88" s="365">
        <v>0</v>
      </c>
      <c r="O88" s="365">
        <v>0</v>
      </c>
      <c r="P88" s="312">
        <v>0</v>
      </c>
    </row>
    <row r="89" spans="4:19" x14ac:dyDescent="0.25">
      <c r="F89" s="176" t="s">
        <v>53</v>
      </c>
      <c r="G89" s="167"/>
      <c r="H89" s="167" t="s">
        <v>164</v>
      </c>
      <c r="I89" s="167"/>
      <c r="J89" s="313">
        <v>1.036</v>
      </c>
      <c r="K89" s="313">
        <v>0.191</v>
      </c>
      <c r="L89" s="313">
        <v>0</v>
      </c>
      <c r="M89" s="366">
        <v>1.52</v>
      </c>
      <c r="N89" s="366">
        <v>0</v>
      </c>
      <c r="O89" s="366">
        <v>0</v>
      </c>
      <c r="P89" s="313">
        <v>0</v>
      </c>
    </row>
    <row r="90" spans="4:19" x14ac:dyDescent="0.25">
      <c r="F90" s="176" t="s">
        <v>84</v>
      </c>
      <c r="G90" s="167"/>
      <c r="H90" s="167" t="s">
        <v>164</v>
      </c>
      <c r="I90" s="167"/>
      <c r="J90" s="313">
        <v>0.23300000000000001</v>
      </c>
      <c r="K90" s="313">
        <v>0</v>
      </c>
      <c r="L90" s="313">
        <v>0</v>
      </c>
      <c r="M90" s="366">
        <v>0</v>
      </c>
      <c r="N90" s="366">
        <v>0</v>
      </c>
      <c r="O90" s="366">
        <v>0</v>
      </c>
      <c r="P90" s="313">
        <v>0</v>
      </c>
    </row>
    <row r="91" spans="4:19" x14ac:dyDescent="0.25">
      <c r="F91" s="176" t="s">
        <v>54</v>
      </c>
      <c r="G91" s="167"/>
      <c r="H91" s="167" t="s">
        <v>164</v>
      </c>
      <c r="I91" s="167"/>
      <c r="J91" s="313">
        <v>0.77100000000000002</v>
      </c>
      <c r="K91" s="313">
        <v>0</v>
      </c>
      <c r="L91" s="313">
        <v>0</v>
      </c>
      <c r="M91" s="366">
        <v>2.2799999999999998</v>
      </c>
      <c r="N91" s="366">
        <v>0</v>
      </c>
      <c r="O91" s="366">
        <v>0</v>
      </c>
      <c r="P91" s="313">
        <v>0</v>
      </c>
    </row>
    <row r="92" spans="4:19" x14ac:dyDescent="0.25">
      <c r="F92" s="176" t="s">
        <v>55</v>
      </c>
      <c r="G92" s="167"/>
      <c r="H92" s="167" t="s">
        <v>164</v>
      </c>
      <c r="I92" s="167"/>
      <c r="J92" s="313">
        <v>1.1240000000000001</v>
      </c>
      <c r="K92" s="313">
        <v>0.25700000000000001</v>
      </c>
      <c r="L92" s="313">
        <v>0</v>
      </c>
      <c r="M92" s="366">
        <v>2.2799999999999998</v>
      </c>
      <c r="N92" s="366">
        <v>0</v>
      </c>
      <c r="O92" s="366">
        <v>0</v>
      </c>
      <c r="P92" s="313">
        <v>0</v>
      </c>
    </row>
    <row r="93" spans="4:19" x14ac:dyDescent="0.25">
      <c r="F93" s="176" t="s">
        <v>85</v>
      </c>
      <c r="G93" s="167"/>
      <c r="H93" s="167" t="s">
        <v>164</v>
      </c>
      <c r="I93" s="167"/>
      <c r="J93" s="313">
        <v>0.28899999999999998</v>
      </c>
      <c r="K93" s="313">
        <v>0</v>
      </c>
      <c r="L93" s="313">
        <v>0</v>
      </c>
      <c r="M93" s="366">
        <v>0</v>
      </c>
      <c r="N93" s="366">
        <v>0</v>
      </c>
      <c r="O93" s="366">
        <v>0</v>
      </c>
      <c r="P93" s="313">
        <v>0</v>
      </c>
    </row>
    <row r="94" spans="4:19" x14ac:dyDescent="0.25">
      <c r="F94" s="176" t="s">
        <v>56</v>
      </c>
      <c r="G94" s="167"/>
      <c r="H94" s="167" t="s">
        <v>164</v>
      </c>
      <c r="I94" s="167"/>
      <c r="J94" s="313">
        <v>0.64400000000000002</v>
      </c>
      <c r="K94" s="313">
        <v>0.187</v>
      </c>
      <c r="L94" s="313">
        <v>0</v>
      </c>
      <c r="M94" s="366">
        <v>12.58</v>
      </c>
      <c r="N94" s="366">
        <v>0</v>
      </c>
      <c r="O94" s="366">
        <v>0</v>
      </c>
      <c r="P94" s="313">
        <v>0</v>
      </c>
    </row>
    <row r="95" spans="4:19" x14ac:dyDescent="0.25">
      <c r="F95" s="176" t="s">
        <v>57</v>
      </c>
      <c r="G95" s="167"/>
      <c r="H95" s="167" t="s">
        <v>164</v>
      </c>
      <c r="I95" s="167"/>
      <c r="J95" s="71"/>
      <c r="K95" s="71"/>
      <c r="L95" s="71"/>
      <c r="M95" s="465"/>
      <c r="N95" s="465"/>
      <c r="O95" s="465"/>
      <c r="P95" s="71"/>
    </row>
    <row r="96" spans="4:19" x14ac:dyDescent="0.25">
      <c r="F96" s="176" t="s">
        <v>72</v>
      </c>
      <c r="G96" s="167"/>
      <c r="H96" s="167" t="s">
        <v>164</v>
      </c>
      <c r="I96" s="167"/>
      <c r="J96" s="71"/>
      <c r="K96" s="71"/>
      <c r="L96" s="71"/>
      <c r="M96" s="465"/>
      <c r="N96" s="465"/>
      <c r="O96" s="465"/>
      <c r="P96" s="71"/>
    </row>
    <row r="97" spans="6:16" x14ac:dyDescent="0.25">
      <c r="F97" s="176" t="s">
        <v>58</v>
      </c>
      <c r="G97" s="167"/>
      <c r="H97" s="167" t="s">
        <v>164</v>
      </c>
      <c r="I97" s="167"/>
      <c r="J97" s="313">
        <f t="array" ref="J97:P109">TRANSPOSE(Rounding!S107:AE113)</f>
        <v>3.7759999999999998</v>
      </c>
      <c r="K97" s="313">
        <v>0.52</v>
      </c>
      <c r="L97" s="313">
        <v>0.16800000000000001</v>
      </c>
      <c r="M97" s="366">
        <v>1.52</v>
      </c>
      <c r="N97" s="366">
        <v>0</v>
      </c>
      <c r="O97" s="366">
        <v>0</v>
      </c>
      <c r="P97" s="313">
        <v>0</v>
      </c>
    </row>
    <row r="98" spans="6:16" x14ac:dyDescent="0.25">
      <c r="F98" s="176" t="s">
        <v>59</v>
      </c>
      <c r="G98" s="167"/>
      <c r="H98" s="167" t="s">
        <v>164</v>
      </c>
      <c r="I98" s="167"/>
      <c r="J98" s="313">
        <v>3.9780000000000002</v>
      </c>
      <c r="K98" s="313">
        <v>0.54100000000000004</v>
      </c>
      <c r="L98" s="313">
        <v>0.16900000000000001</v>
      </c>
      <c r="M98" s="366">
        <v>2.2799999999999998</v>
      </c>
      <c r="N98" s="366">
        <v>0</v>
      </c>
      <c r="O98" s="366">
        <v>0</v>
      </c>
      <c r="P98" s="313">
        <v>0</v>
      </c>
    </row>
    <row r="99" spans="6:16" x14ac:dyDescent="0.25">
      <c r="F99" s="176" t="s">
        <v>60</v>
      </c>
      <c r="G99" s="167"/>
      <c r="H99" s="167" t="s">
        <v>164</v>
      </c>
      <c r="I99" s="167"/>
      <c r="J99" s="313">
        <v>2.722</v>
      </c>
      <c r="K99" s="313">
        <v>0.376</v>
      </c>
      <c r="L99" s="313">
        <v>0.158</v>
      </c>
      <c r="M99" s="366">
        <v>7.16</v>
      </c>
      <c r="N99" s="366">
        <v>1.05</v>
      </c>
      <c r="O99" s="366">
        <v>1.99</v>
      </c>
      <c r="P99" s="313">
        <v>8.8999999999999996E-2</v>
      </c>
    </row>
    <row r="100" spans="6:16" x14ac:dyDescent="0.25">
      <c r="F100" s="176" t="s">
        <v>61</v>
      </c>
      <c r="G100" s="167"/>
      <c r="H100" s="167" t="s">
        <v>164</v>
      </c>
      <c r="I100" s="167"/>
      <c r="J100" s="313">
        <v>3.367</v>
      </c>
      <c r="K100" s="313">
        <v>0.41899999999999998</v>
      </c>
      <c r="L100" s="313">
        <v>0.24</v>
      </c>
      <c r="M100" s="366">
        <v>17.84</v>
      </c>
      <c r="N100" s="366">
        <v>2.96</v>
      </c>
      <c r="O100" s="366">
        <v>3.99</v>
      </c>
      <c r="P100" s="313">
        <v>8.8999999999999996E-2</v>
      </c>
    </row>
    <row r="101" spans="6:16" x14ac:dyDescent="0.25">
      <c r="F101" s="176" t="s">
        <v>73</v>
      </c>
      <c r="G101" s="167"/>
      <c r="H101" s="167" t="s">
        <v>164</v>
      </c>
      <c r="I101" s="167"/>
      <c r="J101" s="313">
        <v>2.8079999999999998</v>
      </c>
      <c r="K101" s="313">
        <v>0.39500000000000002</v>
      </c>
      <c r="L101" s="313">
        <v>0.27100000000000002</v>
      </c>
      <c r="M101" s="366">
        <v>116.77</v>
      </c>
      <c r="N101" s="366">
        <v>4.18</v>
      </c>
      <c r="O101" s="366">
        <v>5.19</v>
      </c>
      <c r="P101" s="313">
        <v>6.8000000000000005E-2</v>
      </c>
    </row>
    <row r="102" spans="6:16" x14ac:dyDescent="0.25">
      <c r="F102" s="176" t="s">
        <v>86</v>
      </c>
      <c r="G102" s="167"/>
      <c r="H102" s="167" t="s">
        <v>164</v>
      </c>
      <c r="I102" s="167"/>
      <c r="J102" s="313">
        <v>1.129</v>
      </c>
      <c r="K102" s="313">
        <v>0</v>
      </c>
      <c r="L102" s="313">
        <v>0</v>
      </c>
      <c r="M102" s="366">
        <v>0</v>
      </c>
      <c r="N102" s="366">
        <v>0</v>
      </c>
      <c r="O102" s="366">
        <v>0</v>
      </c>
      <c r="P102" s="313">
        <v>0</v>
      </c>
    </row>
    <row r="103" spans="6:16" x14ac:dyDescent="0.25">
      <c r="F103" s="176" t="s">
        <v>87</v>
      </c>
      <c r="G103" s="167"/>
      <c r="H103" s="167" t="s">
        <v>164</v>
      </c>
      <c r="I103" s="167"/>
      <c r="J103" s="313">
        <v>1.153</v>
      </c>
      <c r="K103" s="313">
        <v>0</v>
      </c>
      <c r="L103" s="313">
        <v>0</v>
      </c>
      <c r="M103" s="366">
        <v>0</v>
      </c>
      <c r="N103" s="366">
        <v>0</v>
      </c>
      <c r="O103" s="366">
        <v>0</v>
      </c>
      <c r="P103" s="313">
        <v>0</v>
      </c>
    </row>
    <row r="104" spans="6:16" x14ac:dyDescent="0.25">
      <c r="F104" s="176" t="s">
        <v>88</v>
      </c>
      <c r="G104" s="167"/>
      <c r="H104" s="167" t="s">
        <v>164</v>
      </c>
      <c r="I104" s="167"/>
      <c r="J104" s="313">
        <v>1.476</v>
      </c>
      <c r="K104" s="313">
        <v>0</v>
      </c>
      <c r="L104" s="313">
        <v>0</v>
      </c>
      <c r="M104" s="366">
        <v>0</v>
      </c>
      <c r="N104" s="366">
        <v>0</v>
      </c>
      <c r="O104" s="366">
        <v>0</v>
      </c>
      <c r="P104" s="313">
        <v>0</v>
      </c>
    </row>
    <row r="105" spans="6:16" x14ac:dyDescent="0.25">
      <c r="F105" s="176" t="s">
        <v>89</v>
      </c>
      <c r="G105" s="167"/>
      <c r="H105" s="167" t="s">
        <v>164</v>
      </c>
      <c r="I105" s="167"/>
      <c r="J105" s="313">
        <v>1.133</v>
      </c>
      <c r="K105" s="313">
        <v>0</v>
      </c>
      <c r="L105" s="313">
        <v>0</v>
      </c>
      <c r="M105" s="366">
        <v>0</v>
      </c>
      <c r="N105" s="366">
        <v>0</v>
      </c>
      <c r="O105" s="366">
        <v>0</v>
      </c>
      <c r="P105" s="313">
        <v>0</v>
      </c>
    </row>
    <row r="106" spans="6:16" x14ac:dyDescent="0.25">
      <c r="F106" s="176" t="s">
        <v>90</v>
      </c>
      <c r="G106" s="167"/>
      <c r="H106" s="167" t="s">
        <v>164</v>
      </c>
      <c r="I106" s="167"/>
      <c r="J106" s="313">
        <v>5.9569999999999999</v>
      </c>
      <c r="K106" s="313">
        <v>1.1180000000000001</v>
      </c>
      <c r="L106" s="313">
        <v>0.79800000000000004</v>
      </c>
      <c r="M106" s="366">
        <v>0</v>
      </c>
      <c r="N106" s="366">
        <v>0</v>
      </c>
      <c r="O106" s="366">
        <v>0</v>
      </c>
      <c r="P106" s="313">
        <v>0</v>
      </c>
    </row>
    <row r="107" spans="6:16" x14ac:dyDescent="0.25">
      <c r="F107" s="176" t="s">
        <v>62</v>
      </c>
      <c r="G107" s="167"/>
      <c r="H107" s="167" t="s">
        <v>164</v>
      </c>
      <c r="I107" s="167"/>
      <c r="J107" s="313">
        <v>-0.79400000000000004</v>
      </c>
      <c r="K107" s="313">
        <v>0</v>
      </c>
      <c r="L107" s="313">
        <v>0</v>
      </c>
      <c r="M107" s="366">
        <v>0</v>
      </c>
      <c r="N107" s="366">
        <v>0</v>
      </c>
      <c r="O107" s="366">
        <v>0</v>
      </c>
      <c r="P107" s="313">
        <v>0</v>
      </c>
    </row>
    <row r="108" spans="6:16" x14ac:dyDescent="0.25">
      <c r="F108" s="176" t="s">
        <v>63</v>
      </c>
      <c r="G108" s="167"/>
      <c r="H108" s="167" t="s">
        <v>164</v>
      </c>
      <c r="I108" s="167"/>
      <c r="J108" s="313">
        <v>-0.69499999999999995</v>
      </c>
      <c r="K108" s="313">
        <v>0</v>
      </c>
      <c r="L108" s="313">
        <v>0</v>
      </c>
      <c r="M108" s="366">
        <v>0</v>
      </c>
      <c r="N108" s="366">
        <v>0</v>
      </c>
      <c r="O108" s="366">
        <v>0</v>
      </c>
      <c r="P108" s="313">
        <v>0</v>
      </c>
    </row>
    <row r="109" spans="6:16" x14ac:dyDescent="0.25">
      <c r="F109" s="176" t="s">
        <v>64</v>
      </c>
      <c r="G109" s="167"/>
      <c r="H109" s="167" t="s">
        <v>164</v>
      </c>
      <c r="I109" s="167"/>
      <c r="J109" s="313">
        <v>-0.79400000000000004</v>
      </c>
      <c r="K109" s="313">
        <v>0</v>
      </c>
      <c r="L109" s="313">
        <v>0</v>
      </c>
      <c r="M109" s="366">
        <v>0</v>
      </c>
      <c r="N109" s="366">
        <v>0</v>
      </c>
      <c r="O109" s="366">
        <v>0</v>
      </c>
      <c r="P109" s="313">
        <v>0.186</v>
      </c>
    </row>
    <row r="110" spans="6:16" x14ac:dyDescent="0.25">
      <c r="F110" s="176" t="s">
        <v>65</v>
      </c>
      <c r="G110" s="167"/>
      <c r="H110" s="167" t="s">
        <v>164</v>
      </c>
      <c r="I110" s="167"/>
      <c r="J110" s="71"/>
      <c r="K110" s="71"/>
      <c r="L110" s="71"/>
      <c r="M110" s="465"/>
      <c r="N110" s="465"/>
      <c r="O110" s="465"/>
      <c r="P110" s="71"/>
    </row>
    <row r="111" spans="6:16" x14ac:dyDescent="0.25">
      <c r="F111" s="176" t="s">
        <v>66</v>
      </c>
      <c r="G111" s="167"/>
      <c r="H111" s="167" t="s">
        <v>164</v>
      </c>
      <c r="I111" s="167"/>
      <c r="J111" s="313">
        <f t="array" ref="J111:P111">TRANSPOSE(Rounding!AG107:AG113)</f>
        <v>-5.5359999999999996</v>
      </c>
      <c r="K111" s="313">
        <v>-0.57099999999999995</v>
      </c>
      <c r="L111" s="313">
        <v>-3.3000000000000002E-2</v>
      </c>
      <c r="M111" s="366">
        <v>0</v>
      </c>
      <c r="N111" s="366">
        <v>0</v>
      </c>
      <c r="O111" s="366">
        <v>0</v>
      </c>
      <c r="P111" s="313">
        <v>0.186</v>
      </c>
    </row>
    <row r="112" spans="6:16" x14ac:dyDescent="0.25">
      <c r="F112" s="176" t="s">
        <v>67</v>
      </c>
      <c r="G112" s="167"/>
      <c r="H112" s="167" t="s">
        <v>164</v>
      </c>
      <c r="I112" s="167"/>
      <c r="J112" s="71"/>
      <c r="K112" s="71"/>
      <c r="L112" s="71"/>
      <c r="M112" s="465"/>
      <c r="N112" s="465"/>
      <c r="O112" s="465"/>
      <c r="P112" s="71"/>
    </row>
    <row r="113" spans="3:19" x14ac:dyDescent="0.25">
      <c r="F113" s="176" t="s">
        <v>68</v>
      </c>
      <c r="G113" s="167"/>
      <c r="H113" s="167" t="s">
        <v>164</v>
      </c>
      <c r="I113" s="167"/>
      <c r="J113" s="313">
        <f t="array" ref="J113:P113">TRANSPOSE(Rounding!AI107:AI113)</f>
        <v>-0.69499999999999995</v>
      </c>
      <c r="K113" s="313">
        <v>0</v>
      </c>
      <c r="L113" s="313">
        <v>0</v>
      </c>
      <c r="M113" s="366">
        <v>0</v>
      </c>
      <c r="N113" s="366">
        <v>0</v>
      </c>
      <c r="O113" s="366">
        <v>0</v>
      </c>
      <c r="P113" s="313">
        <v>0.16600000000000001</v>
      </c>
    </row>
    <row r="114" spans="3:19" x14ac:dyDescent="0.25">
      <c r="F114" s="176" t="s">
        <v>69</v>
      </c>
      <c r="G114" s="167"/>
      <c r="H114" s="167" t="s">
        <v>164</v>
      </c>
      <c r="I114" s="167"/>
      <c r="J114" s="71"/>
      <c r="K114" s="71"/>
      <c r="L114" s="71"/>
      <c r="M114" s="465"/>
      <c r="N114" s="465"/>
      <c r="O114" s="465"/>
      <c r="P114" s="71"/>
    </row>
    <row r="115" spans="3:19" x14ac:dyDescent="0.25">
      <c r="F115" s="176" t="s">
        <v>70</v>
      </c>
      <c r="G115" s="167"/>
      <c r="H115" s="167" t="s">
        <v>164</v>
      </c>
      <c r="I115" s="167"/>
      <c r="J115" s="313">
        <f t="array" ref="J115:P115">TRANSPOSE(Rounding!AK107:AK113)</f>
        <v>-4.9939999999999998</v>
      </c>
      <c r="K115" s="313">
        <v>-0.47499999999999998</v>
      </c>
      <c r="L115" s="313">
        <v>-2.5999999999999999E-2</v>
      </c>
      <c r="M115" s="366">
        <v>0</v>
      </c>
      <c r="N115" s="366">
        <v>0</v>
      </c>
      <c r="O115" s="366">
        <v>0</v>
      </c>
      <c r="P115" s="313">
        <v>0.16600000000000001</v>
      </c>
    </row>
    <row r="116" spans="3:19" x14ac:dyDescent="0.25">
      <c r="F116" s="176" t="s">
        <v>71</v>
      </c>
      <c r="G116" s="167"/>
      <c r="H116" s="167" t="s">
        <v>164</v>
      </c>
      <c r="I116" s="167"/>
      <c r="J116" s="71"/>
      <c r="K116" s="71"/>
      <c r="L116" s="71"/>
      <c r="M116" s="465"/>
      <c r="N116" s="465"/>
      <c r="O116" s="465"/>
      <c r="P116" s="71"/>
    </row>
    <row r="117" spans="3:19" x14ac:dyDescent="0.25">
      <c r="F117" s="176" t="s">
        <v>74</v>
      </c>
      <c r="G117" s="167"/>
      <c r="H117" s="167" t="s">
        <v>164</v>
      </c>
      <c r="I117" s="167"/>
      <c r="J117" s="313">
        <f t="array" ref="J117:P117">TRANSPOSE(Rounding!AM107:AM113)</f>
        <v>-0.46</v>
      </c>
      <c r="K117" s="313">
        <v>0</v>
      </c>
      <c r="L117" s="313">
        <v>0</v>
      </c>
      <c r="M117" s="366">
        <v>0</v>
      </c>
      <c r="N117" s="366">
        <v>0</v>
      </c>
      <c r="O117" s="366">
        <v>0</v>
      </c>
      <c r="P117" s="313">
        <v>0.14699999999999999</v>
      </c>
    </row>
    <row r="118" spans="3:19" x14ac:dyDescent="0.25">
      <c r="F118" s="176" t="s">
        <v>75</v>
      </c>
      <c r="G118" s="167"/>
      <c r="H118" s="167" t="s">
        <v>164</v>
      </c>
      <c r="I118" s="167"/>
      <c r="J118" s="71"/>
      <c r="K118" s="71"/>
      <c r="L118" s="71"/>
      <c r="M118" s="465"/>
      <c r="N118" s="465"/>
      <c r="O118" s="465"/>
      <c r="P118" s="71"/>
    </row>
    <row r="119" spans="3:19" x14ac:dyDescent="0.25">
      <c r="F119" s="176" t="s">
        <v>76</v>
      </c>
      <c r="G119" s="167"/>
      <c r="H119" s="167" t="s">
        <v>164</v>
      </c>
      <c r="I119" s="167"/>
      <c r="J119" s="313">
        <f t="array" ref="J119:P119">TRANSPOSE(Rounding!AO107:AO113)</f>
        <v>-3.8380000000000001</v>
      </c>
      <c r="K119" s="313">
        <v>-0.22700000000000001</v>
      </c>
      <c r="L119" s="313">
        <v>-8.0000000000000002E-3</v>
      </c>
      <c r="M119" s="366">
        <v>0</v>
      </c>
      <c r="N119" s="366">
        <v>0</v>
      </c>
      <c r="O119" s="366">
        <v>0</v>
      </c>
      <c r="P119" s="313">
        <v>0.14699999999999999</v>
      </c>
    </row>
    <row r="120" spans="3:19" x14ac:dyDescent="0.25">
      <c r="F120" s="177" t="s">
        <v>77</v>
      </c>
      <c r="G120" s="168"/>
      <c r="H120" s="168" t="s">
        <v>164</v>
      </c>
      <c r="I120" s="168"/>
      <c r="J120" s="347"/>
      <c r="K120" s="347"/>
      <c r="L120" s="347"/>
      <c r="M120" s="466"/>
      <c r="N120" s="466"/>
      <c r="O120" s="466"/>
      <c r="P120" s="347"/>
    </row>
    <row r="121" spans="3:19" x14ac:dyDescent="0.25">
      <c r="D121" s="172"/>
      <c r="E121" s="172"/>
      <c r="F121" s="172"/>
      <c r="G121" s="172"/>
      <c r="H121" s="172"/>
      <c r="I121" s="172"/>
      <c r="J121" s="172"/>
      <c r="K121" s="172"/>
      <c r="L121" s="172"/>
      <c r="M121" s="370"/>
      <c r="N121" s="370"/>
      <c r="O121" s="370"/>
      <c r="P121" s="172"/>
      <c r="Q121" s="172"/>
      <c r="R121" s="172"/>
      <c r="S121" s="172"/>
    </row>
    <row r="122" spans="3:19" s="338" customFormat="1" x14ac:dyDescent="0.25">
      <c r="C122" s="22" t="str">
        <f ca="1">INDEX('Version control'!$H$34:$H$59,MATCH($A$1,'Version control'!$F$34:$F$59,0),1)&amp;"-B: tariff forecast results for charging year " &amp; charging_year</f>
        <v>Output 501-B: tariff forecast results for charging year 2020/21</v>
      </c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</row>
    <row r="123" spans="3:19" x14ac:dyDescent="0.25">
      <c r="D123" s="160"/>
      <c r="E123" s="338"/>
      <c r="F123" s="338"/>
      <c r="J123" s="200"/>
      <c r="K123" s="200"/>
      <c r="L123" s="200"/>
      <c r="M123" s="368"/>
      <c r="N123" s="368"/>
      <c r="O123" s="368"/>
      <c r="P123" s="200"/>
    </row>
    <row r="124" spans="3:19" x14ac:dyDescent="0.25">
      <c r="D124" s="172"/>
      <c r="E124" s="172" t="str">
        <f>"All the way tariff forecast " &amp; charging_year</f>
        <v>All the way tariff forecast 2020/21</v>
      </c>
      <c r="F124" s="338"/>
      <c r="J124" s="200"/>
      <c r="K124" s="200"/>
      <c r="L124" s="200"/>
      <c r="M124" s="368"/>
      <c r="N124" s="368"/>
      <c r="O124" s="368"/>
      <c r="P124" s="200"/>
    </row>
    <row r="125" spans="3:19" x14ac:dyDescent="0.25">
      <c r="F125" s="180" t="s">
        <v>52</v>
      </c>
      <c r="G125" s="166"/>
      <c r="H125" s="166" t="s">
        <v>391</v>
      </c>
      <c r="I125" s="166"/>
      <c r="J125" s="545">
        <v>1.9339999999999999</v>
      </c>
      <c r="K125" s="545">
        <v>0</v>
      </c>
      <c r="L125" s="545">
        <v>0</v>
      </c>
      <c r="M125" s="546">
        <v>3.51</v>
      </c>
      <c r="N125" s="546">
        <v>0</v>
      </c>
      <c r="O125" s="546">
        <v>0</v>
      </c>
      <c r="P125" s="545">
        <v>0</v>
      </c>
    </row>
    <row r="126" spans="3:19" x14ac:dyDescent="0.25">
      <c r="F126" s="176" t="s">
        <v>53</v>
      </c>
      <c r="G126" s="167"/>
      <c r="H126" s="167" t="s">
        <v>391</v>
      </c>
      <c r="I126" s="167"/>
      <c r="J126" s="547">
        <v>2.387</v>
      </c>
      <c r="K126" s="547">
        <v>0.441</v>
      </c>
      <c r="L126" s="547">
        <v>0</v>
      </c>
      <c r="M126" s="548">
        <v>3.51</v>
      </c>
      <c r="N126" s="548">
        <v>0</v>
      </c>
      <c r="O126" s="548">
        <v>0</v>
      </c>
      <c r="P126" s="547">
        <v>0</v>
      </c>
    </row>
    <row r="127" spans="3:19" x14ac:dyDescent="0.25">
      <c r="F127" s="176" t="s">
        <v>84</v>
      </c>
      <c r="G127" s="167"/>
      <c r="H127" s="167" t="s">
        <v>391</v>
      </c>
      <c r="I127" s="167"/>
      <c r="J127" s="547">
        <v>0.53700000000000003</v>
      </c>
      <c r="K127" s="547">
        <v>0</v>
      </c>
      <c r="L127" s="547">
        <v>0</v>
      </c>
      <c r="M127" s="548">
        <v>0</v>
      </c>
      <c r="N127" s="548">
        <v>0</v>
      </c>
      <c r="O127" s="548">
        <v>0</v>
      </c>
      <c r="P127" s="547">
        <v>0</v>
      </c>
    </row>
    <row r="128" spans="3:19" x14ac:dyDescent="0.25">
      <c r="F128" s="176" t="s">
        <v>54</v>
      </c>
      <c r="G128" s="167"/>
      <c r="H128" s="167" t="s">
        <v>391</v>
      </c>
      <c r="I128" s="167"/>
      <c r="J128" s="547">
        <v>1.7769999999999999</v>
      </c>
      <c r="K128" s="547">
        <v>0</v>
      </c>
      <c r="L128" s="547">
        <v>0</v>
      </c>
      <c r="M128" s="548">
        <v>5.25</v>
      </c>
      <c r="N128" s="548">
        <v>0</v>
      </c>
      <c r="O128" s="548">
        <v>0</v>
      </c>
      <c r="P128" s="547">
        <v>0</v>
      </c>
    </row>
    <row r="129" spans="6:16" x14ac:dyDescent="0.25">
      <c r="F129" s="176" t="s">
        <v>55</v>
      </c>
      <c r="G129" s="167"/>
      <c r="H129" s="167" t="s">
        <v>391</v>
      </c>
      <c r="I129" s="167"/>
      <c r="J129" s="547">
        <v>2.59</v>
      </c>
      <c r="K129" s="547">
        <v>0.59099999999999997</v>
      </c>
      <c r="L129" s="547">
        <v>0</v>
      </c>
      <c r="M129" s="548">
        <v>5.25</v>
      </c>
      <c r="N129" s="548">
        <v>0</v>
      </c>
      <c r="O129" s="548">
        <v>0</v>
      </c>
      <c r="P129" s="547">
        <v>0</v>
      </c>
    </row>
    <row r="130" spans="6:16" x14ac:dyDescent="0.25">
      <c r="F130" s="176" t="s">
        <v>85</v>
      </c>
      <c r="G130" s="167"/>
      <c r="H130" s="167" t="s">
        <v>391</v>
      </c>
      <c r="I130" s="167"/>
      <c r="J130" s="547">
        <v>0.66500000000000004</v>
      </c>
      <c r="K130" s="547">
        <v>0</v>
      </c>
      <c r="L130" s="547">
        <v>0</v>
      </c>
      <c r="M130" s="548">
        <v>0</v>
      </c>
      <c r="N130" s="548">
        <v>0</v>
      </c>
      <c r="O130" s="548">
        <v>0</v>
      </c>
      <c r="P130" s="547">
        <v>0</v>
      </c>
    </row>
    <row r="131" spans="6:16" x14ac:dyDescent="0.25">
      <c r="F131" s="176" t="s">
        <v>56</v>
      </c>
      <c r="G131" s="167"/>
      <c r="H131" s="167" t="s">
        <v>391</v>
      </c>
      <c r="I131" s="167"/>
      <c r="J131" s="547">
        <v>1.484</v>
      </c>
      <c r="K131" s="547">
        <v>0.43</v>
      </c>
      <c r="L131" s="547">
        <v>0</v>
      </c>
      <c r="M131" s="548">
        <v>28.97</v>
      </c>
      <c r="N131" s="548">
        <v>0</v>
      </c>
      <c r="O131" s="548">
        <v>0</v>
      </c>
      <c r="P131" s="547">
        <v>0</v>
      </c>
    </row>
    <row r="132" spans="6:16" x14ac:dyDescent="0.25">
      <c r="F132" s="176" t="s">
        <v>57</v>
      </c>
      <c r="G132" s="167"/>
      <c r="H132" s="167" t="s">
        <v>391</v>
      </c>
      <c r="I132" s="167"/>
      <c r="J132" s="547">
        <v>1.276</v>
      </c>
      <c r="K132" s="547">
        <v>0.40899999999999997</v>
      </c>
      <c r="L132" s="547">
        <v>0</v>
      </c>
      <c r="M132" s="548">
        <v>25.78</v>
      </c>
      <c r="N132" s="548">
        <v>0</v>
      </c>
      <c r="O132" s="548">
        <v>0</v>
      </c>
      <c r="P132" s="547">
        <v>0</v>
      </c>
    </row>
    <row r="133" spans="6:16" x14ac:dyDescent="0.25">
      <c r="F133" s="176" t="s">
        <v>72</v>
      </c>
      <c r="G133" s="167"/>
      <c r="H133" s="167" t="s">
        <v>391</v>
      </c>
      <c r="I133" s="167"/>
      <c r="J133" s="547">
        <v>0.86199999999999999</v>
      </c>
      <c r="K133" s="547">
        <v>0.36799999999999999</v>
      </c>
      <c r="L133" s="547">
        <v>0</v>
      </c>
      <c r="M133" s="548">
        <v>288.70999999999998</v>
      </c>
      <c r="N133" s="548">
        <v>0</v>
      </c>
      <c r="O133" s="548">
        <v>0</v>
      </c>
      <c r="P133" s="547">
        <v>0</v>
      </c>
    </row>
    <row r="134" spans="6:16" x14ac:dyDescent="0.25">
      <c r="F134" s="176" t="s">
        <v>58</v>
      </c>
      <c r="G134" s="167"/>
      <c r="H134" s="167" t="s">
        <v>391</v>
      </c>
      <c r="I134" s="167"/>
      <c r="J134" s="547">
        <v>8.6999999999999993</v>
      </c>
      <c r="K134" s="547">
        <v>1.1990000000000001</v>
      </c>
      <c r="L134" s="547">
        <v>0.38600000000000001</v>
      </c>
      <c r="M134" s="548">
        <v>3.51</v>
      </c>
      <c r="N134" s="548">
        <v>0</v>
      </c>
      <c r="O134" s="548">
        <v>0</v>
      </c>
      <c r="P134" s="547">
        <v>0</v>
      </c>
    </row>
    <row r="135" spans="6:16" x14ac:dyDescent="0.25">
      <c r="F135" s="176" t="s">
        <v>59</v>
      </c>
      <c r="G135" s="167"/>
      <c r="H135" s="167" t="s">
        <v>391</v>
      </c>
      <c r="I135" s="167"/>
      <c r="J135" s="547">
        <v>9.1649999999999991</v>
      </c>
      <c r="K135" s="547">
        <v>1.2470000000000001</v>
      </c>
      <c r="L135" s="547">
        <v>0.38900000000000001</v>
      </c>
      <c r="M135" s="548">
        <v>5.25</v>
      </c>
      <c r="N135" s="548">
        <v>0</v>
      </c>
      <c r="O135" s="548">
        <v>0</v>
      </c>
      <c r="P135" s="547">
        <v>0</v>
      </c>
    </row>
    <row r="136" spans="6:16" x14ac:dyDescent="0.25">
      <c r="F136" s="176" t="s">
        <v>60</v>
      </c>
      <c r="G136" s="167"/>
      <c r="H136" s="167" t="s">
        <v>391</v>
      </c>
      <c r="I136" s="167"/>
      <c r="J136" s="547">
        <v>6.27</v>
      </c>
      <c r="K136" s="547">
        <v>0.86599999999999999</v>
      </c>
      <c r="L136" s="547">
        <v>0.36499999999999999</v>
      </c>
      <c r="M136" s="548">
        <v>16.489999999999998</v>
      </c>
      <c r="N136" s="548">
        <v>2.42</v>
      </c>
      <c r="O136" s="548">
        <v>4.58</v>
      </c>
      <c r="P136" s="547">
        <v>0.20399999999999999</v>
      </c>
    </row>
    <row r="137" spans="6:16" x14ac:dyDescent="0.25">
      <c r="F137" s="176" t="s">
        <v>61</v>
      </c>
      <c r="G137" s="167"/>
      <c r="H137" s="167" t="s">
        <v>391</v>
      </c>
      <c r="I137" s="167"/>
      <c r="J137" s="547">
        <v>4.8639999999999999</v>
      </c>
      <c r="K137" s="547">
        <v>0.60499999999999998</v>
      </c>
      <c r="L137" s="547">
        <v>0.34699999999999998</v>
      </c>
      <c r="M137" s="548">
        <v>25.78</v>
      </c>
      <c r="N137" s="548">
        <v>4.28</v>
      </c>
      <c r="O137" s="548">
        <v>5.77</v>
      </c>
      <c r="P137" s="547">
        <v>0.129</v>
      </c>
    </row>
    <row r="138" spans="6:16" x14ac:dyDescent="0.25">
      <c r="F138" s="176" t="s">
        <v>73</v>
      </c>
      <c r="G138" s="167"/>
      <c r="H138" s="167" t="s">
        <v>391</v>
      </c>
      <c r="I138" s="167"/>
      <c r="J138" s="547">
        <v>3.544</v>
      </c>
      <c r="K138" s="547">
        <v>0.498</v>
      </c>
      <c r="L138" s="547">
        <v>0.34200000000000003</v>
      </c>
      <c r="M138" s="548">
        <v>147.36000000000001</v>
      </c>
      <c r="N138" s="548">
        <v>5.28</v>
      </c>
      <c r="O138" s="548">
        <v>6.55</v>
      </c>
      <c r="P138" s="547">
        <v>8.5999999999999993E-2</v>
      </c>
    </row>
    <row r="139" spans="6:16" x14ac:dyDescent="0.25">
      <c r="F139" s="176" t="s">
        <v>86</v>
      </c>
      <c r="G139" s="167"/>
      <c r="H139" s="167" t="s">
        <v>391</v>
      </c>
      <c r="I139" s="167"/>
      <c r="J139" s="547">
        <v>2.601</v>
      </c>
      <c r="K139" s="547">
        <v>0</v>
      </c>
      <c r="L139" s="547">
        <v>0</v>
      </c>
      <c r="M139" s="548">
        <v>0</v>
      </c>
      <c r="N139" s="548">
        <v>0</v>
      </c>
      <c r="O139" s="548">
        <v>0</v>
      </c>
      <c r="P139" s="547">
        <v>0</v>
      </c>
    </row>
    <row r="140" spans="6:16" x14ac:dyDescent="0.25">
      <c r="F140" s="176" t="s">
        <v>87</v>
      </c>
      <c r="G140" s="167"/>
      <c r="H140" s="167" t="s">
        <v>391</v>
      </c>
      <c r="I140" s="167"/>
      <c r="J140" s="547">
        <v>2.657</v>
      </c>
      <c r="K140" s="547">
        <v>0</v>
      </c>
      <c r="L140" s="547">
        <v>0</v>
      </c>
      <c r="M140" s="548">
        <v>0</v>
      </c>
      <c r="N140" s="548">
        <v>0</v>
      </c>
      <c r="O140" s="548">
        <v>0</v>
      </c>
      <c r="P140" s="547">
        <v>0</v>
      </c>
    </row>
    <row r="141" spans="6:16" x14ac:dyDescent="0.25">
      <c r="F141" s="176" t="s">
        <v>88</v>
      </c>
      <c r="G141" s="167"/>
      <c r="H141" s="167" t="s">
        <v>391</v>
      </c>
      <c r="I141" s="167"/>
      <c r="J141" s="547">
        <v>3.4009999999999998</v>
      </c>
      <c r="K141" s="547">
        <v>0</v>
      </c>
      <c r="L141" s="547">
        <v>0</v>
      </c>
      <c r="M141" s="548">
        <v>0</v>
      </c>
      <c r="N141" s="548">
        <v>0</v>
      </c>
      <c r="O141" s="548">
        <v>0</v>
      </c>
      <c r="P141" s="547">
        <v>0</v>
      </c>
    </row>
    <row r="142" spans="6:16" x14ac:dyDescent="0.25">
      <c r="F142" s="176" t="s">
        <v>89</v>
      </c>
      <c r="G142" s="167"/>
      <c r="H142" s="167" t="s">
        <v>391</v>
      </c>
      <c r="I142" s="167"/>
      <c r="J142" s="547">
        <v>2.6110000000000002</v>
      </c>
      <c r="K142" s="547">
        <v>0</v>
      </c>
      <c r="L142" s="547">
        <v>0</v>
      </c>
      <c r="M142" s="548">
        <v>0</v>
      </c>
      <c r="N142" s="548">
        <v>0</v>
      </c>
      <c r="O142" s="548">
        <v>0</v>
      </c>
      <c r="P142" s="547">
        <v>0</v>
      </c>
    </row>
    <row r="143" spans="6:16" x14ac:dyDescent="0.25">
      <c r="F143" s="176" t="s">
        <v>90</v>
      </c>
      <c r="G143" s="167"/>
      <c r="H143" s="167" t="s">
        <v>391</v>
      </c>
      <c r="I143" s="167"/>
      <c r="J143" s="547">
        <v>13.724</v>
      </c>
      <c r="K143" s="547">
        <v>2.5760000000000001</v>
      </c>
      <c r="L143" s="547">
        <v>1.839</v>
      </c>
      <c r="M143" s="548">
        <v>0</v>
      </c>
      <c r="N143" s="548">
        <v>0</v>
      </c>
      <c r="O143" s="548">
        <v>0</v>
      </c>
      <c r="P143" s="547">
        <v>0</v>
      </c>
    </row>
    <row r="144" spans="6:16" x14ac:dyDescent="0.25">
      <c r="F144" s="176" t="s">
        <v>62</v>
      </c>
      <c r="G144" s="167"/>
      <c r="H144" s="167" t="s">
        <v>391</v>
      </c>
      <c r="I144" s="167"/>
      <c r="J144" s="547">
        <v>-0.79400000000000004</v>
      </c>
      <c r="K144" s="547">
        <v>0</v>
      </c>
      <c r="L144" s="547">
        <v>0</v>
      </c>
      <c r="M144" s="548">
        <v>0</v>
      </c>
      <c r="N144" s="548">
        <v>0</v>
      </c>
      <c r="O144" s="548">
        <v>0</v>
      </c>
      <c r="P144" s="547">
        <v>0</v>
      </c>
    </row>
    <row r="145" spans="4:16" x14ac:dyDescent="0.25">
      <c r="F145" s="176" t="s">
        <v>63</v>
      </c>
      <c r="G145" s="167"/>
      <c r="H145" s="167" t="s">
        <v>391</v>
      </c>
      <c r="I145" s="167"/>
      <c r="J145" s="547">
        <v>-0.69499999999999995</v>
      </c>
      <c r="K145" s="547">
        <v>0</v>
      </c>
      <c r="L145" s="547">
        <v>0</v>
      </c>
      <c r="M145" s="548">
        <v>0</v>
      </c>
      <c r="N145" s="548">
        <v>0</v>
      </c>
      <c r="O145" s="548">
        <v>0</v>
      </c>
      <c r="P145" s="547">
        <v>0</v>
      </c>
    </row>
    <row r="146" spans="4:16" x14ac:dyDescent="0.25">
      <c r="F146" s="176" t="s">
        <v>64</v>
      </c>
      <c r="G146" s="167"/>
      <c r="H146" s="167" t="s">
        <v>391</v>
      </c>
      <c r="I146" s="167"/>
      <c r="J146" s="547">
        <v>-0.79400000000000004</v>
      </c>
      <c r="K146" s="547">
        <v>0</v>
      </c>
      <c r="L146" s="547">
        <v>0</v>
      </c>
      <c r="M146" s="548">
        <v>0</v>
      </c>
      <c r="N146" s="548">
        <v>0</v>
      </c>
      <c r="O146" s="548">
        <v>0</v>
      </c>
      <c r="P146" s="547">
        <v>0.186</v>
      </c>
    </row>
    <row r="147" spans="4:16" x14ac:dyDescent="0.25">
      <c r="F147" s="176" t="s">
        <v>65</v>
      </c>
      <c r="G147" s="167"/>
      <c r="H147" s="167" t="s">
        <v>391</v>
      </c>
      <c r="I147" s="167"/>
      <c r="J147" s="547">
        <v>-0.79400000000000004</v>
      </c>
      <c r="K147" s="547">
        <v>0</v>
      </c>
      <c r="L147" s="547">
        <v>0</v>
      </c>
      <c r="M147" s="548">
        <v>0</v>
      </c>
      <c r="N147" s="548">
        <v>0</v>
      </c>
      <c r="O147" s="548">
        <v>0</v>
      </c>
      <c r="P147" s="547">
        <v>0</v>
      </c>
    </row>
    <row r="148" spans="4:16" x14ac:dyDescent="0.25">
      <c r="F148" s="176" t="s">
        <v>66</v>
      </c>
      <c r="G148" s="167"/>
      <c r="H148" s="167" t="s">
        <v>391</v>
      </c>
      <c r="I148" s="167"/>
      <c r="J148" s="547">
        <v>-5.5359999999999996</v>
      </c>
      <c r="K148" s="547">
        <v>-0.57099999999999995</v>
      </c>
      <c r="L148" s="547">
        <v>-3.3000000000000002E-2</v>
      </c>
      <c r="M148" s="548">
        <v>0</v>
      </c>
      <c r="N148" s="548">
        <v>0</v>
      </c>
      <c r="O148" s="548">
        <v>0</v>
      </c>
      <c r="P148" s="547">
        <v>0.186</v>
      </c>
    </row>
    <row r="149" spans="4:16" x14ac:dyDescent="0.25">
      <c r="F149" s="176" t="s">
        <v>67</v>
      </c>
      <c r="G149" s="167"/>
      <c r="H149" s="167" t="s">
        <v>391</v>
      </c>
      <c r="I149" s="167"/>
      <c r="J149" s="547">
        <v>-5.5359999999999996</v>
      </c>
      <c r="K149" s="547">
        <v>-0.57099999999999995</v>
      </c>
      <c r="L149" s="547">
        <v>-3.3000000000000002E-2</v>
      </c>
      <c r="M149" s="548">
        <v>0</v>
      </c>
      <c r="N149" s="548">
        <v>0</v>
      </c>
      <c r="O149" s="548">
        <v>0</v>
      </c>
      <c r="P149" s="547">
        <v>0</v>
      </c>
    </row>
    <row r="150" spans="4:16" x14ac:dyDescent="0.25">
      <c r="F150" s="176" t="s">
        <v>68</v>
      </c>
      <c r="G150" s="167"/>
      <c r="H150" s="167" t="s">
        <v>391</v>
      </c>
      <c r="I150" s="167"/>
      <c r="J150" s="547">
        <v>-0.69499999999999995</v>
      </c>
      <c r="K150" s="547">
        <v>0</v>
      </c>
      <c r="L150" s="547">
        <v>0</v>
      </c>
      <c r="M150" s="548">
        <v>0</v>
      </c>
      <c r="N150" s="548">
        <v>0</v>
      </c>
      <c r="O150" s="548">
        <v>0</v>
      </c>
      <c r="P150" s="547">
        <v>0.16600000000000001</v>
      </c>
    </row>
    <row r="151" spans="4:16" x14ac:dyDescent="0.25">
      <c r="F151" s="176" t="s">
        <v>69</v>
      </c>
      <c r="G151" s="167"/>
      <c r="H151" s="167" t="s">
        <v>391</v>
      </c>
      <c r="I151" s="167"/>
      <c r="J151" s="547">
        <v>-0.69499999999999995</v>
      </c>
      <c r="K151" s="547">
        <v>0</v>
      </c>
      <c r="L151" s="547">
        <v>0</v>
      </c>
      <c r="M151" s="548">
        <v>0</v>
      </c>
      <c r="N151" s="548">
        <v>0</v>
      </c>
      <c r="O151" s="548">
        <v>0</v>
      </c>
      <c r="P151" s="547">
        <v>0</v>
      </c>
    </row>
    <row r="152" spans="4:16" x14ac:dyDescent="0.25">
      <c r="F152" s="176" t="s">
        <v>70</v>
      </c>
      <c r="G152" s="167"/>
      <c r="H152" s="167" t="s">
        <v>391</v>
      </c>
      <c r="I152" s="167"/>
      <c r="J152" s="547">
        <v>-4.9939999999999998</v>
      </c>
      <c r="K152" s="547">
        <v>-0.47499999999999998</v>
      </c>
      <c r="L152" s="547">
        <v>-2.5999999999999999E-2</v>
      </c>
      <c r="M152" s="548">
        <v>0</v>
      </c>
      <c r="N152" s="548">
        <v>0</v>
      </c>
      <c r="O152" s="548">
        <v>0</v>
      </c>
      <c r="P152" s="547">
        <v>0.16600000000000001</v>
      </c>
    </row>
    <row r="153" spans="4:16" x14ac:dyDescent="0.25">
      <c r="F153" s="176" t="s">
        <v>71</v>
      </c>
      <c r="G153" s="167"/>
      <c r="H153" s="167" t="s">
        <v>391</v>
      </c>
      <c r="I153" s="167"/>
      <c r="J153" s="547">
        <v>-4.9939999999999998</v>
      </c>
      <c r="K153" s="547">
        <v>-0.47499999999999998</v>
      </c>
      <c r="L153" s="547">
        <v>-2.5999999999999999E-2</v>
      </c>
      <c r="M153" s="548">
        <v>0</v>
      </c>
      <c r="N153" s="548">
        <v>0</v>
      </c>
      <c r="O153" s="548">
        <v>0</v>
      </c>
      <c r="P153" s="547">
        <v>0</v>
      </c>
    </row>
    <row r="154" spans="4:16" x14ac:dyDescent="0.25">
      <c r="F154" s="176" t="s">
        <v>74</v>
      </c>
      <c r="G154" s="167"/>
      <c r="H154" s="167" t="s">
        <v>391</v>
      </c>
      <c r="I154" s="167"/>
      <c r="J154" s="547">
        <v>-0.46</v>
      </c>
      <c r="K154" s="547">
        <v>0</v>
      </c>
      <c r="L154" s="547">
        <v>0</v>
      </c>
      <c r="M154" s="548">
        <v>242.78</v>
      </c>
      <c r="N154" s="548">
        <v>0</v>
      </c>
      <c r="O154" s="548">
        <v>0</v>
      </c>
      <c r="P154" s="547">
        <v>0.14699999999999999</v>
      </c>
    </row>
    <row r="155" spans="4:16" x14ac:dyDescent="0.25">
      <c r="F155" s="176" t="s">
        <v>75</v>
      </c>
      <c r="G155" s="167"/>
      <c r="H155" s="167" t="s">
        <v>391</v>
      </c>
      <c r="I155" s="167"/>
      <c r="J155" s="547">
        <v>-0.46</v>
      </c>
      <c r="K155" s="547">
        <v>0</v>
      </c>
      <c r="L155" s="547">
        <v>0</v>
      </c>
      <c r="M155" s="548">
        <v>242.78</v>
      </c>
      <c r="N155" s="548">
        <v>0</v>
      </c>
      <c r="O155" s="548">
        <v>0</v>
      </c>
      <c r="P155" s="547">
        <v>0</v>
      </c>
    </row>
    <row r="156" spans="4:16" x14ac:dyDescent="0.25">
      <c r="F156" s="176" t="s">
        <v>76</v>
      </c>
      <c r="G156" s="167"/>
      <c r="H156" s="167" t="s">
        <v>391</v>
      </c>
      <c r="I156" s="167"/>
      <c r="J156" s="547">
        <v>-3.8380000000000001</v>
      </c>
      <c r="K156" s="547">
        <v>-0.22700000000000001</v>
      </c>
      <c r="L156" s="547">
        <v>-8.0000000000000002E-3</v>
      </c>
      <c r="M156" s="548">
        <v>242.78</v>
      </c>
      <c r="N156" s="548">
        <v>0</v>
      </c>
      <c r="O156" s="548">
        <v>0</v>
      </c>
      <c r="P156" s="547">
        <v>0.14699999999999999</v>
      </c>
    </row>
    <row r="157" spans="4:16" x14ac:dyDescent="0.25">
      <c r="F157" s="177" t="s">
        <v>77</v>
      </c>
      <c r="G157" s="168"/>
      <c r="H157" s="168" t="s">
        <v>391</v>
      </c>
      <c r="I157" s="168"/>
      <c r="J157" s="549">
        <v>-3.8380000000000001</v>
      </c>
      <c r="K157" s="549">
        <v>-0.22700000000000001</v>
      </c>
      <c r="L157" s="549">
        <v>-8.0000000000000002E-3</v>
      </c>
      <c r="M157" s="550">
        <v>242.78</v>
      </c>
      <c r="N157" s="550">
        <v>0</v>
      </c>
      <c r="O157" s="550">
        <v>0</v>
      </c>
      <c r="P157" s="549">
        <v>0</v>
      </c>
    </row>
    <row r="158" spans="4:16" x14ac:dyDescent="0.25">
      <c r="F158" s="175"/>
      <c r="J158" s="551"/>
      <c r="K158" s="551"/>
      <c r="L158" s="551"/>
      <c r="M158" s="552"/>
      <c r="N158" s="552"/>
      <c r="O158" s="552"/>
      <c r="P158" s="551"/>
    </row>
    <row r="159" spans="4:16" x14ac:dyDescent="0.25">
      <c r="D159" s="172"/>
      <c r="E159" s="172" t="str">
        <f>"LDNO LV tariff forecast " &amp; charging_year</f>
        <v>LDNO LV tariff forecast 2020/21</v>
      </c>
      <c r="F159" s="175"/>
      <c r="J159" s="551"/>
      <c r="K159" s="551"/>
      <c r="L159" s="551"/>
      <c r="M159" s="552"/>
      <c r="N159" s="552"/>
      <c r="O159" s="552"/>
      <c r="P159" s="551"/>
    </row>
    <row r="160" spans="4:16" x14ac:dyDescent="0.25">
      <c r="F160" s="180" t="s">
        <v>52</v>
      </c>
      <c r="G160" s="166"/>
      <c r="H160" s="166" t="s">
        <v>163</v>
      </c>
      <c r="I160" s="166"/>
      <c r="J160" s="545">
        <v>1.262</v>
      </c>
      <c r="K160" s="545">
        <v>0</v>
      </c>
      <c r="L160" s="545">
        <v>0</v>
      </c>
      <c r="M160" s="546">
        <v>2.29</v>
      </c>
      <c r="N160" s="546">
        <v>0</v>
      </c>
      <c r="O160" s="546">
        <v>0</v>
      </c>
      <c r="P160" s="545">
        <v>0</v>
      </c>
    </row>
    <row r="161" spans="6:16" x14ac:dyDescent="0.25">
      <c r="F161" s="176" t="s">
        <v>53</v>
      </c>
      <c r="G161" s="167"/>
      <c r="H161" s="167" t="s">
        <v>163</v>
      </c>
      <c r="I161" s="167"/>
      <c r="J161" s="547">
        <v>1.5569999999999999</v>
      </c>
      <c r="K161" s="547">
        <v>0.28799999999999998</v>
      </c>
      <c r="L161" s="547">
        <v>0</v>
      </c>
      <c r="M161" s="548">
        <v>2.29</v>
      </c>
      <c r="N161" s="548">
        <v>0</v>
      </c>
      <c r="O161" s="548">
        <v>0</v>
      </c>
      <c r="P161" s="547">
        <v>0</v>
      </c>
    </row>
    <row r="162" spans="6:16" x14ac:dyDescent="0.25">
      <c r="F162" s="176" t="s">
        <v>84</v>
      </c>
      <c r="G162" s="167"/>
      <c r="H162" s="167" t="s">
        <v>163</v>
      </c>
      <c r="I162" s="167"/>
      <c r="J162" s="547">
        <v>0.35</v>
      </c>
      <c r="K162" s="547">
        <v>0</v>
      </c>
      <c r="L162" s="547">
        <v>0</v>
      </c>
      <c r="M162" s="548">
        <v>0</v>
      </c>
      <c r="N162" s="548">
        <v>0</v>
      </c>
      <c r="O162" s="548">
        <v>0</v>
      </c>
      <c r="P162" s="547">
        <v>0</v>
      </c>
    </row>
    <row r="163" spans="6:16" x14ac:dyDescent="0.25">
      <c r="F163" s="176" t="s">
        <v>54</v>
      </c>
      <c r="G163" s="167"/>
      <c r="H163" s="167" t="s">
        <v>163</v>
      </c>
      <c r="I163" s="167"/>
      <c r="J163" s="547">
        <v>1.159</v>
      </c>
      <c r="K163" s="547">
        <v>0</v>
      </c>
      <c r="L163" s="547">
        <v>0</v>
      </c>
      <c r="M163" s="548">
        <v>3.43</v>
      </c>
      <c r="N163" s="548">
        <v>0</v>
      </c>
      <c r="O163" s="548">
        <v>0</v>
      </c>
      <c r="P163" s="547">
        <v>0</v>
      </c>
    </row>
    <row r="164" spans="6:16" x14ac:dyDescent="0.25">
      <c r="F164" s="176" t="s">
        <v>55</v>
      </c>
      <c r="G164" s="167"/>
      <c r="H164" s="167" t="s">
        <v>163</v>
      </c>
      <c r="I164" s="167"/>
      <c r="J164" s="547">
        <v>1.69</v>
      </c>
      <c r="K164" s="547">
        <v>0.38600000000000001</v>
      </c>
      <c r="L164" s="547">
        <v>0</v>
      </c>
      <c r="M164" s="548">
        <v>3.43</v>
      </c>
      <c r="N164" s="548">
        <v>0</v>
      </c>
      <c r="O164" s="548">
        <v>0</v>
      </c>
      <c r="P164" s="547">
        <v>0</v>
      </c>
    </row>
    <row r="165" spans="6:16" x14ac:dyDescent="0.25">
      <c r="F165" s="176" t="s">
        <v>85</v>
      </c>
      <c r="G165" s="167"/>
      <c r="H165" s="167" t="s">
        <v>163</v>
      </c>
      <c r="I165" s="167"/>
      <c r="J165" s="547">
        <v>0.434</v>
      </c>
      <c r="K165" s="547">
        <v>0</v>
      </c>
      <c r="L165" s="547">
        <v>0</v>
      </c>
      <c r="M165" s="548">
        <v>0</v>
      </c>
      <c r="N165" s="548">
        <v>0</v>
      </c>
      <c r="O165" s="548">
        <v>0</v>
      </c>
      <c r="P165" s="547">
        <v>0</v>
      </c>
    </row>
    <row r="166" spans="6:16" x14ac:dyDescent="0.25">
      <c r="F166" s="176" t="s">
        <v>56</v>
      </c>
      <c r="G166" s="167"/>
      <c r="H166" s="167" t="s">
        <v>163</v>
      </c>
      <c r="I166" s="167"/>
      <c r="J166" s="547">
        <v>0.96799999999999997</v>
      </c>
      <c r="K166" s="547">
        <v>0.28100000000000003</v>
      </c>
      <c r="L166" s="547">
        <v>0</v>
      </c>
      <c r="M166" s="548">
        <v>18.899999999999999</v>
      </c>
      <c r="N166" s="548">
        <v>0</v>
      </c>
      <c r="O166" s="548">
        <v>0</v>
      </c>
      <c r="P166" s="547">
        <v>0</v>
      </c>
    </row>
    <row r="167" spans="6:16" x14ac:dyDescent="0.25">
      <c r="F167" s="176" t="s">
        <v>57</v>
      </c>
      <c r="G167" s="167"/>
      <c r="H167" s="167" t="s">
        <v>163</v>
      </c>
      <c r="I167" s="167"/>
      <c r="J167" s="553"/>
      <c r="K167" s="553"/>
      <c r="L167" s="553"/>
      <c r="M167" s="554"/>
      <c r="N167" s="554"/>
      <c r="O167" s="554"/>
      <c r="P167" s="553"/>
    </row>
    <row r="168" spans="6:16" x14ac:dyDescent="0.25">
      <c r="F168" s="176" t="s">
        <v>72</v>
      </c>
      <c r="G168" s="167"/>
      <c r="H168" s="167" t="s">
        <v>163</v>
      </c>
      <c r="I168" s="167"/>
      <c r="J168" s="553"/>
      <c r="K168" s="553"/>
      <c r="L168" s="553"/>
      <c r="M168" s="554"/>
      <c r="N168" s="554"/>
      <c r="O168" s="554"/>
      <c r="P168" s="553"/>
    </row>
    <row r="169" spans="6:16" x14ac:dyDescent="0.25">
      <c r="F169" s="176" t="s">
        <v>58</v>
      </c>
      <c r="G169" s="167"/>
      <c r="H169" s="167" t="s">
        <v>163</v>
      </c>
      <c r="I169" s="167"/>
      <c r="J169" s="547">
        <v>5.6760000000000002</v>
      </c>
      <c r="K169" s="547">
        <v>0.78200000000000003</v>
      </c>
      <c r="L169" s="547">
        <v>0.252</v>
      </c>
      <c r="M169" s="548">
        <v>2.29</v>
      </c>
      <c r="N169" s="548">
        <v>0</v>
      </c>
      <c r="O169" s="548">
        <v>0</v>
      </c>
      <c r="P169" s="547">
        <v>0</v>
      </c>
    </row>
    <row r="170" spans="6:16" x14ac:dyDescent="0.25">
      <c r="F170" s="176" t="s">
        <v>59</v>
      </c>
      <c r="G170" s="167"/>
      <c r="H170" s="167" t="s">
        <v>163</v>
      </c>
      <c r="I170" s="167"/>
      <c r="J170" s="547">
        <v>5.98</v>
      </c>
      <c r="K170" s="547">
        <v>0.81399999999999995</v>
      </c>
      <c r="L170" s="547">
        <v>0.254</v>
      </c>
      <c r="M170" s="548">
        <v>3.43</v>
      </c>
      <c r="N170" s="548">
        <v>0</v>
      </c>
      <c r="O170" s="548">
        <v>0</v>
      </c>
      <c r="P170" s="547">
        <v>0</v>
      </c>
    </row>
    <row r="171" spans="6:16" x14ac:dyDescent="0.25">
      <c r="F171" s="176" t="s">
        <v>60</v>
      </c>
      <c r="G171" s="167"/>
      <c r="H171" s="167" t="s">
        <v>163</v>
      </c>
      <c r="I171" s="167"/>
      <c r="J171" s="547">
        <v>4.0910000000000002</v>
      </c>
      <c r="K171" s="547">
        <v>0.56499999999999995</v>
      </c>
      <c r="L171" s="547">
        <v>0.23799999999999999</v>
      </c>
      <c r="M171" s="548">
        <v>10.76</v>
      </c>
      <c r="N171" s="548">
        <v>1.58</v>
      </c>
      <c r="O171" s="548">
        <v>2.99</v>
      </c>
      <c r="P171" s="547">
        <v>0.13300000000000001</v>
      </c>
    </row>
    <row r="172" spans="6:16" x14ac:dyDescent="0.25">
      <c r="F172" s="176" t="s">
        <v>61</v>
      </c>
      <c r="G172" s="167"/>
      <c r="H172" s="167" t="s">
        <v>163</v>
      </c>
      <c r="I172" s="167"/>
      <c r="J172" s="553"/>
      <c r="K172" s="553"/>
      <c r="L172" s="553"/>
      <c r="M172" s="554"/>
      <c r="N172" s="554"/>
      <c r="O172" s="554"/>
      <c r="P172" s="553"/>
    </row>
    <row r="173" spans="6:16" x14ac:dyDescent="0.25">
      <c r="F173" s="176" t="s">
        <v>73</v>
      </c>
      <c r="G173" s="167"/>
      <c r="H173" s="167" t="s">
        <v>163</v>
      </c>
      <c r="I173" s="167"/>
      <c r="J173" s="553"/>
      <c r="K173" s="553"/>
      <c r="L173" s="553"/>
      <c r="M173" s="554"/>
      <c r="N173" s="554"/>
      <c r="O173" s="554"/>
      <c r="P173" s="553"/>
    </row>
    <row r="174" spans="6:16" x14ac:dyDescent="0.25">
      <c r="F174" s="176" t="s">
        <v>86</v>
      </c>
      <c r="G174" s="167"/>
      <c r="H174" s="167" t="s">
        <v>163</v>
      </c>
      <c r="I174" s="167"/>
      <c r="J174" s="547">
        <v>1.6970000000000001</v>
      </c>
      <c r="K174" s="547">
        <v>0</v>
      </c>
      <c r="L174" s="547">
        <v>0</v>
      </c>
      <c r="M174" s="548">
        <v>0</v>
      </c>
      <c r="N174" s="548">
        <v>0</v>
      </c>
      <c r="O174" s="548">
        <v>0</v>
      </c>
      <c r="P174" s="547">
        <v>0</v>
      </c>
    </row>
    <row r="175" spans="6:16" x14ac:dyDescent="0.25">
      <c r="F175" s="176" t="s">
        <v>87</v>
      </c>
      <c r="G175" s="167"/>
      <c r="H175" s="167" t="s">
        <v>163</v>
      </c>
      <c r="I175" s="167"/>
      <c r="J175" s="547">
        <v>1.734</v>
      </c>
      <c r="K175" s="547">
        <v>0</v>
      </c>
      <c r="L175" s="547">
        <v>0</v>
      </c>
      <c r="M175" s="548">
        <v>0</v>
      </c>
      <c r="N175" s="548">
        <v>0</v>
      </c>
      <c r="O175" s="548">
        <v>0</v>
      </c>
      <c r="P175" s="547">
        <v>0</v>
      </c>
    </row>
    <row r="176" spans="6:16" x14ac:dyDescent="0.25">
      <c r="F176" s="176" t="s">
        <v>88</v>
      </c>
      <c r="G176" s="167"/>
      <c r="H176" s="167" t="s">
        <v>163</v>
      </c>
      <c r="I176" s="167"/>
      <c r="J176" s="547">
        <v>2.2189999999999999</v>
      </c>
      <c r="K176" s="547">
        <v>0</v>
      </c>
      <c r="L176" s="547">
        <v>0</v>
      </c>
      <c r="M176" s="548">
        <v>0</v>
      </c>
      <c r="N176" s="548">
        <v>0</v>
      </c>
      <c r="O176" s="548">
        <v>0</v>
      </c>
      <c r="P176" s="547">
        <v>0</v>
      </c>
    </row>
    <row r="177" spans="6:16" x14ac:dyDescent="0.25">
      <c r="F177" s="176" t="s">
        <v>89</v>
      </c>
      <c r="G177" s="167"/>
      <c r="H177" s="167" t="s">
        <v>163</v>
      </c>
      <c r="I177" s="167"/>
      <c r="J177" s="547">
        <v>1.704</v>
      </c>
      <c r="K177" s="547">
        <v>0</v>
      </c>
      <c r="L177" s="547">
        <v>0</v>
      </c>
      <c r="M177" s="548">
        <v>0</v>
      </c>
      <c r="N177" s="548">
        <v>0</v>
      </c>
      <c r="O177" s="548">
        <v>0</v>
      </c>
      <c r="P177" s="547">
        <v>0</v>
      </c>
    </row>
    <row r="178" spans="6:16" x14ac:dyDescent="0.25">
      <c r="F178" s="176" t="s">
        <v>90</v>
      </c>
      <c r="G178" s="167"/>
      <c r="H178" s="167" t="s">
        <v>163</v>
      </c>
      <c r="I178" s="167"/>
      <c r="J178" s="547">
        <v>8.9540000000000006</v>
      </c>
      <c r="K178" s="547">
        <v>1.681</v>
      </c>
      <c r="L178" s="547">
        <v>1.2</v>
      </c>
      <c r="M178" s="548">
        <v>0</v>
      </c>
      <c r="N178" s="548">
        <v>0</v>
      </c>
      <c r="O178" s="548">
        <v>0</v>
      </c>
      <c r="P178" s="547">
        <v>0</v>
      </c>
    </row>
    <row r="179" spans="6:16" x14ac:dyDescent="0.25">
      <c r="F179" s="176" t="s">
        <v>62</v>
      </c>
      <c r="G179" s="167"/>
      <c r="H179" s="167" t="s">
        <v>163</v>
      </c>
      <c r="I179" s="167"/>
      <c r="J179" s="547">
        <v>-0.79400000000000004</v>
      </c>
      <c r="K179" s="547">
        <v>0</v>
      </c>
      <c r="L179" s="547">
        <v>0</v>
      </c>
      <c r="M179" s="548">
        <v>0</v>
      </c>
      <c r="N179" s="548">
        <v>0</v>
      </c>
      <c r="O179" s="548">
        <v>0</v>
      </c>
      <c r="P179" s="547">
        <v>0</v>
      </c>
    </row>
    <row r="180" spans="6:16" x14ac:dyDescent="0.25">
      <c r="F180" s="176" t="s">
        <v>63</v>
      </c>
      <c r="G180" s="167"/>
      <c r="H180" s="167" t="s">
        <v>163</v>
      </c>
      <c r="I180" s="167"/>
      <c r="J180" s="553"/>
      <c r="K180" s="553"/>
      <c r="L180" s="553"/>
      <c r="M180" s="554"/>
      <c r="N180" s="554"/>
      <c r="O180" s="554"/>
      <c r="P180" s="553"/>
    </row>
    <row r="181" spans="6:16" x14ac:dyDescent="0.25">
      <c r="F181" s="176" t="s">
        <v>64</v>
      </c>
      <c r="G181" s="167"/>
      <c r="H181" s="167" t="s">
        <v>163</v>
      </c>
      <c r="I181" s="167"/>
      <c r="J181" s="547">
        <v>-0.79400000000000004</v>
      </c>
      <c r="K181" s="547">
        <v>0</v>
      </c>
      <c r="L181" s="547">
        <v>0</v>
      </c>
      <c r="M181" s="548">
        <v>0</v>
      </c>
      <c r="N181" s="548">
        <v>0</v>
      </c>
      <c r="O181" s="548">
        <v>0</v>
      </c>
      <c r="P181" s="547">
        <v>0.186</v>
      </c>
    </row>
    <row r="182" spans="6:16" x14ac:dyDescent="0.25">
      <c r="F182" s="176" t="s">
        <v>65</v>
      </c>
      <c r="G182" s="167"/>
      <c r="H182" s="167" t="s">
        <v>163</v>
      </c>
      <c r="I182" s="167"/>
      <c r="J182" s="553"/>
      <c r="K182" s="553"/>
      <c r="L182" s="553"/>
      <c r="M182" s="554"/>
      <c r="N182" s="554"/>
      <c r="O182" s="554"/>
      <c r="P182" s="553"/>
    </row>
    <row r="183" spans="6:16" x14ac:dyDescent="0.25">
      <c r="F183" s="176" t="s">
        <v>66</v>
      </c>
      <c r="G183" s="167"/>
      <c r="H183" s="167" t="s">
        <v>163</v>
      </c>
      <c r="I183" s="167"/>
      <c r="J183" s="547">
        <v>-5.5359999999999996</v>
      </c>
      <c r="K183" s="547">
        <v>-0.57099999999999995</v>
      </c>
      <c r="L183" s="547">
        <v>-3.3000000000000002E-2</v>
      </c>
      <c r="M183" s="548">
        <v>0</v>
      </c>
      <c r="N183" s="548">
        <v>0</v>
      </c>
      <c r="O183" s="548">
        <v>0</v>
      </c>
      <c r="P183" s="547">
        <v>0.186</v>
      </c>
    </row>
    <row r="184" spans="6:16" x14ac:dyDescent="0.25">
      <c r="F184" s="176" t="s">
        <v>67</v>
      </c>
      <c r="G184" s="167"/>
      <c r="H184" s="167" t="s">
        <v>163</v>
      </c>
      <c r="I184" s="167"/>
      <c r="J184" s="553"/>
      <c r="K184" s="553"/>
      <c r="L184" s="553"/>
      <c r="M184" s="554"/>
      <c r="N184" s="554"/>
      <c r="O184" s="554"/>
      <c r="P184" s="553"/>
    </row>
    <row r="185" spans="6:16" x14ac:dyDescent="0.25">
      <c r="F185" s="176" t="s">
        <v>68</v>
      </c>
      <c r="G185" s="167"/>
      <c r="H185" s="167" t="s">
        <v>163</v>
      </c>
      <c r="I185" s="167"/>
      <c r="J185" s="553"/>
      <c r="K185" s="553"/>
      <c r="L185" s="553"/>
      <c r="M185" s="554"/>
      <c r="N185" s="554"/>
      <c r="O185" s="554"/>
      <c r="P185" s="553"/>
    </row>
    <row r="186" spans="6:16" x14ac:dyDescent="0.25">
      <c r="F186" s="176" t="s">
        <v>69</v>
      </c>
      <c r="G186" s="167"/>
      <c r="H186" s="167" t="s">
        <v>163</v>
      </c>
      <c r="I186" s="167"/>
      <c r="J186" s="553"/>
      <c r="K186" s="553"/>
      <c r="L186" s="553"/>
      <c r="M186" s="554"/>
      <c r="N186" s="554"/>
      <c r="O186" s="554"/>
      <c r="P186" s="553"/>
    </row>
    <row r="187" spans="6:16" x14ac:dyDescent="0.25">
      <c r="F187" s="176" t="s">
        <v>70</v>
      </c>
      <c r="G187" s="167"/>
      <c r="H187" s="167" t="s">
        <v>163</v>
      </c>
      <c r="I187" s="167"/>
      <c r="J187" s="553"/>
      <c r="K187" s="553"/>
      <c r="L187" s="553"/>
      <c r="M187" s="554"/>
      <c r="N187" s="554"/>
      <c r="O187" s="554"/>
      <c r="P187" s="553"/>
    </row>
    <row r="188" spans="6:16" x14ac:dyDescent="0.25">
      <c r="F188" s="176" t="s">
        <v>71</v>
      </c>
      <c r="G188" s="167"/>
      <c r="H188" s="167" t="s">
        <v>163</v>
      </c>
      <c r="I188" s="167"/>
      <c r="J188" s="553"/>
      <c r="K188" s="553"/>
      <c r="L188" s="553"/>
      <c r="M188" s="554"/>
      <c r="N188" s="554"/>
      <c r="O188" s="554"/>
      <c r="P188" s="553"/>
    </row>
    <row r="189" spans="6:16" x14ac:dyDescent="0.25">
      <c r="F189" s="176" t="s">
        <v>74</v>
      </c>
      <c r="G189" s="167"/>
      <c r="H189" s="167" t="s">
        <v>163</v>
      </c>
      <c r="I189" s="167"/>
      <c r="J189" s="553"/>
      <c r="K189" s="553"/>
      <c r="L189" s="553"/>
      <c r="M189" s="554"/>
      <c r="N189" s="554"/>
      <c r="O189" s="554"/>
      <c r="P189" s="553"/>
    </row>
    <row r="190" spans="6:16" x14ac:dyDescent="0.25">
      <c r="F190" s="176" t="s">
        <v>75</v>
      </c>
      <c r="G190" s="167"/>
      <c r="H190" s="167" t="s">
        <v>163</v>
      </c>
      <c r="I190" s="167"/>
      <c r="J190" s="553"/>
      <c r="K190" s="553"/>
      <c r="L190" s="553"/>
      <c r="M190" s="554"/>
      <c r="N190" s="554"/>
      <c r="O190" s="554"/>
      <c r="P190" s="553"/>
    </row>
    <row r="191" spans="6:16" x14ac:dyDescent="0.25">
      <c r="F191" s="176" t="s">
        <v>76</v>
      </c>
      <c r="G191" s="167"/>
      <c r="H191" s="167" t="s">
        <v>163</v>
      </c>
      <c r="I191" s="167"/>
      <c r="J191" s="553"/>
      <c r="K191" s="553"/>
      <c r="L191" s="553"/>
      <c r="M191" s="554"/>
      <c r="N191" s="554"/>
      <c r="O191" s="554"/>
      <c r="P191" s="553"/>
    </row>
    <row r="192" spans="6:16" x14ac:dyDescent="0.25">
      <c r="F192" s="177" t="s">
        <v>77</v>
      </c>
      <c r="G192" s="168"/>
      <c r="H192" s="168" t="s">
        <v>163</v>
      </c>
      <c r="I192" s="168"/>
      <c r="J192" s="555"/>
      <c r="K192" s="555"/>
      <c r="L192" s="555"/>
      <c r="M192" s="556"/>
      <c r="N192" s="556"/>
      <c r="O192" s="556"/>
      <c r="P192" s="555"/>
    </row>
    <row r="193" spans="4:19" x14ac:dyDescent="0.25">
      <c r="D193" s="338"/>
      <c r="E193" s="338"/>
      <c r="F193" s="338"/>
      <c r="G193" s="338"/>
      <c r="H193" s="338"/>
      <c r="I193" s="338"/>
      <c r="J193" s="557"/>
      <c r="K193" s="557"/>
      <c r="L193" s="557"/>
      <c r="M193" s="558"/>
      <c r="N193" s="558"/>
      <c r="O193" s="558"/>
      <c r="P193" s="557"/>
      <c r="Q193" s="338"/>
      <c r="R193" s="11"/>
      <c r="S193" s="11"/>
    </row>
    <row r="194" spans="4:19" x14ac:dyDescent="0.25">
      <c r="D194" s="172"/>
      <c r="E194" s="172" t="str">
        <f>"LDNO HV tariff forecast " &amp; charging_year</f>
        <v>LDNO HV tariff forecast 2020/21</v>
      </c>
      <c r="F194" s="338"/>
      <c r="G194" s="338"/>
      <c r="H194" s="338"/>
      <c r="I194" s="338"/>
      <c r="J194" s="557"/>
      <c r="K194" s="557"/>
      <c r="L194" s="557"/>
      <c r="M194" s="558"/>
      <c r="N194" s="558"/>
      <c r="O194" s="558"/>
      <c r="P194" s="557"/>
      <c r="Q194" s="338"/>
      <c r="R194" s="338"/>
      <c r="S194" s="338"/>
    </row>
    <row r="195" spans="4:19" x14ac:dyDescent="0.25">
      <c r="F195" s="180" t="s">
        <v>52</v>
      </c>
      <c r="G195" s="166"/>
      <c r="H195" s="166" t="s">
        <v>164</v>
      </c>
      <c r="I195" s="166"/>
      <c r="J195" s="545">
        <v>0.83899999999999997</v>
      </c>
      <c r="K195" s="545">
        <v>0</v>
      </c>
      <c r="L195" s="545">
        <v>0</v>
      </c>
      <c r="M195" s="546">
        <v>1.52</v>
      </c>
      <c r="N195" s="546">
        <v>0</v>
      </c>
      <c r="O195" s="546">
        <v>0</v>
      </c>
      <c r="P195" s="545">
        <v>0</v>
      </c>
    </row>
    <row r="196" spans="4:19" x14ac:dyDescent="0.25">
      <c r="F196" s="176" t="s">
        <v>53</v>
      </c>
      <c r="G196" s="167"/>
      <c r="H196" s="167" t="s">
        <v>164</v>
      </c>
      <c r="I196" s="167"/>
      <c r="J196" s="547">
        <v>1.036</v>
      </c>
      <c r="K196" s="547">
        <v>0.191</v>
      </c>
      <c r="L196" s="547">
        <v>0</v>
      </c>
      <c r="M196" s="548">
        <v>1.52</v>
      </c>
      <c r="N196" s="548">
        <v>0</v>
      </c>
      <c r="O196" s="548">
        <v>0</v>
      </c>
      <c r="P196" s="547">
        <v>0</v>
      </c>
    </row>
    <row r="197" spans="4:19" x14ac:dyDescent="0.25">
      <c r="F197" s="176" t="s">
        <v>84</v>
      </c>
      <c r="G197" s="167"/>
      <c r="H197" s="167" t="s">
        <v>164</v>
      </c>
      <c r="I197" s="167"/>
      <c r="J197" s="547">
        <v>0.23300000000000001</v>
      </c>
      <c r="K197" s="547">
        <v>0</v>
      </c>
      <c r="L197" s="547">
        <v>0</v>
      </c>
      <c r="M197" s="548">
        <v>0</v>
      </c>
      <c r="N197" s="548">
        <v>0</v>
      </c>
      <c r="O197" s="548">
        <v>0</v>
      </c>
      <c r="P197" s="547">
        <v>0</v>
      </c>
    </row>
    <row r="198" spans="4:19" x14ac:dyDescent="0.25">
      <c r="F198" s="176" t="s">
        <v>54</v>
      </c>
      <c r="G198" s="167"/>
      <c r="H198" s="167" t="s">
        <v>164</v>
      </c>
      <c r="I198" s="167"/>
      <c r="J198" s="547">
        <v>0.77100000000000002</v>
      </c>
      <c r="K198" s="547">
        <v>0</v>
      </c>
      <c r="L198" s="547">
        <v>0</v>
      </c>
      <c r="M198" s="548">
        <v>2.2799999999999998</v>
      </c>
      <c r="N198" s="548">
        <v>0</v>
      </c>
      <c r="O198" s="548">
        <v>0</v>
      </c>
      <c r="P198" s="547">
        <v>0</v>
      </c>
    </row>
    <row r="199" spans="4:19" x14ac:dyDescent="0.25">
      <c r="F199" s="176" t="s">
        <v>55</v>
      </c>
      <c r="G199" s="167"/>
      <c r="H199" s="167" t="s">
        <v>164</v>
      </c>
      <c r="I199" s="167"/>
      <c r="J199" s="547">
        <v>1.1240000000000001</v>
      </c>
      <c r="K199" s="547">
        <v>0.25700000000000001</v>
      </c>
      <c r="L199" s="547">
        <v>0</v>
      </c>
      <c r="M199" s="548">
        <v>2.2799999999999998</v>
      </c>
      <c r="N199" s="548">
        <v>0</v>
      </c>
      <c r="O199" s="548">
        <v>0</v>
      </c>
      <c r="P199" s="547">
        <v>0</v>
      </c>
    </row>
    <row r="200" spans="4:19" x14ac:dyDescent="0.25">
      <c r="F200" s="176" t="s">
        <v>85</v>
      </c>
      <c r="G200" s="167"/>
      <c r="H200" s="167" t="s">
        <v>164</v>
      </c>
      <c r="I200" s="167"/>
      <c r="J200" s="547">
        <v>0.28899999999999998</v>
      </c>
      <c r="K200" s="547">
        <v>0</v>
      </c>
      <c r="L200" s="547">
        <v>0</v>
      </c>
      <c r="M200" s="548">
        <v>0</v>
      </c>
      <c r="N200" s="548">
        <v>0</v>
      </c>
      <c r="O200" s="548">
        <v>0</v>
      </c>
      <c r="P200" s="547">
        <v>0</v>
      </c>
    </row>
    <row r="201" spans="4:19" x14ac:dyDescent="0.25">
      <c r="F201" s="176" t="s">
        <v>56</v>
      </c>
      <c r="G201" s="167"/>
      <c r="H201" s="167" t="s">
        <v>164</v>
      </c>
      <c r="I201" s="167"/>
      <c r="J201" s="547">
        <v>0.64400000000000002</v>
      </c>
      <c r="K201" s="547">
        <v>0.187</v>
      </c>
      <c r="L201" s="547">
        <v>0</v>
      </c>
      <c r="M201" s="548">
        <v>12.58</v>
      </c>
      <c r="N201" s="548">
        <v>0</v>
      </c>
      <c r="O201" s="548">
        <v>0</v>
      </c>
      <c r="P201" s="547">
        <v>0</v>
      </c>
    </row>
    <row r="202" spans="4:19" x14ac:dyDescent="0.25">
      <c r="F202" s="176" t="s">
        <v>57</v>
      </c>
      <c r="G202" s="167"/>
      <c r="H202" s="167" t="s">
        <v>164</v>
      </c>
      <c r="I202" s="167"/>
      <c r="J202" s="553"/>
      <c r="K202" s="553"/>
      <c r="L202" s="553"/>
      <c r="M202" s="554"/>
      <c r="N202" s="554"/>
      <c r="O202" s="554"/>
      <c r="P202" s="553"/>
    </row>
    <row r="203" spans="4:19" x14ac:dyDescent="0.25">
      <c r="F203" s="176" t="s">
        <v>72</v>
      </c>
      <c r="G203" s="167"/>
      <c r="H203" s="167" t="s">
        <v>164</v>
      </c>
      <c r="I203" s="167"/>
      <c r="J203" s="553"/>
      <c r="K203" s="553"/>
      <c r="L203" s="553"/>
      <c r="M203" s="554"/>
      <c r="N203" s="554"/>
      <c r="O203" s="554"/>
      <c r="P203" s="553"/>
    </row>
    <row r="204" spans="4:19" x14ac:dyDescent="0.25">
      <c r="F204" s="176" t="s">
        <v>58</v>
      </c>
      <c r="G204" s="167"/>
      <c r="H204" s="167" t="s">
        <v>164</v>
      </c>
      <c r="I204" s="167"/>
      <c r="J204" s="547">
        <v>3.7759999999999998</v>
      </c>
      <c r="K204" s="547">
        <v>0.52</v>
      </c>
      <c r="L204" s="547">
        <v>0.16800000000000001</v>
      </c>
      <c r="M204" s="548">
        <v>1.52</v>
      </c>
      <c r="N204" s="548">
        <v>0</v>
      </c>
      <c r="O204" s="548">
        <v>0</v>
      </c>
      <c r="P204" s="547">
        <v>0</v>
      </c>
    </row>
    <row r="205" spans="4:19" x14ac:dyDescent="0.25">
      <c r="F205" s="176" t="s">
        <v>59</v>
      </c>
      <c r="G205" s="167"/>
      <c r="H205" s="167" t="s">
        <v>164</v>
      </c>
      <c r="I205" s="167"/>
      <c r="J205" s="547">
        <v>3.9780000000000002</v>
      </c>
      <c r="K205" s="547">
        <v>0.54100000000000004</v>
      </c>
      <c r="L205" s="547">
        <v>0.16900000000000001</v>
      </c>
      <c r="M205" s="548">
        <v>2.2799999999999998</v>
      </c>
      <c r="N205" s="548">
        <v>0</v>
      </c>
      <c r="O205" s="548">
        <v>0</v>
      </c>
      <c r="P205" s="547">
        <v>0</v>
      </c>
    </row>
    <row r="206" spans="4:19" x14ac:dyDescent="0.25">
      <c r="F206" s="176" t="s">
        <v>60</v>
      </c>
      <c r="G206" s="167"/>
      <c r="H206" s="167" t="s">
        <v>164</v>
      </c>
      <c r="I206" s="167"/>
      <c r="J206" s="547">
        <v>2.722</v>
      </c>
      <c r="K206" s="547">
        <v>0.376</v>
      </c>
      <c r="L206" s="547">
        <v>0.158</v>
      </c>
      <c r="M206" s="548">
        <v>7.16</v>
      </c>
      <c r="N206" s="548">
        <v>1.05</v>
      </c>
      <c r="O206" s="548">
        <v>1.99</v>
      </c>
      <c r="P206" s="547">
        <v>8.8999999999999996E-2</v>
      </c>
    </row>
    <row r="207" spans="4:19" x14ac:dyDescent="0.25">
      <c r="F207" s="176" t="s">
        <v>61</v>
      </c>
      <c r="G207" s="167"/>
      <c r="H207" s="167" t="s">
        <v>164</v>
      </c>
      <c r="I207" s="167"/>
      <c r="J207" s="547">
        <v>3.367</v>
      </c>
      <c r="K207" s="547">
        <v>0.41899999999999998</v>
      </c>
      <c r="L207" s="547">
        <v>0.24</v>
      </c>
      <c r="M207" s="548">
        <v>17.84</v>
      </c>
      <c r="N207" s="548">
        <v>2.96</v>
      </c>
      <c r="O207" s="548">
        <v>3.99</v>
      </c>
      <c r="P207" s="547">
        <v>8.8999999999999996E-2</v>
      </c>
    </row>
    <row r="208" spans="4:19" x14ac:dyDescent="0.25">
      <c r="F208" s="176" t="s">
        <v>73</v>
      </c>
      <c r="G208" s="167"/>
      <c r="H208" s="167" t="s">
        <v>164</v>
      </c>
      <c r="I208" s="167"/>
      <c r="J208" s="547">
        <v>2.8079999999999998</v>
      </c>
      <c r="K208" s="547">
        <v>0.39500000000000002</v>
      </c>
      <c r="L208" s="547">
        <v>0.27100000000000002</v>
      </c>
      <c r="M208" s="548">
        <v>116.77</v>
      </c>
      <c r="N208" s="548">
        <v>4.18</v>
      </c>
      <c r="O208" s="548">
        <v>5.19</v>
      </c>
      <c r="P208" s="547">
        <v>6.8000000000000005E-2</v>
      </c>
    </row>
    <row r="209" spans="6:16" x14ac:dyDescent="0.25">
      <c r="F209" s="176" t="s">
        <v>86</v>
      </c>
      <c r="G209" s="167"/>
      <c r="H209" s="167" t="s">
        <v>164</v>
      </c>
      <c r="I209" s="167"/>
      <c r="J209" s="547">
        <v>1.129</v>
      </c>
      <c r="K209" s="547">
        <v>0</v>
      </c>
      <c r="L209" s="547">
        <v>0</v>
      </c>
      <c r="M209" s="548">
        <v>0</v>
      </c>
      <c r="N209" s="548">
        <v>0</v>
      </c>
      <c r="O209" s="548">
        <v>0</v>
      </c>
      <c r="P209" s="547">
        <v>0</v>
      </c>
    </row>
    <row r="210" spans="6:16" x14ac:dyDescent="0.25">
      <c r="F210" s="176" t="s">
        <v>87</v>
      </c>
      <c r="G210" s="167"/>
      <c r="H210" s="167" t="s">
        <v>164</v>
      </c>
      <c r="I210" s="167"/>
      <c r="J210" s="547">
        <v>1.153</v>
      </c>
      <c r="K210" s="547">
        <v>0</v>
      </c>
      <c r="L210" s="547">
        <v>0</v>
      </c>
      <c r="M210" s="548">
        <v>0</v>
      </c>
      <c r="N210" s="548">
        <v>0</v>
      </c>
      <c r="O210" s="548">
        <v>0</v>
      </c>
      <c r="P210" s="547">
        <v>0</v>
      </c>
    </row>
    <row r="211" spans="6:16" x14ac:dyDescent="0.25">
      <c r="F211" s="176" t="s">
        <v>88</v>
      </c>
      <c r="G211" s="167"/>
      <c r="H211" s="167" t="s">
        <v>164</v>
      </c>
      <c r="I211" s="167"/>
      <c r="J211" s="547">
        <v>1.476</v>
      </c>
      <c r="K211" s="547">
        <v>0</v>
      </c>
      <c r="L211" s="547">
        <v>0</v>
      </c>
      <c r="M211" s="548">
        <v>0</v>
      </c>
      <c r="N211" s="548">
        <v>0</v>
      </c>
      <c r="O211" s="548">
        <v>0</v>
      </c>
      <c r="P211" s="547">
        <v>0</v>
      </c>
    </row>
    <row r="212" spans="6:16" x14ac:dyDescent="0.25">
      <c r="F212" s="176" t="s">
        <v>89</v>
      </c>
      <c r="G212" s="167"/>
      <c r="H212" s="167" t="s">
        <v>164</v>
      </c>
      <c r="I212" s="167"/>
      <c r="J212" s="547">
        <v>1.133</v>
      </c>
      <c r="K212" s="547">
        <v>0</v>
      </c>
      <c r="L212" s="547">
        <v>0</v>
      </c>
      <c r="M212" s="548">
        <v>0</v>
      </c>
      <c r="N212" s="548">
        <v>0</v>
      </c>
      <c r="O212" s="548">
        <v>0</v>
      </c>
      <c r="P212" s="547">
        <v>0</v>
      </c>
    </row>
    <row r="213" spans="6:16" x14ac:dyDescent="0.25">
      <c r="F213" s="176" t="s">
        <v>90</v>
      </c>
      <c r="G213" s="167"/>
      <c r="H213" s="167" t="s">
        <v>164</v>
      </c>
      <c r="I213" s="167"/>
      <c r="J213" s="547">
        <v>5.9569999999999999</v>
      </c>
      <c r="K213" s="547">
        <v>1.1180000000000001</v>
      </c>
      <c r="L213" s="547">
        <v>0.79800000000000004</v>
      </c>
      <c r="M213" s="548">
        <v>0</v>
      </c>
      <c r="N213" s="548">
        <v>0</v>
      </c>
      <c r="O213" s="548">
        <v>0</v>
      </c>
      <c r="P213" s="547">
        <v>0</v>
      </c>
    </row>
    <row r="214" spans="6:16" x14ac:dyDescent="0.25">
      <c r="F214" s="176" t="s">
        <v>62</v>
      </c>
      <c r="G214" s="167"/>
      <c r="H214" s="167" t="s">
        <v>164</v>
      </c>
      <c r="I214" s="167"/>
      <c r="J214" s="547">
        <v>-0.79400000000000004</v>
      </c>
      <c r="K214" s="547">
        <v>0</v>
      </c>
      <c r="L214" s="547">
        <v>0</v>
      </c>
      <c r="M214" s="548">
        <v>0</v>
      </c>
      <c r="N214" s="548">
        <v>0</v>
      </c>
      <c r="O214" s="548">
        <v>0</v>
      </c>
      <c r="P214" s="547">
        <v>0</v>
      </c>
    </row>
    <row r="215" spans="6:16" x14ac:dyDescent="0.25">
      <c r="F215" s="176" t="s">
        <v>63</v>
      </c>
      <c r="G215" s="167"/>
      <c r="H215" s="167" t="s">
        <v>164</v>
      </c>
      <c r="I215" s="167"/>
      <c r="J215" s="547">
        <v>-0.69499999999999995</v>
      </c>
      <c r="K215" s="547">
        <v>0</v>
      </c>
      <c r="L215" s="547">
        <v>0</v>
      </c>
      <c r="M215" s="548">
        <v>0</v>
      </c>
      <c r="N215" s="548">
        <v>0</v>
      </c>
      <c r="O215" s="548">
        <v>0</v>
      </c>
      <c r="P215" s="547">
        <v>0</v>
      </c>
    </row>
    <row r="216" spans="6:16" x14ac:dyDescent="0.25">
      <c r="F216" s="176" t="s">
        <v>64</v>
      </c>
      <c r="G216" s="167"/>
      <c r="H216" s="167" t="s">
        <v>164</v>
      </c>
      <c r="I216" s="167"/>
      <c r="J216" s="547">
        <v>-0.79400000000000004</v>
      </c>
      <c r="K216" s="547">
        <v>0</v>
      </c>
      <c r="L216" s="547">
        <v>0</v>
      </c>
      <c r="M216" s="548">
        <v>0</v>
      </c>
      <c r="N216" s="548">
        <v>0</v>
      </c>
      <c r="O216" s="548">
        <v>0</v>
      </c>
      <c r="P216" s="547">
        <v>0.186</v>
      </c>
    </row>
    <row r="217" spans="6:16" x14ac:dyDescent="0.25">
      <c r="F217" s="176" t="s">
        <v>65</v>
      </c>
      <c r="G217" s="167"/>
      <c r="H217" s="167" t="s">
        <v>164</v>
      </c>
      <c r="I217" s="167"/>
      <c r="J217" s="553"/>
      <c r="K217" s="553"/>
      <c r="L217" s="553"/>
      <c r="M217" s="554"/>
      <c r="N217" s="554"/>
      <c r="O217" s="554"/>
      <c r="P217" s="553"/>
    </row>
    <row r="218" spans="6:16" x14ac:dyDescent="0.25">
      <c r="F218" s="176" t="s">
        <v>66</v>
      </c>
      <c r="G218" s="167"/>
      <c r="H218" s="167" t="s">
        <v>164</v>
      </c>
      <c r="I218" s="167"/>
      <c r="J218" s="547">
        <v>-5.5359999999999996</v>
      </c>
      <c r="K218" s="547">
        <v>-0.57099999999999995</v>
      </c>
      <c r="L218" s="547">
        <v>-3.3000000000000002E-2</v>
      </c>
      <c r="M218" s="548">
        <v>0</v>
      </c>
      <c r="N218" s="548">
        <v>0</v>
      </c>
      <c r="O218" s="548">
        <v>0</v>
      </c>
      <c r="P218" s="547">
        <v>0.186</v>
      </c>
    </row>
    <row r="219" spans="6:16" x14ac:dyDescent="0.25">
      <c r="F219" s="176" t="s">
        <v>67</v>
      </c>
      <c r="G219" s="167"/>
      <c r="H219" s="167" t="s">
        <v>164</v>
      </c>
      <c r="I219" s="167"/>
      <c r="J219" s="553"/>
      <c r="K219" s="553"/>
      <c r="L219" s="553"/>
      <c r="M219" s="554"/>
      <c r="N219" s="554"/>
      <c r="O219" s="554"/>
      <c r="P219" s="553"/>
    </row>
    <row r="220" spans="6:16" x14ac:dyDescent="0.25">
      <c r="F220" s="176" t="s">
        <v>68</v>
      </c>
      <c r="G220" s="167"/>
      <c r="H220" s="167" t="s">
        <v>164</v>
      </c>
      <c r="I220" s="167"/>
      <c r="J220" s="547">
        <v>-0.69499999999999995</v>
      </c>
      <c r="K220" s="547">
        <v>0</v>
      </c>
      <c r="L220" s="547">
        <v>0</v>
      </c>
      <c r="M220" s="548">
        <v>0</v>
      </c>
      <c r="N220" s="548">
        <v>0</v>
      </c>
      <c r="O220" s="548">
        <v>0</v>
      </c>
      <c r="P220" s="547">
        <v>0.16600000000000001</v>
      </c>
    </row>
    <row r="221" spans="6:16" x14ac:dyDescent="0.25">
      <c r="F221" s="176" t="s">
        <v>69</v>
      </c>
      <c r="G221" s="167"/>
      <c r="H221" s="167" t="s">
        <v>164</v>
      </c>
      <c r="I221" s="167"/>
      <c r="J221" s="553"/>
      <c r="K221" s="553"/>
      <c r="L221" s="553"/>
      <c r="M221" s="554"/>
      <c r="N221" s="554"/>
      <c r="O221" s="554"/>
      <c r="P221" s="553"/>
    </row>
    <row r="222" spans="6:16" x14ac:dyDescent="0.25">
      <c r="F222" s="176" t="s">
        <v>70</v>
      </c>
      <c r="G222" s="167"/>
      <c r="H222" s="167" t="s">
        <v>164</v>
      </c>
      <c r="I222" s="167"/>
      <c r="J222" s="547">
        <v>-4.9939999999999998</v>
      </c>
      <c r="K222" s="547">
        <v>-0.47499999999999998</v>
      </c>
      <c r="L222" s="547">
        <v>-2.5999999999999999E-2</v>
      </c>
      <c r="M222" s="548">
        <v>0</v>
      </c>
      <c r="N222" s="548">
        <v>0</v>
      </c>
      <c r="O222" s="548">
        <v>0</v>
      </c>
      <c r="P222" s="547">
        <v>0.16600000000000001</v>
      </c>
    </row>
    <row r="223" spans="6:16" x14ac:dyDescent="0.25">
      <c r="F223" s="176" t="s">
        <v>71</v>
      </c>
      <c r="G223" s="167"/>
      <c r="H223" s="167" t="s">
        <v>164</v>
      </c>
      <c r="I223" s="167"/>
      <c r="J223" s="553"/>
      <c r="K223" s="553"/>
      <c r="L223" s="553"/>
      <c r="M223" s="554"/>
      <c r="N223" s="554"/>
      <c r="O223" s="554"/>
      <c r="P223" s="553"/>
    </row>
    <row r="224" spans="6:16" x14ac:dyDescent="0.25">
      <c r="F224" s="176" t="s">
        <v>74</v>
      </c>
      <c r="G224" s="167"/>
      <c r="H224" s="167" t="s">
        <v>164</v>
      </c>
      <c r="I224" s="167"/>
      <c r="J224" s="547">
        <v>-0.46</v>
      </c>
      <c r="K224" s="547">
        <v>0</v>
      </c>
      <c r="L224" s="547">
        <v>0</v>
      </c>
      <c r="M224" s="548">
        <v>0</v>
      </c>
      <c r="N224" s="548">
        <v>0</v>
      </c>
      <c r="O224" s="548">
        <v>0</v>
      </c>
      <c r="P224" s="547">
        <v>0.14699999999999999</v>
      </c>
    </row>
    <row r="225" spans="3:19" x14ac:dyDescent="0.25">
      <c r="F225" s="176" t="s">
        <v>75</v>
      </c>
      <c r="G225" s="167"/>
      <c r="H225" s="167" t="s">
        <v>164</v>
      </c>
      <c r="I225" s="167"/>
      <c r="J225" s="553"/>
      <c r="K225" s="553"/>
      <c r="L225" s="553"/>
      <c r="M225" s="554"/>
      <c r="N225" s="554"/>
      <c r="O225" s="554"/>
      <c r="P225" s="553"/>
    </row>
    <row r="226" spans="3:19" x14ac:dyDescent="0.25">
      <c r="F226" s="176" t="s">
        <v>76</v>
      </c>
      <c r="G226" s="167"/>
      <c r="H226" s="167" t="s">
        <v>164</v>
      </c>
      <c r="I226" s="167"/>
      <c r="J226" s="547">
        <v>-3.8380000000000001</v>
      </c>
      <c r="K226" s="547">
        <v>-0.22700000000000001</v>
      </c>
      <c r="L226" s="547">
        <v>-8.0000000000000002E-3</v>
      </c>
      <c r="M226" s="548">
        <v>0</v>
      </c>
      <c r="N226" s="548">
        <v>0</v>
      </c>
      <c r="O226" s="548">
        <v>0</v>
      </c>
      <c r="P226" s="547">
        <v>0.14699999999999999</v>
      </c>
    </row>
    <row r="227" spans="3:19" x14ac:dyDescent="0.25">
      <c r="F227" s="177" t="s">
        <v>77</v>
      </c>
      <c r="G227" s="168"/>
      <c r="H227" s="168" t="s">
        <v>164</v>
      </c>
      <c r="I227" s="168"/>
      <c r="J227" s="555"/>
      <c r="K227" s="555"/>
      <c r="L227" s="555"/>
      <c r="M227" s="556"/>
      <c r="N227" s="556"/>
      <c r="O227" s="556"/>
      <c r="P227" s="555"/>
    </row>
    <row r="228" spans="3:19" x14ac:dyDescent="0.25">
      <c r="D228" s="338"/>
      <c r="E228" s="338"/>
      <c r="F228" s="338"/>
      <c r="G228" s="338"/>
      <c r="H228" s="338"/>
      <c r="I228" s="338"/>
      <c r="J228" s="338"/>
      <c r="K228" s="338"/>
      <c r="L228" s="338"/>
      <c r="M228" s="369"/>
      <c r="N228" s="369"/>
      <c r="O228" s="369"/>
      <c r="P228" s="338"/>
      <c r="Q228" s="11"/>
      <c r="R228" s="11"/>
      <c r="S228" s="11"/>
    </row>
    <row r="229" spans="3:19" s="338" customFormat="1" x14ac:dyDescent="0.25">
      <c r="C229" s="22" t="str">
        <f ca="1">INDEX('Version control'!$H$34:$H$59,MATCH($A$1,'Version control'!$F$34:$F$59,0),1)&amp;"-C: Tariff results for charging year " &amp; 'ARP_User control'!G32</f>
        <v>Output 501-C: Tariff results for charging year 2021/22</v>
      </c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</row>
    <row r="230" spans="3:19" x14ac:dyDescent="0.25">
      <c r="D230" s="160"/>
      <c r="E230" s="338"/>
      <c r="F230" s="338"/>
      <c r="J230" s="200"/>
      <c r="K230" s="200"/>
      <c r="L230" s="200"/>
      <c r="M230" s="368"/>
      <c r="N230" s="368"/>
      <c r="O230" s="368"/>
      <c r="P230" s="200"/>
    </row>
    <row r="231" spans="3:19" x14ac:dyDescent="0.25">
      <c r="D231" s="172"/>
      <c r="E231" s="172" t="str">
        <f>"All the way tariff forecast " &amp; 'ARP_User control'!G32</f>
        <v>All the way tariff forecast 2021/22</v>
      </c>
      <c r="F231" s="338"/>
      <c r="J231" s="200"/>
      <c r="K231" s="200"/>
      <c r="L231" s="200"/>
      <c r="M231" s="368"/>
      <c r="N231" s="368"/>
      <c r="O231" s="368"/>
      <c r="P231" s="200"/>
    </row>
    <row r="232" spans="3:19" x14ac:dyDescent="0.25">
      <c r="F232" s="180" t="s">
        <v>52</v>
      </c>
      <c r="G232" s="166"/>
      <c r="H232" s="166" t="s">
        <v>391</v>
      </c>
      <c r="I232" s="166"/>
      <c r="J232" s="545">
        <v>1.962</v>
      </c>
      <c r="K232" s="545">
        <v>0</v>
      </c>
      <c r="L232" s="545">
        <v>0</v>
      </c>
      <c r="M232" s="546">
        <v>3.59</v>
      </c>
      <c r="N232" s="546">
        <v>0</v>
      </c>
      <c r="O232" s="546">
        <v>0</v>
      </c>
      <c r="P232" s="545">
        <v>0</v>
      </c>
    </row>
    <row r="233" spans="3:19" x14ac:dyDescent="0.25">
      <c r="F233" s="176" t="s">
        <v>53</v>
      </c>
      <c r="G233" s="167"/>
      <c r="H233" s="167" t="s">
        <v>391</v>
      </c>
      <c r="I233" s="167"/>
      <c r="J233" s="547">
        <v>2.419</v>
      </c>
      <c r="K233" s="547">
        <v>0.42299999999999999</v>
      </c>
      <c r="L233" s="547">
        <v>0</v>
      </c>
      <c r="M233" s="548">
        <v>3.59</v>
      </c>
      <c r="N233" s="548">
        <v>0</v>
      </c>
      <c r="O233" s="548">
        <v>0</v>
      </c>
      <c r="P233" s="547">
        <v>0</v>
      </c>
    </row>
    <row r="234" spans="3:19" x14ac:dyDescent="0.25">
      <c r="F234" s="176" t="s">
        <v>84</v>
      </c>
      <c r="G234" s="167"/>
      <c r="H234" s="167" t="s">
        <v>391</v>
      </c>
      <c r="I234" s="167"/>
      <c r="J234" s="547">
        <v>0.52200000000000002</v>
      </c>
      <c r="K234" s="547">
        <v>0</v>
      </c>
      <c r="L234" s="547">
        <v>0</v>
      </c>
      <c r="M234" s="548">
        <v>0</v>
      </c>
      <c r="N234" s="548">
        <v>0</v>
      </c>
      <c r="O234" s="548">
        <v>0</v>
      </c>
      <c r="P234" s="547">
        <v>0</v>
      </c>
    </row>
    <row r="235" spans="3:19" x14ac:dyDescent="0.25">
      <c r="F235" s="176" t="s">
        <v>54</v>
      </c>
      <c r="G235" s="167"/>
      <c r="H235" s="167" t="s">
        <v>391</v>
      </c>
      <c r="I235" s="167"/>
      <c r="J235" s="547">
        <v>1.8</v>
      </c>
      <c r="K235" s="547">
        <v>0</v>
      </c>
      <c r="L235" s="547">
        <v>0</v>
      </c>
      <c r="M235" s="548">
        <v>5.38</v>
      </c>
      <c r="N235" s="548">
        <v>0</v>
      </c>
      <c r="O235" s="548">
        <v>0</v>
      </c>
      <c r="P235" s="547">
        <v>0</v>
      </c>
    </row>
    <row r="236" spans="3:19" x14ac:dyDescent="0.25">
      <c r="F236" s="176" t="s">
        <v>55</v>
      </c>
      <c r="G236" s="167"/>
      <c r="H236" s="167" t="s">
        <v>391</v>
      </c>
      <c r="I236" s="167"/>
      <c r="J236" s="547">
        <v>2.6349999999999998</v>
      </c>
      <c r="K236" s="547">
        <v>0.57799999999999996</v>
      </c>
      <c r="L236" s="547">
        <v>0</v>
      </c>
      <c r="M236" s="548">
        <v>5.38</v>
      </c>
      <c r="N236" s="548">
        <v>0</v>
      </c>
      <c r="O236" s="548">
        <v>0</v>
      </c>
      <c r="P236" s="547">
        <v>0</v>
      </c>
    </row>
    <row r="237" spans="3:19" x14ac:dyDescent="0.25">
      <c r="F237" s="176" t="s">
        <v>85</v>
      </c>
      <c r="G237" s="167"/>
      <c r="H237" s="167" t="s">
        <v>391</v>
      </c>
      <c r="I237" s="167"/>
      <c r="J237" s="547">
        <v>0.65400000000000003</v>
      </c>
      <c r="K237" s="547">
        <v>0</v>
      </c>
      <c r="L237" s="547">
        <v>0</v>
      </c>
      <c r="M237" s="548">
        <v>0</v>
      </c>
      <c r="N237" s="548">
        <v>0</v>
      </c>
      <c r="O237" s="548">
        <v>0</v>
      </c>
      <c r="P237" s="547">
        <v>0</v>
      </c>
    </row>
    <row r="238" spans="3:19" x14ac:dyDescent="0.25">
      <c r="F238" s="176" t="s">
        <v>56</v>
      </c>
      <c r="G238" s="167"/>
      <c r="H238" s="167" t="s">
        <v>391</v>
      </c>
      <c r="I238" s="167"/>
      <c r="J238" s="547">
        <v>1.4990000000000001</v>
      </c>
      <c r="K238" s="547">
        <v>0.41199999999999998</v>
      </c>
      <c r="L238" s="547">
        <v>0</v>
      </c>
      <c r="M238" s="548">
        <v>29.67</v>
      </c>
      <c r="N238" s="548">
        <v>0</v>
      </c>
      <c r="O238" s="548">
        <v>0</v>
      </c>
      <c r="P238" s="547">
        <v>0</v>
      </c>
    </row>
    <row r="239" spans="3:19" x14ac:dyDescent="0.25">
      <c r="F239" s="176" t="s">
        <v>57</v>
      </c>
      <c r="G239" s="167"/>
      <c r="H239" s="167" t="s">
        <v>391</v>
      </c>
      <c r="I239" s="167"/>
      <c r="J239" s="547">
        <v>1.284</v>
      </c>
      <c r="K239" s="547">
        <v>0.39100000000000001</v>
      </c>
      <c r="L239" s="547">
        <v>0</v>
      </c>
      <c r="M239" s="548">
        <v>26.45</v>
      </c>
      <c r="N239" s="548">
        <v>0</v>
      </c>
      <c r="O239" s="548">
        <v>0</v>
      </c>
      <c r="P239" s="547">
        <v>0</v>
      </c>
    </row>
    <row r="240" spans="3:19" x14ac:dyDescent="0.25">
      <c r="F240" s="176" t="s">
        <v>72</v>
      </c>
      <c r="G240" s="167"/>
      <c r="H240" s="167" t="s">
        <v>391</v>
      </c>
      <c r="I240" s="167"/>
      <c r="J240" s="547">
        <v>0.85699999999999998</v>
      </c>
      <c r="K240" s="547">
        <v>0.34799999999999998</v>
      </c>
      <c r="L240" s="547">
        <v>0</v>
      </c>
      <c r="M240" s="548">
        <v>297.41000000000003</v>
      </c>
      <c r="N240" s="548">
        <v>0</v>
      </c>
      <c r="O240" s="548">
        <v>0</v>
      </c>
      <c r="P240" s="547">
        <v>0</v>
      </c>
    </row>
    <row r="241" spans="6:16" x14ac:dyDescent="0.25">
      <c r="F241" s="176" t="s">
        <v>58</v>
      </c>
      <c r="G241" s="167"/>
      <c r="H241" s="167" t="s">
        <v>391</v>
      </c>
      <c r="I241" s="167"/>
      <c r="J241" s="547">
        <v>8.9329999999999998</v>
      </c>
      <c r="K241" s="547">
        <v>1.2050000000000001</v>
      </c>
      <c r="L241" s="547">
        <v>0.36699999999999999</v>
      </c>
      <c r="M241" s="548">
        <v>3.59</v>
      </c>
      <c r="N241" s="548">
        <v>0</v>
      </c>
      <c r="O241" s="548">
        <v>0</v>
      </c>
      <c r="P241" s="547">
        <v>0</v>
      </c>
    </row>
    <row r="242" spans="6:16" x14ac:dyDescent="0.25">
      <c r="F242" s="176" t="s">
        <v>59</v>
      </c>
      <c r="G242" s="167"/>
      <c r="H242" s="167" t="s">
        <v>391</v>
      </c>
      <c r="I242" s="167"/>
      <c r="J242" s="547">
        <v>9.4060000000000006</v>
      </c>
      <c r="K242" s="547">
        <v>1.254</v>
      </c>
      <c r="L242" s="547">
        <v>0.36899999999999999</v>
      </c>
      <c r="M242" s="548">
        <v>5.38</v>
      </c>
      <c r="N242" s="548">
        <v>0</v>
      </c>
      <c r="O242" s="548">
        <v>0</v>
      </c>
      <c r="P242" s="547">
        <v>0</v>
      </c>
    </row>
    <row r="243" spans="6:16" x14ac:dyDescent="0.25">
      <c r="F243" s="176" t="s">
        <v>60</v>
      </c>
      <c r="G243" s="167"/>
      <c r="H243" s="167" t="s">
        <v>391</v>
      </c>
      <c r="I243" s="167"/>
      <c r="J243" s="547">
        <v>6.4130000000000003</v>
      </c>
      <c r="K243" s="547">
        <v>0.86</v>
      </c>
      <c r="L243" s="547">
        <v>0.34499999999999997</v>
      </c>
      <c r="M243" s="548">
        <v>16.920000000000002</v>
      </c>
      <c r="N243" s="548">
        <v>2.4900000000000002</v>
      </c>
      <c r="O243" s="548">
        <v>4.71</v>
      </c>
      <c r="P243" s="547">
        <v>0.21099999999999999</v>
      </c>
    </row>
    <row r="244" spans="6:16" x14ac:dyDescent="0.25">
      <c r="F244" s="176" t="s">
        <v>61</v>
      </c>
      <c r="G244" s="167"/>
      <c r="H244" s="167" t="s">
        <v>391</v>
      </c>
      <c r="I244" s="167"/>
      <c r="J244" s="547">
        <v>4.9800000000000004</v>
      </c>
      <c r="K244" s="547">
        <v>0.59299999999999997</v>
      </c>
      <c r="L244" s="547">
        <v>0.32600000000000001</v>
      </c>
      <c r="M244" s="548">
        <v>26.45</v>
      </c>
      <c r="N244" s="548">
        <v>4.41</v>
      </c>
      <c r="O244" s="548">
        <v>5.95</v>
      </c>
      <c r="P244" s="547">
        <v>0.13300000000000001</v>
      </c>
    </row>
    <row r="245" spans="6:16" x14ac:dyDescent="0.25">
      <c r="F245" s="176" t="s">
        <v>73</v>
      </c>
      <c r="G245" s="167"/>
      <c r="H245" s="167" t="s">
        <v>391</v>
      </c>
      <c r="I245" s="167"/>
      <c r="J245" s="547">
        <v>3.6429999999999998</v>
      </c>
      <c r="K245" s="547">
        <v>0.48299999999999998</v>
      </c>
      <c r="L245" s="547">
        <v>0.32100000000000001</v>
      </c>
      <c r="M245" s="548">
        <v>151.19999999999999</v>
      </c>
      <c r="N245" s="548">
        <v>5.44</v>
      </c>
      <c r="O245" s="548">
        <v>6.75</v>
      </c>
      <c r="P245" s="547">
        <v>8.8999999999999996E-2</v>
      </c>
    </row>
    <row r="246" spans="6:16" x14ac:dyDescent="0.25">
      <c r="F246" s="176" t="s">
        <v>86</v>
      </c>
      <c r="G246" s="167"/>
      <c r="H246" s="167" t="s">
        <v>391</v>
      </c>
      <c r="I246" s="167"/>
      <c r="J246" s="547">
        <v>2.649</v>
      </c>
      <c r="K246" s="547">
        <v>0</v>
      </c>
      <c r="L246" s="547">
        <v>0</v>
      </c>
      <c r="M246" s="548">
        <v>0</v>
      </c>
      <c r="N246" s="548">
        <v>0</v>
      </c>
      <c r="O246" s="548">
        <v>0</v>
      </c>
      <c r="P246" s="547">
        <v>0</v>
      </c>
    </row>
    <row r="247" spans="6:16" x14ac:dyDescent="0.25">
      <c r="F247" s="176" t="s">
        <v>87</v>
      </c>
      <c r="G247" s="167"/>
      <c r="H247" s="167" t="s">
        <v>391</v>
      </c>
      <c r="I247" s="167"/>
      <c r="J247" s="547">
        <v>2.702</v>
      </c>
      <c r="K247" s="547">
        <v>0</v>
      </c>
      <c r="L247" s="547">
        <v>0</v>
      </c>
      <c r="M247" s="548">
        <v>0</v>
      </c>
      <c r="N247" s="548">
        <v>0</v>
      </c>
      <c r="O247" s="548">
        <v>0</v>
      </c>
      <c r="P247" s="547">
        <v>0</v>
      </c>
    </row>
    <row r="248" spans="6:16" x14ac:dyDescent="0.25">
      <c r="F248" s="176" t="s">
        <v>88</v>
      </c>
      <c r="G248" s="167"/>
      <c r="H248" s="167" t="s">
        <v>391</v>
      </c>
      <c r="I248" s="167"/>
      <c r="J248" s="547">
        <v>3.4710000000000001</v>
      </c>
      <c r="K248" s="547">
        <v>0</v>
      </c>
      <c r="L248" s="547">
        <v>0</v>
      </c>
      <c r="M248" s="548">
        <v>0</v>
      </c>
      <c r="N248" s="548">
        <v>0</v>
      </c>
      <c r="O248" s="548">
        <v>0</v>
      </c>
      <c r="P248" s="547">
        <v>0</v>
      </c>
    </row>
    <row r="249" spans="6:16" x14ac:dyDescent="0.25">
      <c r="F249" s="176" t="s">
        <v>89</v>
      </c>
      <c r="G249" s="167"/>
      <c r="H249" s="167" t="s">
        <v>391</v>
      </c>
      <c r="I249" s="167"/>
      <c r="J249" s="547">
        <v>2.6619999999999999</v>
      </c>
      <c r="K249" s="547">
        <v>0</v>
      </c>
      <c r="L249" s="547">
        <v>0</v>
      </c>
      <c r="M249" s="548">
        <v>0</v>
      </c>
      <c r="N249" s="548">
        <v>0</v>
      </c>
      <c r="O249" s="548">
        <v>0</v>
      </c>
      <c r="P249" s="547">
        <v>0</v>
      </c>
    </row>
    <row r="250" spans="6:16" x14ac:dyDescent="0.25">
      <c r="F250" s="176" t="s">
        <v>90</v>
      </c>
      <c r="G250" s="167"/>
      <c r="H250" s="167" t="s">
        <v>391</v>
      </c>
      <c r="I250" s="167"/>
      <c r="J250" s="547">
        <v>14.102</v>
      </c>
      <c r="K250" s="547">
        <v>2.6269999999999998</v>
      </c>
      <c r="L250" s="547">
        <v>1.8580000000000001</v>
      </c>
      <c r="M250" s="548">
        <v>0</v>
      </c>
      <c r="N250" s="548">
        <v>0</v>
      </c>
      <c r="O250" s="548">
        <v>0</v>
      </c>
      <c r="P250" s="547">
        <v>0</v>
      </c>
    </row>
    <row r="251" spans="6:16" x14ac:dyDescent="0.25">
      <c r="F251" s="176" t="s">
        <v>62</v>
      </c>
      <c r="G251" s="167"/>
      <c r="H251" s="167" t="s">
        <v>391</v>
      </c>
      <c r="I251" s="167"/>
      <c r="J251" s="547">
        <v>-0.81799999999999995</v>
      </c>
      <c r="K251" s="547">
        <v>0</v>
      </c>
      <c r="L251" s="547">
        <v>0</v>
      </c>
      <c r="M251" s="548">
        <v>0</v>
      </c>
      <c r="N251" s="548">
        <v>0</v>
      </c>
      <c r="O251" s="548">
        <v>0</v>
      </c>
      <c r="P251" s="547">
        <v>0</v>
      </c>
    </row>
    <row r="252" spans="6:16" x14ac:dyDescent="0.25">
      <c r="F252" s="176" t="s">
        <v>63</v>
      </c>
      <c r="G252" s="167"/>
      <c r="H252" s="167" t="s">
        <v>391</v>
      </c>
      <c r="I252" s="167"/>
      <c r="J252" s="547">
        <v>-0.71599999999999997</v>
      </c>
      <c r="K252" s="547">
        <v>0</v>
      </c>
      <c r="L252" s="547">
        <v>0</v>
      </c>
      <c r="M252" s="548">
        <v>0</v>
      </c>
      <c r="N252" s="548">
        <v>0</v>
      </c>
      <c r="O252" s="548">
        <v>0</v>
      </c>
      <c r="P252" s="547">
        <v>0</v>
      </c>
    </row>
    <row r="253" spans="6:16" x14ac:dyDescent="0.25">
      <c r="F253" s="176" t="s">
        <v>64</v>
      </c>
      <c r="G253" s="167"/>
      <c r="H253" s="167" t="s">
        <v>391</v>
      </c>
      <c r="I253" s="167"/>
      <c r="J253" s="547">
        <v>-0.81799999999999995</v>
      </c>
      <c r="K253" s="547">
        <v>0</v>
      </c>
      <c r="L253" s="547">
        <v>0</v>
      </c>
      <c r="M253" s="548">
        <v>0</v>
      </c>
      <c r="N253" s="548">
        <v>0</v>
      </c>
      <c r="O253" s="548">
        <v>0</v>
      </c>
      <c r="P253" s="547">
        <v>0.192</v>
      </c>
    </row>
    <row r="254" spans="6:16" x14ac:dyDescent="0.25">
      <c r="F254" s="176" t="s">
        <v>65</v>
      </c>
      <c r="G254" s="167"/>
      <c r="H254" s="167" t="s">
        <v>391</v>
      </c>
      <c r="I254" s="167"/>
      <c r="J254" s="547">
        <v>-0.81799999999999995</v>
      </c>
      <c r="K254" s="547">
        <v>0</v>
      </c>
      <c r="L254" s="547">
        <v>0</v>
      </c>
      <c r="M254" s="548">
        <v>0</v>
      </c>
      <c r="N254" s="548">
        <v>0</v>
      </c>
      <c r="O254" s="548">
        <v>0</v>
      </c>
      <c r="P254" s="547">
        <v>0</v>
      </c>
    </row>
    <row r="255" spans="6:16" x14ac:dyDescent="0.25">
      <c r="F255" s="176" t="s">
        <v>66</v>
      </c>
      <c r="G255" s="167"/>
      <c r="H255" s="167" t="s">
        <v>391</v>
      </c>
      <c r="I255" s="167"/>
      <c r="J255" s="547">
        <v>-5.7060000000000004</v>
      </c>
      <c r="K255" s="547">
        <v>-0.58899999999999997</v>
      </c>
      <c r="L255" s="547">
        <v>-3.4000000000000002E-2</v>
      </c>
      <c r="M255" s="548">
        <v>0</v>
      </c>
      <c r="N255" s="548">
        <v>0</v>
      </c>
      <c r="O255" s="548">
        <v>0</v>
      </c>
      <c r="P255" s="547">
        <v>0.192</v>
      </c>
    </row>
    <row r="256" spans="6:16" x14ac:dyDescent="0.25">
      <c r="F256" s="176" t="s">
        <v>67</v>
      </c>
      <c r="G256" s="167"/>
      <c r="H256" s="167" t="s">
        <v>391</v>
      </c>
      <c r="I256" s="167"/>
      <c r="J256" s="547">
        <v>-5.7060000000000004</v>
      </c>
      <c r="K256" s="547">
        <v>-0.58899999999999997</v>
      </c>
      <c r="L256" s="547">
        <v>-3.4000000000000002E-2</v>
      </c>
      <c r="M256" s="548">
        <v>0</v>
      </c>
      <c r="N256" s="548">
        <v>0</v>
      </c>
      <c r="O256" s="548">
        <v>0</v>
      </c>
      <c r="P256" s="547">
        <v>0</v>
      </c>
    </row>
    <row r="257" spans="4:16" x14ac:dyDescent="0.25">
      <c r="F257" s="176" t="s">
        <v>68</v>
      </c>
      <c r="G257" s="167"/>
      <c r="H257" s="167" t="s">
        <v>391</v>
      </c>
      <c r="I257" s="167"/>
      <c r="J257" s="547">
        <v>-0.71599999999999997</v>
      </c>
      <c r="K257" s="547">
        <v>0</v>
      </c>
      <c r="L257" s="547">
        <v>0</v>
      </c>
      <c r="M257" s="548">
        <v>0</v>
      </c>
      <c r="N257" s="548">
        <v>0</v>
      </c>
      <c r="O257" s="548">
        <v>0</v>
      </c>
      <c r="P257" s="547">
        <v>0.17100000000000001</v>
      </c>
    </row>
    <row r="258" spans="4:16" x14ac:dyDescent="0.25">
      <c r="F258" s="176" t="s">
        <v>69</v>
      </c>
      <c r="G258" s="167"/>
      <c r="H258" s="167" t="s">
        <v>391</v>
      </c>
      <c r="I258" s="167"/>
      <c r="J258" s="547">
        <v>-0.71599999999999997</v>
      </c>
      <c r="K258" s="547">
        <v>0</v>
      </c>
      <c r="L258" s="547">
        <v>0</v>
      </c>
      <c r="M258" s="548">
        <v>0</v>
      </c>
      <c r="N258" s="548">
        <v>0</v>
      </c>
      <c r="O258" s="548">
        <v>0</v>
      </c>
      <c r="P258" s="547">
        <v>0</v>
      </c>
    </row>
    <row r="259" spans="4:16" x14ac:dyDescent="0.25">
      <c r="F259" s="176" t="s">
        <v>70</v>
      </c>
      <c r="G259" s="167"/>
      <c r="H259" s="167" t="s">
        <v>391</v>
      </c>
      <c r="I259" s="167"/>
      <c r="J259" s="547">
        <v>-5.1470000000000002</v>
      </c>
      <c r="K259" s="547">
        <v>-0.49</v>
      </c>
      <c r="L259" s="547">
        <v>-2.7E-2</v>
      </c>
      <c r="M259" s="548">
        <v>0</v>
      </c>
      <c r="N259" s="548">
        <v>0</v>
      </c>
      <c r="O259" s="548">
        <v>0</v>
      </c>
      <c r="P259" s="547">
        <v>0.17100000000000001</v>
      </c>
    </row>
    <row r="260" spans="4:16" x14ac:dyDescent="0.25">
      <c r="F260" s="176" t="s">
        <v>71</v>
      </c>
      <c r="G260" s="167"/>
      <c r="H260" s="167" t="s">
        <v>391</v>
      </c>
      <c r="I260" s="167"/>
      <c r="J260" s="547">
        <v>-5.1470000000000002</v>
      </c>
      <c r="K260" s="547">
        <v>-0.49</v>
      </c>
      <c r="L260" s="547">
        <v>-2.7E-2</v>
      </c>
      <c r="M260" s="548">
        <v>0</v>
      </c>
      <c r="N260" s="548">
        <v>0</v>
      </c>
      <c r="O260" s="548">
        <v>0</v>
      </c>
      <c r="P260" s="547">
        <v>0</v>
      </c>
    </row>
    <row r="261" spans="4:16" x14ac:dyDescent="0.25">
      <c r="F261" s="176" t="s">
        <v>74</v>
      </c>
      <c r="G261" s="167"/>
      <c r="H261" s="167" t="s">
        <v>391</v>
      </c>
      <c r="I261" s="167"/>
      <c r="J261" s="547">
        <v>-0.47399999999999998</v>
      </c>
      <c r="K261" s="547">
        <v>0</v>
      </c>
      <c r="L261" s="547">
        <v>0</v>
      </c>
      <c r="M261" s="548">
        <v>249.1</v>
      </c>
      <c r="N261" s="548">
        <v>0</v>
      </c>
      <c r="O261" s="548">
        <v>0</v>
      </c>
      <c r="P261" s="547">
        <v>0.151</v>
      </c>
    </row>
    <row r="262" spans="4:16" x14ac:dyDescent="0.25">
      <c r="F262" s="176" t="s">
        <v>75</v>
      </c>
      <c r="G262" s="167"/>
      <c r="H262" s="167" t="s">
        <v>391</v>
      </c>
      <c r="I262" s="167"/>
      <c r="J262" s="547">
        <v>-0.47399999999999998</v>
      </c>
      <c r="K262" s="547">
        <v>0</v>
      </c>
      <c r="L262" s="547">
        <v>0</v>
      </c>
      <c r="M262" s="548">
        <v>249.1</v>
      </c>
      <c r="N262" s="548">
        <v>0</v>
      </c>
      <c r="O262" s="548">
        <v>0</v>
      </c>
      <c r="P262" s="547">
        <v>0</v>
      </c>
    </row>
    <row r="263" spans="4:16" x14ac:dyDescent="0.25">
      <c r="F263" s="176" t="s">
        <v>76</v>
      </c>
      <c r="G263" s="167"/>
      <c r="H263" s="167" t="s">
        <v>391</v>
      </c>
      <c r="I263" s="167"/>
      <c r="J263" s="547">
        <v>-3.956</v>
      </c>
      <c r="K263" s="547">
        <v>-0.23400000000000001</v>
      </c>
      <c r="L263" s="547">
        <v>-8.9999999999999993E-3</v>
      </c>
      <c r="M263" s="548">
        <v>249.1</v>
      </c>
      <c r="N263" s="548">
        <v>0</v>
      </c>
      <c r="O263" s="548">
        <v>0</v>
      </c>
      <c r="P263" s="547">
        <v>0.151</v>
      </c>
    </row>
    <row r="264" spans="4:16" x14ac:dyDescent="0.25">
      <c r="F264" s="177" t="s">
        <v>77</v>
      </c>
      <c r="G264" s="168"/>
      <c r="H264" s="168" t="s">
        <v>391</v>
      </c>
      <c r="I264" s="168"/>
      <c r="J264" s="549">
        <v>-3.956</v>
      </c>
      <c r="K264" s="549">
        <v>-0.23400000000000001</v>
      </c>
      <c r="L264" s="549">
        <v>-8.9999999999999993E-3</v>
      </c>
      <c r="M264" s="550">
        <v>249.1</v>
      </c>
      <c r="N264" s="550">
        <v>0</v>
      </c>
      <c r="O264" s="550">
        <v>0</v>
      </c>
      <c r="P264" s="549">
        <v>0</v>
      </c>
    </row>
    <row r="265" spans="4:16" x14ac:dyDescent="0.25">
      <c r="F265" s="175"/>
      <c r="J265" s="551"/>
      <c r="K265" s="551"/>
      <c r="L265" s="551"/>
      <c r="M265" s="552"/>
      <c r="N265" s="552"/>
      <c r="O265" s="552"/>
      <c r="P265" s="551"/>
    </row>
    <row r="266" spans="4:16" x14ac:dyDescent="0.25">
      <c r="D266" s="172"/>
      <c r="E266" s="172" t="str">
        <f>"LDNO LV tariff forecast "&amp; 'ARP_User control'!G32</f>
        <v>LDNO LV tariff forecast 2021/22</v>
      </c>
      <c r="F266" s="175"/>
      <c r="J266" s="551"/>
      <c r="K266" s="551"/>
      <c r="L266" s="551"/>
      <c r="M266" s="552"/>
      <c r="N266" s="552"/>
      <c r="O266" s="552"/>
      <c r="P266" s="551"/>
    </row>
    <row r="267" spans="4:16" x14ac:dyDescent="0.25">
      <c r="F267" s="180" t="s">
        <v>52</v>
      </c>
      <c r="G267" s="166"/>
      <c r="H267" s="166" t="s">
        <v>163</v>
      </c>
      <c r="I267" s="166"/>
      <c r="J267" s="545">
        <v>1.28</v>
      </c>
      <c r="K267" s="545">
        <v>0</v>
      </c>
      <c r="L267" s="545">
        <v>0</v>
      </c>
      <c r="M267" s="546">
        <v>2.34</v>
      </c>
      <c r="N267" s="546">
        <v>0</v>
      </c>
      <c r="O267" s="546">
        <v>0</v>
      </c>
      <c r="P267" s="545">
        <v>0</v>
      </c>
    </row>
    <row r="268" spans="4:16" x14ac:dyDescent="0.25">
      <c r="F268" s="176" t="s">
        <v>53</v>
      </c>
      <c r="G268" s="167"/>
      <c r="H268" s="167" t="s">
        <v>163</v>
      </c>
      <c r="I268" s="167"/>
      <c r="J268" s="547">
        <v>1.5780000000000001</v>
      </c>
      <c r="K268" s="547">
        <v>0.27600000000000002</v>
      </c>
      <c r="L268" s="547">
        <v>0</v>
      </c>
      <c r="M268" s="548">
        <v>2.34</v>
      </c>
      <c r="N268" s="548">
        <v>0</v>
      </c>
      <c r="O268" s="548">
        <v>0</v>
      </c>
      <c r="P268" s="547">
        <v>0</v>
      </c>
    </row>
    <row r="269" spans="4:16" x14ac:dyDescent="0.25">
      <c r="F269" s="176" t="s">
        <v>84</v>
      </c>
      <c r="G269" s="167"/>
      <c r="H269" s="167" t="s">
        <v>163</v>
      </c>
      <c r="I269" s="167"/>
      <c r="J269" s="547">
        <v>0.34100000000000003</v>
      </c>
      <c r="K269" s="547">
        <v>0</v>
      </c>
      <c r="L269" s="547">
        <v>0</v>
      </c>
      <c r="M269" s="548">
        <v>0</v>
      </c>
      <c r="N269" s="548">
        <v>0</v>
      </c>
      <c r="O269" s="548">
        <v>0</v>
      </c>
      <c r="P269" s="547">
        <v>0</v>
      </c>
    </row>
    <row r="270" spans="4:16" x14ac:dyDescent="0.25">
      <c r="F270" s="176" t="s">
        <v>54</v>
      </c>
      <c r="G270" s="167"/>
      <c r="H270" s="167" t="s">
        <v>163</v>
      </c>
      <c r="I270" s="167"/>
      <c r="J270" s="547">
        <v>1.1739999999999999</v>
      </c>
      <c r="K270" s="547">
        <v>0</v>
      </c>
      <c r="L270" s="547">
        <v>0</v>
      </c>
      <c r="M270" s="548">
        <v>3.51</v>
      </c>
      <c r="N270" s="548">
        <v>0</v>
      </c>
      <c r="O270" s="548">
        <v>0</v>
      </c>
      <c r="P270" s="547">
        <v>0</v>
      </c>
    </row>
    <row r="271" spans="4:16" x14ac:dyDescent="0.25">
      <c r="F271" s="176" t="s">
        <v>55</v>
      </c>
      <c r="G271" s="167"/>
      <c r="H271" s="167" t="s">
        <v>163</v>
      </c>
      <c r="I271" s="167"/>
      <c r="J271" s="547">
        <v>1.7190000000000001</v>
      </c>
      <c r="K271" s="547">
        <v>0.377</v>
      </c>
      <c r="L271" s="547">
        <v>0</v>
      </c>
      <c r="M271" s="548">
        <v>3.51</v>
      </c>
      <c r="N271" s="548">
        <v>0</v>
      </c>
      <c r="O271" s="548">
        <v>0</v>
      </c>
      <c r="P271" s="547">
        <v>0</v>
      </c>
    </row>
    <row r="272" spans="4:16" x14ac:dyDescent="0.25">
      <c r="F272" s="176" t="s">
        <v>85</v>
      </c>
      <c r="G272" s="167"/>
      <c r="H272" s="167" t="s">
        <v>163</v>
      </c>
      <c r="I272" s="167"/>
      <c r="J272" s="547">
        <v>0.42699999999999999</v>
      </c>
      <c r="K272" s="547">
        <v>0</v>
      </c>
      <c r="L272" s="547">
        <v>0</v>
      </c>
      <c r="M272" s="548">
        <v>0</v>
      </c>
      <c r="N272" s="548">
        <v>0</v>
      </c>
      <c r="O272" s="548">
        <v>0</v>
      </c>
      <c r="P272" s="547">
        <v>0</v>
      </c>
    </row>
    <row r="273" spans="6:16" x14ac:dyDescent="0.25">
      <c r="F273" s="176" t="s">
        <v>56</v>
      </c>
      <c r="G273" s="167"/>
      <c r="H273" s="167" t="s">
        <v>163</v>
      </c>
      <c r="I273" s="167"/>
      <c r="J273" s="547">
        <v>0.97799999999999998</v>
      </c>
      <c r="K273" s="547">
        <v>0.26900000000000002</v>
      </c>
      <c r="L273" s="547">
        <v>0</v>
      </c>
      <c r="M273" s="548">
        <v>19.36</v>
      </c>
      <c r="N273" s="548">
        <v>0</v>
      </c>
      <c r="O273" s="548">
        <v>0</v>
      </c>
      <c r="P273" s="547">
        <v>0</v>
      </c>
    </row>
    <row r="274" spans="6:16" x14ac:dyDescent="0.25">
      <c r="F274" s="176" t="s">
        <v>57</v>
      </c>
      <c r="G274" s="167"/>
      <c r="H274" s="167" t="s">
        <v>163</v>
      </c>
      <c r="I274" s="167"/>
      <c r="J274" s="553"/>
      <c r="K274" s="553"/>
      <c r="L274" s="553"/>
      <c r="M274" s="554"/>
      <c r="N274" s="554"/>
      <c r="O274" s="554"/>
      <c r="P274" s="553"/>
    </row>
    <row r="275" spans="6:16" x14ac:dyDescent="0.25">
      <c r="F275" s="176" t="s">
        <v>72</v>
      </c>
      <c r="G275" s="167"/>
      <c r="H275" s="167" t="s">
        <v>163</v>
      </c>
      <c r="I275" s="167"/>
      <c r="J275" s="553"/>
      <c r="K275" s="553"/>
      <c r="L275" s="553"/>
      <c r="M275" s="554"/>
      <c r="N275" s="554"/>
      <c r="O275" s="554"/>
      <c r="P275" s="553"/>
    </row>
    <row r="276" spans="6:16" x14ac:dyDescent="0.25">
      <c r="F276" s="176" t="s">
        <v>58</v>
      </c>
      <c r="G276" s="167"/>
      <c r="H276" s="167" t="s">
        <v>163</v>
      </c>
      <c r="I276" s="167"/>
      <c r="J276" s="547">
        <v>5.8280000000000003</v>
      </c>
      <c r="K276" s="547">
        <v>0.78600000000000003</v>
      </c>
      <c r="L276" s="547">
        <v>0.23899999999999999</v>
      </c>
      <c r="M276" s="548">
        <v>2.34</v>
      </c>
      <c r="N276" s="548">
        <v>0</v>
      </c>
      <c r="O276" s="548">
        <v>0</v>
      </c>
      <c r="P276" s="547">
        <v>0</v>
      </c>
    </row>
    <row r="277" spans="6:16" x14ac:dyDescent="0.25">
      <c r="F277" s="176" t="s">
        <v>59</v>
      </c>
      <c r="G277" s="167"/>
      <c r="H277" s="167" t="s">
        <v>163</v>
      </c>
      <c r="I277" s="167"/>
      <c r="J277" s="547">
        <v>6.1369999999999996</v>
      </c>
      <c r="K277" s="547">
        <v>0.81799999999999995</v>
      </c>
      <c r="L277" s="547">
        <v>0.24099999999999999</v>
      </c>
      <c r="M277" s="548">
        <v>3.51</v>
      </c>
      <c r="N277" s="548">
        <v>0</v>
      </c>
      <c r="O277" s="548">
        <v>0</v>
      </c>
      <c r="P277" s="547">
        <v>0</v>
      </c>
    </row>
    <row r="278" spans="6:16" x14ac:dyDescent="0.25">
      <c r="F278" s="176" t="s">
        <v>60</v>
      </c>
      <c r="G278" s="167"/>
      <c r="H278" s="167" t="s">
        <v>163</v>
      </c>
      <c r="I278" s="167"/>
      <c r="J278" s="547">
        <v>4.1840000000000002</v>
      </c>
      <c r="K278" s="547">
        <v>0.56100000000000005</v>
      </c>
      <c r="L278" s="547">
        <v>0.22500000000000001</v>
      </c>
      <c r="M278" s="548">
        <v>11.04</v>
      </c>
      <c r="N278" s="548">
        <v>1.62</v>
      </c>
      <c r="O278" s="548">
        <v>3.07</v>
      </c>
      <c r="P278" s="547">
        <v>0.13800000000000001</v>
      </c>
    </row>
    <row r="279" spans="6:16" x14ac:dyDescent="0.25">
      <c r="F279" s="176" t="s">
        <v>61</v>
      </c>
      <c r="G279" s="167"/>
      <c r="H279" s="167" t="s">
        <v>163</v>
      </c>
      <c r="I279" s="167"/>
      <c r="J279" s="553"/>
      <c r="K279" s="553"/>
      <c r="L279" s="553"/>
      <c r="M279" s="554"/>
      <c r="N279" s="554"/>
      <c r="O279" s="554"/>
      <c r="P279" s="553"/>
    </row>
    <row r="280" spans="6:16" x14ac:dyDescent="0.25">
      <c r="F280" s="176" t="s">
        <v>73</v>
      </c>
      <c r="G280" s="167"/>
      <c r="H280" s="167" t="s">
        <v>163</v>
      </c>
      <c r="I280" s="167"/>
      <c r="J280" s="553"/>
      <c r="K280" s="553"/>
      <c r="L280" s="553"/>
      <c r="M280" s="554"/>
      <c r="N280" s="554"/>
      <c r="O280" s="554"/>
      <c r="P280" s="553"/>
    </row>
    <row r="281" spans="6:16" x14ac:dyDescent="0.25">
      <c r="F281" s="176" t="s">
        <v>86</v>
      </c>
      <c r="G281" s="167"/>
      <c r="H281" s="167" t="s">
        <v>163</v>
      </c>
      <c r="I281" s="167"/>
      <c r="J281" s="547">
        <v>1.728</v>
      </c>
      <c r="K281" s="547">
        <v>0</v>
      </c>
      <c r="L281" s="547">
        <v>0</v>
      </c>
      <c r="M281" s="548">
        <v>0</v>
      </c>
      <c r="N281" s="548">
        <v>0</v>
      </c>
      <c r="O281" s="548">
        <v>0</v>
      </c>
      <c r="P281" s="547">
        <v>0</v>
      </c>
    </row>
    <row r="282" spans="6:16" x14ac:dyDescent="0.25">
      <c r="F282" s="176" t="s">
        <v>87</v>
      </c>
      <c r="G282" s="167"/>
      <c r="H282" s="167" t="s">
        <v>163</v>
      </c>
      <c r="I282" s="167"/>
      <c r="J282" s="547">
        <v>1.7629999999999999</v>
      </c>
      <c r="K282" s="547">
        <v>0</v>
      </c>
      <c r="L282" s="547">
        <v>0</v>
      </c>
      <c r="M282" s="548">
        <v>0</v>
      </c>
      <c r="N282" s="548">
        <v>0</v>
      </c>
      <c r="O282" s="548">
        <v>0</v>
      </c>
      <c r="P282" s="547">
        <v>0</v>
      </c>
    </row>
    <row r="283" spans="6:16" x14ac:dyDescent="0.25">
      <c r="F283" s="176" t="s">
        <v>88</v>
      </c>
      <c r="G283" s="167"/>
      <c r="H283" s="167" t="s">
        <v>163</v>
      </c>
      <c r="I283" s="167"/>
      <c r="J283" s="547">
        <v>2.2650000000000001</v>
      </c>
      <c r="K283" s="547">
        <v>0</v>
      </c>
      <c r="L283" s="547">
        <v>0</v>
      </c>
      <c r="M283" s="548">
        <v>0</v>
      </c>
      <c r="N283" s="548">
        <v>0</v>
      </c>
      <c r="O283" s="548">
        <v>0</v>
      </c>
      <c r="P283" s="547">
        <v>0</v>
      </c>
    </row>
    <row r="284" spans="6:16" x14ac:dyDescent="0.25">
      <c r="F284" s="176" t="s">
        <v>89</v>
      </c>
      <c r="G284" s="167"/>
      <c r="H284" s="167" t="s">
        <v>163</v>
      </c>
      <c r="I284" s="167"/>
      <c r="J284" s="547">
        <v>1.7370000000000001</v>
      </c>
      <c r="K284" s="547">
        <v>0</v>
      </c>
      <c r="L284" s="547">
        <v>0</v>
      </c>
      <c r="M284" s="548">
        <v>0</v>
      </c>
      <c r="N284" s="548">
        <v>0</v>
      </c>
      <c r="O284" s="548">
        <v>0</v>
      </c>
      <c r="P284" s="547">
        <v>0</v>
      </c>
    </row>
    <row r="285" spans="6:16" x14ac:dyDescent="0.25">
      <c r="F285" s="176" t="s">
        <v>90</v>
      </c>
      <c r="G285" s="167"/>
      <c r="H285" s="167" t="s">
        <v>163</v>
      </c>
      <c r="I285" s="167"/>
      <c r="J285" s="547">
        <v>9.2010000000000005</v>
      </c>
      <c r="K285" s="547">
        <v>1.714</v>
      </c>
      <c r="L285" s="547">
        <v>1.212</v>
      </c>
      <c r="M285" s="548">
        <v>0</v>
      </c>
      <c r="N285" s="548">
        <v>0</v>
      </c>
      <c r="O285" s="548">
        <v>0</v>
      </c>
      <c r="P285" s="547">
        <v>0</v>
      </c>
    </row>
    <row r="286" spans="6:16" x14ac:dyDescent="0.25">
      <c r="F286" s="176" t="s">
        <v>62</v>
      </c>
      <c r="G286" s="167"/>
      <c r="H286" s="167" t="s">
        <v>163</v>
      </c>
      <c r="I286" s="167"/>
      <c r="J286" s="547">
        <v>-0.81799999999999995</v>
      </c>
      <c r="K286" s="547">
        <v>0</v>
      </c>
      <c r="L286" s="547">
        <v>0</v>
      </c>
      <c r="M286" s="548">
        <v>0</v>
      </c>
      <c r="N286" s="548">
        <v>0</v>
      </c>
      <c r="O286" s="548">
        <v>0</v>
      </c>
      <c r="P286" s="547">
        <v>0</v>
      </c>
    </row>
    <row r="287" spans="6:16" x14ac:dyDescent="0.25">
      <c r="F287" s="176" t="s">
        <v>63</v>
      </c>
      <c r="G287" s="167"/>
      <c r="H287" s="167" t="s">
        <v>163</v>
      </c>
      <c r="I287" s="167"/>
      <c r="J287" s="553"/>
      <c r="K287" s="553"/>
      <c r="L287" s="553"/>
      <c r="M287" s="554"/>
      <c r="N287" s="554"/>
      <c r="O287" s="554"/>
      <c r="P287" s="553"/>
    </row>
    <row r="288" spans="6:16" x14ac:dyDescent="0.25">
      <c r="F288" s="176" t="s">
        <v>64</v>
      </c>
      <c r="G288" s="167"/>
      <c r="H288" s="167" t="s">
        <v>163</v>
      </c>
      <c r="I288" s="167"/>
      <c r="J288" s="547">
        <v>-0.81799999999999995</v>
      </c>
      <c r="K288" s="547">
        <v>0</v>
      </c>
      <c r="L288" s="547">
        <v>0</v>
      </c>
      <c r="M288" s="548">
        <v>0</v>
      </c>
      <c r="N288" s="548">
        <v>0</v>
      </c>
      <c r="O288" s="548">
        <v>0</v>
      </c>
      <c r="P288" s="547">
        <v>0.192</v>
      </c>
    </row>
    <row r="289" spans="4:19" x14ac:dyDescent="0.25">
      <c r="F289" s="176" t="s">
        <v>65</v>
      </c>
      <c r="G289" s="167"/>
      <c r="H289" s="167" t="s">
        <v>163</v>
      </c>
      <c r="I289" s="167"/>
      <c r="J289" s="553"/>
      <c r="K289" s="553"/>
      <c r="L289" s="553"/>
      <c r="M289" s="554"/>
      <c r="N289" s="554"/>
      <c r="O289" s="554"/>
      <c r="P289" s="553"/>
    </row>
    <row r="290" spans="4:19" x14ac:dyDescent="0.25">
      <c r="F290" s="176" t="s">
        <v>66</v>
      </c>
      <c r="G290" s="167"/>
      <c r="H290" s="167" t="s">
        <v>163</v>
      </c>
      <c r="I290" s="167"/>
      <c r="J290" s="547">
        <v>-5.7060000000000004</v>
      </c>
      <c r="K290" s="547">
        <v>-0.58899999999999997</v>
      </c>
      <c r="L290" s="547">
        <v>-3.4000000000000002E-2</v>
      </c>
      <c r="M290" s="548">
        <v>0</v>
      </c>
      <c r="N290" s="548">
        <v>0</v>
      </c>
      <c r="O290" s="548">
        <v>0</v>
      </c>
      <c r="P290" s="547">
        <v>0.192</v>
      </c>
    </row>
    <row r="291" spans="4:19" x14ac:dyDescent="0.25">
      <c r="F291" s="176" t="s">
        <v>67</v>
      </c>
      <c r="G291" s="167"/>
      <c r="H291" s="167" t="s">
        <v>163</v>
      </c>
      <c r="I291" s="167"/>
      <c r="J291" s="553"/>
      <c r="K291" s="553"/>
      <c r="L291" s="553"/>
      <c r="M291" s="554"/>
      <c r="N291" s="554"/>
      <c r="O291" s="554"/>
      <c r="P291" s="553"/>
    </row>
    <row r="292" spans="4:19" x14ac:dyDescent="0.25">
      <c r="F292" s="176" t="s">
        <v>68</v>
      </c>
      <c r="G292" s="167"/>
      <c r="H292" s="167" t="s">
        <v>163</v>
      </c>
      <c r="I292" s="167"/>
      <c r="J292" s="553"/>
      <c r="K292" s="553"/>
      <c r="L292" s="553"/>
      <c r="M292" s="554"/>
      <c r="N292" s="554"/>
      <c r="O292" s="554"/>
      <c r="P292" s="553"/>
    </row>
    <row r="293" spans="4:19" x14ac:dyDescent="0.25">
      <c r="F293" s="176" t="s">
        <v>69</v>
      </c>
      <c r="G293" s="167"/>
      <c r="H293" s="167" t="s">
        <v>163</v>
      </c>
      <c r="I293" s="167"/>
      <c r="J293" s="553"/>
      <c r="K293" s="553"/>
      <c r="L293" s="553"/>
      <c r="M293" s="554"/>
      <c r="N293" s="554"/>
      <c r="O293" s="554"/>
      <c r="P293" s="553"/>
    </row>
    <row r="294" spans="4:19" x14ac:dyDescent="0.25">
      <c r="F294" s="176" t="s">
        <v>70</v>
      </c>
      <c r="G294" s="167"/>
      <c r="H294" s="167" t="s">
        <v>163</v>
      </c>
      <c r="I294" s="167"/>
      <c r="J294" s="553"/>
      <c r="K294" s="553"/>
      <c r="L294" s="553"/>
      <c r="M294" s="554"/>
      <c r="N294" s="554"/>
      <c r="O294" s="554"/>
      <c r="P294" s="553"/>
    </row>
    <row r="295" spans="4:19" x14ac:dyDescent="0.25">
      <c r="F295" s="176" t="s">
        <v>71</v>
      </c>
      <c r="G295" s="167"/>
      <c r="H295" s="167" t="s">
        <v>163</v>
      </c>
      <c r="I295" s="167"/>
      <c r="J295" s="553"/>
      <c r="K295" s="553"/>
      <c r="L295" s="553"/>
      <c r="M295" s="554"/>
      <c r="N295" s="554"/>
      <c r="O295" s="554"/>
      <c r="P295" s="553"/>
    </row>
    <row r="296" spans="4:19" x14ac:dyDescent="0.25">
      <c r="F296" s="176" t="s">
        <v>74</v>
      </c>
      <c r="G296" s="167"/>
      <c r="H296" s="167" t="s">
        <v>163</v>
      </c>
      <c r="I296" s="167"/>
      <c r="J296" s="553"/>
      <c r="K296" s="553"/>
      <c r="L296" s="553"/>
      <c r="M296" s="554"/>
      <c r="N296" s="554"/>
      <c r="O296" s="554"/>
      <c r="P296" s="553"/>
    </row>
    <row r="297" spans="4:19" x14ac:dyDescent="0.25">
      <c r="F297" s="176" t="s">
        <v>75</v>
      </c>
      <c r="G297" s="167"/>
      <c r="H297" s="167" t="s">
        <v>163</v>
      </c>
      <c r="I297" s="167"/>
      <c r="J297" s="553"/>
      <c r="K297" s="553"/>
      <c r="L297" s="553"/>
      <c r="M297" s="554"/>
      <c r="N297" s="554"/>
      <c r="O297" s="554"/>
      <c r="P297" s="553"/>
    </row>
    <row r="298" spans="4:19" x14ac:dyDescent="0.25">
      <c r="F298" s="176" t="s">
        <v>76</v>
      </c>
      <c r="G298" s="167"/>
      <c r="H298" s="167" t="s">
        <v>163</v>
      </c>
      <c r="I298" s="167"/>
      <c r="J298" s="553"/>
      <c r="K298" s="553"/>
      <c r="L298" s="553"/>
      <c r="M298" s="554"/>
      <c r="N298" s="554"/>
      <c r="O298" s="554"/>
      <c r="P298" s="553"/>
    </row>
    <row r="299" spans="4:19" x14ac:dyDescent="0.25">
      <c r="F299" s="177" t="s">
        <v>77</v>
      </c>
      <c r="G299" s="168"/>
      <c r="H299" s="168" t="s">
        <v>163</v>
      </c>
      <c r="I299" s="168"/>
      <c r="J299" s="555"/>
      <c r="K299" s="555"/>
      <c r="L299" s="555"/>
      <c r="M299" s="556"/>
      <c r="N299" s="556"/>
      <c r="O299" s="556"/>
      <c r="P299" s="555"/>
    </row>
    <row r="300" spans="4:19" x14ac:dyDescent="0.25">
      <c r="D300" s="338"/>
      <c r="E300" s="338"/>
      <c r="F300" s="338"/>
      <c r="G300" s="338"/>
      <c r="H300" s="338"/>
      <c r="I300" s="338"/>
      <c r="J300" s="557"/>
      <c r="K300" s="557"/>
      <c r="L300" s="557"/>
      <c r="M300" s="558"/>
      <c r="N300" s="558"/>
      <c r="O300" s="558"/>
      <c r="P300" s="557"/>
      <c r="Q300" s="338"/>
      <c r="R300" s="338"/>
      <c r="S300" s="338"/>
    </row>
    <row r="301" spans="4:19" x14ac:dyDescent="0.25">
      <c r="D301" s="172"/>
      <c r="E301" s="172" t="str">
        <f>"LDNO HV tariff forecast "&amp; 'ARP_User control'!G32</f>
        <v>LDNO HV tariff forecast 2021/22</v>
      </c>
      <c r="F301" s="338"/>
      <c r="G301" s="338"/>
      <c r="H301" s="338"/>
      <c r="I301" s="338"/>
      <c r="J301" s="557"/>
      <c r="K301" s="557"/>
      <c r="L301" s="557"/>
      <c r="M301" s="558"/>
      <c r="N301" s="558"/>
      <c r="O301" s="558"/>
      <c r="P301" s="557"/>
      <c r="Q301" s="338"/>
      <c r="R301" s="338"/>
      <c r="S301" s="338"/>
    </row>
    <row r="302" spans="4:19" x14ac:dyDescent="0.25">
      <c r="F302" s="180" t="s">
        <v>52</v>
      </c>
      <c r="G302" s="166"/>
      <c r="H302" s="166" t="s">
        <v>164</v>
      </c>
      <c r="I302" s="166"/>
      <c r="J302" s="545">
        <v>0.85199999999999998</v>
      </c>
      <c r="K302" s="545">
        <v>0</v>
      </c>
      <c r="L302" s="545">
        <v>0</v>
      </c>
      <c r="M302" s="546">
        <v>1.56</v>
      </c>
      <c r="N302" s="546">
        <v>0</v>
      </c>
      <c r="O302" s="546">
        <v>0</v>
      </c>
      <c r="P302" s="545">
        <v>0</v>
      </c>
    </row>
    <row r="303" spans="4:19" x14ac:dyDescent="0.25">
      <c r="F303" s="176" t="s">
        <v>53</v>
      </c>
      <c r="G303" s="167"/>
      <c r="H303" s="167" t="s">
        <v>164</v>
      </c>
      <c r="I303" s="167"/>
      <c r="J303" s="547">
        <v>1.05</v>
      </c>
      <c r="K303" s="547">
        <v>0.184</v>
      </c>
      <c r="L303" s="547">
        <v>0</v>
      </c>
      <c r="M303" s="548">
        <v>1.56</v>
      </c>
      <c r="N303" s="548">
        <v>0</v>
      </c>
      <c r="O303" s="548">
        <v>0</v>
      </c>
      <c r="P303" s="547">
        <v>0</v>
      </c>
    </row>
    <row r="304" spans="4:19" x14ac:dyDescent="0.25">
      <c r="F304" s="176" t="s">
        <v>84</v>
      </c>
      <c r="G304" s="167"/>
      <c r="H304" s="167" t="s">
        <v>164</v>
      </c>
      <c r="I304" s="167"/>
      <c r="J304" s="547">
        <v>0.22700000000000001</v>
      </c>
      <c r="K304" s="547">
        <v>0</v>
      </c>
      <c r="L304" s="547">
        <v>0</v>
      </c>
      <c r="M304" s="548">
        <v>0</v>
      </c>
      <c r="N304" s="548">
        <v>0</v>
      </c>
      <c r="O304" s="548">
        <v>0</v>
      </c>
      <c r="P304" s="547">
        <v>0</v>
      </c>
    </row>
    <row r="305" spans="6:16" x14ac:dyDescent="0.25">
      <c r="F305" s="176" t="s">
        <v>54</v>
      </c>
      <c r="G305" s="167"/>
      <c r="H305" s="167" t="s">
        <v>164</v>
      </c>
      <c r="I305" s="167"/>
      <c r="J305" s="547">
        <v>0.78100000000000003</v>
      </c>
      <c r="K305" s="547">
        <v>0</v>
      </c>
      <c r="L305" s="547">
        <v>0</v>
      </c>
      <c r="M305" s="548">
        <v>2.34</v>
      </c>
      <c r="N305" s="548">
        <v>0</v>
      </c>
      <c r="O305" s="548">
        <v>0</v>
      </c>
      <c r="P305" s="547">
        <v>0</v>
      </c>
    </row>
    <row r="306" spans="6:16" x14ac:dyDescent="0.25">
      <c r="F306" s="176" t="s">
        <v>55</v>
      </c>
      <c r="G306" s="167"/>
      <c r="H306" s="167" t="s">
        <v>164</v>
      </c>
      <c r="I306" s="167"/>
      <c r="J306" s="547">
        <v>1.1439999999999999</v>
      </c>
      <c r="K306" s="547">
        <v>0.251</v>
      </c>
      <c r="L306" s="547">
        <v>0</v>
      </c>
      <c r="M306" s="548">
        <v>2.34</v>
      </c>
      <c r="N306" s="548">
        <v>0</v>
      </c>
      <c r="O306" s="548">
        <v>0</v>
      </c>
      <c r="P306" s="547">
        <v>0</v>
      </c>
    </row>
    <row r="307" spans="6:16" x14ac:dyDescent="0.25">
      <c r="F307" s="176" t="s">
        <v>85</v>
      </c>
      <c r="G307" s="167"/>
      <c r="H307" s="167" t="s">
        <v>164</v>
      </c>
      <c r="I307" s="167"/>
      <c r="J307" s="547">
        <v>0.28399999999999997</v>
      </c>
      <c r="K307" s="547">
        <v>0</v>
      </c>
      <c r="L307" s="547">
        <v>0</v>
      </c>
      <c r="M307" s="548">
        <v>0</v>
      </c>
      <c r="N307" s="548">
        <v>0</v>
      </c>
      <c r="O307" s="548">
        <v>0</v>
      </c>
      <c r="P307" s="547">
        <v>0</v>
      </c>
    </row>
    <row r="308" spans="6:16" x14ac:dyDescent="0.25">
      <c r="F308" s="176" t="s">
        <v>56</v>
      </c>
      <c r="G308" s="167"/>
      <c r="H308" s="167" t="s">
        <v>164</v>
      </c>
      <c r="I308" s="167"/>
      <c r="J308" s="547">
        <v>0.65100000000000002</v>
      </c>
      <c r="K308" s="547">
        <v>0.17899999999999999</v>
      </c>
      <c r="L308" s="547">
        <v>0</v>
      </c>
      <c r="M308" s="548">
        <v>12.88</v>
      </c>
      <c r="N308" s="548">
        <v>0</v>
      </c>
      <c r="O308" s="548">
        <v>0</v>
      </c>
      <c r="P308" s="547">
        <v>0</v>
      </c>
    </row>
    <row r="309" spans="6:16" x14ac:dyDescent="0.25">
      <c r="F309" s="176" t="s">
        <v>57</v>
      </c>
      <c r="G309" s="167"/>
      <c r="H309" s="167" t="s">
        <v>164</v>
      </c>
      <c r="I309" s="167"/>
      <c r="J309" s="553"/>
      <c r="K309" s="553"/>
      <c r="L309" s="553"/>
      <c r="M309" s="554"/>
      <c r="N309" s="554"/>
      <c r="O309" s="554"/>
      <c r="P309" s="553"/>
    </row>
    <row r="310" spans="6:16" x14ac:dyDescent="0.25">
      <c r="F310" s="176" t="s">
        <v>72</v>
      </c>
      <c r="G310" s="167"/>
      <c r="H310" s="167" t="s">
        <v>164</v>
      </c>
      <c r="I310" s="167"/>
      <c r="J310" s="553"/>
      <c r="K310" s="553"/>
      <c r="L310" s="553"/>
      <c r="M310" s="554"/>
      <c r="N310" s="554"/>
      <c r="O310" s="554"/>
      <c r="P310" s="553"/>
    </row>
    <row r="311" spans="6:16" x14ac:dyDescent="0.25">
      <c r="F311" s="176" t="s">
        <v>58</v>
      </c>
      <c r="G311" s="167"/>
      <c r="H311" s="167" t="s">
        <v>164</v>
      </c>
      <c r="I311" s="167"/>
      <c r="J311" s="547">
        <v>3.8780000000000001</v>
      </c>
      <c r="K311" s="547">
        <v>0.52300000000000002</v>
      </c>
      <c r="L311" s="547">
        <v>0.159</v>
      </c>
      <c r="M311" s="548">
        <v>1.56</v>
      </c>
      <c r="N311" s="548">
        <v>0</v>
      </c>
      <c r="O311" s="548">
        <v>0</v>
      </c>
      <c r="P311" s="547">
        <v>0</v>
      </c>
    </row>
    <row r="312" spans="6:16" x14ac:dyDescent="0.25">
      <c r="F312" s="176" t="s">
        <v>59</v>
      </c>
      <c r="G312" s="167"/>
      <c r="H312" s="167" t="s">
        <v>164</v>
      </c>
      <c r="I312" s="167"/>
      <c r="J312" s="547">
        <v>4.0830000000000002</v>
      </c>
      <c r="K312" s="547">
        <v>0.54400000000000004</v>
      </c>
      <c r="L312" s="547">
        <v>0.16</v>
      </c>
      <c r="M312" s="548">
        <v>2.34</v>
      </c>
      <c r="N312" s="548">
        <v>0</v>
      </c>
      <c r="O312" s="548">
        <v>0</v>
      </c>
      <c r="P312" s="547">
        <v>0</v>
      </c>
    </row>
    <row r="313" spans="6:16" x14ac:dyDescent="0.25">
      <c r="F313" s="176" t="s">
        <v>60</v>
      </c>
      <c r="G313" s="167"/>
      <c r="H313" s="167" t="s">
        <v>164</v>
      </c>
      <c r="I313" s="167"/>
      <c r="J313" s="547">
        <v>2.7839999999999998</v>
      </c>
      <c r="K313" s="547">
        <v>0.373</v>
      </c>
      <c r="L313" s="547">
        <v>0.15</v>
      </c>
      <c r="M313" s="548">
        <v>7.34</v>
      </c>
      <c r="N313" s="548">
        <v>1.08</v>
      </c>
      <c r="O313" s="548">
        <v>2.04</v>
      </c>
      <c r="P313" s="547">
        <v>9.1999999999999998E-2</v>
      </c>
    </row>
    <row r="314" spans="6:16" x14ac:dyDescent="0.25">
      <c r="F314" s="176" t="s">
        <v>61</v>
      </c>
      <c r="G314" s="167"/>
      <c r="H314" s="167" t="s">
        <v>164</v>
      </c>
      <c r="I314" s="167"/>
      <c r="J314" s="547">
        <v>3.4470000000000001</v>
      </c>
      <c r="K314" s="547">
        <v>0.41</v>
      </c>
      <c r="L314" s="547">
        <v>0.22600000000000001</v>
      </c>
      <c r="M314" s="548">
        <v>18.309999999999999</v>
      </c>
      <c r="N314" s="548">
        <v>3.05</v>
      </c>
      <c r="O314" s="548">
        <v>4.12</v>
      </c>
      <c r="P314" s="547">
        <v>9.1999999999999998E-2</v>
      </c>
    </row>
    <row r="315" spans="6:16" x14ac:dyDescent="0.25">
      <c r="F315" s="176" t="s">
        <v>73</v>
      </c>
      <c r="G315" s="167"/>
      <c r="H315" s="167" t="s">
        <v>164</v>
      </c>
      <c r="I315" s="167"/>
      <c r="J315" s="547">
        <v>2.887</v>
      </c>
      <c r="K315" s="547">
        <v>0.38300000000000001</v>
      </c>
      <c r="L315" s="547">
        <v>0.254</v>
      </c>
      <c r="M315" s="548">
        <v>119.81</v>
      </c>
      <c r="N315" s="548">
        <v>4.3099999999999996</v>
      </c>
      <c r="O315" s="548">
        <v>5.35</v>
      </c>
      <c r="P315" s="547">
        <v>7.0999999999999994E-2</v>
      </c>
    </row>
    <row r="316" spans="6:16" x14ac:dyDescent="0.25">
      <c r="F316" s="176" t="s">
        <v>86</v>
      </c>
      <c r="G316" s="167"/>
      <c r="H316" s="167" t="s">
        <v>164</v>
      </c>
      <c r="I316" s="167"/>
      <c r="J316" s="547">
        <v>1.1499999999999999</v>
      </c>
      <c r="K316" s="547">
        <v>0</v>
      </c>
      <c r="L316" s="547">
        <v>0</v>
      </c>
      <c r="M316" s="548">
        <v>0</v>
      </c>
      <c r="N316" s="548">
        <v>0</v>
      </c>
      <c r="O316" s="548">
        <v>0</v>
      </c>
      <c r="P316" s="547">
        <v>0</v>
      </c>
    </row>
    <row r="317" spans="6:16" x14ac:dyDescent="0.25">
      <c r="F317" s="176" t="s">
        <v>87</v>
      </c>
      <c r="G317" s="167"/>
      <c r="H317" s="167" t="s">
        <v>164</v>
      </c>
      <c r="I317" s="167"/>
      <c r="J317" s="547">
        <v>1.173</v>
      </c>
      <c r="K317" s="547">
        <v>0</v>
      </c>
      <c r="L317" s="547">
        <v>0</v>
      </c>
      <c r="M317" s="548">
        <v>0</v>
      </c>
      <c r="N317" s="548">
        <v>0</v>
      </c>
      <c r="O317" s="548">
        <v>0</v>
      </c>
      <c r="P317" s="547">
        <v>0</v>
      </c>
    </row>
    <row r="318" spans="6:16" x14ac:dyDescent="0.25">
      <c r="F318" s="176" t="s">
        <v>88</v>
      </c>
      <c r="G318" s="167"/>
      <c r="H318" s="167" t="s">
        <v>164</v>
      </c>
      <c r="I318" s="167"/>
      <c r="J318" s="547">
        <v>1.5069999999999999</v>
      </c>
      <c r="K318" s="547">
        <v>0</v>
      </c>
      <c r="L318" s="547">
        <v>0</v>
      </c>
      <c r="M318" s="548">
        <v>0</v>
      </c>
      <c r="N318" s="548">
        <v>0</v>
      </c>
      <c r="O318" s="548">
        <v>0</v>
      </c>
      <c r="P318" s="547">
        <v>0</v>
      </c>
    </row>
    <row r="319" spans="6:16" x14ac:dyDescent="0.25">
      <c r="F319" s="176" t="s">
        <v>89</v>
      </c>
      <c r="G319" s="167"/>
      <c r="H319" s="167" t="s">
        <v>164</v>
      </c>
      <c r="I319" s="167"/>
      <c r="J319" s="547">
        <v>1.1559999999999999</v>
      </c>
      <c r="K319" s="547">
        <v>0</v>
      </c>
      <c r="L319" s="547">
        <v>0</v>
      </c>
      <c r="M319" s="548">
        <v>0</v>
      </c>
      <c r="N319" s="548">
        <v>0</v>
      </c>
      <c r="O319" s="548">
        <v>0</v>
      </c>
      <c r="P319" s="547">
        <v>0</v>
      </c>
    </row>
    <row r="320" spans="6:16" x14ac:dyDescent="0.25">
      <c r="F320" s="176" t="s">
        <v>90</v>
      </c>
      <c r="G320" s="167"/>
      <c r="H320" s="167" t="s">
        <v>164</v>
      </c>
      <c r="I320" s="167"/>
      <c r="J320" s="547">
        <v>6.1210000000000004</v>
      </c>
      <c r="K320" s="547">
        <v>1.1399999999999999</v>
      </c>
      <c r="L320" s="547">
        <v>0.80700000000000005</v>
      </c>
      <c r="M320" s="548">
        <v>0</v>
      </c>
      <c r="N320" s="548">
        <v>0</v>
      </c>
      <c r="O320" s="548">
        <v>0</v>
      </c>
      <c r="P320" s="547">
        <v>0</v>
      </c>
    </row>
    <row r="321" spans="3:19" x14ac:dyDescent="0.25">
      <c r="F321" s="176" t="s">
        <v>62</v>
      </c>
      <c r="G321" s="167"/>
      <c r="H321" s="167" t="s">
        <v>164</v>
      </c>
      <c r="I321" s="167"/>
      <c r="J321" s="547">
        <v>-0.81799999999999995</v>
      </c>
      <c r="K321" s="547">
        <v>0</v>
      </c>
      <c r="L321" s="547">
        <v>0</v>
      </c>
      <c r="M321" s="548">
        <v>0</v>
      </c>
      <c r="N321" s="548">
        <v>0</v>
      </c>
      <c r="O321" s="548">
        <v>0</v>
      </c>
      <c r="P321" s="547">
        <v>0</v>
      </c>
    </row>
    <row r="322" spans="3:19" x14ac:dyDescent="0.25">
      <c r="F322" s="176" t="s">
        <v>63</v>
      </c>
      <c r="G322" s="167"/>
      <c r="H322" s="167" t="s">
        <v>164</v>
      </c>
      <c r="I322" s="167"/>
      <c r="J322" s="547">
        <v>-0.71599999999999997</v>
      </c>
      <c r="K322" s="547">
        <v>0</v>
      </c>
      <c r="L322" s="547">
        <v>0</v>
      </c>
      <c r="M322" s="548">
        <v>0</v>
      </c>
      <c r="N322" s="548">
        <v>0</v>
      </c>
      <c r="O322" s="548">
        <v>0</v>
      </c>
      <c r="P322" s="547">
        <v>0</v>
      </c>
    </row>
    <row r="323" spans="3:19" x14ac:dyDescent="0.25">
      <c r="F323" s="176" t="s">
        <v>64</v>
      </c>
      <c r="G323" s="167"/>
      <c r="H323" s="167" t="s">
        <v>164</v>
      </c>
      <c r="I323" s="167"/>
      <c r="J323" s="547">
        <v>-0.81799999999999995</v>
      </c>
      <c r="K323" s="547">
        <v>0</v>
      </c>
      <c r="L323" s="547">
        <v>0</v>
      </c>
      <c r="M323" s="548">
        <v>0</v>
      </c>
      <c r="N323" s="548">
        <v>0</v>
      </c>
      <c r="O323" s="548">
        <v>0</v>
      </c>
      <c r="P323" s="547">
        <v>0.192</v>
      </c>
    </row>
    <row r="324" spans="3:19" x14ac:dyDescent="0.25">
      <c r="F324" s="176" t="s">
        <v>65</v>
      </c>
      <c r="G324" s="167"/>
      <c r="H324" s="167" t="s">
        <v>164</v>
      </c>
      <c r="I324" s="167"/>
      <c r="J324" s="553"/>
      <c r="K324" s="553"/>
      <c r="L324" s="553"/>
      <c r="M324" s="554"/>
      <c r="N324" s="554"/>
      <c r="O324" s="554"/>
      <c r="P324" s="553"/>
    </row>
    <row r="325" spans="3:19" x14ac:dyDescent="0.25">
      <c r="F325" s="176" t="s">
        <v>66</v>
      </c>
      <c r="G325" s="167"/>
      <c r="H325" s="167" t="s">
        <v>164</v>
      </c>
      <c r="I325" s="167"/>
      <c r="J325" s="547">
        <v>-5.7060000000000004</v>
      </c>
      <c r="K325" s="547">
        <v>-0.58899999999999997</v>
      </c>
      <c r="L325" s="547">
        <v>-3.4000000000000002E-2</v>
      </c>
      <c r="M325" s="548">
        <v>0</v>
      </c>
      <c r="N325" s="548">
        <v>0</v>
      </c>
      <c r="O325" s="548">
        <v>0</v>
      </c>
      <c r="P325" s="547">
        <v>0.192</v>
      </c>
    </row>
    <row r="326" spans="3:19" x14ac:dyDescent="0.25">
      <c r="F326" s="176" t="s">
        <v>67</v>
      </c>
      <c r="G326" s="167"/>
      <c r="H326" s="167" t="s">
        <v>164</v>
      </c>
      <c r="I326" s="167"/>
      <c r="J326" s="553"/>
      <c r="K326" s="553"/>
      <c r="L326" s="553"/>
      <c r="M326" s="554"/>
      <c r="N326" s="554"/>
      <c r="O326" s="554"/>
      <c r="P326" s="553"/>
    </row>
    <row r="327" spans="3:19" x14ac:dyDescent="0.25">
      <c r="F327" s="176" t="s">
        <v>68</v>
      </c>
      <c r="G327" s="167"/>
      <c r="H327" s="167" t="s">
        <v>164</v>
      </c>
      <c r="I327" s="167"/>
      <c r="J327" s="547">
        <v>-0.71599999999999997</v>
      </c>
      <c r="K327" s="547">
        <v>0</v>
      </c>
      <c r="L327" s="547">
        <v>0</v>
      </c>
      <c r="M327" s="548">
        <v>0</v>
      </c>
      <c r="N327" s="548">
        <v>0</v>
      </c>
      <c r="O327" s="548">
        <v>0</v>
      </c>
      <c r="P327" s="547">
        <v>0.17100000000000001</v>
      </c>
    </row>
    <row r="328" spans="3:19" x14ac:dyDescent="0.25">
      <c r="F328" s="176" t="s">
        <v>69</v>
      </c>
      <c r="G328" s="167"/>
      <c r="H328" s="167" t="s">
        <v>164</v>
      </c>
      <c r="I328" s="167"/>
      <c r="J328" s="553"/>
      <c r="K328" s="553"/>
      <c r="L328" s="553"/>
      <c r="M328" s="554"/>
      <c r="N328" s="554"/>
      <c r="O328" s="554"/>
      <c r="P328" s="553"/>
    </row>
    <row r="329" spans="3:19" x14ac:dyDescent="0.25">
      <c r="F329" s="176" t="s">
        <v>70</v>
      </c>
      <c r="G329" s="167"/>
      <c r="H329" s="167" t="s">
        <v>164</v>
      </c>
      <c r="I329" s="167"/>
      <c r="J329" s="547">
        <v>-5.1470000000000002</v>
      </c>
      <c r="K329" s="547">
        <v>-0.49</v>
      </c>
      <c r="L329" s="547">
        <v>-2.7E-2</v>
      </c>
      <c r="M329" s="548">
        <v>0</v>
      </c>
      <c r="N329" s="548">
        <v>0</v>
      </c>
      <c r="O329" s="548">
        <v>0</v>
      </c>
      <c r="P329" s="547">
        <v>0.17100000000000001</v>
      </c>
    </row>
    <row r="330" spans="3:19" x14ac:dyDescent="0.25">
      <c r="F330" s="176" t="s">
        <v>71</v>
      </c>
      <c r="G330" s="167"/>
      <c r="H330" s="167" t="s">
        <v>164</v>
      </c>
      <c r="I330" s="167"/>
      <c r="J330" s="553"/>
      <c r="K330" s="553"/>
      <c r="L330" s="553"/>
      <c r="M330" s="554"/>
      <c r="N330" s="554"/>
      <c r="O330" s="554"/>
      <c r="P330" s="553"/>
    </row>
    <row r="331" spans="3:19" x14ac:dyDescent="0.25">
      <c r="F331" s="176" t="s">
        <v>74</v>
      </c>
      <c r="G331" s="167"/>
      <c r="H331" s="167" t="s">
        <v>164</v>
      </c>
      <c r="I331" s="167"/>
      <c r="J331" s="547">
        <v>-0.47399999999999998</v>
      </c>
      <c r="K331" s="547">
        <v>0</v>
      </c>
      <c r="L331" s="547">
        <v>0</v>
      </c>
      <c r="M331" s="548">
        <v>0</v>
      </c>
      <c r="N331" s="548">
        <v>0</v>
      </c>
      <c r="O331" s="548">
        <v>0</v>
      </c>
      <c r="P331" s="547">
        <v>0.151</v>
      </c>
    </row>
    <row r="332" spans="3:19" x14ac:dyDescent="0.25">
      <c r="F332" s="176" t="s">
        <v>75</v>
      </c>
      <c r="G332" s="167"/>
      <c r="H332" s="167" t="s">
        <v>164</v>
      </c>
      <c r="I332" s="167"/>
      <c r="J332" s="553"/>
      <c r="K332" s="553"/>
      <c r="L332" s="553"/>
      <c r="M332" s="554"/>
      <c r="N332" s="554"/>
      <c r="O332" s="554"/>
      <c r="P332" s="553"/>
    </row>
    <row r="333" spans="3:19" x14ac:dyDescent="0.25">
      <c r="F333" s="176" t="s">
        <v>76</v>
      </c>
      <c r="G333" s="167"/>
      <c r="H333" s="167" t="s">
        <v>164</v>
      </c>
      <c r="I333" s="167"/>
      <c r="J333" s="547">
        <v>-3.956</v>
      </c>
      <c r="K333" s="547">
        <v>-0.23400000000000001</v>
      </c>
      <c r="L333" s="547">
        <v>-8.9999999999999993E-3</v>
      </c>
      <c r="M333" s="548">
        <v>0</v>
      </c>
      <c r="N333" s="548">
        <v>0</v>
      </c>
      <c r="O333" s="548">
        <v>0</v>
      </c>
      <c r="P333" s="547">
        <v>0.151</v>
      </c>
    </row>
    <row r="334" spans="3:19" x14ac:dyDescent="0.25">
      <c r="F334" s="177" t="s">
        <v>77</v>
      </c>
      <c r="G334" s="168"/>
      <c r="H334" s="168" t="s">
        <v>164</v>
      </c>
      <c r="I334" s="168"/>
      <c r="J334" s="555"/>
      <c r="K334" s="555"/>
      <c r="L334" s="555"/>
      <c r="M334" s="556"/>
      <c r="N334" s="556"/>
      <c r="O334" s="556"/>
      <c r="P334" s="555"/>
    </row>
    <row r="335" spans="3:19" x14ac:dyDescent="0.25">
      <c r="D335" s="338"/>
      <c r="E335" s="338"/>
      <c r="F335" s="338"/>
      <c r="G335" s="338"/>
      <c r="H335" s="338"/>
      <c r="I335" s="338"/>
      <c r="J335" s="338"/>
      <c r="K335" s="338"/>
      <c r="L335" s="338"/>
      <c r="M335" s="369"/>
      <c r="N335" s="369"/>
      <c r="O335" s="369"/>
      <c r="P335" s="338"/>
      <c r="Q335" s="338"/>
      <c r="R335" s="338"/>
      <c r="S335" s="338"/>
    </row>
    <row r="336" spans="3:19" s="338" customFormat="1" x14ac:dyDescent="0.25">
      <c r="C336" s="22" t="str">
        <f ca="1">INDEX('Version control'!$H$34:$H$59,MATCH($A$1,'Version control'!$F$34:$F$59,0),1)&amp;"-D: Tariff results for charging year " &amp; 'ARP_User control'!G33</f>
        <v>Output 501-D: Tariff results for charging year 2022/23</v>
      </c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</row>
    <row r="337" spans="4:16" x14ac:dyDescent="0.25">
      <c r="D337" s="160"/>
      <c r="E337" s="338"/>
      <c r="F337" s="338"/>
      <c r="J337" s="200"/>
      <c r="K337" s="200"/>
      <c r="L337" s="200"/>
      <c r="M337" s="368"/>
      <c r="N337" s="368"/>
      <c r="O337" s="368"/>
      <c r="P337" s="200"/>
    </row>
    <row r="338" spans="4:16" x14ac:dyDescent="0.25">
      <c r="D338" s="172"/>
      <c r="E338" s="172" t="str">
        <f>"All the way tariff forecast "&amp; 'ARP_User control'!G33</f>
        <v>All the way tariff forecast 2022/23</v>
      </c>
      <c r="F338" s="338"/>
      <c r="J338" s="200"/>
      <c r="K338" s="200"/>
      <c r="L338" s="200"/>
      <c r="M338" s="368"/>
      <c r="N338" s="368"/>
      <c r="O338" s="368"/>
      <c r="P338" s="200"/>
    </row>
    <row r="339" spans="4:16" x14ac:dyDescent="0.25">
      <c r="F339" s="180" t="s">
        <v>52</v>
      </c>
      <c r="G339" s="166"/>
      <c r="H339" s="166" t="s">
        <v>391</v>
      </c>
      <c r="I339" s="166"/>
      <c r="J339" s="545">
        <v>2.0779999999999998</v>
      </c>
      <c r="K339" s="545">
        <v>0</v>
      </c>
      <c r="L339" s="545">
        <v>0</v>
      </c>
      <c r="M339" s="546">
        <v>3.68</v>
      </c>
      <c r="N339" s="546">
        <v>0</v>
      </c>
      <c r="O339" s="546">
        <v>0</v>
      </c>
      <c r="P339" s="545">
        <v>0</v>
      </c>
    </row>
    <row r="340" spans="4:16" x14ac:dyDescent="0.25">
      <c r="F340" s="176" t="s">
        <v>53</v>
      </c>
      <c r="G340" s="167"/>
      <c r="H340" s="167" t="s">
        <v>391</v>
      </c>
      <c r="I340" s="167"/>
      <c r="J340" s="547">
        <v>2.54</v>
      </c>
      <c r="K340" s="547">
        <v>0.49099999999999999</v>
      </c>
      <c r="L340" s="547">
        <v>0</v>
      </c>
      <c r="M340" s="548">
        <v>3.68</v>
      </c>
      <c r="N340" s="548">
        <v>0</v>
      </c>
      <c r="O340" s="548">
        <v>0</v>
      </c>
      <c r="P340" s="547">
        <v>0</v>
      </c>
    </row>
    <row r="341" spans="4:16" x14ac:dyDescent="0.25">
      <c r="F341" s="176" t="s">
        <v>84</v>
      </c>
      <c r="G341" s="167"/>
      <c r="H341" s="167" t="s">
        <v>391</v>
      </c>
      <c r="I341" s="167"/>
      <c r="J341" s="547">
        <v>0.59399999999999997</v>
      </c>
      <c r="K341" s="547">
        <v>0</v>
      </c>
      <c r="L341" s="547">
        <v>0</v>
      </c>
      <c r="M341" s="548">
        <v>0</v>
      </c>
      <c r="N341" s="548">
        <v>0</v>
      </c>
      <c r="O341" s="548">
        <v>0</v>
      </c>
      <c r="P341" s="547">
        <v>0</v>
      </c>
    </row>
    <row r="342" spans="4:16" x14ac:dyDescent="0.25">
      <c r="F342" s="176" t="s">
        <v>54</v>
      </c>
      <c r="G342" s="167"/>
      <c r="H342" s="167" t="s">
        <v>391</v>
      </c>
      <c r="I342" s="167"/>
      <c r="J342" s="547">
        <v>1.91</v>
      </c>
      <c r="K342" s="547">
        <v>0</v>
      </c>
      <c r="L342" s="547">
        <v>0</v>
      </c>
      <c r="M342" s="548">
        <v>5.51</v>
      </c>
      <c r="N342" s="548">
        <v>0</v>
      </c>
      <c r="O342" s="548">
        <v>0</v>
      </c>
      <c r="P342" s="547">
        <v>0</v>
      </c>
    </row>
    <row r="343" spans="4:16" x14ac:dyDescent="0.25">
      <c r="F343" s="176" t="s">
        <v>55</v>
      </c>
      <c r="G343" s="167"/>
      <c r="H343" s="167" t="s">
        <v>391</v>
      </c>
      <c r="I343" s="167"/>
      <c r="J343" s="547">
        <v>2.7690000000000001</v>
      </c>
      <c r="K343" s="547">
        <v>0.65100000000000002</v>
      </c>
      <c r="L343" s="547">
        <v>0</v>
      </c>
      <c r="M343" s="548">
        <v>5.51</v>
      </c>
      <c r="N343" s="548">
        <v>0</v>
      </c>
      <c r="O343" s="548">
        <v>0</v>
      </c>
      <c r="P343" s="547">
        <v>0</v>
      </c>
    </row>
    <row r="344" spans="4:16" x14ac:dyDescent="0.25">
      <c r="F344" s="176" t="s">
        <v>85</v>
      </c>
      <c r="G344" s="167"/>
      <c r="H344" s="167" t="s">
        <v>391</v>
      </c>
      <c r="I344" s="167"/>
      <c r="J344" s="547">
        <v>0.73</v>
      </c>
      <c r="K344" s="547">
        <v>0</v>
      </c>
      <c r="L344" s="547">
        <v>0</v>
      </c>
      <c r="M344" s="548">
        <v>0</v>
      </c>
      <c r="N344" s="548">
        <v>0</v>
      </c>
      <c r="O344" s="548">
        <v>0</v>
      </c>
      <c r="P344" s="547">
        <v>0</v>
      </c>
    </row>
    <row r="345" spans="4:16" x14ac:dyDescent="0.25">
      <c r="F345" s="176" t="s">
        <v>56</v>
      </c>
      <c r="G345" s="167"/>
      <c r="H345" s="167" t="s">
        <v>391</v>
      </c>
      <c r="I345" s="167"/>
      <c r="J345" s="547">
        <v>1.601</v>
      </c>
      <c r="K345" s="547">
        <v>0.48099999999999998</v>
      </c>
      <c r="L345" s="547">
        <v>0</v>
      </c>
      <c r="M345" s="548">
        <v>30.36</v>
      </c>
      <c r="N345" s="548">
        <v>0</v>
      </c>
      <c r="O345" s="548">
        <v>0</v>
      </c>
      <c r="P345" s="547">
        <v>0</v>
      </c>
    </row>
    <row r="346" spans="4:16" x14ac:dyDescent="0.25">
      <c r="F346" s="176" t="s">
        <v>57</v>
      </c>
      <c r="G346" s="167"/>
      <c r="H346" s="167" t="s">
        <v>391</v>
      </c>
      <c r="I346" s="167"/>
      <c r="J346" s="547">
        <v>1.379</v>
      </c>
      <c r="K346" s="547">
        <v>0.45800000000000002</v>
      </c>
      <c r="L346" s="547">
        <v>0</v>
      </c>
      <c r="M346" s="548">
        <v>27.13</v>
      </c>
      <c r="N346" s="548">
        <v>0</v>
      </c>
      <c r="O346" s="548">
        <v>0</v>
      </c>
      <c r="P346" s="547">
        <v>0</v>
      </c>
    </row>
    <row r="347" spans="4:16" x14ac:dyDescent="0.25">
      <c r="F347" s="176" t="s">
        <v>72</v>
      </c>
      <c r="G347" s="167"/>
      <c r="H347" s="167" t="s">
        <v>391</v>
      </c>
      <c r="I347" s="167"/>
      <c r="J347" s="547">
        <v>0.93899999999999995</v>
      </c>
      <c r="K347" s="547">
        <v>0.41499999999999998</v>
      </c>
      <c r="L347" s="547">
        <v>0</v>
      </c>
      <c r="M347" s="548">
        <v>305.95</v>
      </c>
      <c r="N347" s="548">
        <v>0</v>
      </c>
      <c r="O347" s="548">
        <v>0</v>
      </c>
      <c r="P347" s="547">
        <v>0</v>
      </c>
    </row>
    <row r="348" spans="4:16" x14ac:dyDescent="0.25">
      <c r="F348" s="176" t="s">
        <v>58</v>
      </c>
      <c r="G348" s="167"/>
      <c r="H348" s="167" t="s">
        <v>391</v>
      </c>
      <c r="I348" s="167"/>
      <c r="J348" s="547">
        <v>9.26</v>
      </c>
      <c r="K348" s="547">
        <v>1.2969999999999999</v>
      </c>
      <c r="L348" s="547">
        <v>0.434</v>
      </c>
      <c r="M348" s="548">
        <v>3.68</v>
      </c>
      <c r="N348" s="548">
        <v>0</v>
      </c>
      <c r="O348" s="548">
        <v>0</v>
      </c>
      <c r="P348" s="547">
        <v>0</v>
      </c>
    </row>
    <row r="349" spans="4:16" x14ac:dyDescent="0.25">
      <c r="F349" s="176" t="s">
        <v>59</v>
      </c>
      <c r="G349" s="167"/>
      <c r="H349" s="167" t="s">
        <v>391</v>
      </c>
      <c r="I349" s="167"/>
      <c r="J349" s="547">
        <v>9.7390000000000008</v>
      </c>
      <c r="K349" s="547">
        <v>1.347</v>
      </c>
      <c r="L349" s="547">
        <v>0.437</v>
      </c>
      <c r="M349" s="548">
        <v>5.51</v>
      </c>
      <c r="N349" s="548">
        <v>0</v>
      </c>
      <c r="O349" s="548">
        <v>0</v>
      </c>
      <c r="P349" s="547">
        <v>0</v>
      </c>
    </row>
    <row r="350" spans="4:16" x14ac:dyDescent="0.25">
      <c r="F350" s="176" t="s">
        <v>60</v>
      </c>
      <c r="G350" s="167"/>
      <c r="H350" s="167" t="s">
        <v>391</v>
      </c>
      <c r="I350" s="167"/>
      <c r="J350" s="547">
        <v>6.6360000000000001</v>
      </c>
      <c r="K350" s="547">
        <v>0.94</v>
      </c>
      <c r="L350" s="547">
        <v>0.41099999999999998</v>
      </c>
      <c r="M350" s="548">
        <v>17.350000000000001</v>
      </c>
      <c r="N350" s="548">
        <v>2.56</v>
      </c>
      <c r="O350" s="548">
        <v>4.8499999999999996</v>
      </c>
      <c r="P350" s="547">
        <v>0.217</v>
      </c>
    </row>
    <row r="351" spans="4:16" x14ac:dyDescent="0.25">
      <c r="F351" s="176" t="s">
        <v>61</v>
      </c>
      <c r="G351" s="167"/>
      <c r="H351" s="167" t="s">
        <v>391</v>
      </c>
      <c r="I351" s="167"/>
      <c r="J351" s="547">
        <v>5.1870000000000003</v>
      </c>
      <c r="K351" s="547">
        <v>0.66700000000000004</v>
      </c>
      <c r="L351" s="547">
        <v>0.39200000000000002</v>
      </c>
      <c r="M351" s="548">
        <v>27.13</v>
      </c>
      <c r="N351" s="548">
        <v>4.54</v>
      </c>
      <c r="O351" s="548">
        <v>6.13</v>
      </c>
      <c r="P351" s="547">
        <v>0.13800000000000001</v>
      </c>
    </row>
    <row r="352" spans="4:16" x14ac:dyDescent="0.25">
      <c r="F352" s="176" t="s">
        <v>73</v>
      </c>
      <c r="G352" s="167"/>
      <c r="H352" s="167" t="s">
        <v>391</v>
      </c>
      <c r="I352" s="167"/>
      <c r="J352" s="547">
        <v>3.835</v>
      </c>
      <c r="K352" s="547">
        <v>0.55500000000000005</v>
      </c>
      <c r="L352" s="547">
        <v>0.38700000000000001</v>
      </c>
      <c r="M352" s="548">
        <v>155.08000000000001</v>
      </c>
      <c r="N352" s="548">
        <v>5.61</v>
      </c>
      <c r="O352" s="548">
        <v>6.96</v>
      </c>
      <c r="P352" s="547">
        <v>9.0999999999999998E-2</v>
      </c>
    </row>
    <row r="353" spans="6:16" x14ac:dyDescent="0.25">
      <c r="F353" s="176" t="s">
        <v>86</v>
      </c>
      <c r="G353" s="167"/>
      <c r="H353" s="167" t="s">
        <v>391</v>
      </c>
      <c r="I353" s="167"/>
      <c r="J353" s="547">
        <v>2.778</v>
      </c>
      <c r="K353" s="547">
        <v>0</v>
      </c>
      <c r="L353" s="547">
        <v>0</v>
      </c>
      <c r="M353" s="548">
        <v>0</v>
      </c>
      <c r="N353" s="548">
        <v>0</v>
      </c>
      <c r="O353" s="548">
        <v>0</v>
      </c>
      <c r="P353" s="547">
        <v>0</v>
      </c>
    </row>
    <row r="354" spans="6:16" x14ac:dyDescent="0.25">
      <c r="F354" s="176" t="s">
        <v>87</v>
      </c>
      <c r="G354" s="167"/>
      <c r="H354" s="167" t="s">
        <v>391</v>
      </c>
      <c r="I354" s="167"/>
      <c r="J354" s="547">
        <v>2.8330000000000002</v>
      </c>
      <c r="K354" s="547">
        <v>0</v>
      </c>
      <c r="L354" s="547">
        <v>0</v>
      </c>
      <c r="M354" s="548">
        <v>0</v>
      </c>
      <c r="N354" s="548">
        <v>0</v>
      </c>
      <c r="O354" s="548">
        <v>0</v>
      </c>
      <c r="P354" s="547">
        <v>0</v>
      </c>
    </row>
    <row r="355" spans="6:16" x14ac:dyDescent="0.25">
      <c r="F355" s="176" t="s">
        <v>88</v>
      </c>
      <c r="G355" s="167"/>
      <c r="H355" s="167" t="s">
        <v>391</v>
      </c>
      <c r="I355" s="167"/>
      <c r="J355" s="547">
        <v>3.625</v>
      </c>
      <c r="K355" s="547">
        <v>0</v>
      </c>
      <c r="L355" s="547">
        <v>0</v>
      </c>
      <c r="M355" s="548">
        <v>0</v>
      </c>
      <c r="N355" s="548">
        <v>0</v>
      </c>
      <c r="O355" s="548">
        <v>0</v>
      </c>
      <c r="P355" s="547">
        <v>0</v>
      </c>
    </row>
    <row r="356" spans="6:16" x14ac:dyDescent="0.25">
      <c r="F356" s="176" t="s">
        <v>89</v>
      </c>
      <c r="G356" s="167"/>
      <c r="H356" s="167" t="s">
        <v>391</v>
      </c>
      <c r="I356" s="167"/>
      <c r="J356" s="547">
        <v>2.7909999999999999</v>
      </c>
      <c r="K356" s="547">
        <v>0</v>
      </c>
      <c r="L356" s="547">
        <v>0</v>
      </c>
      <c r="M356" s="548">
        <v>0</v>
      </c>
      <c r="N356" s="548">
        <v>0</v>
      </c>
      <c r="O356" s="548">
        <v>0</v>
      </c>
      <c r="P356" s="547">
        <v>0</v>
      </c>
    </row>
    <row r="357" spans="6:16" x14ac:dyDescent="0.25">
      <c r="F357" s="176" t="s">
        <v>90</v>
      </c>
      <c r="G357" s="167"/>
      <c r="H357" s="167" t="s">
        <v>391</v>
      </c>
      <c r="I357" s="167"/>
      <c r="J357" s="547">
        <v>14.577999999999999</v>
      </c>
      <c r="K357" s="547">
        <v>2.7549999999999999</v>
      </c>
      <c r="L357" s="547">
        <v>1.9630000000000001</v>
      </c>
      <c r="M357" s="548">
        <v>0</v>
      </c>
      <c r="N357" s="548">
        <v>0</v>
      </c>
      <c r="O357" s="548">
        <v>0</v>
      </c>
      <c r="P357" s="547">
        <v>0</v>
      </c>
    </row>
    <row r="358" spans="6:16" x14ac:dyDescent="0.25">
      <c r="F358" s="176" t="s">
        <v>62</v>
      </c>
      <c r="G358" s="167"/>
      <c r="H358" s="167" t="s">
        <v>391</v>
      </c>
      <c r="I358" s="167"/>
      <c r="J358" s="547">
        <v>-0.84299999999999997</v>
      </c>
      <c r="K358" s="547">
        <v>0</v>
      </c>
      <c r="L358" s="547">
        <v>0</v>
      </c>
      <c r="M358" s="548">
        <v>0</v>
      </c>
      <c r="N358" s="548">
        <v>0</v>
      </c>
      <c r="O358" s="548">
        <v>0</v>
      </c>
      <c r="P358" s="547">
        <v>0</v>
      </c>
    </row>
    <row r="359" spans="6:16" x14ac:dyDescent="0.25">
      <c r="F359" s="176" t="s">
        <v>63</v>
      </c>
      <c r="G359" s="167"/>
      <c r="H359" s="167" t="s">
        <v>391</v>
      </c>
      <c r="I359" s="167"/>
      <c r="J359" s="547">
        <v>-0.73799999999999999</v>
      </c>
      <c r="K359" s="547">
        <v>0</v>
      </c>
      <c r="L359" s="547">
        <v>0</v>
      </c>
      <c r="M359" s="548">
        <v>0</v>
      </c>
      <c r="N359" s="548">
        <v>0</v>
      </c>
      <c r="O359" s="548">
        <v>0</v>
      </c>
      <c r="P359" s="547">
        <v>0</v>
      </c>
    </row>
    <row r="360" spans="6:16" x14ac:dyDescent="0.25">
      <c r="F360" s="176" t="s">
        <v>64</v>
      </c>
      <c r="G360" s="167"/>
      <c r="H360" s="167" t="s">
        <v>391</v>
      </c>
      <c r="I360" s="167"/>
      <c r="J360" s="547">
        <v>-0.84299999999999997</v>
      </c>
      <c r="K360" s="547">
        <v>0</v>
      </c>
      <c r="L360" s="547">
        <v>0</v>
      </c>
      <c r="M360" s="548">
        <v>0</v>
      </c>
      <c r="N360" s="548">
        <v>0</v>
      </c>
      <c r="O360" s="548">
        <v>0</v>
      </c>
      <c r="P360" s="547">
        <v>0.19700000000000001</v>
      </c>
    </row>
    <row r="361" spans="6:16" x14ac:dyDescent="0.25">
      <c r="F361" s="176" t="s">
        <v>65</v>
      </c>
      <c r="G361" s="167"/>
      <c r="H361" s="167" t="s">
        <v>391</v>
      </c>
      <c r="I361" s="167"/>
      <c r="J361" s="547">
        <v>-0.84299999999999997</v>
      </c>
      <c r="K361" s="547">
        <v>0</v>
      </c>
      <c r="L361" s="547">
        <v>0</v>
      </c>
      <c r="M361" s="548">
        <v>0</v>
      </c>
      <c r="N361" s="548">
        <v>0</v>
      </c>
      <c r="O361" s="548">
        <v>0</v>
      </c>
      <c r="P361" s="547">
        <v>0</v>
      </c>
    </row>
    <row r="362" spans="6:16" x14ac:dyDescent="0.25">
      <c r="F362" s="176" t="s">
        <v>66</v>
      </c>
      <c r="G362" s="167"/>
      <c r="H362" s="167" t="s">
        <v>391</v>
      </c>
      <c r="I362" s="167"/>
      <c r="J362" s="547">
        <v>-5.88</v>
      </c>
      <c r="K362" s="547">
        <v>-0.60699999999999998</v>
      </c>
      <c r="L362" s="547">
        <v>-3.5000000000000003E-2</v>
      </c>
      <c r="M362" s="548">
        <v>0</v>
      </c>
      <c r="N362" s="548">
        <v>0</v>
      </c>
      <c r="O362" s="548">
        <v>0</v>
      </c>
      <c r="P362" s="547">
        <v>0.19700000000000001</v>
      </c>
    </row>
    <row r="363" spans="6:16" x14ac:dyDescent="0.25">
      <c r="F363" s="176" t="s">
        <v>67</v>
      </c>
      <c r="G363" s="167"/>
      <c r="H363" s="167" t="s">
        <v>391</v>
      </c>
      <c r="I363" s="167"/>
      <c r="J363" s="547">
        <v>-5.88</v>
      </c>
      <c r="K363" s="547">
        <v>-0.60699999999999998</v>
      </c>
      <c r="L363" s="547">
        <v>-3.5000000000000003E-2</v>
      </c>
      <c r="M363" s="548">
        <v>0</v>
      </c>
      <c r="N363" s="548">
        <v>0</v>
      </c>
      <c r="O363" s="548">
        <v>0</v>
      </c>
      <c r="P363" s="547">
        <v>0</v>
      </c>
    </row>
    <row r="364" spans="6:16" x14ac:dyDescent="0.25">
      <c r="F364" s="176" t="s">
        <v>68</v>
      </c>
      <c r="G364" s="167"/>
      <c r="H364" s="167" t="s">
        <v>391</v>
      </c>
      <c r="I364" s="167"/>
      <c r="J364" s="547">
        <v>-0.73799999999999999</v>
      </c>
      <c r="K364" s="547">
        <v>0</v>
      </c>
      <c r="L364" s="547">
        <v>0</v>
      </c>
      <c r="M364" s="548">
        <v>0</v>
      </c>
      <c r="N364" s="548">
        <v>0</v>
      </c>
      <c r="O364" s="548">
        <v>0</v>
      </c>
      <c r="P364" s="547">
        <v>0.17699999999999999</v>
      </c>
    </row>
    <row r="365" spans="6:16" x14ac:dyDescent="0.25">
      <c r="F365" s="176" t="s">
        <v>69</v>
      </c>
      <c r="G365" s="167"/>
      <c r="H365" s="167" t="s">
        <v>391</v>
      </c>
      <c r="I365" s="167"/>
      <c r="J365" s="547">
        <v>-0.73799999999999999</v>
      </c>
      <c r="K365" s="547">
        <v>0</v>
      </c>
      <c r="L365" s="547">
        <v>0</v>
      </c>
      <c r="M365" s="548">
        <v>0</v>
      </c>
      <c r="N365" s="548">
        <v>0</v>
      </c>
      <c r="O365" s="548">
        <v>0</v>
      </c>
      <c r="P365" s="547">
        <v>0</v>
      </c>
    </row>
    <row r="366" spans="6:16" x14ac:dyDescent="0.25">
      <c r="F366" s="176" t="s">
        <v>70</v>
      </c>
      <c r="G366" s="167"/>
      <c r="H366" s="167" t="s">
        <v>391</v>
      </c>
      <c r="I366" s="167"/>
      <c r="J366" s="547">
        <v>-5.3040000000000003</v>
      </c>
      <c r="K366" s="547">
        <v>-0.505</v>
      </c>
      <c r="L366" s="547">
        <v>-2.8000000000000001E-2</v>
      </c>
      <c r="M366" s="548">
        <v>0</v>
      </c>
      <c r="N366" s="548">
        <v>0</v>
      </c>
      <c r="O366" s="548">
        <v>0</v>
      </c>
      <c r="P366" s="547">
        <v>0.17699999999999999</v>
      </c>
    </row>
    <row r="367" spans="6:16" x14ac:dyDescent="0.25">
      <c r="F367" s="176" t="s">
        <v>71</v>
      </c>
      <c r="G367" s="167"/>
      <c r="H367" s="167" t="s">
        <v>391</v>
      </c>
      <c r="I367" s="167"/>
      <c r="J367" s="547">
        <v>-5.3040000000000003</v>
      </c>
      <c r="K367" s="547">
        <v>-0.505</v>
      </c>
      <c r="L367" s="547">
        <v>-2.8000000000000001E-2</v>
      </c>
      <c r="M367" s="548">
        <v>0</v>
      </c>
      <c r="N367" s="548">
        <v>0</v>
      </c>
      <c r="O367" s="548">
        <v>0</v>
      </c>
      <c r="P367" s="547">
        <v>0</v>
      </c>
    </row>
    <row r="368" spans="6:16" x14ac:dyDescent="0.25">
      <c r="F368" s="176" t="s">
        <v>74</v>
      </c>
      <c r="G368" s="167"/>
      <c r="H368" s="167" t="s">
        <v>391</v>
      </c>
      <c r="I368" s="167"/>
      <c r="J368" s="547">
        <v>-0.48899999999999999</v>
      </c>
      <c r="K368" s="547">
        <v>0</v>
      </c>
      <c r="L368" s="547">
        <v>0</v>
      </c>
      <c r="M368" s="548">
        <v>255.5</v>
      </c>
      <c r="N368" s="548">
        <v>0</v>
      </c>
      <c r="O368" s="548">
        <v>0</v>
      </c>
      <c r="P368" s="547">
        <v>0.156</v>
      </c>
    </row>
    <row r="369" spans="4:16" x14ac:dyDescent="0.25">
      <c r="F369" s="176" t="s">
        <v>75</v>
      </c>
      <c r="G369" s="167"/>
      <c r="H369" s="167" t="s">
        <v>391</v>
      </c>
      <c r="I369" s="167"/>
      <c r="J369" s="547">
        <v>-0.48899999999999999</v>
      </c>
      <c r="K369" s="547">
        <v>0</v>
      </c>
      <c r="L369" s="547">
        <v>0</v>
      </c>
      <c r="M369" s="548">
        <v>255.5</v>
      </c>
      <c r="N369" s="548">
        <v>0</v>
      </c>
      <c r="O369" s="548">
        <v>0</v>
      </c>
      <c r="P369" s="547">
        <v>0</v>
      </c>
    </row>
    <row r="370" spans="4:16" x14ac:dyDescent="0.25">
      <c r="F370" s="176" t="s">
        <v>76</v>
      </c>
      <c r="G370" s="167"/>
      <c r="H370" s="167" t="s">
        <v>391</v>
      </c>
      <c r="I370" s="167"/>
      <c r="J370" s="547">
        <v>-4.077</v>
      </c>
      <c r="K370" s="547">
        <v>-0.24099999999999999</v>
      </c>
      <c r="L370" s="547">
        <v>-8.9999999999999993E-3</v>
      </c>
      <c r="M370" s="548">
        <v>255.5</v>
      </c>
      <c r="N370" s="548">
        <v>0</v>
      </c>
      <c r="O370" s="548">
        <v>0</v>
      </c>
      <c r="P370" s="547">
        <v>0.156</v>
      </c>
    </row>
    <row r="371" spans="4:16" x14ac:dyDescent="0.25">
      <c r="F371" s="177" t="s">
        <v>77</v>
      </c>
      <c r="G371" s="168"/>
      <c r="H371" s="168" t="s">
        <v>391</v>
      </c>
      <c r="I371" s="168"/>
      <c r="J371" s="549">
        <v>-4.077</v>
      </c>
      <c r="K371" s="549">
        <v>-0.24099999999999999</v>
      </c>
      <c r="L371" s="549">
        <v>-8.9999999999999993E-3</v>
      </c>
      <c r="M371" s="550">
        <v>255.5</v>
      </c>
      <c r="N371" s="550">
        <v>0</v>
      </c>
      <c r="O371" s="550">
        <v>0</v>
      </c>
      <c r="P371" s="549">
        <v>0</v>
      </c>
    </row>
    <row r="372" spans="4:16" x14ac:dyDescent="0.25">
      <c r="F372" s="175"/>
      <c r="J372" s="551"/>
      <c r="K372" s="551"/>
      <c r="L372" s="551"/>
      <c r="M372" s="552"/>
      <c r="N372" s="552"/>
      <c r="O372" s="552"/>
      <c r="P372" s="551"/>
    </row>
    <row r="373" spans="4:16" x14ac:dyDescent="0.25">
      <c r="D373" s="172"/>
      <c r="E373" s="172" t="str">
        <f>"LDNO LV tariff forecast "&amp; 'ARP_User control'!G33</f>
        <v>LDNO LV tariff forecast 2022/23</v>
      </c>
      <c r="F373" s="175"/>
      <c r="J373" s="551"/>
      <c r="K373" s="551"/>
      <c r="L373" s="551"/>
      <c r="M373" s="552"/>
      <c r="N373" s="552"/>
      <c r="O373" s="552"/>
      <c r="P373" s="551"/>
    </row>
    <row r="374" spans="4:16" x14ac:dyDescent="0.25">
      <c r="F374" s="180" t="s">
        <v>52</v>
      </c>
      <c r="G374" s="166"/>
      <c r="H374" s="166" t="s">
        <v>163</v>
      </c>
      <c r="I374" s="166"/>
      <c r="J374" s="545">
        <v>1.3560000000000001</v>
      </c>
      <c r="K374" s="545">
        <v>0</v>
      </c>
      <c r="L374" s="545">
        <v>0</v>
      </c>
      <c r="M374" s="546">
        <v>2.4</v>
      </c>
      <c r="N374" s="546">
        <v>0</v>
      </c>
      <c r="O374" s="546">
        <v>0</v>
      </c>
      <c r="P374" s="545">
        <v>0</v>
      </c>
    </row>
    <row r="375" spans="4:16" x14ac:dyDescent="0.25">
      <c r="F375" s="176" t="s">
        <v>53</v>
      </c>
      <c r="G375" s="167"/>
      <c r="H375" s="167" t="s">
        <v>163</v>
      </c>
      <c r="I375" s="167"/>
      <c r="J375" s="547">
        <v>1.657</v>
      </c>
      <c r="K375" s="547">
        <v>0.32</v>
      </c>
      <c r="L375" s="547">
        <v>0</v>
      </c>
      <c r="M375" s="548">
        <v>2.4</v>
      </c>
      <c r="N375" s="548">
        <v>0</v>
      </c>
      <c r="O375" s="548">
        <v>0</v>
      </c>
      <c r="P375" s="547">
        <v>0</v>
      </c>
    </row>
    <row r="376" spans="4:16" x14ac:dyDescent="0.25">
      <c r="F376" s="176" t="s">
        <v>84</v>
      </c>
      <c r="G376" s="167"/>
      <c r="H376" s="167" t="s">
        <v>163</v>
      </c>
      <c r="I376" s="167"/>
      <c r="J376" s="547">
        <v>0.38800000000000001</v>
      </c>
      <c r="K376" s="547">
        <v>0</v>
      </c>
      <c r="L376" s="547">
        <v>0</v>
      </c>
      <c r="M376" s="548">
        <v>0</v>
      </c>
      <c r="N376" s="548">
        <v>0</v>
      </c>
      <c r="O376" s="548">
        <v>0</v>
      </c>
      <c r="P376" s="547">
        <v>0</v>
      </c>
    </row>
    <row r="377" spans="4:16" x14ac:dyDescent="0.25">
      <c r="F377" s="176" t="s">
        <v>54</v>
      </c>
      <c r="G377" s="167"/>
      <c r="H377" s="167" t="s">
        <v>163</v>
      </c>
      <c r="I377" s="167"/>
      <c r="J377" s="547">
        <v>1.246</v>
      </c>
      <c r="K377" s="547">
        <v>0</v>
      </c>
      <c r="L377" s="547">
        <v>0</v>
      </c>
      <c r="M377" s="548">
        <v>3.59</v>
      </c>
      <c r="N377" s="548">
        <v>0</v>
      </c>
      <c r="O377" s="548">
        <v>0</v>
      </c>
      <c r="P377" s="547">
        <v>0</v>
      </c>
    </row>
    <row r="378" spans="4:16" x14ac:dyDescent="0.25">
      <c r="F378" s="176" t="s">
        <v>55</v>
      </c>
      <c r="G378" s="167"/>
      <c r="H378" s="167" t="s">
        <v>163</v>
      </c>
      <c r="I378" s="167"/>
      <c r="J378" s="547">
        <v>1.8069999999999999</v>
      </c>
      <c r="K378" s="547">
        <v>0.42499999999999999</v>
      </c>
      <c r="L378" s="547">
        <v>0</v>
      </c>
      <c r="M378" s="548">
        <v>3.59</v>
      </c>
      <c r="N378" s="548">
        <v>0</v>
      </c>
      <c r="O378" s="548">
        <v>0</v>
      </c>
      <c r="P378" s="547">
        <v>0</v>
      </c>
    </row>
    <row r="379" spans="4:16" x14ac:dyDescent="0.25">
      <c r="F379" s="176" t="s">
        <v>85</v>
      </c>
      <c r="G379" s="167"/>
      <c r="H379" s="167" t="s">
        <v>163</v>
      </c>
      <c r="I379" s="167"/>
      <c r="J379" s="547">
        <v>0.47599999999999998</v>
      </c>
      <c r="K379" s="547">
        <v>0</v>
      </c>
      <c r="L379" s="547">
        <v>0</v>
      </c>
      <c r="M379" s="548">
        <v>0</v>
      </c>
      <c r="N379" s="548">
        <v>0</v>
      </c>
      <c r="O379" s="548">
        <v>0</v>
      </c>
      <c r="P379" s="547">
        <v>0</v>
      </c>
    </row>
    <row r="380" spans="4:16" x14ac:dyDescent="0.25">
      <c r="F380" s="176" t="s">
        <v>56</v>
      </c>
      <c r="G380" s="167"/>
      <c r="H380" s="167" t="s">
        <v>163</v>
      </c>
      <c r="I380" s="167"/>
      <c r="J380" s="547">
        <v>1.0449999999999999</v>
      </c>
      <c r="K380" s="547">
        <v>0.314</v>
      </c>
      <c r="L380" s="547">
        <v>0</v>
      </c>
      <c r="M380" s="548">
        <v>19.809999999999999</v>
      </c>
      <c r="N380" s="548">
        <v>0</v>
      </c>
      <c r="O380" s="548">
        <v>0</v>
      </c>
      <c r="P380" s="547">
        <v>0</v>
      </c>
    </row>
    <row r="381" spans="4:16" x14ac:dyDescent="0.25">
      <c r="F381" s="176" t="s">
        <v>57</v>
      </c>
      <c r="G381" s="167"/>
      <c r="H381" s="167" t="s">
        <v>163</v>
      </c>
      <c r="I381" s="167"/>
      <c r="J381" s="553"/>
      <c r="K381" s="553"/>
      <c r="L381" s="553"/>
      <c r="M381" s="554"/>
      <c r="N381" s="554"/>
      <c r="O381" s="554"/>
      <c r="P381" s="553"/>
    </row>
    <row r="382" spans="4:16" x14ac:dyDescent="0.25">
      <c r="F382" s="176" t="s">
        <v>72</v>
      </c>
      <c r="G382" s="167"/>
      <c r="H382" s="167" t="s">
        <v>163</v>
      </c>
      <c r="I382" s="167"/>
      <c r="J382" s="553"/>
      <c r="K382" s="553"/>
      <c r="L382" s="553"/>
      <c r="M382" s="554"/>
      <c r="N382" s="554"/>
      <c r="O382" s="554"/>
      <c r="P382" s="553"/>
    </row>
    <row r="383" spans="4:16" x14ac:dyDescent="0.25">
      <c r="F383" s="176" t="s">
        <v>58</v>
      </c>
      <c r="G383" s="167"/>
      <c r="H383" s="167" t="s">
        <v>163</v>
      </c>
      <c r="I383" s="167"/>
      <c r="J383" s="547">
        <v>6.0419999999999998</v>
      </c>
      <c r="K383" s="547">
        <v>0.84599999999999997</v>
      </c>
      <c r="L383" s="547">
        <v>0.28299999999999997</v>
      </c>
      <c r="M383" s="548">
        <v>2.4</v>
      </c>
      <c r="N383" s="548">
        <v>0</v>
      </c>
      <c r="O383" s="548">
        <v>0</v>
      </c>
      <c r="P383" s="547">
        <v>0</v>
      </c>
    </row>
    <row r="384" spans="4:16" x14ac:dyDescent="0.25">
      <c r="F384" s="176" t="s">
        <v>59</v>
      </c>
      <c r="G384" s="167"/>
      <c r="H384" s="167" t="s">
        <v>163</v>
      </c>
      <c r="I384" s="167"/>
      <c r="J384" s="547">
        <v>6.3540000000000001</v>
      </c>
      <c r="K384" s="547">
        <v>0.879</v>
      </c>
      <c r="L384" s="547">
        <v>0.28499999999999998</v>
      </c>
      <c r="M384" s="548">
        <v>3.59</v>
      </c>
      <c r="N384" s="548">
        <v>0</v>
      </c>
      <c r="O384" s="548">
        <v>0</v>
      </c>
      <c r="P384" s="547">
        <v>0</v>
      </c>
    </row>
    <row r="385" spans="6:16" x14ac:dyDescent="0.25">
      <c r="F385" s="176" t="s">
        <v>60</v>
      </c>
      <c r="G385" s="167"/>
      <c r="H385" s="167" t="s">
        <v>163</v>
      </c>
      <c r="I385" s="167"/>
      <c r="J385" s="547">
        <v>4.33</v>
      </c>
      <c r="K385" s="547">
        <v>0.61299999999999999</v>
      </c>
      <c r="L385" s="547">
        <v>0.26800000000000002</v>
      </c>
      <c r="M385" s="548">
        <v>11.32</v>
      </c>
      <c r="N385" s="548">
        <v>1.67</v>
      </c>
      <c r="O385" s="548">
        <v>3.16</v>
      </c>
      <c r="P385" s="547">
        <v>0.14199999999999999</v>
      </c>
    </row>
    <row r="386" spans="6:16" x14ac:dyDescent="0.25">
      <c r="F386" s="176" t="s">
        <v>61</v>
      </c>
      <c r="G386" s="167"/>
      <c r="H386" s="167" t="s">
        <v>163</v>
      </c>
      <c r="I386" s="167"/>
      <c r="J386" s="553"/>
      <c r="K386" s="553"/>
      <c r="L386" s="553"/>
      <c r="M386" s="554"/>
      <c r="N386" s="554"/>
      <c r="O386" s="554"/>
      <c r="P386" s="553"/>
    </row>
    <row r="387" spans="6:16" x14ac:dyDescent="0.25">
      <c r="F387" s="176" t="s">
        <v>73</v>
      </c>
      <c r="G387" s="167"/>
      <c r="H387" s="167" t="s">
        <v>163</v>
      </c>
      <c r="I387" s="167"/>
      <c r="J387" s="553"/>
      <c r="K387" s="553"/>
      <c r="L387" s="553"/>
      <c r="M387" s="554"/>
      <c r="N387" s="554"/>
      <c r="O387" s="554"/>
      <c r="P387" s="553"/>
    </row>
    <row r="388" spans="6:16" x14ac:dyDescent="0.25">
      <c r="F388" s="176" t="s">
        <v>86</v>
      </c>
      <c r="G388" s="167"/>
      <c r="H388" s="167" t="s">
        <v>163</v>
      </c>
      <c r="I388" s="167"/>
      <c r="J388" s="547">
        <v>1.8120000000000001</v>
      </c>
      <c r="K388" s="547">
        <v>0</v>
      </c>
      <c r="L388" s="547">
        <v>0</v>
      </c>
      <c r="M388" s="548">
        <v>0</v>
      </c>
      <c r="N388" s="548">
        <v>0</v>
      </c>
      <c r="O388" s="548">
        <v>0</v>
      </c>
      <c r="P388" s="547">
        <v>0</v>
      </c>
    </row>
    <row r="389" spans="6:16" x14ac:dyDescent="0.25">
      <c r="F389" s="176" t="s">
        <v>87</v>
      </c>
      <c r="G389" s="167"/>
      <c r="H389" s="167" t="s">
        <v>163</v>
      </c>
      <c r="I389" s="167"/>
      <c r="J389" s="547">
        <v>1.8480000000000001</v>
      </c>
      <c r="K389" s="547">
        <v>0</v>
      </c>
      <c r="L389" s="547">
        <v>0</v>
      </c>
      <c r="M389" s="548">
        <v>0</v>
      </c>
      <c r="N389" s="548">
        <v>0</v>
      </c>
      <c r="O389" s="548">
        <v>0</v>
      </c>
      <c r="P389" s="547">
        <v>0</v>
      </c>
    </row>
    <row r="390" spans="6:16" x14ac:dyDescent="0.25">
      <c r="F390" s="176" t="s">
        <v>88</v>
      </c>
      <c r="G390" s="167"/>
      <c r="H390" s="167" t="s">
        <v>163</v>
      </c>
      <c r="I390" s="167"/>
      <c r="J390" s="547">
        <v>2.3650000000000002</v>
      </c>
      <c r="K390" s="547">
        <v>0</v>
      </c>
      <c r="L390" s="547">
        <v>0</v>
      </c>
      <c r="M390" s="548">
        <v>0</v>
      </c>
      <c r="N390" s="548">
        <v>0</v>
      </c>
      <c r="O390" s="548">
        <v>0</v>
      </c>
      <c r="P390" s="547">
        <v>0</v>
      </c>
    </row>
    <row r="391" spans="6:16" x14ac:dyDescent="0.25">
      <c r="F391" s="176" t="s">
        <v>89</v>
      </c>
      <c r="G391" s="167"/>
      <c r="H391" s="167" t="s">
        <v>163</v>
      </c>
      <c r="I391" s="167"/>
      <c r="J391" s="547">
        <v>1.821</v>
      </c>
      <c r="K391" s="547">
        <v>0</v>
      </c>
      <c r="L391" s="547">
        <v>0</v>
      </c>
      <c r="M391" s="548">
        <v>0</v>
      </c>
      <c r="N391" s="548">
        <v>0</v>
      </c>
      <c r="O391" s="548">
        <v>0</v>
      </c>
      <c r="P391" s="547">
        <v>0</v>
      </c>
    </row>
    <row r="392" spans="6:16" x14ac:dyDescent="0.25">
      <c r="F392" s="176" t="s">
        <v>90</v>
      </c>
      <c r="G392" s="167"/>
      <c r="H392" s="167" t="s">
        <v>163</v>
      </c>
      <c r="I392" s="167"/>
      <c r="J392" s="547">
        <v>9.5109999999999992</v>
      </c>
      <c r="K392" s="547">
        <v>1.7969999999999999</v>
      </c>
      <c r="L392" s="547">
        <v>1.2809999999999999</v>
      </c>
      <c r="M392" s="548">
        <v>0</v>
      </c>
      <c r="N392" s="548">
        <v>0</v>
      </c>
      <c r="O392" s="548">
        <v>0</v>
      </c>
      <c r="P392" s="547">
        <v>0</v>
      </c>
    </row>
    <row r="393" spans="6:16" x14ac:dyDescent="0.25">
      <c r="F393" s="176" t="s">
        <v>62</v>
      </c>
      <c r="G393" s="167"/>
      <c r="H393" s="167" t="s">
        <v>163</v>
      </c>
      <c r="I393" s="167"/>
      <c r="J393" s="547">
        <v>-0.84299999999999997</v>
      </c>
      <c r="K393" s="547">
        <v>0</v>
      </c>
      <c r="L393" s="547">
        <v>0</v>
      </c>
      <c r="M393" s="548">
        <v>0</v>
      </c>
      <c r="N393" s="548">
        <v>0</v>
      </c>
      <c r="O393" s="548">
        <v>0</v>
      </c>
      <c r="P393" s="547">
        <v>0</v>
      </c>
    </row>
    <row r="394" spans="6:16" x14ac:dyDescent="0.25">
      <c r="F394" s="176" t="s">
        <v>63</v>
      </c>
      <c r="G394" s="167"/>
      <c r="H394" s="167" t="s">
        <v>163</v>
      </c>
      <c r="I394" s="167"/>
      <c r="J394" s="553"/>
      <c r="K394" s="553"/>
      <c r="L394" s="553"/>
      <c r="M394" s="554"/>
      <c r="N394" s="554"/>
      <c r="O394" s="554"/>
      <c r="P394" s="553"/>
    </row>
    <row r="395" spans="6:16" x14ac:dyDescent="0.25">
      <c r="F395" s="176" t="s">
        <v>64</v>
      </c>
      <c r="G395" s="167"/>
      <c r="H395" s="167" t="s">
        <v>163</v>
      </c>
      <c r="I395" s="167"/>
      <c r="J395" s="547">
        <v>-0.84299999999999997</v>
      </c>
      <c r="K395" s="547">
        <v>0</v>
      </c>
      <c r="L395" s="547">
        <v>0</v>
      </c>
      <c r="M395" s="548">
        <v>0</v>
      </c>
      <c r="N395" s="548">
        <v>0</v>
      </c>
      <c r="O395" s="548">
        <v>0</v>
      </c>
      <c r="P395" s="547">
        <v>0.19700000000000001</v>
      </c>
    </row>
    <row r="396" spans="6:16" x14ac:dyDescent="0.25">
      <c r="F396" s="176" t="s">
        <v>65</v>
      </c>
      <c r="G396" s="167"/>
      <c r="H396" s="167" t="s">
        <v>163</v>
      </c>
      <c r="I396" s="167"/>
      <c r="J396" s="553"/>
      <c r="K396" s="553"/>
      <c r="L396" s="553"/>
      <c r="M396" s="554"/>
      <c r="N396" s="554"/>
      <c r="O396" s="554"/>
      <c r="P396" s="553"/>
    </row>
    <row r="397" spans="6:16" x14ac:dyDescent="0.25">
      <c r="F397" s="176" t="s">
        <v>66</v>
      </c>
      <c r="G397" s="167"/>
      <c r="H397" s="167" t="s">
        <v>163</v>
      </c>
      <c r="I397" s="167"/>
      <c r="J397" s="547">
        <v>-5.88</v>
      </c>
      <c r="K397" s="547">
        <v>-0.60699999999999998</v>
      </c>
      <c r="L397" s="547">
        <v>-3.5000000000000003E-2</v>
      </c>
      <c r="M397" s="548">
        <v>0</v>
      </c>
      <c r="N397" s="548">
        <v>0</v>
      </c>
      <c r="O397" s="548">
        <v>0</v>
      </c>
      <c r="P397" s="547">
        <v>0.19700000000000001</v>
      </c>
    </row>
    <row r="398" spans="6:16" x14ac:dyDescent="0.25">
      <c r="F398" s="176" t="s">
        <v>67</v>
      </c>
      <c r="G398" s="167"/>
      <c r="H398" s="167" t="s">
        <v>163</v>
      </c>
      <c r="I398" s="167"/>
      <c r="J398" s="553"/>
      <c r="K398" s="553"/>
      <c r="L398" s="553"/>
      <c r="M398" s="554"/>
      <c r="N398" s="554"/>
      <c r="O398" s="554"/>
      <c r="P398" s="553"/>
    </row>
    <row r="399" spans="6:16" x14ac:dyDescent="0.25">
      <c r="F399" s="176" t="s">
        <v>68</v>
      </c>
      <c r="G399" s="167"/>
      <c r="H399" s="167" t="s">
        <v>163</v>
      </c>
      <c r="I399" s="167"/>
      <c r="J399" s="553"/>
      <c r="K399" s="553"/>
      <c r="L399" s="553"/>
      <c r="M399" s="554"/>
      <c r="N399" s="554"/>
      <c r="O399" s="554"/>
      <c r="P399" s="553"/>
    </row>
    <row r="400" spans="6:16" x14ac:dyDescent="0.25">
      <c r="F400" s="176" t="s">
        <v>69</v>
      </c>
      <c r="G400" s="167"/>
      <c r="H400" s="167" t="s">
        <v>163</v>
      </c>
      <c r="I400" s="167"/>
      <c r="J400" s="553"/>
      <c r="K400" s="553"/>
      <c r="L400" s="553"/>
      <c r="M400" s="554"/>
      <c r="N400" s="554"/>
      <c r="O400" s="554"/>
      <c r="P400" s="553"/>
    </row>
    <row r="401" spans="4:19" x14ac:dyDescent="0.25">
      <c r="F401" s="176" t="s">
        <v>70</v>
      </c>
      <c r="G401" s="167"/>
      <c r="H401" s="167" t="s">
        <v>163</v>
      </c>
      <c r="I401" s="167"/>
      <c r="J401" s="553"/>
      <c r="K401" s="553"/>
      <c r="L401" s="553"/>
      <c r="M401" s="554"/>
      <c r="N401" s="554"/>
      <c r="O401" s="554"/>
      <c r="P401" s="553"/>
    </row>
    <row r="402" spans="4:19" x14ac:dyDescent="0.25">
      <c r="F402" s="176" t="s">
        <v>71</v>
      </c>
      <c r="G402" s="167"/>
      <c r="H402" s="167" t="s">
        <v>163</v>
      </c>
      <c r="I402" s="167"/>
      <c r="J402" s="553"/>
      <c r="K402" s="553"/>
      <c r="L402" s="553"/>
      <c r="M402" s="554"/>
      <c r="N402" s="554"/>
      <c r="O402" s="554"/>
      <c r="P402" s="553"/>
    </row>
    <row r="403" spans="4:19" x14ac:dyDescent="0.25">
      <c r="F403" s="176" t="s">
        <v>74</v>
      </c>
      <c r="G403" s="167"/>
      <c r="H403" s="167" t="s">
        <v>163</v>
      </c>
      <c r="I403" s="167"/>
      <c r="J403" s="553"/>
      <c r="K403" s="553"/>
      <c r="L403" s="553"/>
      <c r="M403" s="554"/>
      <c r="N403" s="554"/>
      <c r="O403" s="554"/>
      <c r="P403" s="553"/>
    </row>
    <row r="404" spans="4:19" x14ac:dyDescent="0.25">
      <c r="F404" s="176" t="s">
        <v>75</v>
      </c>
      <c r="G404" s="167"/>
      <c r="H404" s="167" t="s">
        <v>163</v>
      </c>
      <c r="I404" s="167"/>
      <c r="J404" s="553"/>
      <c r="K404" s="553"/>
      <c r="L404" s="553"/>
      <c r="M404" s="554"/>
      <c r="N404" s="554"/>
      <c r="O404" s="554"/>
      <c r="P404" s="553"/>
    </row>
    <row r="405" spans="4:19" x14ac:dyDescent="0.25">
      <c r="F405" s="176" t="s">
        <v>76</v>
      </c>
      <c r="G405" s="167"/>
      <c r="H405" s="167" t="s">
        <v>163</v>
      </c>
      <c r="I405" s="167"/>
      <c r="J405" s="553"/>
      <c r="K405" s="553"/>
      <c r="L405" s="553"/>
      <c r="M405" s="554"/>
      <c r="N405" s="554"/>
      <c r="O405" s="554"/>
      <c r="P405" s="553"/>
    </row>
    <row r="406" spans="4:19" x14ac:dyDescent="0.25">
      <c r="F406" s="177" t="s">
        <v>77</v>
      </c>
      <c r="G406" s="168"/>
      <c r="H406" s="168" t="s">
        <v>163</v>
      </c>
      <c r="I406" s="168"/>
      <c r="J406" s="555"/>
      <c r="K406" s="555"/>
      <c r="L406" s="555"/>
      <c r="M406" s="556"/>
      <c r="N406" s="556"/>
      <c r="O406" s="556"/>
      <c r="P406" s="555"/>
    </row>
    <row r="407" spans="4:19" x14ac:dyDescent="0.25">
      <c r="D407" s="338"/>
      <c r="E407" s="338"/>
      <c r="F407" s="338"/>
      <c r="G407" s="338"/>
      <c r="H407" s="338"/>
      <c r="I407" s="338"/>
      <c r="J407" s="557"/>
      <c r="K407" s="557"/>
      <c r="L407" s="557"/>
      <c r="M407" s="558"/>
      <c r="N407" s="558"/>
      <c r="O407" s="558"/>
      <c r="P407" s="557"/>
      <c r="Q407" s="338"/>
      <c r="R407" s="338"/>
      <c r="S407" s="338"/>
    </row>
    <row r="408" spans="4:19" x14ac:dyDescent="0.25">
      <c r="D408" s="172"/>
      <c r="E408" s="172" t="str">
        <f>"LDNO HV tariff forecast "&amp; 'ARP_User control'!G33</f>
        <v>LDNO HV tariff forecast 2022/23</v>
      </c>
      <c r="F408" s="338"/>
      <c r="G408" s="338"/>
      <c r="H408" s="338"/>
      <c r="I408" s="338"/>
      <c r="J408" s="557"/>
      <c r="K408" s="557"/>
      <c r="L408" s="557"/>
      <c r="M408" s="558"/>
      <c r="N408" s="558"/>
      <c r="O408" s="558"/>
      <c r="P408" s="557"/>
      <c r="Q408" s="338"/>
      <c r="R408" s="338"/>
      <c r="S408" s="338"/>
    </row>
    <row r="409" spans="4:19" x14ac:dyDescent="0.25">
      <c r="F409" s="180" t="s">
        <v>52</v>
      </c>
      <c r="G409" s="166"/>
      <c r="H409" s="166" t="s">
        <v>164</v>
      </c>
      <c r="I409" s="166"/>
      <c r="J409" s="545">
        <v>0.90200000000000002</v>
      </c>
      <c r="K409" s="545">
        <v>0</v>
      </c>
      <c r="L409" s="545">
        <v>0</v>
      </c>
      <c r="M409" s="546">
        <v>1.6</v>
      </c>
      <c r="N409" s="546">
        <v>0</v>
      </c>
      <c r="O409" s="546">
        <v>0</v>
      </c>
      <c r="P409" s="545">
        <v>0</v>
      </c>
    </row>
    <row r="410" spans="4:19" x14ac:dyDescent="0.25">
      <c r="F410" s="176" t="s">
        <v>53</v>
      </c>
      <c r="G410" s="167"/>
      <c r="H410" s="167" t="s">
        <v>164</v>
      </c>
      <c r="I410" s="167"/>
      <c r="J410" s="547">
        <v>1.103</v>
      </c>
      <c r="K410" s="547">
        <v>0.21299999999999999</v>
      </c>
      <c r="L410" s="547">
        <v>0</v>
      </c>
      <c r="M410" s="548">
        <v>1.6</v>
      </c>
      <c r="N410" s="548">
        <v>0</v>
      </c>
      <c r="O410" s="548">
        <v>0</v>
      </c>
      <c r="P410" s="547">
        <v>0</v>
      </c>
    </row>
    <row r="411" spans="4:19" x14ac:dyDescent="0.25">
      <c r="F411" s="176" t="s">
        <v>84</v>
      </c>
      <c r="G411" s="167"/>
      <c r="H411" s="167" t="s">
        <v>164</v>
      </c>
      <c r="I411" s="167"/>
      <c r="J411" s="547">
        <v>0.25800000000000001</v>
      </c>
      <c r="K411" s="547">
        <v>0</v>
      </c>
      <c r="L411" s="547">
        <v>0</v>
      </c>
      <c r="M411" s="548">
        <v>0</v>
      </c>
      <c r="N411" s="548">
        <v>0</v>
      </c>
      <c r="O411" s="548">
        <v>0</v>
      </c>
      <c r="P411" s="547">
        <v>0</v>
      </c>
    </row>
    <row r="412" spans="4:19" x14ac:dyDescent="0.25">
      <c r="F412" s="176" t="s">
        <v>54</v>
      </c>
      <c r="G412" s="167"/>
      <c r="H412" s="167" t="s">
        <v>164</v>
      </c>
      <c r="I412" s="167"/>
      <c r="J412" s="547">
        <v>0.82899999999999996</v>
      </c>
      <c r="K412" s="547">
        <v>0</v>
      </c>
      <c r="L412" s="547">
        <v>0</v>
      </c>
      <c r="M412" s="548">
        <v>2.39</v>
      </c>
      <c r="N412" s="548">
        <v>0</v>
      </c>
      <c r="O412" s="548">
        <v>0</v>
      </c>
      <c r="P412" s="547">
        <v>0</v>
      </c>
    </row>
    <row r="413" spans="4:19" x14ac:dyDescent="0.25">
      <c r="F413" s="176" t="s">
        <v>55</v>
      </c>
      <c r="G413" s="167"/>
      <c r="H413" s="167" t="s">
        <v>164</v>
      </c>
      <c r="I413" s="167"/>
      <c r="J413" s="547">
        <v>1.202</v>
      </c>
      <c r="K413" s="547">
        <v>0.28299999999999997</v>
      </c>
      <c r="L413" s="547">
        <v>0</v>
      </c>
      <c r="M413" s="548">
        <v>2.39</v>
      </c>
      <c r="N413" s="548">
        <v>0</v>
      </c>
      <c r="O413" s="548">
        <v>0</v>
      </c>
      <c r="P413" s="547">
        <v>0</v>
      </c>
    </row>
    <row r="414" spans="4:19" x14ac:dyDescent="0.25">
      <c r="F414" s="176" t="s">
        <v>85</v>
      </c>
      <c r="G414" s="167"/>
      <c r="H414" s="167" t="s">
        <v>164</v>
      </c>
      <c r="I414" s="167"/>
      <c r="J414" s="547">
        <v>0.317</v>
      </c>
      <c r="K414" s="547">
        <v>0</v>
      </c>
      <c r="L414" s="547">
        <v>0</v>
      </c>
      <c r="M414" s="548">
        <v>0</v>
      </c>
      <c r="N414" s="548">
        <v>0</v>
      </c>
      <c r="O414" s="548">
        <v>0</v>
      </c>
      <c r="P414" s="547">
        <v>0</v>
      </c>
    </row>
    <row r="415" spans="4:19" x14ac:dyDescent="0.25">
      <c r="F415" s="176" t="s">
        <v>56</v>
      </c>
      <c r="G415" s="167"/>
      <c r="H415" s="167" t="s">
        <v>164</v>
      </c>
      <c r="I415" s="167"/>
      <c r="J415" s="547">
        <v>0.69499999999999995</v>
      </c>
      <c r="K415" s="547">
        <v>0.20899999999999999</v>
      </c>
      <c r="L415" s="547">
        <v>0</v>
      </c>
      <c r="M415" s="548">
        <v>13.18</v>
      </c>
      <c r="N415" s="548">
        <v>0</v>
      </c>
      <c r="O415" s="548">
        <v>0</v>
      </c>
      <c r="P415" s="547">
        <v>0</v>
      </c>
    </row>
    <row r="416" spans="4:19" x14ac:dyDescent="0.25">
      <c r="F416" s="176" t="s">
        <v>57</v>
      </c>
      <c r="G416" s="167"/>
      <c r="H416" s="167" t="s">
        <v>164</v>
      </c>
      <c r="I416" s="167"/>
      <c r="J416" s="553"/>
      <c r="K416" s="553"/>
      <c r="L416" s="553"/>
      <c r="M416" s="554"/>
      <c r="N416" s="554"/>
      <c r="O416" s="554"/>
      <c r="P416" s="553"/>
    </row>
    <row r="417" spans="6:16" x14ac:dyDescent="0.25">
      <c r="F417" s="176" t="s">
        <v>72</v>
      </c>
      <c r="G417" s="167"/>
      <c r="H417" s="167" t="s">
        <v>164</v>
      </c>
      <c r="I417" s="167"/>
      <c r="J417" s="553"/>
      <c r="K417" s="553"/>
      <c r="L417" s="553"/>
      <c r="M417" s="554"/>
      <c r="N417" s="554"/>
      <c r="O417" s="554"/>
      <c r="P417" s="553"/>
    </row>
    <row r="418" spans="6:16" x14ac:dyDescent="0.25">
      <c r="F418" s="176" t="s">
        <v>58</v>
      </c>
      <c r="G418" s="167"/>
      <c r="H418" s="167" t="s">
        <v>164</v>
      </c>
      <c r="I418" s="167"/>
      <c r="J418" s="547">
        <v>4.0199999999999996</v>
      </c>
      <c r="K418" s="547">
        <v>0.56299999999999994</v>
      </c>
      <c r="L418" s="547">
        <v>0.188</v>
      </c>
      <c r="M418" s="548">
        <v>1.6</v>
      </c>
      <c r="N418" s="548">
        <v>0</v>
      </c>
      <c r="O418" s="548">
        <v>0</v>
      </c>
      <c r="P418" s="547">
        <v>0</v>
      </c>
    </row>
    <row r="419" spans="6:16" x14ac:dyDescent="0.25">
      <c r="F419" s="176" t="s">
        <v>59</v>
      </c>
      <c r="G419" s="167"/>
      <c r="H419" s="167" t="s">
        <v>164</v>
      </c>
      <c r="I419" s="167"/>
      <c r="J419" s="547">
        <v>4.2270000000000003</v>
      </c>
      <c r="K419" s="547">
        <v>0.58499999999999996</v>
      </c>
      <c r="L419" s="547">
        <v>0.19</v>
      </c>
      <c r="M419" s="548">
        <v>2.39</v>
      </c>
      <c r="N419" s="548">
        <v>0</v>
      </c>
      <c r="O419" s="548">
        <v>0</v>
      </c>
      <c r="P419" s="547">
        <v>0</v>
      </c>
    </row>
    <row r="420" spans="6:16" x14ac:dyDescent="0.25">
      <c r="F420" s="176" t="s">
        <v>60</v>
      </c>
      <c r="G420" s="167"/>
      <c r="H420" s="167" t="s">
        <v>164</v>
      </c>
      <c r="I420" s="167"/>
      <c r="J420" s="547">
        <v>2.8809999999999998</v>
      </c>
      <c r="K420" s="547">
        <v>0.40799999999999997</v>
      </c>
      <c r="L420" s="547">
        <v>0.17799999999999999</v>
      </c>
      <c r="M420" s="548">
        <v>7.53</v>
      </c>
      <c r="N420" s="548">
        <v>1.1100000000000001</v>
      </c>
      <c r="O420" s="548">
        <v>2.11</v>
      </c>
      <c r="P420" s="547">
        <v>9.4E-2</v>
      </c>
    </row>
    <row r="421" spans="6:16" x14ac:dyDescent="0.25">
      <c r="F421" s="176" t="s">
        <v>61</v>
      </c>
      <c r="G421" s="167"/>
      <c r="H421" s="167" t="s">
        <v>164</v>
      </c>
      <c r="I421" s="167"/>
      <c r="J421" s="547">
        <v>3.59</v>
      </c>
      <c r="K421" s="547">
        <v>0.46200000000000002</v>
      </c>
      <c r="L421" s="547">
        <v>0.27100000000000002</v>
      </c>
      <c r="M421" s="548">
        <v>18.78</v>
      </c>
      <c r="N421" s="548">
        <v>3.14</v>
      </c>
      <c r="O421" s="548">
        <v>4.24</v>
      </c>
      <c r="P421" s="547">
        <v>9.6000000000000002E-2</v>
      </c>
    </row>
    <row r="422" spans="6:16" x14ac:dyDescent="0.25">
      <c r="F422" s="176" t="s">
        <v>73</v>
      </c>
      <c r="G422" s="167"/>
      <c r="H422" s="167" t="s">
        <v>164</v>
      </c>
      <c r="I422" s="167"/>
      <c r="J422" s="547">
        <v>3.0390000000000001</v>
      </c>
      <c r="K422" s="547">
        <v>0.44</v>
      </c>
      <c r="L422" s="547">
        <v>0.307</v>
      </c>
      <c r="M422" s="548">
        <v>122.89</v>
      </c>
      <c r="N422" s="548">
        <v>4.45</v>
      </c>
      <c r="O422" s="548">
        <v>5.52</v>
      </c>
      <c r="P422" s="547">
        <v>7.1999999999999995E-2</v>
      </c>
    </row>
    <row r="423" spans="6:16" x14ac:dyDescent="0.25">
      <c r="F423" s="176" t="s">
        <v>86</v>
      </c>
      <c r="G423" s="167"/>
      <c r="H423" s="167" t="s">
        <v>164</v>
      </c>
      <c r="I423" s="167"/>
      <c r="J423" s="547">
        <v>1.206</v>
      </c>
      <c r="K423" s="547">
        <v>0</v>
      </c>
      <c r="L423" s="547">
        <v>0</v>
      </c>
      <c r="M423" s="548">
        <v>0</v>
      </c>
      <c r="N423" s="548">
        <v>0</v>
      </c>
      <c r="O423" s="548">
        <v>0</v>
      </c>
      <c r="P423" s="547">
        <v>0</v>
      </c>
    </row>
    <row r="424" spans="6:16" x14ac:dyDescent="0.25">
      <c r="F424" s="176" t="s">
        <v>87</v>
      </c>
      <c r="G424" s="167"/>
      <c r="H424" s="167" t="s">
        <v>164</v>
      </c>
      <c r="I424" s="167"/>
      <c r="J424" s="547">
        <v>1.23</v>
      </c>
      <c r="K424" s="547">
        <v>0</v>
      </c>
      <c r="L424" s="547">
        <v>0</v>
      </c>
      <c r="M424" s="548">
        <v>0</v>
      </c>
      <c r="N424" s="548">
        <v>0</v>
      </c>
      <c r="O424" s="548">
        <v>0</v>
      </c>
      <c r="P424" s="547">
        <v>0</v>
      </c>
    </row>
    <row r="425" spans="6:16" x14ac:dyDescent="0.25">
      <c r="F425" s="176" t="s">
        <v>88</v>
      </c>
      <c r="G425" s="167"/>
      <c r="H425" s="167" t="s">
        <v>164</v>
      </c>
      <c r="I425" s="167"/>
      <c r="J425" s="547">
        <v>1.5740000000000001</v>
      </c>
      <c r="K425" s="547">
        <v>0</v>
      </c>
      <c r="L425" s="547">
        <v>0</v>
      </c>
      <c r="M425" s="548">
        <v>0</v>
      </c>
      <c r="N425" s="548">
        <v>0</v>
      </c>
      <c r="O425" s="548">
        <v>0</v>
      </c>
      <c r="P425" s="547">
        <v>0</v>
      </c>
    </row>
    <row r="426" spans="6:16" x14ac:dyDescent="0.25">
      <c r="F426" s="176" t="s">
        <v>89</v>
      </c>
      <c r="G426" s="167"/>
      <c r="H426" s="167" t="s">
        <v>164</v>
      </c>
      <c r="I426" s="167"/>
      <c r="J426" s="547">
        <v>1.2110000000000001</v>
      </c>
      <c r="K426" s="547">
        <v>0</v>
      </c>
      <c r="L426" s="547">
        <v>0</v>
      </c>
      <c r="M426" s="548">
        <v>0</v>
      </c>
      <c r="N426" s="548">
        <v>0</v>
      </c>
      <c r="O426" s="548">
        <v>0</v>
      </c>
      <c r="P426" s="547">
        <v>0</v>
      </c>
    </row>
    <row r="427" spans="6:16" x14ac:dyDescent="0.25">
      <c r="F427" s="176" t="s">
        <v>90</v>
      </c>
      <c r="G427" s="167"/>
      <c r="H427" s="167" t="s">
        <v>164</v>
      </c>
      <c r="I427" s="167"/>
      <c r="J427" s="547">
        <v>6.3280000000000003</v>
      </c>
      <c r="K427" s="547">
        <v>1.196</v>
      </c>
      <c r="L427" s="547">
        <v>0.85199999999999998</v>
      </c>
      <c r="M427" s="548">
        <v>0</v>
      </c>
      <c r="N427" s="548">
        <v>0</v>
      </c>
      <c r="O427" s="548">
        <v>0</v>
      </c>
      <c r="P427" s="547">
        <v>0</v>
      </c>
    </row>
    <row r="428" spans="6:16" x14ac:dyDescent="0.25">
      <c r="F428" s="176" t="s">
        <v>62</v>
      </c>
      <c r="G428" s="167"/>
      <c r="H428" s="167" t="s">
        <v>164</v>
      </c>
      <c r="I428" s="167"/>
      <c r="J428" s="547">
        <v>-0.84299999999999997</v>
      </c>
      <c r="K428" s="547">
        <v>0</v>
      </c>
      <c r="L428" s="547">
        <v>0</v>
      </c>
      <c r="M428" s="548">
        <v>0</v>
      </c>
      <c r="N428" s="548">
        <v>0</v>
      </c>
      <c r="O428" s="548">
        <v>0</v>
      </c>
      <c r="P428" s="547">
        <v>0</v>
      </c>
    </row>
    <row r="429" spans="6:16" x14ac:dyDescent="0.25">
      <c r="F429" s="176" t="s">
        <v>63</v>
      </c>
      <c r="G429" s="167"/>
      <c r="H429" s="167" t="s">
        <v>164</v>
      </c>
      <c r="I429" s="167"/>
      <c r="J429" s="547">
        <v>-0.73799999999999999</v>
      </c>
      <c r="K429" s="547">
        <v>0</v>
      </c>
      <c r="L429" s="547">
        <v>0</v>
      </c>
      <c r="M429" s="548">
        <v>0</v>
      </c>
      <c r="N429" s="548">
        <v>0</v>
      </c>
      <c r="O429" s="548">
        <v>0</v>
      </c>
      <c r="P429" s="547">
        <v>0</v>
      </c>
    </row>
    <row r="430" spans="6:16" x14ac:dyDescent="0.25">
      <c r="F430" s="176" t="s">
        <v>64</v>
      </c>
      <c r="G430" s="167"/>
      <c r="H430" s="167" t="s">
        <v>164</v>
      </c>
      <c r="I430" s="167"/>
      <c r="J430" s="547">
        <v>-0.84299999999999997</v>
      </c>
      <c r="K430" s="547">
        <v>0</v>
      </c>
      <c r="L430" s="547">
        <v>0</v>
      </c>
      <c r="M430" s="548">
        <v>0</v>
      </c>
      <c r="N430" s="548">
        <v>0</v>
      </c>
      <c r="O430" s="548">
        <v>0</v>
      </c>
      <c r="P430" s="547">
        <v>0.19700000000000001</v>
      </c>
    </row>
    <row r="431" spans="6:16" x14ac:dyDescent="0.25">
      <c r="F431" s="176" t="s">
        <v>65</v>
      </c>
      <c r="G431" s="167"/>
      <c r="H431" s="167" t="s">
        <v>164</v>
      </c>
      <c r="I431" s="167"/>
      <c r="J431" s="553"/>
      <c r="K431" s="553"/>
      <c r="L431" s="553"/>
      <c r="M431" s="554"/>
      <c r="N431" s="554"/>
      <c r="O431" s="554"/>
      <c r="P431" s="553"/>
    </row>
    <row r="432" spans="6:16" x14ac:dyDescent="0.25">
      <c r="F432" s="176" t="s">
        <v>66</v>
      </c>
      <c r="G432" s="167"/>
      <c r="H432" s="167" t="s">
        <v>164</v>
      </c>
      <c r="I432" s="167"/>
      <c r="J432" s="547">
        <v>-5.88</v>
      </c>
      <c r="K432" s="547">
        <v>-0.60699999999999998</v>
      </c>
      <c r="L432" s="547">
        <v>-3.5000000000000003E-2</v>
      </c>
      <c r="M432" s="548">
        <v>0</v>
      </c>
      <c r="N432" s="548">
        <v>0</v>
      </c>
      <c r="O432" s="548">
        <v>0</v>
      </c>
      <c r="P432" s="547">
        <v>0.19700000000000001</v>
      </c>
    </row>
    <row r="433" spans="3:19" x14ac:dyDescent="0.25">
      <c r="F433" s="176" t="s">
        <v>67</v>
      </c>
      <c r="G433" s="167"/>
      <c r="H433" s="167" t="s">
        <v>164</v>
      </c>
      <c r="I433" s="167"/>
      <c r="J433" s="553"/>
      <c r="K433" s="553"/>
      <c r="L433" s="553"/>
      <c r="M433" s="554"/>
      <c r="N433" s="554"/>
      <c r="O433" s="554"/>
      <c r="P433" s="553"/>
    </row>
    <row r="434" spans="3:19" x14ac:dyDescent="0.25">
      <c r="F434" s="176" t="s">
        <v>68</v>
      </c>
      <c r="G434" s="167"/>
      <c r="H434" s="167" t="s">
        <v>164</v>
      </c>
      <c r="I434" s="167"/>
      <c r="J434" s="547">
        <v>-0.73799999999999999</v>
      </c>
      <c r="K434" s="547">
        <v>0</v>
      </c>
      <c r="L434" s="547">
        <v>0</v>
      </c>
      <c r="M434" s="548">
        <v>0</v>
      </c>
      <c r="N434" s="548">
        <v>0</v>
      </c>
      <c r="O434" s="548">
        <v>0</v>
      </c>
      <c r="P434" s="547">
        <v>0.17699999999999999</v>
      </c>
    </row>
    <row r="435" spans="3:19" x14ac:dyDescent="0.25">
      <c r="F435" s="176" t="s">
        <v>69</v>
      </c>
      <c r="G435" s="167"/>
      <c r="H435" s="167" t="s">
        <v>164</v>
      </c>
      <c r="I435" s="167"/>
      <c r="J435" s="553"/>
      <c r="K435" s="553"/>
      <c r="L435" s="553"/>
      <c r="M435" s="554"/>
      <c r="N435" s="554"/>
      <c r="O435" s="554"/>
      <c r="P435" s="553"/>
    </row>
    <row r="436" spans="3:19" x14ac:dyDescent="0.25">
      <c r="F436" s="176" t="s">
        <v>70</v>
      </c>
      <c r="G436" s="167"/>
      <c r="H436" s="167" t="s">
        <v>164</v>
      </c>
      <c r="I436" s="167"/>
      <c r="J436" s="547">
        <v>-5.3040000000000003</v>
      </c>
      <c r="K436" s="547">
        <v>-0.505</v>
      </c>
      <c r="L436" s="547">
        <v>-2.8000000000000001E-2</v>
      </c>
      <c r="M436" s="548">
        <v>0</v>
      </c>
      <c r="N436" s="548">
        <v>0</v>
      </c>
      <c r="O436" s="548">
        <v>0</v>
      </c>
      <c r="P436" s="547">
        <v>0.17699999999999999</v>
      </c>
    </row>
    <row r="437" spans="3:19" x14ac:dyDescent="0.25">
      <c r="F437" s="176" t="s">
        <v>71</v>
      </c>
      <c r="G437" s="167"/>
      <c r="H437" s="167" t="s">
        <v>164</v>
      </c>
      <c r="I437" s="167"/>
      <c r="J437" s="553"/>
      <c r="K437" s="553"/>
      <c r="L437" s="553"/>
      <c r="M437" s="554"/>
      <c r="N437" s="554"/>
      <c r="O437" s="554"/>
      <c r="P437" s="553"/>
    </row>
    <row r="438" spans="3:19" x14ac:dyDescent="0.25">
      <c r="F438" s="176" t="s">
        <v>74</v>
      </c>
      <c r="G438" s="167"/>
      <c r="H438" s="167" t="s">
        <v>164</v>
      </c>
      <c r="I438" s="167"/>
      <c r="J438" s="547">
        <v>-0.48899999999999999</v>
      </c>
      <c r="K438" s="547">
        <v>0</v>
      </c>
      <c r="L438" s="547">
        <v>0</v>
      </c>
      <c r="M438" s="548">
        <v>0</v>
      </c>
      <c r="N438" s="548">
        <v>0</v>
      </c>
      <c r="O438" s="548">
        <v>0</v>
      </c>
      <c r="P438" s="547">
        <v>0.156</v>
      </c>
    </row>
    <row r="439" spans="3:19" x14ac:dyDescent="0.25">
      <c r="F439" s="176" t="s">
        <v>75</v>
      </c>
      <c r="G439" s="167"/>
      <c r="H439" s="167" t="s">
        <v>164</v>
      </c>
      <c r="I439" s="167"/>
      <c r="J439" s="553"/>
      <c r="K439" s="553"/>
      <c r="L439" s="553"/>
      <c r="M439" s="554"/>
      <c r="N439" s="554"/>
      <c r="O439" s="554"/>
      <c r="P439" s="553"/>
    </row>
    <row r="440" spans="3:19" x14ac:dyDescent="0.25">
      <c r="F440" s="176" t="s">
        <v>76</v>
      </c>
      <c r="G440" s="167"/>
      <c r="H440" s="167" t="s">
        <v>164</v>
      </c>
      <c r="I440" s="167"/>
      <c r="J440" s="547">
        <v>-4.077</v>
      </c>
      <c r="K440" s="547">
        <v>-0.24099999999999999</v>
      </c>
      <c r="L440" s="547">
        <v>-8.9999999999999993E-3</v>
      </c>
      <c r="M440" s="548">
        <v>0</v>
      </c>
      <c r="N440" s="548">
        <v>0</v>
      </c>
      <c r="O440" s="548">
        <v>0</v>
      </c>
      <c r="P440" s="547">
        <v>0.156</v>
      </c>
    </row>
    <row r="441" spans="3:19" x14ac:dyDescent="0.25">
      <c r="F441" s="177" t="s">
        <v>77</v>
      </c>
      <c r="G441" s="168"/>
      <c r="H441" s="168" t="s">
        <v>164</v>
      </c>
      <c r="I441" s="168"/>
      <c r="J441" s="555"/>
      <c r="K441" s="555"/>
      <c r="L441" s="555"/>
      <c r="M441" s="556"/>
      <c r="N441" s="556"/>
      <c r="O441" s="556"/>
      <c r="P441" s="555"/>
    </row>
    <row r="442" spans="3:19" x14ac:dyDescent="0.25">
      <c r="D442" s="172"/>
      <c r="E442" s="172"/>
      <c r="F442" s="172"/>
      <c r="G442" s="172"/>
      <c r="H442" s="172"/>
      <c r="I442" s="172"/>
      <c r="J442" s="172"/>
      <c r="K442" s="172"/>
      <c r="L442" s="172"/>
      <c r="M442" s="370"/>
      <c r="N442" s="370"/>
      <c r="O442" s="370"/>
      <c r="P442" s="172"/>
      <c r="Q442" s="172"/>
      <c r="R442" s="172"/>
      <c r="S442" s="172"/>
    </row>
    <row r="443" spans="3:19" s="338" customFormat="1" x14ac:dyDescent="0.25">
      <c r="C443" s="22" t="str">
        <f ca="1">INDEX('Version control'!$H$34:$H$59,MATCH($A$1,'Version control'!$F$34:$F$59,0),1)&amp;"-E: Tariff results for charging year " &amp; 'ARP_User control'!G34</f>
        <v>Output 501-E: Tariff results for charging year 2023/24</v>
      </c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</row>
    <row r="444" spans="3:19" x14ac:dyDescent="0.25">
      <c r="D444" s="160"/>
      <c r="E444" s="338"/>
      <c r="F444" s="338"/>
      <c r="J444" s="200"/>
      <c r="K444" s="200"/>
      <c r="L444" s="200"/>
      <c r="M444" s="368"/>
      <c r="N444" s="368"/>
      <c r="O444" s="368"/>
      <c r="P444" s="200"/>
    </row>
    <row r="445" spans="3:19" x14ac:dyDescent="0.25">
      <c r="D445" s="172"/>
      <c r="E445" s="172" t="str">
        <f>"All the way tariff forecast "&amp; 'ARP_User control'!G34</f>
        <v>All the way tariff forecast 2023/24</v>
      </c>
      <c r="F445" s="338"/>
      <c r="J445" s="200"/>
      <c r="K445" s="200"/>
      <c r="L445" s="200"/>
      <c r="M445" s="368"/>
      <c r="N445" s="368"/>
      <c r="O445" s="368"/>
      <c r="P445" s="200"/>
    </row>
    <row r="446" spans="3:19" x14ac:dyDescent="0.25">
      <c r="F446" s="180" t="s">
        <v>52</v>
      </c>
      <c r="G446" s="166"/>
      <c r="H446" s="166" t="s">
        <v>391</v>
      </c>
      <c r="I446" s="166"/>
      <c r="J446" s="545">
        <v>2.367</v>
      </c>
      <c r="K446" s="545">
        <v>0</v>
      </c>
      <c r="L446" s="545">
        <v>0</v>
      </c>
      <c r="M446" s="546">
        <v>3.76</v>
      </c>
      <c r="N446" s="546">
        <v>0</v>
      </c>
      <c r="O446" s="546">
        <v>0</v>
      </c>
      <c r="P446" s="545">
        <v>0</v>
      </c>
    </row>
    <row r="447" spans="3:19" x14ac:dyDescent="0.25">
      <c r="F447" s="176" t="s">
        <v>53</v>
      </c>
      <c r="G447" s="167"/>
      <c r="H447" s="167" t="s">
        <v>391</v>
      </c>
      <c r="I447" s="167"/>
      <c r="J447" s="547">
        <v>2.8340000000000001</v>
      </c>
      <c r="K447" s="547">
        <v>0.73599999999999999</v>
      </c>
      <c r="L447" s="547">
        <v>0</v>
      </c>
      <c r="M447" s="548">
        <v>3.76</v>
      </c>
      <c r="N447" s="548">
        <v>0</v>
      </c>
      <c r="O447" s="548">
        <v>0</v>
      </c>
      <c r="P447" s="547">
        <v>0</v>
      </c>
    </row>
    <row r="448" spans="3:19" x14ac:dyDescent="0.25">
      <c r="F448" s="176" t="s">
        <v>84</v>
      </c>
      <c r="G448" s="167"/>
      <c r="H448" s="167" t="s">
        <v>391</v>
      </c>
      <c r="I448" s="167"/>
      <c r="J448" s="547">
        <v>0.84299999999999997</v>
      </c>
      <c r="K448" s="547">
        <v>0</v>
      </c>
      <c r="L448" s="547">
        <v>0</v>
      </c>
      <c r="M448" s="548">
        <v>0</v>
      </c>
      <c r="N448" s="548">
        <v>0</v>
      </c>
      <c r="O448" s="548">
        <v>0</v>
      </c>
      <c r="P448" s="547">
        <v>0</v>
      </c>
    </row>
    <row r="449" spans="6:16" x14ac:dyDescent="0.25">
      <c r="F449" s="176" t="s">
        <v>54</v>
      </c>
      <c r="G449" s="167"/>
      <c r="H449" s="167" t="s">
        <v>391</v>
      </c>
      <c r="I449" s="167"/>
      <c r="J449" s="547">
        <v>2.1920000000000002</v>
      </c>
      <c r="K449" s="547">
        <v>0</v>
      </c>
      <c r="L449" s="547">
        <v>0</v>
      </c>
      <c r="M449" s="548">
        <v>5.65</v>
      </c>
      <c r="N449" s="548">
        <v>0</v>
      </c>
      <c r="O449" s="548">
        <v>0</v>
      </c>
      <c r="P449" s="547">
        <v>0</v>
      </c>
    </row>
    <row r="450" spans="6:16" x14ac:dyDescent="0.25">
      <c r="F450" s="176" t="s">
        <v>55</v>
      </c>
      <c r="G450" s="167"/>
      <c r="H450" s="167" t="s">
        <v>391</v>
      </c>
      <c r="I450" s="167"/>
      <c r="J450" s="547">
        <v>3.0739999999999998</v>
      </c>
      <c r="K450" s="547">
        <v>0.9</v>
      </c>
      <c r="L450" s="547">
        <v>0</v>
      </c>
      <c r="M450" s="548">
        <v>5.65</v>
      </c>
      <c r="N450" s="548">
        <v>0</v>
      </c>
      <c r="O450" s="548">
        <v>0</v>
      </c>
      <c r="P450" s="547">
        <v>0</v>
      </c>
    </row>
    <row r="451" spans="6:16" x14ac:dyDescent="0.25">
      <c r="F451" s="176" t="s">
        <v>85</v>
      </c>
      <c r="G451" s="167"/>
      <c r="H451" s="167" t="s">
        <v>391</v>
      </c>
      <c r="I451" s="167"/>
      <c r="J451" s="547">
        <v>0.98399999999999999</v>
      </c>
      <c r="K451" s="547">
        <v>0</v>
      </c>
      <c r="L451" s="547">
        <v>0</v>
      </c>
      <c r="M451" s="548">
        <v>0</v>
      </c>
      <c r="N451" s="548">
        <v>0</v>
      </c>
      <c r="O451" s="548">
        <v>0</v>
      </c>
      <c r="P451" s="547">
        <v>0</v>
      </c>
    </row>
    <row r="452" spans="6:16" x14ac:dyDescent="0.25">
      <c r="F452" s="176" t="s">
        <v>56</v>
      </c>
      <c r="G452" s="167"/>
      <c r="H452" s="167" t="s">
        <v>391</v>
      </c>
      <c r="I452" s="167"/>
      <c r="J452" s="547">
        <v>1.877</v>
      </c>
      <c r="K452" s="547">
        <v>0.72599999999999998</v>
      </c>
      <c r="L452" s="547">
        <v>0</v>
      </c>
      <c r="M452" s="548">
        <v>31.01</v>
      </c>
      <c r="N452" s="548">
        <v>0</v>
      </c>
      <c r="O452" s="548">
        <v>0</v>
      </c>
      <c r="P452" s="547">
        <v>0</v>
      </c>
    </row>
    <row r="453" spans="6:16" x14ac:dyDescent="0.25">
      <c r="F453" s="176" t="s">
        <v>57</v>
      </c>
      <c r="G453" s="167"/>
      <c r="H453" s="167" t="s">
        <v>391</v>
      </c>
      <c r="I453" s="167"/>
      <c r="J453" s="547">
        <v>1.6559999999999999</v>
      </c>
      <c r="K453" s="547">
        <v>0.70399999999999996</v>
      </c>
      <c r="L453" s="547">
        <v>0</v>
      </c>
      <c r="M453" s="548">
        <v>27.88</v>
      </c>
      <c r="N453" s="548">
        <v>0</v>
      </c>
      <c r="O453" s="548">
        <v>0</v>
      </c>
      <c r="P453" s="547">
        <v>0</v>
      </c>
    </row>
    <row r="454" spans="6:16" x14ac:dyDescent="0.25">
      <c r="F454" s="176" t="s">
        <v>72</v>
      </c>
      <c r="G454" s="167"/>
      <c r="H454" s="167" t="s">
        <v>391</v>
      </c>
      <c r="I454" s="167"/>
      <c r="J454" s="547">
        <v>1.198</v>
      </c>
      <c r="K454" s="547">
        <v>0.65900000000000003</v>
      </c>
      <c r="L454" s="547">
        <v>0</v>
      </c>
      <c r="M454" s="548">
        <v>314.27</v>
      </c>
      <c r="N454" s="548">
        <v>0</v>
      </c>
      <c r="O454" s="548">
        <v>0</v>
      </c>
      <c r="P454" s="547">
        <v>0</v>
      </c>
    </row>
    <row r="455" spans="6:16" x14ac:dyDescent="0.25">
      <c r="F455" s="176" t="s">
        <v>58</v>
      </c>
      <c r="G455" s="167"/>
      <c r="H455" s="167" t="s">
        <v>391</v>
      </c>
      <c r="I455" s="167"/>
      <c r="J455" s="547">
        <v>9.7629999999999999</v>
      </c>
      <c r="K455" s="547">
        <v>1.56</v>
      </c>
      <c r="L455" s="547">
        <v>0.67800000000000005</v>
      </c>
      <c r="M455" s="548">
        <v>3.76</v>
      </c>
      <c r="N455" s="548">
        <v>0</v>
      </c>
      <c r="O455" s="548">
        <v>0</v>
      </c>
      <c r="P455" s="547">
        <v>0</v>
      </c>
    </row>
    <row r="456" spans="6:16" x14ac:dyDescent="0.25">
      <c r="F456" s="176" t="s">
        <v>59</v>
      </c>
      <c r="G456" s="167"/>
      <c r="H456" s="167" t="s">
        <v>391</v>
      </c>
      <c r="I456" s="167"/>
      <c r="J456" s="547">
        <v>10.249000000000001</v>
      </c>
      <c r="K456" s="547">
        <v>1.611</v>
      </c>
      <c r="L456" s="547">
        <v>0.68100000000000005</v>
      </c>
      <c r="M456" s="548">
        <v>5.65</v>
      </c>
      <c r="N456" s="548">
        <v>0</v>
      </c>
      <c r="O456" s="548">
        <v>0</v>
      </c>
      <c r="P456" s="547">
        <v>0</v>
      </c>
    </row>
    <row r="457" spans="6:16" x14ac:dyDescent="0.25">
      <c r="F457" s="176" t="s">
        <v>60</v>
      </c>
      <c r="G457" s="167"/>
      <c r="H457" s="167" t="s">
        <v>391</v>
      </c>
      <c r="I457" s="167"/>
      <c r="J457" s="547">
        <v>7.0279999999999996</v>
      </c>
      <c r="K457" s="547">
        <v>1.1919999999999999</v>
      </c>
      <c r="L457" s="547">
        <v>0.65400000000000003</v>
      </c>
      <c r="M457" s="548">
        <v>17.829999999999998</v>
      </c>
      <c r="N457" s="548">
        <v>2.62</v>
      </c>
      <c r="O457" s="548">
        <v>4.97</v>
      </c>
      <c r="P457" s="547">
        <v>0.223</v>
      </c>
    </row>
    <row r="458" spans="6:16" x14ac:dyDescent="0.25">
      <c r="F458" s="176" t="s">
        <v>61</v>
      </c>
      <c r="G458" s="167"/>
      <c r="H458" s="167" t="s">
        <v>391</v>
      </c>
      <c r="I458" s="167"/>
      <c r="J458" s="547">
        <v>5.5720000000000001</v>
      </c>
      <c r="K458" s="547">
        <v>0.91600000000000004</v>
      </c>
      <c r="L458" s="547">
        <v>0.63500000000000001</v>
      </c>
      <c r="M458" s="548">
        <v>27.88</v>
      </c>
      <c r="N458" s="548">
        <v>4.67</v>
      </c>
      <c r="O458" s="548">
        <v>6.31</v>
      </c>
      <c r="P458" s="547">
        <v>0.14199999999999999</v>
      </c>
    </row>
    <row r="459" spans="6:16" x14ac:dyDescent="0.25">
      <c r="F459" s="176" t="s">
        <v>73</v>
      </c>
      <c r="G459" s="167"/>
      <c r="H459" s="167" t="s">
        <v>391</v>
      </c>
      <c r="I459" s="167"/>
      <c r="J459" s="547">
        <v>4.2080000000000002</v>
      </c>
      <c r="K459" s="547">
        <v>0.80300000000000005</v>
      </c>
      <c r="L459" s="547">
        <v>0.63</v>
      </c>
      <c r="M459" s="548">
        <v>159.36000000000001</v>
      </c>
      <c r="N459" s="548">
        <v>5.77</v>
      </c>
      <c r="O459" s="548">
        <v>7.16</v>
      </c>
      <c r="P459" s="547">
        <v>9.4E-2</v>
      </c>
    </row>
    <row r="460" spans="6:16" x14ac:dyDescent="0.25">
      <c r="F460" s="176" t="s">
        <v>86</v>
      </c>
      <c r="G460" s="167"/>
      <c r="H460" s="167" t="s">
        <v>391</v>
      </c>
      <c r="I460" s="167"/>
      <c r="J460" s="547">
        <v>3.0979999999999999</v>
      </c>
      <c r="K460" s="547">
        <v>0</v>
      </c>
      <c r="L460" s="547">
        <v>0</v>
      </c>
      <c r="M460" s="548">
        <v>0</v>
      </c>
      <c r="N460" s="548">
        <v>0</v>
      </c>
      <c r="O460" s="548">
        <v>0</v>
      </c>
      <c r="P460" s="547">
        <v>0</v>
      </c>
    </row>
    <row r="461" spans="6:16" x14ac:dyDescent="0.25">
      <c r="F461" s="176" t="s">
        <v>87</v>
      </c>
      <c r="G461" s="167"/>
      <c r="H461" s="167" t="s">
        <v>391</v>
      </c>
      <c r="I461" s="167"/>
      <c r="J461" s="547">
        <v>3.1509999999999998</v>
      </c>
      <c r="K461" s="547">
        <v>0</v>
      </c>
      <c r="L461" s="547">
        <v>0</v>
      </c>
      <c r="M461" s="548">
        <v>0</v>
      </c>
      <c r="N461" s="548">
        <v>0</v>
      </c>
      <c r="O461" s="548">
        <v>0</v>
      </c>
      <c r="P461" s="547">
        <v>0</v>
      </c>
    </row>
    <row r="462" spans="6:16" x14ac:dyDescent="0.25">
      <c r="F462" s="176" t="s">
        <v>88</v>
      </c>
      <c r="G462" s="167"/>
      <c r="H462" s="167" t="s">
        <v>391</v>
      </c>
      <c r="I462" s="167"/>
      <c r="J462" s="547">
        <v>3.9689999999999999</v>
      </c>
      <c r="K462" s="547">
        <v>0</v>
      </c>
      <c r="L462" s="547">
        <v>0</v>
      </c>
      <c r="M462" s="548">
        <v>0</v>
      </c>
      <c r="N462" s="548">
        <v>0</v>
      </c>
      <c r="O462" s="548">
        <v>0</v>
      </c>
      <c r="P462" s="547">
        <v>0</v>
      </c>
    </row>
    <row r="463" spans="6:16" x14ac:dyDescent="0.25">
      <c r="F463" s="176" t="s">
        <v>89</v>
      </c>
      <c r="G463" s="167"/>
      <c r="H463" s="167" t="s">
        <v>391</v>
      </c>
      <c r="I463" s="167"/>
      <c r="J463" s="547">
        <v>3.1139999999999999</v>
      </c>
      <c r="K463" s="547">
        <v>0</v>
      </c>
      <c r="L463" s="547">
        <v>0</v>
      </c>
      <c r="M463" s="548">
        <v>0</v>
      </c>
      <c r="N463" s="548">
        <v>0</v>
      </c>
      <c r="O463" s="548">
        <v>0</v>
      </c>
      <c r="P463" s="547">
        <v>0</v>
      </c>
    </row>
    <row r="464" spans="6:16" x14ac:dyDescent="0.25">
      <c r="F464" s="176" t="s">
        <v>90</v>
      </c>
      <c r="G464" s="167"/>
      <c r="H464" s="167" t="s">
        <v>391</v>
      </c>
      <c r="I464" s="167"/>
      <c r="J464" s="547">
        <v>15.239000000000001</v>
      </c>
      <c r="K464" s="547">
        <v>3.0779999999999998</v>
      </c>
      <c r="L464" s="547">
        <v>2.254</v>
      </c>
      <c r="M464" s="548">
        <v>0</v>
      </c>
      <c r="N464" s="548">
        <v>0</v>
      </c>
      <c r="O464" s="548">
        <v>0</v>
      </c>
      <c r="P464" s="547">
        <v>0</v>
      </c>
    </row>
    <row r="465" spans="4:16" x14ac:dyDescent="0.25">
      <c r="F465" s="176" t="s">
        <v>62</v>
      </c>
      <c r="G465" s="167"/>
      <c r="H465" s="167" t="s">
        <v>391</v>
      </c>
      <c r="I465" s="167"/>
      <c r="J465" s="547">
        <v>-0.86799999999999999</v>
      </c>
      <c r="K465" s="547">
        <v>0</v>
      </c>
      <c r="L465" s="547">
        <v>0</v>
      </c>
      <c r="M465" s="548">
        <v>0</v>
      </c>
      <c r="N465" s="548">
        <v>0</v>
      </c>
      <c r="O465" s="548">
        <v>0</v>
      </c>
      <c r="P465" s="547">
        <v>0</v>
      </c>
    </row>
    <row r="466" spans="4:16" x14ac:dyDescent="0.25">
      <c r="F466" s="176" t="s">
        <v>63</v>
      </c>
      <c r="G466" s="167"/>
      <c r="H466" s="167" t="s">
        <v>391</v>
      </c>
      <c r="I466" s="167"/>
      <c r="J466" s="547">
        <v>-0.76</v>
      </c>
      <c r="K466" s="547">
        <v>0</v>
      </c>
      <c r="L466" s="547">
        <v>0</v>
      </c>
      <c r="M466" s="548">
        <v>0</v>
      </c>
      <c r="N466" s="548">
        <v>0</v>
      </c>
      <c r="O466" s="548">
        <v>0</v>
      </c>
      <c r="P466" s="547">
        <v>0</v>
      </c>
    </row>
    <row r="467" spans="4:16" x14ac:dyDescent="0.25">
      <c r="F467" s="176" t="s">
        <v>64</v>
      </c>
      <c r="G467" s="167"/>
      <c r="H467" s="167" t="s">
        <v>391</v>
      </c>
      <c r="I467" s="167"/>
      <c r="J467" s="547">
        <v>-0.86799999999999999</v>
      </c>
      <c r="K467" s="547">
        <v>0</v>
      </c>
      <c r="L467" s="547">
        <v>0</v>
      </c>
      <c r="M467" s="548">
        <v>0</v>
      </c>
      <c r="N467" s="548">
        <v>0</v>
      </c>
      <c r="O467" s="548">
        <v>0</v>
      </c>
      <c r="P467" s="547">
        <v>0.20300000000000001</v>
      </c>
    </row>
    <row r="468" spans="4:16" x14ac:dyDescent="0.25">
      <c r="F468" s="176" t="s">
        <v>65</v>
      </c>
      <c r="G468" s="167"/>
      <c r="H468" s="167" t="s">
        <v>391</v>
      </c>
      <c r="I468" s="167"/>
      <c r="J468" s="547">
        <v>-0.86799999999999999</v>
      </c>
      <c r="K468" s="547">
        <v>0</v>
      </c>
      <c r="L468" s="547">
        <v>0</v>
      </c>
      <c r="M468" s="548">
        <v>0</v>
      </c>
      <c r="N468" s="548">
        <v>0</v>
      </c>
      <c r="O468" s="548">
        <v>0</v>
      </c>
      <c r="P468" s="547">
        <v>0</v>
      </c>
    </row>
    <row r="469" spans="4:16" x14ac:dyDescent="0.25">
      <c r="F469" s="176" t="s">
        <v>66</v>
      </c>
      <c r="G469" s="167"/>
      <c r="H469" s="167" t="s">
        <v>391</v>
      </c>
      <c r="I469" s="167"/>
      <c r="J469" s="547">
        <v>-6.093</v>
      </c>
      <c r="K469" s="547">
        <v>-0.624</v>
      </c>
      <c r="L469" s="547">
        <v>-3.5999999999999997E-2</v>
      </c>
      <c r="M469" s="548">
        <v>0</v>
      </c>
      <c r="N469" s="548">
        <v>0</v>
      </c>
      <c r="O469" s="548">
        <v>0</v>
      </c>
      <c r="P469" s="547">
        <v>0.20300000000000001</v>
      </c>
    </row>
    <row r="470" spans="4:16" x14ac:dyDescent="0.25">
      <c r="F470" s="176" t="s">
        <v>67</v>
      </c>
      <c r="G470" s="167"/>
      <c r="H470" s="167" t="s">
        <v>391</v>
      </c>
      <c r="I470" s="167"/>
      <c r="J470" s="547">
        <v>-6.093</v>
      </c>
      <c r="K470" s="547">
        <v>-0.624</v>
      </c>
      <c r="L470" s="547">
        <v>-3.5999999999999997E-2</v>
      </c>
      <c r="M470" s="548">
        <v>0</v>
      </c>
      <c r="N470" s="548">
        <v>0</v>
      </c>
      <c r="O470" s="548">
        <v>0</v>
      </c>
      <c r="P470" s="547">
        <v>0</v>
      </c>
    </row>
    <row r="471" spans="4:16" x14ac:dyDescent="0.25">
      <c r="F471" s="176" t="s">
        <v>68</v>
      </c>
      <c r="G471" s="167"/>
      <c r="H471" s="167" t="s">
        <v>391</v>
      </c>
      <c r="I471" s="167"/>
      <c r="J471" s="547">
        <v>-0.76</v>
      </c>
      <c r="K471" s="547">
        <v>0</v>
      </c>
      <c r="L471" s="547">
        <v>0</v>
      </c>
      <c r="M471" s="548">
        <v>0</v>
      </c>
      <c r="N471" s="548">
        <v>0</v>
      </c>
      <c r="O471" s="548">
        <v>0</v>
      </c>
      <c r="P471" s="547">
        <v>0.182</v>
      </c>
    </row>
    <row r="472" spans="4:16" x14ac:dyDescent="0.25">
      <c r="F472" s="176" t="s">
        <v>69</v>
      </c>
      <c r="G472" s="167"/>
      <c r="H472" s="167" t="s">
        <v>391</v>
      </c>
      <c r="I472" s="167"/>
      <c r="J472" s="547">
        <v>-0.76</v>
      </c>
      <c r="K472" s="547">
        <v>0</v>
      </c>
      <c r="L472" s="547">
        <v>0</v>
      </c>
      <c r="M472" s="548">
        <v>0</v>
      </c>
      <c r="N472" s="548">
        <v>0</v>
      </c>
      <c r="O472" s="548">
        <v>0</v>
      </c>
      <c r="P472" s="547">
        <v>0</v>
      </c>
    </row>
    <row r="473" spans="4:16" x14ac:dyDescent="0.25">
      <c r="F473" s="176" t="s">
        <v>70</v>
      </c>
      <c r="G473" s="167"/>
      <c r="H473" s="167" t="s">
        <v>391</v>
      </c>
      <c r="I473" s="167"/>
      <c r="J473" s="547">
        <v>-5.4969999999999999</v>
      </c>
      <c r="K473" s="547">
        <v>-0.51900000000000002</v>
      </c>
      <c r="L473" s="547">
        <v>-2.8000000000000001E-2</v>
      </c>
      <c r="M473" s="548">
        <v>0</v>
      </c>
      <c r="N473" s="548">
        <v>0</v>
      </c>
      <c r="O473" s="548">
        <v>0</v>
      </c>
      <c r="P473" s="547">
        <v>0.182</v>
      </c>
    </row>
    <row r="474" spans="4:16" x14ac:dyDescent="0.25">
      <c r="F474" s="176" t="s">
        <v>71</v>
      </c>
      <c r="G474" s="167"/>
      <c r="H474" s="167" t="s">
        <v>391</v>
      </c>
      <c r="I474" s="167"/>
      <c r="J474" s="547">
        <v>-5.4969999999999999</v>
      </c>
      <c r="K474" s="547">
        <v>-0.51900000000000002</v>
      </c>
      <c r="L474" s="547">
        <v>-2.8000000000000001E-2</v>
      </c>
      <c r="M474" s="548">
        <v>0</v>
      </c>
      <c r="N474" s="548">
        <v>0</v>
      </c>
      <c r="O474" s="548">
        <v>0</v>
      </c>
      <c r="P474" s="547">
        <v>0</v>
      </c>
    </row>
    <row r="475" spans="4:16" x14ac:dyDescent="0.25">
      <c r="F475" s="176" t="s">
        <v>74</v>
      </c>
      <c r="G475" s="167"/>
      <c r="H475" s="167" t="s">
        <v>391</v>
      </c>
      <c r="I475" s="167"/>
      <c r="J475" s="547">
        <v>-0.503</v>
      </c>
      <c r="K475" s="547">
        <v>0</v>
      </c>
      <c r="L475" s="547">
        <v>0</v>
      </c>
      <c r="M475" s="548">
        <v>262.54000000000002</v>
      </c>
      <c r="N475" s="548">
        <v>0</v>
      </c>
      <c r="O475" s="548">
        <v>0</v>
      </c>
      <c r="P475" s="547">
        <v>0.16</v>
      </c>
    </row>
    <row r="476" spans="4:16" x14ac:dyDescent="0.25">
      <c r="F476" s="176" t="s">
        <v>75</v>
      </c>
      <c r="G476" s="167"/>
      <c r="H476" s="167" t="s">
        <v>391</v>
      </c>
      <c r="I476" s="167"/>
      <c r="J476" s="547">
        <v>-0.503</v>
      </c>
      <c r="K476" s="547">
        <v>0</v>
      </c>
      <c r="L476" s="547">
        <v>0</v>
      </c>
      <c r="M476" s="548">
        <v>262.54000000000002</v>
      </c>
      <c r="N476" s="548">
        <v>0</v>
      </c>
      <c r="O476" s="548">
        <v>0</v>
      </c>
      <c r="P476" s="547">
        <v>0</v>
      </c>
    </row>
    <row r="477" spans="4:16" x14ac:dyDescent="0.25">
      <c r="F477" s="176" t="s">
        <v>76</v>
      </c>
      <c r="G477" s="167"/>
      <c r="H477" s="167" t="s">
        <v>391</v>
      </c>
      <c r="I477" s="167"/>
      <c r="J477" s="547">
        <v>-4.226</v>
      </c>
      <c r="K477" s="547">
        <v>-0.248</v>
      </c>
      <c r="L477" s="547">
        <v>-8.9999999999999993E-3</v>
      </c>
      <c r="M477" s="548">
        <v>262.54000000000002</v>
      </c>
      <c r="N477" s="548">
        <v>0</v>
      </c>
      <c r="O477" s="548">
        <v>0</v>
      </c>
      <c r="P477" s="547">
        <v>0.16</v>
      </c>
    </row>
    <row r="478" spans="4:16" x14ac:dyDescent="0.25">
      <c r="F478" s="177" t="s">
        <v>77</v>
      </c>
      <c r="G478" s="168"/>
      <c r="H478" s="168" t="s">
        <v>391</v>
      </c>
      <c r="I478" s="168"/>
      <c r="J478" s="549">
        <v>-4.226</v>
      </c>
      <c r="K478" s="549">
        <v>-0.248</v>
      </c>
      <c r="L478" s="549">
        <v>-8.9999999999999993E-3</v>
      </c>
      <c r="M478" s="550">
        <v>262.54000000000002</v>
      </c>
      <c r="N478" s="550">
        <v>0</v>
      </c>
      <c r="O478" s="550">
        <v>0</v>
      </c>
      <c r="P478" s="549">
        <v>0</v>
      </c>
    </row>
    <row r="479" spans="4:16" x14ac:dyDescent="0.25">
      <c r="F479" s="175"/>
      <c r="J479" s="551"/>
      <c r="K479" s="551"/>
      <c r="L479" s="551"/>
      <c r="M479" s="552"/>
      <c r="N479" s="552"/>
      <c r="O479" s="552"/>
      <c r="P479" s="551"/>
    </row>
    <row r="480" spans="4:16" x14ac:dyDescent="0.25">
      <c r="D480" s="172"/>
      <c r="E480" s="172" t="str">
        <f>"LDNO LV tariff forecast "&amp; 'ARP_User control'!G34</f>
        <v>LDNO LV tariff forecast 2023/24</v>
      </c>
      <c r="F480" s="175"/>
      <c r="J480" s="551"/>
      <c r="K480" s="551"/>
      <c r="L480" s="551"/>
      <c r="M480" s="552"/>
      <c r="N480" s="552"/>
      <c r="O480" s="552"/>
      <c r="P480" s="551"/>
    </row>
    <row r="481" spans="6:16" x14ac:dyDescent="0.25">
      <c r="F481" s="180" t="s">
        <v>52</v>
      </c>
      <c r="G481" s="166"/>
      <c r="H481" s="166" t="s">
        <v>163</v>
      </c>
      <c r="I481" s="166"/>
      <c r="J481" s="545">
        <v>1.544</v>
      </c>
      <c r="K481" s="545">
        <v>0</v>
      </c>
      <c r="L481" s="545">
        <v>0</v>
      </c>
      <c r="M481" s="546">
        <v>2.4500000000000002</v>
      </c>
      <c r="N481" s="546">
        <v>0</v>
      </c>
      <c r="O481" s="546">
        <v>0</v>
      </c>
      <c r="P481" s="545">
        <v>0</v>
      </c>
    </row>
    <row r="482" spans="6:16" x14ac:dyDescent="0.25">
      <c r="F482" s="176" t="s">
        <v>53</v>
      </c>
      <c r="G482" s="167"/>
      <c r="H482" s="167" t="s">
        <v>163</v>
      </c>
      <c r="I482" s="167"/>
      <c r="J482" s="547">
        <v>1.849</v>
      </c>
      <c r="K482" s="547">
        <v>0.48</v>
      </c>
      <c r="L482" s="547">
        <v>0</v>
      </c>
      <c r="M482" s="548">
        <v>2.4500000000000002</v>
      </c>
      <c r="N482" s="548">
        <v>0</v>
      </c>
      <c r="O482" s="548">
        <v>0</v>
      </c>
      <c r="P482" s="547">
        <v>0</v>
      </c>
    </row>
    <row r="483" spans="6:16" x14ac:dyDescent="0.25">
      <c r="F483" s="176" t="s">
        <v>84</v>
      </c>
      <c r="G483" s="167"/>
      <c r="H483" s="167" t="s">
        <v>163</v>
      </c>
      <c r="I483" s="167"/>
      <c r="J483" s="547">
        <v>0.55000000000000004</v>
      </c>
      <c r="K483" s="547">
        <v>0</v>
      </c>
      <c r="L483" s="547">
        <v>0</v>
      </c>
      <c r="M483" s="548">
        <v>0</v>
      </c>
      <c r="N483" s="548">
        <v>0</v>
      </c>
      <c r="O483" s="548">
        <v>0</v>
      </c>
      <c r="P483" s="547">
        <v>0</v>
      </c>
    </row>
    <row r="484" spans="6:16" x14ac:dyDescent="0.25">
      <c r="F484" s="176" t="s">
        <v>54</v>
      </c>
      <c r="G484" s="167"/>
      <c r="H484" s="167" t="s">
        <v>163</v>
      </c>
      <c r="I484" s="167"/>
      <c r="J484" s="547">
        <v>1.43</v>
      </c>
      <c r="K484" s="547">
        <v>0</v>
      </c>
      <c r="L484" s="547">
        <v>0</v>
      </c>
      <c r="M484" s="548">
        <v>3.69</v>
      </c>
      <c r="N484" s="548">
        <v>0</v>
      </c>
      <c r="O484" s="548">
        <v>0</v>
      </c>
      <c r="P484" s="547">
        <v>0</v>
      </c>
    </row>
    <row r="485" spans="6:16" x14ac:dyDescent="0.25">
      <c r="F485" s="176" t="s">
        <v>55</v>
      </c>
      <c r="G485" s="167"/>
      <c r="H485" s="167" t="s">
        <v>163</v>
      </c>
      <c r="I485" s="167"/>
      <c r="J485" s="547">
        <v>2.0059999999999998</v>
      </c>
      <c r="K485" s="547">
        <v>0.58699999999999997</v>
      </c>
      <c r="L485" s="547">
        <v>0</v>
      </c>
      <c r="M485" s="548">
        <v>3.69</v>
      </c>
      <c r="N485" s="548">
        <v>0</v>
      </c>
      <c r="O485" s="548">
        <v>0</v>
      </c>
      <c r="P485" s="547">
        <v>0</v>
      </c>
    </row>
    <row r="486" spans="6:16" x14ac:dyDescent="0.25">
      <c r="F486" s="176" t="s">
        <v>85</v>
      </c>
      <c r="G486" s="167"/>
      <c r="H486" s="167" t="s">
        <v>163</v>
      </c>
      <c r="I486" s="167"/>
      <c r="J486" s="547">
        <v>0.64200000000000002</v>
      </c>
      <c r="K486" s="547">
        <v>0</v>
      </c>
      <c r="L486" s="547">
        <v>0</v>
      </c>
      <c r="M486" s="548">
        <v>0</v>
      </c>
      <c r="N486" s="548">
        <v>0</v>
      </c>
      <c r="O486" s="548">
        <v>0</v>
      </c>
      <c r="P486" s="547">
        <v>0</v>
      </c>
    </row>
    <row r="487" spans="6:16" x14ac:dyDescent="0.25">
      <c r="F487" s="176" t="s">
        <v>56</v>
      </c>
      <c r="G487" s="167"/>
      <c r="H487" s="167" t="s">
        <v>163</v>
      </c>
      <c r="I487" s="167"/>
      <c r="J487" s="547">
        <v>1.2250000000000001</v>
      </c>
      <c r="K487" s="547">
        <v>0.47399999999999998</v>
      </c>
      <c r="L487" s="547">
        <v>0</v>
      </c>
      <c r="M487" s="548">
        <v>20.23</v>
      </c>
      <c r="N487" s="548">
        <v>0</v>
      </c>
      <c r="O487" s="548">
        <v>0</v>
      </c>
      <c r="P487" s="547">
        <v>0</v>
      </c>
    </row>
    <row r="488" spans="6:16" x14ac:dyDescent="0.25">
      <c r="F488" s="176" t="s">
        <v>57</v>
      </c>
      <c r="G488" s="167"/>
      <c r="H488" s="167" t="s">
        <v>163</v>
      </c>
      <c r="I488" s="167"/>
      <c r="J488" s="553"/>
      <c r="K488" s="553"/>
      <c r="L488" s="553"/>
      <c r="M488" s="554"/>
      <c r="N488" s="554"/>
      <c r="O488" s="554"/>
      <c r="P488" s="553"/>
    </row>
    <row r="489" spans="6:16" x14ac:dyDescent="0.25">
      <c r="F489" s="176" t="s">
        <v>72</v>
      </c>
      <c r="G489" s="167"/>
      <c r="H489" s="167" t="s">
        <v>163</v>
      </c>
      <c r="I489" s="167"/>
      <c r="J489" s="553"/>
      <c r="K489" s="553"/>
      <c r="L489" s="553"/>
      <c r="M489" s="554"/>
      <c r="N489" s="554"/>
      <c r="O489" s="554"/>
      <c r="P489" s="553"/>
    </row>
    <row r="490" spans="6:16" x14ac:dyDescent="0.25">
      <c r="F490" s="176" t="s">
        <v>58</v>
      </c>
      <c r="G490" s="167"/>
      <c r="H490" s="167" t="s">
        <v>163</v>
      </c>
      <c r="I490" s="167"/>
      <c r="J490" s="547">
        <v>6.37</v>
      </c>
      <c r="K490" s="547">
        <v>1.018</v>
      </c>
      <c r="L490" s="547">
        <v>0.442</v>
      </c>
      <c r="M490" s="548">
        <v>2.4500000000000002</v>
      </c>
      <c r="N490" s="548">
        <v>0</v>
      </c>
      <c r="O490" s="548">
        <v>0</v>
      </c>
      <c r="P490" s="547">
        <v>0</v>
      </c>
    </row>
    <row r="491" spans="6:16" x14ac:dyDescent="0.25">
      <c r="F491" s="176" t="s">
        <v>59</v>
      </c>
      <c r="G491" s="167"/>
      <c r="H491" s="167" t="s">
        <v>163</v>
      </c>
      <c r="I491" s="167"/>
      <c r="J491" s="547">
        <v>6.6870000000000003</v>
      </c>
      <c r="K491" s="547">
        <v>1.0509999999999999</v>
      </c>
      <c r="L491" s="547">
        <v>0.44400000000000001</v>
      </c>
      <c r="M491" s="548">
        <v>3.69</v>
      </c>
      <c r="N491" s="548">
        <v>0</v>
      </c>
      <c r="O491" s="548">
        <v>0</v>
      </c>
      <c r="P491" s="547">
        <v>0</v>
      </c>
    </row>
    <row r="492" spans="6:16" x14ac:dyDescent="0.25">
      <c r="F492" s="176" t="s">
        <v>60</v>
      </c>
      <c r="G492" s="167"/>
      <c r="H492" s="167" t="s">
        <v>163</v>
      </c>
      <c r="I492" s="167"/>
      <c r="J492" s="547">
        <v>4.585</v>
      </c>
      <c r="K492" s="547">
        <v>0.77800000000000002</v>
      </c>
      <c r="L492" s="547">
        <v>0.42699999999999999</v>
      </c>
      <c r="M492" s="548">
        <v>11.63</v>
      </c>
      <c r="N492" s="548">
        <v>1.71</v>
      </c>
      <c r="O492" s="548">
        <v>3.24</v>
      </c>
      <c r="P492" s="547">
        <v>0.14499999999999999</v>
      </c>
    </row>
    <row r="493" spans="6:16" x14ac:dyDescent="0.25">
      <c r="F493" s="176" t="s">
        <v>61</v>
      </c>
      <c r="G493" s="167"/>
      <c r="H493" s="167" t="s">
        <v>163</v>
      </c>
      <c r="I493" s="167"/>
      <c r="J493" s="553"/>
      <c r="K493" s="553"/>
      <c r="L493" s="553"/>
      <c r="M493" s="554"/>
      <c r="N493" s="554"/>
      <c r="O493" s="554"/>
      <c r="P493" s="553"/>
    </row>
    <row r="494" spans="6:16" x14ac:dyDescent="0.25">
      <c r="F494" s="176" t="s">
        <v>73</v>
      </c>
      <c r="G494" s="167"/>
      <c r="H494" s="167" t="s">
        <v>163</v>
      </c>
      <c r="I494" s="167"/>
      <c r="J494" s="553"/>
      <c r="K494" s="553"/>
      <c r="L494" s="553"/>
      <c r="M494" s="554"/>
      <c r="N494" s="554"/>
      <c r="O494" s="554"/>
      <c r="P494" s="553"/>
    </row>
    <row r="495" spans="6:16" x14ac:dyDescent="0.25">
      <c r="F495" s="176" t="s">
        <v>86</v>
      </c>
      <c r="G495" s="167"/>
      <c r="H495" s="167" t="s">
        <v>163</v>
      </c>
      <c r="I495" s="167"/>
      <c r="J495" s="547">
        <v>2.0209999999999999</v>
      </c>
      <c r="K495" s="547">
        <v>0</v>
      </c>
      <c r="L495" s="547">
        <v>0</v>
      </c>
      <c r="M495" s="548">
        <v>0</v>
      </c>
      <c r="N495" s="548">
        <v>0</v>
      </c>
      <c r="O495" s="548">
        <v>0</v>
      </c>
      <c r="P495" s="547">
        <v>0</v>
      </c>
    </row>
    <row r="496" spans="6:16" x14ac:dyDescent="0.25">
      <c r="F496" s="176" t="s">
        <v>87</v>
      </c>
      <c r="G496" s="167"/>
      <c r="H496" s="167" t="s">
        <v>163</v>
      </c>
      <c r="I496" s="167"/>
      <c r="J496" s="547">
        <v>2.056</v>
      </c>
      <c r="K496" s="547">
        <v>0</v>
      </c>
      <c r="L496" s="547">
        <v>0</v>
      </c>
      <c r="M496" s="548">
        <v>0</v>
      </c>
      <c r="N496" s="548">
        <v>0</v>
      </c>
      <c r="O496" s="548">
        <v>0</v>
      </c>
      <c r="P496" s="547">
        <v>0</v>
      </c>
    </row>
    <row r="497" spans="6:16" x14ac:dyDescent="0.25">
      <c r="F497" s="176" t="s">
        <v>88</v>
      </c>
      <c r="G497" s="167"/>
      <c r="H497" s="167" t="s">
        <v>163</v>
      </c>
      <c r="I497" s="167"/>
      <c r="J497" s="547">
        <v>2.59</v>
      </c>
      <c r="K497" s="547">
        <v>0</v>
      </c>
      <c r="L497" s="547">
        <v>0</v>
      </c>
      <c r="M497" s="548">
        <v>0</v>
      </c>
      <c r="N497" s="548">
        <v>0</v>
      </c>
      <c r="O497" s="548">
        <v>0</v>
      </c>
      <c r="P497" s="547">
        <v>0</v>
      </c>
    </row>
    <row r="498" spans="6:16" x14ac:dyDescent="0.25">
      <c r="F498" s="176" t="s">
        <v>89</v>
      </c>
      <c r="G498" s="167"/>
      <c r="H498" s="167" t="s">
        <v>163</v>
      </c>
      <c r="I498" s="167"/>
      <c r="J498" s="547">
        <v>2.032</v>
      </c>
      <c r="K498" s="547">
        <v>0</v>
      </c>
      <c r="L498" s="547">
        <v>0</v>
      </c>
      <c r="M498" s="548">
        <v>0</v>
      </c>
      <c r="N498" s="548">
        <v>0</v>
      </c>
      <c r="O498" s="548">
        <v>0</v>
      </c>
      <c r="P498" s="547">
        <v>0</v>
      </c>
    </row>
    <row r="499" spans="6:16" x14ac:dyDescent="0.25">
      <c r="F499" s="176" t="s">
        <v>90</v>
      </c>
      <c r="G499" s="167"/>
      <c r="H499" s="167" t="s">
        <v>163</v>
      </c>
      <c r="I499" s="167"/>
      <c r="J499" s="547">
        <v>9.9429999999999996</v>
      </c>
      <c r="K499" s="547">
        <v>2.008</v>
      </c>
      <c r="L499" s="547">
        <v>1.4710000000000001</v>
      </c>
      <c r="M499" s="548">
        <v>0</v>
      </c>
      <c r="N499" s="548">
        <v>0</v>
      </c>
      <c r="O499" s="548">
        <v>0</v>
      </c>
      <c r="P499" s="547">
        <v>0</v>
      </c>
    </row>
    <row r="500" spans="6:16" x14ac:dyDescent="0.25">
      <c r="F500" s="176" t="s">
        <v>62</v>
      </c>
      <c r="G500" s="167"/>
      <c r="H500" s="167" t="s">
        <v>163</v>
      </c>
      <c r="I500" s="167"/>
      <c r="J500" s="547">
        <v>-0.86799999999999999</v>
      </c>
      <c r="K500" s="547">
        <v>0</v>
      </c>
      <c r="L500" s="547">
        <v>0</v>
      </c>
      <c r="M500" s="548">
        <v>0</v>
      </c>
      <c r="N500" s="548">
        <v>0</v>
      </c>
      <c r="O500" s="548">
        <v>0</v>
      </c>
      <c r="P500" s="547">
        <v>0</v>
      </c>
    </row>
    <row r="501" spans="6:16" x14ac:dyDescent="0.25">
      <c r="F501" s="176" t="s">
        <v>63</v>
      </c>
      <c r="G501" s="167"/>
      <c r="H501" s="167" t="s">
        <v>163</v>
      </c>
      <c r="I501" s="167"/>
      <c r="J501" s="553"/>
      <c r="K501" s="553"/>
      <c r="L501" s="553"/>
      <c r="M501" s="554"/>
      <c r="N501" s="554"/>
      <c r="O501" s="554"/>
      <c r="P501" s="553"/>
    </row>
    <row r="502" spans="6:16" x14ac:dyDescent="0.25">
      <c r="F502" s="176" t="s">
        <v>64</v>
      </c>
      <c r="G502" s="167"/>
      <c r="H502" s="167" t="s">
        <v>163</v>
      </c>
      <c r="I502" s="167"/>
      <c r="J502" s="547">
        <v>-0.86799999999999999</v>
      </c>
      <c r="K502" s="547">
        <v>0</v>
      </c>
      <c r="L502" s="547">
        <v>0</v>
      </c>
      <c r="M502" s="548">
        <v>0</v>
      </c>
      <c r="N502" s="548">
        <v>0</v>
      </c>
      <c r="O502" s="548">
        <v>0</v>
      </c>
      <c r="P502" s="547">
        <v>0.20300000000000001</v>
      </c>
    </row>
    <row r="503" spans="6:16" x14ac:dyDescent="0.25">
      <c r="F503" s="176" t="s">
        <v>65</v>
      </c>
      <c r="G503" s="167"/>
      <c r="H503" s="167" t="s">
        <v>163</v>
      </c>
      <c r="I503" s="167"/>
      <c r="J503" s="553"/>
      <c r="K503" s="553"/>
      <c r="L503" s="553"/>
      <c r="M503" s="554"/>
      <c r="N503" s="554"/>
      <c r="O503" s="554"/>
      <c r="P503" s="553"/>
    </row>
    <row r="504" spans="6:16" x14ac:dyDescent="0.25">
      <c r="F504" s="176" t="s">
        <v>66</v>
      </c>
      <c r="G504" s="167"/>
      <c r="H504" s="167" t="s">
        <v>163</v>
      </c>
      <c r="I504" s="167"/>
      <c r="J504" s="547">
        <v>-6.093</v>
      </c>
      <c r="K504" s="547">
        <v>-0.624</v>
      </c>
      <c r="L504" s="547">
        <v>-3.5999999999999997E-2</v>
      </c>
      <c r="M504" s="548">
        <v>0</v>
      </c>
      <c r="N504" s="548">
        <v>0</v>
      </c>
      <c r="O504" s="548">
        <v>0</v>
      </c>
      <c r="P504" s="547">
        <v>0.20300000000000001</v>
      </c>
    </row>
    <row r="505" spans="6:16" x14ac:dyDescent="0.25">
      <c r="F505" s="176" t="s">
        <v>67</v>
      </c>
      <c r="G505" s="167"/>
      <c r="H505" s="167" t="s">
        <v>163</v>
      </c>
      <c r="I505" s="167"/>
      <c r="J505" s="553"/>
      <c r="K505" s="553"/>
      <c r="L505" s="553"/>
      <c r="M505" s="554"/>
      <c r="N505" s="554"/>
      <c r="O505" s="554"/>
      <c r="P505" s="553"/>
    </row>
    <row r="506" spans="6:16" x14ac:dyDescent="0.25">
      <c r="F506" s="176" t="s">
        <v>68</v>
      </c>
      <c r="G506" s="167"/>
      <c r="H506" s="167" t="s">
        <v>163</v>
      </c>
      <c r="I506" s="167"/>
      <c r="J506" s="553"/>
      <c r="K506" s="553"/>
      <c r="L506" s="553"/>
      <c r="M506" s="554"/>
      <c r="N506" s="554"/>
      <c r="O506" s="554"/>
      <c r="P506" s="553"/>
    </row>
    <row r="507" spans="6:16" x14ac:dyDescent="0.25">
      <c r="F507" s="176" t="s">
        <v>69</v>
      </c>
      <c r="G507" s="167"/>
      <c r="H507" s="167" t="s">
        <v>163</v>
      </c>
      <c r="I507" s="167"/>
      <c r="J507" s="553"/>
      <c r="K507" s="553"/>
      <c r="L507" s="553"/>
      <c r="M507" s="554"/>
      <c r="N507" s="554"/>
      <c r="O507" s="554"/>
      <c r="P507" s="553"/>
    </row>
    <row r="508" spans="6:16" x14ac:dyDescent="0.25">
      <c r="F508" s="176" t="s">
        <v>70</v>
      </c>
      <c r="G508" s="167"/>
      <c r="H508" s="167" t="s">
        <v>163</v>
      </c>
      <c r="I508" s="167"/>
      <c r="J508" s="553"/>
      <c r="K508" s="553"/>
      <c r="L508" s="553"/>
      <c r="M508" s="554"/>
      <c r="N508" s="554"/>
      <c r="O508" s="554"/>
      <c r="P508" s="553"/>
    </row>
    <row r="509" spans="6:16" x14ac:dyDescent="0.25">
      <c r="F509" s="176" t="s">
        <v>71</v>
      </c>
      <c r="G509" s="167"/>
      <c r="H509" s="167" t="s">
        <v>163</v>
      </c>
      <c r="I509" s="167"/>
      <c r="J509" s="553"/>
      <c r="K509" s="553"/>
      <c r="L509" s="553"/>
      <c r="M509" s="554"/>
      <c r="N509" s="554"/>
      <c r="O509" s="554"/>
      <c r="P509" s="553"/>
    </row>
    <row r="510" spans="6:16" x14ac:dyDescent="0.25">
      <c r="F510" s="176" t="s">
        <v>74</v>
      </c>
      <c r="G510" s="167"/>
      <c r="H510" s="167" t="s">
        <v>163</v>
      </c>
      <c r="I510" s="167"/>
      <c r="J510" s="553"/>
      <c r="K510" s="553"/>
      <c r="L510" s="553"/>
      <c r="M510" s="554"/>
      <c r="N510" s="554"/>
      <c r="O510" s="554"/>
      <c r="P510" s="553"/>
    </row>
    <row r="511" spans="6:16" x14ac:dyDescent="0.25">
      <c r="F511" s="176" t="s">
        <v>75</v>
      </c>
      <c r="G511" s="167"/>
      <c r="H511" s="167" t="s">
        <v>163</v>
      </c>
      <c r="I511" s="167"/>
      <c r="J511" s="553"/>
      <c r="K511" s="553"/>
      <c r="L511" s="553"/>
      <c r="M511" s="554"/>
      <c r="N511" s="554"/>
      <c r="O511" s="554"/>
      <c r="P511" s="553"/>
    </row>
    <row r="512" spans="6:16" x14ac:dyDescent="0.25">
      <c r="F512" s="176" t="s">
        <v>76</v>
      </c>
      <c r="G512" s="167"/>
      <c r="H512" s="167" t="s">
        <v>163</v>
      </c>
      <c r="I512" s="167"/>
      <c r="J512" s="553"/>
      <c r="K512" s="553"/>
      <c r="L512" s="553"/>
      <c r="M512" s="554"/>
      <c r="N512" s="554"/>
      <c r="O512" s="554"/>
      <c r="P512" s="553"/>
    </row>
    <row r="513" spans="4:19" x14ac:dyDescent="0.25">
      <c r="F513" s="177" t="s">
        <v>77</v>
      </c>
      <c r="G513" s="168"/>
      <c r="H513" s="168" t="s">
        <v>163</v>
      </c>
      <c r="I513" s="168"/>
      <c r="J513" s="555"/>
      <c r="K513" s="555"/>
      <c r="L513" s="555"/>
      <c r="M513" s="556"/>
      <c r="N513" s="556"/>
      <c r="O513" s="556"/>
      <c r="P513" s="555"/>
    </row>
    <row r="514" spans="4:19" x14ac:dyDescent="0.25">
      <c r="D514" s="172"/>
      <c r="E514" s="172"/>
      <c r="F514" s="172"/>
      <c r="G514" s="172"/>
      <c r="H514" s="172"/>
      <c r="I514" s="172"/>
      <c r="J514" s="557"/>
      <c r="K514" s="557"/>
      <c r="L514" s="557"/>
      <c r="M514" s="558"/>
      <c r="N514" s="558"/>
      <c r="O514" s="558"/>
      <c r="P514" s="557"/>
      <c r="Q514" s="172"/>
      <c r="R514" s="172"/>
      <c r="S514" s="172"/>
    </row>
    <row r="515" spans="4:19" x14ac:dyDescent="0.25">
      <c r="D515" s="172"/>
      <c r="E515" s="172" t="str">
        <f>"LDNO HV tariff forecast "&amp; 'ARP_User control'!G34</f>
        <v>LDNO HV tariff forecast 2023/24</v>
      </c>
      <c r="F515" s="172"/>
      <c r="G515" s="172"/>
      <c r="H515" s="172"/>
      <c r="I515" s="172"/>
      <c r="J515" s="557"/>
      <c r="K515" s="557"/>
      <c r="L515" s="557"/>
      <c r="M515" s="558"/>
      <c r="N515" s="558"/>
      <c r="O515" s="558"/>
      <c r="P515" s="557"/>
      <c r="Q515" s="172"/>
      <c r="R515" s="172"/>
      <c r="S515" s="172"/>
    </row>
    <row r="516" spans="4:19" x14ac:dyDescent="0.25">
      <c r="F516" s="180" t="s">
        <v>52</v>
      </c>
      <c r="G516" s="166"/>
      <c r="H516" s="166" t="s">
        <v>164</v>
      </c>
      <c r="I516" s="166"/>
      <c r="J516" s="545">
        <v>1.0269999999999999</v>
      </c>
      <c r="K516" s="545">
        <v>0</v>
      </c>
      <c r="L516" s="545">
        <v>0</v>
      </c>
      <c r="M516" s="546">
        <v>1.63</v>
      </c>
      <c r="N516" s="546">
        <v>0</v>
      </c>
      <c r="O516" s="546">
        <v>0</v>
      </c>
      <c r="P516" s="545">
        <v>0</v>
      </c>
    </row>
    <row r="517" spans="4:19" x14ac:dyDescent="0.25">
      <c r="F517" s="176" t="s">
        <v>53</v>
      </c>
      <c r="G517" s="167"/>
      <c r="H517" s="167" t="s">
        <v>164</v>
      </c>
      <c r="I517" s="167"/>
      <c r="J517" s="547">
        <v>1.23</v>
      </c>
      <c r="K517" s="547">
        <v>0.31900000000000001</v>
      </c>
      <c r="L517" s="547">
        <v>0</v>
      </c>
      <c r="M517" s="548">
        <v>1.63</v>
      </c>
      <c r="N517" s="548">
        <v>0</v>
      </c>
      <c r="O517" s="548">
        <v>0</v>
      </c>
      <c r="P517" s="547">
        <v>0</v>
      </c>
    </row>
    <row r="518" spans="4:19" x14ac:dyDescent="0.25">
      <c r="F518" s="176" t="s">
        <v>84</v>
      </c>
      <c r="G518" s="167"/>
      <c r="H518" s="167" t="s">
        <v>164</v>
      </c>
      <c r="I518" s="167"/>
      <c r="J518" s="547">
        <v>0.36599999999999999</v>
      </c>
      <c r="K518" s="547">
        <v>0</v>
      </c>
      <c r="L518" s="547">
        <v>0</v>
      </c>
      <c r="M518" s="548">
        <v>0</v>
      </c>
      <c r="N518" s="548">
        <v>0</v>
      </c>
      <c r="O518" s="548">
        <v>0</v>
      </c>
      <c r="P518" s="547">
        <v>0</v>
      </c>
    </row>
    <row r="519" spans="4:19" x14ac:dyDescent="0.25">
      <c r="F519" s="176" t="s">
        <v>54</v>
      </c>
      <c r="G519" s="167"/>
      <c r="H519" s="167" t="s">
        <v>164</v>
      </c>
      <c r="I519" s="167"/>
      <c r="J519" s="547">
        <v>0.95099999999999996</v>
      </c>
      <c r="K519" s="547">
        <v>0</v>
      </c>
      <c r="L519" s="547">
        <v>0</v>
      </c>
      <c r="M519" s="548">
        <v>2.4500000000000002</v>
      </c>
      <c r="N519" s="548">
        <v>0</v>
      </c>
      <c r="O519" s="548">
        <v>0</v>
      </c>
      <c r="P519" s="547">
        <v>0</v>
      </c>
    </row>
    <row r="520" spans="4:19" x14ac:dyDescent="0.25">
      <c r="F520" s="176" t="s">
        <v>55</v>
      </c>
      <c r="G520" s="167"/>
      <c r="H520" s="167" t="s">
        <v>164</v>
      </c>
      <c r="I520" s="167"/>
      <c r="J520" s="547">
        <v>1.3340000000000001</v>
      </c>
      <c r="K520" s="547">
        <v>0.39100000000000001</v>
      </c>
      <c r="L520" s="547">
        <v>0</v>
      </c>
      <c r="M520" s="548">
        <v>2.4500000000000002</v>
      </c>
      <c r="N520" s="548">
        <v>0</v>
      </c>
      <c r="O520" s="548">
        <v>0</v>
      </c>
      <c r="P520" s="547">
        <v>0</v>
      </c>
    </row>
    <row r="521" spans="4:19" x14ac:dyDescent="0.25">
      <c r="F521" s="176" t="s">
        <v>85</v>
      </c>
      <c r="G521" s="167"/>
      <c r="H521" s="167" t="s">
        <v>164</v>
      </c>
      <c r="I521" s="167"/>
      <c r="J521" s="547">
        <v>0.42699999999999999</v>
      </c>
      <c r="K521" s="547">
        <v>0</v>
      </c>
      <c r="L521" s="547">
        <v>0</v>
      </c>
      <c r="M521" s="548">
        <v>0</v>
      </c>
      <c r="N521" s="548">
        <v>0</v>
      </c>
      <c r="O521" s="548">
        <v>0</v>
      </c>
      <c r="P521" s="547">
        <v>0</v>
      </c>
    </row>
    <row r="522" spans="4:19" x14ac:dyDescent="0.25">
      <c r="F522" s="176" t="s">
        <v>56</v>
      </c>
      <c r="G522" s="167"/>
      <c r="H522" s="167" t="s">
        <v>164</v>
      </c>
      <c r="I522" s="167"/>
      <c r="J522" s="547">
        <v>0.81499999999999995</v>
      </c>
      <c r="K522" s="547">
        <v>0.315</v>
      </c>
      <c r="L522" s="547">
        <v>0</v>
      </c>
      <c r="M522" s="548">
        <v>13.46</v>
      </c>
      <c r="N522" s="548">
        <v>0</v>
      </c>
      <c r="O522" s="548">
        <v>0</v>
      </c>
      <c r="P522" s="547">
        <v>0</v>
      </c>
    </row>
    <row r="523" spans="4:19" x14ac:dyDescent="0.25">
      <c r="F523" s="176" t="s">
        <v>57</v>
      </c>
      <c r="G523" s="167"/>
      <c r="H523" s="167" t="s">
        <v>164</v>
      </c>
      <c r="I523" s="167"/>
      <c r="J523" s="553"/>
      <c r="K523" s="553"/>
      <c r="L523" s="553"/>
      <c r="M523" s="554"/>
      <c r="N523" s="554"/>
      <c r="O523" s="554"/>
      <c r="P523" s="553"/>
    </row>
    <row r="524" spans="4:19" x14ac:dyDescent="0.25">
      <c r="F524" s="176" t="s">
        <v>72</v>
      </c>
      <c r="G524" s="167"/>
      <c r="H524" s="167" t="s">
        <v>164</v>
      </c>
      <c r="I524" s="167"/>
      <c r="J524" s="553"/>
      <c r="K524" s="553"/>
      <c r="L524" s="553"/>
      <c r="M524" s="554"/>
      <c r="N524" s="554"/>
      <c r="O524" s="554"/>
      <c r="P524" s="553"/>
    </row>
    <row r="525" spans="4:19" x14ac:dyDescent="0.25">
      <c r="F525" s="176" t="s">
        <v>58</v>
      </c>
      <c r="G525" s="167"/>
      <c r="H525" s="167" t="s">
        <v>164</v>
      </c>
      <c r="I525" s="167"/>
      <c r="J525" s="547">
        <v>4.2380000000000004</v>
      </c>
      <c r="K525" s="547">
        <v>0.67700000000000005</v>
      </c>
      <c r="L525" s="547">
        <v>0.29399999999999998</v>
      </c>
      <c r="M525" s="548">
        <v>1.63</v>
      </c>
      <c r="N525" s="548">
        <v>0</v>
      </c>
      <c r="O525" s="548">
        <v>0</v>
      </c>
      <c r="P525" s="547">
        <v>0</v>
      </c>
    </row>
    <row r="526" spans="4:19" x14ac:dyDescent="0.25">
      <c r="F526" s="176" t="s">
        <v>59</v>
      </c>
      <c r="G526" s="167"/>
      <c r="H526" s="167" t="s">
        <v>164</v>
      </c>
      <c r="I526" s="167"/>
      <c r="J526" s="547">
        <v>4.4489999999999998</v>
      </c>
      <c r="K526" s="547">
        <v>0.69899999999999995</v>
      </c>
      <c r="L526" s="547">
        <v>0.29599999999999999</v>
      </c>
      <c r="M526" s="548">
        <v>2.4500000000000002</v>
      </c>
      <c r="N526" s="548">
        <v>0</v>
      </c>
      <c r="O526" s="548">
        <v>0</v>
      </c>
      <c r="P526" s="547">
        <v>0</v>
      </c>
    </row>
    <row r="527" spans="4:19" x14ac:dyDescent="0.25">
      <c r="F527" s="176" t="s">
        <v>60</v>
      </c>
      <c r="G527" s="167"/>
      <c r="H527" s="167" t="s">
        <v>164</v>
      </c>
      <c r="I527" s="167"/>
      <c r="J527" s="547">
        <v>3.0510000000000002</v>
      </c>
      <c r="K527" s="547">
        <v>0.51700000000000002</v>
      </c>
      <c r="L527" s="547">
        <v>0.28399999999999997</v>
      </c>
      <c r="M527" s="548">
        <v>7.74</v>
      </c>
      <c r="N527" s="548">
        <v>1.1399999999999999</v>
      </c>
      <c r="O527" s="548">
        <v>2.16</v>
      </c>
      <c r="P527" s="547">
        <v>9.7000000000000003E-2</v>
      </c>
    </row>
    <row r="528" spans="4:19" x14ac:dyDescent="0.25">
      <c r="F528" s="176" t="s">
        <v>61</v>
      </c>
      <c r="G528" s="167"/>
      <c r="H528" s="167" t="s">
        <v>164</v>
      </c>
      <c r="I528" s="167"/>
      <c r="J528" s="547">
        <v>3.8570000000000002</v>
      </c>
      <c r="K528" s="547">
        <v>0.63400000000000001</v>
      </c>
      <c r="L528" s="547">
        <v>0.44</v>
      </c>
      <c r="M528" s="548">
        <v>19.3</v>
      </c>
      <c r="N528" s="548">
        <v>3.23</v>
      </c>
      <c r="O528" s="548">
        <v>4.37</v>
      </c>
      <c r="P528" s="547">
        <v>9.8000000000000004E-2</v>
      </c>
    </row>
    <row r="529" spans="6:16" x14ac:dyDescent="0.25">
      <c r="F529" s="176" t="s">
        <v>73</v>
      </c>
      <c r="G529" s="167"/>
      <c r="H529" s="167" t="s">
        <v>164</v>
      </c>
      <c r="I529" s="167"/>
      <c r="J529" s="547">
        <v>3.3340000000000001</v>
      </c>
      <c r="K529" s="547">
        <v>0.63600000000000001</v>
      </c>
      <c r="L529" s="547">
        <v>0.499</v>
      </c>
      <c r="M529" s="548">
        <v>126.28</v>
      </c>
      <c r="N529" s="548">
        <v>4.57</v>
      </c>
      <c r="O529" s="548">
        <v>5.67</v>
      </c>
      <c r="P529" s="547">
        <v>7.3999999999999996E-2</v>
      </c>
    </row>
    <row r="530" spans="6:16" x14ac:dyDescent="0.25">
      <c r="F530" s="176" t="s">
        <v>86</v>
      </c>
      <c r="G530" s="167"/>
      <c r="H530" s="167" t="s">
        <v>164</v>
      </c>
      <c r="I530" s="167"/>
      <c r="J530" s="547">
        <v>1.345</v>
      </c>
      <c r="K530" s="547">
        <v>0</v>
      </c>
      <c r="L530" s="547">
        <v>0</v>
      </c>
      <c r="M530" s="548">
        <v>0</v>
      </c>
      <c r="N530" s="548">
        <v>0</v>
      </c>
      <c r="O530" s="548">
        <v>0</v>
      </c>
      <c r="P530" s="547">
        <v>0</v>
      </c>
    </row>
    <row r="531" spans="6:16" x14ac:dyDescent="0.25">
      <c r="F531" s="176" t="s">
        <v>87</v>
      </c>
      <c r="G531" s="167"/>
      <c r="H531" s="167" t="s">
        <v>164</v>
      </c>
      <c r="I531" s="167"/>
      <c r="J531" s="547">
        <v>1.3680000000000001</v>
      </c>
      <c r="K531" s="547">
        <v>0</v>
      </c>
      <c r="L531" s="547">
        <v>0</v>
      </c>
      <c r="M531" s="548">
        <v>0</v>
      </c>
      <c r="N531" s="548">
        <v>0</v>
      </c>
      <c r="O531" s="548">
        <v>0</v>
      </c>
      <c r="P531" s="547">
        <v>0</v>
      </c>
    </row>
    <row r="532" spans="6:16" x14ac:dyDescent="0.25">
      <c r="F532" s="176" t="s">
        <v>88</v>
      </c>
      <c r="G532" s="167"/>
      <c r="H532" s="167" t="s">
        <v>164</v>
      </c>
      <c r="I532" s="167"/>
      <c r="J532" s="547">
        <v>1.7230000000000001</v>
      </c>
      <c r="K532" s="547">
        <v>0</v>
      </c>
      <c r="L532" s="547">
        <v>0</v>
      </c>
      <c r="M532" s="548">
        <v>0</v>
      </c>
      <c r="N532" s="548">
        <v>0</v>
      </c>
      <c r="O532" s="548">
        <v>0</v>
      </c>
      <c r="P532" s="547">
        <v>0</v>
      </c>
    </row>
    <row r="533" spans="6:16" x14ac:dyDescent="0.25">
      <c r="F533" s="176" t="s">
        <v>89</v>
      </c>
      <c r="G533" s="167"/>
      <c r="H533" s="167" t="s">
        <v>164</v>
      </c>
      <c r="I533" s="167"/>
      <c r="J533" s="547">
        <v>1.3520000000000001</v>
      </c>
      <c r="K533" s="547">
        <v>0</v>
      </c>
      <c r="L533" s="547">
        <v>0</v>
      </c>
      <c r="M533" s="548">
        <v>0</v>
      </c>
      <c r="N533" s="548">
        <v>0</v>
      </c>
      <c r="O533" s="548">
        <v>0</v>
      </c>
      <c r="P533" s="547">
        <v>0</v>
      </c>
    </row>
    <row r="534" spans="6:16" x14ac:dyDescent="0.25">
      <c r="F534" s="176" t="s">
        <v>90</v>
      </c>
      <c r="G534" s="167"/>
      <c r="H534" s="167" t="s">
        <v>164</v>
      </c>
      <c r="I534" s="167"/>
      <c r="J534" s="547">
        <v>6.6150000000000002</v>
      </c>
      <c r="K534" s="547">
        <v>1.3360000000000001</v>
      </c>
      <c r="L534" s="547">
        <v>0.97799999999999998</v>
      </c>
      <c r="M534" s="548">
        <v>0</v>
      </c>
      <c r="N534" s="548">
        <v>0</v>
      </c>
      <c r="O534" s="548">
        <v>0</v>
      </c>
      <c r="P534" s="547">
        <v>0</v>
      </c>
    </row>
    <row r="535" spans="6:16" x14ac:dyDescent="0.25">
      <c r="F535" s="176" t="s">
        <v>62</v>
      </c>
      <c r="G535" s="167"/>
      <c r="H535" s="167" t="s">
        <v>164</v>
      </c>
      <c r="I535" s="167"/>
      <c r="J535" s="547">
        <v>-0.86799999999999999</v>
      </c>
      <c r="K535" s="547">
        <v>0</v>
      </c>
      <c r="L535" s="547">
        <v>0</v>
      </c>
      <c r="M535" s="548">
        <v>0</v>
      </c>
      <c r="N535" s="548">
        <v>0</v>
      </c>
      <c r="O535" s="548">
        <v>0</v>
      </c>
      <c r="P535" s="547">
        <v>0</v>
      </c>
    </row>
    <row r="536" spans="6:16" x14ac:dyDescent="0.25">
      <c r="F536" s="176" t="s">
        <v>63</v>
      </c>
      <c r="G536" s="167"/>
      <c r="H536" s="167" t="s">
        <v>164</v>
      </c>
      <c r="I536" s="167"/>
      <c r="J536" s="547">
        <v>-0.76</v>
      </c>
      <c r="K536" s="547">
        <v>0</v>
      </c>
      <c r="L536" s="547">
        <v>0</v>
      </c>
      <c r="M536" s="548">
        <v>0</v>
      </c>
      <c r="N536" s="548">
        <v>0</v>
      </c>
      <c r="O536" s="548">
        <v>0</v>
      </c>
      <c r="P536" s="547">
        <v>0</v>
      </c>
    </row>
    <row r="537" spans="6:16" x14ac:dyDescent="0.25">
      <c r="F537" s="176" t="s">
        <v>64</v>
      </c>
      <c r="G537" s="167"/>
      <c r="H537" s="167" t="s">
        <v>164</v>
      </c>
      <c r="I537" s="167"/>
      <c r="J537" s="547">
        <v>-0.86799999999999999</v>
      </c>
      <c r="K537" s="547">
        <v>0</v>
      </c>
      <c r="L537" s="547">
        <v>0</v>
      </c>
      <c r="M537" s="548">
        <v>0</v>
      </c>
      <c r="N537" s="548">
        <v>0</v>
      </c>
      <c r="O537" s="548">
        <v>0</v>
      </c>
      <c r="P537" s="547">
        <v>0.20300000000000001</v>
      </c>
    </row>
    <row r="538" spans="6:16" x14ac:dyDescent="0.25">
      <c r="F538" s="176" t="s">
        <v>65</v>
      </c>
      <c r="G538" s="167"/>
      <c r="H538" s="167" t="s">
        <v>164</v>
      </c>
      <c r="I538" s="167"/>
      <c r="J538" s="553"/>
      <c r="K538" s="553"/>
      <c r="L538" s="553"/>
      <c r="M538" s="554"/>
      <c r="N538" s="554"/>
      <c r="O538" s="554"/>
      <c r="P538" s="553"/>
    </row>
    <row r="539" spans="6:16" x14ac:dyDescent="0.25">
      <c r="F539" s="176" t="s">
        <v>66</v>
      </c>
      <c r="G539" s="167"/>
      <c r="H539" s="167" t="s">
        <v>164</v>
      </c>
      <c r="I539" s="167"/>
      <c r="J539" s="547">
        <v>-6.093</v>
      </c>
      <c r="K539" s="547">
        <v>-0.624</v>
      </c>
      <c r="L539" s="547">
        <v>-3.5999999999999997E-2</v>
      </c>
      <c r="M539" s="548">
        <v>0</v>
      </c>
      <c r="N539" s="548">
        <v>0</v>
      </c>
      <c r="O539" s="548">
        <v>0</v>
      </c>
      <c r="P539" s="547">
        <v>0.20300000000000001</v>
      </c>
    </row>
    <row r="540" spans="6:16" x14ac:dyDescent="0.25">
      <c r="F540" s="176" t="s">
        <v>67</v>
      </c>
      <c r="G540" s="167"/>
      <c r="H540" s="167" t="s">
        <v>164</v>
      </c>
      <c r="I540" s="167"/>
      <c r="J540" s="553"/>
      <c r="K540" s="553"/>
      <c r="L540" s="553"/>
      <c r="M540" s="554"/>
      <c r="N540" s="554"/>
      <c r="O540" s="554"/>
      <c r="P540" s="553"/>
    </row>
    <row r="541" spans="6:16" x14ac:dyDescent="0.25">
      <c r="F541" s="176" t="s">
        <v>68</v>
      </c>
      <c r="G541" s="167"/>
      <c r="H541" s="167" t="s">
        <v>164</v>
      </c>
      <c r="I541" s="167"/>
      <c r="J541" s="547">
        <v>-0.76</v>
      </c>
      <c r="K541" s="547">
        <v>0</v>
      </c>
      <c r="L541" s="547">
        <v>0</v>
      </c>
      <c r="M541" s="548">
        <v>0</v>
      </c>
      <c r="N541" s="548">
        <v>0</v>
      </c>
      <c r="O541" s="548">
        <v>0</v>
      </c>
      <c r="P541" s="547">
        <v>0.182</v>
      </c>
    </row>
    <row r="542" spans="6:16" x14ac:dyDescent="0.25">
      <c r="F542" s="176" t="s">
        <v>69</v>
      </c>
      <c r="G542" s="167"/>
      <c r="H542" s="167" t="s">
        <v>164</v>
      </c>
      <c r="I542" s="167"/>
      <c r="J542" s="553"/>
      <c r="K542" s="553"/>
      <c r="L542" s="553"/>
      <c r="M542" s="554"/>
      <c r="N542" s="554"/>
      <c r="O542" s="554"/>
      <c r="P542" s="553"/>
    </row>
    <row r="543" spans="6:16" x14ac:dyDescent="0.25">
      <c r="F543" s="176" t="s">
        <v>70</v>
      </c>
      <c r="G543" s="167"/>
      <c r="H543" s="167" t="s">
        <v>164</v>
      </c>
      <c r="I543" s="167"/>
      <c r="J543" s="547">
        <v>-5.4969999999999999</v>
      </c>
      <c r="K543" s="547">
        <v>-0.51900000000000002</v>
      </c>
      <c r="L543" s="547">
        <v>-2.8000000000000001E-2</v>
      </c>
      <c r="M543" s="548">
        <v>0</v>
      </c>
      <c r="N543" s="548">
        <v>0</v>
      </c>
      <c r="O543" s="548">
        <v>0</v>
      </c>
      <c r="P543" s="547">
        <v>0.182</v>
      </c>
    </row>
    <row r="544" spans="6:16" x14ac:dyDescent="0.25">
      <c r="F544" s="176" t="s">
        <v>71</v>
      </c>
      <c r="G544" s="167"/>
      <c r="H544" s="167" t="s">
        <v>164</v>
      </c>
      <c r="I544" s="167"/>
      <c r="J544" s="553"/>
      <c r="K544" s="553"/>
      <c r="L544" s="553"/>
      <c r="M544" s="554"/>
      <c r="N544" s="554"/>
      <c r="O544" s="554"/>
      <c r="P544" s="553"/>
    </row>
    <row r="545" spans="3:19" x14ac:dyDescent="0.25">
      <c r="F545" s="176" t="s">
        <v>74</v>
      </c>
      <c r="G545" s="167"/>
      <c r="H545" s="167" t="s">
        <v>164</v>
      </c>
      <c r="I545" s="167"/>
      <c r="J545" s="547">
        <v>-0.503</v>
      </c>
      <c r="K545" s="547">
        <v>0</v>
      </c>
      <c r="L545" s="547">
        <v>0</v>
      </c>
      <c r="M545" s="548">
        <v>0</v>
      </c>
      <c r="N545" s="548">
        <v>0</v>
      </c>
      <c r="O545" s="548">
        <v>0</v>
      </c>
      <c r="P545" s="547">
        <v>0.16</v>
      </c>
    </row>
    <row r="546" spans="3:19" x14ac:dyDescent="0.25">
      <c r="F546" s="176" t="s">
        <v>75</v>
      </c>
      <c r="G546" s="167"/>
      <c r="H546" s="167" t="s">
        <v>164</v>
      </c>
      <c r="I546" s="167"/>
      <c r="J546" s="553"/>
      <c r="K546" s="553"/>
      <c r="L546" s="553"/>
      <c r="M546" s="554"/>
      <c r="N546" s="554"/>
      <c r="O546" s="554"/>
      <c r="P546" s="553"/>
    </row>
    <row r="547" spans="3:19" x14ac:dyDescent="0.25">
      <c r="F547" s="176" t="s">
        <v>76</v>
      </c>
      <c r="G547" s="167"/>
      <c r="H547" s="167" t="s">
        <v>164</v>
      </c>
      <c r="I547" s="167"/>
      <c r="J547" s="547">
        <v>-4.226</v>
      </c>
      <c r="K547" s="547">
        <v>-0.248</v>
      </c>
      <c r="L547" s="547">
        <v>-8.9999999999999993E-3</v>
      </c>
      <c r="M547" s="548">
        <v>0</v>
      </c>
      <c r="N547" s="548">
        <v>0</v>
      </c>
      <c r="O547" s="548">
        <v>0</v>
      </c>
      <c r="P547" s="547">
        <v>0.16</v>
      </c>
    </row>
    <row r="548" spans="3:19" x14ac:dyDescent="0.25">
      <c r="F548" s="177" t="s">
        <v>77</v>
      </c>
      <c r="G548" s="168"/>
      <c r="H548" s="168" t="s">
        <v>164</v>
      </c>
      <c r="I548" s="168"/>
      <c r="J548" s="555"/>
      <c r="K548" s="555"/>
      <c r="L548" s="555"/>
      <c r="M548" s="556"/>
      <c r="N548" s="556"/>
      <c r="O548" s="556"/>
      <c r="P548" s="555"/>
    </row>
    <row r="549" spans="3:19" x14ac:dyDescent="0.25">
      <c r="D549" s="172"/>
      <c r="E549" s="172"/>
      <c r="F549" s="172"/>
      <c r="G549" s="172"/>
      <c r="H549" s="172"/>
      <c r="I549" s="172"/>
      <c r="J549" s="172"/>
      <c r="K549" s="172"/>
      <c r="L549" s="172"/>
      <c r="M549" s="370"/>
      <c r="N549" s="370"/>
      <c r="O549" s="370"/>
      <c r="P549" s="172"/>
      <c r="Q549" s="172"/>
      <c r="R549" s="172"/>
      <c r="S549" s="172"/>
    </row>
    <row r="550" spans="3:19" s="338" customFormat="1" x14ac:dyDescent="0.25">
      <c r="C550" s="22" t="str">
        <f ca="1">INDEX('Version control'!$H$34:$H$59,MATCH($A$1,'Version control'!$F$34:$F$59,0),1)&amp;"-F: Tariff results for charging year " &amp; 'ARP_User control'!G35</f>
        <v>Output 501-F: Tariff results for charging year 2024/25</v>
      </c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</row>
    <row r="551" spans="3:19" x14ac:dyDescent="0.25">
      <c r="D551" s="160"/>
      <c r="E551" s="338"/>
      <c r="F551" s="338"/>
      <c r="J551" s="200"/>
      <c r="K551" s="200"/>
      <c r="L551" s="200"/>
      <c r="M551" s="368"/>
      <c r="N551" s="368"/>
      <c r="O551" s="368"/>
      <c r="P551" s="200"/>
    </row>
    <row r="552" spans="3:19" x14ac:dyDescent="0.25">
      <c r="D552" s="172"/>
      <c r="E552" s="172" t="str">
        <f>"All the way tariff forecast "&amp; 'ARP_User control'!G35</f>
        <v>All the way tariff forecast 2024/25</v>
      </c>
      <c r="F552" s="338"/>
      <c r="J552" s="200"/>
      <c r="K552" s="200"/>
      <c r="L552" s="200"/>
      <c r="M552" s="368"/>
      <c r="N552" s="368"/>
      <c r="O552" s="368"/>
      <c r="P552" s="200"/>
    </row>
    <row r="553" spans="3:19" x14ac:dyDescent="0.25">
      <c r="C553" s="161"/>
      <c r="F553" s="180" t="s">
        <v>52</v>
      </c>
      <c r="G553" s="166"/>
      <c r="H553" s="166" t="s">
        <v>391</v>
      </c>
      <c r="I553" s="166"/>
      <c r="J553" s="545">
        <v>2.4359999999999999</v>
      </c>
      <c r="K553" s="545">
        <v>0</v>
      </c>
      <c r="L553" s="545">
        <v>0</v>
      </c>
      <c r="M553" s="546">
        <v>3.86</v>
      </c>
      <c r="N553" s="546">
        <v>0</v>
      </c>
      <c r="O553" s="546">
        <v>0</v>
      </c>
      <c r="P553" s="545">
        <v>0</v>
      </c>
    </row>
    <row r="554" spans="3:19" x14ac:dyDescent="0.25">
      <c r="C554" s="161"/>
      <c r="F554" s="176" t="s">
        <v>53</v>
      </c>
      <c r="G554" s="167"/>
      <c r="H554" s="167" t="s">
        <v>391</v>
      </c>
      <c r="I554" s="167"/>
      <c r="J554" s="547">
        <v>2.91</v>
      </c>
      <c r="K554" s="547">
        <v>0.748</v>
      </c>
      <c r="L554" s="547">
        <v>0</v>
      </c>
      <c r="M554" s="548">
        <v>3.86</v>
      </c>
      <c r="N554" s="548">
        <v>0</v>
      </c>
      <c r="O554" s="548">
        <v>0</v>
      </c>
      <c r="P554" s="547">
        <v>0</v>
      </c>
    </row>
    <row r="555" spans="3:19" x14ac:dyDescent="0.25">
      <c r="C555" s="161"/>
      <c r="F555" s="176" t="s">
        <v>84</v>
      </c>
      <c r="G555" s="167"/>
      <c r="H555" s="167" t="s">
        <v>391</v>
      </c>
      <c r="I555" s="167"/>
      <c r="J555" s="547">
        <v>0.85799999999999998</v>
      </c>
      <c r="K555" s="547">
        <v>0</v>
      </c>
      <c r="L555" s="547">
        <v>0</v>
      </c>
      <c r="M555" s="548">
        <v>0</v>
      </c>
      <c r="N555" s="548">
        <v>0</v>
      </c>
      <c r="O555" s="548">
        <v>0</v>
      </c>
      <c r="P555" s="547">
        <v>0</v>
      </c>
    </row>
    <row r="556" spans="3:19" x14ac:dyDescent="0.25">
      <c r="C556" s="161"/>
      <c r="F556" s="176" t="s">
        <v>54</v>
      </c>
      <c r="G556" s="167"/>
      <c r="H556" s="167" t="s">
        <v>391</v>
      </c>
      <c r="I556" s="167"/>
      <c r="J556" s="547">
        <v>2.2549999999999999</v>
      </c>
      <c r="K556" s="547">
        <v>0</v>
      </c>
      <c r="L556" s="547">
        <v>0</v>
      </c>
      <c r="M556" s="548">
        <v>5.79</v>
      </c>
      <c r="N556" s="548">
        <v>0</v>
      </c>
      <c r="O556" s="548">
        <v>0</v>
      </c>
      <c r="P556" s="547">
        <v>0</v>
      </c>
    </row>
    <row r="557" spans="3:19" x14ac:dyDescent="0.25">
      <c r="C557" s="161"/>
      <c r="F557" s="176" t="s">
        <v>55</v>
      </c>
      <c r="G557" s="167"/>
      <c r="H557" s="167" t="s">
        <v>391</v>
      </c>
      <c r="I557" s="167"/>
      <c r="J557" s="547">
        <v>3.1640000000000001</v>
      </c>
      <c r="K557" s="547">
        <v>0.91800000000000004</v>
      </c>
      <c r="L557" s="547">
        <v>0</v>
      </c>
      <c r="M557" s="548">
        <v>5.79</v>
      </c>
      <c r="N557" s="548">
        <v>0</v>
      </c>
      <c r="O557" s="548">
        <v>0</v>
      </c>
      <c r="P557" s="547">
        <v>0</v>
      </c>
    </row>
    <row r="558" spans="3:19" x14ac:dyDescent="0.25">
      <c r="C558" s="161"/>
      <c r="F558" s="176" t="s">
        <v>85</v>
      </c>
      <c r="G558" s="167"/>
      <c r="H558" s="167" t="s">
        <v>391</v>
      </c>
      <c r="I558" s="167"/>
      <c r="J558" s="547">
        <v>1.002</v>
      </c>
      <c r="K558" s="547">
        <v>0</v>
      </c>
      <c r="L558" s="547">
        <v>0</v>
      </c>
      <c r="M558" s="548">
        <v>0</v>
      </c>
      <c r="N558" s="548">
        <v>0</v>
      </c>
      <c r="O558" s="548">
        <v>0</v>
      </c>
      <c r="P558" s="547">
        <v>0</v>
      </c>
    </row>
    <row r="559" spans="3:19" x14ac:dyDescent="0.25">
      <c r="C559" s="161"/>
      <c r="F559" s="176" t="s">
        <v>56</v>
      </c>
      <c r="G559" s="167"/>
      <c r="H559" s="167" t="s">
        <v>391</v>
      </c>
      <c r="I559" s="167"/>
      <c r="J559" s="547">
        <v>1.929</v>
      </c>
      <c r="K559" s="547">
        <v>0.73799999999999999</v>
      </c>
      <c r="L559" s="547">
        <v>0</v>
      </c>
      <c r="M559" s="548">
        <v>31.85</v>
      </c>
      <c r="N559" s="548">
        <v>0</v>
      </c>
      <c r="O559" s="548">
        <v>0</v>
      </c>
      <c r="P559" s="547">
        <v>0</v>
      </c>
    </row>
    <row r="560" spans="3:19" x14ac:dyDescent="0.25">
      <c r="C560" s="161"/>
      <c r="F560" s="176" t="s">
        <v>57</v>
      </c>
      <c r="G560" s="167"/>
      <c r="H560" s="167" t="s">
        <v>391</v>
      </c>
      <c r="I560" s="167"/>
      <c r="J560" s="547">
        <v>1.6930000000000001</v>
      </c>
      <c r="K560" s="547">
        <v>0.71399999999999997</v>
      </c>
      <c r="L560" s="547">
        <v>0</v>
      </c>
      <c r="M560" s="548">
        <v>28.61</v>
      </c>
      <c r="N560" s="548">
        <v>0</v>
      </c>
      <c r="O560" s="548">
        <v>0</v>
      </c>
      <c r="P560" s="547">
        <v>0</v>
      </c>
    </row>
    <row r="561" spans="3:16" x14ac:dyDescent="0.25">
      <c r="C561" s="161"/>
      <c r="F561" s="176" t="s">
        <v>72</v>
      </c>
      <c r="G561" s="167"/>
      <c r="H561" s="167" t="s">
        <v>391</v>
      </c>
      <c r="I561" s="167"/>
      <c r="J561" s="547">
        <v>1.2250000000000001</v>
      </c>
      <c r="K561" s="547">
        <v>0.66800000000000004</v>
      </c>
      <c r="L561" s="547">
        <v>0</v>
      </c>
      <c r="M561" s="548">
        <v>323.94</v>
      </c>
      <c r="N561" s="548">
        <v>0</v>
      </c>
      <c r="O561" s="548">
        <v>0</v>
      </c>
      <c r="P561" s="547">
        <v>0</v>
      </c>
    </row>
    <row r="562" spans="3:16" x14ac:dyDescent="0.25">
      <c r="C562" s="161"/>
      <c r="F562" s="176" t="s">
        <v>58</v>
      </c>
      <c r="G562" s="167"/>
      <c r="H562" s="167" t="s">
        <v>391</v>
      </c>
      <c r="I562" s="167"/>
      <c r="J562" s="547">
        <v>10.066000000000001</v>
      </c>
      <c r="K562" s="547">
        <v>1.605</v>
      </c>
      <c r="L562" s="547">
        <v>0.68799999999999994</v>
      </c>
      <c r="M562" s="548">
        <v>3.86</v>
      </c>
      <c r="N562" s="548">
        <v>0</v>
      </c>
      <c r="O562" s="548">
        <v>0</v>
      </c>
      <c r="P562" s="547">
        <v>0</v>
      </c>
    </row>
    <row r="563" spans="3:16" x14ac:dyDescent="0.25">
      <c r="C563" s="161"/>
      <c r="F563" s="176" t="s">
        <v>59</v>
      </c>
      <c r="G563" s="167"/>
      <c r="H563" s="167" t="s">
        <v>391</v>
      </c>
      <c r="I563" s="167"/>
      <c r="J563" s="547">
        <v>10.561</v>
      </c>
      <c r="K563" s="547">
        <v>1.6559999999999999</v>
      </c>
      <c r="L563" s="547">
        <v>0.69099999999999995</v>
      </c>
      <c r="M563" s="548">
        <v>5.79</v>
      </c>
      <c r="N563" s="548">
        <v>0</v>
      </c>
      <c r="O563" s="548">
        <v>0</v>
      </c>
      <c r="P563" s="547">
        <v>0</v>
      </c>
    </row>
    <row r="564" spans="3:16" x14ac:dyDescent="0.25">
      <c r="C564" s="161"/>
      <c r="F564" s="176" t="s">
        <v>60</v>
      </c>
      <c r="G564" s="167"/>
      <c r="H564" s="167" t="s">
        <v>391</v>
      </c>
      <c r="I564" s="167"/>
      <c r="J564" s="547">
        <v>7.2110000000000003</v>
      </c>
      <c r="K564" s="547">
        <v>1.2190000000000001</v>
      </c>
      <c r="L564" s="547">
        <v>0.66300000000000003</v>
      </c>
      <c r="M564" s="548">
        <v>18.29</v>
      </c>
      <c r="N564" s="548">
        <v>2.7</v>
      </c>
      <c r="O564" s="548">
        <v>5.13</v>
      </c>
      <c r="P564" s="547">
        <v>0.23100000000000001</v>
      </c>
    </row>
    <row r="565" spans="3:16" x14ac:dyDescent="0.25">
      <c r="C565" s="161"/>
      <c r="F565" s="176" t="s">
        <v>61</v>
      </c>
      <c r="G565" s="167"/>
      <c r="H565" s="167" t="s">
        <v>391</v>
      </c>
      <c r="I565" s="167"/>
      <c r="J565" s="547">
        <v>5.7409999999999997</v>
      </c>
      <c r="K565" s="547">
        <v>0.93600000000000005</v>
      </c>
      <c r="L565" s="547">
        <v>0.64400000000000002</v>
      </c>
      <c r="M565" s="548">
        <v>28.61</v>
      </c>
      <c r="N565" s="548">
        <v>4.82</v>
      </c>
      <c r="O565" s="548">
        <v>6.52</v>
      </c>
      <c r="P565" s="547">
        <v>0.14599999999999999</v>
      </c>
    </row>
    <row r="566" spans="3:16" x14ac:dyDescent="0.25">
      <c r="C566" s="161"/>
      <c r="F566" s="176" t="s">
        <v>73</v>
      </c>
      <c r="G566" s="167"/>
      <c r="H566" s="167" t="s">
        <v>391</v>
      </c>
      <c r="I566" s="167"/>
      <c r="J566" s="547">
        <v>4.3620000000000001</v>
      </c>
      <c r="K566" s="547">
        <v>0.82</v>
      </c>
      <c r="L566" s="547">
        <v>0.63800000000000001</v>
      </c>
      <c r="M566" s="548">
        <v>163.52000000000001</v>
      </c>
      <c r="N566" s="548">
        <v>5.96</v>
      </c>
      <c r="O566" s="548">
        <v>7.4</v>
      </c>
      <c r="P566" s="547">
        <v>9.7000000000000003E-2</v>
      </c>
    </row>
    <row r="567" spans="3:16" x14ac:dyDescent="0.25">
      <c r="C567" s="161"/>
      <c r="F567" s="176" t="s">
        <v>86</v>
      </c>
      <c r="G567" s="167"/>
      <c r="H567" s="167" t="s">
        <v>391</v>
      </c>
      <c r="I567" s="167"/>
      <c r="J567" s="547">
        <v>3.1659999999999999</v>
      </c>
      <c r="K567" s="547">
        <v>0</v>
      </c>
      <c r="L567" s="547">
        <v>0</v>
      </c>
      <c r="M567" s="548">
        <v>0</v>
      </c>
      <c r="N567" s="548">
        <v>0</v>
      </c>
      <c r="O567" s="548">
        <v>0</v>
      </c>
      <c r="P567" s="547">
        <v>0</v>
      </c>
    </row>
    <row r="568" spans="3:16" x14ac:dyDescent="0.25">
      <c r="C568" s="161"/>
      <c r="F568" s="176" t="s">
        <v>87</v>
      </c>
      <c r="G568" s="167"/>
      <c r="H568" s="167" t="s">
        <v>391</v>
      </c>
      <c r="I568" s="167"/>
      <c r="J568" s="547">
        <v>3.2240000000000002</v>
      </c>
      <c r="K568" s="547">
        <v>0</v>
      </c>
      <c r="L568" s="547">
        <v>0</v>
      </c>
      <c r="M568" s="548">
        <v>0</v>
      </c>
      <c r="N568" s="548">
        <v>0</v>
      </c>
      <c r="O568" s="548">
        <v>0</v>
      </c>
      <c r="P568" s="547">
        <v>0</v>
      </c>
    </row>
    <row r="569" spans="3:16" x14ac:dyDescent="0.25">
      <c r="C569" s="161"/>
      <c r="F569" s="176" t="s">
        <v>88</v>
      </c>
      <c r="G569" s="167"/>
      <c r="H569" s="167" t="s">
        <v>391</v>
      </c>
      <c r="I569" s="167"/>
      <c r="J569" s="547">
        <v>4.0659999999999998</v>
      </c>
      <c r="K569" s="547">
        <v>0</v>
      </c>
      <c r="L569" s="547">
        <v>0</v>
      </c>
      <c r="M569" s="548">
        <v>0</v>
      </c>
      <c r="N569" s="548">
        <v>0</v>
      </c>
      <c r="O569" s="548">
        <v>0</v>
      </c>
      <c r="P569" s="547">
        <v>0</v>
      </c>
    </row>
    <row r="570" spans="3:16" x14ac:dyDescent="0.25">
      <c r="C570" s="161"/>
      <c r="F570" s="176" t="s">
        <v>89</v>
      </c>
      <c r="G570" s="167"/>
      <c r="H570" s="167" t="s">
        <v>391</v>
      </c>
      <c r="I570" s="167"/>
      <c r="J570" s="547">
        <v>3.18</v>
      </c>
      <c r="K570" s="547">
        <v>0</v>
      </c>
      <c r="L570" s="547">
        <v>0</v>
      </c>
      <c r="M570" s="548">
        <v>0</v>
      </c>
      <c r="N570" s="548">
        <v>0</v>
      </c>
      <c r="O570" s="548">
        <v>0</v>
      </c>
      <c r="P570" s="547">
        <v>0</v>
      </c>
    </row>
    <row r="571" spans="3:16" x14ac:dyDescent="0.25">
      <c r="C571" s="161"/>
      <c r="F571" s="176" t="s">
        <v>90</v>
      </c>
      <c r="G571" s="167"/>
      <c r="H571" s="167" t="s">
        <v>391</v>
      </c>
      <c r="I571" s="167"/>
      <c r="J571" s="547">
        <v>15.705</v>
      </c>
      <c r="K571" s="547">
        <v>3.141</v>
      </c>
      <c r="L571" s="547">
        <v>2.2999999999999998</v>
      </c>
      <c r="M571" s="548">
        <v>0</v>
      </c>
      <c r="N571" s="548">
        <v>0</v>
      </c>
      <c r="O571" s="548">
        <v>0</v>
      </c>
      <c r="P571" s="547">
        <v>0</v>
      </c>
    </row>
    <row r="572" spans="3:16" x14ac:dyDescent="0.25">
      <c r="C572" s="161"/>
      <c r="F572" s="176" t="s">
        <v>62</v>
      </c>
      <c r="G572" s="167"/>
      <c r="H572" s="167" t="s">
        <v>391</v>
      </c>
      <c r="I572" s="167"/>
      <c r="J572" s="547">
        <v>-0.89600000000000002</v>
      </c>
      <c r="K572" s="547">
        <v>0</v>
      </c>
      <c r="L572" s="547">
        <v>0</v>
      </c>
      <c r="M572" s="548">
        <v>0</v>
      </c>
      <c r="N572" s="548">
        <v>0</v>
      </c>
      <c r="O572" s="548">
        <v>0</v>
      </c>
      <c r="P572" s="547">
        <v>0</v>
      </c>
    </row>
    <row r="573" spans="3:16" x14ac:dyDescent="0.25">
      <c r="C573" s="161"/>
      <c r="F573" s="176" t="s">
        <v>63</v>
      </c>
      <c r="G573" s="167"/>
      <c r="H573" s="167" t="s">
        <v>391</v>
      </c>
      <c r="I573" s="167"/>
      <c r="J573" s="547">
        <v>-0.78400000000000003</v>
      </c>
      <c r="K573" s="547">
        <v>0</v>
      </c>
      <c r="L573" s="547">
        <v>0</v>
      </c>
      <c r="M573" s="548">
        <v>0</v>
      </c>
      <c r="N573" s="548">
        <v>0</v>
      </c>
      <c r="O573" s="548">
        <v>0</v>
      </c>
      <c r="P573" s="547">
        <v>0</v>
      </c>
    </row>
    <row r="574" spans="3:16" x14ac:dyDescent="0.25">
      <c r="C574" s="161"/>
      <c r="F574" s="176" t="s">
        <v>64</v>
      </c>
      <c r="G574" s="167"/>
      <c r="H574" s="167" t="s">
        <v>391</v>
      </c>
      <c r="I574" s="167"/>
      <c r="J574" s="547">
        <v>-0.89600000000000002</v>
      </c>
      <c r="K574" s="547">
        <v>0</v>
      </c>
      <c r="L574" s="547">
        <v>0</v>
      </c>
      <c r="M574" s="548">
        <v>0</v>
      </c>
      <c r="N574" s="548">
        <v>0</v>
      </c>
      <c r="O574" s="548">
        <v>0</v>
      </c>
      <c r="P574" s="547">
        <v>0.21</v>
      </c>
    </row>
    <row r="575" spans="3:16" x14ac:dyDescent="0.25">
      <c r="C575" s="161"/>
      <c r="F575" s="176" t="s">
        <v>65</v>
      </c>
      <c r="G575" s="167"/>
      <c r="H575" s="167" t="s">
        <v>391</v>
      </c>
      <c r="I575" s="167"/>
      <c r="J575" s="547">
        <v>-0.89600000000000002</v>
      </c>
      <c r="K575" s="547">
        <v>0</v>
      </c>
      <c r="L575" s="547">
        <v>0</v>
      </c>
      <c r="M575" s="548">
        <v>0</v>
      </c>
      <c r="N575" s="548">
        <v>0</v>
      </c>
      <c r="O575" s="548">
        <v>0</v>
      </c>
      <c r="P575" s="547">
        <v>0</v>
      </c>
    </row>
    <row r="576" spans="3:16" x14ac:dyDescent="0.25">
      <c r="C576" s="161"/>
      <c r="F576" s="176" t="s">
        <v>66</v>
      </c>
      <c r="G576" s="167"/>
      <c r="H576" s="167" t="s">
        <v>391</v>
      </c>
      <c r="I576" s="167"/>
      <c r="J576" s="547">
        <v>-6.25</v>
      </c>
      <c r="K576" s="547">
        <v>-0.64500000000000002</v>
      </c>
      <c r="L576" s="547">
        <v>-3.6999999999999998E-2</v>
      </c>
      <c r="M576" s="548">
        <v>0</v>
      </c>
      <c r="N576" s="548">
        <v>0</v>
      </c>
      <c r="O576" s="548">
        <v>0</v>
      </c>
      <c r="P576" s="547">
        <v>0.21</v>
      </c>
    </row>
    <row r="577" spans="3:16" x14ac:dyDescent="0.25">
      <c r="C577" s="161"/>
      <c r="F577" s="176" t="s">
        <v>67</v>
      </c>
      <c r="G577" s="167"/>
      <c r="H577" s="167" t="s">
        <v>391</v>
      </c>
      <c r="I577" s="167"/>
      <c r="J577" s="547">
        <v>-6.25</v>
      </c>
      <c r="K577" s="547">
        <v>-0.64500000000000002</v>
      </c>
      <c r="L577" s="547">
        <v>-3.6999999999999998E-2</v>
      </c>
      <c r="M577" s="548">
        <v>0</v>
      </c>
      <c r="N577" s="548">
        <v>0</v>
      </c>
      <c r="O577" s="548">
        <v>0</v>
      </c>
      <c r="P577" s="547">
        <v>0</v>
      </c>
    </row>
    <row r="578" spans="3:16" x14ac:dyDescent="0.25">
      <c r="C578" s="161"/>
      <c r="F578" s="176" t="s">
        <v>68</v>
      </c>
      <c r="G578" s="167"/>
      <c r="H578" s="167" t="s">
        <v>391</v>
      </c>
      <c r="I578" s="167"/>
      <c r="J578" s="547">
        <v>-0.78400000000000003</v>
      </c>
      <c r="K578" s="547">
        <v>0</v>
      </c>
      <c r="L578" s="547">
        <v>0</v>
      </c>
      <c r="M578" s="548">
        <v>0</v>
      </c>
      <c r="N578" s="548">
        <v>0</v>
      </c>
      <c r="O578" s="548">
        <v>0</v>
      </c>
      <c r="P578" s="547">
        <v>0.188</v>
      </c>
    </row>
    <row r="579" spans="3:16" x14ac:dyDescent="0.25">
      <c r="C579" s="161"/>
      <c r="F579" s="176" t="s">
        <v>69</v>
      </c>
      <c r="G579" s="167"/>
      <c r="H579" s="167" t="s">
        <v>391</v>
      </c>
      <c r="I579" s="167"/>
      <c r="J579" s="547">
        <v>-0.78400000000000003</v>
      </c>
      <c r="K579" s="547">
        <v>0</v>
      </c>
      <c r="L579" s="547">
        <v>0</v>
      </c>
      <c r="M579" s="548">
        <v>0</v>
      </c>
      <c r="N579" s="548">
        <v>0</v>
      </c>
      <c r="O579" s="548">
        <v>0</v>
      </c>
      <c r="P579" s="547">
        <v>0</v>
      </c>
    </row>
    <row r="580" spans="3:16" x14ac:dyDescent="0.25">
      <c r="C580" s="161"/>
      <c r="F580" s="176" t="s">
        <v>70</v>
      </c>
      <c r="G580" s="167"/>
      <c r="H580" s="167" t="s">
        <v>391</v>
      </c>
      <c r="I580" s="167"/>
      <c r="J580" s="547">
        <v>-5.6390000000000002</v>
      </c>
      <c r="K580" s="547">
        <v>-0.53600000000000003</v>
      </c>
      <c r="L580" s="547">
        <v>-2.9000000000000001E-2</v>
      </c>
      <c r="M580" s="548">
        <v>0</v>
      </c>
      <c r="N580" s="548">
        <v>0</v>
      </c>
      <c r="O580" s="548">
        <v>0</v>
      </c>
      <c r="P580" s="547">
        <v>0.188</v>
      </c>
    </row>
    <row r="581" spans="3:16" x14ac:dyDescent="0.25">
      <c r="C581" s="161"/>
      <c r="F581" s="176" t="s">
        <v>71</v>
      </c>
      <c r="G581" s="167"/>
      <c r="H581" s="167" t="s">
        <v>391</v>
      </c>
      <c r="I581" s="167"/>
      <c r="J581" s="547">
        <v>-5.6390000000000002</v>
      </c>
      <c r="K581" s="547">
        <v>-0.53600000000000003</v>
      </c>
      <c r="L581" s="547">
        <v>-2.9000000000000001E-2</v>
      </c>
      <c r="M581" s="548">
        <v>0</v>
      </c>
      <c r="N581" s="548">
        <v>0</v>
      </c>
      <c r="O581" s="548">
        <v>0</v>
      </c>
      <c r="P581" s="547">
        <v>0</v>
      </c>
    </row>
    <row r="582" spans="3:16" x14ac:dyDescent="0.25">
      <c r="C582" s="161"/>
      <c r="F582" s="176" t="s">
        <v>74</v>
      </c>
      <c r="G582" s="167"/>
      <c r="H582" s="167" t="s">
        <v>391</v>
      </c>
      <c r="I582" s="167"/>
      <c r="J582" s="547">
        <v>-0.51900000000000002</v>
      </c>
      <c r="K582" s="547">
        <v>0</v>
      </c>
      <c r="L582" s="547">
        <v>0</v>
      </c>
      <c r="M582" s="548">
        <v>269.39</v>
      </c>
      <c r="N582" s="548">
        <v>0</v>
      </c>
      <c r="O582" s="548">
        <v>0</v>
      </c>
      <c r="P582" s="547">
        <v>0.16600000000000001</v>
      </c>
    </row>
    <row r="583" spans="3:16" x14ac:dyDescent="0.25">
      <c r="C583" s="161"/>
      <c r="F583" s="176" t="s">
        <v>75</v>
      </c>
      <c r="G583" s="167"/>
      <c r="H583" s="167" t="s">
        <v>391</v>
      </c>
      <c r="I583" s="167"/>
      <c r="J583" s="547">
        <v>-0.51900000000000002</v>
      </c>
      <c r="K583" s="547">
        <v>0</v>
      </c>
      <c r="L583" s="547">
        <v>0</v>
      </c>
      <c r="M583" s="548">
        <v>269.39</v>
      </c>
      <c r="N583" s="548">
        <v>0</v>
      </c>
      <c r="O583" s="548">
        <v>0</v>
      </c>
      <c r="P583" s="547">
        <v>0</v>
      </c>
    </row>
    <row r="584" spans="3:16" x14ac:dyDescent="0.25">
      <c r="C584" s="161"/>
      <c r="F584" s="176" t="s">
        <v>76</v>
      </c>
      <c r="G584" s="167"/>
      <c r="H584" s="167" t="s">
        <v>391</v>
      </c>
      <c r="I584" s="167"/>
      <c r="J584" s="547">
        <v>-4.335</v>
      </c>
      <c r="K584" s="547">
        <v>-0.25600000000000001</v>
      </c>
      <c r="L584" s="547">
        <v>-0.01</v>
      </c>
      <c r="M584" s="548">
        <v>269.39</v>
      </c>
      <c r="N584" s="548">
        <v>0</v>
      </c>
      <c r="O584" s="548">
        <v>0</v>
      </c>
      <c r="P584" s="547">
        <v>0.16600000000000001</v>
      </c>
    </row>
    <row r="585" spans="3:16" x14ac:dyDescent="0.25">
      <c r="C585" s="161"/>
      <c r="F585" s="177" t="s">
        <v>77</v>
      </c>
      <c r="G585" s="168"/>
      <c r="H585" s="168" t="s">
        <v>391</v>
      </c>
      <c r="I585" s="168"/>
      <c r="J585" s="549">
        <v>-4.335</v>
      </c>
      <c r="K585" s="549">
        <v>-0.25600000000000001</v>
      </c>
      <c r="L585" s="549">
        <v>-0.01</v>
      </c>
      <c r="M585" s="550">
        <v>269.39</v>
      </c>
      <c r="N585" s="550">
        <v>0</v>
      </c>
      <c r="O585" s="550">
        <v>0</v>
      </c>
      <c r="P585" s="549">
        <v>0</v>
      </c>
    </row>
    <row r="586" spans="3:16" x14ac:dyDescent="0.25">
      <c r="F586" s="175"/>
      <c r="J586" s="551"/>
      <c r="K586" s="551"/>
      <c r="L586" s="551"/>
      <c r="M586" s="552"/>
      <c r="N586" s="552"/>
      <c r="O586" s="552"/>
      <c r="P586" s="551"/>
    </row>
    <row r="587" spans="3:16" x14ac:dyDescent="0.25">
      <c r="D587" s="172"/>
      <c r="E587" s="172" t="str">
        <f>"LDNO LV tariff forecast "&amp; 'ARP_User control'!G35</f>
        <v>LDNO LV tariff forecast 2024/25</v>
      </c>
      <c r="F587" s="175"/>
      <c r="J587" s="551"/>
      <c r="K587" s="551"/>
      <c r="L587" s="551"/>
      <c r="M587" s="552"/>
      <c r="N587" s="552"/>
      <c r="O587" s="552"/>
      <c r="P587" s="551"/>
    </row>
    <row r="588" spans="3:16" x14ac:dyDescent="0.25">
      <c r="C588" s="161"/>
      <c r="F588" s="180" t="s">
        <v>52</v>
      </c>
      <c r="G588" s="166"/>
      <c r="H588" s="166" t="s">
        <v>163</v>
      </c>
      <c r="I588" s="166"/>
      <c r="J588" s="545">
        <v>1.589</v>
      </c>
      <c r="K588" s="545">
        <v>0</v>
      </c>
      <c r="L588" s="545">
        <v>0</v>
      </c>
      <c r="M588" s="546">
        <v>2.52</v>
      </c>
      <c r="N588" s="546">
        <v>0</v>
      </c>
      <c r="O588" s="546">
        <v>0</v>
      </c>
      <c r="P588" s="545">
        <v>0</v>
      </c>
    </row>
    <row r="589" spans="3:16" x14ac:dyDescent="0.25">
      <c r="C589" s="161"/>
      <c r="F589" s="176" t="s">
        <v>53</v>
      </c>
      <c r="G589" s="167"/>
      <c r="H589" s="167" t="s">
        <v>163</v>
      </c>
      <c r="I589" s="167"/>
      <c r="J589" s="547">
        <v>1.899</v>
      </c>
      <c r="K589" s="547">
        <v>0.48799999999999999</v>
      </c>
      <c r="L589" s="547">
        <v>0</v>
      </c>
      <c r="M589" s="548">
        <v>2.52</v>
      </c>
      <c r="N589" s="548">
        <v>0</v>
      </c>
      <c r="O589" s="548">
        <v>0</v>
      </c>
      <c r="P589" s="547">
        <v>0</v>
      </c>
    </row>
    <row r="590" spans="3:16" x14ac:dyDescent="0.25">
      <c r="C590" s="161"/>
      <c r="F590" s="176" t="s">
        <v>84</v>
      </c>
      <c r="G590" s="167"/>
      <c r="H590" s="167" t="s">
        <v>163</v>
      </c>
      <c r="I590" s="167"/>
      <c r="J590" s="547">
        <v>0.56000000000000005</v>
      </c>
      <c r="K590" s="547">
        <v>0</v>
      </c>
      <c r="L590" s="547">
        <v>0</v>
      </c>
      <c r="M590" s="548">
        <v>0</v>
      </c>
      <c r="N590" s="548">
        <v>0</v>
      </c>
      <c r="O590" s="548">
        <v>0</v>
      </c>
      <c r="P590" s="547">
        <v>0</v>
      </c>
    </row>
    <row r="591" spans="3:16" x14ac:dyDescent="0.25">
      <c r="C591" s="161"/>
      <c r="F591" s="176" t="s">
        <v>54</v>
      </c>
      <c r="G591" s="167"/>
      <c r="H591" s="167" t="s">
        <v>163</v>
      </c>
      <c r="I591" s="167"/>
      <c r="J591" s="547">
        <v>1.4710000000000001</v>
      </c>
      <c r="K591" s="547">
        <v>0</v>
      </c>
      <c r="L591" s="547">
        <v>0</v>
      </c>
      <c r="M591" s="548">
        <v>3.78</v>
      </c>
      <c r="N591" s="548">
        <v>0</v>
      </c>
      <c r="O591" s="548">
        <v>0</v>
      </c>
      <c r="P591" s="547">
        <v>0</v>
      </c>
    </row>
    <row r="592" spans="3:16" x14ac:dyDescent="0.25">
      <c r="C592" s="161"/>
      <c r="F592" s="176" t="s">
        <v>55</v>
      </c>
      <c r="G592" s="167"/>
      <c r="H592" s="167" t="s">
        <v>163</v>
      </c>
      <c r="I592" s="167"/>
      <c r="J592" s="547">
        <v>2.0640000000000001</v>
      </c>
      <c r="K592" s="547">
        <v>0.59899999999999998</v>
      </c>
      <c r="L592" s="547">
        <v>0</v>
      </c>
      <c r="M592" s="548">
        <v>3.78</v>
      </c>
      <c r="N592" s="548">
        <v>0</v>
      </c>
      <c r="O592" s="548">
        <v>0</v>
      </c>
      <c r="P592" s="547">
        <v>0</v>
      </c>
    </row>
    <row r="593" spans="3:16" x14ac:dyDescent="0.25">
      <c r="C593" s="161"/>
      <c r="F593" s="176" t="s">
        <v>85</v>
      </c>
      <c r="G593" s="167"/>
      <c r="H593" s="167" t="s">
        <v>163</v>
      </c>
      <c r="I593" s="167"/>
      <c r="J593" s="547">
        <v>0.65400000000000003</v>
      </c>
      <c r="K593" s="547">
        <v>0</v>
      </c>
      <c r="L593" s="547">
        <v>0</v>
      </c>
      <c r="M593" s="548">
        <v>0</v>
      </c>
      <c r="N593" s="548">
        <v>0</v>
      </c>
      <c r="O593" s="548">
        <v>0</v>
      </c>
      <c r="P593" s="547">
        <v>0</v>
      </c>
    </row>
    <row r="594" spans="3:16" x14ac:dyDescent="0.25">
      <c r="C594" s="161"/>
      <c r="F594" s="176" t="s">
        <v>56</v>
      </c>
      <c r="G594" s="167"/>
      <c r="H594" s="167" t="s">
        <v>163</v>
      </c>
      <c r="I594" s="167"/>
      <c r="J594" s="547">
        <v>1.2589999999999999</v>
      </c>
      <c r="K594" s="547">
        <v>0.48199999999999998</v>
      </c>
      <c r="L594" s="547">
        <v>0</v>
      </c>
      <c r="M594" s="548">
        <v>20.78</v>
      </c>
      <c r="N594" s="548">
        <v>0</v>
      </c>
      <c r="O594" s="548">
        <v>0</v>
      </c>
      <c r="P594" s="547">
        <v>0</v>
      </c>
    </row>
    <row r="595" spans="3:16" x14ac:dyDescent="0.25">
      <c r="C595" s="161"/>
      <c r="F595" s="176" t="s">
        <v>57</v>
      </c>
      <c r="G595" s="167"/>
      <c r="H595" s="167" t="s">
        <v>163</v>
      </c>
      <c r="I595" s="167"/>
      <c r="J595" s="553"/>
      <c r="K595" s="553"/>
      <c r="L595" s="553"/>
      <c r="M595" s="554"/>
      <c r="N595" s="554"/>
      <c r="O595" s="554"/>
      <c r="P595" s="553"/>
    </row>
    <row r="596" spans="3:16" x14ac:dyDescent="0.25">
      <c r="C596" s="161"/>
      <c r="F596" s="176" t="s">
        <v>72</v>
      </c>
      <c r="G596" s="167"/>
      <c r="H596" s="167" t="s">
        <v>163</v>
      </c>
      <c r="I596" s="167"/>
      <c r="J596" s="553"/>
      <c r="K596" s="553"/>
      <c r="L596" s="553"/>
      <c r="M596" s="554"/>
      <c r="N596" s="554"/>
      <c r="O596" s="554"/>
      <c r="P596" s="553"/>
    </row>
    <row r="597" spans="3:16" x14ac:dyDescent="0.25">
      <c r="C597" s="161"/>
      <c r="F597" s="176" t="s">
        <v>58</v>
      </c>
      <c r="G597" s="167"/>
      <c r="H597" s="167" t="s">
        <v>163</v>
      </c>
      <c r="I597" s="167"/>
      <c r="J597" s="547">
        <v>6.5679999999999996</v>
      </c>
      <c r="K597" s="547">
        <v>1.0469999999999999</v>
      </c>
      <c r="L597" s="547">
        <v>0.44900000000000001</v>
      </c>
      <c r="M597" s="548">
        <v>2.52</v>
      </c>
      <c r="N597" s="548">
        <v>0</v>
      </c>
      <c r="O597" s="548">
        <v>0</v>
      </c>
      <c r="P597" s="547">
        <v>0</v>
      </c>
    </row>
    <row r="598" spans="3:16" x14ac:dyDescent="0.25">
      <c r="C598" s="161"/>
      <c r="F598" s="176" t="s">
        <v>59</v>
      </c>
      <c r="G598" s="167"/>
      <c r="H598" s="167" t="s">
        <v>163</v>
      </c>
      <c r="I598" s="167"/>
      <c r="J598" s="547">
        <v>6.89</v>
      </c>
      <c r="K598" s="547">
        <v>1.08</v>
      </c>
      <c r="L598" s="547">
        <v>0.45100000000000001</v>
      </c>
      <c r="M598" s="548">
        <v>3.78</v>
      </c>
      <c r="N598" s="548">
        <v>0</v>
      </c>
      <c r="O598" s="548">
        <v>0</v>
      </c>
      <c r="P598" s="547">
        <v>0</v>
      </c>
    </row>
    <row r="599" spans="3:16" x14ac:dyDescent="0.25">
      <c r="C599" s="161"/>
      <c r="F599" s="176" t="s">
        <v>60</v>
      </c>
      <c r="G599" s="167"/>
      <c r="H599" s="167" t="s">
        <v>163</v>
      </c>
      <c r="I599" s="167"/>
      <c r="J599" s="547">
        <v>4.7050000000000001</v>
      </c>
      <c r="K599" s="547">
        <v>0.79500000000000004</v>
      </c>
      <c r="L599" s="547">
        <v>0.433</v>
      </c>
      <c r="M599" s="548">
        <v>11.93</v>
      </c>
      <c r="N599" s="548">
        <v>1.76</v>
      </c>
      <c r="O599" s="548">
        <v>3.35</v>
      </c>
      <c r="P599" s="547">
        <v>0.151</v>
      </c>
    </row>
    <row r="600" spans="3:16" x14ac:dyDescent="0.25">
      <c r="C600" s="161"/>
      <c r="F600" s="176" t="s">
        <v>61</v>
      </c>
      <c r="G600" s="167"/>
      <c r="H600" s="167" t="s">
        <v>163</v>
      </c>
      <c r="I600" s="167"/>
      <c r="J600" s="553"/>
      <c r="K600" s="553"/>
      <c r="L600" s="553"/>
      <c r="M600" s="554"/>
      <c r="N600" s="554"/>
      <c r="O600" s="554"/>
      <c r="P600" s="553"/>
    </row>
    <row r="601" spans="3:16" x14ac:dyDescent="0.25">
      <c r="C601" s="161"/>
      <c r="F601" s="176" t="s">
        <v>73</v>
      </c>
      <c r="G601" s="167"/>
      <c r="H601" s="167" t="s">
        <v>163</v>
      </c>
      <c r="I601" s="167"/>
      <c r="J601" s="553"/>
      <c r="K601" s="553"/>
      <c r="L601" s="553"/>
      <c r="M601" s="554"/>
      <c r="N601" s="554"/>
      <c r="O601" s="554"/>
      <c r="P601" s="553"/>
    </row>
    <row r="602" spans="3:16" x14ac:dyDescent="0.25">
      <c r="C602" s="161"/>
      <c r="F602" s="176" t="s">
        <v>86</v>
      </c>
      <c r="G602" s="167"/>
      <c r="H602" s="167" t="s">
        <v>163</v>
      </c>
      <c r="I602" s="167"/>
      <c r="J602" s="547">
        <v>2.0659999999999998</v>
      </c>
      <c r="K602" s="547">
        <v>0</v>
      </c>
      <c r="L602" s="547">
        <v>0</v>
      </c>
      <c r="M602" s="548">
        <v>0</v>
      </c>
      <c r="N602" s="548">
        <v>0</v>
      </c>
      <c r="O602" s="548">
        <v>0</v>
      </c>
      <c r="P602" s="547">
        <v>0</v>
      </c>
    </row>
    <row r="603" spans="3:16" x14ac:dyDescent="0.25">
      <c r="C603" s="161"/>
      <c r="F603" s="176" t="s">
        <v>87</v>
      </c>
      <c r="G603" s="167"/>
      <c r="H603" s="167" t="s">
        <v>163</v>
      </c>
      <c r="I603" s="167"/>
      <c r="J603" s="547">
        <v>2.1030000000000002</v>
      </c>
      <c r="K603" s="547">
        <v>0</v>
      </c>
      <c r="L603" s="547">
        <v>0</v>
      </c>
      <c r="M603" s="548">
        <v>0</v>
      </c>
      <c r="N603" s="548">
        <v>0</v>
      </c>
      <c r="O603" s="548">
        <v>0</v>
      </c>
      <c r="P603" s="547">
        <v>0</v>
      </c>
    </row>
    <row r="604" spans="3:16" x14ac:dyDescent="0.25">
      <c r="C604" s="161"/>
      <c r="F604" s="176" t="s">
        <v>88</v>
      </c>
      <c r="G604" s="167"/>
      <c r="H604" s="167" t="s">
        <v>163</v>
      </c>
      <c r="I604" s="167"/>
      <c r="J604" s="547">
        <v>2.653</v>
      </c>
      <c r="K604" s="547">
        <v>0</v>
      </c>
      <c r="L604" s="547">
        <v>0</v>
      </c>
      <c r="M604" s="548">
        <v>0</v>
      </c>
      <c r="N604" s="548">
        <v>0</v>
      </c>
      <c r="O604" s="548">
        <v>0</v>
      </c>
      <c r="P604" s="547">
        <v>0</v>
      </c>
    </row>
    <row r="605" spans="3:16" x14ac:dyDescent="0.25">
      <c r="C605" s="161"/>
      <c r="F605" s="176" t="s">
        <v>89</v>
      </c>
      <c r="G605" s="167"/>
      <c r="H605" s="167" t="s">
        <v>163</v>
      </c>
      <c r="I605" s="167"/>
      <c r="J605" s="547">
        <v>2.0750000000000002</v>
      </c>
      <c r="K605" s="547">
        <v>0</v>
      </c>
      <c r="L605" s="547">
        <v>0</v>
      </c>
      <c r="M605" s="548">
        <v>0</v>
      </c>
      <c r="N605" s="548">
        <v>0</v>
      </c>
      <c r="O605" s="548">
        <v>0</v>
      </c>
      <c r="P605" s="547">
        <v>0</v>
      </c>
    </row>
    <row r="606" spans="3:16" x14ac:dyDescent="0.25">
      <c r="C606" s="161"/>
      <c r="F606" s="176" t="s">
        <v>90</v>
      </c>
      <c r="G606" s="167"/>
      <c r="H606" s="167" t="s">
        <v>163</v>
      </c>
      <c r="I606" s="167"/>
      <c r="J606" s="547">
        <v>10.247</v>
      </c>
      <c r="K606" s="547">
        <v>2.0489999999999999</v>
      </c>
      <c r="L606" s="547">
        <v>1.5009999999999999</v>
      </c>
      <c r="M606" s="548">
        <v>0</v>
      </c>
      <c r="N606" s="548">
        <v>0</v>
      </c>
      <c r="O606" s="548">
        <v>0</v>
      </c>
      <c r="P606" s="547">
        <v>0</v>
      </c>
    </row>
    <row r="607" spans="3:16" x14ac:dyDescent="0.25">
      <c r="C607" s="161"/>
      <c r="F607" s="176" t="s">
        <v>62</v>
      </c>
      <c r="G607" s="167"/>
      <c r="H607" s="167" t="s">
        <v>163</v>
      </c>
      <c r="I607" s="167"/>
      <c r="J607" s="547">
        <v>-0.89600000000000002</v>
      </c>
      <c r="K607" s="547">
        <v>0</v>
      </c>
      <c r="L607" s="547">
        <v>0</v>
      </c>
      <c r="M607" s="548">
        <v>0</v>
      </c>
      <c r="N607" s="548">
        <v>0</v>
      </c>
      <c r="O607" s="548">
        <v>0</v>
      </c>
      <c r="P607" s="547">
        <v>0</v>
      </c>
    </row>
    <row r="608" spans="3:16" x14ac:dyDescent="0.25">
      <c r="C608" s="161"/>
      <c r="F608" s="176" t="s">
        <v>63</v>
      </c>
      <c r="G608" s="167"/>
      <c r="H608" s="167" t="s">
        <v>163</v>
      </c>
      <c r="I608" s="167"/>
      <c r="J608" s="553"/>
      <c r="K608" s="553"/>
      <c r="L608" s="553"/>
      <c r="M608" s="554"/>
      <c r="N608" s="554"/>
      <c r="O608" s="554"/>
      <c r="P608" s="553"/>
    </row>
    <row r="609" spans="3:19" x14ac:dyDescent="0.25">
      <c r="C609" s="161"/>
      <c r="F609" s="176" t="s">
        <v>64</v>
      </c>
      <c r="G609" s="167"/>
      <c r="H609" s="167" t="s">
        <v>163</v>
      </c>
      <c r="I609" s="167"/>
      <c r="J609" s="547">
        <v>-0.89600000000000002</v>
      </c>
      <c r="K609" s="547">
        <v>0</v>
      </c>
      <c r="L609" s="547">
        <v>0</v>
      </c>
      <c r="M609" s="548">
        <v>0</v>
      </c>
      <c r="N609" s="548">
        <v>0</v>
      </c>
      <c r="O609" s="548">
        <v>0</v>
      </c>
      <c r="P609" s="547">
        <v>0.21</v>
      </c>
    </row>
    <row r="610" spans="3:19" x14ac:dyDescent="0.25">
      <c r="C610" s="161"/>
      <c r="F610" s="176" t="s">
        <v>65</v>
      </c>
      <c r="G610" s="167"/>
      <c r="H610" s="167" t="s">
        <v>163</v>
      </c>
      <c r="I610" s="167"/>
      <c r="J610" s="553"/>
      <c r="K610" s="553"/>
      <c r="L610" s="553"/>
      <c r="M610" s="554"/>
      <c r="N610" s="554"/>
      <c r="O610" s="554"/>
      <c r="P610" s="553"/>
    </row>
    <row r="611" spans="3:19" x14ac:dyDescent="0.25">
      <c r="C611" s="161"/>
      <c r="F611" s="176" t="s">
        <v>66</v>
      </c>
      <c r="G611" s="167"/>
      <c r="H611" s="167" t="s">
        <v>163</v>
      </c>
      <c r="I611" s="167"/>
      <c r="J611" s="547">
        <v>-6.25</v>
      </c>
      <c r="K611" s="547">
        <v>-0.64500000000000002</v>
      </c>
      <c r="L611" s="547">
        <v>-3.6999999999999998E-2</v>
      </c>
      <c r="M611" s="548">
        <v>0</v>
      </c>
      <c r="N611" s="548">
        <v>0</v>
      </c>
      <c r="O611" s="548">
        <v>0</v>
      </c>
      <c r="P611" s="547">
        <v>0.21</v>
      </c>
    </row>
    <row r="612" spans="3:19" x14ac:dyDescent="0.25">
      <c r="C612" s="161"/>
      <c r="F612" s="176" t="s">
        <v>67</v>
      </c>
      <c r="G612" s="167"/>
      <c r="H612" s="167" t="s">
        <v>163</v>
      </c>
      <c r="I612" s="167"/>
      <c r="J612" s="553"/>
      <c r="K612" s="553"/>
      <c r="L612" s="553"/>
      <c r="M612" s="554"/>
      <c r="N612" s="554"/>
      <c r="O612" s="554"/>
      <c r="P612" s="553"/>
    </row>
    <row r="613" spans="3:19" x14ac:dyDescent="0.25">
      <c r="C613" s="161"/>
      <c r="F613" s="176" t="s">
        <v>68</v>
      </c>
      <c r="G613" s="167"/>
      <c r="H613" s="167" t="s">
        <v>163</v>
      </c>
      <c r="I613" s="167"/>
      <c r="J613" s="553"/>
      <c r="K613" s="553"/>
      <c r="L613" s="553"/>
      <c r="M613" s="554"/>
      <c r="N613" s="554"/>
      <c r="O613" s="554"/>
      <c r="P613" s="553"/>
    </row>
    <row r="614" spans="3:19" x14ac:dyDescent="0.25">
      <c r="C614" s="161"/>
      <c r="F614" s="176" t="s">
        <v>69</v>
      </c>
      <c r="G614" s="167"/>
      <c r="H614" s="167" t="s">
        <v>163</v>
      </c>
      <c r="I614" s="167"/>
      <c r="J614" s="553"/>
      <c r="K614" s="553"/>
      <c r="L614" s="553"/>
      <c r="M614" s="554"/>
      <c r="N614" s="554"/>
      <c r="O614" s="554"/>
      <c r="P614" s="553"/>
    </row>
    <row r="615" spans="3:19" x14ac:dyDescent="0.25">
      <c r="C615" s="161"/>
      <c r="F615" s="176" t="s">
        <v>70</v>
      </c>
      <c r="G615" s="167"/>
      <c r="H615" s="167" t="s">
        <v>163</v>
      </c>
      <c r="I615" s="167"/>
      <c r="J615" s="553"/>
      <c r="K615" s="553"/>
      <c r="L615" s="553"/>
      <c r="M615" s="554"/>
      <c r="N615" s="554"/>
      <c r="O615" s="554"/>
      <c r="P615" s="553"/>
    </row>
    <row r="616" spans="3:19" x14ac:dyDescent="0.25">
      <c r="C616" s="161"/>
      <c r="F616" s="176" t="s">
        <v>71</v>
      </c>
      <c r="G616" s="167"/>
      <c r="H616" s="167" t="s">
        <v>163</v>
      </c>
      <c r="I616" s="167"/>
      <c r="J616" s="553"/>
      <c r="K616" s="553"/>
      <c r="L616" s="553"/>
      <c r="M616" s="554"/>
      <c r="N616" s="554"/>
      <c r="O616" s="554"/>
      <c r="P616" s="553"/>
    </row>
    <row r="617" spans="3:19" x14ac:dyDescent="0.25">
      <c r="C617" s="161"/>
      <c r="F617" s="176" t="s">
        <v>74</v>
      </c>
      <c r="G617" s="167"/>
      <c r="H617" s="167" t="s">
        <v>163</v>
      </c>
      <c r="I617" s="167"/>
      <c r="J617" s="553"/>
      <c r="K617" s="553"/>
      <c r="L617" s="553"/>
      <c r="M617" s="554"/>
      <c r="N617" s="554"/>
      <c r="O617" s="554"/>
      <c r="P617" s="553"/>
    </row>
    <row r="618" spans="3:19" x14ac:dyDescent="0.25">
      <c r="C618" s="161"/>
      <c r="F618" s="176" t="s">
        <v>75</v>
      </c>
      <c r="G618" s="167"/>
      <c r="H618" s="167" t="s">
        <v>163</v>
      </c>
      <c r="I618" s="167"/>
      <c r="J618" s="553"/>
      <c r="K618" s="553"/>
      <c r="L618" s="553"/>
      <c r="M618" s="554"/>
      <c r="N618" s="554"/>
      <c r="O618" s="554"/>
      <c r="P618" s="553"/>
    </row>
    <row r="619" spans="3:19" x14ac:dyDescent="0.25">
      <c r="C619" s="161"/>
      <c r="F619" s="176" t="s">
        <v>76</v>
      </c>
      <c r="G619" s="167"/>
      <c r="H619" s="167" t="s">
        <v>163</v>
      </c>
      <c r="I619" s="167"/>
      <c r="J619" s="553"/>
      <c r="K619" s="553"/>
      <c r="L619" s="553"/>
      <c r="M619" s="554"/>
      <c r="N619" s="554"/>
      <c r="O619" s="554"/>
      <c r="P619" s="553"/>
    </row>
    <row r="620" spans="3:19" x14ac:dyDescent="0.25">
      <c r="C620" s="161"/>
      <c r="F620" s="177" t="s">
        <v>77</v>
      </c>
      <c r="G620" s="168"/>
      <c r="H620" s="168" t="s">
        <v>163</v>
      </c>
      <c r="I620" s="168"/>
      <c r="J620" s="555"/>
      <c r="K620" s="555"/>
      <c r="L620" s="555"/>
      <c r="M620" s="556"/>
      <c r="N620" s="556"/>
      <c r="O620" s="556"/>
      <c r="P620" s="555"/>
    </row>
    <row r="621" spans="3:19" x14ac:dyDescent="0.25">
      <c r="C621" s="172"/>
      <c r="D621" s="172"/>
      <c r="E621" s="172"/>
      <c r="F621" s="172"/>
      <c r="G621" s="172"/>
      <c r="H621" s="172"/>
      <c r="I621" s="172"/>
      <c r="J621" s="557"/>
      <c r="K621" s="557"/>
      <c r="L621" s="557"/>
      <c r="M621" s="558"/>
      <c r="N621" s="558"/>
      <c r="O621" s="558"/>
      <c r="P621" s="557"/>
      <c r="Q621" s="172"/>
      <c r="R621" s="172"/>
      <c r="S621" s="172"/>
    </row>
    <row r="622" spans="3:19" x14ac:dyDescent="0.25">
      <c r="C622" s="172"/>
      <c r="D622" s="172"/>
      <c r="E622" s="172" t="str">
        <f>"LDNO HV tariff forecast "&amp; 'ARP_User control'!G35</f>
        <v>LDNO HV tariff forecast 2024/25</v>
      </c>
      <c r="F622" s="172"/>
      <c r="G622" s="172"/>
      <c r="H622" s="172"/>
      <c r="I622" s="172"/>
      <c r="J622" s="557"/>
      <c r="K622" s="557"/>
      <c r="L622" s="557"/>
      <c r="M622" s="558"/>
      <c r="N622" s="558"/>
      <c r="O622" s="558"/>
      <c r="P622" s="557"/>
      <c r="Q622" s="172"/>
      <c r="R622" s="172"/>
      <c r="S622" s="172"/>
    </row>
    <row r="623" spans="3:19" x14ac:dyDescent="0.25">
      <c r="C623" s="161"/>
      <c r="F623" s="180" t="s">
        <v>52</v>
      </c>
      <c r="G623" s="166"/>
      <c r="H623" s="166" t="s">
        <v>164</v>
      </c>
      <c r="I623" s="166"/>
      <c r="J623" s="545">
        <v>1.0569999999999999</v>
      </c>
      <c r="K623" s="545">
        <v>0</v>
      </c>
      <c r="L623" s="545">
        <v>0</v>
      </c>
      <c r="M623" s="546">
        <v>1.68</v>
      </c>
      <c r="N623" s="546">
        <v>0</v>
      </c>
      <c r="O623" s="546">
        <v>0</v>
      </c>
      <c r="P623" s="545">
        <v>0</v>
      </c>
    </row>
    <row r="624" spans="3:19" x14ac:dyDescent="0.25">
      <c r="C624" s="161"/>
      <c r="F624" s="176" t="s">
        <v>53</v>
      </c>
      <c r="G624" s="167"/>
      <c r="H624" s="167" t="s">
        <v>164</v>
      </c>
      <c r="I624" s="167"/>
      <c r="J624" s="547">
        <v>1.2629999999999999</v>
      </c>
      <c r="K624" s="547">
        <v>0.32500000000000001</v>
      </c>
      <c r="L624" s="547">
        <v>0</v>
      </c>
      <c r="M624" s="548">
        <v>1.68</v>
      </c>
      <c r="N624" s="548">
        <v>0</v>
      </c>
      <c r="O624" s="548">
        <v>0</v>
      </c>
      <c r="P624" s="547">
        <v>0</v>
      </c>
    </row>
    <row r="625" spans="3:16" x14ac:dyDescent="0.25">
      <c r="C625" s="161"/>
      <c r="F625" s="176" t="s">
        <v>84</v>
      </c>
      <c r="G625" s="167"/>
      <c r="H625" s="167" t="s">
        <v>164</v>
      </c>
      <c r="I625" s="167"/>
      <c r="J625" s="547">
        <v>0.372</v>
      </c>
      <c r="K625" s="547">
        <v>0</v>
      </c>
      <c r="L625" s="547">
        <v>0</v>
      </c>
      <c r="M625" s="548">
        <v>0</v>
      </c>
      <c r="N625" s="548">
        <v>0</v>
      </c>
      <c r="O625" s="548">
        <v>0</v>
      </c>
      <c r="P625" s="547">
        <v>0</v>
      </c>
    </row>
    <row r="626" spans="3:16" x14ac:dyDescent="0.25">
      <c r="C626" s="161"/>
      <c r="F626" s="176" t="s">
        <v>54</v>
      </c>
      <c r="G626" s="167"/>
      <c r="H626" s="167" t="s">
        <v>164</v>
      </c>
      <c r="I626" s="167"/>
      <c r="J626" s="547">
        <v>0.97899999999999998</v>
      </c>
      <c r="K626" s="547">
        <v>0</v>
      </c>
      <c r="L626" s="547">
        <v>0</v>
      </c>
      <c r="M626" s="548">
        <v>2.5099999999999998</v>
      </c>
      <c r="N626" s="548">
        <v>0</v>
      </c>
      <c r="O626" s="548">
        <v>0</v>
      </c>
      <c r="P626" s="547">
        <v>0</v>
      </c>
    </row>
    <row r="627" spans="3:16" x14ac:dyDescent="0.25">
      <c r="C627" s="161"/>
      <c r="F627" s="176" t="s">
        <v>55</v>
      </c>
      <c r="G627" s="167"/>
      <c r="H627" s="167" t="s">
        <v>164</v>
      </c>
      <c r="I627" s="167"/>
      <c r="J627" s="547">
        <v>1.373</v>
      </c>
      <c r="K627" s="547">
        <v>0.39800000000000002</v>
      </c>
      <c r="L627" s="547">
        <v>0</v>
      </c>
      <c r="M627" s="548">
        <v>2.5099999999999998</v>
      </c>
      <c r="N627" s="548">
        <v>0</v>
      </c>
      <c r="O627" s="548">
        <v>0</v>
      </c>
      <c r="P627" s="547">
        <v>0</v>
      </c>
    </row>
    <row r="628" spans="3:16" x14ac:dyDescent="0.25">
      <c r="C628" s="161"/>
      <c r="F628" s="176" t="s">
        <v>85</v>
      </c>
      <c r="G628" s="167"/>
      <c r="H628" s="167" t="s">
        <v>164</v>
      </c>
      <c r="I628" s="167"/>
      <c r="J628" s="547">
        <v>0.435</v>
      </c>
      <c r="K628" s="547">
        <v>0</v>
      </c>
      <c r="L628" s="547">
        <v>0</v>
      </c>
      <c r="M628" s="548">
        <v>0</v>
      </c>
      <c r="N628" s="548">
        <v>0</v>
      </c>
      <c r="O628" s="548">
        <v>0</v>
      </c>
      <c r="P628" s="547">
        <v>0</v>
      </c>
    </row>
    <row r="629" spans="3:16" x14ac:dyDescent="0.25">
      <c r="C629" s="161"/>
      <c r="F629" s="176" t="s">
        <v>56</v>
      </c>
      <c r="G629" s="167"/>
      <c r="H629" s="167" t="s">
        <v>164</v>
      </c>
      <c r="I629" s="167"/>
      <c r="J629" s="547">
        <v>0.83699999999999997</v>
      </c>
      <c r="K629" s="547">
        <v>0.32</v>
      </c>
      <c r="L629" s="547">
        <v>0</v>
      </c>
      <c r="M629" s="548">
        <v>13.83</v>
      </c>
      <c r="N629" s="548">
        <v>0</v>
      </c>
      <c r="O629" s="548">
        <v>0</v>
      </c>
      <c r="P629" s="547">
        <v>0</v>
      </c>
    </row>
    <row r="630" spans="3:16" x14ac:dyDescent="0.25">
      <c r="C630" s="161"/>
      <c r="F630" s="176" t="s">
        <v>57</v>
      </c>
      <c r="G630" s="167"/>
      <c r="H630" s="167" t="s">
        <v>164</v>
      </c>
      <c r="I630" s="167"/>
      <c r="J630" s="553"/>
      <c r="K630" s="553"/>
      <c r="L630" s="553"/>
      <c r="M630" s="554"/>
      <c r="N630" s="554"/>
      <c r="O630" s="554"/>
      <c r="P630" s="553"/>
    </row>
    <row r="631" spans="3:16" x14ac:dyDescent="0.25">
      <c r="C631" s="161"/>
      <c r="F631" s="176" t="s">
        <v>72</v>
      </c>
      <c r="G631" s="167"/>
      <c r="H631" s="167" t="s">
        <v>164</v>
      </c>
      <c r="I631" s="167"/>
      <c r="J631" s="553"/>
      <c r="K631" s="553"/>
      <c r="L631" s="553"/>
      <c r="M631" s="554"/>
      <c r="N631" s="554"/>
      <c r="O631" s="554"/>
      <c r="P631" s="553"/>
    </row>
    <row r="632" spans="3:16" x14ac:dyDescent="0.25">
      <c r="C632" s="161"/>
      <c r="F632" s="176" t="s">
        <v>58</v>
      </c>
      <c r="G632" s="167"/>
      <c r="H632" s="167" t="s">
        <v>164</v>
      </c>
      <c r="I632" s="167"/>
      <c r="J632" s="547">
        <v>4.3689999999999998</v>
      </c>
      <c r="K632" s="547">
        <v>0.69699999999999995</v>
      </c>
      <c r="L632" s="547">
        <v>0.29899999999999999</v>
      </c>
      <c r="M632" s="548">
        <v>1.68</v>
      </c>
      <c r="N632" s="548">
        <v>0</v>
      </c>
      <c r="O632" s="548">
        <v>0</v>
      </c>
      <c r="P632" s="547">
        <v>0</v>
      </c>
    </row>
    <row r="633" spans="3:16" x14ac:dyDescent="0.25">
      <c r="C633" s="161"/>
      <c r="F633" s="176" t="s">
        <v>59</v>
      </c>
      <c r="G633" s="167"/>
      <c r="H633" s="167" t="s">
        <v>164</v>
      </c>
      <c r="I633" s="167"/>
      <c r="J633" s="547">
        <v>4.5839999999999996</v>
      </c>
      <c r="K633" s="547">
        <v>0.71899999999999997</v>
      </c>
      <c r="L633" s="547">
        <v>0.3</v>
      </c>
      <c r="M633" s="548">
        <v>2.5099999999999998</v>
      </c>
      <c r="N633" s="548">
        <v>0</v>
      </c>
      <c r="O633" s="548">
        <v>0</v>
      </c>
      <c r="P633" s="547">
        <v>0</v>
      </c>
    </row>
    <row r="634" spans="3:16" x14ac:dyDescent="0.25">
      <c r="C634" s="161"/>
      <c r="F634" s="176" t="s">
        <v>60</v>
      </c>
      <c r="G634" s="167"/>
      <c r="H634" s="167" t="s">
        <v>164</v>
      </c>
      <c r="I634" s="167"/>
      <c r="J634" s="547">
        <v>3.13</v>
      </c>
      <c r="K634" s="547">
        <v>0.52900000000000003</v>
      </c>
      <c r="L634" s="547">
        <v>0.28799999999999998</v>
      </c>
      <c r="M634" s="548">
        <v>7.94</v>
      </c>
      <c r="N634" s="548">
        <v>1.17</v>
      </c>
      <c r="O634" s="548">
        <v>2.23</v>
      </c>
      <c r="P634" s="547">
        <v>0.1</v>
      </c>
    </row>
    <row r="635" spans="3:16" x14ac:dyDescent="0.25">
      <c r="C635" s="161"/>
      <c r="F635" s="176" t="s">
        <v>61</v>
      </c>
      <c r="G635" s="167"/>
      <c r="H635" s="167" t="s">
        <v>164</v>
      </c>
      <c r="I635" s="167"/>
      <c r="J635" s="547">
        <v>3.9740000000000002</v>
      </c>
      <c r="K635" s="547">
        <v>0.64800000000000002</v>
      </c>
      <c r="L635" s="547">
        <v>0.44600000000000001</v>
      </c>
      <c r="M635" s="548">
        <v>19.8</v>
      </c>
      <c r="N635" s="548">
        <v>3.34</v>
      </c>
      <c r="O635" s="548">
        <v>4.51</v>
      </c>
      <c r="P635" s="547">
        <v>0.10100000000000001</v>
      </c>
    </row>
    <row r="636" spans="3:16" x14ac:dyDescent="0.25">
      <c r="C636" s="161"/>
      <c r="F636" s="176" t="s">
        <v>73</v>
      </c>
      <c r="G636" s="167"/>
      <c r="H636" s="167" t="s">
        <v>164</v>
      </c>
      <c r="I636" s="167"/>
      <c r="J636" s="547">
        <v>3.456</v>
      </c>
      <c r="K636" s="547">
        <v>0.65</v>
      </c>
      <c r="L636" s="547">
        <v>0.50600000000000001</v>
      </c>
      <c r="M636" s="548">
        <v>129.57</v>
      </c>
      <c r="N636" s="548">
        <v>4.72</v>
      </c>
      <c r="O636" s="548">
        <v>5.86</v>
      </c>
      <c r="P636" s="547">
        <v>7.6999999999999999E-2</v>
      </c>
    </row>
    <row r="637" spans="3:16" x14ac:dyDescent="0.25">
      <c r="C637" s="161"/>
      <c r="F637" s="176" t="s">
        <v>86</v>
      </c>
      <c r="G637" s="167"/>
      <c r="H637" s="167" t="s">
        <v>164</v>
      </c>
      <c r="I637" s="167"/>
      <c r="J637" s="547">
        <v>1.3740000000000001</v>
      </c>
      <c r="K637" s="547">
        <v>0</v>
      </c>
      <c r="L637" s="547">
        <v>0</v>
      </c>
      <c r="M637" s="548">
        <v>0</v>
      </c>
      <c r="N637" s="548">
        <v>0</v>
      </c>
      <c r="O637" s="548">
        <v>0</v>
      </c>
      <c r="P637" s="547">
        <v>0</v>
      </c>
    </row>
    <row r="638" spans="3:16" x14ac:dyDescent="0.25">
      <c r="C638" s="161"/>
      <c r="F638" s="176" t="s">
        <v>87</v>
      </c>
      <c r="G638" s="167"/>
      <c r="H638" s="167" t="s">
        <v>164</v>
      </c>
      <c r="I638" s="167"/>
      <c r="J638" s="547">
        <v>1.399</v>
      </c>
      <c r="K638" s="547">
        <v>0</v>
      </c>
      <c r="L638" s="547">
        <v>0</v>
      </c>
      <c r="M638" s="548">
        <v>0</v>
      </c>
      <c r="N638" s="548">
        <v>0</v>
      </c>
      <c r="O638" s="548">
        <v>0</v>
      </c>
      <c r="P638" s="547">
        <v>0</v>
      </c>
    </row>
    <row r="639" spans="3:16" x14ac:dyDescent="0.25">
      <c r="C639" s="161"/>
      <c r="F639" s="176" t="s">
        <v>88</v>
      </c>
      <c r="G639" s="167"/>
      <c r="H639" s="167" t="s">
        <v>164</v>
      </c>
      <c r="I639" s="167"/>
      <c r="J639" s="547">
        <v>1.7649999999999999</v>
      </c>
      <c r="K639" s="547">
        <v>0</v>
      </c>
      <c r="L639" s="547">
        <v>0</v>
      </c>
      <c r="M639" s="548">
        <v>0</v>
      </c>
      <c r="N639" s="548">
        <v>0</v>
      </c>
      <c r="O639" s="548">
        <v>0</v>
      </c>
      <c r="P639" s="547">
        <v>0</v>
      </c>
    </row>
    <row r="640" spans="3:16" x14ac:dyDescent="0.25">
      <c r="C640" s="161"/>
      <c r="F640" s="176" t="s">
        <v>89</v>
      </c>
      <c r="G640" s="167"/>
      <c r="H640" s="167" t="s">
        <v>164</v>
      </c>
      <c r="I640" s="167"/>
      <c r="J640" s="547">
        <v>1.38</v>
      </c>
      <c r="K640" s="547">
        <v>0</v>
      </c>
      <c r="L640" s="547">
        <v>0</v>
      </c>
      <c r="M640" s="548">
        <v>0</v>
      </c>
      <c r="N640" s="548">
        <v>0</v>
      </c>
      <c r="O640" s="548">
        <v>0</v>
      </c>
      <c r="P640" s="547">
        <v>0</v>
      </c>
    </row>
    <row r="641" spans="3:19" x14ac:dyDescent="0.25">
      <c r="C641" s="161"/>
      <c r="F641" s="176" t="s">
        <v>90</v>
      </c>
      <c r="G641" s="167"/>
      <c r="H641" s="167" t="s">
        <v>164</v>
      </c>
      <c r="I641" s="167"/>
      <c r="J641" s="547">
        <v>6.8170000000000002</v>
      </c>
      <c r="K641" s="547">
        <v>1.363</v>
      </c>
      <c r="L641" s="547">
        <v>0.998</v>
      </c>
      <c r="M641" s="548">
        <v>0</v>
      </c>
      <c r="N641" s="548">
        <v>0</v>
      </c>
      <c r="O641" s="548">
        <v>0</v>
      </c>
      <c r="P641" s="547">
        <v>0</v>
      </c>
    </row>
    <row r="642" spans="3:19" x14ac:dyDescent="0.25">
      <c r="C642" s="161"/>
      <c r="F642" s="176" t="s">
        <v>62</v>
      </c>
      <c r="G642" s="167"/>
      <c r="H642" s="167" t="s">
        <v>164</v>
      </c>
      <c r="I642" s="167"/>
      <c r="J642" s="547">
        <v>-0.89600000000000002</v>
      </c>
      <c r="K642" s="547">
        <v>0</v>
      </c>
      <c r="L642" s="547">
        <v>0</v>
      </c>
      <c r="M642" s="548">
        <v>0</v>
      </c>
      <c r="N642" s="548">
        <v>0</v>
      </c>
      <c r="O642" s="548">
        <v>0</v>
      </c>
      <c r="P642" s="547">
        <v>0</v>
      </c>
    </row>
    <row r="643" spans="3:19" x14ac:dyDescent="0.25">
      <c r="C643" s="161"/>
      <c r="F643" s="176" t="s">
        <v>63</v>
      </c>
      <c r="G643" s="167"/>
      <c r="H643" s="167" t="s">
        <v>164</v>
      </c>
      <c r="I643" s="167"/>
      <c r="J643" s="547">
        <v>-0.78400000000000003</v>
      </c>
      <c r="K643" s="547">
        <v>0</v>
      </c>
      <c r="L643" s="547">
        <v>0</v>
      </c>
      <c r="M643" s="548">
        <v>0</v>
      </c>
      <c r="N643" s="548">
        <v>0</v>
      </c>
      <c r="O643" s="548">
        <v>0</v>
      </c>
      <c r="P643" s="547">
        <v>0</v>
      </c>
    </row>
    <row r="644" spans="3:19" x14ac:dyDescent="0.25">
      <c r="C644" s="161"/>
      <c r="F644" s="176" t="s">
        <v>64</v>
      </c>
      <c r="G644" s="167"/>
      <c r="H644" s="167" t="s">
        <v>164</v>
      </c>
      <c r="I644" s="167"/>
      <c r="J644" s="547">
        <v>-0.89600000000000002</v>
      </c>
      <c r="K644" s="547">
        <v>0</v>
      </c>
      <c r="L644" s="547">
        <v>0</v>
      </c>
      <c r="M644" s="548">
        <v>0</v>
      </c>
      <c r="N644" s="548">
        <v>0</v>
      </c>
      <c r="O644" s="548">
        <v>0</v>
      </c>
      <c r="P644" s="547">
        <v>0.21</v>
      </c>
    </row>
    <row r="645" spans="3:19" x14ac:dyDescent="0.25">
      <c r="C645" s="161"/>
      <c r="F645" s="176" t="s">
        <v>65</v>
      </c>
      <c r="G645" s="167"/>
      <c r="H645" s="167" t="s">
        <v>164</v>
      </c>
      <c r="I645" s="167"/>
      <c r="J645" s="553"/>
      <c r="K645" s="553"/>
      <c r="L645" s="553"/>
      <c r="M645" s="554"/>
      <c r="N645" s="554"/>
      <c r="O645" s="554"/>
      <c r="P645" s="553"/>
    </row>
    <row r="646" spans="3:19" x14ac:dyDescent="0.25">
      <c r="C646" s="161"/>
      <c r="F646" s="176" t="s">
        <v>66</v>
      </c>
      <c r="G646" s="167"/>
      <c r="H646" s="167" t="s">
        <v>164</v>
      </c>
      <c r="I646" s="167"/>
      <c r="J646" s="547">
        <v>-6.25</v>
      </c>
      <c r="K646" s="547">
        <v>-0.64500000000000002</v>
      </c>
      <c r="L646" s="547">
        <v>-3.6999999999999998E-2</v>
      </c>
      <c r="M646" s="548">
        <v>0</v>
      </c>
      <c r="N646" s="548">
        <v>0</v>
      </c>
      <c r="O646" s="548">
        <v>0</v>
      </c>
      <c r="P646" s="547">
        <v>0.21</v>
      </c>
    </row>
    <row r="647" spans="3:19" x14ac:dyDescent="0.25">
      <c r="C647" s="161"/>
      <c r="F647" s="176" t="s">
        <v>67</v>
      </c>
      <c r="G647" s="167"/>
      <c r="H647" s="167" t="s">
        <v>164</v>
      </c>
      <c r="I647" s="167"/>
      <c r="J647" s="553"/>
      <c r="K647" s="553"/>
      <c r="L647" s="553"/>
      <c r="M647" s="554"/>
      <c r="N647" s="554"/>
      <c r="O647" s="554"/>
      <c r="P647" s="553"/>
    </row>
    <row r="648" spans="3:19" x14ac:dyDescent="0.25">
      <c r="C648" s="161"/>
      <c r="F648" s="176" t="s">
        <v>68</v>
      </c>
      <c r="G648" s="167"/>
      <c r="H648" s="167" t="s">
        <v>164</v>
      </c>
      <c r="I648" s="167"/>
      <c r="J648" s="547">
        <v>-0.78400000000000003</v>
      </c>
      <c r="K648" s="547">
        <v>0</v>
      </c>
      <c r="L648" s="547">
        <v>0</v>
      </c>
      <c r="M648" s="548">
        <v>0</v>
      </c>
      <c r="N648" s="548">
        <v>0</v>
      </c>
      <c r="O648" s="548">
        <v>0</v>
      </c>
      <c r="P648" s="547">
        <v>0.188</v>
      </c>
    </row>
    <row r="649" spans="3:19" x14ac:dyDescent="0.25">
      <c r="C649" s="161"/>
      <c r="F649" s="176" t="s">
        <v>69</v>
      </c>
      <c r="G649" s="167"/>
      <c r="H649" s="167" t="s">
        <v>164</v>
      </c>
      <c r="I649" s="167"/>
      <c r="J649" s="553"/>
      <c r="K649" s="553"/>
      <c r="L649" s="553"/>
      <c r="M649" s="554"/>
      <c r="N649" s="554"/>
      <c r="O649" s="554"/>
      <c r="P649" s="553"/>
    </row>
    <row r="650" spans="3:19" x14ac:dyDescent="0.25">
      <c r="C650" s="161"/>
      <c r="F650" s="176" t="s">
        <v>70</v>
      </c>
      <c r="G650" s="167"/>
      <c r="H650" s="167" t="s">
        <v>164</v>
      </c>
      <c r="I650" s="167"/>
      <c r="J650" s="547">
        <v>-5.6390000000000002</v>
      </c>
      <c r="K650" s="547">
        <v>-0.53600000000000003</v>
      </c>
      <c r="L650" s="547">
        <v>-2.9000000000000001E-2</v>
      </c>
      <c r="M650" s="548">
        <v>0</v>
      </c>
      <c r="N650" s="548">
        <v>0</v>
      </c>
      <c r="O650" s="548">
        <v>0</v>
      </c>
      <c r="P650" s="547">
        <v>0.188</v>
      </c>
    </row>
    <row r="651" spans="3:19" x14ac:dyDescent="0.25">
      <c r="C651" s="161"/>
      <c r="F651" s="176" t="s">
        <v>71</v>
      </c>
      <c r="G651" s="167"/>
      <c r="H651" s="167" t="s">
        <v>164</v>
      </c>
      <c r="I651" s="167"/>
      <c r="J651" s="553"/>
      <c r="K651" s="553"/>
      <c r="L651" s="553"/>
      <c r="M651" s="554"/>
      <c r="N651" s="554"/>
      <c r="O651" s="554"/>
      <c r="P651" s="553"/>
    </row>
    <row r="652" spans="3:19" x14ac:dyDescent="0.25">
      <c r="C652" s="161"/>
      <c r="F652" s="176" t="s">
        <v>74</v>
      </c>
      <c r="G652" s="167"/>
      <c r="H652" s="167" t="s">
        <v>164</v>
      </c>
      <c r="I652" s="167"/>
      <c r="J652" s="547">
        <v>-0.51900000000000002</v>
      </c>
      <c r="K652" s="547">
        <v>0</v>
      </c>
      <c r="L652" s="547">
        <v>0</v>
      </c>
      <c r="M652" s="548">
        <v>0</v>
      </c>
      <c r="N652" s="548">
        <v>0</v>
      </c>
      <c r="O652" s="548">
        <v>0</v>
      </c>
      <c r="P652" s="547">
        <v>0.16600000000000001</v>
      </c>
    </row>
    <row r="653" spans="3:19" x14ac:dyDescent="0.25">
      <c r="C653" s="161"/>
      <c r="F653" s="176" t="s">
        <v>75</v>
      </c>
      <c r="G653" s="167"/>
      <c r="H653" s="167" t="s">
        <v>164</v>
      </c>
      <c r="I653" s="167"/>
      <c r="J653" s="553"/>
      <c r="K653" s="553"/>
      <c r="L653" s="553"/>
      <c r="M653" s="554"/>
      <c r="N653" s="554"/>
      <c r="O653" s="554"/>
      <c r="P653" s="553"/>
    </row>
    <row r="654" spans="3:19" x14ac:dyDescent="0.25">
      <c r="C654" s="161"/>
      <c r="F654" s="176" t="s">
        <v>76</v>
      </c>
      <c r="G654" s="167"/>
      <c r="H654" s="167" t="s">
        <v>164</v>
      </c>
      <c r="I654" s="167"/>
      <c r="J654" s="547">
        <v>-4.335</v>
      </c>
      <c r="K654" s="547">
        <v>-0.25600000000000001</v>
      </c>
      <c r="L654" s="547">
        <v>-0.01</v>
      </c>
      <c r="M654" s="548">
        <v>0</v>
      </c>
      <c r="N654" s="548">
        <v>0</v>
      </c>
      <c r="O654" s="548">
        <v>0</v>
      </c>
      <c r="P654" s="547">
        <v>0.16600000000000001</v>
      </c>
    </row>
    <row r="655" spans="3:19" x14ac:dyDescent="0.25">
      <c r="C655" s="161"/>
      <c r="F655" s="177" t="s">
        <v>77</v>
      </c>
      <c r="G655" s="168"/>
      <c r="H655" s="168" t="s">
        <v>164</v>
      </c>
      <c r="I655" s="168"/>
      <c r="J655" s="555"/>
      <c r="K655" s="555"/>
      <c r="L655" s="555"/>
      <c r="M655" s="556"/>
      <c r="N655" s="556"/>
      <c r="O655" s="556"/>
      <c r="P655" s="555"/>
    </row>
    <row r="656" spans="3:19" x14ac:dyDescent="0.25">
      <c r="C656" s="172"/>
      <c r="D656" s="172"/>
      <c r="E656" s="172"/>
      <c r="F656" s="172"/>
      <c r="G656" s="172"/>
      <c r="H656" s="172"/>
      <c r="I656" s="172"/>
      <c r="J656" s="172"/>
      <c r="K656" s="172"/>
      <c r="L656" s="172"/>
      <c r="M656" s="370"/>
      <c r="N656" s="370"/>
      <c r="O656" s="370"/>
      <c r="P656" s="172"/>
      <c r="Q656" s="172"/>
      <c r="R656" s="172"/>
      <c r="S656" s="172"/>
    </row>
    <row r="657" spans="2:18" x14ac:dyDescent="0.25">
      <c r="B657" s="171" t="s">
        <v>126</v>
      </c>
      <c r="C657" s="171"/>
      <c r="D657" s="171"/>
      <c r="E657" s="171"/>
      <c r="F657" s="171"/>
      <c r="G657" s="171"/>
      <c r="H657" s="171"/>
      <c r="I657" s="171"/>
      <c r="J657" s="171"/>
      <c r="K657" s="171"/>
      <c r="L657" s="134"/>
      <c r="M657" s="371"/>
      <c r="N657" s="371"/>
      <c r="O657" s="371"/>
      <c r="P657" s="134"/>
      <c r="Q657" s="134"/>
      <c r="R657" s="134"/>
    </row>
    <row r="658" spans="2:18" x14ac:dyDescent="0.25">
      <c r="M658" s="369"/>
      <c r="N658" s="369"/>
      <c r="O658" s="369"/>
    </row>
    <row r="659" spans="2:18" x14ac:dyDescent="0.25">
      <c r="D659" s="160"/>
      <c r="E659" s="160" t="s">
        <v>622</v>
      </c>
      <c r="G659" s="111" t="s">
        <v>814</v>
      </c>
      <c r="H659" s="362">
        <f t="array" ref="H659">SUM(IF(ISERROR(J18:P120), 1))</f>
        <v>0</v>
      </c>
      <c r="M659" s="369"/>
      <c r="N659" s="369"/>
      <c r="O659" s="369"/>
    </row>
    <row r="660" spans="2:18" x14ac:dyDescent="0.25">
      <c r="M660" s="369"/>
      <c r="N660" s="369"/>
      <c r="O660" s="369"/>
    </row>
    <row r="661" spans="2:18" x14ac:dyDescent="0.25">
      <c r="B661" s="171" t="s">
        <v>127</v>
      </c>
      <c r="C661" s="171"/>
      <c r="D661" s="171"/>
      <c r="E661" s="171"/>
      <c r="F661" s="171"/>
      <c r="G661" s="171"/>
      <c r="H661" s="171"/>
      <c r="I661" s="171"/>
      <c r="J661" s="171"/>
      <c r="K661" s="171"/>
      <c r="L661" s="134"/>
      <c r="M661" s="371"/>
      <c r="N661" s="371"/>
      <c r="O661" s="371"/>
      <c r="P661" s="134"/>
      <c r="Q661" s="134"/>
      <c r="R661" s="134"/>
    </row>
    <row r="662" spans="2:18" x14ac:dyDescent="0.25">
      <c r="M662" s="369"/>
      <c r="N662" s="369"/>
      <c r="O662" s="369"/>
    </row>
    <row r="663" spans="2:18" x14ac:dyDescent="0.25">
      <c r="D663" s="160"/>
    </row>
  </sheetData>
  <sheetProtection sheet="1" objects="1" formatCells="0" formatColumns="0" formatRows="0" sort="0" autoFilter="0"/>
  <conditionalFormatting sqref="H659">
    <cfRule type="cellIs" dxfId="3" priority="12" operator="greaterThan">
      <formula>0</formula>
    </cfRule>
  </conditionalFormatting>
  <conditionalFormatting sqref="A4:XFD4">
    <cfRule type="expression" dxfId="2" priority="1">
      <formula>LEFT($A$4,1) &lt;&gt; "0"</formula>
    </cfRule>
  </conditionalFormatting>
  <hyperlinks>
    <hyperlink ref="B5:F5" location="'Model map'!A1" display="Click here to return to model map"/>
  </hyperlinks>
  <pageMargins left="0.7" right="0.7" top="0.75" bottom="0.75" header="0.3" footer="0.3"/>
  <pageSetup paperSize="9" scale="32" fitToHeight="0" orientation="portrait" r:id="rId1"/>
  <headerFooter>
    <oddHeader>&amp;L&amp;A&amp;C&amp;R&amp;P of &amp;N</oddHeader>
    <oddFooter>&amp;F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>
    <tabColor theme="9" tint="0.39997558519241921"/>
    <pageSetUpPr fitToPage="1"/>
  </sheetPr>
  <dimension ref="A1:XFD126"/>
  <sheetViews>
    <sheetView showGridLines="0" zoomScale="80" zoomScaleNormal="80" workbookViewId="0">
      <pane xSplit="9" ySplit="5" topLeftCell="J6" activePane="bottomRight" state="frozen"/>
      <selection activeCell="N50" sqref="N50"/>
      <selection pane="topRight" activeCell="N50" sqref="N50"/>
      <selection pane="bottomLeft" activeCell="N50" sqref="N50"/>
      <selection pane="bottomRight" activeCell="J6" sqref="J6"/>
    </sheetView>
  </sheetViews>
  <sheetFormatPr defaultColWidth="0" defaultRowHeight="15" x14ac:dyDescent="0.25"/>
  <cols>
    <col min="1" max="3" width="2.7109375" style="160" customWidth="1"/>
    <col min="4" max="5" width="2.7109375" style="175" customWidth="1"/>
    <col min="6" max="6" width="59.5703125" style="160" customWidth="1"/>
    <col min="7" max="8" width="20.7109375" style="160" customWidth="1"/>
    <col min="9" max="9" width="2.28515625" style="160" customWidth="1"/>
    <col min="10" max="10" width="17" style="160" customWidth="1"/>
    <col min="11" max="11" width="2.42578125" style="160" customWidth="1"/>
    <col min="12" max="16" width="17" style="160" customWidth="1"/>
    <col min="17" max="17" width="2.28515625" style="160" customWidth="1"/>
    <col min="18" max="18" width="50.7109375" style="160" customWidth="1"/>
    <col min="19" max="19" width="2.28515625" style="160" customWidth="1"/>
    <col min="20" max="27" width="0" style="160" hidden="1" customWidth="1"/>
    <col min="28" max="28" width="24.5703125" style="160" hidden="1" customWidth="1"/>
    <col min="29" max="29" width="3.5703125" style="160" hidden="1" customWidth="1"/>
    <col min="30" max="30" width="15.42578125" style="160" hidden="1" customWidth="1"/>
    <col min="31" max="284" width="24.5703125" style="160" hidden="1" customWidth="1"/>
    <col min="285" max="16384" width="8.7109375" style="160" hidden="1"/>
  </cols>
  <sheetData>
    <row r="1" spans="1:16384" s="25" customFormat="1" x14ac:dyDescent="0.25">
      <c r="A1" s="25" t="str">
        <f ca="1">MID(CELL("filename",A1),FIND("]",CELL("filename",A1))+1,255)</f>
        <v>Typical bills</v>
      </c>
    </row>
    <row r="2" spans="1:16384" s="25" customFormat="1" x14ac:dyDescent="0.25">
      <c r="A2" s="25" t="str">
        <f>Cover!D21&amp;" - "&amp;Cover!D23</f>
        <v>SEPD - Final</v>
      </c>
    </row>
    <row r="3" spans="1:16384" s="97" customFormat="1" x14ac:dyDescent="0.25">
      <c r="A3" s="97" t="str">
        <f>Cover!D2&amp;" - "&amp;Cover!D8&amp;" v"&amp;Cover!D10&amp;" - "&amp;Cover!D19</f>
        <v>ARP model - Release for charge setting v3 - 2020/21</v>
      </c>
    </row>
    <row r="4" spans="1:16384" s="338" customFormat="1" x14ac:dyDescent="0.25">
      <c r="A4" s="392" t="str">
        <f>H124 &amp; IF(H124 = 1, " issue", " issues") &amp;" identified in checks on this sheet"</f>
        <v>0 issues identified in checks on this sheet</v>
      </c>
      <c r="B4" s="393"/>
      <c r="C4" s="393"/>
      <c r="D4" s="393"/>
      <c r="E4" s="393"/>
      <c r="F4" s="393"/>
      <c r="G4" s="393"/>
      <c r="H4" s="394"/>
      <c r="I4" s="394"/>
      <c r="J4" s="393"/>
      <c r="K4" s="383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3"/>
      <c r="AD4" s="383"/>
      <c r="AE4" s="383"/>
      <c r="AF4" s="383"/>
      <c r="AG4" s="383"/>
      <c r="AH4" s="383"/>
      <c r="AI4" s="383"/>
      <c r="AJ4" s="383"/>
      <c r="AK4" s="383"/>
      <c r="AL4" s="383"/>
      <c r="AM4" s="383"/>
      <c r="AN4" s="383"/>
      <c r="AO4" s="383"/>
      <c r="AP4" s="383"/>
      <c r="AQ4" s="383"/>
      <c r="AR4" s="383"/>
      <c r="AS4" s="383"/>
      <c r="AT4" s="383"/>
      <c r="AU4" s="383"/>
      <c r="AV4" s="383"/>
      <c r="AW4" s="383"/>
      <c r="AX4" s="383"/>
      <c r="AY4" s="383"/>
      <c r="AZ4" s="383"/>
      <c r="BA4" s="383"/>
      <c r="BB4" s="383"/>
      <c r="BC4" s="383"/>
      <c r="BD4" s="383"/>
      <c r="BE4" s="383"/>
      <c r="BF4" s="383"/>
      <c r="BG4" s="383"/>
      <c r="BH4" s="383"/>
      <c r="BI4" s="383"/>
      <c r="BJ4" s="383"/>
      <c r="BK4" s="383"/>
      <c r="BL4" s="383"/>
      <c r="BM4" s="383"/>
      <c r="BN4" s="383"/>
      <c r="BO4" s="383"/>
      <c r="BP4" s="383"/>
      <c r="BQ4" s="383"/>
      <c r="BR4" s="383"/>
      <c r="BS4" s="383"/>
      <c r="BT4" s="383"/>
      <c r="BU4" s="383"/>
      <c r="BV4" s="383"/>
      <c r="BW4" s="383"/>
      <c r="BX4" s="383"/>
      <c r="BY4" s="383"/>
      <c r="BZ4" s="383"/>
      <c r="CA4" s="383"/>
      <c r="CB4" s="383"/>
      <c r="CC4" s="383"/>
      <c r="CD4" s="383"/>
      <c r="CE4" s="383"/>
      <c r="CF4" s="383"/>
      <c r="CG4" s="383"/>
      <c r="CH4" s="383"/>
      <c r="CI4" s="383"/>
      <c r="CJ4" s="383"/>
      <c r="CK4" s="383"/>
      <c r="CL4" s="383"/>
      <c r="CM4" s="383"/>
      <c r="CN4" s="383"/>
      <c r="CO4" s="383"/>
      <c r="CP4" s="383"/>
      <c r="CQ4" s="383"/>
      <c r="CR4" s="383"/>
      <c r="CS4" s="383"/>
    </row>
    <row r="5" spans="1:16384" ht="30" x14ac:dyDescent="0.25">
      <c r="B5" s="244" t="s">
        <v>667</v>
      </c>
      <c r="C5" s="24"/>
      <c r="D5" s="24"/>
      <c r="E5" s="24"/>
      <c r="F5" s="24"/>
      <c r="G5" s="1" t="s">
        <v>108</v>
      </c>
      <c r="H5" s="1" t="s">
        <v>750</v>
      </c>
      <c r="J5" s="271" t="str">
        <f>"Live results (" &amp; charging_year_selected &amp; ")"</f>
        <v>Live results (2020/21)</v>
      </c>
      <c r="L5" s="271" t="str">
        <f t="array" ref="L5:P5">TRANSPOSE('ARP_User control'!G31:G35)</f>
        <v>2020/21</v>
      </c>
      <c r="M5" s="271" t="str">
        <v>2021/22</v>
      </c>
      <c r="N5" s="271" t="str">
        <v>2022/23</v>
      </c>
      <c r="O5" s="271" t="str">
        <v>2023/24</v>
      </c>
      <c r="P5" s="271" t="str">
        <v>2024/25</v>
      </c>
      <c r="R5" s="1" t="s">
        <v>110</v>
      </c>
    </row>
    <row r="7" spans="1:16384" x14ac:dyDescent="0.25">
      <c r="B7" s="171" t="s">
        <v>107</v>
      </c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</row>
    <row r="9" spans="1:16384" x14ac:dyDescent="0.25">
      <c r="C9" s="152" t="s">
        <v>703</v>
      </c>
    </row>
    <row r="10" spans="1:16384" x14ac:dyDescent="0.25">
      <c r="C10" s="152" t="s">
        <v>704</v>
      </c>
    </row>
    <row r="11" spans="1:16384" x14ac:dyDescent="0.25">
      <c r="A11" s="143"/>
      <c r="B11" s="143"/>
      <c r="C11" s="152" t="s">
        <v>724</v>
      </c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  <c r="AM11" s="143"/>
      <c r="AN11" s="143"/>
      <c r="AO11" s="143"/>
      <c r="AP11" s="143"/>
      <c r="AQ11" s="143"/>
      <c r="AR11" s="143"/>
      <c r="AS11" s="143"/>
      <c r="AT11" s="143"/>
      <c r="AU11" s="143"/>
      <c r="AV11" s="143"/>
      <c r="AW11" s="143"/>
      <c r="AX11" s="143"/>
      <c r="AY11" s="143"/>
      <c r="AZ11" s="143"/>
      <c r="BA11" s="143"/>
      <c r="BB11" s="143"/>
      <c r="BC11" s="143"/>
      <c r="BD11" s="143"/>
      <c r="BE11" s="143"/>
      <c r="BF11" s="143"/>
      <c r="BG11" s="143"/>
      <c r="BH11" s="143"/>
      <c r="BI11" s="143"/>
      <c r="BJ11" s="143"/>
      <c r="BK11" s="143"/>
      <c r="BL11" s="143"/>
      <c r="BM11" s="143"/>
      <c r="BN11" s="143"/>
      <c r="BO11" s="143"/>
      <c r="BP11" s="143"/>
      <c r="BQ11" s="143"/>
      <c r="BR11" s="143"/>
      <c r="BS11" s="143"/>
      <c r="BT11" s="143"/>
      <c r="BU11" s="143"/>
      <c r="BV11" s="143"/>
      <c r="BW11" s="143"/>
      <c r="BX11" s="143"/>
      <c r="BY11" s="143"/>
      <c r="BZ11" s="143"/>
      <c r="CA11" s="143"/>
      <c r="CB11" s="143"/>
      <c r="CC11" s="143"/>
      <c r="CD11" s="143"/>
      <c r="CE11" s="143"/>
      <c r="CF11" s="143"/>
      <c r="CG11" s="143"/>
      <c r="CH11" s="143"/>
      <c r="CI11" s="143"/>
      <c r="CJ11" s="143"/>
      <c r="CK11" s="143"/>
      <c r="CL11" s="143"/>
      <c r="CM11" s="143"/>
      <c r="CN11" s="143"/>
      <c r="CO11" s="143"/>
      <c r="CP11" s="143"/>
      <c r="CQ11" s="143"/>
      <c r="CR11" s="143"/>
      <c r="CS11" s="143"/>
      <c r="CT11" s="143"/>
      <c r="CU11" s="143"/>
      <c r="CV11" s="143"/>
      <c r="CW11" s="143"/>
      <c r="CX11" s="143"/>
      <c r="CY11" s="143"/>
      <c r="CZ11" s="143"/>
      <c r="DA11" s="143"/>
      <c r="DB11" s="143"/>
      <c r="DC11" s="143"/>
      <c r="DD11" s="143"/>
      <c r="DE11" s="143"/>
      <c r="DF11" s="143"/>
      <c r="DG11" s="143"/>
      <c r="DH11" s="143"/>
      <c r="DI11" s="143"/>
      <c r="DJ11" s="143"/>
      <c r="DK11" s="143"/>
      <c r="DL11" s="143"/>
      <c r="DM11" s="143"/>
      <c r="DN11" s="143"/>
      <c r="DO11" s="143"/>
      <c r="DP11" s="143"/>
      <c r="DQ11" s="143"/>
      <c r="DR11" s="143"/>
      <c r="DS11" s="143"/>
      <c r="DT11" s="143"/>
      <c r="DU11" s="143"/>
      <c r="DV11" s="143"/>
      <c r="DW11" s="143"/>
      <c r="DX11" s="143"/>
      <c r="DY11" s="143"/>
      <c r="DZ11" s="143"/>
      <c r="EA11" s="143"/>
      <c r="EB11" s="143"/>
      <c r="EC11" s="143"/>
      <c r="ED11" s="143"/>
      <c r="EE11" s="143"/>
      <c r="EF11" s="143"/>
      <c r="EG11" s="143"/>
      <c r="EH11" s="143"/>
      <c r="EI11" s="143"/>
      <c r="EJ11" s="143"/>
      <c r="EK11" s="143"/>
      <c r="EL11" s="143"/>
      <c r="EM11" s="143"/>
      <c r="EN11" s="143"/>
      <c r="EO11" s="143"/>
      <c r="EP11" s="143"/>
      <c r="EQ11" s="143"/>
      <c r="ER11" s="143"/>
      <c r="ES11" s="143"/>
      <c r="ET11" s="143"/>
      <c r="EU11" s="143"/>
      <c r="EV11" s="143"/>
      <c r="EW11" s="143"/>
      <c r="EX11" s="143"/>
      <c r="EY11" s="143"/>
      <c r="EZ11" s="143"/>
      <c r="FA11" s="143"/>
      <c r="FB11" s="143"/>
      <c r="FC11" s="143"/>
      <c r="FD11" s="143"/>
      <c r="FE11" s="143"/>
      <c r="FF11" s="143"/>
      <c r="FG11" s="143"/>
      <c r="FH11" s="143"/>
      <c r="FI11" s="143"/>
      <c r="FJ11" s="143"/>
      <c r="FK11" s="143"/>
      <c r="FL11" s="143"/>
      <c r="FM11" s="143"/>
      <c r="FN11" s="143"/>
      <c r="FO11" s="143"/>
      <c r="FP11" s="143"/>
      <c r="FQ11" s="143"/>
      <c r="FR11" s="143"/>
      <c r="FS11" s="143"/>
      <c r="FT11" s="143"/>
      <c r="FU11" s="143"/>
      <c r="FV11" s="143"/>
      <c r="FW11" s="143"/>
      <c r="FX11" s="143"/>
      <c r="FY11" s="143"/>
      <c r="FZ11" s="143"/>
      <c r="GA11" s="143"/>
      <c r="GB11" s="143"/>
      <c r="GC11" s="143"/>
      <c r="GD11" s="143"/>
      <c r="GE11" s="143"/>
      <c r="GF11" s="143"/>
      <c r="GG11" s="143"/>
      <c r="GH11" s="143"/>
      <c r="GI11" s="143"/>
      <c r="GJ11" s="143"/>
      <c r="GK11" s="143"/>
      <c r="GL11" s="143"/>
      <c r="GM11" s="143"/>
      <c r="GN11" s="143"/>
      <c r="GO11" s="143"/>
      <c r="GP11" s="143"/>
      <c r="GQ11" s="143"/>
      <c r="GR11" s="143"/>
      <c r="GS11" s="143"/>
      <c r="GT11" s="143"/>
      <c r="GU11" s="143"/>
      <c r="GV11" s="143"/>
      <c r="GW11" s="143"/>
      <c r="GX11" s="143"/>
      <c r="GY11" s="143"/>
      <c r="GZ11" s="143"/>
      <c r="HA11" s="143"/>
      <c r="HB11" s="143"/>
      <c r="HC11" s="143"/>
      <c r="HD11" s="143"/>
      <c r="HE11" s="143"/>
      <c r="HF11" s="143"/>
      <c r="HG11" s="143"/>
      <c r="HH11" s="143"/>
      <c r="HI11" s="143"/>
      <c r="HJ11" s="143"/>
      <c r="HK11" s="143"/>
      <c r="HL11" s="143"/>
      <c r="HM11" s="143"/>
      <c r="HN11" s="143"/>
      <c r="HO11" s="143"/>
      <c r="HP11" s="143"/>
      <c r="HQ11" s="143"/>
      <c r="HR11" s="143"/>
      <c r="HS11" s="143"/>
      <c r="HT11" s="143"/>
      <c r="HU11" s="143"/>
      <c r="HV11" s="143"/>
      <c r="HW11" s="143"/>
      <c r="HX11" s="143"/>
      <c r="HY11" s="143"/>
      <c r="HZ11" s="143"/>
      <c r="IA11" s="143"/>
      <c r="IB11" s="143"/>
      <c r="IC11" s="143"/>
      <c r="ID11" s="143"/>
      <c r="IE11" s="143"/>
      <c r="IF11" s="143"/>
      <c r="IG11" s="143"/>
      <c r="IH11" s="143"/>
      <c r="II11" s="143"/>
      <c r="IJ11" s="143"/>
      <c r="IK11" s="143"/>
      <c r="IL11" s="143"/>
      <c r="IM11" s="143"/>
      <c r="IN11" s="143"/>
      <c r="IO11" s="143"/>
      <c r="IP11" s="143"/>
      <c r="IQ11" s="143"/>
      <c r="IR11" s="143"/>
      <c r="IS11" s="143"/>
      <c r="IT11" s="143"/>
      <c r="IU11" s="143"/>
      <c r="IV11" s="143"/>
      <c r="IW11" s="143"/>
      <c r="IX11" s="143"/>
      <c r="IY11" s="143"/>
      <c r="IZ11" s="143"/>
      <c r="JA11" s="143"/>
      <c r="JB11" s="143"/>
      <c r="JC11" s="143"/>
      <c r="JD11" s="143"/>
      <c r="JE11" s="143"/>
      <c r="JF11" s="143"/>
      <c r="JG11" s="143"/>
      <c r="JH11" s="143"/>
      <c r="JI11" s="143"/>
      <c r="JJ11" s="143"/>
      <c r="JK11" s="143"/>
      <c r="JL11" s="143"/>
      <c r="JM11" s="143"/>
      <c r="JN11" s="143"/>
      <c r="JO11" s="143"/>
      <c r="JP11" s="143"/>
      <c r="JQ11" s="143"/>
      <c r="JR11" s="143"/>
      <c r="JS11" s="143"/>
      <c r="JT11" s="143"/>
      <c r="JU11" s="143"/>
      <c r="JV11" s="143"/>
      <c r="JW11" s="143"/>
      <c r="JX11" s="143"/>
      <c r="JY11" s="143"/>
      <c r="JZ11" s="143"/>
      <c r="KA11" s="143"/>
      <c r="KB11" s="143"/>
      <c r="KC11" s="143"/>
      <c r="KD11" s="143"/>
      <c r="KE11" s="143"/>
      <c r="KF11" s="143"/>
      <c r="KG11" s="143"/>
      <c r="KH11" s="143"/>
      <c r="KI11" s="143"/>
      <c r="KJ11" s="143"/>
      <c r="KK11" s="143"/>
      <c r="KL11" s="143"/>
      <c r="KM11" s="143"/>
      <c r="KN11" s="143"/>
      <c r="KO11" s="143"/>
      <c r="KP11" s="143"/>
      <c r="KQ11" s="143"/>
      <c r="KR11" s="143"/>
      <c r="KS11" s="143"/>
      <c r="KT11" s="143"/>
      <c r="KU11" s="143"/>
      <c r="KV11" s="143"/>
      <c r="KW11" s="143"/>
      <c r="KX11" s="143"/>
      <c r="KY11" s="143"/>
      <c r="KZ11" s="143"/>
      <c r="LA11" s="143"/>
      <c r="LB11" s="143"/>
      <c r="LC11" s="143"/>
      <c r="LD11" s="143"/>
      <c r="LE11" s="143"/>
      <c r="LF11" s="143"/>
      <c r="LG11" s="143"/>
      <c r="LH11" s="143"/>
      <c r="LI11" s="143"/>
      <c r="LJ11" s="143"/>
      <c r="LK11" s="143"/>
      <c r="LL11" s="143"/>
      <c r="LM11" s="143"/>
      <c r="LN11" s="143"/>
      <c r="LO11" s="143"/>
      <c r="LP11" s="143"/>
      <c r="LQ11" s="143"/>
      <c r="LR11" s="143"/>
      <c r="LS11" s="143"/>
      <c r="LT11" s="143"/>
      <c r="LU11" s="143"/>
      <c r="LV11" s="143"/>
      <c r="LW11" s="143"/>
      <c r="LX11" s="143"/>
      <c r="LY11" s="143"/>
      <c r="LZ11" s="143"/>
      <c r="MA11" s="143"/>
      <c r="MB11" s="143"/>
      <c r="MC11" s="143"/>
      <c r="MD11" s="143"/>
      <c r="ME11" s="143"/>
      <c r="MF11" s="143"/>
      <c r="MG11" s="143"/>
      <c r="MH11" s="143"/>
      <c r="MI11" s="143"/>
      <c r="MJ11" s="143"/>
      <c r="MK11" s="143"/>
      <c r="ML11" s="143"/>
      <c r="MM11" s="143"/>
      <c r="MN11" s="143"/>
      <c r="MO11" s="143"/>
      <c r="MP11" s="143"/>
      <c r="MQ11" s="143"/>
      <c r="MR11" s="143"/>
      <c r="MS11" s="143"/>
      <c r="MT11" s="143"/>
      <c r="MU11" s="143"/>
      <c r="MV11" s="143"/>
      <c r="MW11" s="143"/>
      <c r="MX11" s="143"/>
      <c r="MY11" s="143"/>
      <c r="MZ11" s="143"/>
      <c r="NA11" s="143"/>
      <c r="NB11" s="143"/>
      <c r="NC11" s="143"/>
      <c r="ND11" s="143"/>
      <c r="NE11" s="143"/>
      <c r="NF11" s="143"/>
      <c r="NG11" s="143"/>
      <c r="NH11" s="143"/>
      <c r="NI11" s="143"/>
      <c r="NJ11" s="143"/>
      <c r="NK11" s="143"/>
      <c r="NL11" s="143"/>
      <c r="NM11" s="143"/>
      <c r="NN11" s="143"/>
      <c r="NO11" s="143"/>
      <c r="NP11" s="143"/>
      <c r="NQ11" s="143"/>
      <c r="NR11" s="143"/>
      <c r="NS11" s="143"/>
      <c r="NT11" s="143"/>
      <c r="NU11" s="143"/>
      <c r="NV11" s="143"/>
      <c r="NW11" s="143"/>
      <c r="NX11" s="143"/>
      <c r="NY11" s="143"/>
      <c r="NZ11" s="143"/>
      <c r="OA11" s="143"/>
      <c r="OB11" s="143"/>
      <c r="OC11" s="143"/>
      <c r="OD11" s="143"/>
      <c r="OE11" s="143"/>
      <c r="OF11" s="143"/>
      <c r="OG11" s="143"/>
      <c r="OH11" s="143"/>
      <c r="OI11" s="143"/>
      <c r="OJ11" s="143"/>
      <c r="OK11" s="143"/>
      <c r="OL11" s="143"/>
      <c r="OM11" s="143"/>
      <c r="ON11" s="143"/>
      <c r="OO11" s="143"/>
      <c r="OP11" s="143"/>
      <c r="OQ11" s="143"/>
      <c r="OR11" s="143"/>
      <c r="OS11" s="143"/>
      <c r="OT11" s="143"/>
      <c r="OU11" s="143"/>
      <c r="OV11" s="143"/>
      <c r="OW11" s="143"/>
      <c r="OX11" s="143"/>
      <c r="OY11" s="143"/>
      <c r="OZ11" s="143"/>
      <c r="PA11" s="143"/>
      <c r="PB11" s="143"/>
      <c r="PC11" s="143"/>
      <c r="PD11" s="143"/>
      <c r="PE11" s="143"/>
      <c r="PF11" s="143"/>
      <c r="PG11" s="143"/>
      <c r="PH11" s="143"/>
      <c r="PI11" s="143"/>
      <c r="PJ11" s="143"/>
      <c r="PK11" s="143"/>
      <c r="PL11" s="143"/>
      <c r="PM11" s="143"/>
      <c r="PN11" s="143"/>
      <c r="PO11" s="143"/>
      <c r="PP11" s="143"/>
      <c r="PQ11" s="143"/>
      <c r="PR11" s="143"/>
      <c r="PS11" s="143"/>
      <c r="PT11" s="143"/>
      <c r="PU11" s="143"/>
      <c r="PV11" s="143"/>
      <c r="PW11" s="143"/>
      <c r="PX11" s="143"/>
      <c r="PY11" s="143"/>
      <c r="PZ11" s="143"/>
      <c r="QA11" s="143"/>
      <c r="QB11" s="143"/>
      <c r="QC11" s="143"/>
      <c r="QD11" s="143"/>
      <c r="QE11" s="143"/>
      <c r="QF11" s="143"/>
      <c r="QG11" s="143"/>
      <c r="QH11" s="143"/>
      <c r="QI11" s="143"/>
      <c r="QJ11" s="143"/>
      <c r="QK11" s="143"/>
      <c r="QL11" s="143"/>
      <c r="QM11" s="143"/>
      <c r="QN11" s="143"/>
      <c r="QO11" s="143"/>
      <c r="QP11" s="143"/>
      <c r="QQ11" s="143"/>
      <c r="QR11" s="143"/>
      <c r="QS11" s="143"/>
      <c r="QT11" s="143"/>
      <c r="QU11" s="143"/>
      <c r="QV11" s="143"/>
      <c r="QW11" s="143"/>
      <c r="QX11" s="143"/>
      <c r="QY11" s="143"/>
      <c r="QZ11" s="143"/>
      <c r="RA11" s="143"/>
      <c r="RB11" s="143"/>
      <c r="RC11" s="143"/>
      <c r="RD11" s="143"/>
      <c r="RE11" s="143"/>
      <c r="RF11" s="143"/>
      <c r="RG11" s="143"/>
      <c r="RH11" s="143"/>
      <c r="RI11" s="143"/>
      <c r="RJ11" s="143"/>
      <c r="RK11" s="143"/>
      <c r="RL11" s="143"/>
      <c r="RM11" s="143"/>
      <c r="RN11" s="143"/>
      <c r="RO11" s="143"/>
      <c r="RP11" s="143"/>
      <c r="RQ11" s="143"/>
      <c r="RR11" s="143"/>
      <c r="RS11" s="143"/>
      <c r="RT11" s="143"/>
      <c r="RU11" s="143"/>
      <c r="RV11" s="143"/>
      <c r="RW11" s="143"/>
      <c r="RX11" s="143"/>
      <c r="RY11" s="143"/>
      <c r="RZ11" s="143"/>
      <c r="SA11" s="143"/>
      <c r="SB11" s="143"/>
      <c r="SC11" s="143"/>
      <c r="SD11" s="143"/>
      <c r="SE11" s="143"/>
      <c r="SF11" s="143"/>
      <c r="SG11" s="143"/>
      <c r="SH11" s="143"/>
      <c r="SI11" s="143"/>
      <c r="SJ11" s="143"/>
      <c r="SK11" s="143"/>
      <c r="SL11" s="143"/>
      <c r="SM11" s="143"/>
      <c r="SN11" s="143"/>
      <c r="SO11" s="143"/>
      <c r="SP11" s="143"/>
      <c r="SQ11" s="143"/>
      <c r="SR11" s="143"/>
      <c r="SS11" s="143"/>
      <c r="ST11" s="143"/>
      <c r="SU11" s="143"/>
      <c r="SV11" s="143"/>
      <c r="SW11" s="143"/>
      <c r="SX11" s="143"/>
      <c r="SY11" s="143"/>
      <c r="SZ11" s="143"/>
      <c r="TA11" s="143"/>
      <c r="TB11" s="143"/>
      <c r="TC11" s="143"/>
      <c r="TD11" s="143"/>
      <c r="TE11" s="143"/>
      <c r="TF11" s="143"/>
      <c r="TG11" s="143"/>
      <c r="TH11" s="143"/>
      <c r="TI11" s="143"/>
      <c r="TJ11" s="143"/>
      <c r="TK11" s="143"/>
      <c r="TL11" s="143"/>
      <c r="TM11" s="143"/>
      <c r="TN11" s="143"/>
      <c r="TO11" s="143"/>
      <c r="TP11" s="143"/>
      <c r="TQ11" s="143"/>
      <c r="TR11" s="143"/>
      <c r="TS11" s="143"/>
      <c r="TT11" s="143"/>
      <c r="TU11" s="143"/>
      <c r="TV11" s="143"/>
      <c r="TW11" s="143"/>
      <c r="TX11" s="143"/>
      <c r="TY11" s="143"/>
      <c r="TZ11" s="143"/>
      <c r="UA11" s="143"/>
      <c r="UB11" s="143"/>
      <c r="UC11" s="143"/>
      <c r="UD11" s="143"/>
      <c r="UE11" s="143"/>
      <c r="UF11" s="143"/>
      <c r="UG11" s="143"/>
      <c r="UH11" s="143"/>
      <c r="UI11" s="143"/>
      <c r="UJ11" s="143"/>
      <c r="UK11" s="143"/>
      <c r="UL11" s="143"/>
      <c r="UM11" s="143"/>
      <c r="UN11" s="143"/>
      <c r="UO11" s="143"/>
      <c r="UP11" s="143"/>
      <c r="UQ11" s="143"/>
      <c r="UR11" s="143"/>
      <c r="US11" s="143"/>
      <c r="UT11" s="143"/>
      <c r="UU11" s="143"/>
      <c r="UV11" s="143"/>
      <c r="UW11" s="143"/>
      <c r="UX11" s="143"/>
      <c r="UY11" s="143"/>
      <c r="UZ11" s="143"/>
      <c r="VA11" s="143"/>
      <c r="VB11" s="143"/>
      <c r="VC11" s="143"/>
      <c r="VD11" s="143"/>
      <c r="VE11" s="143"/>
      <c r="VF11" s="143"/>
      <c r="VG11" s="143"/>
      <c r="VH11" s="143"/>
      <c r="VI11" s="143"/>
      <c r="VJ11" s="143"/>
      <c r="VK11" s="143"/>
      <c r="VL11" s="143"/>
      <c r="VM11" s="143"/>
      <c r="VN11" s="143"/>
      <c r="VO11" s="143"/>
      <c r="VP11" s="143"/>
      <c r="VQ11" s="143"/>
      <c r="VR11" s="143"/>
      <c r="VS11" s="143"/>
      <c r="VT11" s="143"/>
      <c r="VU11" s="143"/>
      <c r="VV11" s="143"/>
      <c r="VW11" s="143"/>
      <c r="VX11" s="143"/>
      <c r="VY11" s="143"/>
      <c r="VZ11" s="143"/>
      <c r="WA11" s="143"/>
      <c r="WB11" s="143"/>
      <c r="WC11" s="143"/>
      <c r="WD11" s="143"/>
      <c r="WE11" s="143"/>
      <c r="WF11" s="143"/>
      <c r="WG11" s="143"/>
      <c r="WH11" s="143"/>
      <c r="WI11" s="143"/>
      <c r="WJ11" s="143"/>
      <c r="WK11" s="143"/>
      <c r="WL11" s="143"/>
      <c r="WM11" s="143"/>
      <c r="WN11" s="143"/>
      <c r="WO11" s="143"/>
      <c r="WP11" s="143"/>
      <c r="WQ11" s="143"/>
      <c r="WR11" s="143"/>
      <c r="WS11" s="143"/>
      <c r="WT11" s="143"/>
      <c r="WU11" s="143"/>
      <c r="WV11" s="143"/>
      <c r="WW11" s="143"/>
      <c r="WX11" s="143"/>
      <c r="WY11" s="143"/>
      <c r="WZ11" s="143"/>
      <c r="XA11" s="143"/>
      <c r="XB11" s="143"/>
      <c r="XC11" s="143"/>
      <c r="XD11" s="143"/>
      <c r="XE11" s="143"/>
      <c r="XF11" s="143"/>
      <c r="XG11" s="143"/>
      <c r="XH11" s="143"/>
      <c r="XI11" s="143"/>
      <c r="XJ11" s="143"/>
      <c r="XK11" s="143"/>
      <c r="XL11" s="143"/>
      <c r="XM11" s="143"/>
      <c r="XN11" s="143"/>
      <c r="XO11" s="143"/>
      <c r="XP11" s="143"/>
      <c r="XQ11" s="143"/>
      <c r="XR11" s="143"/>
      <c r="XS11" s="143"/>
      <c r="XT11" s="143"/>
      <c r="XU11" s="143"/>
      <c r="XV11" s="143"/>
      <c r="XW11" s="143"/>
      <c r="XX11" s="143"/>
      <c r="XY11" s="143"/>
      <c r="XZ11" s="143"/>
      <c r="YA11" s="143"/>
      <c r="YB11" s="143"/>
      <c r="YC11" s="143"/>
      <c r="YD11" s="143"/>
      <c r="YE11" s="143"/>
      <c r="YF11" s="143"/>
      <c r="YG11" s="143"/>
      <c r="YH11" s="143"/>
      <c r="YI11" s="143"/>
      <c r="YJ11" s="143"/>
      <c r="YK11" s="143"/>
      <c r="YL11" s="143"/>
      <c r="YM11" s="143"/>
      <c r="YN11" s="143"/>
      <c r="YO11" s="143"/>
      <c r="YP11" s="143"/>
      <c r="YQ11" s="143"/>
      <c r="YR11" s="143"/>
      <c r="YS11" s="143"/>
      <c r="YT11" s="143"/>
      <c r="YU11" s="143"/>
      <c r="YV11" s="143"/>
      <c r="YW11" s="143"/>
      <c r="YX11" s="143"/>
      <c r="YY11" s="143"/>
      <c r="YZ11" s="143"/>
      <c r="ZA11" s="143"/>
      <c r="ZB11" s="143"/>
      <c r="ZC11" s="143"/>
      <c r="ZD11" s="143"/>
      <c r="ZE11" s="143"/>
      <c r="ZF11" s="143"/>
      <c r="ZG11" s="143"/>
      <c r="ZH11" s="143"/>
      <c r="ZI11" s="143"/>
      <c r="ZJ11" s="143"/>
      <c r="ZK11" s="143"/>
      <c r="ZL11" s="143"/>
      <c r="ZM11" s="143"/>
      <c r="ZN11" s="143"/>
      <c r="ZO11" s="143"/>
      <c r="ZP11" s="143"/>
      <c r="ZQ11" s="143"/>
      <c r="ZR11" s="143"/>
      <c r="ZS11" s="143"/>
      <c r="ZT11" s="143"/>
      <c r="ZU11" s="143"/>
      <c r="ZV11" s="143"/>
      <c r="ZW11" s="143"/>
      <c r="ZX11" s="143"/>
      <c r="ZY11" s="143"/>
      <c r="ZZ11" s="143"/>
      <c r="AAA11" s="143"/>
      <c r="AAB11" s="143"/>
      <c r="AAC11" s="143"/>
      <c r="AAD11" s="143"/>
      <c r="AAE11" s="143"/>
      <c r="AAF11" s="143"/>
      <c r="AAG11" s="143"/>
      <c r="AAH11" s="143"/>
      <c r="AAI11" s="143"/>
      <c r="AAJ11" s="143"/>
      <c r="AAK11" s="143"/>
      <c r="AAL11" s="143"/>
      <c r="AAM11" s="143"/>
      <c r="AAN11" s="143"/>
      <c r="AAO11" s="143"/>
      <c r="AAP11" s="143"/>
      <c r="AAQ11" s="143"/>
      <c r="AAR11" s="143"/>
      <c r="AAS11" s="143"/>
      <c r="AAT11" s="143"/>
      <c r="AAU11" s="143"/>
      <c r="AAV11" s="143"/>
      <c r="AAW11" s="143"/>
      <c r="AAX11" s="143"/>
      <c r="AAY11" s="143"/>
      <c r="AAZ11" s="143"/>
      <c r="ABA11" s="143"/>
      <c r="ABB11" s="143"/>
      <c r="ABC11" s="143"/>
      <c r="ABD11" s="143"/>
      <c r="ABE11" s="143"/>
      <c r="ABF11" s="143"/>
      <c r="ABG11" s="143"/>
      <c r="ABH11" s="143"/>
      <c r="ABI11" s="143"/>
      <c r="ABJ11" s="143"/>
      <c r="ABK11" s="143"/>
      <c r="ABL11" s="143"/>
      <c r="ABM11" s="143"/>
      <c r="ABN11" s="143"/>
      <c r="ABO11" s="143"/>
      <c r="ABP11" s="143"/>
      <c r="ABQ11" s="143"/>
      <c r="ABR11" s="143"/>
      <c r="ABS11" s="143"/>
      <c r="ABT11" s="143"/>
      <c r="ABU11" s="143"/>
      <c r="ABV11" s="143"/>
      <c r="ABW11" s="143"/>
      <c r="ABX11" s="143"/>
      <c r="ABY11" s="143"/>
      <c r="ABZ11" s="143"/>
      <c r="ACA11" s="143"/>
      <c r="ACB11" s="143"/>
      <c r="ACC11" s="143"/>
      <c r="ACD11" s="143"/>
      <c r="ACE11" s="143"/>
      <c r="ACF11" s="143"/>
      <c r="ACG11" s="143"/>
      <c r="ACH11" s="143"/>
      <c r="ACI11" s="143"/>
      <c r="ACJ11" s="143"/>
      <c r="ACK11" s="143"/>
      <c r="ACL11" s="143"/>
      <c r="ACM11" s="143"/>
      <c r="ACN11" s="143"/>
      <c r="ACO11" s="143"/>
      <c r="ACP11" s="143"/>
      <c r="ACQ11" s="143"/>
      <c r="ACR11" s="143"/>
      <c r="ACS11" s="143"/>
      <c r="ACT11" s="143"/>
      <c r="ACU11" s="143"/>
      <c r="ACV11" s="143"/>
      <c r="ACW11" s="143"/>
      <c r="ACX11" s="143"/>
      <c r="ACY11" s="143"/>
      <c r="ACZ11" s="143"/>
      <c r="ADA11" s="143"/>
      <c r="ADB11" s="143"/>
      <c r="ADC11" s="143"/>
      <c r="ADD11" s="143"/>
      <c r="ADE11" s="143"/>
      <c r="ADF11" s="143"/>
      <c r="ADG11" s="143"/>
      <c r="ADH11" s="143"/>
      <c r="ADI11" s="143"/>
      <c r="ADJ11" s="143"/>
      <c r="ADK11" s="143"/>
      <c r="ADL11" s="143"/>
      <c r="ADM11" s="143"/>
      <c r="ADN11" s="143"/>
      <c r="ADO11" s="143"/>
      <c r="ADP11" s="143"/>
      <c r="ADQ11" s="143"/>
      <c r="ADR11" s="143"/>
      <c r="ADS11" s="143"/>
      <c r="ADT11" s="143"/>
      <c r="ADU11" s="143"/>
      <c r="ADV11" s="143"/>
      <c r="ADW11" s="143"/>
      <c r="ADX11" s="143"/>
      <c r="ADY11" s="143"/>
      <c r="ADZ11" s="143"/>
      <c r="AEA11" s="143"/>
      <c r="AEB11" s="143"/>
      <c r="AEC11" s="143"/>
      <c r="AED11" s="143"/>
      <c r="AEE11" s="143"/>
      <c r="AEF11" s="143"/>
      <c r="AEG11" s="143"/>
      <c r="AEH11" s="143"/>
      <c r="AEI11" s="143"/>
      <c r="AEJ11" s="143"/>
      <c r="AEK11" s="143"/>
      <c r="AEL11" s="143"/>
      <c r="AEM11" s="143"/>
      <c r="AEN11" s="143"/>
      <c r="AEO11" s="143"/>
      <c r="AEP11" s="143"/>
      <c r="AEQ11" s="143"/>
      <c r="AER11" s="143"/>
      <c r="AES11" s="143"/>
      <c r="AET11" s="143"/>
      <c r="AEU11" s="143"/>
      <c r="AEV11" s="143"/>
      <c r="AEW11" s="143"/>
      <c r="AEX11" s="143"/>
      <c r="AEY11" s="143"/>
      <c r="AEZ11" s="143"/>
      <c r="AFA11" s="143"/>
      <c r="AFB11" s="143"/>
      <c r="AFC11" s="143"/>
      <c r="AFD11" s="143"/>
      <c r="AFE11" s="143"/>
      <c r="AFF11" s="143"/>
      <c r="AFG11" s="143"/>
      <c r="AFH11" s="143"/>
      <c r="AFI11" s="143"/>
      <c r="AFJ11" s="143"/>
      <c r="AFK11" s="143"/>
      <c r="AFL11" s="143"/>
      <c r="AFM11" s="143"/>
      <c r="AFN11" s="143"/>
      <c r="AFO11" s="143"/>
      <c r="AFP11" s="143"/>
      <c r="AFQ11" s="143"/>
      <c r="AFR11" s="143"/>
      <c r="AFS11" s="143"/>
      <c r="AFT11" s="143"/>
      <c r="AFU11" s="143"/>
      <c r="AFV11" s="143"/>
      <c r="AFW11" s="143"/>
      <c r="AFX11" s="143"/>
      <c r="AFY11" s="143"/>
      <c r="AFZ11" s="143"/>
      <c r="AGA11" s="143"/>
      <c r="AGB11" s="143"/>
      <c r="AGC11" s="143"/>
      <c r="AGD11" s="143"/>
      <c r="AGE11" s="143"/>
      <c r="AGF11" s="143"/>
      <c r="AGG11" s="143"/>
      <c r="AGH11" s="143"/>
      <c r="AGI11" s="143"/>
      <c r="AGJ11" s="143"/>
      <c r="AGK11" s="143"/>
      <c r="AGL11" s="143"/>
      <c r="AGM11" s="143"/>
      <c r="AGN11" s="143"/>
      <c r="AGO11" s="143"/>
      <c r="AGP11" s="143"/>
      <c r="AGQ11" s="143"/>
      <c r="AGR11" s="143"/>
      <c r="AGS11" s="143"/>
      <c r="AGT11" s="143"/>
      <c r="AGU11" s="143"/>
      <c r="AGV11" s="143"/>
      <c r="AGW11" s="143"/>
      <c r="AGX11" s="143"/>
      <c r="AGY11" s="143"/>
      <c r="AGZ11" s="143"/>
      <c r="AHA11" s="143"/>
      <c r="AHB11" s="143"/>
      <c r="AHC11" s="143"/>
      <c r="AHD11" s="143"/>
      <c r="AHE11" s="143"/>
      <c r="AHF11" s="143"/>
      <c r="AHG11" s="143"/>
      <c r="AHH11" s="143"/>
      <c r="AHI11" s="143"/>
      <c r="AHJ11" s="143"/>
      <c r="AHK11" s="143"/>
      <c r="AHL11" s="143"/>
      <c r="AHM11" s="143"/>
      <c r="AHN11" s="143"/>
      <c r="AHO11" s="143"/>
      <c r="AHP11" s="143"/>
      <c r="AHQ11" s="143"/>
      <c r="AHR11" s="143"/>
      <c r="AHS11" s="143"/>
      <c r="AHT11" s="143"/>
      <c r="AHU11" s="143"/>
      <c r="AHV11" s="143"/>
      <c r="AHW11" s="143"/>
      <c r="AHX11" s="143"/>
      <c r="AHY11" s="143"/>
      <c r="AHZ11" s="143"/>
      <c r="AIA11" s="143"/>
      <c r="AIB11" s="143"/>
      <c r="AIC11" s="143"/>
      <c r="AID11" s="143"/>
      <c r="AIE11" s="143"/>
      <c r="AIF11" s="143"/>
      <c r="AIG11" s="143"/>
      <c r="AIH11" s="143"/>
      <c r="AII11" s="143"/>
      <c r="AIJ11" s="143"/>
      <c r="AIK11" s="143"/>
      <c r="AIL11" s="143"/>
      <c r="AIM11" s="143"/>
      <c r="AIN11" s="143"/>
      <c r="AIO11" s="143"/>
      <c r="AIP11" s="143"/>
      <c r="AIQ11" s="143"/>
      <c r="AIR11" s="143"/>
      <c r="AIS11" s="143"/>
      <c r="AIT11" s="143"/>
      <c r="AIU11" s="143"/>
      <c r="AIV11" s="143"/>
      <c r="AIW11" s="143"/>
      <c r="AIX11" s="143"/>
      <c r="AIY11" s="143"/>
      <c r="AIZ11" s="143"/>
      <c r="AJA11" s="143"/>
      <c r="AJB11" s="143"/>
      <c r="AJC11" s="143"/>
      <c r="AJD11" s="143"/>
      <c r="AJE11" s="143"/>
      <c r="AJF11" s="143"/>
      <c r="AJG11" s="143"/>
      <c r="AJH11" s="143"/>
      <c r="AJI11" s="143"/>
      <c r="AJJ11" s="143"/>
      <c r="AJK11" s="143"/>
      <c r="AJL11" s="143"/>
      <c r="AJM11" s="143"/>
      <c r="AJN11" s="143"/>
      <c r="AJO11" s="143"/>
      <c r="AJP11" s="143"/>
      <c r="AJQ11" s="143"/>
      <c r="AJR11" s="143"/>
      <c r="AJS11" s="143"/>
      <c r="AJT11" s="143"/>
      <c r="AJU11" s="143"/>
      <c r="AJV11" s="143"/>
      <c r="AJW11" s="143"/>
      <c r="AJX11" s="143"/>
      <c r="AJY11" s="143"/>
      <c r="AJZ11" s="143"/>
      <c r="AKA11" s="143"/>
      <c r="AKB11" s="143"/>
      <c r="AKC11" s="143"/>
      <c r="AKD11" s="143"/>
      <c r="AKE11" s="143"/>
      <c r="AKF11" s="143"/>
      <c r="AKG11" s="143"/>
      <c r="AKH11" s="143"/>
      <c r="AKI11" s="143"/>
      <c r="AKJ11" s="143"/>
      <c r="AKK11" s="143"/>
      <c r="AKL11" s="143"/>
      <c r="AKM11" s="143"/>
      <c r="AKN11" s="143"/>
      <c r="AKO11" s="143"/>
      <c r="AKP11" s="143"/>
      <c r="AKQ11" s="143"/>
      <c r="AKR11" s="143"/>
      <c r="AKS11" s="143"/>
      <c r="AKT11" s="143"/>
      <c r="AKU11" s="143"/>
      <c r="AKV11" s="143"/>
      <c r="AKW11" s="143"/>
      <c r="AKX11" s="143"/>
      <c r="AKY11" s="143"/>
      <c r="AKZ11" s="143"/>
      <c r="ALA11" s="143"/>
      <c r="ALB11" s="143"/>
      <c r="ALC11" s="143"/>
      <c r="ALD11" s="143"/>
      <c r="ALE11" s="143"/>
      <c r="ALF11" s="143"/>
      <c r="ALG11" s="143"/>
      <c r="ALH11" s="143"/>
      <c r="ALI11" s="143"/>
      <c r="ALJ11" s="143"/>
      <c r="ALK11" s="143"/>
      <c r="ALL11" s="143"/>
      <c r="ALM11" s="143"/>
      <c r="ALN11" s="143"/>
      <c r="ALO11" s="143"/>
      <c r="ALP11" s="143"/>
      <c r="ALQ11" s="143"/>
      <c r="ALR11" s="143"/>
      <c r="ALS11" s="143"/>
      <c r="ALT11" s="143"/>
      <c r="ALU11" s="143"/>
      <c r="ALV11" s="143"/>
      <c r="ALW11" s="143"/>
      <c r="ALX11" s="143"/>
      <c r="ALY11" s="143"/>
      <c r="ALZ11" s="143"/>
      <c r="AMA11" s="143"/>
      <c r="AMB11" s="143"/>
      <c r="AMC11" s="143"/>
      <c r="AMD11" s="143"/>
      <c r="AME11" s="143"/>
      <c r="AMF11" s="143"/>
      <c r="AMG11" s="143"/>
      <c r="AMH11" s="143"/>
      <c r="AMI11" s="143"/>
      <c r="AMJ11" s="143"/>
      <c r="AMK11" s="143"/>
      <c r="AML11" s="143"/>
      <c r="AMM11" s="143"/>
      <c r="AMN11" s="143"/>
      <c r="AMO11" s="143"/>
      <c r="AMP11" s="143"/>
      <c r="AMQ11" s="143"/>
      <c r="AMR11" s="143"/>
      <c r="AMS11" s="143"/>
      <c r="AMT11" s="143"/>
      <c r="AMU11" s="143"/>
      <c r="AMV11" s="143"/>
      <c r="AMW11" s="143"/>
      <c r="AMX11" s="143"/>
      <c r="AMY11" s="143"/>
      <c r="AMZ11" s="143"/>
      <c r="ANA11" s="143"/>
      <c r="ANB11" s="143"/>
      <c r="ANC11" s="143"/>
      <c r="AND11" s="143"/>
      <c r="ANE11" s="143"/>
      <c r="ANF11" s="143"/>
      <c r="ANG11" s="143"/>
      <c r="ANH11" s="143"/>
      <c r="ANI11" s="143"/>
      <c r="ANJ11" s="143"/>
      <c r="ANK11" s="143"/>
      <c r="ANL11" s="143"/>
      <c r="ANM11" s="143"/>
      <c r="ANN11" s="143"/>
      <c r="ANO11" s="143"/>
      <c r="ANP11" s="143"/>
      <c r="ANQ11" s="143"/>
      <c r="ANR11" s="143"/>
      <c r="ANS11" s="143"/>
      <c r="ANT11" s="143"/>
      <c r="ANU11" s="143"/>
      <c r="ANV11" s="143"/>
      <c r="ANW11" s="143"/>
      <c r="ANX11" s="143"/>
      <c r="ANY11" s="143"/>
      <c r="ANZ11" s="143"/>
      <c r="AOA11" s="143"/>
      <c r="AOB11" s="143"/>
      <c r="AOC11" s="143"/>
      <c r="AOD11" s="143"/>
      <c r="AOE11" s="143"/>
      <c r="AOF11" s="143"/>
      <c r="AOG11" s="143"/>
      <c r="AOH11" s="143"/>
      <c r="AOI11" s="143"/>
      <c r="AOJ11" s="143"/>
      <c r="AOK11" s="143"/>
      <c r="AOL11" s="143"/>
      <c r="AOM11" s="143"/>
      <c r="AON11" s="143"/>
      <c r="AOO11" s="143"/>
      <c r="AOP11" s="143"/>
      <c r="AOQ11" s="143"/>
      <c r="AOR11" s="143"/>
      <c r="AOS11" s="143"/>
      <c r="AOT11" s="143"/>
      <c r="AOU11" s="143"/>
      <c r="AOV11" s="143"/>
      <c r="AOW11" s="143"/>
      <c r="AOX11" s="143"/>
      <c r="AOY11" s="143"/>
      <c r="AOZ11" s="143"/>
      <c r="APA11" s="143"/>
      <c r="APB11" s="143"/>
      <c r="APC11" s="143"/>
      <c r="APD11" s="143"/>
      <c r="APE11" s="143"/>
      <c r="APF11" s="143"/>
      <c r="APG11" s="143"/>
      <c r="APH11" s="143"/>
      <c r="API11" s="143"/>
      <c r="APJ11" s="143"/>
      <c r="APK11" s="143"/>
      <c r="APL11" s="143"/>
      <c r="APM11" s="143"/>
      <c r="APN11" s="143"/>
      <c r="APO11" s="143"/>
      <c r="APP11" s="143"/>
      <c r="APQ11" s="143"/>
      <c r="APR11" s="143"/>
      <c r="APS11" s="143"/>
      <c r="APT11" s="143"/>
      <c r="APU11" s="143"/>
      <c r="APV11" s="143"/>
      <c r="APW11" s="143"/>
      <c r="APX11" s="143"/>
      <c r="APY11" s="143"/>
      <c r="APZ11" s="143"/>
      <c r="AQA11" s="143"/>
      <c r="AQB11" s="143"/>
      <c r="AQC11" s="143"/>
      <c r="AQD11" s="143"/>
      <c r="AQE11" s="143"/>
      <c r="AQF11" s="143"/>
      <c r="AQG11" s="143"/>
      <c r="AQH11" s="143"/>
      <c r="AQI11" s="143"/>
      <c r="AQJ11" s="143"/>
      <c r="AQK11" s="143"/>
      <c r="AQL11" s="143"/>
      <c r="AQM11" s="143"/>
      <c r="AQN11" s="143"/>
      <c r="AQO11" s="143"/>
      <c r="AQP11" s="143"/>
      <c r="AQQ11" s="143"/>
      <c r="AQR11" s="143"/>
      <c r="AQS11" s="143"/>
      <c r="AQT11" s="143"/>
      <c r="AQU11" s="143"/>
      <c r="AQV11" s="143"/>
      <c r="AQW11" s="143"/>
      <c r="AQX11" s="143"/>
      <c r="AQY11" s="143"/>
      <c r="AQZ11" s="143"/>
      <c r="ARA11" s="143"/>
      <c r="ARB11" s="143"/>
      <c r="ARC11" s="143"/>
      <c r="ARD11" s="143"/>
      <c r="ARE11" s="143"/>
      <c r="ARF11" s="143"/>
      <c r="ARG11" s="143"/>
      <c r="ARH11" s="143"/>
      <c r="ARI11" s="143"/>
      <c r="ARJ11" s="143"/>
      <c r="ARK11" s="143"/>
      <c r="ARL11" s="143"/>
      <c r="ARM11" s="143"/>
      <c r="ARN11" s="143"/>
      <c r="ARO11" s="143"/>
      <c r="ARP11" s="143"/>
      <c r="ARQ11" s="143"/>
      <c r="ARR11" s="143"/>
      <c r="ARS11" s="143"/>
      <c r="ART11" s="143"/>
      <c r="ARU11" s="143"/>
      <c r="ARV11" s="143"/>
      <c r="ARW11" s="143"/>
      <c r="ARX11" s="143"/>
      <c r="ARY11" s="143"/>
      <c r="ARZ11" s="143"/>
      <c r="ASA11" s="143"/>
      <c r="ASB11" s="143"/>
      <c r="ASC11" s="143"/>
      <c r="ASD11" s="143"/>
      <c r="ASE11" s="143"/>
      <c r="ASF11" s="143"/>
      <c r="ASG11" s="143"/>
      <c r="ASH11" s="143"/>
      <c r="ASI11" s="143"/>
      <c r="ASJ11" s="143"/>
      <c r="ASK11" s="143"/>
      <c r="ASL11" s="143"/>
      <c r="ASM11" s="143"/>
      <c r="ASN11" s="143"/>
      <c r="ASO11" s="143"/>
      <c r="ASP11" s="143"/>
      <c r="ASQ11" s="143"/>
      <c r="ASR11" s="143"/>
      <c r="ASS11" s="143"/>
      <c r="AST11" s="143"/>
      <c r="ASU11" s="143"/>
      <c r="ASV11" s="143"/>
      <c r="ASW11" s="143"/>
      <c r="ASX11" s="143"/>
      <c r="ASY11" s="143"/>
      <c r="ASZ11" s="143"/>
      <c r="ATA11" s="143"/>
      <c r="ATB11" s="143"/>
      <c r="ATC11" s="143"/>
      <c r="ATD11" s="143"/>
      <c r="ATE11" s="143"/>
      <c r="ATF11" s="143"/>
      <c r="ATG11" s="143"/>
      <c r="ATH11" s="143"/>
      <c r="ATI11" s="143"/>
      <c r="ATJ11" s="143"/>
      <c r="ATK11" s="143"/>
      <c r="ATL11" s="143"/>
      <c r="ATM11" s="143"/>
      <c r="ATN11" s="143"/>
      <c r="ATO11" s="143"/>
      <c r="ATP11" s="143"/>
      <c r="ATQ11" s="143"/>
      <c r="ATR11" s="143"/>
      <c r="ATS11" s="143"/>
      <c r="ATT11" s="143"/>
      <c r="ATU11" s="143"/>
      <c r="ATV11" s="143"/>
      <c r="ATW11" s="143"/>
      <c r="ATX11" s="143"/>
      <c r="ATY11" s="143"/>
      <c r="ATZ11" s="143"/>
      <c r="AUA11" s="143"/>
      <c r="AUB11" s="143"/>
      <c r="AUC11" s="143"/>
      <c r="AUD11" s="143"/>
      <c r="AUE11" s="143"/>
      <c r="AUF11" s="143"/>
      <c r="AUG11" s="143"/>
      <c r="AUH11" s="143"/>
      <c r="AUI11" s="143"/>
      <c r="AUJ11" s="143"/>
      <c r="AUK11" s="143"/>
      <c r="AUL11" s="143"/>
      <c r="AUM11" s="143"/>
      <c r="AUN11" s="143"/>
      <c r="AUO11" s="143"/>
      <c r="AUP11" s="143"/>
      <c r="AUQ11" s="143"/>
      <c r="AUR11" s="143"/>
      <c r="AUS11" s="143"/>
      <c r="AUT11" s="143"/>
      <c r="AUU11" s="143"/>
      <c r="AUV11" s="143"/>
      <c r="AUW11" s="143"/>
      <c r="AUX11" s="143"/>
      <c r="AUY11" s="143"/>
      <c r="AUZ11" s="143"/>
      <c r="AVA11" s="143"/>
      <c r="AVB11" s="143"/>
      <c r="AVC11" s="143"/>
      <c r="AVD11" s="143"/>
      <c r="AVE11" s="143"/>
      <c r="AVF11" s="143"/>
      <c r="AVG11" s="143"/>
      <c r="AVH11" s="143"/>
      <c r="AVI11" s="143"/>
      <c r="AVJ11" s="143"/>
      <c r="AVK11" s="143"/>
      <c r="AVL11" s="143"/>
      <c r="AVM11" s="143"/>
      <c r="AVN11" s="143"/>
      <c r="AVO11" s="143"/>
      <c r="AVP11" s="143"/>
      <c r="AVQ11" s="143"/>
      <c r="AVR11" s="143"/>
      <c r="AVS11" s="143"/>
      <c r="AVT11" s="143"/>
      <c r="AVU11" s="143"/>
      <c r="AVV11" s="143"/>
      <c r="AVW11" s="143"/>
      <c r="AVX11" s="143"/>
      <c r="AVY11" s="143"/>
      <c r="AVZ11" s="143"/>
      <c r="AWA11" s="143"/>
      <c r="AWB11" s="143"/>
      <c r="AWC11" s="143"/>
      <c r="AWD11" s="143"/>
      <c r="AWE11" s="143"/>
      <c r="AWF11" s="143"/>
      <c r="AWG11" s="143"/>
      <c r="AWH11" s="143"/>
      <c r="AWI11" s="143"/>
      <c r="AWJ11" s="143"/>
      <c r="AWK11" s="143"/>
      <c r="AWL11" s="143"/>
      <c r="AWM11" s="143"/>
      <c r="AWN11" s="143"/>
      <c r="AWO11" s="143"/>
      <c r="AWP11" s="143"/>
      <c r="AWQ11" s="143"/>
      <c r="AWR11" s="143"/>
      <c r="AWS11" s="143"/>
      <c r="AWT11" s="143"/>
      <c r="AWU11" s="143"/>
      <c r="AWV11" s="143"/>
      <c r="AWW11" s="143"/>
      <c r="AWX11" s="143"/>
      <c r="AWY11" s="143"/>
      <c r="AWZ11" s="143"/>
      <c r="AXA11" s="143"/>
      <c r="AXB11" s="143"/>
      <c r="AXC11" s="143"/>
      <c r="AXD11" s="143"/>
      <c r="AXE11" s="143"/>
      <c r="AXF11" s="143"/>
      <c r="AXG11" s="143"/>
      <c r="AXH11" s="143"/>
      <c r="AXI11" s="143"/>
      <c r="AXJ11" s="143"/>
      <c r="AXK11" s="143"/>
      <c r="AXL11" s="143"/>
      <c r="AXM11" s="143"/>
      <c r="AXN11" s="143"/>
      <c r="AXO11" s="143"/>
      <c r="AXP11" s="143"/>
      <c r="AXQ11" s="143"/>
      <c r="AXR11" s="143"/>
      <c r="AXS11" s="143"/>
      <c r="AXT11" s="143"/>
      <c r="AXU11" s="143"/>
      <c r="AXV11" s="143"/>
      <c r="AXW11" s="143"/>
      <c r="AXX11" s="143"/>
      <c r="AXY11" s="143"/>
      <c r="AXZ11" s="143"/>
      <c r="AYA11" s="143"/>
      <c r="AYB11" s="143"/>
      <c r="AYC11" s="143"/>
      <c r="AYD11" s="143"/>
      <c r="AYE11" s="143"/>
      <c r="AYF11" s="143"/>
      <c r="AYG11" s="143"/>
      <c r="AYH11" s="143"/>
      <c r="AYI11" s="143"/>
      <c r="AYJ11" s="143"/>
      <c r="AYK11" s="143"/>
      <c r="AYL11" s="143"/>
      <c r="AYM11" s="143"/>
      <c r="AYN11" s="143"/>
      <c r="AYO11" s="143"/>
      <c r="AYP11" s="143"/>
      <c r="AYQ11" s="143"/>
      <c r="AYR11" s="143"/>
      <c r="AYS11" s="143"/>
      <c r="AYT11" s="143"/>
      <c r="AYU11" s="143"/>
      <c r="AYV11" s="143"/>
      <c r="AYW11" s="143"/>
      <c r="AYX11" s="143"/>
      <c r="AYY11" s="143"/>
      <c r="AYZ11" s="143"/>
      <c r="AZA11" s="143"/>
      <c r="AZB11" s="143"/>
      <c r="AZC11" s="143"/>
      <c r="AZD11" s="143"/>
      <c r="AZE11" s="143"/>
      <c r="AZF11" s="143"/>
      <c r="AZG11" s="143"/>
      <c r="AZH11" s="143"/>
      <c r="AZI11" s="143"/>
      <c r="AZJ11" s="143"/>
      <c r="AZK11" s="143"/>
      <c r="AZL11" s="143"/>
      <c r="AZM11" s="143"/>
      <c r="AZN11" s="143"/>
      <c r="AZO11" s="143"/>
      <c r="AZP11" s="143"/>
      <c r="AZQ11" s="143"/>
      <c r="AZR11" s="143"/>
      <c r="AZS11" s="143"/>
      <c r="AZT11" s="143"/>
      <c r="AZU11" s="143"/>
      <c r="AZV11" s="143"/>
      <c r="AZW11" s="143"/>
      <c r="AZX11" s="143"/>
      <c r="AZY11" s="143"/>
      <c r="AZZ11" s="143"/>
      <c r="BAA11" s="143"/>
      <c r="BAB11" s="143"/>
      <c r="BAC11" s="143"/>
      <c r="BAD11" s="143"/>
      <c r="BAE11" s="143"/>
      <c r="BAF11" s="143"/>
      <c r="BAG11" s="143"/>
      <c r="BAH11" s="143"/>
      <c r="BAI11" s="143"/>
      <c r="BAJ11" s="143"/>
      <c r="BAK11" s="143"/>
      <c r="BAL11" s="143"/>
      <c r="BAM11" s="143"/>
      <c r="BAN11" s="143"/>
      <c r="BAO11" s="143"/>
      <c r="BAP11" s="143"/>
      <c r="BAQ11" s="143"/>
      <c r="BAR11" s="143"/>
      <c r="BAS11" s="143"/>
      <c r="BAT11" s="143"/>
      <c r="BAU11" s="143"/>
      <c r="BAV11" s="143"/>
      <c r="BAW11" s="143"/>
      <c r="BAX11" s="143"/>
      <c r="BAY11" s="143"/>
      <c r="BAZ11" s="143"/>
      <c r="BBA11" s="143"/>
      <c r="BBB11" s="143"/>
      <c r="BBC11" s="143"/>
      <c r="BBD11" s="143"/>
      <c r="BBE11" s="143"/>
      <c r="BBF11" s="143"/>
      <c r="BBG11" s="143"/>
      <c r="BBH11" s="143"/>
      <c r="BBI11" s="143"/>
      <c r="BBJ11" s="143"/>
      <c r="BBK11" s="143"/>
      <c r="BBL11" s="143"/>
      <c r="BBM11" s="143"/>
      <c r="BBN11" s="143"/>
      <c r="BBO11" s="143"/>
      <c r="BBP11" s="143"/>
      <c r="BBQ11" s="143"/>
      <c r="BBR11" s="143"/>
      <c r="BBS11" s="143"/>
      <c r="BBT11" s="143"/>
      <c r="BBU11" s="143"/>
      <c r="BBV11" s="143"/>
      <c r="BBW11" s="143"/>
      <c r="BBX11" s="143"/>
      <c r="BBY11" s="143"/>
      <c r="BBZ11" s="143"/>
      <c r="BCA11" s="143"/>
      <c r="BCB11" s="143"/>
      <c r="BCC11" s="143"/>
      <c r="BCD11" s="143"/>
      <c r="BCE11" s="143"/>
      <c r="BCF11" s="143"/>
      <c r="BCG11" s="143"/>
      <c r="BCH11" s="143"/>
      <c r="BCI11" s="143"/>
      <c r="BCJ11" s="143"/>
      <c r="BCK11" s="143"/>
      <c r="BCL11" s="143"/>
      <c r="BCM11" s="143"/>
      <c r="BCN11" s="143"/>
      <c r="BCO11" s="143"/>
      <c r="BCP11" s="143"/>
      <c r="BCQ11" s="143"/>
      <c r="BCR11" s="143"/>
      <c r="BCS11" s="143"/>
      <c r="BCT11" s="143"/>
      <c r="BCU11" s="143"/>
      <c r="BCV11" s="143"/>
      <c r="BCW11" s="143"/>
      <c r="BCX11" s="143"/>
      <c r="BCY11" s="143"/>
      <c r="BCZ11" s="143"/>
      <c r="BDA11" s="143"/>
      <c r="BDB11" s="143"/>
      <c r="BDC11" s="143"/>
      <c r="BDD11" s="143"/>
      <c r="BDE11" s="143"/>
      <c r="BDF11" s="143"/>
      <c r="BDG11" s="143"/>
      <c r="BDH11" s="143"/>
      <c r="BDI11" s="143"/>
      <c r="BDJ11" s="143"/>
      <c r="BDK11" s="143"/>
      <c r="BDL11" s="143"/>
      <c r="BDM11" s="143"/>
      <c r="BDN11" s="143"/>
      <c r="BDO11" s="143"/>
      <c r="BDP11" s="143"/>
      <c r="BDQ11" s="143"/>
      <c r="BDR11" s="143"/>
      <c r="BDS11" s="143"/>
      <c r="BDT11" s="143"/>
      <c r="BDU11" s="143"/>
      <c r="BDV11" s="143"/>
      <c r="BDW11" s="143"/>
      <c r="BDX11" s="143"/>
      <c r="BDY11" s="143"/>
      <c r="BDZ11" s="143"/>
      <c r="BEA11" s="143"/>
      <c r="BEB11" s="143"/>
      <c r="BEC11" s="143"/>
      <c r="BED11" s="143"/>
      <c r="BEE11" s="143"/>
      <c r="BEF11" s="143"/>
      <c r="BEG11" s="143"/>
      <c r="BEH11" s="143"/>
      <c r="BEI11" s="143"/>
      <c r="BEJ11" s="143"/>
      <c r="BEK11" s="143"/>
      <c r="BEL11" s="143"/>
      <c r="BEM11" s="143"/>
      <c r="BEN11" s="143"/>
      <c r="BEO11" s="143"/>
      <c r="BEP11" s="143"/>
      <c r="BEQ11" s="143"/>
      <c r="BER11" s="143"/>
      <c r="BES11" s="143"/>
      <c r="BET11" s="143"/>
      <c r="BEU11" s="143"/>
      <c r="BEV11" s="143"/>
      <c r="BEW11" s="143"/>
      <c r="BEX11" s="143"/>
      <c r="BEY11" s="143"/>
      <c r="BEZ11" s="143"/>
      <c r="BFA11" s="143"/>
      <c r="BFB11" s="143"/>
      <c r="BFC11" s="143"/>
      <c r="BFD11" s="143"/>
      <c r="BFE11" s="143"/>
      <c r="BFF11" s="143"/>
      <c r="BFG11" s="143"/>
      <c r="BFH11" s="143"/>
      <c r="BFI11" s="143"/>
      <c r="BFJ11" s="143"/>
      <c r="BFK11" s="143"/>
      <c r="BFL11" s="143"/>
      <c r="BFM11" s="143"/>
      <c r="BFN11" s="143"/>
      <c r="BFO11" s="143"/>
      <c r="BFP11" s="143"/>
      <c r="BFQ11" s="143"/>
      <c r="BFR11" s="143"/>
      <c r="BFS11" s="143"/>
      <c r="BFT11" s="143"/>
      <c r="BFU11" s="143"/>
      <c r="BFV11" s="143"/>
      <c r="BFW11" s="143"/>
      <c r="BFX11" s="143"/>
      <c r="BFY11" s="143"/>
      <c r="BFZ11" s="143"/>
      <c r="BGA11" s="143"/>
      <c r="BGB11" s="143"/>
      <c r="BGC11" s="143"/>
      <c r="BGD11" s="143"/>
      <c r="BGE11" s="143"/>
      <c r="BGF11" s="143"/>
      <c r="BGG11" s="143"/>
      <c r="BGH11" s="143"/>
      <c r="BGI11" s="143"/>
      <c r="BGJ11" s="143"/>
      <c r="BGK11" s="143"/>
      <c r="BGL11" s="143"/>
      <c r="BGM11" s="143"/>
      <c r="BGN11" s="143"/>
      <c r="BGO11" s="143"/>
      <c r="BGP11" s="143"/>
      <c r="BGQ11" s="143"/>
      <c r="BGR11" s="143"/>
      <c r="BGS11" s="143"/>
      <c r="BGT11" s="143"/>
      <c r="BGU11" s="143"/>
      <c r="BGV11" s="143"/>
      <c r="BGW11" s="143"/>
      <c r="BGX11" s="143"/>
      <c r="BGY11" s="143"/>
      <c r="BGZ11" s="143"/>
      <c r="BHA11" s="143"/>
      <c r="BHB11" s="143"/>
      <c r="BHC11" s="143"/>
      <c r="BHD11" s="143"/>
      <c r="BHE11" s="143"/>
      <c r="BHF11" s="143"/>
      <c r="BHG11" s="143"/>
      <c r="BHH11" s="143"/>
      <c r="BHI11" s="143"/>
      <c r="BHJ11" s="143"/>
      <c r="BHK11" s="143"/>
      <c r="BHL11" s="143"/>
      <c r="BHM11" s="143"/>
      <c r="BHN11" s="143"/>
      <c r="BHO11" s="143"/>
      <c r="BHP11" s="143"/>
      <c r="BHQ11" s="143"/>
      <c r="BHR11" s="143"/>
      <c r="BHS11" s="143"/>
      <c r="BHT11" s="143"/>
      <c r="BHU11" s="143"/>
      <c r="BHV11" s="143"/>
      <c r="BHW11" s="143"/>
      <c r="BHX11" s="143"/>
      <c r="BHY11" s="143"/>
      <c r="BHZ11" s="143"/>
      <c r="BIA11" s="143"/>
      <c r="BIB11" s="143"/>
      <c r="BIC11" s="143"/>
      <c r="BID11" s="143"/>
      <c r="BIE11" s="143"/>
      <c r="BIF11" s="143"/>
      <c r="BIG11" s="143"/>
      <c r="BIH11" s="143"/>
      <c r="BII11" s="143"/>
      <c r="BIJ11" s="143"/>
      <c r="BIK11" s="143"/>
      <c r="BIL11" s="143"/>
      <c r="BIM11" s="143"/>
      <c r="BIN11" s="143"/>
      <c r="BIO11" s="143"/>
      <c r="BIP11" s="143"/>
      <c r="BIQ11" s="143"/>
      <c r="BIR11" s="143"/>
      <c r="BIS11" s="143"/>
      <c r="BIT11" s="143"/>
      <c r="BIU11" s="143"/>
      <c r="BIV11" s="143"/>
      <c r="BIW11" s="143"/>
      <c r="BIX11" s="143"/>
      <c r="BIY11" s="143"/>
      <c r="BIZ11" s="143"/>
      <c r="BJA11" s="143"/>
      <c r="BJB11" s="143"/>
      <c r="BJC11" s="143"/>
      <c r="BJD11" s="143"/>
      <c r="BJE11" s="143"/>
      <c r="BJF11" s="143"/>
      <c r="BJG11" s="143"/>
      <c r="BJH11" s="143"/>
      <c r="BJI11" s="143"/>
      <c r="BJJ11" s="143"/>
      <c r="BJK11" s="143"/>
      <c r="BJL11" s="143"/>
      <c r="BJM11" s="143"/>
      <c r="BJN11" s="143"/>
      <c r="BJO11" s="143"/>
      <c r="BJP11" s="143"/>
      <c r="BJQ11" s="143"/>
      <c r="BJR11" s="143"/>
      <c r="BJS11" s="143"/>
      <c r="BJT11" s="143"/>
      <c r="BJU11" s="143"/>
      <c r="BJV11" s="143"/>
      <c r="BJW11" s="143"/>
      <c r="BJX11" s="143"/>
      <c r="BJY11" s="143"/>
      <c r="BJZ11" s="143"/>
      <c r="BKA11" s="143"/>
      <c r="BKB11" s="143"/>
      <c r="BKC11" s="143"/>
      <c r="BKD11" s="143"/>
      <c r="BKE11" s="143"/>
      <c r="BKF11" s="143"/>
      <c r="BKG11" s="143"/>
      <c r="BKH11" s="143"/>
      <c r="BKI11" s="143"/>
      <c r="BKJ11" s="143"/>
      <c r="BKK11" s="143"/>
      <c r="BKL11" s="143"/>
      <c r="BKM11" s="143"/>
      <c r="BKN11" s="143"/>
      <c r="BKO11" s="143"/>
      <c r="BKP11" s="143"/>
      <c r="BKQ11" s="143"/>
      <c r="BKR11" s="143"/>
      <c r="BKS11" s="143"/>
      <c r="BKT11" s="143"/>
      <c r="BKU11" s="143"/>
      <c r="BKV11" s="143"/>
      <c r="BKW11" s="143"/>
      <c r="BKX11" s="143"/>
      <c r="BKY11" s="143"/>
      <c r="BKZ11" s="143"/>
      <c r="BLA11" s="143"/>
      <c r="BLB11" s="143"/>
      <c r="BLC11" s="143"/>
      <c r="BLD11" s="143"/>
      <c r="BLE11" s="143"/>
      <c r="BLF11" s="143"/>
      <c r="BLG11" s="143"/>
      <c r="BLH11" s="143"/>
      <c r="BLI11" s="143"/>
      <c r="BLJ11" s="143"/>
      <c r="BLK11" s="143"/>
      <c r="BLL11" s="143"/>
      <c r="BLM11" s="143"/>
      <c r="BLN11" s="143"/>
      <c r="BLO11" s="143"/>
      <c r="BLP11" s="143"/>
      <c r="BLQ11" s="143"/>
      <c r="BLR11" s="143"/>
      <c r="BLS11" s="143"/>
      <c r="BLT11" s="143"/>
      <c r="BLU11" s="143"/>
      <c r="BLV11" s="143"/>
      <c r="BLW11" s="143"/>
      <c r="BLX11" s="143"/>
      <c r="BLY11" s="143"/>
      <c r="BLZ11" s="143"/>
      <c r="BMA11" s="143"/>
      <c r="BMB11" s="143"/>
      <c r="BMC11" s="143"/>
      <c r="BMD11" s="143"/>
      <c r="BME11" s="143"/>
      <c r="BMF11" s="143"/>
      <c r="BMG11" s="143"/>
      <c r="BMH11" s="143"/>
      <c r="BMI11" s="143"/>
      <c r="BMJ11" s="143"/>
      <c r="BMK11" s="143"/>
      <c r="BML11" s="143"/>
      <c r="BMM11" s="143"/>
      <c r="BMN11" s="143"/>
      <c r="BMO11" s="143"/>
      <c r="BMP11" s="143"/>
      <c r="BMQ11" s="143"/>
      <c r="BMR11" s="143"/>
      <c r="BMS11" s="143"/>
      <c r="BMT11" s="143"/>
      <c r="BMU11" s="143"/>
      <c r="BMV11" s="143"/>
      <c r="BMW11" s="143"/>
      <c r="BMX11" s="143"/>
      <c r="BMY11" s="143"/>
      <c r="BMZ11" s="143"/>
      <c r="BNA11" s="143"/>
      <c r="BNB11" s="143"/>
      <c r="BNC11" s="143"/>
      <c r="BND11" s="143"/>
      <c r="BNE11" s="143"/>
      <c r="BNF11" s="143"/>
      <c r="BNG11" s="143"/>
      <c r="BNH11" s="143"/>
      <c r="BNI11" s="143"/>
      <c r="BNJ11" s="143"/>
      <c r="BNK11" s="143"/>
      <c r="BNL11" s="143"/>
      <c r="BNM11" s="143"/>
      <c r="BNN11" s="143"/>
      <c r="BNO11" s="143"/>
      <c r="BNP11" s="143"/>
      <c r="BNQ11" s="143"/>
      <c r="BNR11" s="143"/>
      <c r="BNS11" s="143"/>
      <c r="BNT11" s="143"/>
      <c r="BNU11" s="143"/>
      <c r="BNV11" s="143"/>
      <c r="BNW11" s="143"/>
      <c r="BNX11" s="143"/>
      <c r="BNY11" s="143"/>
      <c r="BNZ11" s="143"/>
      <c r="BOA11" s="143"/>
      <c r="BOB11" s="143"/>
      <c r="BOC11" s="143"/>
      <c r="BOD11" s="143"/>
      <c r="BOE11" s="143"/>
      <c r="BOF11" s="143"/>
      <c r="BOG11" s="143"/>
      <c r="BOH11" s="143"/>
      <c r="BOI11" s="143"/>
      <c r="BOJ11" s="143"/>
      <c r="BOK11" s="143"/>
      <c r="BOL11" s="143"/>
      <c r="BOM11" s="143"/>
      <c r="BON11" s="143"/>
      <c r="BOO11" s="143"/>
      <c r="BOP11" s="143"/>
      <c r="BOQ11" s="143"/>
      <c r="BOR11" s="143"/>
      <c r="BOS11" s="143"/>
      <c r="BOT11" s="143"/>
      <c r="BOU11" s="143"/>
      <c r="BOV11" s="143"/>
      <c r="BOW11" s="143"/>
      <c r="BOX11" s="143"/>
      <c r="BOY11" s="143"/>
      <c r="BOZ11" s="143"/>
      <c r="BPA11" s="143"/>
      <c r="BPB11" s="143"/>
      <c r="BPC11" s="143"/>
      <c r="BPD11" s="143"/>
      <c r="BPE11" s="143"/>
      <c r="BPF11" s="143"/>
      <c r="BPG11" s="143"/>
      <c r="BPH11" s="143"/>
      <c r="BPI11" s="143"/>
      <c r="BPJ11" s="143"/>
      <c r="BPK11" s="143"/>
      <c r="BPL11" s="143"/>
      <c r="BPM11" s="143"/>
      <c r="BPN11" s="143"/>
      <c r="BPO11" s="143"/>
      <c r="BPP11" s="143"/>
      <c r="BPQ11" s="143"/>
      <c r="BPR11" s="143"/>
      <c r="BPS11" s="143"/>
      <c r="BPT11" s="143"/>
      <c r="BPU11" s="143"/>
      <c r="BPV11" s="143"/>
      <c r="BPW11" s="143"/>
      <c r="BPX11" s="143"/>
      <c r="BPY11" s="143"/>
      <c r="BPZ11" s="143"/>
      <c r="BQA11" s="143"/>
      <c r="BQB11" s="143"/>
      <c r="BQC11" s="143"/>
      <c r="BQD11" s="143"/>
      <c r="BQE11" s="143"/>
      <c r="BQF11" s="143"/>
      <c r="BQG11" s="143"/>
      <c r="BQH11" s="143"/>
      <c r="BQI11" s="143"/>
      <c r="BQJ11" s="143"/>
      <c r="BQK11" s="143"/>
      <c r="BQL11" s="143"/>
      <c r="BQM11" s="143"/>
      <c r="BQN11" s="143"/>
      <c r="BQO11" s="143"/>
      <c r="BQP11" s="143"/>
      <c r="BQQ11" s="143"/>
      <c r="BQR11" s="143"/>
      <c r="BQS11" s="143"/>
      <c r="BQT11" s="143"/>
      <c r="BQU11" s="143"/>
      <c r="BQV11" s="143"/>
      <c r="BQW11" s="143"/>
      <c r="BQX11" s="143"/>
      <c r="BQY11" s="143"/>
      <c r="BQZ11" s="143"/>
      <c r="BRA11" s="143"/>
      <c r="BRB11" s="143"/>
      <c r="BRC11" s="143"/>
      <c r="BRD11" s="143"/>
      <c r="BRE11" s="143"/>
      <c r="BRF11" s="143"/>
      <c r="BRG11" s="143"/>
      <c r="BRH11" s="143"/>
      <c r="BRI11" s="143"/>
      <c r="BRJ11" s="143"/>
      <c r="BRK11" s="143"/>
      <c r="BRL11" s="143"/>
      <c r="BRM11" s="143"/>
      <c r="BRN11" s="143"/>
      <c r="BRO11" s="143"/>
      <c r="BRP11" s="143"/>
      <c r="BRQ11" s="143"/>
      <c r="BRR11" s="143"/>
      <c r="BRS11" s="143"/>
      <c r="BRT11" s="143"/>
      <c r="BRU11" s="143"/>
      <c r="BRV11" s="143"/>
      <c r="BRW11" s="143"/>
      <c r="BRX11" s="143"/>
      <c r="BRY11" s="143"/>
      <c r="BRZ11" s="143"/>
      <c r="BSA11" s="143"/>
      <c r="BSB11" s="143"/>
      <c r="BSC11" s="143"/>
      <c r="BSD11" s="143"/>
      <c r="BSE11" s="143"/>
      <c r="BSF11" s="143"/>
      <c r="BSG11" s="143"/>
      <c r="BSH11" s="143"/>
      <c r="BSI11" s="143"/>
      <c r="BSJ11" s="143"/>
      <c r="BSK11" s="143"/>
      <c r="BSL11" s="143"/>
      <c r="BSM11" s="143"/>
      <c r="BSN11" s="143"/>
      <c r="BSO11" s="143"/>
      <c r="BSP11" s="143"/>
      <c r="BSQ11" s="143"/>
      <c r="BSR11" s="143"/>
      <c r="BSS11" s="143"/>
      <c r="BST11" s="143"/>
      <c r="BSU11" s="143"/>
      <c r="BSV11" s="143"/>
      <c r="BSW11" s="143"/>
      <c r="BSX11" s="143"/>
      <c r="BSY11" s="143"/>
      <c r="BSZ11" s="143"/>
      <c r="BTA11" s="143"/>
      <c r="BTB11" s="143"/>
      <c r="BTC11" s="143"/>
      <c r="BTD11" s="143"/>
      <c r="BTE11" s="143"/>
      <c r="BTF11" s="143"/>
      <c r="BTG11" s="143"/>
      <c r="BTH11" s="143"/>
      <c r="BTI11" s="143"/>
      <c r="BTJ11" s="143"/>
      <c r="BTK11" s="143"/>
      <c r="BTL11" s="143"/>
      <c r="BTM11" s="143"/>
      <c r="BTN11" s="143"/>
      <c r="BTO11" s="143"/>
      <c r="BTP11" s="143"/>
      <c r="BTQ11" s="143"/>
      <c r="BTR11" s="143"/>
      <c r="BTS11" s="143"/>
      <c r="BTT11" s="143"/>
      <c r="BTU11" s="143"/>
      <c r="BTV11" s="143"/>
      <c r="BTW11" s="143"/>
      <c r="BTX11" s="143"/>
      <c r="BTY11" s="143"/>
      <c r="BTZ11" s="143"/>
      <c r="BUA11" s="143"/>
      <c r="BUB11" s="143"/>
      <c r="BUC11" s="143"/>
      <c r="BUD11" s="143"/>
      <c r="BUE11" s="143"/>
      <c r="BUF11" s="143"/>
      <c r="BUG11" s="143"/>
      <c r="BUH11" s="143"/>
      <c r="BUI11" s="143"/>
      <c r="BUJ11" s="143"/>
      <c r="BUK11" s="143"/>
      <c r="BUL11" s="143"/>
      <c r="BUM11" s="143"/>
      <c r="BUN11" s="143"/>
      <c r="BUO11" s="143"/>
      <c r="BUP11" s="143"/>
      <c r="BUQ11" s="143"/>
      <c r="BUR11" s="143"/>
      <c r="BUS11" s="143"/>
      <c r="BUT11" s="143"/>
      <c r="BUU11" s="143"/>
      <c r="BUV11" s="143"/>
      <c r="BUW11" s="143"/>
      <c r="BUX11" s="143"/>
      <c r="BUY11" s="143"/>
      <c r="BUZ11" s="143"/>
      <c r="BVA11" s="143"/>
      <c r="BVB11" s="143"/>
      <c r="BVC11" s="143"/>
      <c r="BVD11" s="143"/>
      <c r="BVE11" s="143"/>
      <c r="BVF11" s="143"/>
      <c r="BVG11" s="143"/>
      <c r="BVH11" s="143"/>
      <c r="BVI11" s="143"/>
      <c r="BVJ11" s="143"/>
      <c r="BVK11" s="143"/>
      <c r="BVL11" s="143"/>
      <c r="BVM11" s="143"/>
      <c r="BVN11" s="143"/>
      <c r="BVO11" s="143"/>
      <c r="BVP11" s="143"/>
      <c r="BVQ11" s="143"/>
      <c r="BVR11" s="143"/>
      <c r="BVS11" s="143"/>
      <c r="BVT11" s="143"/>
      <c r="BVU11" s="143"/>
      <c r="BVV11" s="143"/>
      <c r="BVW11" s="143"/>
      <c r="BVX11" s="143"/>
      <c r="BVY11" s="143"/>
      <c r="BVZ11" s="143"/>
      <c r="BWA11" s="143"/>
      <c r="BWB11" s="143"/>
      <c r="BWC11" s="143"/>
      <c r="BWD11" s="143"/>
      <c r="BWE11" s="143"/>
      <c r="BWF11" s="143"/>
      <c r="BWG11" s="143"/>
      <c r="BWH11" s="143"/>
      <c r="BWI11" s="143"/>
      <c r="BWJ11" s="143"/>
      <c r="BWK11" s="143"/>
      <c r="BWL11" s="143"/>
      <c r="BWM11" s="143"/>
      <c r="BWN11" s="143"/>
      <c r="BWO11" s="143"/>
      <c r="BWP11" s="143"/>
      <c r="BWQ11" s="143"/>
      <c r="BWR11" s="143"/>
      <c r="BWS11" s="143"/>
      <c r="BWT11" s="143"/>
      <c r="BWU11" s="143"/>
      <c r="BWV11" s="143"/>
      <c r="BWW11" s="143"/>
      <c r="BWX11" s="143"/>
      <c r="BWY11" s="143"/>
      <c r="BWZ11" s="143"/>
      <c r="BXA11" s="143"/>
      <c r="BXB11" s="143"/>
      <c r="BXC11" s="143"/>
      <c r="BXD11" s="143"/>
      <c r="BXE11" s="143"/>
      <c r="BXF11" s="143"/>
      <c r="BXG11" s="143"/>
      <c r="BXH11" s="143"/>
      <c r="BXI11" s="143"/>
      <c r="BXJ11" s="143"/>
      <c r="BXK11" s="143"/>
      <c r="BXL11" s="143"/>
      <c r="BXM11" s="143"/>
      <c r="BXN11" s="143"/>
      <c r="BXO11" s="143"/>
      <c r="BXP11" s="143"/>
      <c r="BXQ11" s="143"/>
      <c r="BXR11" s="143"/>
      <c r="BXS11" s="143"/>
      <c r="BXT11" s="143"/>
      <c r="BXU11" s="143"/>
      <c r="BXV11" s="143"/>
      <c r="BXW11" s="143"/>
      <c r="BXX11" s="143"/>
      <c r="BXY11" s="143"/>
      <c r="BXZ11" s="143"/>
      <c r="BYA11" s="143"/>
      <c r="BYB11" s="143"/>
      <c r="BYC11" s="143"/>
      <c r="BYD11" s="143"/>
      <c r="BYE11" s="143"/>
      <c r="BYF11" s="143"/>
      <c r="BYG11" s="143"/>
      <c r="BYH11" s="143"/>
      <c r="BYI11" s="143"/>
      <c r="BYJ11" s="143"/>
      <c r="BYK11" s="143"/>
      <c r="BYL11" s="143"/>
      <c r="BYM11" s="143"/>
      <c r="BYN11" s="143"/>
      <c r="BYO11" s="143"/>
      <c r="BYP11" s="143"/>
      <c r="BYQ11" s="143"/>
      <c r="BYR11" s="143"/>
      <c r="BYS11" s="143"/>
      <c r="BYT11" s="143"/>
      <c r="BYU11" s="143"/>
      <c r="BYV11" s="143"/>
      <c r="BYW11" s="143"/>
      <c r="BYX11" s="143"/>
      <c r="BYY11" s="143"/>
      <c r="BYZ11" s="143"/>
      <c r="BZA11" s="143"/>
      <c r="BZB11" s="143"/>
      <c r="BZC11" s="143"/>
      <c r="BZD11" s="143"/>
      <c r="BZE11" s="143"/>
      <c r="BZF11" s="143"/>
      <c r="BZG11" s="143"/>
      <c r="BZH11" s="143"/>
      <c r="BZI11" s="143"/>
      <c r="BZJ11" s="143"/>
      <c r="BZK11" s="143"/>
      <c r="BZL11" s="143"/>
      <c r="BZM11" s="143"/>
      <c r="BZN11" s="143"/>
      <c r="BZO11" s="143"/>
      <c r="BZP11" s="143"/>
      <c r="BZQ11" s="143"/>
      <c r="BZR11" s="143"/>
      <c r="BZS11" s="143"/>
      <c r="BZT11" s="143"/>
      <c r="BZU11" s="143"/>
      <c r="BZV11" s="143"/>
      <c r="BZW11" s="143"/>
      <c r="BZX11" s="143"/>
      <c r="BZY11" s="143"/>
      <c r="BZZ11" s="143"/>
      <c r="CAA11" s="143"/>
      <c r="CAB11" s="143"/>
      <c r="CAC11" s="143"/>
      <c r="CAD11" s="143"/>
      <c r="CAE11" s="143"/>
      <c r="CAF11" s="143"/>
      <c r="CAG11" s="143"/>
      <c r="CAH11" s="143"/>
      <c r="CAI11" s="143"/>
      <c r="CAJ11" s="143"/>
      <c r="CAK11" s="143"/>
      <c r="CAL11" s="143"/>
      <c r="CAM11" s="143"/>
      <c r="CAN11" s="143"/>
      <c r="CAO11" s="143"/>
      <c r="CAP11" s="143"/>
      <c r="CAQ11" s="143"/>
      <c r="CAR11" s="143"/>
      <c r="CAS11" s="143"/>
      <c r="CAT11" s="143"/>
      <c r="CAU11" s="143"/>
      <c r="CAV11" s="143"/>
      <c r="CAW11" s="143"/>
      <c r="CAX11" s="143"/>
      <c r="CAY11" s="143"/>
      <c r="CAZ11" s="143"/>
      <c r="CBA11" s="143"/>
      <c r="CBB11" s="143"/>
      <c r="CBC11" s="143"/>
      <c r="CBD11" s="143"/>
      <c r="CBE11" s="143"/>
      <c r="CBF11" s="143"/>
      <c r="CBG11" s="143"/>
      <c r="CBH11" s="143"/>
      <c r="CBI11" s="143"/>
      <c r="CBJ11" s="143"/>
      <c r="CBK11" s="143"/>
      <c r="CBL11" s="143"/>
      <c r="CBM11" s="143"/>
      <c r="CBN11" s="143"/>
      <c r="CBO11" s="143"/>
      <c r="CBP11" s="143"/>
      <c r="CBQ11" s="143"/>
      <c r="CBR11" s="143"/>
      <c r="CBS11" s="143"/>
      <c r="CBT11" s="143"/>
      <c r="CBU11" s="143"/>
      <c r="CBV11" s="143"/>
      <c r="CBW11" s="143"/>
      <c r="CBX11" s="143"/>
      <c r="CBY11" s="143"/>
      <c r="CBZ11" s="143"/>
      <c r="CCA11" s="143"/>
      <c r="CCB11" s="143"/>
      <c r="CCC11" s="143"/>
      <c r="CCD11" s="143"/>
      <c r="CCE11" s="143"/>
      <c r="CCF11" s="143"/>
      <c r="CCG11" s="143"/>
      <c r="CCH11" s="143"/>
      <c r="CCI11" s="143"/>
      <c r="CCJ11" s="143"/>
      <c r="CCK11" s="143"/>
      <c r="CCL11" s="143"/>
      <c r="CCM11" s="143"/>
      <c r="CCN11" s="143"/>
      <c r="CCO11" s="143"/>
      <c r="CCP11" s="143"/>
      <c r="CCQ11" s="143"/>
      <c r="CCR11" s="143"/>
      <c r="CCS11" s="143"/>
      <c r="CCT11" s="143"/>
      <c r="CCU11" s="143"/>
      <c r="CCV11" s="143"/>
      <c r="CCW11" s="143"/>
      <c r="CCX11" s="143"/>
      <c r="CCY11" s="143"/>
      <c r="CCZ11" s="143"/>
      <c r="CDA11" s="143"/>
      <c r="CDB11" s="143"/>
      <c r="CDC11" s="143"/>
      <c r="CDD11" s="143"/>
      <c r="CDE11" s="143"/>
      <c r="CDF11" s="143"/>
      <c r="CDG11" s="143"/>
      <c r="CDH11" s="143"/>
      <c r="CDI11" s="143"/>
      <c r="CDJ11" s="143"/>
      <c r="CDK11" s="143"/>
      <c r="CDL11" s="143"/>
      <c r="CDM11" s="143"/>
      <c r="CDN11" s="143"/>
      <c r="CDO11" s="143"/>
      <c r="CDP11" s="143"/>
      <c r="CDQ11" s="143"/>
      <c r="CDR11" s="143"/>
      <c r="CDS11" s="143"/>
      <c r="CDT11" s="143"/>
      <c r="CDU11" s="143"/>
      <c r="CDV11" s="143"/>
      <c r="CDW11" s="143"/>
      <c r="CDX11" s="143"/>
      <c r="CDY11" s="143"/>
      <c r="CDZ11" s="143"/>
      <c r="CEA11" s="143"/>
      <c r="CEB11" s="143"/>
      <c r="CEC11" s="143"/>
      <c r="CED11" s="143"/>
      <c r="CEE11" s="143"/>
      <c r="CEF11" s="143"/>
      <c r="CEG11" s="143"/>
      <c r="CEH11" s="143"/>
      <c r="CEI11" s="143"/>
      <c r="CEJ11" s="143"/>
      <c r="CEK11" s="143"/>
      <c r="CEL11" s="143"/>
      <c r="CEM11" s="143"/>
      <c r="CEN11" s="143"/>
      <c r="CEO11" s="143"/>
      <c r="CEP11" s="143"/>
      <c r="CEQ11" s="143"/>
      <c r="CER11" s="143"/>
      <c r="CES11" s="143"/>
      <c r="CET11" s="143"/>
      <c r="CEU11" s="143"/>
      <c r="CEV11" s="143"/>
      <c r="CEW11" s="143"/>
      <c r="CEX11" s="143"/>
      <c r="CEY11" s="143"/>
      <c r="CEZ11" s="143"/>
      <c r="CFA11" s="143"/>
      <c r="CFB11" s="143"/>
      <c r="CFC11" s="143"/>
      <c r="CFD11" s="143"/>
      <c r="CFE11" s="143"/>
      <c r="CFF11" s="143"/>
      <c r="CFG11" s="143"/>
      <c r="CFH11" s="143"/>
      <c r="CFI11" s="143"/>
      <c r="CFJ11" s="143"/>
      <c r="CFK11" s="143"/>
      <c r="CFL11" s="143"/>
      <c r="CFM11" s="143"/>
      <c r="CFN11" s="143"/>
      <c r="CFO11" s="143"/>
      <c r="CFP11" s="143"/>
      <c r="CFQ11" s="143"/>
      <c r="CFR11" s="143"/>
      <c r="CFS11" s="143"/>
      <c r="CFT11" s="143"/>
      <c r="CFU11" s="143"/>
      <c r="CFV11" s="143"/>
      <c r="CFW11" s="143"/>
      <c r="CFX11" s="143"/>
      <c r="CFY11" s="143"/>
      <c r="CFZ11" s="143"/>
      <c r="CGA11" s="143"/>
      <c r="CGB11" s="143"/>
      <c r="CGC11" s="143"/>
      <c r="CGD11" s="143"/>
      <c r="CGE11" s="143"/>
      <c r="CGF11" s="143"/>
      <c r="CGG11" s="143"/>
      <c r="CGH11" s="143"/>
      <c r="CGI11" s="143"/>
      <c r="CGJ11" s="143"/>
      <c r="CGK11" s="143"/>
      <c r="CGL11" s="143"/>
      <c r="CGM11" s="143"/>
      <c r="CGN11" s="143"/>
      <c r="CGO11" s="143"/>
      <c r="CGP11" s="143"/>
      <c r="CGQ11" s="143"/>
      <c r="CGR11" s="143"/>
      <c r="CGS11" s="143"/>
      <c r="CGT11" s="143"/>
      <c r="CGU11" s="143"/>
      <c r="CGV11" s="143"/>
      <c r="CGW11" s="143"/>
      <c r="CGX11" s="143"/>
      <c r="CGY11" s="143"/>
      <c r="CGZ11" s="143"/>
      <c r="CHA11" s="143"/>
      <c r="CHB11" s="143"/>
      <c r="CHC11" s="143"/>
      <c r="CHD11" s="143"/>
      <c r="CHE11" s="143"/>
      <c r="CHF11" s="143"/>
      <c r="CHG11" s="143"/>
      <c r="CHH11" s="143"/>
      <c r="CHI11" s="143"/>
      <c r="CHJ11" s="143"/>
      <c r="CHK11" s="143"/>
      <c r="CHL11" s="143"/>
      <c r="CHM11" s="143"/>
      <c r="CHN11" s="143"/>
      <c r="CHO11" s="143"/>
      <c r="CHP11" s="143"/>
      <c r="CHQ11" s="143"/>
      <c r="CHR11" s="143"/>
      <c r="CHS11" s="143"/>
      <c r="CHT11" s="143"/>
      <c r="CHU11" s="143"/>
      <c r="CHV11" s="143"/>
      <c r="CHW11" s="143"/>
      <c r="CHX11" s="143"/>
      <c r="CHY11" s="143"/>
      <c r="CHZ11" s="143"/>
      <c r="CIA11" s="143"/>
      <c r="CIB11" s="143"/>
      <c r="CIC11" s="143"/>
      <c r="CID11" s="143"/>
      <c r="CIE11" s="143"/>
      <c r="CIF11" s="143"/>
      <c r="CIG11" s="143"/>
      <c r="CIH11" s="143"/>
      <c r="CII11" s="143"/>
      <c r="CIJ11" s="143"/>
      <c r="CIK11" s="143"/>
      <c r="CIL11" s="143"/>
      <c r="CIM11" s="143"/>
      <c r="CIN11" s="143"/>
      <c r="CIO11" s="143"/>
      <c r="CIP11" s="143"/>
      <c r="CIQ11" s="143"/>
      <c r="CIR11" s="143"/>
      <c r="CIS11" s="143"/>
      <c r="CIT11" s="143"/>
      <c r="CIU11" s="143"/>
      <c r="CIV11" s="143"/>
      <c r="CIW11" s="143"/>
      <c r="CIX11" s="143"/>
      <c r="CIY11" s="143"/>
      <c r="CIZ11" s="143"/>
      <c r="CJA11" s="143"/>
      <c r="CJB11" s="143"/>
      <c r="CJC11" s="143"/>
      <c r="CJD11" s="143"/>
      <c r="CJE11" s="143"/>
      <c r="CJF11" s="143"/>
      <c r="CJG11" s="143"/>
      <c r="CJH11" s="143"/>
      <c r="CJI11" s="143"/>
      <c r="CJJ11" s="143"/>
      <c r="CJK11" s="143"/>
      <c r="CJL11" s="143"/>
      <c r="CJM11" s="143"/>
      <c r="CJN11" s="143"/>
      <c r="CJO11" s="143"/>
      <c r="CJP11" s="143"/>
      <c r="CJQ11" s="143"/>
      <c r="CJR11" s="143"/>
      <c r="CJS11" s="143"/>
      <c r="CJT11" s="143"/>
      <c r="CJU11" s="143"/>
      <c r="CJV11" s="143"/>
      <c r="CJW11" s="143"/>
      <c r="CJX11" s="143"/>
      <c r="CJY11" s="143"/>
      <c r="CJZ11" s="143"/>
      <c r="CKA11" s="143"/>
      <c r="CKB11" s="143"/>
      <c r="CKC11" s="143"/>
      <c r="CKD11" s="143"/>
      <c r="CKE11" s="143"/>
      <c r="CKF11" s="143"/>
      <c r="CKG11" s="143"/>
      <c r="CKH11" s="143"/>
      <c r="CKI11" s="143"/>
      <c r="CKJ11" s="143"/>
      <c r="CKK11" s="143"/>
      <c r="CKL11" s="143"/>
      <c r="CKM11" s="143"/>
      <c r="CKN11" s="143"/>
      <c r="CKO11" s="143"/>
      <c r="CKP11" s="143"/>
      <c r="CKQ11" s="143"/>
      <c r="CKR11" s="143"/>
      <c r="CKS11" s="143"/>
      <c r="CKT11" s="143"/>
      <c r="CKU11" s="143"/>
      <c r="CKV11" s="143"/>
      <c r="CKW11" s="143"/>
      <c r="CKX11" s="143"/>
      <c r="CKY11" s="143"/>
      <c r="CKZ11" s="143"/>
      <c r="CLA11" s="143"/>
      <c r="CLB11" s="143"/>
      <c r="CLC11" s="143"/>
      <c r="CLD11" s="143"/>
      <c r="CLE11" s="143"/>
      <c r="CLF11" s="143"/>
      <c r="CLG11" s="143"/>
      <c r="CLH11" s="143"/>
      <c r="CLI11" s="143"/>
      <c r="CLJ11" s="143"/>
      <c r="CLK11" s="143"/>
      <c r="CLL11" s="143"/>
      <c r="CLM11" s="143"/>
      <c r="CLN11" s="143"/>
      <c r="CLO11" s="143"/>
      <c r="CLP11" s="143"/>
      <c r="CLQ11" s="143"/>
      <c r="CLR11" s="143"/>
      <c r="CLS11" s="143"/>
      <c r="CLT11" s="143"/>
      <c r="CLU11" s="143"/>
      <c r="CLV11" s="143"/>
      <c r="CLW11" s="143"/>
      <c r="CLX11" s="143"/>
      <c r="CLY11" s="143"/>
      <c r="CLZ11" s="143"/>
      <c r="CMA11" s="143"/>
      <c r="CMB11" s="143"/>
      <c r="CMC11" s="143"/>
      <c r="CMD11" s="143"/>
      <c r="CME11" s="143"/>
      <c r="CMF11" s="143"/>
      <c r="CMG11" s="143"/>
      <c r="CMH11" s="143"/>
      <c r="CMI11" s="143"/>
      <c r="CMJ11" s="143"/>
      <c r="CMK11" s="143"/>
      <c r="CML11" s="143"/>
      <c r="CMM11" s="143"/>
      <c r="CMN11" s="143"/>
      <c r="CMO11" s="143"/>
      <c r="CMP11" s="143"/>
      <c r="CMQ11" s="143"/>
      <c r="CMR11" s="143"/>
      <c r="CMS11" s="143"/>
      <c r="CMT11" s="143"/>
      <c r="CMU11" s="143"/>
      <c r="CMV11" s="143"/>
      <c r="CMW11" s="143"/>
      <c r="CMX11" s="143"/>
      <c r="CMY11" s="143"/>
      <c r="CMZ11" s="143"/>
      <c r="CNA11" s="143"/>
      <c r="CNB11" s="143"/>
      <c r="CNC11" s="143"/>
      <c r="CND11" s="143"/>
      <c r="CNE11" s="143"/>
      <c r="CNF11" s="143"/>
      <c r="CNG11" s="143"/>
      <c r="CNH11" s="143"/>
      <c r="CNI11" s="143"/>
      <c r="CNJ11" s="143"/>
      <c r="CNK11" s="143"/>
      <c r="CNL11" s="143"/>
      <c r="CNM11" s="143"/>
      <c r="CNN11" s="143"/>
      <c r="CNO11" s="143"/>
      <c r="CNP11" s="143"/>
      <c r="CNQ11" s="143"/>
      <c r="CNR11" s="143"/>
      <c r="CNS11" s="143"/>
      <c r="CNT11" s="143"/>
      <c r="CNU11" s="143"/>
      <c r="CNV11" s="143"/>
      <c r="CNW11" s="143"/>
      <c r="CNX11" s="143"/>
      <c r="CNY11" s="143"/>
      <c r="CNZ11" s="143"/>
      <c r="COA11" s="143"/>
      <c r="COB11" s="143"/>
      <c r="COC11" s="143"/>
      <c r="COD11" s="143"/>
      <c r="COE11" s="143"/>
      <c r="COF11" s="143"/>
      <c r="COG11" s="143"/>
      <c r="COH11" s="143"/>
      <c r="COI11" s="143"/>
      <c r="COJ11" s="143"/>
      <c r="COK11" s="143"/>
      <c r="COL11" s="143"/>
      <c r="COM11" s="143"/>
      <c r="CON11" s="143"/>
      <c r="COO11" s="143"/>
      <c r="COP11" s="143"/>
      <c r="COQ11" s="143"/>
      <c r="COR11" s="143"/>
      <c r="COS11" s="143"/>
      <c r="COT11" s="143"/>
      <c r="COU11" s="143"/>
      <c r="COV11" s="143"/>
      <c r="COW11" s="143"/>
      <c r="COX11" s="143"/>
      <c r="COY11" s="143"/>
      <c r="COZ11" s="143"/>
      <c r="CPA11" s="143"/>
      <c r="CPB11" s="143"/>
      <c r="CPC11" s="143"/>
      <c r="CPD11" s="143"/>
      <c r="CPE11" s="143"/>
      <c r="CPF11" s="143"/>
      <c r="CPG11" s="143"/>
      <c r="CPH11" s="143"/>
      <c r="CPI11" s="143"/>
      <c r="CPJ11" s="143"/>
      <c r="CPK11" s="143"/>
      <c r="CPL11" s="143"/>
      <c r="CPM11" s="143"/>
      <c r="CPN11" s="143"/>
      <c r="CPO11" s="143"/>
      <c r="CPP11" s="143"/>
      <c r="CPQ11" s="143"/>
      <c r="CPR11" s="143"/>
      <c r="CPS11" s="143"/>
      <c r="CPT11" s="143"/>
      <c r="CPU11" s="143"/>
      <c r="CPV11" s="143"/>
      <c r="CPW11" s="143"/>
      <c r="CPX11" s="143"/>
      <c r="CPY11" s="143"/>
      <c r="CPZ11" s="143"/>
      <c r="CQA11" s="143"/>
      <c r="CQB11" s="143"/>
      <c r="CQC11" s="143"/>
      <c r="CQD11" s="143"/>
      <c r="CQE11" s="143"/>
      <c r="CQF11" s="143"/>
      <c r="CQG11" s="143"/>
      <c r="CQH11" s="143"/>
      <c r="CQI11" s="143"/>
      <c r="CQJ11" s="143"/>
      <c r="CQK11" s="143"/>
      <c r="CQL11" s="143"/>
      <c r="CQM11" s="143"/>
      <c r="CQN11" s="143"/>
      <c r="CQO11" s="143"/>
      <c r="CQP11" s="143"/>
      <c r="CQQ11" s="143"/>
      <c r="CQR11" s="143"/>
      <c r="CQS11" s="143"/>
      <c r="CQT11" s="143"/>
      <c r="CQU11" s="143"/>
      <c r="CQV11" s="143"/>
      <c r="CQW11" s="143"/>
      <c r="CQX11" s="143"/>
      <c r="CQY11" s="143"/>
      <c r="CQZ11" s="143"/>
      <c r="CRA11" s="143"/>
      <c r="CRB11" s="143"/>
      <c r="CRC11" s="143"/>
      <c r="CRD11" s="143"/>
      <c r="CRE11" s="143"/>
      <c r="CRF11" s="143"/>
      <c r="CRG11" s="143"/>
      <c r="CRH11" s="143"/>
      <c r="CRI11" s="143"/>
      <c r="CRJ11" s="143"/>
      <c r="CRK11" s="143"/>
      <c r="CRL11" s="143"/>
      <c r="CRM11" s="143"/>
      <c r="CRN11" s="143"/>
      <c r="CRO11" s="143"/>
      <c r="CRP11" s="143"/>
      <c r="CRQ11" s="143"/>
      <c r="CRR11" s="143"/>
      <c r="CRS11" s="143"/>
      <c r="CRT11" s="143"/>
      <c r="CRU11" s="143"/>
      <c r="CRV11" s="143"/>
      <c r="CRW11" s="143"/>
      <c r="CRX11" s="143"/>
      <c r="CRY11" s="143"/>
      <c r="CRZ11" s="143"/>
      <c r="CSA11" s="143"/>
      <c r="CSB11" s="143"/>
      <c r="CSC11" s="143"/>
      <c r="CSD11" s="143"/>
      <c r="CSE11" s="143"/>
      <c r="CSF11" s="143"/>
      <c r="CSG11" s="143"/>
      <c r="CSH11" s="143"/>
      <c r="CSI11" s="143"/>
      <c r="CSJ11" s="143"/>
      <c r="CSK11" s="143"/>
      <c r="CSL11" s="143"/>
      <c r="CSM11" s="143"/>
      <c r="CSN11" s="143"/>
      <c r="CSO11" s="143"/>
      <c r="CSP11" s="143"/>
      <c r="CSQ11" s="143"/>
      <c r="CSR11" s="143"/>
      <c r="CSS11" s="143"/>
      <c r="CST11" s="143"/>
      <c r="CSU11" s="143"/>
      <c r="CSV11" s="143"/>
      <c r="CSW11" s="143"/>
      <c r="CSX11" s="143"/>
      <c r="CSY11" s="143"/>
      <c r="CSZ11" s="143"/>
      <c r="CTA11" s="143"/>
      <c r="CTB11" s="143"/>
      <c r="CTC11" s="143"/>
      <c r="CTD11" s="143"/>
      <c r="CTE11" s="143"/>
      <c r="CTF11" s="143"/>
      <c r="CTG11" s="143"/>
      <c r="CTH11" s="143"/>
      <c r="CTI11" s="143"/>
      <c r="CTJ11" s="143"/>
      <c r="CTK11" s="143"/>
      <c r="CTL11" s="143"/>
      <c r="CTM11" s="143"/>
      <c r="CTN11" s="143"/>
      <c r="CTO11" s="143"/>
      <c r="CTP11" s="143"/>
      <c r="CTQ11" s="143"/>
      <c r="CTR11" s="143"/>
      <c r="CTS11" s="143"/>
      <c r="CTT11" s="143"/>
      <c r="CTU11" s="143"/>
      <c r="CTV11" s="143"/>
      <c r="CTW11" s="143"/>
      <c r="CTX11" s="143"/>
      <c r="CTY11" s="143"/>
      <c r="CTZ11" s="143"/>
      <c r="CUA11" s="143"/>
      <c r="CUB11" s="143"/>
      <c r="CUC11" s="143"/>
      <c r="CUD11" s="143"/>
      <c r="CUE11" s="143"/>
      <c r="CUF11" s="143"/>
      <c r="CUG11" s="143"/>
      <c r="CUH11" s="143"/>
      <c r="CUI11" s="143"/>
      <c r="CUJ11" s="143"/>
      <c r="CUK11" s="143"/>
      <c r="CUL11" s="143"/>
      <c r="CUM11" s="143"/>
      <c r="CUN11" s="143"/>
      <c r="CUO11" s="143"/>
      <c r="CUP11" s="143"/>
      <c r="CUQ11" s="143"/>
      <c r="CUR11" s="143"/>
      <c r="CUS11" s="143"/>
      <c r="CUT11" s="143"/>
      <c r="CUU11" s="143"/>
      <c r="CUV11" s="143"/>
      <c r="CUW11" s="143"/>
      <c r="CUX11" s="143"/>
      <c r="CUY11" s="143"/>
      <c r="CUZ11" s="143"/>
      <c r="CVA11" s="143"/>
      <c r="CVB11" s="143"/>
      <c r="CVC11" s="143"/>
      <c r="CVD11" s="143"/>
      <c r="CVE11" s="143"/>
      <c r="CVF11" s="143"/>
      <c r="CVG11" s="143"/>
      <c r="CVH11" s="143"/>
      <c r="CVI11" s="143"/>
      <c r="CVJ11" s="143"/>
      <c r="CVK11" s="143"/>
      <c r="CVL11" s="143"/>
      <c r="CVM11" s="143"/>
      <c r="CVN11" s="143"/>
      <c r="CVO11" s="143"/>
      <c r="CVP11" s="143"/>
      <c r="CVQ11" s="143"/>
      <c r="CVR11" s="143"/>
      <c r="CVS11" s="143"/>
      <c r="CVT11" s="143"/>
      <c r="CVU11" s="143"/>
      <c r="CVV11" s="143"/>
      <c r="CVW11" s="143"/>
      <c r="CVX11" s="143"/>
      <c r="CVY11" s="143"/>
      <c r="CVZ11" s="143"/>
      <c r="CWA11" s="143"/>
      <c r="CWB11" s="143"/>
      <c r="CWC11" s="143"/>
      <c r="CWD11" s="143"/>
      <c r="CWE11" s="143"/>
      <c r="CWF11" s="143"/>
      <c r="CWG11" s="143"/>
      <c r="CWH11" s="143"/>
      <c r="CWI11" s="143"/>
      <c r="CWJ11" s="143"/>
      <c r="CWK11" s="143"/>
      <c r="CWL11" s="143"/>
      <c r="CWM11" s="143"/>
      <c r="CWN11" s="143"/>
      <c r="CWO11" s="143"/>
      <c r="CWP11" s="143"/>
      <c r="CWQ11" s="143"/>
      <c r="CWR11" s="143"/>
      <c r="CWS11" s="143"/>
      <c r="CWT11" s="143"/>
      <c r="CWU11" s="143"/>
      <c r="CWV11" s="143"/>
      <c r="CWW11" s="143"/>
      <c r="CWX11" s="143"/>
      <c r="CWY11" s="143"/>
      <c r="CWZ11" s="143"/>
      <c r="CXA11" s="143"/>
      <c r="CXB11" s="143"/>
      <c r="CXC11" s="143"/>
      <c r="CXD11" s="143"/>
      <c r="CXE11" s="143"/>
      <c r="CXF11" s="143"/>
      <c r="CXG11" s="143"/>
      <c r="CXH11" s="143"/>
      <c r="CXI11" s="143"/>
      <c r="CXJ11" s="143"/>
      <c r="CXK11" s="143"/>
      <c r="CXL11" s="143"/>
      <c r="CXM11" s="143"/>
      <c r="CXN11" s="143"/>
      <c r="CXO11" s="143"/>
      <c r="CXP11" s="143"/>
      <c r="CXQ11" s="143"/>
      <c r="CXR11" s="143"/>
      <c r="CXS11" s="143"/>
      <c r="CXT11" s="143"/>
      <c r="CXU11" s="143"/>
      <c r="CXV11" s="143"/>
      <c r="CXW11" s="143"/>
      <c r="CXX11" s="143"/>
      <c r="CXY11" s="143"/>
      <c r="CXZ11" s="143"/>
      <c r="CYA11" s="143"/>
      <c r="CYB11" s="143"/>
      <c r="CYC11" s="143"/>
      <c r="CYD11" s="143"/>
      <c r="CYE11" s="143"/>
      <c r="CYF11" s="143"/>
      <c r="CYG11" s="143"/>
      <c r="CYH11" s="143"/>
      <c r="CYI11" s="143"/>
      <c r="CYJ11" s="143"/>
      <c r="CYK11" s="143"/>
      <c r="CYL11" s="143"/>
      <c r="CYM11" s="143"/>
      <c r="CYN11" s="143"/>
      <c r="CYO11" s="143"/>
      <c r="CYP11" s="143"/>
      <c r="CYQ11" s="143"/>
      <c r="CYR11" s="143"/>
      <c r="CYS11" s="143"/>
      <c r="CYT11" s="143"/>
      <c r="CYU11" s="143"/>
      <c r="CYV11" s="143"/>
      <c r="CYW11" s="143"/>
      <c r="CYX11" s="143"/>
      <c r="CYY11" s="143"/>
      <c r="CYZ11" s="143"/>
      <c r="CZA11" s="143"/>
      <c r="CZB11" s="143"/>
      <c r="CZC11" s="143"/>
      <c r="CZD11" s="143"/>
      <c r="CZE11" s="143"/>
      <c r="CZF11" s="143"/>
      <c r="CZG11" s="143"/>
      <c r="CZH11" s="143"/>
      <c r="CZI11" s="143"/>
      <c r="CZJ11" s="143"/>
      <c r="CZK11" s="143"/>
      <c r="CZL11" s="143"/>
      <c r="CZM11" s="143"/>
      <c r="CZN11" s="143"/>
      <c r="CZO11" s="143"/>
      <c r="CZP11" s="143"/>
      <c r="CZQ11" s="143"/>
      <c r="CZR11" s="143"/>
      <c r="CZS11" s="143"/>
      <c r="CZT11" s="143"/>
      <c r="CZU11" s="143"/>
      <c r="CZV11" s="143"/>
      <c r="CZW11" s="143"/>
      <c r="CZX11" s="143"/>
      <c r="CZY11" s="143"/>
      <c r="CZZ11" s="143"/>
      <c r="DAA11" s="143"/>
      <c r="DAB11" s="143"/>
      <c r="DAC11" s="143"/>
      <c r="DAD11" s="143"/>
      <c r="DAE11" s="143"/>
      <c r="DAF11" s="143"/>
      <c r="DAG11" s="143"/>
      <c r="DAH11" s="143"/>
      <c r="DAI11" s="143"/>
      <c r="DAJ11" s="143"/>
      <c r="DAK11" s="143"/>
      <c r="DAL11" s="143"/>
      <c r="DAM11" s="143"/>
      <c r="DAN11" s="143"/>
      <c r="DAO11" s="143"/>
      <c r="DAP11" s="143"/>
      <c r="DAQ11" s="143"/>
      <c r="DAR11" s="143"/>
      <c r="DAS11" s="143"/>
      <c r="DAT11" s="143"/>
      <c r="DAU11" s="143"/>
      <c r="DAV11" s="143"/>
      <c r="DAW11" s="143"/>
      <c r="DAX11" s="143"/>
      <c r="DAY11" s="143"/>
      <c r="DAZ11" s="143"/>
      <c r="DBA11" s="143"/>
      <c r="DBB11" s="143"/>
      <c r="DBC11" s="143"/>
      <c r="DBD11" s="143"/>
      <c r="DBE11" s="143"/>
      <c r="DBF11" s="143"/>
      <c r="DBG11" s="143"/>
      <c r="DBH11" s="143"/>
      <c r="DBI11" s="143"/>
      <c r="DBJ11" s="143"/>
      <c r="DBK11" s="143"/>
      <c r="DBL11" s="143"/>
      <c r="DBM11" s="143"/>
      <c r="DBN11" s="143"/>
      <c r="DBO11" s="143"/>
      <c r="DBP11" s="143"/>
      <c r="DBQ11" s="143"/>
      <c r="DBR11" s="143"/>
      <c r="DBS11" s="143"/>
      <c r="DBT11" s="143"/>
      <c r="DBU11" s="143"/>
      <c r="DBV11" s="143"/>
      <c r="DBW11" s="143"/>
      <c r="DBX11" s="143"/>
      <c r="DBY11" s="143"/>
      <c r="DBZ11" s="143"/>
      <c r="DCA11" s="143"/>
      <c r="DCB11" s="143"/>
      <c r="DCC11" s="143"/>
      <c r="DCD11" s="143"/>
      <c r="DCE11" s="143"/>
      <c r="DCF11" s="143"/>
      <c r="DCG11" s="143"/>
      <c r="DCH11" s="143"/>
      <c r="DCI11" s="143"/>
      <c r="DCJ11" s="143"/>
      <c r="DCK11" s="143"/>
      <c r="DCL11" s="143"/>
      <c r="DCM11" s="143"/>
      <c r="DCN11" s="143"/>
      <c r="DCO11" s="143"/>
      <c r="DCP11" s="143"/>
      <c r="DCQ11" s="143"/>
      <c r="DCR11" s="143"/>
      <c r="DCS11" s="143"/>
      <c r="DCT11" s="143"/>
      <c r="DCU11" s="143"/>
      <c r="DCV11" s="143"/>
      <c r="DCW11" s="143"/>
      <c r="DCX11" s="143"/>
      <c r="DCY11" s="143"/>
      <c r="DCZ11" s="143"/>
      <c r="DDA11" s="143"/>
      <c r="DDB11" s="143"/>
      <c r="DDC11" s="143"/>
      <c r="DDD11" s="143"/>
      <c r="DDE11" s="143"/>
      <c r="DDF11" s="143"/>
      <c r="DDG11" s="143"/>
      <c r="DDH11" s="143"/>
      <c r="DDI11" s="143"/>
      <c r="DDJ11" s="143"/>
      <c r="DDK11" s="143"/>
      <c r="DDL11" s="143"/>
      <c r="DDM11" s="143"/>
      <c r="DDN11" s="143"/>
      <c r="DDO11" s="143"/>
      <c r="DDP11" s="143"/>
      <c r="DDQ11" s="143"/>
      <c r="DDR11" s="143"/>
      <c r="DDS11" s="143"/>
      <c r="DDT11" s="143"/>
      <c r="DDU11" s="143"/>
      <c r="DDV11" s="143"/>
      <c r="DDW11" s="143"/>
      <c r="DDX11" s="143"/>
      <c r="DDY11" s="143"/>
      <c r="DDZ11" s="143"/>
      <c r="DEA11" s="143"/>
      <c r="DEB11" s="143"/>
      <c r="DEC11" s="143"/>
      <c r="DED11" s="143"/>
      <c r="DEE11" s="143"/>
      <c r="DEF11" s="143"/>
      <c r="DEG11" s="143"/>
      <c r="DEH11" s="143"/>
      <c r="DEI11" s="143"/>
      <c r="DEJ11" s="143"/>
      <c r="DEK11" s="143"/>
      <c r="DEL11" s="143"/>
      <c r="DEM11" s="143"/>
      <c r="DEN11" s="143"/>
      <c r="DEO11" s="143"/>
      <c r="DEP11" s="143"/>
      <c r="DEQ11" s="143"/>
      <c r="DER11" s="143"/>
      <c r="DES11" s="143"/>
      <c r="DET11" s="143"/>
      <c r="DEU11" s="143"/>
      <c r="DEV11" s="143"/>
      <c r="DEW11" s="143"/>
      <c r="DEX11" s="143"/>
      <c r="DEY11" s="143"/>
      <c r="DEZ11" s="143"/>
      <c r="DFA11" s="143"/>
      <c r="DFB11" s="143"/>
      <c r="DFC11" s="143"/>
      <c r="DFD11" s="143"/>
      <c r="DFE11" s="143"/>
      <c r="DFF11" s="143"/>
      <c r="DFG11" s="143"/>
      <c r="DFH11" s="143"/>
      <c r="DFI11" s="143"/>
      <c r="DFJ11" s="143"/>
      <c r="DFK11" s="143"/>
      <c r="DFL11" s="143"/>
      <c r="DFM11" s="143"/>
      <c r="DFN11" s="143"/>
      <c r="DFO11" s="143"/>
      <c r="DFP11" s="143"/>
      <c r="DFQ11" s="143"/>
      <c r="DFR11" s="143"/>
      <c r="DFS11" s="143"/>
      <c r="DFT11" s="143"/>
      <c r="DFU11" s="143"/>
      <c r="DFV11" s="143"/>
      <c r="DFW11" s="143"/>
      <c r="DFX11" s="143"/>
      <c r="DFY11" s="143"/>
      <c r="DFZ11" s="143"/>
      <c r="DGA11" s="143"/>
      <c r="DGB11" s="143"/>
      <c r="DGC11" s="143"/>
      <c r="DGD11" s="143"/>
      <c r="DGE11" s="143"/>
      <c r="DGF11" s="143"/>
      <c r="DGG11" s="143"/>
      <c r="DGH11" s="143"/>
      <c r="DGI11" s="143"/>
      <c r="DGJ11" s="143"/>
      <c r="DGK11" s="143"/>
      <c r="DGL11" s="143"/>
      <c r="DGM11" s="143"/>
      <c r="DGN11" s="143"/>
      <c r="DGO11" s="143"/>
      <c r="DGP11" s="143"/>
      <c r="DGQ11" s="143"/>
      <c r="DGR11" s="143"/>
      <c r="DGS11" s="143"/>
      <c r="DGT11" s="143"/>
      <c r="DGU11" s="143"/>
      <c r="DGV11" s="143"/>
      <c r="DGW11" s="143"/>
      <c r="DGX11" s="143"/>
      <c r="DGY11" s="143"/>
      <c r="DGZ11" s="143"/>
      <c r="DHA11" s="143"/>
      <c r="DHB11" s="143"/>
      <c r="DHC11" s="143"/>
      <c r="DHD11" s="143"/>
      <c r="DHE11" s="143"/>
      <c r="DHF11" s="143"/>
      <c r="DHG11" s="143"/>
      <c r="DHH11" s="143"/>
      <c r="DHI11" s="143"/>
      <c r="DHJ11" s="143"/>
      <c r="DHK11" s="143"/>
      <c r="DHL11" s="143"/>
      <c r="DHM11" s="143"/>
      <c r="DHN11" s="143"/>
      <c r="DHO11" s="143"/>
      <c r="DHP11" s="143"/>
      <c r="DHQ11" s="143"/>
      <c r="DHR11" s="143"/>
      <c r="DHS11" s="143"/>
      <c r="DHT11" s="143"/>
      <c r="DHU11" s="143"/>
      <c r="DHV11" s="143"/>
      <c r="DHW11" s="143"/>
      <c r="DHX11" s="143"/>
      <c r="DHY11" s="143"/>
      <c r="DHZ11" s="143"/>
      <c r="DIA11" s="143"/>
      <c r="DIB11" s="143"/>
      <c r="DIC11" s="143"/>
      <c r="DID11" s="143"/>
      <c r="DIE11" s="143"/>
      <c r="DIF11" s="143"/>
      <c r="DIG11" s="143"/>
      <c r="DIH11" s="143"/>
      <c r="DII11" s="143"/>
      <c r="DIJ11" s="143"/>
      <c r="DIK11" s="143"/>
      <c r="DIL11" s="143"/>
      <c r="DIM11" s="143"/>
      <c r="DIN11" s="143"/>
      <c r="DIO11" s="143"/>
      <c r="DIP11" s="143"/>
      <c r="DIQ11" s="143"/>
      <c r="DIR11" s="143"/>
      <c r="DIS11" s="143"/>
      <c r="DIT11" s="143"/>
      <c r="DIU11" s="143"/>
      <c r="DIV11" s="143"/>
      <c r="DIW11" s="143"/>
      <c r="DIX11" s="143"/>
      <c r="DIY11" s="143"/>
      <c r="DIZ11" s="143"/>
      <c r="DJA11" s="143"/>
      <c r="DJB11" s="143"/>
      <c r="DJC11" s="143"/>
      <c r="DJD11" s="143"/>
      <c r="DJE11" s="143"/>
      <c r="DJF11" s="143"/>
      <c r="DJG11" s="143"/>
      <c r="DJH11" s="143"/>
      <c r="DJI11" s="143"/>
      <c r="DJJ11" s="143"/>
      <c r="DJK11" s="143"/>
      <c r="DJL11" s="143"/>
      <c r="DJM11" s="143"/>
      <c r="DJN11" s="143"/>
      <c r="DJO11" s="143"/>
      <c r="DJP11" s="143"/>
      <c r="DJQ11" s="143"/>
      <c r="DJR11" s="143"/>
      <c r="DJS11" s="143"/>
      <c r="DJT11" s="143"/>
      <c r="DJU11" s="143"/>
      <c r="DJV11" s="143"/>
      <c r="DJW11" s="143"/>
      <c r="DJX11" s="143"/>
      <c r="DJY11" s="143"/>
      <c r="DJZ11" s="143"/>
      <c r="DKA11" s="143"/>
      <c r="DKB11" s="143"/>
      <c r="DKC11" s="143"/>
      <c r="DKD11" s="143"/>
      <c r="DKE11" s="143"/>
      <c r="DKF11" s="143"/>
      <c r="DKG11" s="143"/>
      <c r="DKH11" s="143"/>
      <c r="DKI11" s="143"/>
      <c r="DKJ11" s="143"/>
      <c r="DKK11" s="143"/>
      <c r="DKL11" s="143"/>
      <c r="DKM11" s="143"/>
      <c r="DKN11" s="143"/>
      <c r="DKO11" s="143"/>
      <c r="DKP11" s="143"/>
      <c r="DKQ11" s="143"/>
      <c r="DKR11" s="143"/>
      <c r="DKS11" s="143"/>
      <c r="DKT11" s="143"/>
      <c r="DKU11" s="143"/>
      <c r="DKV11" s="143"/>
      <c r="DKW11" s="143"/>
      <c r="DKX11" s="143"/>
      <c r="DKY11" s="143"/>
      <c r="DKZ11" s="143"/>
      <c r="DLA11" s="143"/>
      <c r="DLB11" s="143"/>
      <c r="DLC11" s="143"/>
      <c r="DLD11" s="143"/>
      <c r="DLE11" s="143"/>
      <c r="DLF11" s="143"/>
      <c r="DLG11" s="143"/>
      <c r="DLH11" s="143"/>
      <c r="DLI11" s="143"/>
      <c r="DLJ11" s="143"/>
      <c r="DLK11" s="143"/>
      <c r="DLL11" s="143"/>
      <c r="DLM11" s="143"/>
      <c r="DLN11" s="143"/>
      <c r="DLO11" s="143"/>
      <c r="DLP11" s="143"/>
      <c r="DLQ11" s="143"/>
      <c r="DLR11" s="143"/>
      <c r="DLS11" s="143"/>
      <c r="DLT11" s="143"/>
      <c r="DLU11" s="143"/>
      <c r="DLV11" s="143"/>
      <c r="DLW11" s="143"/>
      <c r="DLX11" s="143"/>
      <c r="DLY11" s="143"/>
      <c r="DLZ11" s="143"/>
      <c r="DMA11" s="143"/>
      <c r="DMB11" s="143"/>
      <c r="DMC11" s="143"/>
      <c r="DMD11" s="143"/>
      <c r="DME11" s="143"/>
      <c r="DMF11" s="143"/>
      <c r="DMG11" s="143"/>
      <c r="DMH11" s="143"/>
      <c r="DMI11" s="143"/>
      <c r="DMJ11" s="143"/>
      <c r="DMK11" s="143"/>
      <c r="DML11" s="143"/>
      <c r="DMM11" s="143"/>
      <c r="DMN11" s="143"/>
      <c r="DMO11" s="143"/>
      <c r="DMP11" s="143"/>
      <c r="DMQ11" s="143"/>
      <c r="DMR11" s="143"/>
      <c r="DMS11" s="143"/>
      <c r="DMT11" s="143"/>
      <c r="DMU11" s="143"/>
      <c r="DMV11" s="143"/>
      <c r="DMW11" s="143"/>
      <c r="DMX11" s="143"/>
      <c r="DMY11" s="143"/>
      <c r="DMZ11" s="143"/>
      <c r="DNA11" s="143"/>
      <c r="DNB11" s="143"/>
      <c r="DNC11" s="143"/>
      <c r="DND11" s="143"/>
      <c r="DNE11" s="143"/>
      <c r="DNF11" s="143"/>
      <c r="DNG11" s="143"/>
      <c r="DNH11" s="143"/>
      <c r="DNI11" s="143"/>
      <c r="DNJ11" s="143"/>
      <c r="DNK11" s="143"/>
      <c r="DNL11" s="143"/>
      <c r="DNM11" s="143"/>
      <c r="DNN11" s="143"/>
      <c r="DNO11" s="143"/>
      <c r="DNP11" s="143"/>
      <c r="DNQ11" s="143"/>
      <c r="DNR11" s="143"/>
      <c r="DNS11" s="143"/>
      <c r="DNT11" s="143"/>
      <c r="DNU11" s="143"/>
      <c r="DNV11" s="143"/>
      <c r="DNW11" s="143"/>
      <c r="DNX11" s="143"/>
      <c r="DNY11" s="143"/>
      <c r="DNZ11" s="143"/>
      <c r="DOA11" s="143"/>
      <c r="DOB11" s="143"/>
      <c r="DOC11" s="143"/>
      <c r="DOD11" s="143"/>
      <c r="DOE11" s="143"/>
      <c r="DOF11" s="143"/>
      <c r="DOG11" s="143"/>
      <c r="DOH11" s="143"/>
      <c r="DOI11" s="143"/>
      <c r="DOJ11" s="143"/>
      <c r="DOK11" s="143"/>
      <c r="DOL11" s="143"/>
      <c r="DOM11" s="143"/>
      <c r="DON11" s="143"/>
      <c r="DOO11" s="143"/>
      <c r="DOP11" s="143"/>
      <c r="DOQ11" s="143"/>
      <c r="DOR11" s="143"/>
      <c r="DOS11" s="143"/>
      <c r="DOT11" s="143"/>
      <c r="DOU11" s="143"/>
      <c r="DOV11" s="143"/>
      <c r="DOW11" s="143"/>
      <c r="DOX11" s="143"/>
      <c r="DOY11" s="143"/>
      <c r="DOZ11" s="143"/>
      <c r="DPA11" s="143"/>
      <c r="DPB11" s="143"/>
      <c r="DPC11" s="143"/>
      <c r="DPD11" s="143"/>
      <c r="DPE11" s="143"/>
      <c r="DPF11" s="143"/>
      <c r="DPG11" s="143"/>
      <c r="DPH11" s="143"/>
      <c r="DPI11" s="143"/>
      <c r="DPJ11" s="143"/>
      <c r="DPK11" s="143"/>
      <c r="DPL11" s="143"/>
      <c r="DPM11" s="143"/>
      <c r="DPN11" s="143"/>
      <c r="DPO11" s="143"/>
      <c r="DPP11" s="143"/>
      <c r="DPQ11" s="143"/>
      <c r="DPR11" s="143"/>
      <c r="DPS11" s="143"/>
      <c r="DPT11" s="143"/>
      <c r="DPU11" s="143"/>
      <c r="DPV11" s="143"/>
      <c r="DPW11" s="143"/>
      <c r="DPX11" s="143"/>
      <c r="DPY11" s="143"/>
      <c r="DPZ11" s="143"/>
      <c r="DQA11" s="143"/>
      <c r="DQB11" s="143"/>
      <c r="DQC11" s="143"/>
      <c r="DQD11" s="143"/>
      <c r="DQE11" s="143"/>
      <c r="DQF11" s="143"/>
      <c r="DQG11" s="143"/>
      <c r="DQH11" s="143"/>
      <c r="DQI11" s="143"/>
      <c r="DQJ11" s="143"/>
      <c r="DQK11" s="143"/>
      <c r="DQL11" s="143"/>
      <c r="DQM11" s="143"/>
      <c r="DQN11" s="143"/>
      <c r="DQO11" s="143"/>
      <c r="DQP11" s="143"/>
      <c r="DQQ11" s="143"/>
      <c r="DQR11" s="143"/>
      <c r="DQS11" s="143"/>
      <c r="DQT11" s="143"/>
      <c r="DQU11" s="143"/>
      <c r="DQV11" s="143"/>
      <c r="DQW11" s="143"/>
      <c r="DQX11" s="143"/>
      <c r="DQY11" s="143"/>
      <c r="DQZ11" s="143"/>
      <c r="DRA11" s="143"/>
      <c r="DRB11" s="143"/>
      <c r="DRC11" s="143"/>
      <c r="DRD11" s="143"/>
      <c r="DRE11" s="143"/>
      <c r="DRF11" s="143"/>
      <c r="DRG11" s="143"/>
      <c r="DRH11" s="143"/>
      <c r="DRI11" s="143"/>
      <c r="DRJ11" s="143"/>
      <c r="DRK11" s="143"/>
      <c r="DRL11" s="143"/>
      <c r="DRM11" s="143"/>
      <c r="DRN11" s="143"/>
      <c r="DRO11" s="143"/>
      <c r="DRP11" s="143"/>
      <c r="DRQ11" s="143"/>
      <c r="DRR11" s="143"/>
      <c r="DRS11" s="143"/>
      <c r="DRT11" s="143"/>
      <c r="DRU11" s="143"/>
      <c r="DRV11" s="143"/>
      <c r="DRW11" s="143"/>
      <c r="DRX11" s="143"/>
      <c r="DRY11" s="143"/>
      <c r="DRZ11" s="143"/>
      <c r="DSA11" s="143"/>
      <c r="DSB11" s="143"/>
      <c r="DSC11" s="143"/>
      <c r="DSD11" s="143"/>
      <c r="DSE11" s="143"/>
      <c r="DSF11" s="143"/>
      <c r="DSG11" s="143"/>
      <c r="DSH11" s="143"/>
      <c r="DSI11" s="143"/>
      <c r="DSJ11" s="143"/>
      <c r="DSK11" s="143"/>
      <c r="DSL11" s="143"/>
      <c r="DSM11" s="143"/>
      <c r="DSN11" s="143"/>
      <c r="DSO11" s="143"/>
      <c r="DSP11" s="143"/>
      <c r="DSQ11" s="143"/>
      <c r="DSR11" s="143"/>
      <c r="DSS11" s="143"/>
      <c r="DST11" s="143"/>
      <c r="DSU11" s="143"/>
      <c r="DSV11" s="143"/>
      <c r="DSW11" s="143"/>
      <c r="DSX11" s="143"/>
      <c r="DSY11" s="143"/>
      <c r="DSZ11" s="143"/>
      <c r="DTA11" s="143"/>
      <c r="DTB11" s="143"/>
      <c r="DTC11" s="143"/>
      <c r="DTD11" s="143"/>
      <c r="DTE11" s="143"/>
      <c r="DTF11" s="143"/>
      <c r="DTG11" s="143"/>
      <c r="DTH11" s="143"/>
      <c r="DTI11" s="143"/>
      <c r="DTJ11" s="143"/>
      <c r="DTK11" s="143"/>
      <c r="DTL11" s="143"/>
      <c r="DTM11" s="143"/>
      <c r="DTN11" s="143"/>
      <c r="DTO11" s="143"/>
      <c r="DTP11" s="143"/>
      <c r="DTQ11" s="143"/>
      <c r="DTR11" s="143"/>
      <c r="DTS11" s="143"/>
      <c r="DTT11" s="143"/>
      <c r="DTU11" s="143"/>
      <c r="DTV11" s="143"/>
      <c r="DTW11" s="143"/>
      <c r="DTX11" s="143"/>
      <c r="DTY11" s="143"/>
      <c r="DTZ11" s="143"/>
      <c r="DUA11" s="143"/>
      <c r="DUB11" s="143"/>
      <c r="DUC11" s="143"/>
      <c r="DUD11" s="143"/>
      <c r="DUE11" s="143"/>
      <c r="DUF11" s="143"/>
      <c r="DUG11" s="143"/>
      <c r="DUH11" s="143"/>
      <c r="DUI11" s="143"/>
      <c r="DUJ11" s="143"/>
      <c r="DUK11" s="143"/>
      <c r="DUL11" s="143"/>
      <c r="DUM11" s="143"/>
      <c r="DUN11" s="143"/>
      <c r="DUO11" s="143"/>
      <c r="DUP11" s="143"/>
      <c r="DUQ11" s="143"/>
      <c r="DUR11" s="143"/>
      <c r="DUS11" s="143"/>
      <c r="DUT11" s="143"/>
      <c r="DUU11" s="143"/>
      <c r="DUV11" s="143"/>
      <c r="DUW11" s="143"/>
      <c r="DUX11" s="143"/>
      <c r="DUY11" s="143"/>
      <c r="DUZ11" s="143"/>
      <c r="DVA11" s="143"/>
      <c r="DVB11" s="143"/>
      <c r="DVC11" s="143"/>
      <c r="DVD11" s="143"/>
      <c r="DVE11" s="143"/>
      <c r="DVF11" s="143"/>
      <c r="DVG11" s="143"/>
      <c r="DVH11" s="143"/>
      <c r="DVI11" s="143"/>
      <c r="DVJ11" s="143"/>
      <c r="DVK11" s="143"/>
      <c r="DVL11" s="143"/>
      <c r="DVM11" s="143"/>
      <c r="DVN11" s="143"/>
      <c r="DVO11" s="143"/>
      <c r="DVP11" s="143"/>
      <c r="DVQ11" s="143"/>
      <c r="DVR11" s="143"/>
      <c r="DVS11" s="143"/>
      <c r="DVT11" s="143"/>
      <c r="DVU11" s="143"/>
      <c r="DVV11" s="143"/>
      <c r="DVW11" s="143"/>
      <c r="DVX11" s="143"/>
      <c r="DVY11" s="143"/>
      <c r="DVZ11" s="143"/>
      <c r="DWA11" s="143"/>
      <c r="DWB11" s="143"/>
      <c r="DWC11" s="143"/>
      <c r="DWD11" s="143"/>
      <c r="DWE11" s="143"/>
      <c r="DWF11" s="143"/>
      <c r="DWG11" s="143"/>
      <c r="DWH11" s="143"/>
      <c r="DWI11" s="143"/>
      <c r="DWJ11" s="143"/>
      <c r="DWK11" s="143"/>
      <c r="DWL11" s="143"/>
      <c r="DWM11" s="143"/>
      <c r="DWN11" s="143"/>
      <c r="DWO11" s="143"/>
      <c r="DWP11" s="143"/>
      <c r="DWQ11" s="143"/>
      <c r="DWR11" s="143"/>
      <c r="DWS11" s="143"/>
      <c r="DWT11" s="143"/>
      <c r="DWU11" s="143"/>
      <c r="DWV11" s="143"/>
      <c r="DWW11" s="143"/>
      <c r="DWX11" s="143"/>
      <c r="DWY11" s="143"/>
      <c r="DWZ11" s="143"/>
      <c r="DXA11" s="143"/>
      <c r="DXB11" s="143"/>
      <c r="DXC11" s="143"/>
      <c r="DXD11" s="143"/>
      <c r="DXE11" s="143"/>
      <c r="DXF11" s="143"/>
      <c r="DXG11" s="143"/>
      <c r="DXH11" s="143"/>
      <c r="DXI11" s="143"/>
      <c r="DXJ11" s="143"/>
      <c r="DXK11" s="143"/>
      <c r="DXL11" s="143"/>
      <c r="DXM11" s="143"/>
      <c r="DXN11" s="143"/>
      <c r="DXO11" s="143"/>
      <c r="DXP11" s="143"/>
      <c r="DXQ11" s="143"/>
      <c r="DXR11" s="143"/>
      <c r="DXS11" s="143"/>
      <c r="DXT11" s="143"/>
      <c r="DXU11" s="143"/>
      <c r="DXV11" s="143"/>
      <c r="DXW11" s="143"/>
      <c r="DXX11" s="143"/>
      <c r="DXY11" s="143"/>
      <c r="DXZ11" s="143"/>
      <c r="DYA11" s="143"/>
      <c r="DYB11" s="143"/>
      <c r="DYC11" s="143"/>
      <c r="DYD11" s="143"/>
      <c r="DYE11" s="143"/>
      <c r="DYF11" s="143"/>
      <c r="DYG11" s="143"/>
      <c r="DYH11" s="143"/>
      <c r="DYI11" s="143"/>
      <c r="DYJ11" s="143"/>
      <c r="DYK11" s="143"/>
      <c r="DYL11" s="143"/>
      <c r="DYM11" s="143"/>
      <c r="DYN11" s="143"/>
      <c r="DYO11" s="143"/>
      <c r="DYP11" s="143"/>
      <c r="DYQ11" s="143"/>
      <c r="DYR11" s="143"/>
      <c r="DYS11" s="143"/>
      <c r="DYT11" s="143"/>
      <c r="DYU11" s="143"/>
      <c r="DYV11" s="143"/>
      <c r="DYW11" s="143"/>
      <c r="DYX11" s="143"/>
      <c r="DYY11" s="143"/>
      <c r="DYZ11" s="143"/>
      <c r="DZA11" s="143"/>
      <c r="DZB11" s="143"/>
      <c r="DZC11" s="143"/>
      <c r="DZD11" s="143"/>
      <c r="DZE11" s="143"/>
      <c r="DZF11" s="143"/>
      <c r="DZG11" s="143"/>
      <c r="DZH11" s="143"/>
      <c r="DZI11" s="143"/>
      <c r="DZJ11" s="143"/>
      <c r="DZK11" s="143"/>
      <c r="DZL11" s="143"/>
      <c r="DZM11" s="143"/>
      <c r="DZN11" s="143"/>
      <c r="DZO11" s="143"/>
      <c r="DZP11" s="143"/>
      <c r="DZQ11" s="143"/>
      <c r="DZR11" s="143"/>
      <c r="DZS11" s="143"/>
      <c r="DZT11" s="143"/>
      <c r="DZU11" s="143"/>
      <c r="DZV11" s="143"/>
      <c r="DZW11" s="143"/>
      <c r="DZX11" s="143"/>
      <c r="DZY11" s="143"/>
      <c r="DZZ11" s="143"/>
      <c r="EAA11" s="143"/>
      <c r="EAB11" s="143"/>
      <c r="EAC11" s="143"/>
      <c r="EAD11" s="143"/>
      <c r="EAE11" s="143"/>
      <c r="EAF11" s="143"/>
      <c r="EAG11" s="143"/>
      <c r="EAH11" s="143"/>
      <c r="EAI11" s="143"/>
      <c r="EAJ11" s="143"/>
      <c r="EAK11" s="143"/>
      <c r="EAL11" s="143"/>
      <c r="EAM11" s="143"/>
      <c r="EAN11" s="143"/>
      <c r="EAO11" s="143"/>
      <c r="EAP11" s="143"/>
      <c r="EAQ11" s="143"/>
      <c r="EAR11" s="143"/>
      <c r="EAS11" s="143"/>
      <c r="EAT11" s="143"/>
      <c r="EAU11" s="143"/>
      <c r="EAV11" s="143"/>
      <c r="EAW11" s="143"/>
      <c r="EAX11" s="143"/>
      <c r="EAY11" s="143"/>
      <c r="EAZ11" s="143"/>
      <c r="EBA11" s="143"/>
      <c r="EBB11" s="143"/>
      <c r="EBC11" s="143"/>
      <c r="EBD11" s="143"/>
      <c r="EBE11" s="143"/>
      <c r="EBF11" s="143"/>
      <c r="EBG11" s="143"/>
      <c r="EBH11" s="143"/>
      <c r="EBI11" s="143"/>
      <c r="EBJ11" s="143"/>
      <c r="EBK11" s="143"/>
      <c r="EBL11" s="143"/>
      <c r="EBM11" s="143"/>
      <c r="EBN11" s="143"/>
      <c r="EBO11" s="143"/>
      <c r="EBP11" s="143"/>
      <c r="EBQ11" s="143"/>
      <c r="EBR11" s="143"/>
      <c r="EBS11" s="143"/>
      <c r="EBT11" s="143"/>
      <c r="EBU11" s="143"/>
      <c r="EBV11" s="143"/>
      <c r="EBW11" s="143"/>
      <c r="EBX11" s="143"/>
      <c r="EBY11" s="143"/>
      <c r="EBZ11" s="143"/>
      <c r="ECA11" s="143"/>
      <c r="ECB11" s="143"/>
      <c r="ECC11" s="143"/>
      <c r="ECD11" s="143"/>
      <c r="ECE11" s="143"/>
      <c r="ECF11" s="143"/>
      <c r="ECG11" s="143"/>
      <c r="ECH11" s="143"/>
      <c r="ECI11" s="143"/>
      <c r="ECJ11" s="143"/>
      <c r="ECK11" s="143"/>
      <c r="ECL11" s="143"/>
      <c r="ECM11" s="143"/>
      <c r="ECN11" s="143"/>
      <c r="ECO11" s="143"/>
      <c r="ECP11" s="143"/>
      <c r="ECQ11" s="143"/>
      <c r="ECR11" s="143"/>
      <c r="ECS11" s="143"/>
      <c r="ECT11" s="143"/>
      <c r="ECU11" s="143"/>
      <c r="ECV11" s="143"/>
      <c r="ECW11" s="143"/>
      <c r="ECX11" s="143"/>
      <c r="ECY11" s="143"/>
      <c r="ECZ11" s="143"/>
      <c r="EDA11" s="143"/>
      <c r="EDB11" s="143"/>
      <c r="EDC11" s="143"/>
      <c r="EDD11" s="143"/>
      <c r="EDE11" s="143"/>
      <c r="EDF11" s="143"/>
      <c r="EDG11" s="143"/>
      <c r="EDH11" s="143"/>
      <c r="EDI11" s="143"/>
      <c r="EDJ11" s="143"/>
      <c r="EDK11" s="143"/>
      <c r="EDL11" s="143"/>
      <c r="EDM11" s="143"/>
      <c r="EDN11" s="143"/>
      <c r="EDO11" s="143"/>
      <c r="EDP11" s="143"/>
      <c r="EDQ11" s="143"/>
      <c r="EDR11" s="143"/>
      <c r="EDS11" s="143"/>
      <c r="EDT11" s="143"/>
      <c r="EDU11" s="143"/>
      <c r="EDV11" s="143"/>
      <c r="EDW11" s="143"/>
      <c r="EDX11" s="143"/>
      <c r="EDY11" s="143"/>
      <c r="EDZ11" s="143"/>
      <c r="EEA11" s="143"/>
      <c r="EEB11" s="143"/>
      <c r="EEC11" s="143"/>
      <c r="EED11" s="143"/>
      <c r="EEE11" s="143"/>
      <c r="EEF11" s="143"/>
      <c r="EEG11" s="143"/>
      <c r="EEH11" s="143"/>
      <c r="EEI11" s="143"/>
      <c r="EEJ11" s="143"/>
      <c r="EEK11" s="143"/>
      <c r="EEL11" s="143"/>
      <c r="EEM11" s="143"/>
      <c r="EEN11" s="143"/>
      <c r="EEO11" s="143"/>
      <c r="EEP11" s="143"/>
      <c r="EEQ11" s="143"/>
      <c r="EER11" s="143"/>
      <c r="EES11" s="143"/>
      <c r="EET11" s="143"/>
      <c r="EEU11" s="143"/>
      <c r="EEV11" s="143"/>
      <c r="EEW11" s="143"/>
      <c r="EEX11" s="143"/>
      <c r="EEY11" s="143"/>
      <c r="EEZ11" s="143"/>
      <c r="EFA11" s="143"/>
      <c r="EFB11" s="143"/>
      <c r="EFC11" s="143"/>
      <c r="EFD11" s="143"/>
      <c r="EFE11" s="143"/>
      <c r="EFF11" s="143"/>
      <c r="EFG11" s="143"/>
      <c r="EFH11" s="143"/>
      <c r="EFI11" s="143"/>
      <c r="EFJ11" s="143"/>
      <c r="EFK11" s="143"/>
      <c r="EFL11" s="143"/>
      <c r="EFM11" s="143"/>
      <c r="EFN11" s="143"/>
      <c r="EFO11" s="143"/>
      <c r="EFP11" s="143"/>
      <c r="EFQ11" s="143"/>
      <c r="EFR11" s="143"/>
      <c r="EFS11" s="143"/>
      <c r="EFT11" s="143"/>
      <c r="EFU11" s="143"/>
      <c r="EFV11" s="143"/>
      <c r="EFW11" s="143"/>
      <c r="EFX11" s="143"/>
      <c r="EFY11" s="143"/>
      <c r="EFZ11" s="143"/>
      <c r="EGA11" s="143"/>
      <c r="EGB11" s="143"/>
      <c r="EGC11" s="143"/>
      <c r="EGD11" s="143"/>
      <c r="EGE11" s="143"/>
      <c r="EGF11" s="143"/>
      <c r="EGG11" s="143"/>
      <c r="EGH11" s="143"/>
      <c r="EGI11" s="143"/>
      <c r="EGJ11" s="143"/>
      <c r="EGK11" s="143"/>
      <c r="EGL11" s="143"/>
      <c r="EGM11" s="143"/>
      <c r="EGN11" s="143"/>
      <c r="EGO11" s="143"/>
      <c r="EGP11" s="143"/>
      <c r="EGQ11" s="143"/>
      <c r="EGR11" s="143"/>
      <c r="EGS11" s="143"/>
      <c r="EGT11" s="143"/>
      <c r="EGU11" s="143"/>
      <c r="EGV11" s="143"/>
      <c r="EGW11" s="143"/>
      <c r="EGX11" s="143"/>
      <c r="EGY11" s="143"/>
      <c r="EGZ11" s="143"/>
      <c r="EHA11" s="143"/>
      <c r="EHB11" s="143"/>
      <c r="EHC11" s="143"/>
      <c r="EHD11" s="143"/>
      <c r="EHE11" s="143"/>
      <c r="EHF11" s="143"/>
      <c r="EHG11" s="143"/>
      <c r="EHH11" s="143"/>
      <c r="EHI11" s="143"/>
      <c r="EHJ11" s="143"/>
      <c r="EHK11" s="143"/>
      <c r="EHL11" s="143"/>
      <c r="EHM11" s="143"/>
      <c r="EHN11" s="143"/>
      <c r="EHO11" s="143"/>
      <c r="EHP11" s="143"/>
      <c r="EHQ11" s="143"/>
      <c r="EHR11" s="143"/>
      <c r="EHS11" s="143"/>
      <c r="EHT11" s="143"/>
      <c r="EHU11" s="143"/>
      <c r="EHV11" s="143"/>
      <c r="EHW11" s="143"/>
      <c r="EHX11" s="143"/>
      <c r="EHY11" s="143"/>
      <c r="EHZ11" s="143"/>
      <c r="EIA11" s="143"/>
      <c r="EIB11" s="143"/>
      <c r="EIC11" s="143"/>
      <c r="EID11" s="143"/>
      <c r="EIE11" s="143"/>
      <c r="EIF11" s="143"/>
      <c r="EIG11" s="143"/>
      <c r="EIH11" s="143"/>
      <c r="EII11" s="143"/>
      <c r="EIJ11" s="143"/>
      <c r="EIK11" s="143"/>
      <c r="EIL11" s="143"/>
      <c r="EIM11" s="143"/>
      <c r="EIN11" s="143"/>
      <c r="EIO11" s="143"/>
      <c r="EIP11" s="143"/>
      <c r="EIQ11" s="143"/>
      <c r="EIR11" s="143"/>
      <c r="EIS11" s="143"/>
      <c r="EIT11" s="143"/>
      <c r="EIU11" s="143"/>
      <c r="EIV11" s="143"/>
      <c r="EIW11" s="143"/>
      <c r="EIX11" s="143"/>
      <c r="EIY11" s="143"/>
      <c r="EIZ11" s="143"/>
      <c r="EJA11" s="143"/>
      <c r="EJB11" s="143"/>
      <c r="EJC11" s="143"/>
      <c r="EJD11" s="143"/>
      <c r="EJE11" s="143"/>
      <c r="EJF11" s="143"/>
      <c r="EJG11" s="143"/>
      <c r="EJH11" s="143"/>
      <c r="EJI11" s="143"/>
      <c r="EJJ11" s="143"/>
      <c r="EJK11" s="143"/>
      <c r="EJL11" s="143"/>
      <c r="EJM11" s="143"/>
      <c r="EJN11" s="143"/>
      <c r="EJO11" s="143"/>
      <c r="EJP11" s="143"/>
      <c r="EJQ11" s="143"/>
      <c r="EJR11" s="143"/>
      <c r="EJS11" s="143"/>
      <c r="EJT11" s="143"/>
      <c r="EJU11" s="143"/>
      <c r="EJV11" s="143"/>
      <c r="EJW11" s="143"/>
      <c r="EJX11" s="143"/>
      <c r="EJY11" s="143"/>
      <c r="EJZ11" s="143"/>
      <c r="EKA11" s="143"/>
      <c r="EKB11" s="143"/>
      <c r="EKC11" s="143"/>
      <c r="EKD11" s="143"/>
      <c r="EKE11" s="143"/>
      <c r="EKF11" s="143"/>
      <c r="EKG11" s="143"/>
      <c r="EKH11" s="143"/>
      <c r="EKI11" s="143"/>
      <c r="EKJ11" s="143"/>
      <c r="EKK11" s="143"/>
      <c r="EKL11" s="143"/>
      <c r="EKM11" s="143"/>
      <c r="EKN11" s="143"/>
      <c r="EKO11" s="143"/>
      <c r="EKP11" s="143"/>
      <c r="EKQ11" s="143"/>
      <c r="EKR11" s="143"/>
      <c r="EKS11" s="143"/>
      <c r="EKT11" s="143"/>
      <c r="EKU11" s="143"/>
      <c r="EKV11" s="143"/>
      <c r="EKW11" s="143"/>
      <c r="EKX11" s="143"/>
      <c r="EKY11" s="143"/>
      <c r="EKZ11" s="143"/>
      <c r="ELA11" s="143"/>
      <c r="ELB11" s="143"/>
      <c r="ELC11" s="143"/>
      <c r="ELD11" s="143"/>
      <c r="ELE11" s="143"/>
      <c r="ELF11" s="143"/>
      <c r="ELG11" s="143"/>
      <c r="ELH11" s="143"/>
      <c r="ELI11" s="143"/>
      <c r="ELJ11" s="143"/>
      <c r="ELK11" s="143"/>
      <c r="ELL11" s="143"/>
      <c r="ELM11" s="143"/>
      <c r="ELN11" s="143"/>
      <c r="ELO11" s="143"/>
      <c r="ELP11" s="143"/>
      <c r="ELQ11" s="143"/>
      <c r="ELR11" s="143"/>
      <c r="ELS11" s="143"/>
      <c r="ELT11" s="143"/>
      <c r="ELU11" s="143"/>
      <c r="ELV11" s="143"/>
      <c r="ELW11" s="143"/>
      <c r="ELX11" s="143"/>
      <c r="ELY11" s="143"/>
      <c r="ELZ11" s="143"/>
      <c r="EMA11" s="143"/>
      <c r="EMB11" s="143"/>
      <c r="EMC11" s="143"/>
      <c r="EMD11" s="143"/>
      <c r="EME11" s="143"/>
      <c r="EMF11" s="143"/>
      <c r="EMG11" s="143"/>
      <c r="EMH11" s="143"/>
      <c r="EMI11" s="143"/>
      <c r="EMJ11" s="143"/>
      <c r="EMK11" s="143"/>
      <c r="EML11" s="143"/>
      <c r="EMM11" s="143"/>
      <c r="EMN11" s="143"/>
      <c r="EMO11" s="143"/>
      <c r="EMP11" s="143"/>
      <c r="EMQ11" s="143"/>
      <c r="EMR11" s="143"/>
      <c r="EMS11" s="143"/>
      <c r="EMT11" s="143"/>
      <c r="EMU11" s="143"/>
      <c r="EMV11" s="143"/>
      <c r="EMW11" s="143"/>
      <c r="EMX11" s="143"/>
      <c r="EMY11" s="143"/>
      <c r="EMZ11" s="143"/>
      <c r="ENA11" s="143"/>
      <c r="ENB11" s="143"/>
      <c r="ENC11" s="143"/>
      <c r="END11" s="143"/>
      <c r="ENE11" s="143"/>
      <c r="ENF11" s="143"/>
      <c r="ENG11" s="143"/>
      <c r="ENH11" s="143"/>
      <c r="ENI11" s="143"/>
      <c r="ENJ11" s="143"/>
      <c r="ENK11" s="143"/>
      <c r="ENL11" s="143"/>
      <c r="ENM11" s="143"/>
      <c r="ENN11" s="143"/>
      <c r="ENO11" s="143"/>
      <c r="ENP11" s="143"/>
      <c r="ENQ11" s="143"/>
      <c r="ENR11" s="143"/>
      <c r="ENS11" s="143"/>
      <c r="ENT11" s="143"/>
      <c r="ENU11" s="143"/>
      <c r="ENV11" s="143"/>
      <c r="ENW11" s="143"/>
      <c r="ENX11" s="143"/>
      <c r="ENY11" s="143"/>
      <c r="ENZ11" s="143"/>
      <c r="EOA11" s="143"/>
      <c r="EOB11" s="143"/>
      <c r="EOC11" s="143"/>
      <c r="EOD11" s="143"/>
      <c r="EOE11" s="143"/>
      <c r="EOF11" s="143"/>
      <c r="EOG11" s="143"/>
      <c r="EOH11" s="143"/>
      <c r="EOI11" s="143"/>
      <c r="EOJ11" s="143"/>
      <c r="EOK11" s="143"/>
      <c r="EOL11" s="143"/>
      <c r="EOM11" s="143"/>
      <c r="EON11" s="143"/>
      <c r="EOO11" s="143"/>
      <c r="EOP11" s="143"/>
      <c r="EOQ11" s="143"/>
      <c r="EOR11" s="143"/>
      <c r="EOS11" s="143"/>
      <c r="EOT11" s="143"/>
      <c r="EOU11" s="143"/>
      <c r="EOV11" s="143"/>
      <c r="EOW11" s="143"/>
      <c r="EOX11" s="143"/>
      <c r="EOY11" s="143"/>
      <c r="EOZ11" s="143"/>
      <c r="EPA11" s="143"/>
      <c r="EPB11" s="143"/>
      <c r="EPC11" s="143"/>
      <c r="EPD11" s="143"/>
      <c r="EPE11" s="143"/>
      <c r="EPF11" s="143"/>
      <c r="EPG11" s="143"/>
      <c r="EPH11" s="143"/>
      <c r="EPI11" s="143"/>
      <c r="EPJ11" s="143"/>
      <c r="EPK11" s="143"/>
      <c r="EPL11" s="143"/>
      <c r="EPM11" s="143"/>
      <c r="EPN11" s="143"/>
      <c r="EPO11" s="143"/>
      <c r="EPP11" s="143"/>
      <c r="EPQ11" s="143"/>
      <c r="EPR11" s="143"/>
      <c r="EPS11" s="143"/>
      <c r="EPT11" s="143"/>
      <c r="EPU11" s="143"/>
      <c r="EPV11" s="143"/>
      <c r="EPW11" s="143"/>
      <c r="EPX11" s="143"/>
      <c r="EPY11" s="143"/>
      <c r="EPZ11" s="143"/>
      <c r="EQA11" s="143"/>
      <c r="EQB11" s="143"/>
      <c r="EQC11" s="143"/>
      <c r="EQD11" s="143"/>
      <c r="EQE11" s="143"/>
      <c r="EQF11" s="143"/>
      <c r="EQG11" s="143"/>
      <c r="EQH11" s="143"/>
      <c r="EQI11" s="143"/>
      <c r="EQJ11" s="143"/>
      <c r="EQK11" s="143"/>
      <c r="EQL11" s="143"/>
      <c r="EQM11" s="143"/>
      <c r="EQN11" s="143"/>
      <c r="EQO11" s="143"/>
      <c r="EQP11" s="143"/>
      <c r="EQQ11" s="143"/>
      <c r="EQR11" s="143"/>
      <c r="EQS11" s="143"/>
      <c r="EQT11" s="143"/>
      <c r="EQU11" s="143"/>
      <c r="EQV11" s="143"/>
      <c r="EQW11" s="143"/>
      <c r="EQX11" s="143"/>
      <c r="EQY11" s="143"/>
      <c r="EQZ11" s="143"/>
      <c r="ERA11" s="143"/>
      <c r="ERB11" s="143"/>
      <c r="ERC11" s="143"/>
      <c r="ERD11" s="143"/>
      <c r="ERE11" s="143"/>
      <c r="ERF11" s="143"/>
      <c r="ERG11" s="143"/>
      <c r="ERH11" s="143"/>
      <c r="ERI11" s="143"/>
      <c r="ERJ11" s="143"/>
      <c r="ERK11" s="143"/>
      <c r="ERL11" s="143"/>
      <c r="ERM11" s="143"/>
      <c r="ERN11" s="143"/>
      <c r="ERO11" s="143"/>
      <c r="ERP11" s="143"/>
      <c r="ERQ11" s="143"/>
      <c r="ERR11" s="143"/>
      <c r="ERS11" s="143"/>
      <c r="ERT11" s="143"/>
      <c r="ERU11" s="143"/>
      <c r="ERV11" s="143"/>
      <c r="ERW11" s="143"/>
      <c r="ERX11" s="143"/>
      <c r="ERY11" s="143"/>
      <c r="ERZ11" s="143"/>
      <c r="ESA11" s="143"/>
      <c r="ESB11" s="143"/>
      <c r="ESC11" s="143"/>
      <c r="ESD11" s="143"/>
      <c r="ESE11" s="143"/>
      <c r="ESF11" s="143"/>
      <c r="ESG11" s="143"/>
      <c r="ESH11" s="143"/>
      <c r="ESI11" s="143"/>
      <c r="ESJ11" s="143"/>
      <c r="ESK11" s="143"/>
      <c r="ESL11" s="143"/>
      <c r="ESM11" s="143"/>
      <c r="ESN11" s="143"/>
      <c r="ESO11" s="143"/>
      <c r="ESP11" s="143"/>
      <c r="ESQ11" s="143"/>
      <c r="ESR11" s="143"/>
      <c r="ESS11" s="143"/>
      <c r="EST11" s="143"/>
      <c r="ESU11" s="143"/>
      <c r="ESV11" s="143"/>
      <c r="ESW11" s="143"/>
      <c r="ESX11" s="143"/>
      <c r="ESY11" s="143"/>
      <c r="ESZ11" s="143"/>
      <c r="ETA11" s="143"/>
      <c r="ETB11" s="143"/>
      <c r="ETC11" s="143"/>
      <c r="ETD11" s="143"/>
      <c r="ETE11" s="143"/>
      <c r="ETF11" s="143"/>
      <c r="ETG11" s="143"/>
      <c r="ETH11" s="143"/>
      <c r="ETI11" s="143"/>
      <c r="ETJ11" s="143"/>
      <c r="ETK11" s="143"/>
      <c r="ETL11" s="143"/>
      <c r="ETM11" s="143"/>
      <c r="ETN11" s="143"/>
      <c r="ETO11" s="143"/>
      <c r="ETP11" s="143"/>
      <c r="ETQ11" s="143"/>
      <c r="ETR11" s="143"/>
      <c r="ETS11" s="143"/>
      <c r="ETT11" s="143"/>
      <c r="ETU11" s="143"/>
      <c r="ETV11" s="143"/>
      <c r="ETW11" s="143"/>
      <c r="ETX11" s="143"/>
      <c r="ETY11" s="143"/>
      <c r="ETZ11" s="143"/>
      <c r="EUA11" s="143"/>
      <c r="EUB11" s="143"/>
      <c r="EUC11" s="143"/>
      <c r="EUD11" s="143"/>
      <c r="EUE11" s="143"/>
      <c r="EUF11" s="143"/>
      <c r="EUG11" s="143"/>
      <c r="EUH11" s="143"/>
      <c r="EUI11" s="143"/>
      <c r="EUJ11" s="143"/>
      <c r="EUK11" s="143"/>
      <c r="EUL11" s="143"/>
      <c r="EUM11" s="143"/>
      <c r="EUN11" s="143"/>
      <c r="EUO11" s="143"/>
      <c r="EUP11" s="143"/>
      <c r="EUQ11" s="143"/>
      <c r="EUR11" s="143"/>
      <c r="EUS11" s="143"/>
      <c r="EUT11" s="143"/>
      <c r="EUU11" s="143"/>
      <c r="EUV11" s="143"/>
      <c r="EUW11" s="143"/>
      <c r="EUX11" s="143"/>
      <c r="EUY11" s="143"/>
      <c r="EUZ11" s="143"/>
      <c r="EVA11" s="143"/>
      <c r="EVB11" s="143"/>
      <c r="EVC11" s="143"/>
      <c r="EVD11" s="143"/>
      <c r="EVE11" s="143"/>
      <c r="EVF11" s="143"/>
      <c r="EVG11" s="143"/>
      <c r="EVH11" s="143"/>
      <c r="EVI11" s="143"/>
      <c r="EVJ11" s="143"/>
      <c r="EVK11" s="143"/>
      <c r="EVL11" s="143"/>
      <c r="EVM11" s="143"/>
      <c r="EVN11" s="143"/>
      <c r="EVO11" s="143"/>
      <c r="EVP11" s="143"/>
      <c r="EVQ11" s="143"/>
      <c r="EVR11" s="143"/>
      <c r="EVS11" s="143"/>
      <c r="EVT11" s="143"/>
      <c r="EVU11" s="143"/>
      <c r="EVV11" s="143"/>
      <c r="EVW11" s="143"/>
      <c r="EVX11" s="143"/>
      <c r="EVY11" s="143"/>
      <c r="EVZ11" s="143"/>
      <c r="EWA11" s="143"/>
      <c r="EWB11" s="143"/>
      <c r="EWC11" s="143"/>
      <c r="EWD11" s="143"/>
      <c r="EWE11" s="143"/>
      <c r="EWF11" s="143"/>
      <c r="EWG11" s="143"/>
      <c r="EWH11" s="143"/>
      <c r="EWI11" s="143"/>
      <c r="EWJ11" s="143"/>
      <c r="EWK11" s="143"/>
      <c r="EWL11" s="143"/>
      <c r="EWM11" s="143"/>
      <c r="EWN11" s="143"/>
      <c r="EWO11" s="143"/>
      <c r="EWP11" s="143"/>
      <c r="EWQ11" s="143"/>
      <c r="EWR11" s="143"/>
      <c r="EWS11" s="143"/>
      <c r="EWT11" s="143"/>
      <c r="EWU11" s="143"/>
      <c r="EWV11" s="143"/>
      <c r="EWW11" s="143"/>
      <c r="EWX11" s="143"/>
      <c r="EWY11" s="143"/>
      <c r="EWZ11" s="143"/>
      <c r="EXA11" s="143"/>
      <c r="EXB11" s="143"/>
      <c r="EXC11" s="143"/>
      <c r="EXD11" s="143"/>
      <c r="EXE11" s="143"/>
      <c r="EXF11" s="143"/>
      <c r="EXG11" s="143"/>
      <c r="EXH11" s="143"/>
      <c r="EXI11" s="143"/>
      <c r="EXJ11" s="143"/>
      <c r="EXK11" s="143"/>
      <c r="EXL11" s="143"/>
      <c r="EXM11" s="143"/>
      <c r="EXN11" s="143"/>
      <c r="EXO11" s="143"/>
      <c r="EXP11" s="143"/>
      <c r="EXQ11" s="143"/>
      <c r="EXR11" s="143"/>
      <c r="EXS11" s="143"/>
      <c r="EXT11" s="143"/>
      <c r="EXU11" s="143"/>
      <c r="EXV11" s="143"/>
      <c r="EXW11" s="143"/>
      <c r="EXX11" s="143"/>
      <c r="EXY11" s="143"/>
      <c r="EXZ11" s="143"/>
      <c r="EYA11" s="143"/>
      <c r="EYB11" s="143"/>
      <c r="EYC11" s="143"/>
      <c r="EYD11" s="143"/>
      <c r="EYE11" s="143"/>
      <c r="EYF11" s="143"/>
      <c r="EYG11" s="143"/>
      <c r="EYH11" s="143"/>
      <c r="EYI11" s="143"/>
      <c r="EYJ11" s="143"/>
      <c r="EYK11" s="143"/>
      <c r="EYL11" s="143"/>
      <c r="EYM11" s="143"/>
      <c r="EYN11" s="143"/>
      <c r="EYO11" s="143"/>
      <c r="EYP11" s="143"/>
      <c r="EYQ11" s="143"/>
      <c r="EYR11" s="143"/>
      <c r="EYS11" s="143"/>
      <c r="EYT11" s="143"/>
      <c r="EYU11" s="143"/>
      <c r="EYV11" s="143"/>
      <c r="EYW11" s="143"/>
      <c r="EYX11" s="143"/>
      <c r="EYY11" s="143"/>
      <c r="EYZ11" s="143"/>
      <c r="EZA11" s="143"/>
      <c r="EZB11" s="143"/>
      <c r="EZC11" s="143"/>
      <c r="EZD11" s="143"/>
      <c r="EZE11" s="143"/>
      <c r="EZF11" s="143"/>
      <c r="EZG11" s="143"/>
      <c r="EZH11" s="143"/>
      <c r="EZI11" s="143"/>
      <c r="EZJ11" s="143"/>
      <c r="EZK11" s="143"/>
      <c r="EZL11" s="143"/>
      <c r="EZM11" s="143"/>
      <c r="EZN11" s="143"/>
      <c r="EZO11" s="143"/>
      <c r="EZP11" s="143"/>
      <c r="EZQ11" s="143"/>
      <c r="EZR11" s="143"/>
      <c r="EZS11" s="143"/>
      <c r="EZT11" s="143"/>
      <c r="EZU11" s="143"/>
      <c r="EZV11" s="143"/>
      <c r="EZW11" s="143"/>
      <c r="EZX11" s="143"/>
      <c r="EZY11" s="143"/>
      <c r="EZZ11" s="143"/>
      <c r="FAA11" s="143"/>
      <c r="FAB11" s="143"/>
      <c r="FAC11" s="143"/>
      <c r="FAD11" s="143"/>
      <c r="FAE11" s="143"/>
      <c r="FAF11" s="143"/>
      <c r="FAG11" s="143"/>
      <c r="FAH11" s="143"/>
      <c r="FAI11" s="143"/>
      <c r="FAJ11" s="143"/>
      <c r="FAK11" s="143"/>
      <c r="FAL11" s="143"/>
      <c r="FAM11" s="143"/>
      <c r="FAN11" s="143"/>
      <c r="FAO11" s="143"/>
      <c r="FAP11" s="143"/>
      <c r="FAQ11" s="143"/>
      <c r="FAR11" s="143"/>
      <c r="FAS11" s="143"/>
      <c r="FAT11" s="143"/>
      <c r="FAU11" s="143"/>
      <c r="FAV11" s="143"/>
      <c r="FAW11" s="143"/>
      <c r="FAX11" s="143"/>
      <c r="FAY11" s="143"/>
      <c r="FAZ11" s="143"/>
      <c r="FBA11" s="143"/>
      <c r="FBB11" s="143"/>
      <c r="FBC11" s="143"/>
      <c r="FBD11" s="143"/>
      <c r="FBE11" s="143"/>
      <c r="FBF11" s="143"/>
      <c r="FBG11" s="143"/>
      <c r="FBH11" s="143"/>
      <c r="FBI11" s="143"/>
      <c r="FBJ11" s="143"/>
      <c r="FBK11" s="143"/>
      <c r="FBL11" s="143"/>
      <c r="FBM11" s="143"/>
      <c r="FBN11" s="143"/>
      <c r="FBO11" s="143"/>
      <c r="FBP11" s="143"/>
      <c r="FBQ11" s="143"/>
      <c r="FBR11" s="143"/>
      <c r="FBS11" s="143"/>
      <c r="FBT11" s="143"/>
      <c r="FBU11" s="143"/>
      <c r="FBV11" s="143"/>
      <c r="FBW11" s="143"/>
      <c r="FBX11" s="143"/>
      <c r="FBY11" s="143"/>
      <c r="FBZ11" s="143"/>
      <c r="FCA11" s="143"/>
      <c r="FCB11" s="143"/>
      <c r="FCC11" s="143"/>
      <c r="FCD11" s="143"/>
      <c r="FCE11" s="143"/>
      <c r="FCF11" s="143"/>
      <c r="FCG11" s="143"/>
      <c r="FCH11" s="143"/>
      <c r="FCI11" s="143"/>
      <c r="FCJ11" s="143"/>
      <c r="FCK11" s="143"/>
      <c r="FCL11" s="143"/>
      <c r="FCM11" s="143"/>
      <c r="FCN11" s="143"/>
      <c r="FCO11" s="143"/>
      <c r="FCP11" s="143"/>
      <c r="FCQ11" s="143"/>
      <c r="FCR11" s="143"/>
      <c r="FCS11" s="143"/>
      <c r="FCT11" s="143"/>
      <c r="FCU11" s="143"/>
      <c r="FCV11" s="143"/>
      <c r="FCW11" s="143"/>
      <c r="FCX11" s="143"/>
      <c r="FCY11" s="143"/>
      <c r="FCZ11" s="143"/>
      <c r="FDA11" s="143"/>
      <c r="FDB11" s="143"/>
      <c r="FDC11" s="143"/>
      <c r="FDD11" s="143"/>
      <c r="FDE11" s="143"/>
      <c r="FDF11" s="143"/>
      <c r="FDG11" s="143"/>
      <c r="FDH11" s="143"/>
      <c r="FDI11" s="143"/>
      <c r="FDJ11" s="143"/>
      <c r="FDK11" s="143"/>
      <c r="FDL11" s="143"/>
      <c r="FDM11" s="143"/>
      <c r="FDN11" s="143"/>
      <c r="FDO11" s="143"/>
      <c r="FDP11" s="143"/>
      <c r="FDQ11" s="143"/>
      <c r="FDR11" s="143"/>
      <c r="FDS11" s="143"/>
      <c r="FDT11" s="143"/>
      <c r="FDU11" s="143"/>
      <c r="FDV11" s="143"/>
      <c r="FDW11" s="143"/>
      <c r="FDX11" s="143"/>
      <c r="FDY11" s="143"/>
      <c r="FDZ11" s="143"/>
      <c r="FEA11" s="143"/>
      <c r="FEB11" s="143"/>
      <c r="FEC11" s="143"/>
      <c r="FED11" s="143"/>
      <c r="FEE11" s="143"/>
      <c r="FEF11" s="143"/>
      <c r="FEG11" s="143"/>
      <c r="FEH11" s="143"/>
      <c r="FEI11" s="143"/>
      <c r="FEJ11" s="143"/>
      <c r="FEK11" s="143"/>
      <c r="FEL11" s="143"/>
      <c r="FEM11" s="143"/>
      <c r="FEN11" s="143"/>
      <c r="FEO11" s="143"/>
      <c r="FEP11" s="143"/>
      <c r="FEQ11" s="143"/>
      <c r="FER11" s="143"/>
      <c r="FES11" s="143"/>
      <c r="FET11" s="143"/>
      <c r="FEU11" s="143"/>
      <c r="FEV11" s="143"/>
      <c r="FEW11" s="143"/>
      <c r="FEX11" s="143"/>
      <c r="FEY11" s="143"/>
      <c r="FEZ11" s="143"/>
      <c r="FFA11" s="143"/>
      <c r="FFB11" s="143"/>
      <c r="FFC11" s="143"/>
      <c r="FFD11" s="143"/>
      <c r="FFE11" s="143"/>
      <c r="FFF11" s="143"/>
      <c r="FFG11" s="143"/>
      <c r="FFH11" s="143"/>
      <c r="FFI11" s="143"/>
      <c r="FFJ11" s="143"/>
      <c r="FFK11" s="143"/>
      <c r="FFL11" s="143"/>
      <c r="FFM11" s="143"/>
      <c r="FFN11" s="143"/>
      <c r="FFO11" s="143"/>
      <c r="FFP11" s="143"/>
      <c r="FFQ11" s="143"/>
      <c r="FFR11" s="143"/>
      <c r="FFS11" s="143"/>
      <c r="FFT11" s="143"/>
      <c r="FFU11" s="143"/>
      <c r="FFV11" s="143"/>
      <c r="FFW11" s="143"/>
      <c r="FFX11" s="143"/>
      <c r="FFY11" s="143"/>
      <c r="FFZ11" s="143"/>
      <c r="FGA11" s="143"/>
      <c r="FGB11" s="143"/>
      <c r="FGC11" s="143"/>
      <c r="FGD11" s="143"/>
      <c r="FGE11" s="143"/>
      <c r="FGF11" s="143"/>
      <c r="FGG11" s="143"/>
      <c r="FGH11" s="143"/>
      <c r="FGI11" s="143"/>
      <c r="FGJ11" s="143"/>
      <c r="FGK11" s="143"/>
      <c r="FGL11" s="143"/>
      <c r="FGM11" s="143"/>
      <c r="FGN11" s="143"/>
      <c r="FGO11" s="143"/>
      <c r="FGP11" s="143"/>
      <c r="FGQ11" s="143"/>
      <c r="FGR11" s="143"/>
      <c r="FGS11" s="143"/>
      <c r="FGT11" s="143"/>
      <c r="FGU11" s="143"/>
      <c r="FGV11" s="143"/>
      <c r="FGW11" s="143"/>
      <c r="FGX11" s="143"/>
      <c r="FGY11" s="143"/>
      <c r="FGZ11" s="143"/>
      <c r="FHA11" s="143"/>
      <c r="FHB11" s="143"/>
      <c r="FHC11" s="143"/>
      <c r="FHD11" s="143"/>
      <c r="FHE11" s="143"/>
      <c r="FHF11" s="143"/>
      <c r="FHG11" s="143"/>
      <c r="FHH11" s="143"/>
      <c r="FHI11" s="143"/>
      <c r="FHJ11" s="143"/>
      <c r="FHK11" s="143"/>
      <c r="FHL11" s="143"/>
      <c r="FHM11" s="143"/>
      <c r="FHN11" s="143"/>
      <c r="FHO11" s="143"/>
      <c r="FHP11" s="143"/>
      <c r="FHQ11" s="143"/>
      <c r="FHR11" s="143"/>
      <c r="FHS11" s="143"/>
      <c r="FHT11" s="143"/>
      <c r="FHU11" s="143"/>
      <c r="FHV11" s="143"/>
      <c r="FHW11" s="143"/>
      <c r="FHX11" s="143"/>
      <c r="FHY11" s="143"/>
      <c r="FHZ11" s="143"/>
      <c r="FIA11" s="143"/>
      <c r="FIB11" s="143"/>
      <c r="FIC11" s="143"/>
      <c r="FID11" s="143"/>
      <c r="FIE11" s="143"/>
      <c r="FIF11" s="143"/>
      <c r="FIG11" s="143"/>
      <c r="FIH11" s="143"/>
      <c r="FII11" s="143"/>
      <c r="FIJ11" s="143"/>
      <c r="FIK11" s="143"/>
      <c r="FIL11" s="143"/>
      <c r="FIM11" s="143"/>
      <c r="FIN11" s="143"/>
      <c r="FIO11" s="143"/>
      <c r="FIP11" s="143"/>
      <c r="FIQ11" s="143"/>
      <c r="FIR11" s="143"/>
      <c r="FIS11" s="143"/>
      <c r="FIT11" s="143"/>
      <c r="FIU11" s="143"/>
      <c r="FIV11" s="143"/>
      <c r="FIW11" s="143"/>
      <c r="FIX11" s="143"/>
      <c r="FIY11" s="143"/>
      <c r="FIZ11" s="143"/>
      <c r="FJA11" s="143"/>
      <c r="FJB11" s="143"/>
      <c r="FJC11" s="143"/>
      <c r="FJD11" s="143"/>
      <c r="FJE11" s="143"/>
      <c r="FJF11" s="143"/>
      <c r="FJG11" s="143"/>
      <c r="FJH11" s="143"/>
      <c r="FJI11" s="143"/>
      <c r="FJJ11" s="143"/>
      <c r="FJK11" s="143"/>
      <c r="FJL11" s="143"/>
      <c r="FJM11" s="143"/>
      <c r="FJN11" s="143"/>
      <c r="FJO11" s="143"/>
      <c r="FJP11" s="143"/>
      <c r="FJQ11" s="143"/>
      <c r="FJR11" s="143"/>
      <c r="FJS11" s="143"/>
      <c r="FJT11" s="143"/>
      <c r="FJU11" s="143"/>
      <c r="FJV11" s="143"/>
      <c r="FJW11" s="143"/>
      <c r="FJX11" s="143"/>
      <c r="FJY11" s="143"/>
      <c r="FJZ11" s="143"/>
      <c r="FKA11" s="143"/>
      <c r="FKB11" s="143"/>
      <c r="FKC11" s="143"/>
      <c r="FKD11" s="143"/>
      <c r="FKE11" s="143"/>
      <c r="FKF11" s="143"/>
      <c r="FKG11" s="143"/>
      <c r="FKH11" s="143"/>
      <c r="FKI11" s="143"/>
      <c r="FKJ11" s="143"/>
      <c r="FKK11" s="143"/>
      <c r="FKL11" s="143"/>
      <c r="FKM11" s="143"/>
      <c r="FKN11" s="143"/>
      <c r="FKO11" s="143"/>
      <c r="FKP11" s="143"/>
      <c r="FKQ11" s="143"/>
      <c r="FKR11" s="143"/>
      <c r="FKS11" s="143"/>
      <c r="FKT11" s="143"/>
      <c r="FKU11" s="143"/>
      <c r="FKV11" s="143"/>
      <c r="FKW11" s="143"/>
      <c r="FKX11" s="143"/>
      <c r="FKY11" s="143"/>
      <c r="FKZ11" s="143"/>
      <c r="FLA11" s="143"/>
      <c r="FLB11" s="143"/>
      <c r="FLC11" s="143"/>
      <c r="FLD11" s="143"/>
      <c r="FLE11" s="143"/>
      <c r="FLF11" s="143"/>
      <c r="FLG11" s="143"/>
      <c r="FLH11" s="143"/>
      <c r="FLI11" s="143"/>
      <c r="FLJ11" s="143"/>
      <c r="FLK11" s="143"/>
      <c r="FLL11" s="143"/>
      <c r="FLM11" s="143"/>
      <c r="FLN11" s="143"/>
      <c r="FLO11" s="143"/>
      <c r="FLP11" s="143"/>
      <c r="FLQ11" s="143"/>
      <c r="FLR11" s="143"/>
      <c r="FLS11" s="143"/>
      <c r="FLT11" s="143"/>
      <c r="FLU11" s="143"/>
      <c r="FLV11" s="143"/>
      <c r="FLW11" s="143"/>
      <c r="FLX11" s="143"/>
      <c r="FLY11" s="143"/>
      <c r="FLZ11" s="143"/>
      <c r="FMA11" s="143"/>
      <c r="FMB11" s="143"/>
      <c r="FMC11" s="143"/>
      <c r="FMD11" s="143"/>
      <c r="FME11" s="143"/>
      <c r="FMF11" s="143"/>
      <c r="FMG11" s="143"/>
      <c r="FMH11" s="143"/>
      <c r="FMI11" s="143"/>
      <c r="FMJ11" s="143"/>
      <c r="FMK11" s="143"/>
      <c r="FML11" s="143"/>
      <c r="FMM11" s="143"/>
      <c r="FMN11" s="143"/>
      <c r="FMO11" s="143"/>
      <c r="FMP11" s="143"/>
      <c r="FMQ11" s="143"/>
      <c r="FMR11" s="143"/>
      <c r="FMS11" s="143"/>
      <c r="FMT11" s="143"/>
      <c r="FMU11" s="143"/>
      <c r="FMV11" s="143"/>
      <c r="FMW11" s="143"/>
      <c r="FMX11" s="143"/>
      <c r="FMY11" s="143"/>
      <c r="FMZ11" s="143"/>
      <c r="FNA11" s="143"/>
      <c r="FNB11" s="143"/>
      <c r="FNC11" s="143"/>
      <c r="FND11" s="143"/>
      <c r="FNE11" s="143"/>
      <c r="FNF11" s="143"/>
      <c r="FNG11" s="143"/>
      <c r="FNH11" s="143"/>
      <c r="FNI11" s="143"/>
      <c r="FNJ11" s="143"/>
      <c r="FNK11" s="143"/>
      <c r="FNL11" s="143"/>
      <c r="FNM11" s="143"/>
      <c r="FNN11" s="143"/>
      <c r="FNO11" s="143"/>
      <c r="FNP11" s="143"/>
      <c r="FNQ11" s="143"/>
      <c r="FNR11" s="143"/>
      <c r="FNS11" s="143"/>
      <c r="FNT11" s="143"/>
      <c r="FNU11" s="143"/>
      <c r="FNV11" s="143"/>
      <c r="FNW11" s="143"/>
      <c r="FNX11" s="143"/>
      <c r="FNY11" s="143"/>
      <c r="FNZ11" s="143"/>
      <c r="FOA11" s="143"/>
      <c r="FOB11" s="143"/>
      <c r="FOC11" s="143"/>
      <c r="FOD11" s="143"/>
      <c r="FOE11" s="143"/>
      <c r="FOF11" s="143"/>
      <c r="FOG11" s="143"/>
      <c r="FOH11" s="143"/>
      <c r="FOI11" s="143"/>
      <c r="FOJ11" s="143"/>
      <c r="FOK11" s="143"/>
      <c r="FOL11" s="143"/>
      <c r="FOM11" s="143"/>
      <c r="FON11" s="143"/>
      <c r="FOO11" s="143"/>
      <c r="FOP11" s="143"/>
      <c r="FOQ11" s="143"/>
      <c r="FOR11" s="143"/>
      <c r="FOS11" s="143"/>
      <c r="FOT11" s="143"/>
      <c r="FOU11" s="143"/>
      <c r="FOV11" s="143"/>
      <c r="FOW11" s="143"/>
      <c r="FOX11" s="143"/>
      <c r="FOY11" s="143"/>
      <c r="FOZ11" s="143"/>
      <c r="FPA11" s="143"/>
      <c r="FPB11" s="143"/>
      <c r="FPC11" s="143"/>
      <c r="FPD11" s="143"/>
      <c r="FPE11" s="143"/>
      <c r="FPF11" s="143"/>
      <c r="FPG11" s="143"/>
      <c r="FPH11" s="143"/>
      <c r="FPI11" s="143"/>
      <c r="FPJ11" s="143"/>
      <c r="FPK11" s="143"/>
      <c r="FPL11" s="143"/>
      <c r="FPM11" s="143"/>
      <c r="FPN11" s="143"/>
      <c r="FPO11" s="143"/>
      <c r="FPP11" s="143"/>
      <c r="FPQ11" s="143"/>
      <c r="FPR11" s="143"/>
      <c r="FPS11" s="143"/>
      <c r="FPT11" s="143"/>
      <c r="FPU11" s="143"/>
      <c r="FPV11" s="143"/>
      <c r="FPW11" s="143"/>
      <c r="FPX11" s="143"/>
      <c r="FPY11" s="143"/>
      <c r="FPZ11" s="143"/>
      <c r="FQA11" s="143"/>
      <c r="FQB11" s="143"/>
      <c r="FQC11" s="143"/>
      <c r="FQD11" s="143"/>
      <c r="FQE11" s="143"/>
      <c r="FQF11" s="143"/>
      <c r="FQG11" s="143"/>
      <c r="FQH11" s="143"/>
      <c r="FQI11" s="143"/>
      <c r="FQJ11" s="143"/>
      <c r="FQK11" s="143"/>
      <c r="FQL11" s="143"/>
      <c r="FQM11" s="143"/>
      <c r="FQN11" s="143"/>
      <c r="FQO11" s="143"/>
      <c r="FQP11" s="143"/>
      <c r="FQQ11" s="143"/>
      <c r="FQR11" s="143"/>
      <c r="FQS11" s="143"/>
      <c r="FQT11" s="143"/>
      <c r="FQU11" s="143"/>
      <c r="FQV11" s="143"/>
      <c r="FQW11" s="143"/>
      <c r="FQX11" s="143"/>
      <c r="FQY11" s="143"/>
      <c r="FQZ11" s="143"/>
      <c r="FRA11" s="143"/>
      <c r="FRB11" s="143"/>
      <c r="FRC11" s="143"/>
      <c r="FRD11" s="143"/>
      <c r="FRE11" s="143"/>
      <c r="FRF11" s="143"/>
      <c r="FRG11" s="143"/>
      <c r="FRH11" s="143"/>
      <c r="FRI11" s="143"/>
      <c r="FRJ11" s="143"/>
      <c r="FRK11" s="143"/>
      <c r="FRL11" s="143"/>
      <c r="FRM11" s="143"/>
      <c r="FRN11" s="143"/>
      <c r="FRO11" s="143"/>
      <c r="FRP11" s="143"/>
      <c r="FRQ11" s="143"/>
      <c r="FRR11" s="143"/>
      <c r="FRS11" s="143"/>
      <c r="FRT11" s="143"/>
      <c r="FRU11" s="143"/>
      <c r="FRV11" s="143"/>
      <c r="FRW11" s="143"/>
      <c r="FRX11" s="143"/>
      <c r="FRY11" s="143"/>
      <c r="FRZ11" s="143"/>
      <c r="FSA11" s="143"/>
      <c r="FSB11" s="143"/>
      <c r="FSC11" s="143"/>
      <c r="FSD11" s="143"/>
      <c r="FSE11" s="143"/>
      <c r="FSF11" s="143"/>
      <c r="FSG11" s="143"/>
      <c r="FSH11" s="143"/>
      <c r="FSI11" s="143"/>
      <c r="FSJ11" s="143"/>
      <c r="FSK11" s="143"/>
      <c r="FSL11" s="143"/>
      <c r="FSM11" s="143"/>
      <c r="FSN11" s="143"/>
      <c r="FSO11" s="143"/>
      <c r="FSP11" s="143"/>
      <c r="FSQ11" s="143"/>
      <c r="FSR11" s="143"/>
      <c r="FSS11" s="143"/>
      <c r="FST11" s="143"/>
      <c r="FSU11" s="143"/>
      <c r="FSV11" s="143"/>
      <c r="FSW11" s="143"/>
      <c r="FSX11" s="143"/>
      <c r="FSY11" s="143"/>
      <c r="FSZ11" s="143"/>
      <c r="FTA11" s="143"/>
      <c r="FTB11" s="143"/>
      <c r="FTC11" s="143"/>
      <c r="FTD11" s="143"/>
      <c r="FTE11" s="143"/>
      <c r="FTF11" s="143"/>
      <c r="FTG11" s="143"/>
      <c r="FTH11" s="143"/>
      <c r="FTI11" s="143"/>
      <c r="FTJ11" s="143"/>
      <c r="FTK11" s="143"/>
      <c r="FTL11" s="143"/>
      <c r="FTM11" s="143"/>
      <c r="FTN11" s="143"/>
      <c r="FTO11" s="143"/>
      <c r="FTP11" s="143"/>
      <c r="FTQ11" s="143"/>
      <c r="FTR11" s="143"/>
      <c r="FTS11" s="143"/>
      <c r="FTT11" s="143"/>
      <c r="FTU11" s="143"/>
      <c r="FTV11" s="143"/>
      <c r="FTW11" s="143"/>
      <c r="FTX11" s="143"/>
      <c r="FTY11" s="143"/>
      <c r="FTZ11" s="143"/>
      <c r="FUA11" s="143"/>
      <c r="FUB11" s="143"/>
      <c r="FUC11" s="143"/>
      <c r="FUD11" s="143"/>
      <c r="FUE11" s="143"/>
      <c r="FUF11" s="143"/>
      <c r="FUG11" s="143"/>
      <c r="FUH11" s="143"/>
      <c r="FUI11" s="143"/>
      <c r="FUJ11" s="143"/>
      <c r="FUK11" s="143"/>
      <c r="FUL11" s="143"/>
      <c r="FUM11" s="143"/>
      <c r="FUN11" s="143"/>
      <c r="FUO11" s="143"/>
      <c r="FUP11" s="143"/>
      <c r="FUQ11" s="143"/>
      <c r="FUR11" s="143"/>
      <c r="FUS11" s="143"/>
      <c r="FUT11" s="143"/>
      <c r="FUU11" s="143"/>
      <c r="FUV11" s="143"/>
      <c r="FUW11" s="143"/>
      <c r="FUX11" s="143"/>
      <c r="FUY11" s="143"/>
      <c r="FUZ11" s="143"/>
      <c r="FVA11" s="143"/>
      <c r="FVB11" s="143"/>
      <c r="FVC11" s="143"/>
      <c r="FVD11" s="143"/>
      <c r="FVE11" s="143"/>
      <c r="FVF11" s="143"/>
      <c r="FVG11" s="143"/>
      <c r="FVH11" s="143"/>
      <c r="FVI11" s="143"/>
      <c r="FVJ11" s="143"/>
      <c r="FVK11" s="143"/>
      <c r="FVL11" s="143"/>
      <c r="FVM11" s="143"/>
      <c r="FVN11" s="143"/>
      <c r="FVO11" s="143"/>
      <c r="FVP11" s="143"/>
      <c r="FVQ11" s="143"/>
      <c r="FVR11" s="143"/>
      <c r="FVS11" s="143"/>
      <c r="FVT11" s="143"/>
      <c r="FVU11" s="143"/>
      <c r="FVV11" s="143"/>
      <c r="FVW11" s="143"/>
      <c r="FVX11" s="143"/>
      <c r="FVY11" s="143"/>
      <c r="FVZ11" s="143"/>
      <c r="FWA11" s="143"/>
      <c r="FWB11" s="143"/>
      <c r="FWC11" s="143"/>
      <c r="FWD11" s="143"/>
      <c r="FWE11" s="143"/>
      <c r="FWF11" s="143"/>
      <c r="FWG11" s="143"/>
      <c r="FWH11" s="143"/>
      <c r="FWI11" s="143"/>
      <c r="FWJ11" s="143"/>
      <c r="FWK11" s="143"/>
      <c r="FWL11" s="143"/>
      <c r="FWM11" s="143"/>
      <c r="FWN11" s="143"/>
      <c r="FWO11" s="143"/>
      <c r="FWP11" s="143"/>
      <c r="FWQ11" s="143"/>
      <c r="FWR11" s="143"/>
      <c r="FWS11" s="143"/>
      <c r="FWT11" s="143"/>
      <c r="FWU11" s="143"/>
      <c r="FWV11" s="143"/>
      <c r="FWW11" s="143"/>
      <c r="FWX11" s="143"/>
      <c r="FWY11" s="143"/>
      <c r="FWZ11" s="143"/>
      <c r="FXA11" s="143"/>
      <c r="FXB11" s="143"/>
      <c r="FXC11" s="143"/>
      <c r="FXD11" s="143"/>
      <c r="FXE11" s="143"/>
      <c r="FXF11" s="143"/>
      <c r="FXG11" s="143"/>
      <c r="FXH11" s="143"/>
      <c r="FXI11" s="143"/>
      <c r="FXJ11" s="143"/>
      <c r="FXK11" s="143"/>
      <c r="FXL11" s="143"/>
      <c r="FXM11" s="143"/>
      <c r="FXN11" s="143"/>
      <c r="FXO11" s="143"/>
      <c r="FXP11" s="143"/>
      <c r="FXQ11" s="143"/>
      <c r="FXR11" s="143"/>
      <c r="FXS11" s="143"/>
      <c r="FXT11" s="143"/>
      <c r="FXU11" s="143"/>
      <c r="FXV11" s="143"/>
      <c r="FXW11" s="143"/>
      <c r="FXX11" s="143"/>
      <c r="FXY11" s="143"/>
      <c r="FXZ11" s="143"/>
      <c r="FYA11" s="143"/>
      <c r="FYB11" s="143"/>
      <c r="FYC11" s="143"/>
      <c r="FYD11" s="143"/>
      <c r="FYE11" s="143"/>
      <c r="FYF11" s="143"/>
      <c r="FYG11" s="143"/>
      <c r="FYH11" s="143"/>
      <c r="FYI11" s="143"/>
      <c r="FYJ11" s="143"/>
      <c r="FYK11" s="143"/>
      <c r="FYL11" s="143"/>
      <c r="FYM11" s="143"/>
      <c r="FYN11" s="143"/>
      <c r="FYO11" s="143"/>
      <c r="FYP11" s="143"/>
      <c r="FYQ11" s="143"/>
      <c r="FYR11" s="143"/>
      <c r="FYS11" s="143"/>
      <c r="FYT11" s="143"/>
      <c r="FYU11" s="143"/>
      <c r="FYV11" s="143"/>
      <c r="FYW11" s="143"/>
      <c r="FYX11" s="143"/>
      <c r="FYY11" s="143"/>
      <c r="FYZ11" s="143"/>
      <c r="FZA11" s="143"/>
      <c r="FZB11" s="143"/>
      <c r="FZC11" s="143"/>
      <c r="FZD11" s="143"/>
      <c r="FZE11" s="143"/>
      <c r="FZF11" s="143"/>
      <c r="FZG11" s="143"/>
      <c r="FZH11" s="143"/>
      <c r="FZI11" s="143"/>
      <c r="FZJ11" s="143"/>
      <c r="FZK11" s="143"/>
      <c r="FZL11" s="143"/>
      <c r="FZM11" s="143"/>
      <c r="FZN11" s="143"/>
      <c r="FZO11" s="143"/>
      <c r="FZP11" s="143"/>
      <c r="FZQ11" s="143"/>
      <c r="FZR11" s="143"/>
      <c r="FZS11" s="143"/>
      <c r="FZT11" s="143"/>
      <c r="FZU11" s="143"/>
      <c r="FZV11" s="143"/>
      <c r="FZW11" s="143"/>
      <c r="FZX11" s="143"/>
      <c r="FZY11" s="143"/>
      <c r="FZZ11" s="143"/>
      <c r="GAA11" s="143"/>
      <c r="GAB11" s="143"/>
      <c r="GAC11" s="143"/>
      <c r="GAD11" s="143"/>
      <c r="GAE11" s="143"/>
      <c r="GAF11" s="143"/>
      <c r="GAG11" s="143"/>
      <c r="GAH11" s="143"/>
      <c r="GAI11" s="143"/>
      <c r="GAJ11" s="143"/>
      <c r="GAK11" s="143"/>
      <c r="GAL11" s="143"/>
      <c r="GAM11" s="143"/>
      <c r="GAN11" s="143"/>
      <c r="GAO11" s="143"/>
      <c r="GAP11" s="143"/>
      <c r="GAQ11" s="143"/>
      <c r="GAR11" s="143"/>
      <c r="GAS11" s="143"/>
      <c r="GAT11" s="143"/>
      <c r="GAU11" s="143"/>
      <c r="GAV11" s="143"/>
      <c r="GAW11" s="143"/>
      <c r="GAX11" s="143"/>
      <c r="GAY11" s="143"/>
      <c r="GAZ11" s="143"/>
      <c r="GBA11" s="143"/>
      <c r="GBB11" s="143"/>
      <c r="GBC11" s="143"/>
      <c r="GBD11" s="143"/>
      <c r="GBE11" s="143"/>
      <c r="GBF11" s="143"/>
      <c r="GBG11" s="143"/>
      <c r="GBH11" s="143"/>
      <c r="GBI11" s="143"/>
      <c r="GBJ11" s="143"/>
      <c r="GBK11" s="143"/>
      <c r="GBL11" s="143"/>
      <c r="GBM11" s="143"/>
      <c r="GBN11" s="143"/>
      <c r="GBO11" s="143"/>
      <c r="GBP11" s="143"/>
      <c r="GBQ11" s="143"/>
      <c r="GBR11" s="143"/>
      <c r="GBS11" s="143"/>
      <c r="GBT11" s="143"/>
      <c r="GBU11" s="143"/>
      <c r="GBV11" s="143"/>
      <c r="GBW11" s="143"/>
      <c r="GBX11" s="143"/>
      <c r="GBY11" s="143"/>
      <c r="GBZ11" s="143"/>
      <c r="GCA11" s="143"/>
      <c r="GCB11" s="143"/>
      <c r="GCC11" s="143"/>
      <c r="GCD11" s="143"/>
      <c r="GCE11" s="143"/>
      <c r="GCF11" s="143"/>
      <c r="GCG11" s="143"/>
      <c r="GCH11" s="143"/>
      <c r="GCI11" s="143"/>
      <c r="GCJ11" s="143"/>
      <c r="GCK11" s="143"/>
      <c r="GCL11" s="143"/>
      <c r="GCM11" s="143"/>
      <c r="GCN11" s="143"/>
      <c r="GCO11" s="143"/>
      <c r="GCP11" s="143"/>
      <c r="GCQ11" s="143"/>
      <c r="GCR11" s="143"/>
      <c r="GCS11" s="143"/>
      <c r="GCT11" s="143"/>
      <c r="GCU11" s="143"/>
      <c r="GCV11" s="143"/>
      <c r="GCW11" s="143"/>
      <c r="GCX11" s="143"/>
      <c r="GCY11" s="143"/>
      <c r="GCZ11" s="143"/>
      <c r="GDA11" s="143"/>
      <c r="GDB11" s="143"/>
      <c r="GDC11" s="143"/>
      <c r="GDD11" s="143"/>
      <c r="GDE11" s="143"/>
      <c r="GDF11" s="143"/>
      <c r="GDG11" s="143"/>
      <c r="GDH11" s="143"/>
      <c r="GDI11" s="143"/>
      <c r="GDJ11" s="143"/>
      <c r="GDK11" s="143"/>
      <c r="GDL11" s="143"/>
      <c r="GDM11" s="143"/>
      <c r="GDN11" s="143"/>
      <c r="GDO11" s="143"/>
      <c r="GDP11" s="143"/>
      <c r="GDQ11" s="143"/>
      <c r="GDR11" s="143"/>
      <c r="GDS11" s="143"/>
      <c r="GDT11" s="143"/>
      <c r="GDU11" s="143"/>
      <c r="GDV11" s="143"/>
      <c r="GDW11" s="143"/>
      <c r="GDX11" s="143"/>
      <c r="GDY11" s="143"/>
      <c r="GDZ11" s="143"/>
      <c r="GEA11" s="143"/>
      <c r="GEB11" s="143"/>
      <c r="GEC11" s="143"/>
      <c r="GED11" s="143"/>
      <c r="GEE11" s="143"/>
      <c r="GEF11" s="143"/>
      <c r="GEG11" s="143"/>
      <c r="GEH11" s="143"/>
      <c r="GEI11" s="143"/>
      <c r="GEJ11" s="143"/>
      <c r="GEK11" s="143"/>
      <c r="GEL11" s="143"/>
      <c r="GEM11" s="143"/>
      <c r="GEN11" s="143"/>
      <c r="GEO11" s="143"/>
      <c r="GEP11" s="143"/>
      <c r="GEQ11" s="143"/>
      <c r="GER11" s="143"/>
      <c r="GES11" s="143"/>
      <c r="GET11" s="143"/>
      <c r="GEU11" s="143"/>
      <c r="GEV11" s="143"/>
      <c r="GEW11" s="143"/>
      <c r="GEX11" s="143"/>
      <c r="GEY11" s="143"/>
      <c r="GEZ11" s="143"/>
      <c r="GFA11" s="143"/>
      <c r="GFB11" s="143"/>
      <c r="GFC11" s="143"/>
      <c r="GFD11" s="143"/>
      <c r="GFE11" s="143"/>
      <c r="GFF11" s="143"/>
      <c r="GFG11" s="143"/>
      <c r="GFH11" s="143"/>
      <c r="GFI11" s="143"/>
      <c r="GFJ11" s="143"/>
      <c r="GFK11" s="143"/>
      <c r="GFL11" s="143"/>
      <c r="GFM11" s="143"/>
      <c r="GFN11" s="143"/>
      <c r="GFO11" s="143"/>
      <c r="GFP11" s="143"/>
      <c r="GFQ11" s="143"/>
      <c r="GFR11" s="143"/>
      <c r="GFS11" s="143"/>
      <c r="GFT11" s="143"/>
      <c r="GFU11" s="143"/>
      <c r="GFV11" s="143"/>
      <c r="GFW11" s="143"/>
      <c r="GFX11" s="143"/>
      <c r="GFY11" s="143"/>
      <c r="GFZ11" s="143"/>
      <c r="GGA11" s="143"/>
      <c r="GGB11" s="143"/>
      <c r="GGC11" s="143"/>
      <c r="GGD11" s="143"/>
      <c r="GGE11" s="143"/>
      <c r="GGF11" s="143"/>
      <c r="GGG11" s="143"/>
      <c r="GGH11" s="143"/>
      <c r="GGI11" s="143"/>
      <c r="GGJ11" s="143"/>
      <c r="GGK11" s="143"/>
      <c r="GGL11" s="143"/>
      <c r="GGM11" s="143"/>
      <c r="GGN11" s="143"/>
      <c r="GGO11" s="143"/>
      <c r="GGP11" s="143"/>
      <c r="GGQ11" s="143"/>
      <c r="GGR11" s="143"/>
      <c r="GGS11" s="143"/>
      <c r="GGT11" s="143"/>
      <c r="GGU11" s="143"/>
      <c r="GGV11" s="143"/>
      <c r="GGW11" s="143"/>
      <c r="GGX11" s="143"/>
      <c r="GGY11" s="143"/>
      <c r="GGZ11" s="143"/>
      <c r="GHA11" s="143"/>
      <c r="GHB11" s="143"/>
      <c r="GHC11" s="143"/>
      <c r="GHD11" s="143"/>
      <c r="GHE11" s="143"/>
      <c r="GHF11" s="143"/>
      <c r="GHG11" s="143"/>
      <c r="GHH11" s="143"/>
      <c r="GHI11" s="143"/>
      <c r="GHJ11" s="143"/>
      <c r="GHK11" s="143"/>
      <c r="GHL11" s="143"/>
      <c r="GHM11" s="143"/>
      <c r="GHN11" s="143"/>
      <c r="GHO11" s="143"/>
      <c r="GHP11" s="143"/>
      <c r="GHQ11" s="143"/>
      <c r="GHR11" s="143"/>
      <c r="GHS11" s="143"/>
      <c r="GHT11" s="143"/>
      <c r="GHU11" s="143"/>
      <c r="GHV11" s="143"/>
      <c r="GHW11" s="143"/>
      <c r="GHX11" s="143"/>
      <c r="GHY11" s="143"/>
      <c r="GHZ11" s="143"/>
      <c r="GIA11" s="143"/>
      <c r="GIB11" s="143"/>
      <c r="GIC11" s="143"/>
      <c r="GID11" s="143"/>
      <c r="GIE11" s="143"/>
      <c r="GIF11" s="143"/>
      <c r="GIG11" s="143"/>
      <c r="GIH11" s="143"/>
      <c r="GII11" s="143"/>
      <c r="GIJ11" s="143"/>
      <c r="GIK11" s="143"/>
      <c r="GIL11" s="143"/>
      <c r="GIM11" s="143"/>
      <c r="GIN11" s="143"/>
      <c r="GIO11" s="143"/>
      <c r="GIP11" s="143"/>
      <c r="GIQ11" s="143"/>
      <c r="GIR11" s="143"/>
      <c r="GIS11" s="143"/>
      <c r="GIT11" s="143"/>
      <c r="GIU11" s="143"/>
      <c r="GIV11" s="143"/>
      <c r="GIW11" s="143"/>
      <c r="GIX11" s="143"/>
      <c r="GIY11" s="143"/>
      <c r="GIZ11" s="143"/>
      <c r="GJA11" s="143"/>
      <c r="GJB11" s="143"/>
      <c r="GJC11" s="143"/>
      <c r="GJD11" s="143"/>
      <c r="GJE11" s="143"/>
      <c r="GJF11" s="143"/>
      <c r="GJG11" s="143"/>
      <c r="GJH11" s="143"/>
      <c r="GJI11" s="143"/>
      <c r="GJJ11" s="143"/>
      <c r="GJK11" s="143"/>
      <c r="GJL11" s="143"/>
      <c r="GJM11" s="143"/>
      <c r="GJN11" s="143"/>
      <c r="GJO11" s="143"/>
      <c r="GJP11" s="143"/>
      <c r="GJQ11" s="143"/>
      <c r="GJR11" s="143"/>
      <c r="GJS11" s="143"/>
      <c r="GJT11" s="143"/>
      <c r="GJU11" s="143"/>
      <c r="GJV11" s="143"/>
      <c r="GJW11" s="143"/>
      <c r="GJX11" s="143"/>
      <c r="GJY11" s="143"/>
      <c r="GJZ11" s="143"/>
      <c r="GKA11" s="143"/>
      <c r="GKB11" s="143"/>
      <c r="GKC11" s="143"/>
      <c r="GKD11" s="143"/>
      <c r="GKE11" s="143"/>
      <c r="GKF11" s="143"/>
      <c r="GKG11" s="143"/>
      <c r="GKH11" s="143"/>
      <c r="GKI11" s="143"/>
      <c r="GKJ11" s="143"/>
      <c r="GKK11" s="143"/>
      <c r="GKL11" s="143"/>
      <c r="GKM11" s="143"/>
      <c r="GKN11" s="143"/>
      <c r="GKO11" s="143"/>
      <c r="GKP11" s="143"/>
      <c r="GKQ11" s="143"/>
      <c r="GKR11" s="143"/>
      <c r="GKS11" s="143"/>
      <c r="GKT11" s="143"/>
      <c r="GKU11" s="143"/>
      <c r="GKV11" s="143"/>
      <c r="GKW11" s="143"/>
      <c r="GKX11" s="143"/>
      <c r="GKY11" s="143"/>
      <c r="GKZ11" s="143"/>
      <c r="GLA11" s="143"/>
      <c r="GLB11" s="143"/>
      <c r="GLC11" s="143"/>
      <c r="GLD11" s="143"/>
      <c r="GLE11" s="143"/>
      <c r="GLF11" s="143"/>
      <c r="GLG11" s="143"/>
      <c r="GLH11" s="143"/>
      <c r="GLI11" s="143"/>
      <c r="GLJ11" s="143"/>
      <c r="GLK11" s="143"/>
      <c r="GLL11" s="143"/>
      <c r="GLM11" s="143"/>
      <c r="GLN11" s="143"/>
      <c r="GLO11" s="143"/>
      <c r="GLP11" s="143"/>
      <c r="GLQ11" s="143"/>
      <c r="GLR11" s="143"/>
      <c r="GLS11" s="143"/>
      <c r="GLT11" s="143"/>
      <c r="GLU11" s="143"/>
      <c r="GLV11" s="143"/>
      <c r="GLW11" s="143"/>
      <c r="GLX11" s="143"/>
      <c r="GLY11" s="143"/>
      <c r="GLZ11" s="143"/>
      <c r="GMA11" s="143"/>
      <c r="GMB11" s="143"/>
      <c r="GMC11" s="143"/>
      <c r="GMD11" s="143"/>
      <c r="GME11" s="143"/>
      <c r="GMF11" s="143"/>
      <c r="GMG11" s="143"/>
      <c r="GMH11" s="143"/>
      <c r="GMI11" s="143"/>
      <c r="GMJ11" s="143"/>
      <c r="GMK11" s="143"/>
      <c r="GML11" s="143"/>
      <c r="GMM11" s="143"/>
      <c r="GMN11" s="143"/>
      <c r="GMO11" s="143"/>
      <c r="GMP11" s="143"/>
      <c r="GMQ11" s="143"/>
      <c r="GMR11" s="143"/>
      <c r="GMS11" s="143"/>
      <c r="GMT11" s="143"/>
      <c r="GMU11" s="143"/>
      <c r="GMV11" s="143"/>
      <c r="GMW11" s="143"/>
      <c r="GMX11" s="143"/>
      <c r="GMY11" s="143"/>
      <c r="GMZ11" s="143"/>
      <c r="GNA11" s="143"/>
      <c r="GNB11" s="143"/>
      <c r="GNC11" s="143"/>
      <c r="GND11" s="143"/>
      <c r="GNE11" s="143"/>
      <c r="GNF11" s="143"/>
      <c r="GNG11" s="143"/>
      <c r="GNH11" s="143"/>
      <c r="GNI11" s="143"/>
      <c r="GNJ11" s="143"/>
      <c r="GNK11" s="143"/>
      <c r="GNL11" s="143"/>
      <c r="GNM11" s="143"/>
      <c r="GNN11" s="143"/>
      <c r="GNO11" s="143"/>
      <c r="GNP11" s="143"/>
      <c r="GNQ11" s="143"/>
      <c r="GNR11" s="143"/>
      <c r="GNS11" s="143"/>
      <c r="GNT11" s="143"/>
      <c r="GNU11" s="143"/>
      <c r="GNV11" s="143"/>
      <c r="GNW11" s="143"/>
      <c r="GNX11" s="143"/>
      <c r="GNY11" s="143"/>
      <c r="GNZ11" s="143"/>
      <c r="GOA11" s="143"/>
      <c r="GOB11" s="143"/>
      <c r="GOC11" s="143"/>
      <c r="GOD11" s="143"/>
      <c r="GOE11" s="143"/>
      <c r="GOF11" s="143"/>
      <c r="GOG11" s="143"/>
      <c r="GOH11" s="143"/>
      <c r="GOI11" s="143"/>
      <c r="GOJ11" s="143"/>
      <c r="GOK11" s="143"/>
      <c r="GOL11" s="143"/>
      <c r="GOM11" s="143"/>
      <c r="GON11" s="143"/>
      <c r="GOO11" s="143"/>
      <c r="GOP11" s="143"/>
      <c r="GOQ11" s="143"/>
      <c r="GOR11" s="143"/>
      <c r="GOS11" s="143"/>
      <c r="GOT11" s="143"/>
      <c r="GOU11" s="143"/>
      <c r="GOV11" s="143"/>
      <c r="GOW11" s="143"/>
      <c r="GOX11" s="143"/>
      <c r="GOY11" s="143"/>
      <c r="GOZ11" s="143"/>
      <c r="GPA11" s="143"/>
      <c r="GPB11" s="143"/>
      <c r="GPC11" s="143"/>
      <c r="GPD11" s="143"/>
      <c r="GPE11" s="143"/>
      <c r="GPF11" s="143"/>
      <c r="GPG11" s="143"/>
      <c r="GPH11" s="143"/>
      <c r="GPI11" s="143"/>
      <c r="GPJ11" s="143"/>
      <c r="GPK11" s="143"/>
      <c r="GPL11" s="143"/>
      <c r="GPM11" s="143"/>
      <c r="GPN11" s="143"/>
      <c r="GPO11" s="143"/>
      <c r="GPP11" s="143"/>
      <c r="GPQ11" s="143"/>
      <c r="GPR11" s="143"/>
      <c r="GPS11" s="143"/>
      <c r="GPT11" s="143"/>
      <c r="GPU11" s="143"/>
      <c r="GPV11" s="143"/>
      <c r="GPW11" s="143"/>
      <c r="GPX11" s="143"/>
      <c r="GPY11" s="143"/>
      <c r="GPZ11" s="143"/>
      <c r="GQA11" s="143"/>
      <c r="GQB11" s="143"/>
      <c r="GQC11" s="143"/>
      <c r="GQD11" s="143"/>
      <c r="GQE11" s="143"/>
      <c r="GQF11" s="143"/>
      <c r="GQG11" s="143"/>
      <c r="GQH11" s="143"/>
      <c r="GQI11" s="143"/>
      <c r="GQJ11" s="143"/>
      <c r="GQK11" s="143"/>
      <c r="GQL11" s="143"/>
      <c r="GQM11" s="143"/>
      <c r="GQN11" s="143"/>
      <c r="GQO11" s="143"/>
      <c r="GQP11" s="143"/>
      <c r="GQQ11" s="143"/>
      <c r="GQR11" s="143"/>
      <c r="GQS11" s="143"/>
      <c r="GQT11" s="143"/>
      <c r="GQU11" s="143"/>
      <c r="GQV11" s="143"/>
      <c r="GQW11" s="143"/>
      <c r="GQX11" s="143"/>
      <c r="GQY11" s="143"/>
      <c r="GQZ11" s="143"/>
      <c r="GRA11" s="143"/>
      <c r="GRB11" s="143"/>
      <c r="GRC11" s="143"/>
      <c r="GRD11" s="143"/>
      <c r="GRE11" s="143"/>
      <c r="GRF11" s="143"/>
      <c r="GRG11" s="143"/>
      <c r="GRH11" s="143"/>
      <c r="GRI11" s="143"/>
      <c r="GRJ11" s="143"/>
      <c r="GRK11" s="143"/>
      <c r="GRL11" s="143"/>
      <c r="GRM11" s="143"/>
      <c r="GRN11" s="143"/>
      <c r="GRO11" s="143"/>
      <c r="GRP11" s="143"/>
      <c r="GRQ11" s="143"/>
      <c r="GRR11" s="143"/>
      <c r="GRS11" s="143"/>
      <c r="GRT11" s="143"/>
      <c r="GRU11" s="143"/>
      <c r="GRV11" s="143"/>
      <c r="GRW11" s="143"/>
      <c r="GRX11" s="143"/>
      <c r="GRY11" s="143"/>
      <c r="GRZ11" s="143"/>
      <c r="GSA11" s="143"/>
      <c r="GSB11" s="143"/>
      <c r="GSC11" s="143"/>
      <c r="GSD11" s="143"/>
      <c r="GSE11" s="143"/>
      <c r="GSF11" s="143"/>
      <c r="GSG11" s="143"/>
      <c r="GSH11" s="143"/>
      <c r="GSI11" s="143"/>
      <c r="GSJ11" s="143"/>
      <c r="GSK11" s="143"/>
      <c r="GSL11" s="143"/>
      <c r="GSM11" s="143"/>
      <c r="GSN11" s="143"/>
      <c r="GSO11" s="143"/>
      <c r="GSP11" s="143"/>
      <c r="GSQ11" s="143"/>
      <c r="GSR11" s="143"/>
      <c r="GSS11" s="143"/>
      <c r="GST11" s="143"/>
      <c r="GSU11" s="143"/>
      <c r="GSV11" s="143"/>
      <c r="GSW11" s="143"/>
      <c r="GSX11" s="143"/>
      <c r="GSY11" s="143"/>
      <c r="GSZ11" s="143"/>
      <c r="GTA11" s="143"/>
      <c r="GTB11" s="143"/>
      <c r="GTC11" s="143"/>
      <c r="GTD11" s="143"/>
      <c r="GTE11" s="143"/>
      <c r="GTF11" s="143"/>
      <c r="GTG11" s="143"/>
      <c r="GTH11" s="143"/>
      <c r="GTI11" s="143"/>
      <c r="GTJ11" s="143"/>
      <c r="GTK11" s="143"/>
      <c r="GTL11" s="143"/>
      <c r="GTM11" s="143"/>
      <c r="GTN11" s="143"/>
      <c r="GTO11" s="143"/>
      <c r="GTP11" s="143"/>
      <c r="GTQ11" s="143"/>
      <c r="GTR11" s="143"/>
      <c r="GTS11" s="143"/>
      <c r="GTT11" s="143"/>
      <c r="GTU11" s="143"/>
      <c r="GTV11" s="143"/>
      <c r="GTW11" s="143"/>
      <c r="GTX11" s="143"/>
      <c r="GTY11" s="143"/>
      <c r="GTZ11" s="143"/>
      <c r="GUA11" s="143"/>
      <c r="GUB11" s="143"/>
      <c r="GUC11" s="143"/>
      <c r="GUD11" s="143"/>
      <c r="GUE11" s="143"/>
      <c r="GUF11" s="143"/>
      <c r="GUG11" s="143"/>
      <c r="GUH11" s="143"/>
      <c r="GUI11" s="143"/>
      <c r="GUJ11" s="143"/>
      <c r="GUK11" s="143"/>
      <c r="GUL11" s="143"/>
      <c r="GUM11" s="143"/>
      <c r="GUN11" s="143"/>
      <c r="GUO11" s="143"/>
      <c r="GUP11" s="143"/>
      <c r="GUQ11" s="143"/>
      <c r="GUR11" s="143"/>
      <c r="GUS11" s="143"/>
      <c r="GUT11" s="143"/>
      <c r="GUU11" s="143"/>
      <c r="GUV11" s="143"/>
      <c r="GUW11" s="143"/>
      <c r="GUX11" s="143"/>
      <c r="GUY11" s="143"/>
      <c r="GUZ11" s="143"/>
      <c r="GVA11" s="143"/>
      <c r="GVB11" s="143"/>
      <c r="GVC11" s="143"/>
      <c r="GVD11" s="143"/>
      <c r="GVE11" s="143"/>
      <c r="GVF11" s="143"/>
      <c r="GVG11" s="143"/>
      <c r="GVH11" s="143"/>
      <c r="GVI11" s="143"/>
      <c r="GVJ11" s="143"/>
      <c r="GVK11" s="143"/>
      <c r="GVL11" s="143"/>
      <c r="GVM11" s="143"/>
      <c r="GVN11" s="143"/>
      <c r="GVO11" s="143"/>
      <c r="GVP11" s="143"/>
      <c r="GVQ11" s="143"/>
      <c r="GVR11" s="143"/>
      <c r="GVS11" s="143"/>
      <c r="GVT11" s="143"/>
      <c r="GVU11" s="143"/>
      <c r="GVV11" s="143"/>
      <c r="GVW11" s="143"/>
      <c r="GVX11" s="143"/>
      <c r="GVY11" s="143"/>
      <c r="GVZ11" s="143"/>
      <c r="GWA11" s="143"/>
      <c r="GWB11" s="143"/>
      <c r="GWC11" s="143"/>
      <c r="GWD11" s="143"/>
      <c r="GWE11" s="143"/>
      <c r="GWF11" s="143"/>
      <c r="GWG11" s="143"/>
      <c r="GWH11" s="143"/>
      <c r="GWI11" s="143"/>
      <c r="GWJ11" s="143"/>
      <c r="GWK11" s="143"/>
      <c r="GWL11" s="143"/>
      <c r="GWM11" s="143"/>
      <c r="GWN11" s="143"/>
      <c r="GWO11" s="143"/>
      <c r="GWP11" s="143"/>
      <c r="GWQ11" s="143"/>
      <c r="GWR11" s="143"/>
      <c r="GWS11" s="143"/>
      <c r="GWT11" s="143"/>
      <c r="GWU11" s="143"/>
      <c r="GWV11" s="143"/>
      <c r="GWW11" s="143"/>
      <c r="GWX11" s="143"/>
      <c r="GWY11" s="143"/>
      <c r="GWZ11" s="143"/>
      <c r="GXA11" s="143"/>
      <c r="GXB11" s="143"/>
      <c r="GXC11" s="143"/>
      <c r="GXD11" s="143"/>
      <c r="GXE11" s="143"/>
      <c r="GXF11" s="143"/>
      <c r="GXG11" s="143"/>
      <c r="GXH11" s="143"/>
      <c r="GXI11" s="143"/>
      <c r="GXJ11" s="143"/>
      <c r="GXK11" s="143"/>
      <c r="GXL11" s="143"/>
      <c r="GXM11" s="143"/>
      <c r="GXN11" s="143"/>
      <c r="GXO11" s="143"/>
      <c r="GXP11" s="143"/>
      <c r="GXQ11" s="143"/>
      <c r="GXR11" s="143"/>
      <c r="GXS11" s="143"/>
      <c r="GXT11" s="143"/>
      <c r="GXU11" s="143"/>
      <c r="GXV11" s="143"/>
      <c r="GXW11" s="143"/>
      <c r="GXX11" s="143"/>
      <c r="GXY11" s="143"/>
      <c r="GXZ11" s="143"/>
      <c r="GYA11" s="143"/>
      <c r="GYB11" s="143"/>
      <c r="GYC11" s="143"/>
      <c r="GYD11" s="143"/>
      <c r="GYE11" s="143"/>
      <c r="GYF11" s="143"/>
      <c r="GYG11" s="143"/>
      <c r="GYH11" s="143"/>
      <c r="GYI11" s="143"/>
      <c r="GYJ11" s="143"/>
      <c r="GYK11" s="143"/>
      <c r="GYL11" s="143"/>
      <c r="GYM11" s="143"/>
      <c r="GYN11" s="143"/>
      <c r="GYO11" s="143"/>
      <c r="GYP11" s="143"/>
      <c r="GYQ11" s="143"/>
      <c r="GYR11" s="143"/>
      <c r="GYS11" s="143"/>
      <c r="GYT11" s="143"/>
      <c r="GYU11" s="143"/>
      <c r="GYV11" s="143"/>
      <c r="GYW11" s="143"/>
      <c r="GYX11" s="143"/>
      <c r="GYY11" s="143"/>
      <c r="GYZ11" s="143"/>
      <c r="GZA11" s="143"/>
      <c r="GZB11" s="143"/>
      <c r="GZC11" s="143"/>
      <c r="GZD11" s="143"/>
      <c r="GZE11" s="143"/>
      <c r="GZF11" s="143"/>
      <c r="GZG11" s="143"/>
      <c r="GZH11" s="143"/>
      <c r="GZI11" s="143"/>
      <c r="GZJ11" s="143"/>
      <c r="GZK11" s="143"/>
      <c r="GZL11" s="143"/>
      <c r="GZM11" s="143"/>
      <c r="GZN11" s="143"/>
      <c r="GZO11" s="143"/>
      <c r="GZP11" s="143"/>
      <c r="GZQ11" s="143"/>
      <c r="GZR11" s="143"/>
      <c r="GZS11" s="143"/>
      <c r="GZT11" s="143"/>
      <c r="GZU11" s="143"/>
      <c r="GZV11" s="143"/>
      <c r="GZW11" s="143"/>
      <c r="GZX11" s="143"/>
      <c r="GZY11" s="143"/>
      <c r="GZZ11" s="143"/>
      <c r="HAA11" s="143"/>
      <c r="HAB11" s="143"/>
      <c r="HAC11" s="143"/>
      <c r="HAD11" s="143"/>
      <c r="HAE11" s="143"/>
      <c r="HAF11" s="143"/>
      <c r="HAG11" s="143"/>
      <c r="HAH11" s="143"/>
      <c r="HAI11" s="143"/>
      <c r="HAJ11" s="143"/>
      <c r="HAK11" s="143"/>
      <c r="HAL11" s="143"/>
      <c r="HAM11" s="143"/>
      <c r="HAN11" s="143"/>
      <c r="HAO11" s="143"/>
      <c r="HAP11" s="143"/>
      <c r="HAQ11" s="143"/>
      <c r="HAR11" s="143"/>
      <c r="HAS11" s="143"/>
      <c r="HAT11" s="143"/>
      <c r="HAU11" s="143"/>
      <c r="HAV11" s="143"/>
      <c r="HAW11" s="143"/>
      <c r="HAX11" s="143"/>
      <c r="HAY11" s="143"/>
      <c r="HAZ11" s="143"/>
      <c r="HBA11" s="143"/>
      <c r="HBB11" s="143"/>
      <c r="HBC11" s="143"/>
      <c r="HBD11" s="143"/>
      <c r="HBE11" s="143"/>
      <c r="HBF11" s="143"/>
      <c r="HBG11" s="143"/>
      <c r="HBH11" s="143"/>
      <c r="HBI11" s="143"/>
      <c r="HBJ11" s="143"/>
      <c r="HBK11" s="143"/>
      <c r="HBL11" s="143"/>
      <c r="HBM11" s="143"/>
      <c r="HBN11" s="143"/>
      <c r="HBO11" s="143"/>
      <c r="HBP11" s="143"/>
      <c r="HBQ11" s="143"/>
      <c r="HBR11" s="143"/>
      <c r="HBS11" s="143"/>
      <c r="HBT11" s="143"/>
      <c r="HBU11" s="143"/>
      <c r="HBV11" s="143"/>
      <c r="HBW11" s="143"/>
      <c r="HBX11" s="143"/>
      <c r="HBY11" s="143"/>
      <c r="HBZ11" s="143"/>
      <c r="HCA11" s="143"/>
      <c r="HCB11" s="143"/>
      <c r="HCC11" s="143"/>
      <c r="HCD11" s="143"/>
      <c r="HCE11" s="143"/>
      <c r="HCF11" s="143"/>
      <c r="HCG11" s="143"/>
      <c r="HCH11" s="143"/>
      <c r="HCI11" s="143"/>
      <c r="HCJ11" s="143"/>
      <c r="HCK11" s="143"/>
      <c r="HCL11" s="143"/>
      <c r="HCM11" s="143"/>
      <c r="HCN11" s="143"/>
      <c r="HCO11" s="143"/>
      <c r="HCP11" s="143"/>
      <c r="HCQ11" s="143"/>
      <c r="HCR11" s="143"/>
      <c r="HCS11" s="143"/>
      <c r="HCT11" s="143"/>
      <c r="HCU11" s="143"/>
      <c r="HCV11" s="143"/>
      <c r="HCW11" s="143"/>
      <c r="HCX11" s="143"/>
      <c r="HCY11" s="143"/>
      <c r="HCZ11" s="143"/>
      <c r="HDA11" s="143"/>
      <c r="HDB11" s="143"/>
      <c r="HDC11" s="143"/>
      <c r="HDD11" s="143"/>
      <c r="HDE11" s="143"/>
      <c r="HDF11" s="143"/>
      <c r="HDG11" s="143"/>
      <c r="HDH11" s="143"/>
      <c r="HDI11" s="143"/>
      <c r="HDJ11" s="143"/>
      <c r="HDK11" s="143"/>
      <c r="HDL11" s="143"/>
      <c r="HDM11" s="143"/>
      <c r="HDN11" s="143"/>
      <c r="HDO11" s="143"/>
      <c r="HDP11" s="143"/>
      <c r="HDQ11" s="143"/>
      <c r="HDR11" s="143"/>
      <c r="HDS11" s="143"/>
      <c r="HDT11" s="143"/>
      <c r="HDU11" s="143"/>
      <c r="HDV11" s="143"/>
      <c r="HDW11" s="143"/>
      <c r="HDX11" s="143"/>
      <c r="HDY11" s="143"/>
      <c r="HDZ11" s="143"/>
      <c r="HEA11" s="143"/>
      <c r="HEB11" s="143"/>
      <c r="HEC11" s="143"/>
      <c r="HED11" s="143"/>
      <c r="HEE11" s="143"/>
      <c r="HEF11" s="143"/>
      <c r="HEG11" s="143"/>
      <c r="HEH11" s="143"/>
      <c r="HEI11" s="143"/>
      <c r="HEJ11" s="143"/>
      <c r="HEK11" s="143"/>
      <c r="HEL11" s="143"/>
      <c r="HEM11" s="143"/>
      <c r="HEN11" s="143"/>
      <c r="HEO11" s="143"/>
      <c r="HEP11" s="143"/>
      <c r="HEQ11" s="143"/>
      <c r="HER11" s="143"/>
      <c r="HES11" s="143"/>
      <c r="HET11" s="143"/>
      <c r="HEU11" s="143"/>
      <c r="HEV11" s="143"/>
      <c r="HEW11" s="143"/>
      <c r="HEX11" s="143"/>
      <c r="HEY11" s="143"/>
      <c r="HEZ11" s="143"/>
      <c r="HFA11" s="143"/>
      <c r="HFB11" s="143"/>
      <c r="HFC11" s="143"/>
      <c r="HFD11" s="143"/>
      <c r="HFE11" s="143"/>
      <c r="HFF11" s="143"/>
      <c r="HFG11" s="143"/>
      <c r="HFH11" s="143"/>
      <c r="HFI11" s="143"/>
      <c r="HFJ11" s="143"/>
      <c r="HFK11" s="143"/>
      <c r="HFL11" s="143"/>
      <c r="HFM11" s="143"/>
      <c r="HFN11" s="143"/>
      <c r="HFO11" s="143"/>
      <c r="HFP11" s="143"/>
      <c r="HFQ11" s="143"/>
      <c r="HFR11" s="143"/>
      <c r="HFS11" s="143"/>
      <c r="HFT11" s="143"/>
      <c r="HFU11" s="143"/>
      <c r="HFV11" s="143"/>
      <c r="HFW11" s="143"/>
      <c r="HFX11" s="143"/>
      <c r="HFY11" s="143"/>
      <c r="HFZ11" s="143"/>
      <c r="HGA11" s="143"/>
      <c r="HGB11" s="143"/>
      <c r="HGC11" s="143"/>
      <c r="HGD11" s="143"/>
      <c r="HGE11" s="143"/>
      <c r="HGF11" s="143"/>
      <c r="HGG11" s="143"/>
      <c r="HGH11" s="143"/>
      <c r="HGI11" s="143"/>
      <c r="HGJ11" s="143"/>
      <c r="HGK11" s="143"/>
      <c r="HGL11" s="143"/>
      <c r="HGM11" s="143"/>
      <c r="HGN11" s="143"/>
      <c r="HGO11" s="143"/>
      <c r="HGP11" s="143"/>
      <c r="HGQ11" s="143"/>
      <c r="HGR11" s="143"/>
      <c r="HGS11" s="143"/>
      <c r="HGT11" s="143"/>
      <c r="HGU11" s="143"/>
      <c r="HGV11" s="143"/>
      <c r="HGW11" s="143"/>
      <c r="HGX11" s="143"/>
      <c r="HGY11" s="143"/>
      <c r="HGZ11" s="143"/>
      <c r="HHA11" s="143"/>
      <c r="HHB11" s="143"/>
      <c r="HHC11" s="143"/>
      <c r="HHD11" s="143"/>
      <c r="HHE11" s="143"/>
      <c r="HHF11" s="143"/>
      <c r="HHG11" s="143"/>
      <c r="HHH11" s="143"/>
      <c r="HHI11" s="143"/>
      <c r="HHJ11" s="143"/>
      <c r="HHK11" s="143"/>
      <c r="HHL11" s="143"/>
      <c r="HHM11" s="143"/>
      <c r="HHN11" s="143"/>
      <c r="HHO11" s="143"/>
      <c r="HHP11" s="143"/>
      <c r="HHQ11" s="143"/>
      <c r="HHR11" s="143"/>
      <c r="HHS11" s="143"/>
      <c r="HHT11" s="143"/>
      <c r="HHU11" s="143"/>
      <c r="HHV11" s="143"/>
      <c r="HHW11" s="143"/>
      <c r="HHX11" s="143"/>
      <c r="HHY11" s="143"/>
      <c r="HHZ11" s="143"/>
      <c r="HIA11" s="143"/>
      <c r="HIB11" s="143"/>
      <c r="HIC11" s="143"/>
      <c r="HID11" s="143"/>
      <c r="HIE11" s="143"/>
      <c r="HIF11" s="143"/>
      <c r="HIG11" s="143"/>
      <c r="HIH11" s="143"/>
      <c r="HII11" s="143"/>
      <c r="HIJ11" s="143"/>
      <c r="HIK11" s="143"/>
      <c r="HIL11" s="143"/>
      <c r="HIM11" s="143"/>
      <c r="HIN11" s="143"/>
      <c r="HIO11" s="143"/>
      <c r="HIP11" s="143"/>
      <c r="HIQ11" s="143"/>
      <c r="HIR11" s="143"/>
      <c r="HIS11" s="143"/>
      <c r="HIT11" s="143"/>
      <c r="HIU11" s="143"/>
      <c r="HIV11" s="143"/>
      <c r="HIW11" s="143"/>
      <c r="HIX11" s="143"/>
      <c r="HIY11" s="143"/>
      <c r="HIZ11" s="143"/>
      <c r="HJA11" s="143"/>
      <c r="HJB11" s="143"/>
      <c r="HJC11" s="143"/>
      <c r="HJD11" s="143"/>
      <c r="HJE11" s="143"/>
      <c r="HJF11" s="143"/>
      <c r="HJG11" s="143"/>
      <c r="HJH11" s="143"/>
      <c r="HJI11" s="143"/>
      <c r="HJJ11" s="143"/>
      <c r="HJK11" s="143"/>
      <c r="HJL11" s="143"/>
      <c r="HJM11" s="143"/>
      <c r="HJN11" s="143"/>
      <c r="HJO11" s="143"/>
      <c r="HJP11" s="143"/>
      <c r="HJQ11" s="143"/>
      <c r="HJR11" s="143"/>
      <c r="HJS11" s="143"/>
      <c r="HJT11" s="143"/>
      <c r="HJU11" s="143"/>
      <c r="HJV11" s="143"/>
      <c r="HJW11" s="143"/>
      <c r="HJX11" s="143"/>
      <c r="HJY11" s="143"/>
      <c r="HJZ11" s="143"/>
      <c r="HKA11" s="143"/>
      <c r="HKB11" s="143"/>
      <c r="HKC11" s="143"/>
      <c r="HKD11" s="143"/>
      <c r="HKE11" s="143"/>
      <c r="HKF11" s="143"/>
      <c r="HKG11" s="143"/>
      <c r="HKH11" s="143"/>
      <c r="HKI11" s="143"/>
      <c r="HKJ11" s="143"/>
      <c r="HKK11" s="143"/>
      <c r="HKL11" s="143"/>
      <c r="HKM11" s="143"/>
      <c r="HKN11" s="143"/>
      <c r="HKO11" s="143"/>
      <c r="HKP11" s="143"/>
      <c r="HKQ11" s="143"/>
      <c r="HKR11" s="143"/>
      <c r="HKS11" s="143"/>
      <c r="HKT11" s="143"/>
      <c r="HKU11" s="143"/>
      <c r="HKV11" s="143"/>
      <c r="HKW11" s="143"/>
      <c r="HKX11" s="143"/>
      <c r="HKY11" s="143"/>
      <c r="HKZ11" s="143"/>
      <c r="HLA11" s="143"/>
      <c r="HLB11" s="143"/>
      <c r="HLC11" s="143"/>
      <c r="HLD11" s="143"/>
      <c r="HLE11" s="143"/>
      <c r="HLF11" s="143"/>
      <c r="HLG11" s="143"/>
      <c r="HLH11" s="143"/>
      <c r="HLI11" s="143"/>
      <c r="HLJ11" s="143"/>
      <c r="HLK11" s="143"/>
      <c r="HLL11" s="143"/>
      <c r="HLM11" s="143"/>
      <c r="HLN11" s="143"/>
      <c r="HLO11" s="143"/>
      <c r="HLP11" s="143"/>
      <c r="HLQ11" s="143"/>
      <c r="HLR11" s="143"/>
      <c r="HLS11" s="143"/>
      <c r="HLT11" s="143"/>
      <c r="HLU11" s="143"/>
      <c r="HLV11" s="143"/>
      <c r="HLW11" s="143"/>
      <c r="HLX11" s="143"/>
      <c r="HLY11" s="143"/>
      <c r="HLZ11" s="143"/>
      <c r="HMA11" s="143"/>
      <c r="HMB11" s="143"/>
      <c r="HMC11" s="143"/>
      <c r="HMD11" s="143"/>
      <c r="HME11" s="143"/>
      <c r="HMF11" s="143"/>
      <c r="HMG11" s="143"/>
      <c r="HMH11" s="143"/>
      <c r="HMI11" s="143"/>
      <c r="HMJ11" s="143"/>
      <c r="HMK11" s="143"/>
      <c r="HML11" s="143"/>
      <c r="HMM11" s="143"/>
      <c r="HMN11" s="143"/>
      <c r="HMO11" s="143"/>
      <c r="HMP11" s="143"/>
      <c r="HMQ11" s="143"/>
      <c r="HMR11" s="143"/>
      <c r="HMS11" s="143"/>
      <c r="HMT11" s="143"/>
      <c r="HMU11" s="143"/>
      <c r="HMV11" s="143"/>
      <c r="HMW11" s="143"/>
      <c r="HMX11" s="143"/>
      <c r="HMY11" s="143"/>
      <c r="HMZ11" s="143"/>
      <c r="HNA11" s="143"/>
      <c r="HNB11" s="143"/>
      <c r="HNC11" s="143"/>
      <c r="HND11" s="143"/>
      <c r="HNE11" s="143"/>
      <c r="HNF11" s="143"/>
      <c r="HNG11" s="143"/>
      <c r="HNH11" s="143"/>
      <c r="HNI11" s="143"/>
      <c r="HNJ11" s="143"/>
      <c r="HNK11" s="143"/>
      <c r="HNL11" s="143"/>
      <c r="HNM11" s="143"/>
      <c r="HNN11" s="143"/>
      <c r="HNO11" s="143"/>
      <c r="HNP11" s="143"/>
      <c r="HNQ11" s="143"/>
      <c r="HNR11" s="143"/>
      <c r="HNS11" s="143"/>
      <c r="HNT11" s="143"/>
      <c r="HNU11" s="143"/>
      <c r="HNV11" s="143"/>
      <c r="HNW11" s="143"/>
      <c r="HNX11" s="143"/>
      <c r="HNY11" s="143"/>
      <c r="HNZ11" s="143"/>
      <c r="HOA11" s="143"/>
      <c r="HOB11" s="143"/>
      <c r="HOC11" s="143"/>
      <c r="HOD11" s="143"/>
      <c r="HOE11" s="143"/>
      <c r="HOF11" s="143"/>
      <c r="HOG11" s="143"/>
      <c r="HOH11" s="143"/>
      <c r="HOI11" s="143"/>
      <c r="HOJ11" s="143"/>
      <c r="HOK11" s="143"/>
      <c r="HOL11" s="143"/>
      <c r="HOM11" s="143"/>
      <c r="HON11" s="143"/>
      <c r="HOO11" s="143"/>
      <c r="HOP11" s="143"/>
      <c r="HOQ11" s="143"/>
      <c r="HOR11" s="143"/>
      <c r="HOS11" s="143"/>
      <c r="HOT11" s="143"/>
      <c r="HOU11" s="143"/>
      <c r="HOV11" s="143"/>
      <c r="HOW11" s="143"/>
      <c r="HOX11" s="143"/>
      <c r="HOY11" s="143"/>
      <c r="HOZ11" s="143"/>
      <c r="HPA11" s="143"/>
      <c r="HPB11" s="143"/>
      <c r="HPC11" s="143"/>
      <c r="HPD11" s="143"/>
      <c r="HPE11" s="143"/>
      <c r="HPF11" s="143"/>
      <c r="HPG11" s="143"/>
      <c r="HPH11" s="143"/>
      <c r="HPI11" s="143"/>
      <c r="HPJ11" s="143"/>
      <c r="HPK11" s="143"/>
      <c r="HPL11" s="143"/>
      <c r="HPM11" s="143"/>
      <c r="HPN11" s="143"/>
      <c r="HPO11" s="143"/>
      <c r="HPP11" s="143"/>
      <c r="HPQ11" s="143"/>
      <c r="HPR11" s="143"/>
      <c r="HPS11" s="143"/>
      <c r="HPT11" s="143"/>
      <c r="HPU11" s="143"/>
      <c r="HPV11" s="143"/>
      <c r="HPW11" s="143"/>
      <c r="HPX11" s="143"/>
      <c r="HPY11" s="143"/>
      <c r="HPZ11" s="143"/>
      <c r="HQA11" s="143"/>
      <c r="HQB11" s="143"/>
      <c r="HQC11" s="143"/>
      <c r="HQD11" s="143"/>
      <c r="HQE11" s="143"/>
      <c r="HQF11" s="143"/>
      <c r="HQG11" s="143"/>
      <c r="HQH11" s="143"/>
      <c r="HQI11" s="143"/>
      <c r="HQJ11" s="143"/>
      <c r="HQK11" s="143"/>
      <c r="HQL11" s="143"/>
      <c r="HQM11" s="143"/>
      <c r="HQN11" s="143"/>
      <c r="HQO11" s="143"/>
      <c r="HQP11" s="143"/>
      <c r="HQQ11" s="143"/>
      <c r="HQR11" s="143"/>
      <c r="HQS11" s="143"/>
      <c r="HQT11" s="143"/>
      <c r="HQU11" s="143"/>
      <c r="HQV11" s="143"/>
      <c r="HQW11" s="143"/>
      <c r="HQX11" s="143"/>
      <c r="HQY11" s="143"/>
      <c r="HQZ11" s="143"/>
      <c r="HRA11" s="143"/>
      <c r="HRB11" s="143"/>
      <c r="HRC11" s="143"/>
      <c r="HRD11" s="143"/>
      <c r="HRE11" s="143"/>
      <c r="HRF11" s="143"/>
      <c r="HRG11" s="143"/>
      <c r="HRH11" s="143"/>
      <c r="HRI11" s="143"/>
      <c r="HRJ11" s="143"/>
      <c r="HRK11" s="143"/>
      <c r="HRL11" s="143"/>
      <c r="HRM11" s="143"/>
      <c r="HRN11" s="143"/>
      <c r="HRO11" s="143"/>
      <c r="HRP11" s="143"/>
      <c r="HRQ11" s="143"/>
      <c r="HRR11" s="143"/>
      <c r="HRS11" s="143"/>
      <c r="HRT11" s="143"/>
      <c r="HRU11" s="143"/>
      <c r="HRV11" s="143"/>
      <c r="HRW11" s="143"/>
      <c r="HRX11" s="143"/>
      <c r="HRY11" s="143"/>
      <c r="HRZ11" s="143"/>
      <c r="HSA11" s="143"/>
      <c r="HSB11" s="143"/>
      <c r="HSC11" s="143"/>
      <c r="HSD11" s="143"/>
      <c r="HSE11" s="143"/>
      <c r="HSF11" s="143"/>
      <c r="HSG11" s="143"/>
      <c r="HSH11" s="143"/>
      <c r="HSI11" s="143"/>
      <c r="HSJ11" s="143"/>
      <c r="HSK11" s="143"/>
      <c r="HSL11" s="143"/>
      <c r="HSM11" s="143"/>
      <c r="HSN11" s="143"/>
      <c r="HSO11" s="143"/>
      <c r="HSP11" s="143"/>
      <c r="HSQ11" s="143"/>
      <c r="HSR11" s="143"/>
      <c r="HSS11" s="143"/>
      <c r="HST11" s="143"/>
      <c r="HSU11" s="143"/>
      <c r="HSV11" s="143"/>
      <c r="HSW11" s="143"/>
      <c r="HSX11" s="143"/>
      <c r="HSY11" s="143"/>
      <c r="HSZ11" s="143"/>
      <c r="HTA11" s="143"/>
      <c r="HTB11" s="143"/>
      <c r="HTC11" s="143"/>
      <c r="HTD11" s="143"/>
      <c r="HTE11" s="143"/>
      <c r="HTF11" s="143"/>
      <c r="HTG11" s="143"/>
      <c r="HTH11" s="143"/>
      <c r="HTI11" s="143"/>
      <c r="HTJ11" s="143"/>
      <c r="HTK11" s="143"/>
      <c r="HTL11" s="143"/>
      <c r="HTM11" s="143"/>
      <c r="HTN11" s="143"/>
      <c r="HTO11" s="143"/>
      <c r="HTP11" s="143"/>
      <c r="HTQ11" s="143"/>
      <c r="HTR11" s="143"/>
      <c r="HTS11" s="143"/>
      <c r="HTT11" s="143"/>
      <c r="HTU11" s="143"/>
      <c r="HTV11" s="143"/>
      <c r="HTW11" s="143"/>
      <c r="HTX11" s="143"/>
      <c r="HTY11" s="143"/>
      <c r="HTZ11" s="143"/>
      <c r="HUA11" s="143"/>
      <c r="HUB11" s="143"/>
      <c r="HUC11" s="143"/>
      <c r="HUD11" s="143"/>
      <c r="HUE11" s="143"/>
      <c r="HUF11" s="143"/>
      <c r="HUG11" s="143"/>
      <c r="HUH11" s="143"/>
      <c r="HUI11" s="143"/>
      <c r="HUJ11" s="143"/>
      <c r="HUK11" s="143"/>
      <c r="HUL11" s="143"/>
      <c r="HUM11" s="143"/>
      <c r="HUN11" s="143"/>
      <c r="HUO11" s="143"/>
      <c r="HUP11" s="143"/>
      <c r="HUQ11" s="143"/>
      <c r="HUR11" s="143"/>
      <c r="HUS11" s="143"/>
      <c r="HUT11" s="143"/>
      <c r="HUU11" s="143"/>
      <c r="HUV11" s="143"/>
      <c r="HUW11" s="143"/>
      <c r="HUX11" s="143"/>
      <c r="HUY11" s="143"/>
      <c r="HUZ11" s="143"/>
      <c r="HVA11" s="143"/>
      <c r="HVB11" s="143"/>
      <c r="HVC11" s="143"/>
      <c r="HVD11" s="143"/>
      <c r="HVE11" s="143"/>
      <c r="HVF11" s="143"/>
      <c r="HVG11" s="143"/>
      <c r="HVH11" s="143"/>
      <c r="HVI11" s="143"/>
      <c r="HVJ11" s="143"/>
      <c r="HVK11" s="143"/>
      <c r="HVL11" s="143"/>
      <c r="HVM11" s="143"/>
      <c r="HVN11" s="143"/>
      <c r="HVO11" s="143"/>
      <c r="HVP11" s="143"/>
      <c r="HVQ11" s="143"/>
      <c r="HVR11" s="143"/>
      <c r="HVS11" s="143"/>
      <c r="HVT11" s="143"/>
      <c r="HVU11" s="143"/>
      <c r="HVV11" s="143"/>
      <c r="HVW11" s="143"/>
      <c r="HVX11" s="143"/>
      <c r="HVY11" s="143"/>
      <c r="HVZ11" s="143"/>
      <c r="HWA11" s="143"/>
      <c r="HWB11" s="143"/>
      <c r="HWC11" s="143"/>
      <c r="HWD11" s="143"/>
      <c r="HWE11" s="143"/>
      <c r="HWF11" s="143"/>
      <c r="HWG11" s="143"/>
      <c r="HWH11" s="143"/>
      <c r="HWI11" s="143"/>
      <c r="HWJ11" s="143"/>
      <c r="HWK11" s="143"/>
      <c r="HWL11" s="143"/>
      <c r="HWM11" s="143"/>
      <c r="HWN11" s="143"/>
      <c r="HWO11" s="143"/>
      <c r="HWP11" s="143"/>
      <c r="HWQ11" s="143"/>
      <c r="HWR11" s="143"/>
      <c r="HWS11" s="143"/>
      <c r="HWT11" s="143"/>
      <c r="HWU11" s="143"/>
      <c r="HWV11" s="143"/>
      <c r="HWW11" s="143"/>
      <c r="HWX11" s="143"/>
      <c r="HWY11" s="143"/>
      <c r="HWZ11" s="143"/>
      <c r="HXA11" s="143"/>
      <c r="HXB11" s="143"/>
      <c r="HXC11" s="143"/>
      <c r="HXD11" s="143"/>
      <c r="HXE11" s="143"/>
      <c r="HXF11" s="143"/>
      <c r="HXG11" s="143"/>
      <c r="HXH11" s="143"/>
      <c r="HXI11" s="143"/>
      <c r="HXJ11" s="143"/>
      <c r="HXK11" s="143"/>
      <c r="HXL11" s="143"/>
      <c r="HXM11" s="143"/>
      <c r="HXN11" s="143"/>
      <c r="HXO11" s="143"/>
      <c r="HXP11" s="143"/>
      <c r="HXQ11" s="143"/>
      <c r="HXR11" s="143"/>
      <c r="HXS11" s="143"/>
      <c r="HXT11" s="143"/>
      <c r="HXU11" s="143"/>
      <c r="HXV11" s="143"/>
      <c r="HXW11" s="143"/>
      <c r="HXX11" s="143"/>
      <c r="HXY11" s="143"/>
      <c r="HXZ11" s="143"/>
      <c r="HYA11" s="143"/>
      <c r="HYB11" s="143"/>
      <c r="HYC11" s="143"/>
      <c r="HYD11" s="143"/>
      <c r="HYE11" s="143"/>
      <c r="HYF11" s="143"/>
      <c r="HYG11" s="143"/>
      <c r="HYH11" s="143"/>
      <c r="HYI11" s="143"/>
      <c r="HYJ11" s="143"/>
      <c r="HYK11" s="143"/>
      <c r="HYL11" s="143"/>
      <c r="HYM11" s="143"/>
      <c r="HYN11" s="143"/>
      <c r="HYO11" s="143"/>
      <c r="HYP11" s="143"/>
      <c r="HYQ11" s="143"/>
      <c r="HYR11" s="143"/>
      <c r="HYS11" s="143"/>
      <c r="HYT11" s="143"/>
      <c r="HYU11" s="143"/>
      <c r="HYV11" s="143"/>
      <c r="HYW11" s="143"/>
      <c r="HYX11" s="143"/>
      <c r="HYY11" s="143"/>
      <c r="HYZ11" s="143"/>
      <c r="HZA11" s="143"/>
      <c r="HZB11" s="143"/>
      <c r="HZC11" s="143"/>
      <c r="HZD11" s="143"/>
      <c r="HZE11" s="143"/>
      <c r="HZF11" s="143"/>
      <c r="HZG11" s="143"/>
      <c r="HZH11" s="143"/>
      <c r="HZI11" s="143"/>
      <c r="HZJ11" s="143"/>
      <c r="HZK11" s="143"/>
      <c r="HZL11" s="143"/>
      <c r="HZM11" s="143"/>
      <c r="HZN11" s="143"/>
      <c r="HZO11" s="143"/>
      <c r="HZP11" s="143"/>
      <c r="HZQ11" s="143"/>
      <c r="HZR11" s="143"/>
      <c r="HZS11" s="143"/>
      <c r="HZT11" s="143"/>
      <c r="HZU11" s="143"/>
      <c r="HZV11" s="143"/>
      <c r="HZW11" s="143"/>
      <c r="HZX11" s="143"/>
      <c r="HZY11" s="143"/>
      <c r="HZZ11" s="143"/>
      <c r="IAA11" s="143"/>
      <c r="IAB11" s="143"/>
      <c r="IAC11" s="143"/>
      <c r="IAD11" s="143"/>
      <c r="IAE11" s="143"/>
      <c r="IAF11" s="143"/>
      <c r="IAG11" s="143"/>
      <c r="IAH11" s="143"/>
      <c r="IAI11" s="143"/>
      <c r="IAJ11" s="143"/>
      <c r="IAK11" s="143"/>
      <c r="IAL11" s="143"/>
      <c r="IAM11" s="143"/>
      <c r="IAN11" s="143"/>
      <c r="IAO11" s="143"/>
      <c r="IAP11" s="143"/>
      <c r="IAQ11" s="143"/>
      <c r="IAR11" s="143"/>
      <c r="IAS11" s="143"/>
      <c r="IAT11" s="143"/>
      <c r="IAU11" s="143"/>
      <c r="IAV11" s="143"/>
      <c r="IAW11" s="143"/>
      <c r="IAX11" s="143"/>
      <c r="IAY11" s="143"/>
      <c r="IAZ11" s="143"/>
      <c r="IBA11" s="143"/>
      <c r="IBB11" s="143"/>
      <c r="IBC11" s="143"/>
      <c r="IBD11" s="143"/>
      <c r="IBE11" s="143"/>
      <c r="IBF11" s="143"/>
      <c r="IBG11" s="143"/>
      <c r="IBH11" s="143"/>
      <c r="IBI11" s="143"/>
      <c r="IBJ11" s="143"/>
      <c r="IBK11" s="143"/>
      <c r="IBL11" s="143"/>
      <c r="IBM11" s="143"/>
      <c r="IBN11" s="143"/>
      <c r="IBO11" s="143"/>
      <c r="IBP11" s="143"/>
      <c r="IBQ11" s="143"/>
      <c r="IBR11" s="143"/>
      <c r="IBS11" s="143"/>
      <c r="IBT11" s="143"/>
      <c r="IBU11" s="143"/>
      <c r="IBV11" s="143"/>
      <c r="IBW11" s="143"/>
      <c r="IBX11" s="143"/>
      <c r="IBY11" s="143"/>
      <c r="IBZ11" s="143"/>
      <c r="ICA11" s="143"/>
      <c r="ICB11" s="143"/>
      <c r="ICC11" s="143"/>
      <c r="ICD11" s="143"/>
      <c r="ICE11" s="143"/>
      <c r="ICF11" s="143"/>
      <c r="ICG11" s="143"/>
      <c r="ICH11" s="143"/>
      <c r="ICI11" s="143"/>
      <c r="ICJ11" s="143"/>
      <c r="ICK11" s="143"/>
      <c r="ICL11" s="143"/>
      <c r="ICM11" s="143"/>
      <c r="ICN11" s="143"/>
      <c r="ICO11" s="143"/>
      <c r="ICP11" s="143"/>
      <c r="ICQ11" s="143"/>
      <c r="ICR11" s="143"/>
      <c r="ICS11" s="143"/>
      <c r="ICT11" s="143"/>
      <c r="ICU11" s="143"/>
      <c r="ICV11" s="143"/>
      <c r="ICW11" s="143"/>
      <c r="ICX11" s="143"/>
      <c r="ICY11" s="143"/>
      <c r="ICZ11" s="143"/>
      <c r="IDA11" s="143"/>
      <c r="IDB11" s="143"/>
      <c r="IDC11" s="143"/>
      <c r="IDD11" s="143"/>
      <c r="IDE11" s="143"/>
      <c r="IDF11" s="143"/>
      <c r="IDG11" s="143"/>
      <c r="IDH11" s="143"/>
      <c r="IDI11" s="143"/>
      <c r="IDJ11" s="143"/>
      <c r="IDK11" s="143"/>
      <c r="IDL11" s="143"/>
      <c r="IDM11" s="143"/>
      <c r="IDN11" s="143"/>
      <c r="IDO11" s="143"/>
      <c r="IDP11" s="143"/>
      <c r="IDQ11" s="143"/>
      <c r="IDR11" s="143"/>
      <c r="IDS11" s="143"/>
      <c r="IDT11" s="143"/>
      <c r="IDU11" s="143"/>
      <c r="IDV11" s="143"/>
      <c r="IDW11" s="143"/>
      <c r="IDX11" s="143"/>
      <c r="IDY11" s="143"/>
      <c r="IDZ11" s="143"/>
      <c r="IEA11" s="143"/>
      <c r="IEB11" s="143"/>
      <c r="IEC11" s="143"/>
      <c r="IED11" s="143"/>
      <c r="IEE11" s="143"/>
      <c r="IEF11" s="143"/>
      <c r="IEG11" s="143"/>
      <c r="IEH11" s="143"/>
      <c r="IEI11" s="143"/>
      <c r="IEJ11" s="143"/>
      <c r="IEK11" s="143"/>
      <c r="IEL11" s="143"/>
      <c r="IEM11" s="143"/>
      <c r="IEN11" s="143"/>
      <c r="IEO11" s="143"/>
      <c r="IEP11" s="143"/>
      <c r="IEQ11" s="143"/>
      <c r="IER11" s="143"/>
      <c r="IES11" s="143"/>
      <c r="IET11" s="143"/>
      <c r="IEU11" s="143"/>
      <c r="IEV11" s="143"/>
      <c r="IEW11" s="143"/>
      <c r="IEX11" s="143"/>
      <c r="IEY11" s="143"/>
      <c r="IEZ11" s="143"/>
      <c r="IFA11" s="143"/>
      <c r="IFB11" s="143"/>
      <c r="IFC11" s="143"/>
      <c r="IFD11" s="143"/>
      <c r="IFE11" s="143"/>
      <c r="IFF11" s="143"/>
      <c r="IFG11" s="143"/>
      <c r="IFH11" s="143"/>
      <c r="IFI11" s="143"/>
      <c r="IFJ11" s="143"/>
      <c r="IFK11" s="143"/>
      <c r="IFL11" s="143"/>
      <c r="IFM11" s="143"/>
      <c r="IFN11" s="143"/>
      <c r="IFO11" s="143"/>
      <c r="IFP11" s="143"/>
      <c r="IFQ11" s="143"/>
      <c r="IFR11" s="143"/>
      <c r="IFS11" s="143"/>
      <c r="IFT11" s="143"/>
      <c r="IFU11" s="143"/>
      <c r="IFV11" s="143"/>
      <c r="IFW11" s="143"/>
      <c r="IFX11" s="143"/>
      <c r="IFY11" s="143"/>
      <c r="IFZ11" s="143"/>
      <c r="IGA11" s="143"/>
      <c r="IGB11" s="143"/>
      <c r="IGC11" s="143"/>
      <c r="IGD11" s="143"/>
      <c r="IGE11" s="143"/>
      <c r="IGF11" s="143"/>
      <c r="IGG11" s="143"/>
      <c r="IGH11" s="143"/>
      <c r="IGI11" s="143"/>
      <c r="IGJ11" s="143"/>
      <c r="IGK11" s="143"/>
      <c r="IGL11" s="143"/>
      <c r="IGM11" s="143"/>
      <c r="IGN11" s="143"/>
      <c r="IGO11" s="143"/>
      <c r="IGP11" s="143"/>
      <c r="IGQ11" s="143"/>
      <c r="IGR11" s="143"/>
      <c r="IGS11" s="143"/>
      <c r="IGT11" s="143"/>
      <c r="IGU11" s="143"/>
      <c r="IGV11" s="143"/>
      <c r="IGW11" s="143"/>
      <c r="IGX11" s="143"/>
      <c r="IGY11" s="143"/>
      <c r="IGZ11" s="143"/>
      <c r="IHA11" s="143"/>
      <c r="IHB11" s="143"/>
      <c r="IHC11" s="143"/>
      <c r="IHD11" s="143"/>
      <c r="IHE11" s="143"/>
      <c r="IHF11" s="143"/>
      <c r="IHG11" s="143"/>
      <c r="IHH11" s="143"/>
      <c r="IHI11" s="143"/>
      <c r="IHJ11" s="143"/>
      <c r="IHK11" s="143"/>
      <c r="IHL11" s="143"/>
      <c r="IHM11" s="143"/>
      <c r="IHN11" s="143"/>
      <c r="IHO11" s="143"/>
      <c r="IHP11" s="143"/>
      <c r="IHQ11" s="143"/>
      <c r="IHR11" s="143"/>
      <c r="IHS11" s="143"/>
      <c r="IHT11" s="143"/>
      <c r="IHU11" s="143"/>
      <c r="IHV11" s="143"/>
      <c r="IHW11" s="143"/>
      <c r="IHX11" s="143"/>
      <c r="IHY11" s="143"/>
      <c r="IHZ11" s="143"/>
      <c r="IIA11" s="143"/>
      <c r="IIB11" s="143"/>
      <c r="IIC11" s="143"/>
      <c r="IID11" s="143"/>
      <c r="IIE11" s="143"/>
      <c r="IIF11" s="143"/>
      <c r="IIG11" s="143"/>
      <c r="IIH11" s="143"/>
      <c r="III11" s="143"/>
      <c r="IIJ11" s="143"/>
      <c r="IIK11" s="143"/>
      <c r="IIL11" s="143"/>
      <c r="IIM11" s="143"/>
      <c r="IIN11" s="143"/>
      <c r="IIO11" s="143"/>
      <c r="IIP11" s="143"/>
      <c r="IIQ11" s="143"/>
      <c r="IIR11" s="143"/>
      <c r="IIS11" s="143"/>
      <c r="IIT11" s="143"/>
      <c r="IIU11" s="143"/>
      <c r="IIV11" s="143"/>
      <c r="IIW11" s="143"/>
      <c r="IIX11" s="143"/>
      <c r="IIY11" s="143"/>
      <c r="IIZ11" s="143"/>
      <c r="IJA11" s="143"/>
      <c r="IJB11" s="143"/>
      <c r="IJC11" s="143"/>
      <c r="IJD11" s="143"/>
      <c r="IJE11" s="143"/>
      <c r="IJF11" s="143"/>
      <c r="IJG11" s="143"/>
      <c r="IJH11" s="143"/>
      <c r="IJI11" s="143"/>
      <c r="IJJ11" s="143"/>
      <c r="IJK11" s="143"/>
      <c r="IJL11" s="143"/>
      <c r="IJM11" s="143"/>
      <c r="IJN11" s="143"/>
      <c r="IJO11" s="143"/>
      <c r="IJP11" s="143"/>
      <c r="IJQ11" s="143"/>
      <c r="IJR11" s="143"/>
      <c r="IJS11" s="143"/>
      <c r="IJT11" s="143"/>
      <c r="IJU11" s="143"/>
      <c r="IJV11" s="143"/>
      <c r="IJW11" s="143"/>
      <c r="IJX11" s="143"/>
      <c r="IJY11" s="143"/>
      <c r="IJZ11" s="143"/>
      <c r="IKA11" s="143"/>
      <c r="IKB11" s="143"/>
      <c r="IKC11" s="143"/>
      <c r="IKD11" s="143"/>
      <c r="IKE11" s="143"/>
      <c r="IKF11" s="143"/>
      <c r="IKG11" s="143"/>
      <c r="IKH11" s="143"/>
      <c r="IKI11" s="143"/>
      <c r="IKJ11" s="143"/>
      <c r="IKK11" s="143"/>
      <c r="IKL11" s="143"/>
      <c r="IKM11" s="143"/>
      <c r="IKN11" s="143"/>
      <c r="IKO11" s="143"/>
      <c r="IKP11" s="143"/>
      <c r="IKQ11" s="143"/>
      <c r="IKR11" s="143"/>
      <c r="IKS11" s="143"/>
      <c r="IKT11" s="143"/>
      <c r="IKU11" s="143"/>
      <c r="IKV11" s="143"/>
      <c r="IKW11" s="143"/>
      <c r="IKX11" s="143"/>
      <c r="IKY11" s="143"/>
      <c r="IKZ11" s="143"/>
      <c r="ILA11" s="143"/>
      <c r="ILB11" s="143"/>
      <c r="ILC11" s="143"/>
      <c r="ILD11" s="143"/>
      <c r="ILE11" s="143"/>
      <c r="ILF11" s="143"/>
      <c r="ILG11" s="143"/>
      <c r="ILH11" s="143"/>
      <c r="ILI11" s="143"/>
      <c r="ILJ11" s="143"/>
      <c r="ILK11" s="143"/>
      <c r="ILL11" s="143"/>
      <c r="ILM11" s="143"/>
      <c r="ILN11" s="143"/>
      <c r="ILO11" s="143"/>
      <c r="ILP11" s="143"/>
      <c r="ILQ11" s="143"/>
      <c r="ILR11" s="143"/>
      <c r="ILS11" s="143"/>
      <c r="ILT11" s="143"/>
      <c r="ILU11" s="143"/>
      <c r="ILV11" s="143"/>
      <c r="ILW11" s="143"/>
      <c r="ILX11" s="143"/>
      <c r="ILY11" s="143"/>
      <c r="ILZ11" s="143"/>
      <c r="IMA11" s="143"/>
      <c r="IMB11" s="143"/>
      <c r="IMC11" s="143"/>
      <c r="IMD11" s="143"/>
      <c r="IME11" s="143"/>
      <c r="IMF11" s="143"/>
      <c r="IMG11" s="143"/>
      <c r="IMH11" s="143"/>
      <c r="IMI11" s="143"/>
      <c r="IMJ11" s="143"/>
      <c r="IMK11" s="143"/>
      <c r="IML11" s="143"/>
      <c r="IMM11" s="143"/>
      <c r="IMN11" s="143"/>
      <c r="IMO11" s="143"/>
      <c r="IMP11" s="143"/>
      <c r="IMQ11" s="143"/>
      <c r="IMR11" s="143"/>
      <c r="IMS11" s="143"/>
      <c r="IMT11" s="143"/>
      <c r="IMU11" s="143"/>
      <c r="IMV11" s="143"/>
      <c r="IMW11" s="143"/>
      <c r="IMX11" s="143"/>
      <c r="IMY11" s="143"/>
      <c r="IMZ11" s="143"/>
      <c r="INA11" s="143"/>
      <c r="INB11" s="143"/>
      <c r="INC11" s="143"/>
      <c r="IND11" s="143"/>
      <c r="INE11" s="143"/>
      <c r="INF11" s="143"/>
      <c r="ING11" s="143"/>
      <c r="INH11" s="143"/>
      <c r="INI11" s="143"/>
      <c r="INJ11" s="143"/>
      <c r="INK11" s="143"/>
      <c r="INL11" s="143"/>
      <c r="INM11" s="143"/>
      <c r="INN11" s="143"/>
      <c r="INO11" s="143"/>
      <c r="INP11" s="143"/>
      <c r="INQ11" s="143"/>
      <c r="INR11" s="143"/>
      <c r="INS11" s="143"/>
      <c r="INT11" s="143"/>
      <c r="INU11" s="143"/>
      <c r="INV11" s="143"/>
      <c r="INW11" s="143"/>
      <c r="INX11" s="143"/>
      <c r="INY11" s="143"/>
      <c r="INZ11" s="143"/>
      <c r="IOA11" s="143"/>
      <c r="IOB11" s="143"/>
      <c r="IOC11" s="143"/>
      <c r="IOD11" s="143"/>
      <c r="IOE11" s="143"/>
      <c r="IOF11" s="143"/>
      <c r="IOG11" s="143"/>
      <c r="IOH11" s="143"/>
      <c r="IOI11" s="143"/>
      <c r="IOJ11" s="143"/>
      <c r="IOK11" s="143"/>
      <c r="IOL11" s="143"/>
      <c r="IOM11" s="143"/>
      <c r="ION11" s="143"/>
      <c r="IOO11" s="143"/>
      <c r="IOP11" s="143"/>
      <c r="IOQ11" s="143"/>
      <c r="IOR11" s="143"/>
      <c r="IOS11" s="143"/>
      <c r="IOT11" s="143"/>
      <c r="IOU11" s="143"/>
      <c r="IOV11" s="143"/>
      <c r="IOW11" s="143"/>
      <c r="IOX11" s="143"/>
      <c r="IOY11" s="143"/>
      <c r="IOZ11" s="143"/>
      <c r="IPA11" s="143"/>
      <c r="IPB11" s="143"/>
      <c r="IPC11" s="143"/>
      <c r="IPD11" s="143"/>
      <c r="IPE11" s="143"/>
      <c r="IPF11" s="143"/>
      <c r="IPG11" s="143"/>
      <c r="IPH11" s="143"/>
      <c r="IPI11" s="143"/>
      <c r="IPJ11" s="143"/>
      <c r="IPK11" s="143"/>
      <c r="IPL11" s="143"/>
      <c r="IPM11" s="143"/>
      <c r="IPN11" s="143"/>
      <c r="IPO11" s="143"/>
      <c r="IPP11" s="143"/>
      <c r="IPQ11" s="143"/>
      <c r="IPR11" s="143"/>
      <c r="IPS11" s="143"/>
      <c r="IPT11" s="143"/>
      <c r="IPU11" s="143"/>
      <c r="IPV11" s="143"/>
      <c r="IPW11" s="143"/>
      <c r="IPX11" s="143"/>
      <c r="IPY11" s="143"/>
      <c r="IPZ11" s="143"/>
      <c r="IQA11" s="143"/>
      <c r="IQB11" s="143"/>
      <c r="IQC11" s="143"/>
      <c r="IQD11" s="143"/>
      <c r="IQE11" s="143"/>
      <c r="IQF11" s="143"/>
      <c r="IQG11" s="143"/>
      <c r="IQH11" s="143"/>
      <c r="IQI11" s="143"/>
      <c r="IQJ11" s="143"/>
      <c r="IQK11" s="143"/>
      <c r="IQL11" s="143"/>
      <c r="IQM11" s="143"/>
      <c r="IQN11" s="143"/>
      <c r="IQO11" s="143"/>
      <c r="IQP11" s="143"/>
      <c r="IQQ11" s="143"/>
      <c r="IQR11" s="143"/>
      <c r="IQS11" s="143"/>
      <c r="IQT11" s="143"/>
      <c r="IQU11" s="143"/>
      <c r="IQV11" s="143"/>
      <c r="IQW11" s="143"/>
      <c r="IQX11" s="143"/>
      <c r="IQY11" s="143"/>
      <c r="IQZ11" s="143"/>
      <c r="IRA11" s="143"/>
      <c r="IRB11" s="143"/>
      <c r="IRC11" s="143"/>
      <c r="IRD11" s="143"/>
      <c r="IRE11" s="143"/>
      <c r="IRF11" s="143"/>
      <c r="IRG11" s="143"/>
      <c r="IRH11" s="143"/>
      <c r="IRI11" s="143"/>
      <c r="IRJ11" s="143"/>
      <c r="IRK11" s="143"/>
      <c r="IRL11" s="143"/>
      <c r="IRM11" s="143"/>
      <c r="IRN11" s="143"/>
      <c r="IRO11" s="143"/>
      <c r="IRP11" s="143"/>
      <c r="IRQ11" s="143"/>
      <c r="IRR11" s="143"/>
      <c r="IRS11" s="143"/>
      <c r="IRT11" s="143"/>
      <c r="IRU11" s="143"/>
      <c r="IRV11" s="143"/>
      <c r="IRW11" s="143"/>
      <c r="IRX11" s="143"/>
      <c r="IRY11" s="143"/>
      <c r="IRZ11" s="143"/>
      <c r="ISA11" s="143"/>
      <c r="ISB11" s="143"/>
      <c r="ISC11" s="143"/>
      <c r="ISD11" s="143"/>
      <c r="ISE11" s="143"/>
      <c r="ISF11" s="143"/>
      <c r="ISG11" s="143"/>
      <c r="ISH11" s="143"/>
      <c r="ISI11" s="143"/>
      <c r="ISJ11" s="143"/>
      <c r="ISK11" s="143"/>
      <c r="ISL11" s="143"/>
      <c r="ISM11" s="143"/>
      <c r="ISN11" s="143"/>
      <c r="ISO11" s="143"/>
      <c r="ISP11" s="143"/>
      <c r="ISQ11" s="143"/>
      <c r="ISR11" s="143"/>
      <c r="ISS11" s="143"/>
      <c r="IST11" s="143"/>
      <c r="ISU11" s="143"/>
      <c r="ISV11" s="143"/>
      <c r="ISW11" s="143"/>
      <c r="ISX11" s="143"/>
      <c r="ISY11" s="143"/>
      <c r="ISZ11" s="143"/>
      <c r="ITA11" s="143"/>
      <c r="ITB11" s="143"/>
      <c r="ITC11" s="143"/>
      <c r="ITD11" s="143"/>
      <c r="ITE11" s="143"/>
      <c r="ITF11" s="143"/>
      <c r="ITG11" s="143"/>
      <c r="ITH11" s="143"/>
      <c r="ITI11" s="143"/>
      <c r="ITJ11" s="143"/>
      <c r="ITK11" s="143"/>
      <c r="ITL11" s="143"/>
      <c r="ITM11" s="143"/>
      <c r="ITN11" s="143"/>
      <c r="ITO11" s="143"/>
      <c r="ITP11" s="143"/>
      <c r="ITQ11" s="143"/>
      <c r="ITR11" s="143"/>
      <c r="ITS11" s="143"/>
      <c r="ITT11" s="143"/>
      <c r="ITU11" s="143"/>
      <c r="ITV11" s="143"/>
      <c r="ITW11" s="143"/>
      <c r="ITX11" s="143"/>
      <c r="ITY11" s="143"/>
      <c r="ITZ11" s="143"/>
      <c r="IUA11" s="143"/>
      <c r="IUB11" s="143"/>
      <c r="IUC11" s="143"/>
      <c r="IUD11" s="143"/>
      <c r="IUE11" s="143"/>
      <c r="IUF11" s="143"/>
      <c r="IUG11" s="143"/>
      <c r="IUH11" s="143"/>
      <c r="IUI11" s="143"/>
      <c r="IUJ11" s="143"/>
      <c r="IUK11" s="143"/>
      <c r="IUL11" s="143"/>
      <c r="IUM11" s="143"/>
      <c r="IUN11" s="143"/>
      <c r="IUO11" s="143"/>
      <c r="IUP11" s="143"/>
      <c r="IUQ11" s="143"/>
      <c r="IUR11" s="143"/>
      <c r="IUS11" s="143"/>
      <c r="IUT11" s="143"/>
      <c r="IUU11" s="143"/>
      <c r="IUV11" s="143"/>
      <c r="IUW11" s="143"/>
      <c r="IUX11" s="143"/>
      <c r="IUY11" s="143"/>
      <c r="IUZ11" s="143"/>
      <c r="IVA11" s="143"/>
      <c r="IVB11" s="143"/>
      <c r="IVC11" s="143"/>
      <c r="IVD11" s="143"/>
      <c r="IVE11" s="143"/>
      <c r="IVF11" s="143"/>
      <c r="IVG11" s="143"/>
      <c r="IVH11" s="143"/>
      <c r="IVI11" s="143"/>
      <c r="IVJ11" s="143"/>
      <c r="IVK11" s="143"/>
      <c r="IVL11" s="143"/>
      <c r="IVM11" s="143"/>
      <c r="IVN11" s="143"/>
      <c r="IVO11" s="143"/>
      <c r="IVP11" s="143"/>
      <c r="IVQ11" s="143"/>
      <c r="IVR11" s="143"/>
      <c r="IVS11" s="143"/>
      <c r="IVT11" s="143"/>
      <c r="IVU11" s="143"/>
      <c r="IVV11" s="143"/>
      <c r="IVW11" s="143"/>
      <c r="IVX11" s="143"/>
      <c r="IVY11" s="143"/>
      <c r="IVZ11" s="143"/>
      <c r="IWA11" s="143"/>
      <c r="IWB11" s="143"/>
      <c r="IWC11" s="143"/>
      <c r="IWD11" s="143"/>
      <c r="IWE11" s="143"/>
      <c r="IWF11" s="143"/>
      <c r="IWG11" s="143"/>
      <c r="IWH11" s="143"/>
      <c r="IWI11" s="143"/>
      <c r="IWJ11" s="143"/>
      <c r="IWK11" s="143"/>
      <c r="IWL11" s="143"/>
      <c r="IWM11" s="143"/>
      <c r="IWN11" s="143"/>
      <c r="IWO11" s="143"/>
      <c r="IWP11" s="143"/>
      <c r="IWQ11" s="143"/>
      <c r="IWR11" s="143"/>
      <c r="IWS11" s="143"/>
      <c r="IWT11" s="143"/>
      <c r="IWU11" s="143"/>
      <c r="IWV11" s="143"/>
      <c r="IWW11" s="143"/>
      <c r="IWX11" s="143"/>
      <c r="IWY11" s="143"/>
      <c r="IWZ11" s="143"/>
      <c r="IXA11" s="143"/>
      <c r="IXB11" s="143"/>
      <c r="IXC11" s="143"/>
      <c r="IXD11" s="143"/>
      <c r="IXE11" s="143"/>
      <c r="IXF11" s="143"/>
      <c r="IXG11" s="143"/>
      <c r="IXH11" s="143"/>
      <c r="IXI11" s="143"/>
      <c r="IXJ11" s="143"/>
      <c r="IXK11" s="143"/>
      <c r="IXL11" s="143"/>
      <c r="IXM11" s="143"/>
      <c r="IXN11" s="143"/>
      <c r="IXO11" s="143"/>
      <c r="IXP11" s="143"/>
      <c r="IXQ11" s="143"/>
      <c r="IXR11" s="143"/>
      <c r="IXS11" s="143"/>
      <c r="IXT11" s="143"/>
      <c r="IXU11" s="143"/>
      <c r="IXV11" s="143"/>
      <c r="IXW11" s="143"/>
      <c r="IXX11" s="143"/>
      <c r="IXY11" s="143"/>
      <c r="IXZ11" s="143"/>
      <c r="IYA11" s="143"/>
      <c r="IYB11" s="143"/>
      <c r="IYC11" s="143"/>
      <c r="IYD11" s="143"/>
      <c r="IYE11" s="143"/>
      <c r="IYF11" s="143"/>
      <c r="IYG11" s="143"/>
      <c r="IYH11" s="143"/>
      <c r="IYI11" s="143"/>
      <c r="IYJ11" s="143"/>
      <c r="IYK11" s="143"/>
      <c r="IYL11" s="143"/>
      <c r="IYM11" s="143"/>
      <c r="IYN11" s="143"/>
      <c r="IYO11" s="143"/>
      <c r="IYP11" s="143"/>
      <c r="IYQ11" s="143"/>
      <c r="IYR11" s="143"/>
      <c r="IYS11" s="143"/>
      <c r="IYT11" s="143"/>
      <c r="IYU11" s="143"/>
      <c r="IYV11" s="143"/>
      <c r="IYW11" s="143"/>
      <c r="IYX11" s="143"/>
      <c r="IYY11" s="143"/>
      <c r="IYZ11" s="143"/>
      <c r="IZA11" s="143"/>
      <c r="IZB11" s="143"/>
      <c r="IZC11" s="143"/>
      <c r="IZD11" s="143"/>
      <c r="IZE11" s="143"/>
      <c r="IZF11" s="143"/>
      <c r="IZG11" s="143"/>
      <c r="IZH11" s="143"/>
      <c r="IZI11" s="143"/>
      <c r="IZJ11" s="143"/>
      <c r="IZK11" s="143"/>
      <c r="IZL11" s="143"/>
      <c r="IZM11" s="143"/>
      <c r="IZN11" s="143"/>
      <c r="IZO11" s="143"/>
      <c r="IZP11" s="143"/>
      <c r="IZQ11" s="143"/>
      <c r="IZR11" s="143"/>
      <c r="IZS11" s="143"/>
      <c r="IZT11" s="143"/>
      <c r="IZU11" s="143"/>
      <c r="IZV11" s="143"/>
      <c r="IZW11" s="143"/>
      <c r="IZX11" s="143"/>
      <c r="IZY11" s="143"/>
      <c r="IZZ11" s="143"/>
      <c r="JAA11" s="143"/>
      <c r="JAB11" s="143"/>
      <c r="JAC11" s="143"/>
      <c r="JAD11" s="143"/>
      <c r="JAE11" s="143"/>
      <c r="JAF11" s="143"/>
      <c r="JAG11" s="143"/>
      <c r="JAH11" s="143"/>
      <c r="JAI11" s="143"/>
      <c r="JAJ11" s="143"/>
      <c r="JAK11" s="143"/>
      <c r="JAL11" s="143"/>
      <c r="JAM11" s="143"/>
      <c r="JAN11" s="143"/>
      <c r="JAO11" s="143"/>
      <c r="JAP11" s="143"/>
      <c r="JAQ11" s="143"/>
      <c r="JAR11" s="143"/>
      <c r="JAS11" s="143"/>
      <c r="JAT11" s="143"/>
      <c r="JAU11" s="143"/>
      <c r="JAV11" s="143"/>
      <c r="JAW11" s="143"/>
      <c r="JAX11" s="143"/>
      <c r="JAY11" s="143"/>
      <c r="JAZ11" s="143"/>
      <c r="JBA11" s="143"/>
      <c r="JBB11" s="143"/>
      <c r="JBC11" s="143"/>
      <c r="JBD11" s="143"/>
      <c r="JBE11" s="143"/>
      <c r="JBF11" s="143"/>
      <c r="JBG11" s="143"/>
      <c r="JBH11" s="143"/>
      <c r="JBI11" s="143"/>
      <c r="JBJ11" s="143"/>
      <c r="JBK11" s="143"/>
      <c r="JBL11" s="143"/>
      <c r="JBM11" s="143"/>
      <c r="JBN11" s="143"/>
      <c r="JBO11" s="143"/>
      <c r="JBP11" s="143"/>
      <c r="JBQ11" s="143"/>
      <c r="JBR11" s="143"/>
      <c r="JBS11" s="143"/>
      <c r="JBT11" s="143"/>
      <c r="JBU11" s="143"/>
      <c r="JBV11" s="143"/>
      <c r="JBW11" s="143"/>
      <c r="JBX11" s="143"/>
      <c r="JBY11" s="143"/>
      <c r="JBZ11" s="143"/>
      <c r="JCA11" s="143"/>
      <c r="JCB11" s="143"/>
      <c r="JCC11" s="143"/>
      <c r="JCD11" s="143"/>
      <c r="JCE11" s="143"/>
      <c r="JCF11" s="143"/>
      <c r="JCG11" s="143"/>
      <c r="JCH11" s="143"/>
      <c r="JCI11" s="143"/>
      <c r="JCJ11" s="143"/>
      <c r="JCK11" s="143"/>
      <c r="JCL11" s="143"/>
      <c r="JCM11" s="143"/>
      <c r="JCN11" s="143"/>
      <c r="JCO11" s="143"/>
      <c r="JCP11" s="143"/>
      <c r="JCQ11" s="143"/>
      <c r="JCR11" s="143"/>
      <c r="JCS11" s="143"/>
      <c r="JCT11" s="143"/>
      <c r="JCU11" s="143"/>
      <c r="JCV11" s="143"/>
      <c r="JCW11" s="143"/>
      <c r="JCX11" s="143"/>
      <c r="JCY11" s="143"/>
      <c r="JCZ11" s="143"/>
      <c r="JDA11" s="143"/>
      <c r="JDB11" s="143"/>
      <c r="JDC11" s="143"/>
      <c r="JDD11" s="143"/>
      <c r="JDE11" s="143"/>
      <c r="JDF11" s="143"/>
      <c r="JDG11" s="143"/>
      <c r="JDH11" s="143"/>
      <c r="JDI11" s="143"/>
      <c r="JDJ11" s="143"/>
      <c r="JDK11" s="143"/>
      <c r="JDL11" s="143"/>
      <c r="JDM11" s="143"/>
      <c r="JDN11" s="143"/>
      <c r="JDO11" s="143"/>
      <c r="JDP11" s="143"/>
      <c r="JDQ11" s="143"/>
      <c r="JDR11" s="143"/>
      <c r="JDS11" s="143"/>
      <c r="JDT11" s="143"/>
      <c r="JDU11" s="143"/>
      <c r="JDV11" s="143"/>
      <c r="JDW11" s="143"/>
      <c r="JDX11" s="143"/>
      <c r="JDY11" s="143"/>
      <c r="JDZ11" s="143"/>
      <c r="JEA11" s="143"/>
      <c r="JEB11" s="143"/>
      <c r="JEC11" s="143"/>
      <c r="JED11" s="143"/>
      <c r="JEE11" s="143"/>
      <c r="JEF11" s="143"/>
      <c r="JEG11" s="143"/>
      <c r="JEH11" s="143"/>
      <c r="JEI11" s="143"/>
      <c r="JEJ11" s="143"/>
      <c r="JEK11" s="143"/>
      <c r="JEL11" s="143"/>
      <c r="JEM11" s="143"/>
      <c r="JEN11" s="143"/>
      <c r="JEO11" s="143"/>
      <c r="JEP11" s="143"/>
      <c r="JEQ11" s="143"/>
      <c r="JER11" s="143"/>
      <c r="JES11" s="143"/>
      <c r="JET11" s="143"/>
      <c r="JEU11" s="143"/>
      <c r="JEV11" s="143"/>
      <c r="JEW11" s="143"/>
      <c r="JEX11" s="143"/>
      <c r="JEY11" s="143"/>
      <c r="JEZ11" s="143"/>
      <c r="JFA11" s="143"/>
      <c r="JFB11" s="143"/>
      <c r="JFC11" s="143"/>
      <c r="JFD11" s="143"/>
      <c r="JFE11" s="143"/>
      <c r="JFF11" s="143"/>
      <c r="JFG11" s="143"/>
      <c r="JFH11" s="143"/>
      <c r="JFI11" s="143"/>
      <c r="JFJ11" s="143"/>
      <c r="JFK11" s="143"/>
      <c r="JFL11" s="143"/>
      <c r="JFM11" s="143"/>
      <c r="JFN11" s="143"/>
      <c r="JFO11" s="143"/>
      <c r="JFP11" s="143"/>
      <c r="JFQ11" s="143"/>
      <c r="JFR11" s="143"/>
      <c r="JFS11" s="143"/>
      <c r="JFT11" s="143"/>
      <c r="JFU11" s="143"/>
      <c r="JFV11" s="143"/>
      <c r="JFW11" s="143"/>
      <c r="JFX11" s="143"/>
      <c r="JFY11" s="143"/>
      <c r="JFZ11" s="143"/>
      <c r="JGA11" s="143"/>
      <c r="JGB11" s="143"/>
      <c r="JGC11" s="143"/>
      <c r="JGD11" s="143"/>
      <c r="JGE11" s="143"/>
      <c r="JGF11" s="143"/>
      <c r="JGG11" s="143"/>
      <c r="JGH11" s="143"/>
      <c r="JGI11" s="143"/>
      <c r="JGJ11" s="143"/>
      <c r="JGK11" s="143"/>
      <c r="JGL11" s="143"/>
      <c r="JGM11" s="143"/>
      <c r="JGN11" s="143"/>
      <c r="JGO11" s="143"/>
      <c r="JGP11" s="143"/>
      <c r="JGQ11" s="143"/>
      <c r="JGR11" s="143"/>
      <c r="JGS11" s="143"/>
      <c r="JGT11" s="143"/>
      <c r="JGU11" s="143"/>
      <c r="JGV11" s="143"/>
      <c r="JGW11" s="143"/>
      <c r="JGX11" s="143"/>
      <c r="JGY11" s="143"/>
      <c r="JGZ11" s="143"/>
      <c r="JHA11" s="143"/>
      <c r="JHB11" s="143"/>
      <c r="JHC11" s="143"/>
      <c r="JHD11" s="143"/>
      <c r="JHE11" s="143"/>
      <c r="JHF11" s="143"/>
      <c r="JHG11" s="143"/>
      <c r="JHH11" s="143"/>
      <c r="JHI11" s="143"/>
      <c r="JHJ11" s="143"/>
      <c r="JHK11" s="143"/>
      <c r="JHL11" s="143"/>
      <c r="JHM11" s="143"/>
      <c r="JHN11" s="143"/>
      <c r="JHO11" s="143"/>
      <c r="JHP11" s="143"/>
      <c r="JHQ11" s="143"/>
      <c r="JHR11" s="143"/>
      <c r="JHS11" s="143"/>
      <c r="JHT11" s="143"/>
      <c r="JHU11" s="143"/>
      <c r="JHV11" s="143"/>
      <c r="JHW11" s="143"/>
      <c r="JHX11" s="143"/>
      <c r="JHY11" s="143"/>
      <c r="JHZ11" s="143"/>
      <c r="JIA11" s="143"/>
      <c r="JIB11" s="143"/>
      <c r="JIC11" s="143"/>
      <c r="JID11" s="143"/>
      <c r="JIE11" s="143"/>
      <c r="JIF11" s="143"/>
      <c r="JIG11" s="143"/>
      <c r="JIH11" s="143"/>
      <c r="JII11" s="143"/>
      <c r="JIJ11" s="143"/>
      <c r="JIK11" s="143"/>
      <c r="JIL11" s="143"/>
      <c r="JIM11" s="143"/>
      <c r="JIN11" s="143"/>
      <c r="JIO11" s="143"/>
      <c r="JIP11" s="143"/>
      <c r="JIQ11" s="143"/>
      <c r="JIR11" s="143"/>
      <c r="JIS11" s="143"/>
      <c r="JIT11" s="143"/>
      <c r="JIU11" s="143"/>
      <c r="JIV11" s="143"/>
      <c r="JIW11" s="143"/>
      <c r="JIX11" s="143"/>
      <c r="JIY11" s="143"/>
      <c r="JIZ11" s="143"/>
      <c r="JJA11" s="143"/>
      <c r="JJB11" s="143"/>
      <c r="JJC11" s="143"/>
      <c r="JJD11" s="143"/>
      <c r="JJE11" s="143"/>
      <c r="JJF11" s="143"/>
      <c r="JJG11" s="143"/>
      <c r="JJH11" s="143"/>
      <c r="JJI11" s="143"/>
      <c r="JJJ11" s="143"/>
      <c r="JJK11" s="143"/>
      <c r="JJL11" s="143"/>
      <c r="JJM11" s="143"/>
      <c r="JJN11" s="143"/>
      <c r="JJO11" s="143"/>
      <c r="JJP11" s="143"/>
      <c r="JJQ11" s="143"/>
      <c r="JJR11" s="143"/>
      <c r="JJS11" s="143"/>
      <c r="JJT11" s="143"/>
      <c r="JJU11" s="143"/>
      <c r="JJV11" s="143"/>
      <c r="JJW11" s="143"/>
      <c r="JJX11" s="143"/>
      <c r="JJY11" s="143"/>
      <c r="JJZ11" s="143"/>
      <c r="JKA11" s="143"/>
      <c r="JKB11" s="143"/>
      <c r="JKC11" s="143"/>
      <c r="JKD11" s="143"/>
      <c r="JKE11" s="143"/>
      <c r="JKF11" s="143"/>
      <c r="JKG11" s="143"/>
      <c r="JKH11" s="143"/>
      <c r="JKI11" s="143"/>
      <c r="JKJ11" s="143"/>
      <c r="JKK11" s="143"/>
      <c r="JKL11" s="143"/>
      <c r="JKM11" s="143"/>
      <c r="JKN11" s="143"/>
      <c r="JKO11" s="143"/>
      <c r="JKP11" s="143"/>
      <c r="JKQ11" s="143"/>
      <c r="JKR11" s="143"/>
      <c r="JKS11" s="143"/>
      <c r="JKT11" s="143"/>
      <c r="JKU11" s="143"/>
      <c r="JKV11" s="143"/>
      <c r="JKW11" s="143"/>
      <c r="JKX11" s="143"/>
      <c r="JKY11" s="143"/>
      <c r="JKZ11" s="143"/>
      <c r="JLA11" s="143"/>
      <c r="JLB11" s="143"/>
      <c r="JLC11" s="143"/>
      <c r="JLD11" s="143"/>
      <c r="JLE11" s="143"/>
      <c r="JLF11" s="143"/>
      <c r="JLG11" s="143"/>
      <c r="JLH11" s="143"/>
      <c r="JLI11" s="143"/>
      <c r="JLJ11" s="143"/>
      <c r="JLK11" s="143"/>
      <c r="JLL11" s="143"/>
      <c r="JLM11" s="143"/>
      <c r="JLN11" s="143"/>
      <c r="JLO11" s="143"/>
      <c r="JLP11" s="143"/>
      <c r="JLQ11" s="143"/>
      <c r="JLR11" s="143"/>
      <c r="JLS11" s="143"/>
      <c r="JLT11" s="143"/>
      <c r="JLU11" s="143"/>
      <c r="JLV11" s="143"/>
      <c r="JLW11" s="143"/>
      <c r="JLX11" s="143"/>
      <c r="JLY11" s="143"/>
      <c r="JLZ11" s="143"/>
      <c r="JMA11" s="143"/>
      <c r="JMB11" s="143"/>
      <c r="JMC11" s="143"/>
      <c r="JMD11" s="143"/>
      <c r="JME11" s="143"/>
      <c r="JMF11" s="143"/>
      <c r="JMG11" s="143"/>
      <c r="JMH11" s="143"/>
      <c r="JMI11" s="143"/>
      <c r="JMJ11" s="143"/>
      <c r="JMK11" s="143"/>
      <c r="JML11" s="143"/>
      <c r="JMM11" s="143"/>
      <c r="JMN11" s="143"/>
      <c r="JMO11" s="143"/>
      <c r="JMP11" s="143"/>
      <c r="JMQ11" s="143"/>
      <c r="JMR11" s="143"/>
      <c r="JMS11" s="143"/>
      <c r="JMT11" s="143"/>
      <c r="JMU11" s="143"/>
      <c r="JMV11" s="143"/>
      <c r="JMW11" s="143"/>
      <c r="JMX11" s="143"/>
      <c r="JMY11" s="143"/>
      <c r="JMZ11" s="143"/>
      <c r="JNA11" s="143"/>
      <c r="JNB11" s="143"/>
      <c r="JNC11" s="143"/>
      <c r="JND11" s="143"/>
      <c r="JNE11" s="143"/>
      <c r="JNF11" s="143"/>
      <c r="JNG11" s="143"/>
      <c r="JNH11" s="143"/>
      <c r="JNI11" s="143"/>
      <c r="JNJ11" s="143"/>
      <c r="JNK11" s="143"/>
      <c r="JNL11" s="143"/>
      <c r="JNM11" s="143"/>
      <c r="JNN11" s="143"/>
      <c r="JNO11" s="143"/>
      <c r="JNP11" s="143"/>
      <c r="JNQ11" s="143"/>
      <c r="JNR11" s="143"/>
      <c r="JNS11" s="143"/>
      <c r="JNT11" s="143"/>
      <c r="JNU11" s="143"/>
      <c r="JNV11" s="143"/>
      <c r="JNW11" s="143"/>
      <c r="JNX11" s="143"/>
      <c r="JNY11" s="143"/>
      <c r="JNZ11" s="143"/>
      <c r="JOA11" s="143"/>
      <c r="JOB11" s="143"/>
      <c r="JOC11" s="143"/>
      <c r="JOD11" s="143"/>
      <c r="JOE11" s="143"/>
      <c r="JOF11" s="143"/>
      <c r="JOG11" s="143"/>
      <c r="JOH11" s="143"/>
      <c r="JOI11" s="143"/>
      <c r="JOJ11" s="143"/>
      <c r="JOK11" s="143"/>
      <c r="JOL11" s="143"/>
      <c r="JOM11" s="143"/>
      <c r="JON11" s="143"/>
      <c r="JOO11" s="143"/>
      <c r="JOP11" s="143"/>
      <c r="JOQ11" s="143"/>
      <c r="JOR11" s="143"/>
      <c r="JOS11" s="143"/>
      <c r="JOT11" s="143"/>
      <c r="JOU11" s="143"/>
      <c r="JOV11" s="143"/>
      <c r="JOW11" s="143"/>
      <c r="JOX11" s="143"/>
      <c r="JOY11" s="143"/>
      <c r="JOZ11" s="143"/>
      <c r="JPA11" s="143"/>
      <c r="JPB11" s="143"/>
      <c r="JPC11" s="143"/>
      <c r="JPD11" s="143"/>
      <c r="JPE11" s="143"/>
      <c r="JPF11" s="143"/>
      <c r="JPG11" s="143"/>
      <c r="JPH11" s="143"/>
      <c r="JPI11" s="143"/>
      <c r="JPJ11" s="143"/>
      <c r="JPK11" s="143"/>
      <c r="JPL11" s="143"/>
      <c r="JPM11" s="143"/>
      <c r="JPN11" s="143"/>
      <c r="JPO11" s="143"/>
      <c r="JPP11" s="143"/>
      <c r="JPQ11" s="143"/>
      <c r="JPR11" s="143"/>
      <c r="JPS11" s="143"/>
      <c r="JPT11" s="143"/>
      <c r="JPU11" s="143"/>
      <c r="JPV11" s="143"/>
      <c r="JPW11" s="143"/>
      <c r="JPX11" s="143"/>
      <c r="JPY11" s="143"/>
      <c r="JPZ11" s="143"/>
      <c r="JQA11" s="143"/>
      <c r="JQB11" s="143"/>
      <c r="JQC11" s="143"/>
      <c r="JQD11" s="143"/>
      <c r="JQE11" s="143"/>
      <c r="JQF11" s="143"/>
      <c r="JQG11" s="143"/>
      <c r="JQH11" s="143"/>
      <c r="JQI11" s="143"/>
      <c r="JQJ11" s="143"/>
      <c r="JQK11" s="143"/>
      <c r="JQL11" s="143"/>
      <c r="JQM11" s="143"/>
      <c r="JQN11" s="143"/>
      <c r="JQO11" s="143"/>
      <c r="JQP11" s="143"/>
      <c r="JQQ11" s="143"/>
      <c r="JQR11" s="143"/>
      <c r="JQS11" s="143"/>
      <c r="JQT11" s="143"/>
      <c r="JQU11" s="143"/>
      <c r="JQV11" s="143"/>
      <c r="JQW11" s="143"/>
      <c r="JQX11" s="143"/>
      <c r="JQY11" s="143"/>
      <c r="JQZ11" s="143"/>
      <c r="JRA11" s="143"/>
      <c r="JRB11" s="143"/>
      <c r="JRC11" s="143"/>
      <c r="JRD11" s="143"/>
      <c r="JRE11" s="143"/>
      <c r="JRF11" s="143"/>
      <c r="JRG11" s="143"/>
      <c r="JRH11" s="143"/>
      <c r="JRI11" s="143"/>
      <c r="JRJ11" s="143"/>
      <c r="JRK11" s="143"/>
      <c r="JRL11" s="143"/>
      <c r="JRM11" s="143"/>
      <c r="JRN11" s="143"/>
      <c r="JRO11" s="143"/>
      <c r="JRP11" s="143"/>
      <c r="JRQ11" s="143"/>
      <c r="JRR11" s="143"/>
      <c r="JRS11" s="143"/>
      <c r="JRT11" s="143"/>
      <c r="JRU11" s="143"/>
      <c r="JRV11" s="143"/>
      <c r="JRW11" s="143"/>
      <c r="JRX11" s="143"/>
      <c r="JRY11" s="143"/>
      <c r="JRZ11" s="143"/>
      <c r="JSA11" s="143"/>
      <c r="JSB11" s="143"/>
      <c r="JSC11" s="143"/>
      <c r="JSD11" s="143"/>
      <c r="JSE11" s="143"/>
      <c r="JSF11" s="143"/>
      <c r="JSG11" s="143"/>
      <c r="JSH11" s="143"/>
      <c r="JSI11" s="143"/>
      <c r="JSJ11" s="143"/>
      <c r="JSK11" s="143"/>
      <c r="JSL11" s="143"/>
      <c r="JSM11" s="143"/>
      <c r="JSN11" s="143"/>
      <c r="JSO11" s="143"/>
      <c r="JSP11" s="143"/>
      <c r="JSQ11" s="143"/>
      <c r="JSR11" s="143"/>
      <c r="JSS11" s="143"/>
      <c r="JST11" s="143"/>
      <c r="JSU11" s="143"/>
      <c r="JSV11" s="143"/>
      <c r="JSW11" s="143"/>
      <c r="JSX11" s="143"/>
      <c r="JSY11" s="143"/>
      <c r="JSZ11" s="143"/>
      <c r="JTA11" s="143"/>
      <c r="JTB11" s="143"/>
      <c r="JTC11" s="143"/>
      <c r="JTD11" s="143"/>
      <c r="JTE11" s="143"/>
      <c r="JTF11" s="143"/>
      <c r="JTG11" s="143"/>
      <c r="JTH11" s="143"/>
      <c r="JTI11" s="143"/>
      <c r="JTJ11" s="143"/>
      <c r="JTK11" s="143"/>
      <c r="JTL11" s="143"/>
      <c r="JTM11" s="143"/>
      <c r="JTN11" s="143"/>
      <c r="JTO11" s="143"/>
      <c r="JTP11" s="143"/>
      <c r="JTQ11" s="143"/>
      <c r="JTR11" s="143"/>
      <c r="JTS11" s="143"/>
      <c r="JTT11" s="143"/>
      <c r="JTU11" s="143"/>
      <c r="JTV11" s="143"/>
      <c r="JTW11" s="143"/>
      <c r="JTX11" s="143"/>
      <c r="JTY11" s="143"/>
      <c r="JTZ11" s="143"/>
      <c r="JUA11" s="143"/>
      <c r="JUB11" s="143"/>
      <c r="JUC11" s="143"/>
      <c r="JUD11" s="143"/>
      <c r="JUE11" s="143"/>
      <c r="JUF11" s="143"/>
      <c r="JUG11" s="143"/>
      <c r="JUH11" s="143"/>
      <c r="JUI11" s="143"/>
      <c r="JUJ11" s="143"/>
      <c r="JUK11" s="143"/>
      <c r="JUL11" s="143"/>
      <c r="JUM11" s="143"/>
      <c r="JUN11" s="143"/>
      <c r="JUO11" s="143"/>
      <c r="JUP11" s="143"/>
      <c r="JUQ11" s="143"/>
      <c r="JUR11" s="143"/>
      <c r="JUS11" s="143"/>
      <c r="JUT11" s="143"/>
      <c r="JUU11" s="143"/>
      <c r="JUV11" s="143"/>
      <c r="JUW11" s="143"/>
      <c r="JUX11" s="143"/>
      <c r="JUY11" s="143"/>
      <c r="JUZ11" s="143"/>
      <c r="JVA11" s="143"/>
      <c r="JVB11" s="143"/>
      <c r="JVC11" s="143"/>
      <c r="JVD11" s="143"/>
      <c r="JVE11" s="143"/>
      <c r="JVF11" s="143"/>
      <c r="JVG11" s="143"/>
      <c r="JVH11" s="143"/>
      <c r="JVI11" s="143"/>
      <c r="JVJ11" s="143"/>
      <c r="JVK11" s="143"/>
      <c r="JVL11" s="143"/>
      <c r="JVM11" s="143"/>
      <c r="JVN11" s="143"/>
      <c r="JVO11" s="143"/>
      <c r="JVP11" s="143"/>
      <c r="JVQ11" s="143"/>
      <c r="JVR11" s="143"/>
      <c r="JVS11" s="143"/>
      <c r="JVT11" s="143"/>
      <c r="JVU11" s="143"/>
      <c r="JVV11" s="143"/>
      <c r="JVW11" s="143"/>
      <c r="JVX11" s="143"/>
      <c r="JVY11" s="143"/>
      <c r="JVZ11" s="143"/>
      <c r="JWA11" s="143"/>
      <c r="JWB11" s="143"/>
      <c r="JWC11" s="143"/>
      <c r="JWD11" s="143"/>
      <c r="JWE11" s="143"/>
      <c r="JWF11" s="143"/>
      <c r="JWG11" s="143"/>
      <c r="JWH11" s="143"/>
      <c r="JWI11" s="143"/>
      <c r="JWJ11" s="143"/>
      <c r="JWK11" s="143"/>
      <c r="JWL11" s="143"/>
      <c r="JWM11" s="143"/>
      <c r="JWN11" s="143"/>
      <c r="JWO11" s="143"/>
      <c r="JWP11" s="143"/>
      <c r="JWQ11" s="143"/>
      <c r="JWR11" s="143"/>
      <c r="JWS11" s="143"/>
      <c r="JWT11" s="143"/>
      <c r="JWU11" s="143"/>
      <c r="JWV11" s="143"/>
      <c r="JWW11" s="143"/>
      <c r="JWX11" s="143"/>
      <c r="JWY11" s="143"/>
      <c r="JWZ11" s="143"/>
      <c r="JXA11" s="143"/>
      <c r="JXB11" s="143"/>
      <c r="JXC11" s="143"/>
      <c r="JXD11" s="143"/>
      <c r="JXE11" s="143"/>
      <c r="JXF11" s="143"/>
      <c r="JXG11" s="143"/>
      <c r="JXH11" s="143"/>
      <c r="JXI11" s="143"/>
      <c r="JXJ11" s="143"/>
      <c r="JXK11" s="143"/>
      <c r="JXL11" s="143"/>
      <c r="JXM11" s="143"/>
      <c r="JXN11" s="143"/>
      <c r="JXO11" s="143"/>
      <c r="JXP11" s="143"/>
      <c r="JXQ11" s="143"/>
      <c r="JXR11" s="143"/>
      <c r="JXS11" s="143"/>
      <c r="JXT11" s="143"/>
      <c r="JXU11" s="143"/>
      <c r="JXV11" s="143"/>
      <c r="JXW11" s="143"/>
      <c r="JXX11" s="143"/>
      <c r="JXY11" s="143"/>
      <c r="JXZ11" s="143"/>
      <c r="JYA11" s="143"/>
      <c r="JYB11" s="143"/>
      <c r="JYC11" s="143"/>
      <c r="JYD11" s="143"/>
      <c r="JYE11" s="143"/>
      <c r="JYF11" s="143"/>
      <c r="JYG11" s="143"/>
      <c r="JYH11" s="143"/>
      <c r="JYI11" s="143"/>
      <c r="JYJ11" s="143"/>
      <c r="JYK11" s="143"/>
      <c r="JYL11" s="143"/>
      <c r="JYM11" s="143"/>
      <c r="JYN11" s="143"/>
      <c r="JYO11" s="143"/>
      <c r="JYP11" s="143"/>
      <c r="JYQ11" s="143"/>
      <c r="JYR11" s="143"/>
      <c r="JYS11" s="143"/>
      <c r="JYT11" s="143"/>
      <c r="JYU11" s="143"/>
      <c r="JYV11" s="143"/>
      <c r="JYW11" s="143"/>
      <c r="JYX11" s="143"/>
      <c r="JYY11" s="143"/>
      <c r="JYZ11" s="143"/>
      <c r="JZA11" s="143"/>
      <c r="JZB11" s="143"/>
      <c r="JZC11" s="143"/>
      <c r="JZD11" s="143"/>
      <c r="JZE11" s="143"/>
      <c r="JZF11" s="143"/>
      <c r="JZG11" s="143"/>
      <c r="JZH11" s="143"/>
      <c r="JZI11" s="143"/>
      <c r="JZJ11" s="143"/>
      <c r="JZK11" s="143"/>
      <c r="JZL11" s="143"/>
      <c r="JZM11" s="143"/>
      <c r="JZN11" s="143"/>
      <c r="JZO11" s="143"/>
      <c r="JZP11" s="143"/>
      <c r="JZQ11" s="143"/>
      <c r="JZR11" s="143"/>
      <c r="JZS11" s="143"/>
      <c r="JZT11" s="143"/>
      <c r="JZU11" s="143"/>
      <c r="JZV11" s="143"/>
      <c r="JZW11" s="143"/>
      <c r="JZX11" s="143"/>
      <c r="JZY11" s="143"/>
      <c r="JZZ11" s="143"/>
      <c r="KAA11" s="143"/>
      <c r="KAB11" s="143"/>
      <c r="KAC11" s="143"/>
      <c r="KAD11" s="143"/>
      <c r="KAE11" s="143"/>
      <c r="KAF11" s="143"/>
      <c r="KAG11" s="143"/>
      <c r="KAH11" s="143"/>
      <c r="KAI11" s="143"/>
      <c r="KAJ11" s="143"/>
      <c r="KAK11" s="143"/>
      <c r="KAL11" s="143"/>
      <c r="KAM11" s="143"/>
      <c r="KAN11" s="143"/>
      <c r="KAO11" s="143"/>
      <c r="KAP11" s="143"/>
      <c r="KAQ11" s="143"/>
      <c r="KAR11" s="143"/>
      <c r="KAS11" s="143"/>
      <c r="KAT11" s="143"/>
      <c r="KAU11" s="143"/>
      <c r="KAV11" s="143"/>
      <c r="KAW11" s="143"/>
      <c r="KAX11" s="143"/>
      <c r="KAY11" s="143"/>
      <c r="KAZ11" s="143"/>
      <c r="KBA11" s="143"/>
      <c r="KBB11" s="143"/>
      <c r="KBC11" s="143"/>
      <c r="KBD11" s="143"/>
      <c r="KBE11" s="143"/>
      <c r="KBF11" s="143"/>
      <c r="KBG11" s="143"/>
      <c r="KBH11" s="143"/>
      <c r="KBI11" s="143"/>
      <c r="KBJ11" s="143"/>
      <c r="KBK11" s="143"/>
      <c r="KBL11" s="143"/>
      <c r="KBM11" s="143"/>
      <c r="KBN11" s="143"/>
      <c r="KBO11" s="143"/>
      <c r="KBP11" s="143"/>
      <c r="KBQ11" s="143"/>
      <c r="KBR11" s="143"/>
      <c r="KBS11" s="143"/>
      <c r="KBT11" s="143"/>
      <c r="KBU11" s="143"/>
      <c r="KBV11" s="143"/>
      <c r="KBW11" s="143"/>
      <c r="KBX11" s="143"/>
      <c r="KBY11" s="143"/>
      <c r="KBZ11" s="143"/>
      <c r="KCA11" s="143"/>
      <c r="KCB11" s="143"/>
      <c r="KCC11" s="143"/>
      <c r="KCD11" s="143"/>
      <c r="KCE11" s="143"/>
      <c r="KCF11" s="143"/>
      <c r="KCG11" s="143"/>
      <c r="KCH11" s="143"/>
      <c r="KCI11" s="143"/>
      <c r="KCJ11" s="143"/>
      <c r="KCK11" s="143"/>
      <c r="KCL11" s="143"/>
      <c r="KCM11" s="143"/>
      <c r="KCN11" s="143"/>
      <c r="KCO11" s="143"/>
      <c r="KCP11" s="143"/>
      <c r="KCQ11" s="143"/>
      <c r="KCR11" s="143"/>
      <c r="KCS11" s="143"/>
      <c r="KCT11" s="143"/>
      <c r="KCU11" s="143"/>
      <c r="KCV11" s="143"/>
      <c r="KCW11" s="143"/>
      <c r="KCX11" s="143"/>
      <c r="KCY11" s="143"/>
      <c r="KCZ11" s="143"/>
      <c r="KDA11" s="143"/>
      <c r="KDB11" s="143"/>
      <c r="KDC11" s="143"/>
      <c r="KDD11" s="143"/>
      <c r="KDE11" s="143"/>
      <c r="KDF11" s="143"/>
      <c r="KDG11" s="143"/>
      <c r="KDH11" s="143"/>
      <c r="KDI11" s="143"/>
      <c r="KDJ11" s="143"/>
      <c r="KDK11" s="143"/>
      <c r="KDL11" s="143"/>
      <c r="KDM11" s="143"/>
      <c r="KDN11" s="143"/>
      <c r="KDO11" s="143"/>
      <c r="KDP11" s="143"/>
      <c r="KDQ11" s="143"/>
      <c r="KDR11" s="143"/>
      <c r="KDS11" s="143"/>
      <c r="KDT11" s="143"/>
      <c r="KDU11" s="143"/>
      <c r="KDV11" s="143"/>
      <c r="KDW11" s="143"/>
      <c r="KDX11" s="143"/>
      <c r="KDY11" s="143"/>
      <c r="KDZ11" s="143"/>
      <c r="KEA11" s="143"/>
      <c r="KEB11" s="143"/>
      <c r="KEC11" s="143"/>
      <c r="KED11" s="143"/>
      <c r="KEE11" s="143"/>
      <c r="KEF11" s="143"/>
      <c r="KEG11" s="143"/>
      <c r="KEH11" s="143"/>
      <c r="KEI11" s="143"/>
      <c r="KEJ11" s="143"/>
      <c r="KEK11" s="143"/>
      <c r="KEL11" s="143"/>
      <c r="KEM11" s="143"/>
      <c r="KEN11" s="143"/>
      <c r="KEO11" s="143"/>
      <c r="KEP11" s="143"/>
      <c r="KEQ11" s="143"/>
      <c r="KER11" s="143"/>
      <c r="KES11" s="143"/>
      <c r="KET11" s="143"/>
      <c r="KEU11" s="143"/>
      <c r="KEV11" s="143"/>
      <c r="KEW11" s="143"/>
      <c r="KEX11" s="143"/>
      <c r="KEY11" s="143"/>
      <c r="KEZ11" s="143"/>
      <c r="KFA11" s="143"/>
      <c r="KFB11" s="143"/>
      <c r="KFC11" s="143"/>
      <c r="KFD11" s="143"/>
      <c r="KFE11" s="143"/>
      <c r="KFF11" s="143"/>
      <c r="KFG11" s="143"/>
      <c r="KFH11" s="143"/>
      <c r="KFI11" s="143"/>
      <c r="KFJ11" s="143"/>
      <c r="KFK11" s="143"/>
      <c r="KFL11" s="143"/>
      <c r="KFM11" s="143"/>
      <c r="KFN11" s="143"/>
      <c r="KFO11" s="143"/>
      <c r="KFP11" s="143"/>
      <c r="KFQ11" s="143"/>
      <c r="KFR11" s="143"/>
      <c r="KFS11" s="143"/>
      <c r="KFT11" s="143"/>
      <c r="KFU11" s="143"/>
      <c r="KFV11" s="143"/>
      <c r="KFW11" s="143"/>
      <c r="KFX11" s="143"/>
      <c r="KFY11" s="143"/>
      <c r="KFZ11" s="143"/>
      <c r="KGA11" s="143"/>
      <c r="KGB11" s="143"/>
      <c r="KGC11" s="143"/>
      <c r="KGD11" s="143"/>
      <c r="KGE11" s="143"/>
      <c r="KGF11" s="143"/>
      <c r="KGG11" s="143"/>
      <c r="KGH11" s="143"/>
      <c r="KGI11" s="143"/>
      <c r="KGJ11" s="143"/>
      <c r="KGK11" s="143"/>
      <c r="KGL11" s="143"/>
      <c r="KGM11" s="143"/>
      <c r="KGN11" s="143"/>
      <c r="KGO11" s="143"/>
      <c r="KGP11" s="143"/>
      <c r="KGQ11" s="143"/>
      <c r="KGR11" s="143"/>
      <c r="KGS11" s="143"/>
      <c r="KGT11" s="143"/>
      <c r="KGU11" s="143"/>
      <c r="KGV11" s="143"/>
      <c r="KGW11" s="143"/>
      <c r="KGX11" s="143"/>
      <c r="KGY11" s="143"/>
      <c r="KGZ11" s="143"/>
      <c r="KHA11" s="143"/>
      <c r="KHB11" s="143"/>
      <c r="KHC11" s="143"/>
      <c r="KHD11" s="143"/>
      <c r="KHE11" s="143"/>
      <c r="KHF11" s="143"/>
      <c r="KHG11" s="143"/>
      <c r="KHH11" s="143"/>
      <c r="KHI11" s="143"/>
      <c r="KHJ11" s="143"/>
      <c r="KHK11" s="143"/>
      <c r="KHL11" s="143"/>
      <c r="KHM11" s="143"/>
      <c r="KHN11" s="143"/>
      <c r="KHO11" s="143"/>
      <c r="KHP11" s="143"/>
      <c r="KHQ11" s="143"/>
      <c r="KHR11" s="143"/>
      <c r="KHS11" s="143"/>
      <c r="KHT11" s="143"/>
      <c r="KHU11" s="143"/>
      <c r="KHV11" s="143"/>
      <c r="KHW11" s="143"/>
      <c r="KHX11" s="143"/>
      <c r="KHY11" s="143"/>
      <c r="KHZ11" s="143"/>
      <c r="KIA11" s="143"/>
      <c r="KIB11" s="143"/>
      <c r="KIC11" s="143"/>
      <c r="KID11" s="143"/>
      <c r="KIE11" s="143"/>
      <c r="KIF11" s="143"/>
      <c r="KIG11" s="143"/>
      <c r="KIH11" s="143"/>
      <c r="KII11" s="143"/>
      <c r="KIJ11" s="143"/>
      <c r="KIK11" s="143"/>
      <c r="KIL11" s="143"/>
      <c r="KIM11" s="143"/>
      <c r="KIN11" s="143"/>
      <c r="KIO11" s="143"/>
      <c r="KIP11" s="143"/>
      <c r="KIQ11" s="143"/>
      <c r="KIR11" s="143"/>
      <c r="KIS11" s="143"/>
      <c r="KIT11" s="143"/>
      <c r="KIU11" s="143"/>
      <c r="KIV11" s="143"/>
      <c r="KIW11" s="143"/>
      <c r="KIX11" s="143"/>
      <c r="KIY11" s="143"/>
      <c r="KIZ11" s="143"/>
      <c r="KJA11" s="143"/>
      <c r="KJB11" s="143"/>
      <c r="KJC11" s="143"/>
      <c r="KJD11" s="143"/>
      <c r="KJE11" s="143"/>
      <c r="KJF11" s="143"/>
      <c r="KJG11" s="143"/>
      <c r="KJH11" s="143"/>
      <c r="KJI11" s="143"/>
      <c r="KJJ11" s="143"/>
      <c r="KJK11" s="143"/>
      <c r="KJL11" s="143"/>
      <c r="KJM11" s="143"/>
      <c r="KJN11" s="143"/>
      <c r="KJO11" s="143"/>
      <c r="KJP11" s="143"/>
      <c r="KJQ11" s="143"/>
      <c r="KJR11" s="143"/>
      <c r="KJS11" s="143"/>
      <c r="KJT11" s="143"/>
      <c r="KJU11" s="143"/>
      <c r="KJV11" s="143"/>
      <c r="KJW11" s="143"/>
      <c r="KJX11" s="143"/>
      <c r="KJY11" s="143"/>
      <c r="KJZ11" s="143"/>
      <c r="KKA11" s="143"/>
      <c r="KKB11" s="143"/>
      <c r="KKC11" s="143"/>
      <c r="KKD11" s="143"/>
      <c r="KKE11" s="143"/>
      <c r="KKF11" s="143"/>
      <c r="KKG11" s="143"/>
      <c r="KKH11" s="143"/>
      <c r="KKI11" s="143"/>
      <c r="KKJ11" s="143"/>
      <c r="KKK11" s="143"/>
      <c r="KKL11" s="143"/>
      <c r="KKM11" s="143"/>
      <c r="KKN11" s="143"/>
      <c r="KKO11" s="143"/>
      <c r="KKP11" s="143"/>
      <c r="KKQ11" s="143"/>
      <c r="KKR11" s="143"/>
      <c r="KKS11" s="143"/>
      <c r="KKT11" s="143"/>
      <c r="KKU11" s="143"/>
      <c r="KKV11" s="143"/>
      <c r="KKW11" s="143"/>
      <c r="KKX11" s="143"/>
      <c r="KKY11" s="143"/>
      <c r="KKZ11" s="143"/>
      <c r="KLA11" s="143"/>
      <c r="KLB11" s="143"/>
      <c r="KLC11" s="143"/>
      <c r="KLD11" s="143"/>
      <c r="KLE11" s="143"/>
      <c r="KLF11" s="143"/>
      <c r="KLG11" s="143"/>
      <c r="KLH11" s="143"/>
      <c r="KLI11" s="143"/>
      <c r="KLJ11" s="143"/>
      <c r="KLK11" s="143"/>
      <c r="KLL11" s="143"/>
      <c r="KLM11" s="143"/>
      <c r="KLN11" s="143"/>
      <c r="KLO11" s="143"/>
      <c r="KLP11" s="143"/>
      <c r="KLQ11" s="143"/>
      <c r="KLR11" s="143"/>
      <c r="KLS11" s="143"/>
      <c r="KLT11" s="143"/>
      <c r="KLU11" s="143"/>
      <c r="KLV11" s="143"/>
      <c r="KLW11" s="143"/>
      <c r="KLX11" s="143"/>
      <c r="KLY11" s="143"/>
      <c r="KLZ11" s="143"/>
      <c r="KMA11" s="143"/>
      <c r="KMB11" s="143"/>
      <c r="KMC11" s="143"/>
      <c r="KMD11" s="143"/>
      <c r="KME11" s="143"/>
      <c r="KMF11" s="143"/>
      <c r="KMG11" s="143"/>
      <c r="KMH11" s="143"/>
      <c r="KMI11" s="143"/>
      <c r="KMJ11" s="143"/>
      <c r="KMK11" s="143"/>
      <c r="KML11" s="143"/>
      <c r="KMM11" s="143"/>
      <c r="KMN11" s="143"/>
      <c r="KMO11" s="143"/>
      <c r="KMP11" s="143"/>
      <c r="KMQ11" s="143"/>
      <c r="KMR11" s="143"/>
      <c r="KMS11" s="143"/>
      <c r="KMT11" s="143"/>
      <c r="KMU11" s="143"/>
      <c r="KMV11" s="143"/>
      <c r="KMW11" s="143"/>
      <c r="KMX11" s="143"/>
      <c r="KMY11" s="143"/>
      <c r="KMZ11" s="143"/>
      <c r="KNA11" s="143"/>
      <c r="KNB11" s="143"/>
      <c r="KNC11" s="143"/>
      <c r="KND11" s="143"/>
      <c r="KNE11" s="143"/>
      <c r="KNF11" s="143"/>
      <c r="KNG11" s="143"/>
      <c r="KNH11" s="143"/>
      <c r="KNI11" s="143"/>
      <c r="KNJ11" s="143"/>
      <c r="KNK11" s="143"/>
      <c r="KNL11" s="143"/>
      <c r="KNM11" s="143"/>
      <c r="KNN11" s="143"/>
      <c r="KNO11" s="143"/>
      <c r="KNP11" s="143"/>
      <c r="KNQ11" s="143"/>
      <c r="KNR11" s="143"/>
      <c r="KNS11" s="143"/>
      <c r="KNT11" s="143"/>
      <c r="KNU11" s="143"/>
      <c r="KNV11" s="143"/>
      <c r="KNW11" s="143"/>
      <c r="KNX11" s="143"/>
      <c r="KNY11" s="143"/>
      <c r="KNZ11" s="143"/>
      <c r="KOA11" s="143"/>
      <c r="KOB11" s="143"/>
      <c r="KOC11" s="143"/>
      <c r="KOD11" s="143"/>
      <c r="KOE11" s="143"/>
      <c r="KOF11" s="143"/>
      <c r="KOG11" s="143"/>
      <c r="KOH11" s="143"/>
      <c r="KOI11" s="143"/>
      <c r="KOJ11" s="143"/>
      <c r="KOK11" s="143"/>
      <c r="KOL11" s="143"/>
      <c r="KOM11" s="143"/>
      <c r="KON11" s="143"/>
      <c r="KOO11" s="143"/>
      <c r="KOP11" s="143"/>
      <c r="KOQ11" s="143"/>
      <c r="KOR11" s="143"/>
      <c r="KOS11" s="143"/>
      <c r="KOT11" s="143"/>
      <c r="KOU11" s="143"/>
      <c r="KOV11" s="143"/>
      <c r="KOW11" s="143"/>
      <c r="KOX11" s="143"/>
      <c r="KOY11" s="143"/>
      <c r="KOZ11" s="143"/>
      <c r="KPA11" s="143"/>
      <c r="KPB11" s="143"/>
      <c r="KPC11" s="143"/>
      <c r="KPD11" s="143"/>
      <c r="KPE11" s="143"/>
      <c r="KPF11" s="143"/>
      <c r="KPG11" s="143"/>
      <c r="KPH11" s="143"/>
      <c r="KPI11" s="143"/>
      <c r="KPJ11" s="143"/>
      <c r="KPK11" s="143"/>
      <c r="KPL11" s="143"/>
      <c r="KPM11" s="143"/>
      <c r="KPN11" s="143"/>
      <c r="KPO11" s="143"/>
      <c r="KPP11" s="143"/>
      <c r="KPQ11" s="143"/>
      <c r="KPR11" s="143"/>
      <c r="KPS11" s="143"/>
      <c r="KPT11" s="143"/>
      <c r="KPU11" s="143"/>
      <c r="KPV11" s="143"/>
      <c r="KPW11" s="143"/>
      <c r="KPX11" s="143"/>
      <c r="KPY11" s="143"/>
      <c r="KPZ11" s="143"/>
      <c r="KQA11" s="143"/>
      <c r="KQB11" s="143"/>
      <c r="KQC11" s="143"/>
      <c r="KQD11" s="143"/>
      <c r="KQE11" s="143"/>
      <c r="KQF11" s="143"/>
      <c r="KQG11" s="143"/>
      <c r="KQH11" s="143"/>
      <c r="KQI11" s="143"/>
      <c r="KQJ11" s="143"/>
      <c r="KQK11" s="143"/>
      <c r="KQL11" s="143"/>
      <c r="KQM11" s="143"/>
      <c r="KQN11" s="143"/>
      <c r="KQO11" s="143"/>
      <c r="KQP11" s="143"/>
      <c r="KQQ11" s="143"/>
      <c r="KQR11" s="143"/>
      <c r="KQS11" s="143"/>
      <c r="KQT11" s="143"/>
      <c r="KQU11" s="143"/>
      <c r="KQV11" s="143"/>
      <c r="KQW11" s="143"/>
      <c r="KQX11" s="143"/>
      <c r="KQY11" s="143"/>
      <c r="KQZ11" s="143"/>
      <c r="KRA11" s="143"/>
      <c r="KRB11" s="143"/>
      <c r="KRC11" s="143"/>
      <c r="KRD11" s="143"/>
      <c r="KRE11" s="143"/>
      <c r="KRF11" s="143"/>
      <c r="KRG11" s="143"/>
      <c r="KRH11" s="143"/>
      <c r="KRI11" s="143"/>
      <c r="KRJ11" s="143"/>
      <c r="KRK11" s="143"/>
      <c r="KRL11" s="143"/>
      <c r="KRM11" s="143"/>
      <c r="KRN11" s="143"/>
      <c r="KRO11" s="143"/>
      <c r="KRP11" s="143"/>
      <c r="KRQ11" s="143"/>
      <c r="KRR11" s="143"/>
      <c r="KRS11" s="143"/>
      <c r="KRT11" s="143"/>
      <c r="KRU11" s="143"/>
      <c r="KRV11" s="143"/>
      <c r="KRW11" s="143"/>
      <c r="KRX11" s="143"/>
      <c r="KRY11" s="143"/>
      <c r="KRZ11" s="143"/>
      <c r="KSA11" s="143"/>
      <c r="KSB11" s="143"/>
      <c r="KSC11" s="143"/>
      <c r="KSD11" s="143"/>
      <c r="KSE11" s="143"/>
      <c r="KSF11" s="143"/>
      <c r="KSG11" s="143"/>
      <c r="KSH11" s="143"/>
      <c r="KSI11" s="143"/>
      <c r="KSJ11" s="143"/>
      <c r="KSK11" s="143"/>
      <c r="KSL11" s="143"/>
      <c r="KSM11" s="143"/>
      <c r="KSN11" s="143"/>
      <c r="KSO11" s="143"/>
      <c r="KSP11" s="143"/>
      <c r="KSQ11" s="143"/>
      <c r="KSR11" s="143"/>
      <c r="KSS11" s="143"/>
      <c r="KST11" s="143"/>
      <c r="KSU11" s="143"/>
      <c r="KSV11" s="143"/>
      <c r="KSW11" s="143"/>
      <c r="KSX11" s="143"/>
      <c r="KSY11" s="143"/>
      <c r="KSZ11" s="143"/>
      <c r="KTA11" s="143"/>
      <c r="KTB11" s="143"/>
      <c r="KTC11" s="143"/>
      <c r="KTD11" s="143"/>
      <c r="KTE11" s="143"/>
      <c r="KTF11" s="143"/>
      <c r="KTG11" s="143"/>
      <c r="KTH11" s="143"/>
      <c r="KTI11" s="143"/>
      <c r="KTJ11" s="143"/>
      <c r="KTK11" s="143"/>
      <c r="KTL11" s="143"/>
      <c r="KTM11" s="143"/>
      <c r="KTN11" s="143"/>
      <c r="KTO11" s="143"/>
      <c r="KTP11" s="143"/>
      <c r="KTQ11" s="143"/>
      <c r="KTR11" s="143"/>
      <c r="KTS11" s="143"/>
      <c r="KTT11" s="143"/>
      <c r="KTU11" s="143"/>
      <c r="KTV11" s="143"/>
      <c r="KTW11" s="143"/>
      <c r="KTX11" s="143"/>
      <c r="KTY11" s="143"/>
      <c r="KTZ11" s="143"/>
      <c r="KUA11" s="143"/>
      <c r="KUB11" s="143"/>
      <c r="KUC11" s="143"/>
      <c r="KUD11" s="143"/>
      <c r="KUE11" s="143"/>
      <c r="KUF11" s="143"/>
      <c r="KUG11" s="143"/>
      <c r="KUH11" s="143"/>
      <c r="KUI11" s="143"/>
      <c r="KUJ11" s="143"/>
      <c r="KUK11" s="143"/>
      <c r="KUL11" s="143"/>
      <c r="KUM11" s="143"/>
      <c r="KUN11" s="143"/>
      <c r="KUO11" s="143"/>
      <c r="KUP11" s="143"/>
      <c r="KUQ11" s="143"/>
      <c r="KUR11" s="143"/>
      <c r="KUS11" s="143"/>
      <c r="KUT11" s="143"/>
      <c r="KUU11" s="143"/>
      <c r="KUV11" s="143"/>
      <c r="KUW11" s="143"/>
      <c r="KUX11" s="143"/>
      <c r="KUY11" s="143"/>
      <c r="KUZ11" s="143"/>
      <c r="KVA11" s="143"/>
      <c r="KVB11" s="143"/>
      <c r="KVC11" s="143"/>
      <c r="KVD11" s="143"/>
      <c r="KVE11" s="143"/>
      <c r="KVF11" s="143"/>
      <c r="KVG11" s="143"/>
      <c r="KVH11" s="143"/>
      <c r="KVI11" s="143"/>
      <c r="KVJ11" s="143"/>
      <c r="KVK11" s="143"/>
      <c r="KVL11" s="143"/>
      <c r="KVM11" s="143"/>
      <c r="KVN11" s="143"/>
      <c r="KVO11" s="143"/>
      <c r="KVP11" s="143"/>
      <c r="KVQ11" s="143"/>
      <c r="KVR11" s="143"/>
      <c r="KVS11" s="143"/>
      <c r="KVT11" s="143"/>
      <c r="KVU11" s="143"/>
      <c r="KVV11" s="143"/>
      <c r="KVW11" s="143"/>
      <c r="KVX11" s="143"/>
      <c r="KVY11" s="143"/>
      <c r="KVZ11" s="143"/>
      <c r="KWA11" s="143"/>
      <c r="KWB11" s="143"/>
      <c r="KWC11" s="143"/>
      <c r="KWD11" s="143"/>
      <c r="KWE11" s="143"/>
      <c r="KWF11" s="143"/>
      <c r="KWG11" s="143"/>
      <c r="KWH11" s="143"/>
      <c r="KWI11" s="143"/>
      <c r="KWJ11" s="143"/>
      <c r="KWK11" s="143"/>
      <c r="KWL11" s="143"/>
      <c r="KWM11" s="143"/>
      <c r="KWN11" s="143"/>
      <c r="KWO11" s="143"/>
      <c r="KWP11" s="143"/>
      <c r="KWQ11" s="143"/>
      <c r="KWR11" s="143"/>
      <c r="KWS11" s="143"/>
      <c r="KWT11" s="143"/>
      <c r="KWU11" s="143"/>
      <c r="KWV11" s="143"/>
      <c r="KWW11" s="143"/>
      <c r="KWX11" s="143"/>
      <c r="KWY11" s="143"/>
      <c r="KWZ11" s="143"/>
      <c r="KXA11" s="143"/>
      <c r="KXB11" s="143"/>
      <c r="KXC11" s="143"/>
      <c r="KXD11" s="143"/>
      <c r="KXE11" s="143"/>
      <c r="KXF11" s="143"/>
      <c r="KXG11" s="143"/>
      <c r="KXH11" s="143"/>
      <c r="KXI11" s="143"/>
      <c r="KXJ11" s="143"/>
      <c r="KXK11" s="143"/>
      <c r="KXL11" s="143"/>
      <c r="KXM11" s="143"/>
      <c r="KXN11" s="143"/>
      <c r="KXO11" s="143"/>
      <c r="KXP11" s="143"/>
      <c r="KXQ11" s="143"/>
      <c r="KXR11" s="143"/>
      <c r="KXS11" s="143"/>
      <c r="KXT11" s="143"/>
      <c r="KXU11" s="143"/>
      <c r="KXV11" s="143"/>
      <c r="KXW11" s="143"/>
      <c r="KXX11" s="143"/>
      <c r="KXY11" s="143"/>
      <c r="KXZ11" s="143"/>
      <c r="KYA11" s="143"/>
      <c r="KYB11" s="143"/>
      <c r="KYC11" s="143"/>
      <c r="KYD11" s="143"/>
      <c r="KYE11" s="143"/>
      <c r="KYF11" s="143"/>
      <c r="KYG11" s="143"/>
      <c r="KYH11" s="143"/>
      <c r="KYI11" s="143"/>
      <c r="KYJ11" s="143"/>
      <c r="KYK11" s="143"/>
      <c r="KYL11" s="143"/>
      <c r="KYM11" s="143"/>
      <c r="KYN11" s="143"/>
      <c r="KYO11" s="143"/>
      <c r="KYP11" s="143"/>
      <c r="KYQ11" s="143"/>
      <c r="KYR11" s="143"/>
      <c r="KYS11" s="143"/>
      <c r="KYT11" s="143"/>
      <c r="KYU11" s="143"/>
      <c r="KYV11" s="143"/>
      <c r="KYW11" s="143"/>
      <c r="KYX11" s="143"/>
      <c r="KYY11" s="143"/>
      <c r="KYZ11" s="143"/>
      <c r="KZA11" s="143"/>
      <c r="KZB11" s="143"/>
      <c r="KZC11" s="143"/>
      <c r="KZD11" s="143"/>
      <c r="KZE11" s="143"/>
      <c r="KZF11" s="143"/>
      <c r="KZG11" s="143"/>
      <c r="KZH11" s="143"/>
      <c r="KZI11" s="143"/>
      <c r="KZJ11" s="143"/>
      <c r="KZK11" s="143"/>
      <c r="KZL11" s="143"/>
      <c r="KZM11" s="143"/>
      <c r="KZN11" s="143"/>
      <c r="KZO11" s="143"/>
      <c r="KZP11" s="143"/>
      <c r="KZQ11" s="143"/>
      <c r="KZR11" s="143"/>
      <c r="KZS11" s="143"/>
      <c r="KZT11" s="143"/>
      <c r="KZU11" s="143"/>
      <c r="KZV11" s="143"/>
      <c r="KZW11" s="143"/>
      <c r="KZX11" s="143"/>
      <c r="KZY11" s="143"/>
      <c r="KZZ11" s="143"/>
      <c r="LAA11" s="143"/>
      <c r="LAB11" s="143"/>
      <c r="LAC11" s="143"/>
      <c r="LAD11" s="143"/>
      <c r="LAE11" s="143"/>
      <c r="LAF11" s="143"/>
      <c r="LAG11" s="143"/>
      <c r="LAH11" s="143"/>
      <c r="LAI11" s="143"/>
      <c r="LAJ11" s="143"/>
      <c r="LAK11" s="143"/>
      <c r="LAL11" s="143"/>
      <c r="LAM11" s="143"/>
      <c r="LAN11" s="143"/>
      <c r="LAO11" s="143"/>
      <c r="LAP11" s="143"/>
      <c r="LAQ11" s="143"/>
      <c r="LAR11" s="143"/>
      <c r="LAS11" s="143"/>
      <c r="LAT11" s="143"/>
      <c r="LAU11" s="143"/>
      <c r="LAV11" s="143"/>
      <c r="LAW11" s="143"/>
      <c r="LAX11" s="143"/>
      <c r="LAY11" s="143"/>
      <c r="LAZ11" s="143"/>
      <c r="LBA11" s="143"/>
      <c r="LBB11" s="143"/>
      <c r="LBC11" s="143"/>
      <c r="LBD11" s="143"/>
      <c r="LBE11" s="143"/>
      <c r="LBF11" s="143"/>
      <c r="LBG11" s="143"/>
      <c r="LBH11" s="143"/>
      <c r="LBI11" s="143"/>
      <c r="LBJ11" s="143"/>
      <c r="LBK11" s="143"/>
      <c r="LBL11" s="143"/>
      <c r="LBM11" s="143"/>
      <c r="LBN11" s="143"/>
      <c r="LBO11" s="143"/>
      <c r="LBP11" s="143"/>
      <c r="LBQ11" s="143"/>
      <c r="LBR11" s="143"/>
      <c r="LBS11" s="143"/>
      <c r="LBT11" s="143"/>
      <c r="LBU11" s="143"/>
      <c r="LBV11" s="143"/>
      <c r="LBW11" s="143"/>
      <c r="LBX11" s="143"/>
      <c r="LBY11" s="143"/>
      <c r="LBZ11" s="143"/>
      <c r="LCA11" s="143"/>
      <c r="LCB11" s="143"/>
      <c r="LCC11" s="143"/>
      <c r="LCD11" s="143"/>
      <c r="LCE11" s="143"/>
      <c r="LCF11" s="143"/>
      <c r="LCG11" s="143"/>
      <c r="LCH11" s="143"/>
      <c r="LCI11" s="143"/>
      <c r="LCJ11" s="143"/>
      <c r="LCK11" s="143"/>
      <c r="LCL11" s="143"/>
      <c r="LCM11" s="143"/>
      <c r="LCN11" s="143"/>
      <c r="LCO11" s="143"/>
      <c r="LCP11" s="143"/>
      <c r="LCQ11" s="143"/>
      <c r="LCR11" s="143"/>
      <c r="LCS11" s="143"/>
      <c r="LCT11" s="143"/>
      <c r="LCU11" s="143"/>
      <c r="LCV11" s="143"/>
      <c r="LCW11" s="143"/>
      <c r="LCX11" s="143"/>
      <c r="LCY11" s="143"/>
      <c r="LCZ11" s="143"/>
      <c r="LDA11" s="143"/>
      <c r="LDB11" s="143"/>
      <c r="LDC11" s="143"/>
      <c r="LDD11" s="143"/>
      <c r="LDE11" s="143"/>
      <c r="LDF11" s="143"/>
      <c r="LDG11" s="143"/>
      <c r="LDH11" s="143"/>
      <c r="LDI11" s="143"/>
      <c r="LDJ11" s="143"/>
      <c r="LDK11" s="143"/>
      <c r="LDL11" s="143"/>
      <c r="LDM11" s="143"/>
      <c r="LDN11" s="143"/>
      <c r="LDO11" s="143"/>
      <c r="LDP11" s="143"/>
      <c r="LDQ11" s="143"/>
      <c r="LDR11" s="143"/>
      <c r="LDS11" s="143"/>
      <c r="LDT11" s="143"/>
      <c r="LDU11" s="143"/>
      <c r="LDV11" s="143"/>
      <c r="LDW11" s="143"/>
      <c r="LDX11" s="143"/>
      <c r="LDY11" s="143"/>
      <c r="LDZ11" s="143"/>
      <c r="LEA11" s="143"/>
      <c r="LEB11" s="143"/>
      <c r="LEC11" s="143"/>
      <c r="LED11" s="143"/>
      <c r="LEE11" s="143"/>
      <c r="LEF11" s="143"/>
      <c r="LEG11" s="143"/>
      <c r="LEH11" s="143"/>
      <c r="LEI11" s="143"/>
      <c r="LEJ11" s="143"/>
      <c r="LEK11" s="143"/>
      <c r="LEL11" s="143"/>
      <c r="LEM11" s="143"/>
      <c r="LEN11" s="143"/>
      <c r="LEO11" s="143"/>
      <c r="LEP11" s="143"/>
      <c r="LEQ11" s="143"/>
      <c r="LER11" s="143"/>
      <c r="LES11" s="143"/>
      <c r="LET11" s="143"/>
      <c r="LEU11" s="143"/>
      <c r="LEV11" s="143"/>
      <c r="LEW11" s="143"/>
      <c r="LEX11" s="143"/>
      <c r="LEY11" s="143"/>
      <c r="LEZ11" s="143"/>
      <c r="LFA11" s="143"/>
      <c r="LFB11" s="143"/>
      <c r="LFC11" s="143"/>
      <c r="LFD11" s="143"/>
      <c r="LFE11" s="143"/>
      <c r="LFF11" s="143"/>
      <c r="LFG11" s="143"/>
      <c r="LFH11" s="143"/>
      <c r="LFI11" s="143"/>
      <c r="LFJ11" s="143"/>
      <c r="LFK11" s="143"/>
      <c r="LFL11" s="143"/>
      <c r="LFM11" s="143"/>
      <c r="LFN11" s="143"/>
      <c r="LFO11" s="143"/>
      <c r="LFP11" s="143"/>
      <c r="LFQ11" s="143"/>
      <c r="LFR11" s="143"/>
      <c r="LFS11" s="143"/>
      <c r="LFT11" s="143"/>
      <c r="LFU11" s="143"/>
      <c r="LFV11" s="143"/>
      <c r="LFW11" s="143"/>
      <c r="LFX11" s="143"/>
      <c r="LFY11" s="143"/>
      <c r="LFZ11" s="143"/>
      <c r="LGA11" s="143"/>
      <c r="LGB11" s="143"/>
      <c r="LGC11" s="143"/>
      <c r="LGD11" s="143"/>
      <c r="LGE11" s="143"/>
      <c r="LGF11" s="143"/>
      <c r="LGG11" s="143"/>
      <c r="LGH11" s="143"/>
      <c r="LGI11" s="143"/>
      <c r="LGJ11" s="143"/>
      <c r="LGK11" s="143"/>
      <c r="LGL11" s="143"/>
      <c r="LGM11" s="143"/>
      <c r="LGN11" s="143"/>
      <c r="LGO11" s="143"/>
      <c r="LGP11" s="143"/>
      <c r="LGQ11" s="143"/>
      <c r="LGR11" s="143"/>
      <c r="LGS11" s="143"/>
      <c r="LGT11" s="143"/>
      <c r="LGU11" s="143"/>
      <c r="LGV11" s="143"/>
      <c r="LGW11" s="143"/>
      <c r="LGX11" s="143"/>
      <c r="LGY11" s="143"/>
      <c r="LGZ11" s="143"/>
      <c r="LHA11" s="143"/>
      <c r="LHB11" s="143"/>
      <c r="LHC11" s="143"/>
      <c r="LHD11" s="143"/>
      <c r="LHE11" s="143"/>
      <c r="LHF11" s="143"/>
      <c r="LHG11" s="143"/>
      <c r="LHH11" s="143"/>
      <c r="LHI11" s="143"/>
      <c r="LHJ11" s="143"/>
      <c r="LHK11" s="143"/>
      <c r="LHL11" s="143"/>
      <c r="LHM11" s="143"/>
      <c r="LHN11" s="143"/>
      <c r="LHO11" s="143"/>
      <c r="LHP11" s="143"/>
      <c r="LHQ11" s="143"/>
      <c r="LHR11" s="143"/>
      <c r="LHS11" s="143"/>
      <c r="LHT11" s="143"/>
      <c r="LHU11" s="143"/>
      <c r="LHV11" s="143"/>
      <c r="LHW11" s="143"/>
      <c r="LHX11" s="143"/>
      <c r="LHY11" s="143"/>
      <c r="LHZ11" s="143"/>
      <c r="LIA11" s="143"/>
      <c r="LIB11" s="143"/>
      <c r="LIC11" s="143"/>
      <c r="LID11" s="143"/>
      <c r="LIE11" s="143"/>
      <c r="LIF11" s="143"/>
      <c r="LIG11" s="143"/>
      <c r="LIH11" s="143"/>
      <c r="LII11" s="143"/>
      <c r="LIJ11" s="143"/>
      <c r="LIK11" s="143"/>
      <c r="LIL11" s="143"/>
      <c r="LIM11" s="143"/>
      <c r="LIN11" s="143"/>
      <c r="LIO11" s="143"/>
      <c r="LIP11" s="143"/>
      <c r="LIQ11" s="143"/>
      <c r="LIR11" s="143"/>
      <c r="LIS11" s="143"/>
      <c r="LIT11" s="143"/>
      <c r="LIU11" s="143"/>
      <c r="LIV11" s="143"/>
      <c r="LIW11" s="143"/>
      <c r="LIX11" s="143"/>
      <c r="LIY11" s="143"/>
      <c r="LIZ11" s="143"/>
      <c r="LJA11" s="143"/>
      <c r="LJB11" s="143"/>
      <c r="LJC11" s="143"/>
      <c r="LJD11" s="143"/>
      <c r="LJE11" s="143"/>
      <c r="LJF11" s="143"/>
      <c r="LJG11" s="143"/>
      <c r="LJH11" s="143"/>
      <c r="LJI11" s="143"/>
      <c r="LJJ11" s="143"/>
      <c r="LJK11" s="143"/>
      <c r="LJL11" s="143"/>
      <c r="LJM11" s="143"/>
      <c r="LJN11" s="143"/>
      <c r="LJO11" s="143"/>
      <c r="LJP11" s="143"/>
      <c r="LJQ11" s="143"/>
      <c r="LJR11" s="143"/>
      <c r="LJS11" s="143"/>
      <c r="LJT11" s="143"/>
      <c r="LJU11" s="143"/>
      <c r="LJV11" s="143"/>
      <c r="LJW11" s="143"/>
      <c r="LJX11" s="143"/>
      <c r="LJY11" s="143"/>
      <c r="LJZ11" s="143"/>
      <c r="LKA11" s="143"/>
      <c r="LKB11" s="143"/>
      <c r="LKC11" s="143"/>
      <c r="LKD11" s="143"/>
      <c r="LKE11" s="143"/>
      <c r="LKF11" s="143"/>
      <c r="LKG11" s="143"/>
      <c r="LKH11" s="143"/>
      <c r="LKI11" s="143"/>
      <c r="LKJ11" s="143"/>
      <c r="LKK11" s="143"/>
      <c r="LKL11" s="143"/>
      <c r="LKM11" s="143"/>
      <c r="LKN11" s="143"/>
      <c r="LKO11" s="143"/>
      <c r="LKP11" s="143"/>
      <c r="LKQ11" s="143"/>
      <c r="LKR11" s="143"/>
      <c r="LKS11" s="143"/>
      <c r="LKT11" s="143"/>
      <c r="LKU11" s="143"/>
      <c r="LKV11" s="143"/>
      <c r="LKW11" s="143"/>
      <c r="LKX11" s="143"/>
      <c r="LKY11" s="143"/>
      <c r="LKZ11" s="143"/>
      <c r="LLA11" s="143"/>
      <c r="LLB11" s="143"/>
      <c r="LLC11" s="143"/>
      <c r="LLD11" s="143"/>
      <c r="LLE11" s="143"/>
      <c r="LLF11" s="143"/>
      <c r="LLG11" s="143"/>
      <c r="LLH11" s="143"/>
      <c r="LLI11" s="143"/>
      <c r="LLJ11" s="143"/>
      <c r="LLK11" s="143"/>
      <c r="LLL11" s="143"/>
      <c r="LLM11" s="143"/>
      <c r="LLN11" s="143"/>
      <c r="LLO11" s="143"/>
      <c r="LLP11" s="143"/>
      <c r="LLQ11" s="143"/>
      <c r="LLR11" s="143"/>
      <c r="LLS11" s="143"/>
      <c r="LLT11" s="143"/>
      <c r="LLU11" s="143"/>
      <c r="LLV11" s="143"/>
      <c r="LLW11" s="143"/>
      <c r="LLX11" s="143"/>
      <c r="LLY11" s="143"/>
      <c r="LLZ11" s="143"/>
      <c r="LMA11" s="143"/>
      <c r="LMB11" s="143"/>
      <c r="LMC11" s="143"/>
      <c r="LMD11" s="143"/>
      <c r="LME11" s="143"/>
      <c r="LMF11" s="143"/>
      <c r="LMG11" s="143"/>
      <c r="LMH11" s="143"/>
      <c r="LMI11" s="143"/>
      <c r="LMJ11" s="143"/>
      <c r="LMK11" s="143"/>
      <c r="LML11" s="143"/>
      <c r="LMM11" s="143"/>
      <c r="LMN11" s="143"/>
      <c r="LMO11" s="143"/>
      <c r="LMP11" s="143"/>
      <c r="LMQ11" s="143"/>
      <c r="LMR11" s="143"/>
      <c r="LMS11" s="143"/>
      <c r="LMT11" s="143"/>
      <c r="LMU11" s="143"/>
      <c r="LMV11" s="143"/>
      <c r="LMW11" s="143"/>
      <c r="LMX11" s="143"/>
      <c r="LMY11" s="143"/>
      <c r="LMZ11" s="143"/>
      <c r="LNA11" s="143"/>
      <c r="LNB11" s="143"/>
      <c r="LNC11" s="143"/>
      <c r="LND11" s="143"/>
      <c r="LNE11" s="143"/>
      <c r="LNF11" s="143"/>
      <c r="LNG11" s="143"/>
      <c r="LNH11" s="143"/>
      <c r="LNI11" s="143"/>
      <c r="LNJ11" s="143"/>
      <c r="LNK11" s="143"/>
      <c r="LNL11" s="143"/>
      <c r="LNM11" s="143"/>
      <c r="LNN11" s="143"/>
      <c r="LNO11" s="143"/>
      <c r="LNP11" s="143"/>
      <c r="LNQ11" s="143"/>
      <c r="LNR11" s="143"/>
      <c r="LNS11" s="143"/>
      <c r="LNT11" s="143"/>
      <c r="LNU11" s="143"/>
      <c r="LNV11" s="143"/>
      <c r="LNW11" s="143"/>
      <c r="LNX11" s="143"/>
      <c r="LNY11" s="143"/>
      <c r="LNZ11" s="143"/>
      <c r="LOA11" s="143"/>
      <c r="LOB11" s="143"/>
      <c r="LOC11" s="143"/>
      <c r="LOD11" s="143"/>
      <c r="LOE11" s="143"/>
      <c r="LOF11" s="143"/>
      <c r="LOG11" s="143"/>
      <c r="LOH11" s="143"/>
      <c r="LOI11" s="143"/>
      <c r="LOJ11" s="143"/>
      <c r="LOK11" s="143"/>
      <c r="LOL11" s="143"/>
      <c r="LOM11" s="143"/>
      <c r="LON11" s="143"/>
      <c r="LOO11" s="143"/>
      <c r="LOP11" s="143"/>
      <c r="LOQ11" s="143"/>
      <c r="LOR11" s="143"/>
      <c r="LOS11" s="143"/>
      <c r="LOT11" s="143"/>
      <c r="LOU11" s="143"/>
      <c r="LOV11" s="143"/>
      <c r="LOW11" s="143"/>
      <c r="LOX11" s="143"/>
      <c r="LOY11" s="143"/>
      <c r="LOZ11" s="143"/>
      <c r="LPA11" s="143"/>
      <c r="LPB11" s="143"/>
      <c r="LPC11" s="143"/>
      <c r="LPD11" s="143"/>
      <c r="LPE11" s="143"/>
      <c r="LPF11" s="143"/>
      <c r="LPG11" s="143"/>
      <c r="LPH11" s="143"/>
      <c r="LPI11" s="143"/>
      <c r="LPJ11" s="143"/>
      <c r="LPK11" s="143"/>
      <c r="LPL11" s="143"/>
      <c r="LPM11" s="143"/>
      <c r="LPN11" s="143"/>
      <c r="LPO11" s="143"/>
      <c r="LPP11" s="143"/>
      <c r="LPQ11" s="143"/>
      <c r="LPR11" s="143"/>
      <c r="LPS11" s="143"/>
      <c r="LPT11" s="143"/>
      <c r="LPU11" s="143"/>
      <c r="LPV11" s="143"/>
      <c r="LPW11" s="143"/>
      <c r="LPX11" s="143"/>
      <c r="LPY11" s="143"/>
      <c r="LPZ11" s="143"/>
      <c r="LQA11" s="143"/>
      <c r="LQB11" s="143"/>
      <c r="LQC11" s="143"/>
      <c r="LQD11" s="143"/>
      <c r="LQE11" s="143"/>
      <c r="LQF11" s="143"/>
      <c r="LQG11" s="143"/>
      <c r="LQH11" s="143"/>
      <c r="LQI11" s="143"/>
      <c r="LQJ11" s="143"/>
      <c r="LQK11" s="143"/>
      <c r="LQL11" s="143"/>
      <c r="LQM11" s="143"/>
      <c r="LQN11" s="143"/>
      <c r="LQO11" s="143"/>
      <c r="LQP11" s="143"/>
      <c r="LQQ11" s="143"/>
      <c r="LQR11" s="143"/>
      <c r="LQS11" s="143"/>
      <c r="LQT11" s="143"/>
      <c r="LQU11" s="143"/>
      <c r="LQV11" s="143"/>
      <c r="LQW11" s="143"/>
      <c r="LQX11" s="143"/>
      <c r="LQY11" s="143"/>
      <c r="LQZ11" s="143"/>
      <c r="LRA11" s="143"/>
      <c r="LRB11" s="143"/>
      <c r="LRC11" s="143"/>
      <c r="LRD11" s="143"/>
      <c r="LRE11" s="143"/>
      <c r="LRF11" s="143"/>
      <c r="LRG11" s="143"/>
      <c r="LRH11" s="143"/>
      <c r="LRI11" s="143"/>
      <c r="LRJ11" s="143"/>
      <c r="LRK11" s="143"/>
      <c r="LRL11" s="143"/>
      <c r="LRM11" s="143"/>
      <c r="LRN11" s="143"/>
      <c r="LRO11" s="143"/>
      <c r="LRP11" s="143"/>
      <c r="LRQ11" s="143"/>
      <c r="LRR11" s="143"/>
      <c r="LRS11" s="143"/>
      <c r="LRT11" s="143"/>
      <c r="LRU11" s="143"/>
      <c r="LRV11" s="143"/>
      <c r="LRW11" s="143"/>
      <c r="LRX11" s="143"/>
      <c r="LRY11" s="143"/>
      <c r="LRZ11" s="143"/>
      <c r="LSA11" s="143"/>
      <c r="LSB11" s="143"/>
      <c r="LSC11" s="143"/>
      <c r="LSD11" s="143"/>
      <c r="LSE11" s="143"/>
      <c r="LSF11" s="143"/>
      <c r="LSG11" s="143"/>
      <c r="LSH11" s="143"/>
      <c r="LSI11" s="143"/>
      <c r="LSJ11" s="143"/>
      <c r="LSK11" s="143"/>
      <c r="LSL11" s="143"/>
      <c r="LSM11" s="143"/>
      <c r="LSN11" s="143"/>
      <c r="LSO11" s="143"/>
      <c r="LSP11" s="143"/>
      <c r="LSQ11" s="143"/>
      <c r="LSR11" s="143"/>
      <c r="LSS11" s="143"/>
      <c r="LST11" s="143"/>
      <c r="LSU11" s="143"/>
      <c r="LSV11" s="143"/>
      <c r="LSW11" s="143"/>
      <c r="LSX11" s="143"/>
      <c r="LSY11" s="143"/>
      <c r="LSZ11" s="143"/>
      <c r="LTA11" s="143"/>
      <c r="LTB11" s="143"/>
      <c r="LTC11" s="143"/>
      <c r="LTD11" s="143"/>
      <c r="LTE11" s="143"/>
      <c r="LTF11" s="143"/>
      <c r="LTG11" s="143"/>
      <c r="LTH11" s="143"/>
      <c r="LTI11" s="143"/>
      <c r="LTJ11" s="143"/>
      <c r="LTK11" s="143"/>
      <c r="LTL11" s="143"/>
      <c r="LTM11" s="143"/>
      <c r="LTN11" s="143"/>
      <c r="LTO11" s="143"/>
      <c r="LTP11" s="143"/>
      <c r="LTQ11" s="143"/>
      <c r="LTR11" s="143"/>
      <c r="LTS11" s="143"/>
      <c r="LTT11" s="143"/>
      <c r="LTU11" s="143"/>
      <c r="LTV11" s="143"/>
      <c r="LTW11" s="143"/>
      <c r="LTX11" s="143"/>
      <c r="LTY11" s="143"/>
      <c r="LTZ11" s="143"/>
      <c r="LUA11" s="143"/>
      <c r="LUB11" s="143"/>
      <c r="LUC11" s="143"/>
      <c r="LUD11" s="143"/>
      <c r="LUE11" s="143"/>
      <c r="LUF11" s="143"/>
      <c r="LUG11" s="143"/>
      <c r="LUH11" s="143"/>
      <c r="LUI11" s="143"/>
      <c r="LUJ11" s="143"/>
      <c r="LUK11" s="143"/>
      <c r="LUL11" s="143"/>
      <c r="LUM11" s="143"/>
      <c r="LUN11" s="143"/>
      <c r="LUO11" s="143"/>
      <c r="LUP11" s="143"/>
      <c r="LUQ11" s="143"/>
      <c r="LUR11" s="143"/>
      <c r="LUS11" s="143"/>
      <c r="LUT11" s="143"/>
      <c r="LUU11" s="143"/>
      <c r="LUV11" s="143"/>
      <c r="LUW11" s="143"/>
      <c r="LUX11" s="143"/>
      <c r="LUY11" s="143"/>
      <c r="LUZ11" s="143"/>
      <c r="LVA11" s="143"/>
      <c r="LVB11" s="143"/>
      <c r="LVC11" s="143"/>
      <c r="LVD11" s="143"/>
      <c r="LVE11" s="143"/>
      <c r="LVF11" s="143"/>
      <c r="LVG11" s="143"/>
      <c r="LVH11" s="143"/>
      <c r="LVI11" s="143"/>
      <c r="LVJ11" s="143"/>
      <c r="LVK11" s="143"/>
      <c r="LVL11" s="143"/>
      <c r="LVM11" s="143"/>
      <c r="LVN11" s="143"/>
      <c r="LVO11" s="143"/>
      <c r="LVP11" s="143"/>
      <c r="LVQ11" s="143"/>
      <c r="LVR11" s="143"/>
      <c r="LVS11" s="143"/>
      <c r="LVT11" s="143"/>
      <c r="LVU11" s="143"/>
      <c r="LVV11" s="143"/>
      <c r="LVW11" s="143"/>
      <c r="LVX11" s="143"/>
      <c r="LVY11" s="143"/>
      <c r="LVZ11" s="143"/>
      <c r="LWA11" s="143"/>
      <c r="LWB11" s="143"/>
      <c r="LWC11" s="143"/>
      <c r="LWD11" s="143"/>
      <c r="LWE11" s="143"/>
      <c r="LWF11" s="143"/>
      <c r="LWG11" s="143"/>
      <c r="LWH11" s="143"/>
      <c r="LWI11" s="143"/>
      <c r="LWJ11" s="143"/>
      <c r="LWK11" s="143"/>
      <c r="LWL11" s="143"/>
      <c r="LWM11" s="143"/>
      <c r="LWN11" s="143"/>
      <c r="LWO11" s="143"/>
      <c r="LWP11" s="143"/>
      <c r="LWQ11" s="143"/>
      <c r="LWR11" s="143"/>
      <c r="LWS11" s="143"/>
      <c r="LWT11" s="143"/>
      <c r="LWU11" s="143"/>
      <c r="LWV11" s="143"/>
      <c r="LWW11" s="143"/>
      <c r="LWX11" s="143"/>
      <c r="LWY11" s="143"/>
      <c r="LWZ11" s="143"/>
      <c r="LXA11" s="143"/>
      <c r="LXB11" s="143"/>
      <c r="LXC11" s="143"/>
      <c r="LXD11" s="143"/>
      <c r="LXE11" s="143"/>
      <c r="LXF11" s="143"/>
      <c r="LXG11" s="143"/>
      <c r="LXH11" s="143"/>
      <c r="LXI11" s="143"/>
      <c r="LXJ11" s="143"/>
      <c r="LXK11" s="143"/>
      <c r="LXL11" s="143"/>
      <c r="LXM11" s="143"/>
      <c r="LXN11" s="143"/>
      <c r="LXO11" s="143"/>
      <c r="LXP11" s="143"/>
      <c r="LXQ11" s="143"/>
      <c r="LXR11" s="143"/>
      <c r="LXS11" s="143"/>
      <c r="LXT11" s="143"/>
      <c r="LXU11" s="143"/>
      <c r="LXV11" s="143"/>
      <c r="LXW11" s="143"/>
      <c r="LXX11" s="143"/>
      <c r="LXY11" s="143"/>
      <c r="LXZ11" s="143"/>
      <c r="LYA11" s="143"/>
      <c r="LYB11" s="143"/>
      <c r="LYC11" s="143"/>
      <c r="LYD11" s="143"/>
      <c r="LYE11" s="143"/>
      <c r="LYF11" s="143"/>
      <c r="LYG11" s="143"/>
      <c r="LYH11" s="143"/>
      <c r="LYI11" s="143"/>
      <c r="LYJ11" s="143"/>
      <c r="LYK11" s="143"/>
      <c r="LYL11" s="143"/>
      <c r="LYM11" s="143"/>
      <c r="LYN11" s="143"/>
      <c r="LYO11" s="143"/>
      <c r="LYP11" s="143"/>
      <c r="LYQ11" s="143"/>
      <c r="LYR11" s="143"/>
      <c r="LYS11" s="143"/>
      <c r="LYT11" s="143"/>
      <c r="LYU11" s="143"/>
      <c r="LYV11" s="143"/>
      <c r="LYW11" s="143"/>
      <c r="LYX11" s="143"/>
      <c r="LYY11" s="143"/>
      <c r="LYZ11" s="143"/>
      <c r="LZA11" s="143"/>
      <c r="LZB11" s="143"/>
      <c r="LZC11" s="143"/>
      <c r="LZD11" s="143"/>
      <c r="LZE11" s="143"/>
      <c r="LZF11" s="143"/>
      <c r="LZG11" s="143"/>
      <c r="LZH11" s="143"/>
      <c r="LZI11" s="143"/>
      <c r="LZJ11" s="143"/>
      <c r="LZK11" s="143"/>
      <c r="LZL11" s="143"/>
      <c r="LZM11" s="143"/>
      <c r="LZN11" s="143"/>
      <c r="LZO11" s="143"/>
      <c r="LZP11" s="143"/>
      <c r="LZQ11" s="143"/>
      <c r="LZR11" s="143"/>
      <c r="LZS11" s="143"/>
      <c r="LZT11" s="143"/>
      <c r="LZU11" s="143"/>
      <c r="LZV11" s="143"/>
      <c r="LZW11" s="143"/>
      <c r="LZX11" s="143"/>
      <c r="LZY11" s="143"/>
      <c r="LZZ11" s="143"/>
      <c r="MAA11" s="143"/>
      <c r="MAB11" s="143"/>
      <c r="MAC11" s="143"/>
      <c r="MAD11" s="143"/>
      <c r="MAE11" s="143"/>
      <c r="MAF11" s="143"/>
      <c r="MAG11" s="143"/>
      <c r="MAH11" s="143"/>
      <c r="MAI11" s="143"/>
      <c r="MAJ11" s="143"/>
      <c r="MAK11" s="143"/>
      <c r="MAL11" s="143"/>
      <c r="MAM11" s="143"/>
      <c r="MAN11" s="143"/>
      <c r="MAO11" s="143"/>
      <c r="MAP11" s="143"/>
      <c r="MAQ11" s="143"/>
      <c r="MAR11" s="143"/>
      <c r="MAS11" s="143"/>
      <c r="MAT11" s="143"/>
      <c r="MAU11" s="143"/>
      <c r="MAV11" s="143"/>
      <c r="MAW11" s="143"/>
      <c r="MAX11" s="143"/>
      <c r="MAY11" s="143"/>
      <c r="MAZ11" s="143"/>
      <c r="MBA11" s="143"/>
      <c r="MBB11" s="143"/>
      <c r="MBC11" s="143"/>
      <c r="MBD11" s="143"/>
      <c r="MBE11" s="143"/>
      <c r="MBF11" s="143"/>
      <c r="MBG11" s="143"/>
      <c r="MBH11" s="143"/>
      <c r="MBI11" s="143"/>
      <c r="MBJ11" s="143"/>
      <c r="MBK11" s="143"/>
      <c r="MBL11" s="143"/>
      <c r="MBM11" s="143"/>
      <c r="MBN11" s="143"/>
      <c r="MBO11" s="143"/>
      <c r="MBP11" s="143"/>
      <c r="MBQ11" s="143"/>
      <c r="MBR11" s="143"/>
      <c r="MBS11" s="143"/>
      <c r="MBT11" s="143"/>
      <c r="MBU11" s="143"/>
      <c r="MBV11" s="143"/>
      <c r="MBW11" s="143"/>
      <c r="MBX11" s="143"/>
      <c r="MBY11" s="143"/>
      <c r="MBZ11" s="143"/>
      <c r="MCA11" s="143"/>
      <c r="MCB11" s="143"/>
      <c r="MCC11" s="143"/>
      <c r="MCD11" s="143"/>
      <c r="MCE11" s="143"/>
      <c r="MCF11" s="143"/>
      <c r="MCG11" s="143"/>
      <c r="MCH11" s="143"/>
      <c r="MCI11" s="143"/>
      <c r="MCJ11" s="143"/>
      <c r="MCK11" s="143"/>
      <c r="MCL11" s="143"/>
      <c r="MCM11" s="143"/>
      <c r="MCN11" s="143"/>
      <c r="MCO11" s="143"/>
      <c r="MCP11" s="143"/>
      <c r="MCQ11" s="143"/>
      <c r="MCR11" s="143"/>
      <c r="MCS11" s="143"/>
      <c r="MCT11" s="143"/>
      <c r="MCU11" s="143"/>
      <c r="MCV11" s="143"/>
      <c r="MCW11" s="143"/>
      <c r="MCX11" s="143"/>
      <c r="MCY11" s="143"/>
      <c r="MCZ11" s="143"/>
      <c r="MDA11" s="143"/>
      <c r="MDB11" s="143"/>
      <c r="MDC11" s="143"/>
      <c r="MDD11" s="143"/>
      <c r="MDE11" s="143"/>
      <c r="MDF11" s="143"/>
      <c r="MDG11" s="143"/>
      <c r="MDH11" s="143"/>
      <c r="MDI11" s="143"/>
      <c r="MDJ11" s="143"/>
      <c r="MDK11" s="143"/>
      <c r="MDL11" s="143"/>
      <c r="MDM11" s="143"/>
      <c r="MDN11" s="143"/>
      <c r="MDO11" s="143"/>
      <c r="MDP11" s="143"/>
      <c r="MDQ11" s="143"/>
      <c r="MDR11" s="143"/>
      <c r="MDS11" s="143"/>
      <c r="MDT11" s="143"/>
      <c r="MDU11" s="143"/>
      <c r="MDV11" s="143"/>
      <c r="MDW11" s="143"/>
      <c r="MDX11" s="143"/>
      <c r="MDY11" s="143"/>
      <c r="MDZ11" s="143"/>
      <c r="MEA11" s="143"/>
      <c r="MEB11" s="143"/>
      <c r="MEC11" s="143"/>
      <c r="MED11" s="143"/>
      <c r="MEE11" s="143"/>
      <c r="MEF11" s="143"/>
      <c r="MEG11" s="143"/>
      <c r="MEH11" s="143"/>
      <c r="MEI11" s="143"/>
      <c r="MEJ11" s="143"/>
      <c r="MEK11" s="143"/>
      <c r="MEL11" s="143"/>
      <c r="MEM11" s="143"/>
      <c r="MEN11" s="143"/>
      <c r="MEO11" s="143"/>
      <c r="MEP11" s="143"/>
      <c r="MEQ11" s="143"/>
      <c r="MER11" s="143"/>
      <c r="MES11" s="143"/>
      <c r="MET11" s="143"/>
      <c r="MEU11" s="143"/>
      <c r="MEV11" s="143"/>
      <c r="MEW11" s="143"/>
      <c r="MEX11" s="143"/>
      <c r="MEY11" s="143"/>
      <c r="MEZ11" s="143"/>
      <c r="MFA11" s="143"/>
      <c r="MFB11" s="143"/>
      <c r="MFC11" s="143"/>
      <c r="MFD11" s="143"/>
      <c r="MFE11" s="143"/>
      <c r="MFF11" s="143"/>
      <c r="MFG11" s="143"/>
      <c r="MFH11" s="143"/>
      <c r="MFI11" s="143"/>
      <c r="MFJ11" s="143"/>
      <c r="MFK11" s="143"/>
      <c r="MFL11" s="143"/>
      <c r="MFM11" s="143"/>
      <c r="MFN11" s="143"/>
      <c r="MFO11" s="143"/>
      <c r="MFP11" s="143"/>
      <c r="MFQ11" s="143"/>
      <c r="MFR11" s="143"/>
      <c r="MFS11" s="143"/>
      <c r="MFT11" s="143"/>
      <c r="MFU11" s="143"/>
      <c r="MFV11" s="143"/>
      <c r="MFW11" s="143"/>
      <c r="MFX11" s="143"/>
      <c r="MFY11" s="143"/>
      <c r="MFZ11" s="143"/>
      <c r="MGA11" s="143"/>
      <c r="MGB11" s="143"/>
      <c r="MGC11" s="143"/>
      <c r="MGD11" s="143"/>
      <c r="MGE11" s="143"/>
      <c r="MGF11" s="143"/>
      <c r="MGG11" s="143"/>
      <c r="MGH11" s="143"/>
      <c r="MGI11" s="143"/>
      <c r="MGJ11" s="143"/>
      <c r="MGK11" s="143"/>
      <c r="MGL11" s="143"/>
      <c r="MGM11" s="143"/>
      <c r="MGN11" s="143"/>
      <c r="MGO11" s="143"/>
      <c r="MGP11" s="143"/>
      <c r="MGQ11" s="143"/>
      <c r="MGR11" s="143"/>
      <c r="MGS11" s="143"/>
      <c r="MGT11" s="143"/>
      <c r="MGU11" s="143"/>
      <c r="MGV11" s="143"/>
      <c r="MGW11" s="143"/>
      <c r="MGX11" s="143"/>
      <c r="MGY11" s="143"/>
      <c r="MGZ11" s="143"/>
      <c r="MHA11" s="143"/>
      <c r="MHB11" s="143"/>
      <c r="MHC11" s="143"/>
      <c r="MHD11" s="143"/>
      <c r="MHE11" s="143"/>
      <c r="MHF11" s="143"/>
      <c r="MHG11" s="143"/>
      <c r="MHH11" s="143"/>
      <c r="MHI11" s="143"/>
      <c r="MHJ11" s="143"/>
      <c r="MHK11" s="143"/>
      <c r="MHL11" s="143"/>
      <c r="MHM11" s="143"/>
      <c r="MHN11" s="143"/>
      <c r="MHO11" s="143"/>
      <c r="MHP11" s="143"/>
      <c r="MHQ11" s="143"/>
      <c r="MHR11" s="143"/>
      <c r="MHS11" s="143"/>
      <c r="MHT11" s="143"/>
      <c r="MHU11" s="143"/>
      <c r="MHV11" s="143"/>
      <c r="MHW11" s="143"/>
      <c r="MHX11" s="143"/>
      <c r="MHY11" s="143"/>
      <c r="MHZ11" s="143"/>
      <c r="MIA11" s="143"/>
      <c r="MIB11" s="143"/>
      <c r="MIC11" s="143"/>
      <c r="MID11" s="143"/>
      <c r="MIE11" s="143"/>
      <c r="MIF11" s="143"/>
      <c r="MIG11" s="143"/>
      <c r="MIH11" s="143"/>
      <c r="MII11" s="143"/>
      <c r="MIJ11" s="143"/>
      <c r="MIK11" s="143"/>
      <c r="MIL11" s="143"/>
      <c r="MIM11" s="143"/>
      <c r="MIN11" s="143"/>
      <c r="MIO11" s="143"/>
      <c r="MIP11" s="143"/>
      <c r="MIQ11" s="143"/>
      <c r="MIR11" s="143"/>
      <c r="MIS11" s="143"/>
      <c r="MIT11" s="143"/>
      <c r="MIU11" s="143"/>
      <c r="MIV11" s="143"/>
      <c r="MIW11" s="143"/>
      <c r="MIX11" s="143"/>
      <c r="MIY11" s="143"/>
      <c r="MIZ11" s="143"/>
      <c r="MJA11" s="143"/>
      <c r="MJB11" s="143"/>
      <c r="MJC11" s="143"/>
      <c r="MJD11" s="143"/>
      <c r="MJE11" s="143"/>
      <c r="MJF11" s="143"/>
      <c r="MJG11" s="143"/>
      <c r="MJH11" s="143"/>
      <c r="MJI11" s="143"/>
      <c r="MJJ11" s="143"/>
      <c r="MJK11" s="143"/>
      <c r="MJL11" s="143"/>
      <c r="MJM11" s="143"/>
      <c r="MJN11" s="143"/>
      <c r="MJO11" s="143"/>
      <c r="MJP11" s="143"/>
      <c r="MJQ11" s="143"/>
      <c r="MJR11" s="143"/>
      <c r="MJS11" s="143"/>
      <c r="MJT11" s="143"/>
      <c r="MJU11" s="143"/>
      <c r="MJV11" s="143"/>
      <c r="MJW11" s="143"/>
      <c r="MJX11" s="143"/>
      <c r="MJY11" s="143"/>
      <c r="MJZ11" s="143"/>
      <c r="MKA11" s="143"/>
      <c r="MKB11" s="143"/>
      <c r="MKC11" s="143"/>
      <c r="MKD11" s="143"/>
      <c r="MKE11" s="143"/>
      <c r="MKF11" s="143"/>
      <c r="MKG11" s="143"/>
      <c r="MKH11" s="143"/>
      <c r="MKI11" s="143"/>
      <c r="MKJ11" s="143"/>
      <c r="MKK11" s="143"/>
      <c r="MKL11" s="143"/>
      <c r="MKM11" s="143"/>
      <c r="MKN11" s="143"/>
      <c r="MKO11" s="143"/>
      <c r="MKP11" s="143"/>
      <c r="MKQ11" s="143"/>
      <c r="MKR11" s="143"/>
      <c r="MKS11" s="143"/>
      <c r="MKT11" s="143"/>
      <c r="MKU11" s="143"/>
      <c r="MKV11" s="143"/>
      <c r="MKW11" s="143"/>
      <c r="MKX11" s="143"/>
      <c r="MKY11" s="143"/>
      <c r="MKZ11" s="143"/>
      <c r="MLA11" s="143"/>
      <c r="MLB11" s="143"/>
      <c r="MLC11" s="143"/>
      <c r="MLD11" s="143"/>
      <c r="MLE11" s="143"/>
      <c r="MLF11" s="143"/>
      <c r="MLG11" s="143"/>
      <c r="MLH11" s="143"/>
      <c r="MLI11" s="143"/>
      <c r="MLJ11" s="143"/>
      <c r="MLK11" s="143"/>
      <c r="MLL11" s="143"/>
      <c r="MLM11" s="143"/>
      <c r="MLN11" s="143"/>
      <c r="MLO11" s="143"/>
      <c r="MLP11" s="143"/>
      <c r="MLQ11" s="143"/>
      <c r="MLR11" s="143"/>
      <c r="MLS11" s="143"/>
      <c r="MLT11" s="143"/>
      <c r="MLU11" s="143"/>
      <c r="MLV11" s="143"/>
      <c r="MLW11" s="143"/>
      <c r="MLX11" s="143"/>
      <c r="MLY11" s="143"/>
      <c r="MLZ11" s="143"/>
      <c r="MMA11" s="143"/>
      <c r="MMB11" s="143"/>
      <c r="MMC11" s="143"/>
      <c r="MMD11" s="143"/>
      <c r="MME11" s="143"/>
      <c r="MMF11" s="143"/>
      <c r="MMG11" s="143"/>
      <c r="MMH11" s="143"/>
      <c r="MMI11" s="143"/>
      <c r="MMJ11" s="143"/>
      <c r="MMK11" s="143"/>
      <c r="MML11" s="143"/>
      <c r="MMM11" s="143"/>
      <c r="MMN11" s="143"/>
      <c r="MMO11" s="143"/>
      <c r="MMP11" s="143"/>
      <c r="MMQ11" s="143"/>
      <c r="MMR11" s="143"/>
      <c r="MMS11" s="143"/>
      <c r="MMT11" s="143"/>
      <c r="MMU11" s="143"/>
      <c r="MMV11" s="143"/>
      <c r="MMW11" s="143"/>
      <c r="MMX11" s="143"/>
      <c r="MMY11" s="143"/>
      <c r="MMZ11" s="143"/>
      <c r="MNA11" s="143"/>
      <c r="MNB11" s="143"/>
      <c r="MNC11" s="143"/>
      <c r="MND11" s="143"/>
      <c r="MNE11" s="143"/>
      <c r="MNF11" s="143"/>
      <c r="MNG11" s="143"/>
      <c r="MNH11" s="143"/>
      <c r="MNI11" s="143"/>
      <c r="MNJ11" s="143"/>
      <c r="MNK11" s="143"/>
      <c r="MNL11" s="143"/>
      <c r="MNM11" s="143"/>
      <c r="MNN11" s="143"/>
      <c r="MNO11" s="143"/>
      <c r="MNP11" s="143"/>
      <c r="MNQ11" s="143"/>
      <c r="MNR11" s="143"/>
      <c r="MNS11" s="143"/>
      <c r="MNT11" s="143"/>
      <c r="MNU11" s="143"/>
      <c r="MNV11" s="143"/>
      <c r="MNW11" s="143"/>
      <c r="MNX11" s="143"/>
      <c r="MNY11" s="143"/>
      <c r="MNZ11" s="143"/>
      <c r="MOA11" s="143"/>
      <c r="MOB11" s="143"/>
      <c r="MOC11" s="143"/>
      <c r="MOD11" s="143"/>
      <c r="MOE11" s="143"/>
      <c r="MOF11" s="143"/>
      <c r="MOG11" s="143"/>
      <c r="MOH11" s="143"/>
      <c r="MOI11" s="143"/>
      <c r="MOJ11" s="143"/>
      <c r="MOK11" s="143"/>
      <c r="MOL11" s="143"/>
      <c r="MOM11" s="143"/>
      <c r="MON11" s="143"/>
      <c r="MOO11" s="143"/>
      <c r="MOP11" s="143"/>
      <c r="MOQ11" s="143"/>
      <c r="MOR11" s="143"/>
      <c r="MOS11" s="143"/>
      <c r="MOT11" s="143"/>
      <c r="MOU11" s="143"/>
      <c r="MOV11" s="143"/>
      <c r="MOW11" s="143"/>
      <c r="MOX11" s="143"/>
      <c r="MOY11" s="143"/>
      <c r="MOZ11" s="143"/>
      <c r="MPA11" s="143"/>
      <c r="MPB11" s="143"/>
      <c r="MPC11" s="143"/>
      <c r="MPD11" s="143"/>
      <c r="MPE11" s="143"/>
      <c r="MPF11" s="143"/>
      <c r="MPG11" s="143"/>
      <c r="MPH11" s="143"/>
      <c r="MPI11" s="143"/>
      <c r="MPJ11" s="143"/>
      <c r="MPK11" s="143"/>
      <c r="MPL11" s="143"/>
      <c r="MPM11" s="143"/>
      <c r="MPN11" s="143"/>
      <c r="MPO11" s="143"/>
      <c r="MPP11" s="143"/>
      <c r="MPQ11" s="143"/>
      <c r="MPR11" s="143"/>
      <c r="MPS11" s="143"/>
      <c r="MPT11" s="143"/>
      <c r="MPU11" s="143"/>
      <c r="MPV11" s="143"/>
      <c r="MPW11" s="143"/>
      <c r="MPX11" s="143"/>
      <c r="MPY11" s="143"/>
      <c r="MPZ11" s="143"/>
      <c r="MQA11" s="143"/>
      <c r="MQB11" s="143"/>
      <c r="MQC11" s="143"/>
      <c r="MQD11" s="143"/>
      <c r="MQE11" s="143"/>
      <c r="MQF11" s="143"/>
      <c r="MQG11" s="143"/>
      <c r="MQH11" s="143"/>
      <c r="MQI11" s="143"/>
      <c r="MQJ11" s="143"/>
      <c r="MQK11" s="143"/>
      <c r="MQL11" s="143"/>
      <c r="MQM11" s="143"/>
      <c r="MQN11" s="143"/>
      <c r="MQO11" s="143"/>
      <c r="MQP11" s="143"/>
      <c r="MQQ11" s="143"/>
      <c r="MQR11" s="143"/>
      <c r="MQS11" s="143"/>
      <c r="MQT11" s="143"/>
      <c r="MQU11" s="143"/>
      <c r="MQV11" s="143"/>
      <c r="MQW11" s="143"/>
      <c r="MQX11" s="143"/>
      <c r="MQY11" s="143"/>
      <c r="MQZ11" s="143"/>
      <c r="MRA11" s="143"/>
      <c r="MRB11" s="143"/>
      <c r="MRC11" s="143"/>
      <c r="MRD11" s="143"/>
      <c r="MRE11" s="143"/>
      <c r="MRF11" s="143"/>
      <c r="MRG11" s="143"/>
      <c r="MRH11" s="143"/>
      <c r="MRI11" s="143"/>
      <c r="MRJ11" s="143"/>
      <c r="MRK11" s="143"/>
      <c r="MRL11" s="143"/>
      <c r="MRM11" s="143"/>
      <c r="MRN11" s="143"/>
      <c r="MRO11" s="143"/>
      <c r="MRP11" s="143"/>
      <c r="MRQ11" s="143"/>
      <c r="MRR11" s="143"/>
      <c r="MRS11" s="143"/>
      <c r="MRT11" s="143"/>
      <c r="MRU11" s="143"/>
      <c r="MRV11" s="143"/>
      <c r="MRW11" s="143"/>
      <c r="MRX11" s="143"/>
      <c r="MRY11" s="143"/>
      <c r="MRZ11" s="143"/>
      <c r="MSA11" s="143"/>
      <c r="MSB11" s="143"/>
      <c r="MSC11" s="143"/>
      <c r="MSD11" s="143"/>
      <c r="MSE11" s="143"/>
      <c r="MSF11" s="143"/>
      <c r="MSG11" s="143"/>
      <c r="MSH11" s="143"/>
      <c r="MSI11" s="143"/>
      <c r="MSJ11" s="143"/>
      <c r="MSK11" s="143"/>
      <c r="MSL11" s="143"/>
      <c r="MSM11" s="143"/>
      <c r="MSN11" s="143"/>
      <c r="MSO11" s="143"/>
      <c r="MSP11" s="143"/>
      <c r="MSQ11" s="143"/>
      <c r="MSR11" s="143"/>
      <c r="MSS11" s="143"/>
      <c r="MST11" s="143"/>
      <c r="MSU11" s="143"/>
      <c r="MSV11" s="143"/>
      <c r="MSW11" s="143"/>
      <c r="MSX11" s="143"/>
      <c r="MSY11" s="143"/>
      <c r="MSZ11" s="143"/>
      <c r="MTA11" s="143"/>
      <c r="MTB11" s="143"/>
      <c r="MTC11" s="143"/>
      <c r="MTD11" s="143"/>
      <c r="MTE11" s="143"/>
      <c r="MTF11" s="143"/>
      <c r="MTG11" s="143"/>
      <c r="MTH11" s="143"/>
      <c r="MTI11" s="143"/>
      <c r="MTJ11" s="143"/>
      <c r="MTK11" s="143"/>
      <c r="MTL11" s="143"/>
      <c r="MTM11" s="143"/>
      <c r="MTN11" s="143"/>
      <c r="MTO11" s="143"/>
      <c r="MTP11" s="143"/>
      <c r="MTQ11" s="143"/>
      <c r="MTR11" s="143"/>
      <c r="MTS11" s="143"/>
      <c r="MTT11" s="143"/>
      <c r="MTU11" s="143"/>
      <c r="MTV11" s="143"/>
      <c r="MTW11" s="143"/>
      <c r="MTX11" s="143"/>
      <c r="MTY11" s="143"/>
      <c r="MTZ11" s="143"/>
      <c r="MUA11" s="143"/>
      <c r="MUB11" s="143"/>
      <c r="MUC11" s="143"/>
      <c r="MUD11" s="143"/>
      <c r="MUE11" s="143"/>
      <c r="MUF11" s="143"/>
      <c r="MUG11" s="143"/>
      <c r="MUH11" s="143"/>
      <c r="MUI11" s="143"/>
      <c r="MUJ11" s="143"/>
      <c r="MUK11" s="143"/>
      <c r="MUL11" s="143"/>
      <c r="MUM11" s="143"/>
      <c r="MUN11" s="143"/>
      <c r="MUO11" s="143"/>
      <c r="MUP11" s="143"/>
      <c r="MUQ11" s="143"/>
      <c r="MUR11" s="143"/>
      <c r="MUS11" s="143"/>
      <c r="MUT11" s="143"/>
      <c r="MUU11" s="143"/>
      <c r="MUV11" s="143"/>
      <c r="MUW11" s="143"/>
      <c r="MUX11" s="143"/>
      <c r="MUY11" s="143"/>
      <c r="MUZ11" s="143"/>
      <c r="MVA11" s="143"/>
      <c r="MVB11" s="143"/>
      <c r="MVC11" s="143"/>
      <c r="MVD11" s="143"/>
      <c r="MVE11" s="143"/>
      <c r="MVF11" s="143"/>
      <c r="MVG11" s="143"/>
      <c r="MVH11" s="143"/>
      <c r="MVI11" s="143"/>
      <c r="MVJ11" s="143"/>
      <c r="MVK11" s="143"/>
      <c r="MVL11" s="143"/>
      <c r="MVM11" s="143"/>
      <c r="MVN11" s="143"/>
      <c r="MVO11" s="143"/>
      <c r="MVP11" s="143"/>
      <c r="MVQ11" s="143"/>
      <c r="MVR11" s="143"/>
      <c r="MVS11" s="143"/>
      <c r="MVT11" s="143"/>
      <c r="MVU11" s="143"/>
      <c r="MVV11" s="143"/>
      <c r="MVW11" s="143"/>
      <c r="MVX11" s="143"/>
      <c r="MVY11" s="143"/>
      <c r="MVZ11" s="143"/>
      <c r="MWA11" s="143"/>
      <c r="MWB11" s="143"/>
      <c r="MWC11" s="143"/>
      <c r="MWD11" s="143"/>
      <c r="MWE11" s="143"/>
      <c r="MWF11" s="143"/>
      <c r="MWG11" s="143"/>
      <c r="MWH11" s="143"/>
      <c r="MWI11" s="143"/>
      <c r="MWJ11" s="143"/>
      <c r="MWK11" s="143"/>
      <c r="MWL11" s="143"/>
      <c r="MWM11" s="143"/>
      <c r="MWN11" s="143"/>
      <c r="MWO11" s="143"/>
      <c r="MWP11" s="143"/>
      <c r="MWQ11" s="143"/>
      <c r="MWR11" s="143"/>
      <c r="MWS11" s="143"/>
      <c r="MWT11" s="143"/>
      <c r="MWU11" s="143"/>
      <c r="MWV11" s="143"/>
      <c r="MWW11" s="143"/>
      <c r="MWX11" s="143"/>
      <c r="MWY11" s="143"/>
      <c r="MWZ11" s="143"/>
      <c r="MXA11" s="143"/>
      <c r="MXB11" s="143"/>
      <c r="MXC11" s="143"/>
      <c r="MXD11" s="143"/>
      <c r="MXE11" s="143"/>
      <c r="MXF11" s="143"/>
      <c r="MXG11" s="143"/>
      <c r="MXH11" s="143"/>
      <c r="MXI11" s="143"/>
      <c r="MXJ11" s="143"/>
      <c r="MXK11" s="143"/>
      <c r="MXL11" s="143"/>
      <c r="MXM11" s="143"/>
      <c r="MXN11" s="143"/>
      <c r="MXO11" s="143"/>
      <c r="MXP11" s="143"/>
      <c r="MXQ11" s="143"/>
      <c r="MXR11" s="143"/>
      <c r="MXS11" s="143"/>
      <c r="MXT11" s="143"/>
      <c r="MXU11" s="143"/>
      <c r="MXV11" s="143"/>
      <c r="MXW11" s="143"/>
      <c r="MXX11" s="143"/>
      <c r="MXY11" s="143"/>
      <c r="MXZ11" s="143"/>
      <c r="MYA11" s="143"/>
      <c r="MYB11" s="143"/>
      <c r="MYC11" s="143"/>
      <c r="MYD11" s="143"/>
      <c r="MYE11" s="143"/>
      <c r="MYF11" s="143"/>
      <c r="MYG11" s="143"/>
      <c r="MYH11" s="143"/>
      <c r="MYI11" s="143"/>
      <c r="MYJ11" s="143"/>
      <c r="MYK11" s="143"/>
      <c r="MYL11" s="143"/>
      <c r="MYM11" s="143"/>
      <c r="MYN11" s="143"/>
      <c r="MYO11" s="143"/>
      <c r="MYP11" s="143"/>
      <c r="MYQ11" s="143"/>
      <c r="MYR11" s="143"/>
      <c r="MYS11" s="143"/>
      <c r="MYT11" s="143"/>
      <c r="MYU11" s="143"/>
      <c r="MYV11" s="143"/>
      <c r="MYW11" s="143"/>
      <c r="MYX11" s="143"/>
      <c r="MYY11" s="143"/>
      <c r="MYZ11" s="143"/>
      <c r="MZA11" s="143"/>
      <c r="MZB11" s="143"/>
      <c r="MZC11" s="143"/>
      <c r="MZD11" s="143"/>
      <c r="MZE11" s="143"/>
      <c r="MZF11" s="143"/>
      <c r="MZG11" s="143"/>
      <c r="MZH11" s="143"/>
      <c r="MZI11" s="143"/>
      <c r="MZJ11" s="143"/>
      <c r="MZK11" s="143"/>
      <c r="MZL11" s="143"/>
      <c r="MZM11" s="143"/>
      <c r="MZN11" s="143"/>
      <c r="MZO11" s="143"/>
      <c r="MZP11" s="143"/>
      <c r="MZQ11" s="143"/>
      <c r="MZR11" s="143"/>
      <c r="MZS11" s="143"/>
      <c r="MZT11" s="143"/>
      <c r="MZU11" s="143"/>
      <c r="MZV11" s="143"/>
      <c r="MZW11" s="143"/>
      <c r="MZX11" s="143"/>
      <c r="MZY11" s="143"/>
      <c r="MZZ11" s="143"/>
      <c r="NAA11" s="143"/>
      <c r="NAB11" s="143"/>
      <c r="NAC11" s="143"/>
      <c r="NAD11" s="143"/>
      <c r="NAE11" s="143"/>
      <c r="NAF11" s="143"/>
      <c r="NAG11" s="143"/>
      <c r="NAH11" s="143"/>
      <c r="NAI11" s="143"/>
      <c r="NAJ11" s="143"/>
      <c r="NAK11" s="143"/>
      <c r="NAL11" s="143"/>
      <c r="NAM11" s="143"/>
      <c r="NAN11" s="143"/>
      <c r="NAO11" s="143"/>
      <c r="NAP11" s="143"/>
      <c r="NAQ11" s="143"/>
      <c r="NAR11" s="143"/>
      <c r="NAS11" s="143"/>
      <c r="NAT11" s="143"/>
      <c r="NAU11" s="143"/>
      <c r="NAV11" s="143"/>
      <c r="NAW11" s="143"/>
      <c r="NAX11" s="143"/>
      <c r="NAY11" s="143"/>
      <c r="NAZ11" s="143"/>
      <c r="NBA11" s="143"/>
      <c r="NBB11" s="143"/>
      <c r="NBC11" s="143"/>
      <c r="NBD11" s="143"/>
      <c r="NBE11" s="143"/>
      <c r="NBF11" s="143"/>
      <c r="NBG11" s="143"/>
      <c r="NBH11" s="143"/>
      <c r="NBI11" s="143"/>
      <c r="NBJ11" s="143"/>
      <c r="NBK11" s="143"/>
      <c r="NBL11" s="143"/>
      <c r="NBM11" s="143"/>
      <c r="NBN11" s="143"/>
      <c r="NBO11" s="143"/>
      <c r="NBP11" s="143"/>
      <c r="NBQ11" s="143"/>
      <c r="NBR11" s="143"/>
      <c r="NBS11" s="143"/>
      <c r="NBT11" s="143"/>
      <c r="NBU11" s="143"/>
      <c r="NBV11" s="143"/>
      <c r="NBW11" s="143"/>
      <c r="NBX11" s="143"/>
      <c r="NBY11" s="143"/>
      <c r="NBZ11" s="143"/>
      <c r="NCA11" s="143"/>
      <c r="NCB11" s="143"/>
      <c r="NCC11" s="143"/>
      <c r="NCD11" s="143"/>
      <c r="NCE11" s="143"/>
      <c r="NCF11" s="143"/>
      <c r="NCG11" s="143"/>
      <c r="NCH11" s="143"/>
      <c r="NCI11" s="143"/>
      <c r="NCJ11" s="143"/>
      <c r="NCK11" s="143"/>
      <c r="NCL11" s="143"/>
      <c r="NCM11" s="143"/>
      <c r="NCN11" s="143"/>
      <c r="NCO11" s="143"/>
      <c r="NCP11" s="143"/>
      <c r="NCQ11" s="143"/>
      <c r="NCR11" s="143"/>
      <c r="NCS11" s="143"/>
      <c r="NCT11" s="143"/>
      <c r="NCU11" s="143"/>
      <c r="NCV11" s="143"/>
      <c r="NCW11" s="143"/>
      <c r="NCX11" s="143"/>
      <c r="NCY11" s="143"/>
      <c r="NCZ11" s="143"/>
      <c r="NDA11" s="143"/>
      <c r="NDB11" s="143"/>
      <c r="NDC11" s="143"/>
      <c r="NDD11" s="143"/>
      <c r="NDE11" s="143"/>
      <c r="NDF11" s="143"/>
      <c r="NDG11" s="143"/>
      <c r="NDH11" s="143"/>
      <c r="NDI11" s="143"/>
      <c r="NDJ11" s="143"/>
      <c r="NDK11" s="143"/>
      <c r="NDL11" s="143"/>
      <c r="NDM11" s="143"/>
      <c r="NDN11" s="143"/>
      <c r="NDO11" s="143"/>
      <c r="NDP11" s="143"/>
      <c r="NDQ11" s="143"/>
      <c r="NDR11" s="143"/>
      <c r="NDS11" s="143"/>
      <c r="NDT11" s="143"/>
      <c r="NDU11" s="143"/>
      <c r="NDV11" s="143"/>
      <c r="NDW11" s="143"/>
      <c r="NDX11" s="143"/>
      <c r="NDY11" s="143"/>
      <c r="NDZ11" s="143"/>
      <c r="NEA11" s="143"/>
      <c r="NEB11" s="143"/>
      <c r="NEC11" s="143"/>
      <c r="NED11" s="143"/>
      <c r="NEE11" s="143"/>
      <c r="NEF11" s="143"/>
      <c r="NEG11" s="143"/>
      <c r="NEH11" s="143"/>
      <c r="NEI11" s="143"/>
      <c r="NEJ11" s="143"/>
      <c r="NEK11" s="143"/>
      <c r="NEL11" s="143"/>
      <c r="NEM11" s="143"/>
      <c r="NEN11" s="143"/>
      <c r="NEO11" s="143"/>
      <c r="NEP11" s="143"/>
      <c r="NEQ11" s="143"/>
      <c r="NER11" s="143"/>
      <c r="NES11" s="143"/>
      <c r="NET11" s="143"/>
      <c r="NEU11" s="143"/>
      <c r="NEV11" s="143"/>
      <c r="NEW11" s="143"/>
      <c r="NEX11" s="143"/>
      <c r="NEY11" s="143"/>
      <c r="NEZ11" s="143"/>
      <c r="NFA11" s="143"/>
      <c r="NFB11" s="143"/>
      <c r="NFC11" s="143"/>
      <c r="NFD11" s="143"/>
      <c r="NFE11" s="143"/>
      <c r="NFF11" s="143"/>
      <c r="NFG11" s="143"/>
      <c r="NFH11" s="143"/>
      <c r="NFI11" s="143"/>
      <c r="NFJ11" s="143"/>
      <c r="NFK11" s="143"/>
      <c r="NFL11" s="143"/>
      <c r="NFM11" s="143"/>
      <c r="NFN11" s="143"/>
      <c r="NFO11" s="143"/>
      <c r="NFP11" s="143"/>
      <c r="NFQ11" s="143"/>
      <c r="NFR11" s="143"/>
      <c r="NFS11" s="143"/>
      <c r="NFT11" s="143"/>
      <c r="NFU11" s="143"/>
      <c r="NFV11" s="143"/>
      <c r="NFW11" s="143"/>
      <c r="NFX11" s="143"/>
      <c r="NFY11" s="143"/>
      <c r="NFZ11" s="143"/>
      <c r="NGA11" s="143"/>
      <c r="NGB11" s="143"/>
      <c r="NGC11" s="143"/>
      <c r="NGD11" s="143"/>
      <c r="NGE11" s="143"/>
      <c r="NGF11" s="143"/>
      <c r="NGG11" s="143"/>
      <c r="NGH11" s="143"/>
      <c r="NGI11" s="143"/>
      <c r="NGJ11" s="143"/>
      <c r="NGK11" s="143"/>
      <c r="NGL11" s="143"/>
      <c r="NGM11" s="143"/>
      <c r="NGN11" s="143"/>
      <c r="NGO11" s="143"/>
      <c r="NGP11" s="143"/>
      <c r="NGQ11" s="143"/>
      <c r="NGR11" s="143"/>
      <c r="NGS11" s="143"/>
      <c r="NGT11" s="143"/>
      <c r="NGU11" s="143"/>
      <c r="NGV11" s="143"/>
      <c r="NGW11" s="143"/>
      <c r="NGX11" s="143"/>
      <c r="NGY11" s="143"/>
      <c r="NGZ11" s="143"/>
      <c r="NHA11" s="143"/>
      <c r="NHB11" s="143"/>
      <c r="NHC11" s="143"/>
      <c r="NHD11" s="143"/>
      <c r="NHE11" s="143"/>
      <c r="NHF11" s="143"/>
      <c r="NHG11" s="143"/>
      <c r="NHH11" s="143"/>
      <c r="NHI11" s="143"/>
      <c r="NHJ11" s="143"/>
      <c r="NHK11" s="143"/>
      <c r="NHL11" s="143"/>
      <c r="NHM11" s="143"/>
      <c r="NHN11" s="143"/>
      <c r="NHO11" s="143"/>
      <c r="NHP11" s="143"/>
      <c r="NHQ11" s="143"/>
      <c r="NHR11" s="143"/>
      <c r="NHS11" s="143"/>
      <c r="NHT11" s="143"/>
      <c r="NHU11" s="143"/>
      <c r="NHV11" s="143"/>
      <c r="NHW11" s="143"/>
      <c r="NHX11" s="143"/>
      <c r="NHY11" s="143"/>
      <c r="NHZ11" s="143"/>
      <c r="NIA11" s="143"/>
      <c r="NIB11" s="143"/>
      <c r="NIC11" s="143"/>
      <c r="NID11" s="143"/>
      <c r="NIE11" s="143"/>
      <c r="NIF11" s="143"/>
      <c r="NIG11" s="143"/>
      <c r="NIH11" s="143"/>
      <c r="NII11" s="143"/>
      <c r="NIJ11" s="143"/>
      <c r="NIK11" s="143"/>
      <c r="NIL11" s="143"/>
      <c r="NIM11" s="143"/>
      <c r="NIN11" s="143"/>
      <c r="NIO11" s="143"/>
      <c r="NIP11" s="143"/>
      <c r="NIQ11" s="143"/>
      <c r="NIR11" s="143"/>
      <c r="NIS11" s="143"/>
      <c r="NIT11" s="143"/>
      <c r="NIU11" s="143"/>
      <c r="NIV11" s="143"/>
      <c r="NIW11" s="143"/>
      <c r="NIX11" s="143"/>
      <c r="NIY11" s="143"/>
      <c r="NIZ11" s="143"/>
      <c r="NJA11" s="143"/>
      <c r="NJB11" s="143"/>
      <c r="NJC11" s="143"/>
      <c r="NJD11" s="143"/>
      <c r="NJE11" s="143"/>
      <c r="NJF11" s="143"/>
      <c r="NJG11" s="143"/>
      <c r="NJH11" s="143"/>
      <c r="NJI11" s="143"/>
      <c r="NJJ11" s="143"/>
      <c r="NJK11" s="143"/>
      <c r="NJL11" s="143"/>
      <c r="NJM11" s="143"/>
      <c r="NJN11" s="143"/>
      <c r="NJO11" s="143"/>
      <c r="NJP11" s="143"/>
      <c r="NJQ11" s="143"/>
      <c r="NJR11" s="143"/>
      <c r="NJS11" s="143"/>
      <c r="NJT11" s="143"/>
      <c r="NJU11" s="143"/>
      <c r="NJV11" s="143"/>
      <c r="NJW11" s="143"/>
      <c r="NJX11" s="143"/>
      <c r="NJY11" s="143"/>
      <c r="NJZ11" s="143"/>
      <c r="NKA11" s="143"/>
      <c r="NKB11" s="143"/>
      <c r="NKC11" s="143"/>
      <c r="NKD11" s="143"/>
      <c r="NKE11" s="143"/>
      <c r="NKF11" s="143"/>
      <c r="NKG11" s="143"/>
      <c r="NKH11" s="143"/>
      <c r="NKI11" s="143"/>
      <c r="NKJ11" s="143"/>
      <c r="NKK11" s="143"/>
      <c r="NKL11" s="143"/>
      <c r="NKM11" s="143"/>
      <c r="NKN11" s="143"/>
      <c r="NKO11" s="143"/>
      <c r="NKP11" s="143"/>
      <c r="NKQ11" s="143"/>
      <c r="NKR11" s="143"/>
      <c r="NKS11" s="143"/>
      <c r="NKT11" s="143"/>
      <c r="NKU11" s="143"/>
      <c r="NKV11" s="143"/>
      <c r="NKW11" s="143"/>
      <c r="NKX11" s="143"/>
      <c r="NKY11" s="143"/>
      <c r="NKZ11" s="143"/>
      <c r="NLA11" s="143"/>
      <c r="NLB11" s="143"/>
      <c r="NLC11" s="143"/>
      <c r="NLD11" s="143"/>
      <c r="NLE11" s="143"/>
      <c r="NLF11" s="143"/>
      <c r="NLG11" s="143"/>
      <c r="NLH11" s="143"/>
      <c r="NLI11" s="143"/>
      <c r="NLJ11" s="143"/>
      <c r="NLK11" s="143"/>
      <c r="NLL11" s="143"/>
      <c r="NLM11" s="143"/>
      <c r="NLN11" s="143"/>
      <c r="NLO11" s="143"/>
      <c r="NLP11" s="143"/>
      <c r="NLQ11" s="143"/>
      <c r="NLR11" s="143"/>
      <c r="NLS11" s="143"/>
      <c r="NLT11" s="143"/>
      <c r="NLU11" s="143"/>
      <c r="NLV11" s="143"/>
      <c r="NLW11" s="143"/>
      <c r="NLX11" s="143"/>
      <c r="NLY11" s="143"/>
      <c r="NLZ11" s="143"/>
      <c r="NMA11" s="143"/>
      <c r="NMB11" s="143"/>
      <c r="NMC11" s="143"/>
      <c r="NMD11" s="143"/>
      <c r="NME11" s="143"/>
      <c r="NMF11" s="143"/>
      <c r="NMG11" s="143"/>
      <c r="NMH11" s="143"/>
      <c r="NMI11" s="143"/>
      <c r="NMJ11" s="143"/>
      <c r="NMK11" s="143"/>
      <c r="NML11" s="143"/>
      <c r="NMM11" s="143"/>
      <c r="NMN11" s="143"/>
      <c r="NMO11" s="143"/>
      <c r="NMP11" s="143"/>
      <c r="NMQ11" s="143"/>
      <c r="NMR11" s="143"/>
      <c r="NMS11" s="143"/>
      <c r="NMT11" s="143"/>
      <c r="NMU11" s="143"/>
      <c r="NMV11" s="143"/>
      <c r="NMW11" s="143"/>
      <c r="NMX11" s="143"/>
      <c r="NMY11" s="143"/>
      <c r="NMZ11" s="143"/>
      <c r="NNA11" s="143"/>
      <c r="NNB11" s="143"/>
      <c r="NNC11" s="143"/>
      <c r="NND11" s="143"/>
      <c r="NNE11" s="143"/>
      <c r="NNF11" s="143"/>
      <c r="NNG11" s="143"/>
      <c r="NNH11" s="143"/>
      <c r="NNI11" s="143"/>
      <c r="NNJ11" s="143"/>
      <c r="NNK11" s="143"/>
      <c r="NNL11" s="143"/>
      <c r="NNM11" s="143"/>
      <c r="NNN11" s="143"/>
      <c r="NNO11" s="143"/>
      <c r="NNP11" s="143"/>
      <c r="NNQ11" s="143"/>
      <c r="NNR11" s="143"/>
      <c r="NNS11" s="143"/>
      <c r="NNT11" s="143"/>
      <c r="NNU11" s="143"/>
      <c r="NNV11" s="143"/>
      <c r="NNW11" s="143"/>
      <c r="NNX11" s="143"/>
      <c r="NNY11" s="143"/>
      <c r="NNZ11" s="143"/>
      <c r="NOA11" s="143"/>
      <c r="NOB11" s="143"/>
      <c r="NOC11" s="143"/>
      <c r="NOD11" s="143"/>
      <c r="NOE11" s="143"/>
      <c r="NOF11" s="143"/>
      <c r="NOG11" s="143"/>
      <c r="NOH11" s="143"/>
      <c r="NOI11" s="143"/>
      <c r="NOJ11" s="143"/>
      <c r="NOK11" s="143"/>
      <c r="NOL11" s="143"/>
      <c r="NOM11" s="143"/>
      <c r="NON11" s="143"/>
      <c r="NOO11" s="143"/>
      <c r="NOP11" s="143"/>
      <c r="NOQ11" s="143"/>
      <c r="NOR11" s="143"/>
      <c r="NOS11" s="143"/>
      <c r="NOT11" s="143"/>
      <c r="NOU11" s="143"/>
      <c r="NOV11" s="143"/>
      <c r="NOW11" s="143"/>
      <c r="NOX11" s="143"/>
      <c r="NOY11" s="143"/>
      <c r="NOZ11" s="143"/>
      <c r="NPA11" s="143"/>
      <c r="NPB11" s="143"/>
      <c r="NPC11" s="143"/>
      <c r="NPD11" s="143"/>
      <c r="NPE11" s="143"/>
      <c r="NPF11" s="143"/>
      <c r="NPG11" s="143"/>
      <c r="NPH11" s="143"/>
      <c r="NPI11" s="143"/>
      <c r="NPJ11" s="143"/>
      <c r="NPK11" s="143"/>
      <c r="NPL11" s="143"/>
      <c r="NPM11" s="143"/>
      <c r="NPN11" s="143"/>
      <c r="NPO11" s="143"/>
      <c r="NPP11" s="143"/>
      <c r="NPQ11" s="143"/>
      <c r="NPR11" s="143"/>
      <c r="NPS11" s="143"/>
      <c r="NPT11" s="143"/>
      <c r="NPU11" s="143"/>
      <c r="NPV11" s="143"/>
      <c r="NPW11" s="143"/>
      <c r="NPX11" s="143"/>
      <c r="NPY11" s="143"/>
      <c r="NPZ11" s="143"/>
      <c r="NQA11" s="143"/>
      <c r="NQB11" s="143"/>
      <c r="NQC11" s="143"/>
      <c r="NQD11" s="143"/>
      <c r="NQE11" s="143"/>
      <c r="NQF11" s="143"/>
      <c r="NQG11" s="143"/>
      <c r="NQH11" s="143"/>
      <c r="NQI11" s="143"/>
      <c r="NQJ11" s="143"/>
      <c r="NQK11" s="143"/>
      <c r="NQL11" s="143"/>
      <c r="NQM11" s="143"/>
      <c r="NQN11" s="143"/>
      <c r="NQO11" s="143"/>
      <c r="NQP11" s="143"/>
      <c r="NQQ11" s="143"/>
      <c r="NQR11" s="143"/>
      <c r="NQS11" s="143"/>
      <c r="NQT11" s="143"/>
      <c r="NQU11" s="143"/>
      <c r="NQV11" s="143"/>
      <c r="NQW11" s="143"/>
      <c r="NQX11" s="143"/>
      <c r="NQY11" s="143"/>
      <c r="NQZ11" s="143"/>
      <c r="NRA11" s="143"/>
      <c r="NRB11" s="143"/>
      <c r="NRC11" s="143"/>
      <c r="NRD11" s="143"/>
      <c r="NRE11" s="143"/>
      <c r="NRF11" s="143"/>
      <c r="NRG11" s="143"/>
      <c r="NRH11" s="143"/>
      <c r="NRI11" s="143"/>
      <c r="NRJ11" s="143"/>
      <c r="NRK11" s="143"/>
      <c r="NRL11" s="143"/>
      <c r="NRM11" s="143"/>
      <c r="NRN11" s="143"/>
      <c r="NRO11" s="143"/>
      <c r="NRP11" s="143"/>
      <c r="NRQ11" s="143"/>
      <c r="NRR11" s="143"/>
      <c r="NRS11" s="143"/>
      <c r="NRT11" s="143"/>
      <c r="NRU11" s="143"/>
      <c r="NRV11" s="143"/>
      <c r="NRW11" s="143"/>
      <c r="NRX11" s="143"/>
      <c r="NRY11" s="143"/>
      <c r="NRZ11" s="143"/>
      <c r="NSA11" s="143"/>
      <c r="NSB11" s="143"/>
      <c r="NSC11" s="143"/>
      <c r="NSD11" s="143"/>
      <c r="NSE11" s="143"/>
      <c r="NSF11" s="143"/>
      <c r="NSG11" s="143"/>
      <c r="NSH11" s="143"/>
      <c r="NSI11" s="143"/>
      <c r="NSJ11" s="143"/>
      <c r="NSK11" s="143"/>
      <c r="NSL11" s="143"/>
      <c r="NSM11" s="143"/>
      <c r="NSN11" s="143"/>
      <c r="NSO11" s="143"/>
      <c r="NSP11" s="143"/>
      <c r="NSQ11" s="143"/>
      <c r="NSR11" s="143"/>
      <c r="NSS11" s="143"/>
      <c r="NST11" s="143"/>
      <c r="NSU11" s="143"/>
      <c r="NSV11" s="143"/>
      <c r="NSW11" s="143"/>
      <c r="NSX11" s="143"/>
      <c r="NSY11" s="143"/>
      <c r="NSZ11" s="143"/>
      <c r="NTA11" s="143"/>
      <c r="NTB11" s="143"/>
      <c r="NTC11" s="143"/>
      <c r="NTD11" s="143"/>
      <c r="NTE11" s="143"/>
      <c r="NTF11" s="143"/>
      <c r="NTG11" s="143"/>
      <c r="NTH11" s="143"/>
      <c r="NTI11" s="143"/>
      <c r="NTJ11" s="143"/>
      <c r="NTK11" s="143"/>
      <c r="NTL11" s="143"/>
      <c r="NTM11" s="143"/>
      <c r="NTN11" s="143"/>
      <c r="NTO11" s="143"/>
      <c r="NTP11" s="143"/>
      <c r="NTQ11" s="143"/>
      <c r="NTR11" s="143"/>
      <c r="NTS11" s="143"/>
      <c r="NTT11" s="143"/>
      <c r="NTU11" s="143"/>
      <c r="NTV11" s="143"/>
      <c r="NTW11" s="143"/>
      <c r="NTX11" s="143"/>
      <c r="NTY11" s="143"/>
      <c r="NTZ11" s="143"/>
      <c r="NUA11" s="143"/>
      <c r="NUB11" s="143"/>
      <c r="NUC11" s="143"/>
      <c r="NUD11" s="143"/>
      <c r="NUE11" s="143"/>
      <c r="NUF11" s="143"/>
      <c r="NUG11" s="143"/>
      <c r="NUH11" s="143"/>
      <c r="NUI11" s="143"/>
      <c r="NUJ11" s="143"/>
      <c r="NUK11" s="143"/>
      <c r="NUL11" s="143"/>
      <c r="NUM11" s="143"/>
      <c r="NUN11" s="143"/>
      <c r="NUO11" s="143"/>
      <c r="NUP11" s="143"/>
      <c r="NUQ11" s="143"/>
      <c r="NUR11" s="143"/>
      <c r="NUS11" s="143"/>
      <c r="NUT11" s="143"/>
      <c r="NUU11" s="143"/>
      <c r="NUV11" s="143"/>
      <c r="NUW11" s="143"/>
      <c r="NUX11" s="143"/>
      <c r="NUY11" s="143"/>
      <c r="NUZ11" s="143"/>
      <c r="NVA11" s="143"/>
      <c r="NVB11" s="143"/>
      <c r="NVC11" s="143"/>
      <c r="NVD11" s="143"/>
      <c r="NVE11" s="143"/>
      <c r="NVF11" s="143"/>
      <c r="NVG11" s="143"/>
      <c r="NVH11" s="143"/>
      <c r="NVI11" s="143"/>
      <c r="NVJ11" s="143"/>
      <c r="NVK11" s="143"/>
      <c r="NVL11" s="143"/>
      <c r="NVM11" s="143"/>
      <c r="NVN11" s="143"/>
      <c r="NVO11" s="143"/>
      <c r="NVP11" s="143"/>
      <c r="NVQ11" s="143"/>
      <c r="NVR11" s="143"/>
      <c r="NVS11" s="143"/>
      <c r="NVT11" s="143"/>
      <c r="NVU11" s="143"/>
      <c r="NVV11" s="143"/>
      <c r="NVW11" s="143"/>
      <c r="NVX11" s="143"/>
      <c r="NVY11" s="143"/>
      <c r="NVZ11" s="143"/>
      <c r="NWA11" s="143"/>
      <c r="NWB11" s="143"/>
      <c r="NWC11" s="143"/>
      <c r="NWD11" s="143"/>
      <c r="NWE11" s="143"/>
      <c r="NWF11" s="143"/>
      <c r="NWG11" s="143"/>
      <c r="NWH11" s="143"/>
      <c r="NWI11" s="143"/>
      <c r="NWJ11" s="143"/>
      <c r="NWK11" s="143"/>
      <c r="NWL11" s="143"/>
      <c r="NWM11" s="143"/>
      <c r="NWN11" s="143"/>
      <c r="NWO11" s="143"/>
      <c r="NWP11" s="143"/>
      <c r="NWQ11" s="143"/>
      <c r="NWR11" s="143"/>
      <c r="NWS11" s="143"/>
      <c r="NWT11" s="143"/>
      <c r="NWU11" s="143"/>
      <c r="NWV11" s="143"/>
      <c r="NWW11" s="143"/>
      <c r="NWX11" s="143"/>
      <c r="NWY11" s="143"/>
      <c r="NWZ11" s="143"/>
      <c r="NXA11" s="143"/>
      <c r="NXB11" s="143"/>
      <c r="NXC11" s="143"/>
      <c r="NXD11" s="143"/>
      <c r="NXE11" s="143"/>
      <c r="NXF11" s="143"/>
      <c r="NXG11" s="143"/>
      <c r="NXH11" s="143"/>
      <c r="NXI11" s="143"/>
      <c r="NXJ11" s="143"/>
      <c r="NXK11" s="143"/>
      <c r="NXL11" s="143"/>
      <c r="NXM11" s="143"/>
      <c r="NXN11" s="143"/>
      <c r="NXO11" s="143"/>
      <c r="NXP11" s="143"/>
      <c r="NXQ11" s="143"/>
      <c r="NXR11" s="143"/>
      <c r="NXS11" s="143"/>
      <c r="NXT11" s="143"/>
      <c r="NXU11" s="143"/>
      <c r="NXV11" s="143"/>
      <c r="NXW11" s="143"/>
      <c r="NXX11" s="143"/>
      <c r="NXY11" s="143"/>
      <c r="NXZ11" s="143"/>
      <c r="NYA11" s="143"/>
      <c r="NYB11" s="143"/>
      <c r="NYC11" s="143"/>
      <c r="NYD11" s="143"/>
      <c r="NYE11" s="143"/>
      <c r="NYF11" s="143"/>
      <c r="NYG11" s="143"/>
      <c r="NYH11" s="143"/>
      <c r="NYI11" s="143"/>
      <c r="NYJ11" s="143"/>
      <c r="NYK11" s="143"/>
      <c r="NYL11" s="143"/>
      <c r="NYM11" s="143"/>
      <c r="NYN11" s="143"/>
      <c r="NYO11" s="143"/>
      <c r="NYP11" s="143"/>
      <c r="NYQ11" s="143"/>
      <c r="NYR11" s="143"/>
      <c r="NYS11" s="143"/>
      <c r="NYT11" s="143"/>
      <c r="NYU11" s="143"/>
      <c r="NYV11" s="143"/>
      <c r="NYW11" s="143"/>
      <c r="NYX11" s="143"/>
      <c r="NYY11" s="143"/>
      <c r="NYZ11" s="143"/>
      <c r="NZA11" s="143"/>
      <c r="NZB11" s="143"/>
      <c r="NZC11" s="143"/>
      <c r="NZD11" s="143"/>
      <c r="NZE11" s="143"/>
      <c r="NZF11" s="143"/>
      <c r="NZG11" s="143"/>
      <c r="NZH11" s="143"/>
      <c r="NZI11" s="143"/>
      <c r="NZJ11" s="143"/>
      <c r="NZK11" s="143"/>
      <c r="NZL11" s="143"/>
      <c r="NZM11" s="143"/>
      <c r="NZN11" s="143"/>
      <c r="NZO11" s="143"/>
      <c r="NZP11" s="143"/>
      <c r="NZQ11" s="143"/>
      <c r="NZR11" s="143"/>
      <c r="NZS11" s="143"/>
      <c r="NZT11" s="143"/>
      <c r="NZU11" s="143"/>
      <c r="NZV11" s="143"/>
      <c r="NZW11" s="143"/>
      <c r="NZX11" s="143"/>
      <c r="NZY11" s="143"/>
      <c r="NZZ11" s="143"/>
      <c r="OAA11" s="143"/>
      <c r="OAB11" s="143"/>
      <c r="OAC11" s="143"/>
      <c r="OAD11" s="143"/>
      <c r="OAE11" s="143"/>
      <c r="OAF11" s="143"/>
      <c r="OAG11" s="143"/>
      <c r="OAH11" s="143"/>
      <c r="OAI11" s="143"/>
      <c r="OAJ11" s="143"/>
      <c r="OAK11" s="143"/>
      <c r="OAL11" s="143"/>
      <c r="OAM11" s="143"/>
      <c r="OAN11" s="143"/>
      <c r="OAO11" s="143"/>
      <c r="OAP11" s="143"/>
      <c r="OAQ11" s="143"/>
      <c r="OAR11" s="143"/>
      <c r="OAS11" s="143"/>
      <c r="OAT11" s="143"/>
      <c r="OAU11" s="143"/>
      <c r="OAV11" s="143"/>
      <c r="OAW11" s="143"/>
      <c r="OAX11" s="143"/>
      <c r="OAY11" s="143"/>
      <c r="OAZ11" s="143"/>
      <c r="OBA11" s="143"/>
      <c r="OBB11" s="143"/>
      <c r="OBC11" s="143"/>
      <c r="OBD11" s="143"/>
      <c r="OBE11" s="143"/>
      <c r="OBF11" s="143"/>
      <c r="OBG11" s="143"/>
      <c r="OBH11" s="143"/>
      <c r="OBI11" s="143"/>
      <c r="OBJ11" s="143"/>
      <c r="OBK11" s="143"/>
      <c r="OBL11" s="143"/>
      <c r="OBM11" s="143"/>
      <c r="OBN11" s="143"/>
      <c r="OBO11" s="143"/>
      <c r="OBP11" s="143"/>
      <c r="OBQ11" s="143"/>
      <c r="OBR11" s="143"/>
      <c r="OBS11" s="143"/>
      <c r="OBT11" s="143"/>
      <c r="OBU11" s="143"/>
      <c r="OBV11" s="143"/>
      <c r="OBW11" s="143"/>
      <c r="OBX11" s="143"/>
      <c r="OBY11" s="143"/>
      <c r="OBZ11" s="143"/>
      <c r="OCA11" s="143"/>
      <c r="OCB11" s="143"/>
      <c r="OCC11" s="143"/>
      <c r="OCD11" s="143"/>
      <c r="OCE11" s="143"/>
      <c r="OCF11" s="143"/>
      <c r="OCG11" s="143"/>
      <c r="OCH11" s="143"/>
      <c r="OCI11" s="143"/>
      <c r="OCJ11" s="143"/>
      <c r="OCK11" s="143"/>
      <c r="OCL11" s="143"/>
      <c r="OCM11" s="143"/>
      <c r="OCN11" s="143"/>
      <c r="OCO11" s="143"/>
      <c r="OCP11" s="143"/>
      <c r="OCQ11" s="143"/>
      <c r="OCR11" s="143"/>
      <c r="OCS11" s="143"/>
      <c r="OCT11" s="143"/>
      <c r="OCU11" s="143"/>
      <c r="OCV11" s="143"/>
      <c r="OCW11" s="143"/>
      <c r="OCX11" s="143"/>
      <c r="OCY11" s="143"/>
      <c r="OCZ11" s="143"/>
      <c r="ODA11" s="143"/>
      <c r="ODB11" s="143"/>
      <c r="ODC11" s="143"/>
      <c r="ODD11" s="143"/>
      <c r="ODE11" s="143"/>
      <c r="ODF11" s="143"/>
      <c r="ODG11" s="143"/>
      <c r="ODH11" s="143"/>
      <c r="ODI11" s="143"/>
      <c r="ODJ11" s="143"/>
      <c r="ODK11" s="143"/>
      <c r="ODL11" s="143"/>
      <c r="ODM11" s="143"/>
      <c r="ODN11" s="143"/>
      <c r="ODO11" s="143"/>
      <c r="ODP11" s="143"/>
      <c r="ODQ11" s="143"/>
      <c r="ODR11" s="143"/>
      <c r="ODS11" s="143"/>
      <c r="ODT11" s="143"/>
      <c r="ODU11" s="143"/>
      <c r="ODV11" s="143"/>
      <c r="ODW11" s="143"/>
      <c r="ODX11" s="143"/>
      <c r="ODY11" s="143"/>
      <c r="ODZ11" s="143"/>
      <c r="OEA11" s="143"/>
      <c r="OEB11" s="143"/>
      <c r="OEC11" s="143"/>
      <c r="OED11" s="143"/>
      <c r="OEE11" s="143"/>
      <c r="OEF11" s="143"/>
      <c r="OEG11" s="143"/>
      <c r="OEH11" s="143"/>
      <c r="OEI11" s="143"/>
      <c r="OEJ11" s="143"/>
      <c r="OEK11" s="143"/>
      <c r="OEL11" s="143"/>
      <c r="OEM11" s="143"/>
      <c r="OEN11" s="143"/>
      <c r="OEO11" s="143"/>
      <c r="OEP11" s="143"/>
      <c r="OEQ11" s="143"/>
      <c r="OER11" s="143"/>
      <c r="OES11" s="143"/>
      <c r="OET11" s="143"/>
      <c r="OEU11" s="143"/>
      <c r="OEV11" s="143"/>
      <c r="OEW11" s="143"/>
      <c r="OEX11" s="143"/>
      <c r="OEY11" s="143"/>
      <c r="OEZ11" s="143"/>
      <c r="OFA11" s="143"/>
      <c r="OFB11" s="143"/>
      <c r="OFC11" s="143"/>
      <c r="OFD11" s="143"/>
      <c r="OFE11" s="143"/>
      <c r="OFF11" s="143"/>
      <c r="OFG11" s="143"/>
      <c r="OFH11" s="143"/>
      <c r="OFI11" s="143"/>
      <c r="OFJ11" s="143"/>
      <c r="OFK11" s="143"/>
      <c r="OFL11" s="143"/>
      <c r="OFM11" s="143"/>
      <c r="OFN11" s="143"/>
      <c r="OFO11" s="143"/>
      <c r="OFP11" s="143"/>
      <c r="OFQ11" s="143"/>
      <c r="OFR11" s="143"/>
      <c r="OFS11" s="143"/>
      <c r="OFT11" s="143"/>
      <c r="OFU11" s="143"/>
      <c r="OFV11" s="143"/>
      <c r="OFW11" s="143"/>
      <c r="OFX11" s="143"/>
      <c r="OFY11" s="143"/>
      <c r="OFZ11" s="143"/>
      <c r="OGA11" s="143"/>
      <c r="OGB11" s="143"/>
      <c r="OGC11" s="143"/>
      <c r="OGD11" s="143"/>
      <c r="OGE11" s="143"/>
      <c r="OGF11" s="143"/>
      <c r="OGG11" s="143"/>
      <c r="OGH11" s="143"/>
      <c r="OGI11" s="143"/>
      <c r="OGJ11" s="143"/>
      <c r="OGK11" s="143"/>
      <c r="OGL11" s="143"/>
      <c r="OGM11" s="143"/>
      <c r="OGN11" s="143"/>
      <c r="OGO11" s="143"/>
      <c r="OGP11" s="143"/>
      <c r="OGQ11" s="143"/>
      <c r="OGR11" s="143"/>
      <c r="OGS11" s="143"/>
      <c r="OGT11" s="143"/>
      <c r="OGU11" s="143"/>
      <c r="OGV11" s="143"/>
      <c r="OGW11" s="143"/>
      <c r="OGX11" s="143"/>
      <c r="OGY11" s="143"/>
      <c r="OGZ11" s="143"/>
      <c r="OHA11" s="143"/>
      <c r="OHB11" s="143"/>
      <c r="OHC11" s="143"/>
      <c r="OHD11" s="143"/>
      <c r="OHE11" s="143"/>
      <c r="OHF11" s="143"/>
      <c r="OHG11" s="143"/>
      <c r="OHH11" s="143"/>
      <c r="OHI11" s="143"/>
      <c r="OHJ11" s="143"/>
      <c r="OHK11" s="143"/>
      <c r="OHL11" s="143"/>
      <c r="OHM11" s="143"/>
      <c r="OHN11" s="143"/>
      <c r="OHO11" s="143"/>
      <c r="OHP11" s="143"/>
      <c r="OHQ11" s="143"/>
      <c r="OHR11" s="143"/>
      <c r="OHS11" s="143"/>
      <c r="OHT11" s="143"/>
      <c r="OHU11" s="143"/>
      <c r="OHV11" s="143"/>
      <c r="OHW11" s="143"/>
      <c r="OHX11" s="143"/>
      <c r="OHY11" s="143"/>
      <c r="OHZ11" s="143"/>
      <c r="OIA11" s="143"/>
      <c r="OIB11" s="143"/>
      <c r="OIC11" s="143"/>
      <c r="OID11" s="143"/>
      <c r="OIE11" s="143"/>
      <c r="OIF11" s="143"/>
      <c r="OIG11" s="143"/>
      <c r="OIH11" s="143"/>
      <c r="OII11" s="143"/>
      <c r="OIJ11" s="143"/>
      <c r="OIK11" s="143"/>
      <c r="OIL11" s="143"/>
      <c r="OIM11" s="143"/>
      <c r="OIN11" s="143"/>
      <c r="OIO11" s="143"/>
      <c r="OIP11" s="143"/>
      <c r="OIQ11" s="143"/>
      <c r="OIR11" s="143"/>
      <c r="OIS11" s="143"/>
      <c r="OIT11" s="143"/>
      <c r="OIU11" s="143"/>
      <c r="OIV11" s="143"/>
      <c r="OIW11" s="143"/>
      <c r="OIX11" s="143"/>
      <c r="OIY11" s="143"/>
      <c r="OIZ11" s="143"/>
      <c r="OJA11" s="143"/>
      <c r="OJB11" s="143"/>
      <c r="OJC11" s="143"/>
      <c r="OJD11" s="143"/>
      <c r="OJE11" s="143"/>
      <c r="OJF11" s="143"/>
      <c r="OJG11" s="143"/>
      <c r="OJH11" s="143"/>
      <c r="OJI11" s="143"/>
      <c r="OJJ11" s="143"/>
      <c r="OJK11" s="143"/>
      <c r="OJL11" s="143"/>
      <c r="OJM11" s="143"/>
      <c r="OJN11" s="143"/>
      <c r="OJO11" s="143"/>
      <c r="OJP11" s="143"/>
      <c r="OJQ11" s="143"/>
      <c r="OJR11" s="143"/>
      <c r="OJS11" s="143"/>
      <c r="OJT11" s="143"/>
      <c r="OJU11" s="143"/>
      <c r="OJV11" s="143"/>
      <c r="OJW11" s="143"/>
      <c r="OJX11" s="143"/>
      <c r="OJY11" s="143"/>
      <c r="OJZ11" s="143"/>
      <c r="OKA11" s="143"/>
      <c r="OKB11" s="143"/>
      <c r="OKC11" s="143"/>
      <c r="OKD11" s="143"/>
      <c r="OKE11" s="143"/>
      <c r="OKF11" s="143"/>
      <c r="OKG11" s="143"/>
      <c r="OKH11" s="143"/>
      <c r="OKI11" s="143"/>
      <c r="OKJ11" s="143"/>
      <c r="OKK11" s="143"/>
      <c r="OKL11" s="143"/>
      <c r="OKM11" s="143"/>
      <c r="OKN11" s="143"/>
      <c r="OKO11" s="143"/>
      <c r="OKP11" s="143"/>
      <c r="OKQ11" s="143"/>
      <c r="OKR11" s="143"/>
      <c r="OKS11" s="143"/>
      <c r="OKT11" s="143"/>
      <c r="OKU11" s="143"/>
      <c r="OKV11" s="143"/>
      <c r="OKW11" s="143"/>
      <c r="OKX11" s="143"/>
      <c r="OKY11" s="143"/>
      <c r="OKZ11" s="143"/>
      <c r="OLA11" s="143"/>
      <c r="OLB11" s="143"/>
      <c r="OLC11" s="143"/>
      <c r="OLD11" s="143"/>
      <c r="OLE11" s="143"/>
      <c r="OLF11" s="143"/>
      <c r="OLG11" s="143"/>
      <c r="OLH11" s="143"/>
      <c r="OLI11" s="143"/>
      <c r="OLJ11" s="143"/>
      <c r="OLK11" s="143"/>
      <c r="OLL11" s="143"/>
      <c r="OLM11" s="143"/>
      <c r="OLN11" s="143"/>
      <c r="OLO11" s="143"/>
      <c r="OLP11" s="143"/>
      <c r="OLQ11" s="143"/>
      <c r="OLR11" s="143"/>
      <c r="OLS11" s="143"/>
      <c r="OLT11" s="143"/>
      <c r="OLU11" s="143"/>
      <c r="OLV11" s="143"/>
      <c r="OLW11" s="143"/>
      <c r="OLX11" s="143"/>
      <c r="OLY11" s="143"/>
      <c r="OLZ11" s="143"/>
      <c r="OMA11" s="143"/>
      <c r="OMB11" s="143"/>
      <c r="OMC11" s="143"/>
      <c r="OMD11" s="143"/>
      <c r="OME11" s="143"/>
      <c r="OMF11" s="143"/>
      <c r="OMG11" s="143"/>
      <c r="OMH11" s="143"/>
      <c r="OMI11" s="143"/>
      <c r="OMJ11" s="143"/>
      <c r="OMK11" s="143"/>
      <c r="OML11" s="143"/>
      <c r="OMM11" s="143"/>
      <c r="OMN11" s="143"/>
      <c r="OMO11" s="143"/>
      <c r="OMP11" s="143"/>
      <c r="OMQ11" s="143"/>
      <c r="OMR11" s="143"/>
      <c r="OMS11" s="143"/>
      <c r="OMT11" s="143"/>
      <c r="OMU11" s="143"/>
      <c r="OMV11" s="143"/>
      <c r="OMW11" s="143"/>
      <c r="OMX11" s="143"/>
      <c r="OMY11" s="143"/>
      <c r="OMZ11" s="143"/>
      <c r="ONA11" s="143"/>
      <c r="ONB11" s="143"/>
      <c r="ONC11" s="143"/>
      <c r="OND11" s="143"/>
      <c r="ONE11" s="143"/>
      <c r="ONF11" s="143"/>
      <c r="ONG11" s="143"/>
      <c r="ONH11" s="143"/>
      <c r="ONI11" s="143"/>
      <c r="ONJ11" s="143"/>
      <c r="ONK11" s="143"/>
      <c r="ONL11" s="143"/>
      <c r="ONM11" s="143"/>
      <c r="ONN11" s="143"/>
      <c r="ONO11" s="143"/>
      <c r="ONP11" s="143"/>
      <c r="ONQ11" s="143"/>
      <c r="ONR11" s="143"/>
      <c r="ONS11" s="143"/>
      <c r="ONT11" s="143"/>
      <c r="ONU11" s="143"/>
      <c r="ONV11" s="143"/>
      <c r="ONW11" s="143"/>
      <c r="ONX11" s="143"/>
      <c r="ONY11" s="143"/>
      <c r="ONZ11" s="143"/>
      <c r="OOA11" s="143"/>
      <c r="OOB11" s="143"/>
      <c r="OOC11" s="143"/>
      <c r="OOD11" s="143"/>
      <c r="OOE11" s="143"/>
      <c r="OOF11" s="143"/>
      <c r="OOG11" s="143"/>
      <c r="OOH11" s="143"/>
      <c r="OOI11" s="143"/>
      <c r="OOJ11" s="143"/>
      <c r="OOK11" s="143"/>
      <c r="OOL11" s="143"/>
      <c r="OOM11" s="143"/>
      <c r="OON11" s="143"/>
      <c r="OOO11" s="143"/>
      <c r="OOP11" s="143"/>
      <c r="OOQ11" s="143"/>
      <c r="OOR11" s="143"/>
      <c r="OOS11" s="143"/>
      <c r="OOT11" s="143"/>
      <c r="OOU11" s="143"/>
      <c r="OOV11" s="143"/>
      <c r="OOW11" s="143"/>
      <c r="OOX11" s="143"/>
      <c r="OOY11" s="143"/>
      <c r="OOZ11" s="143"/>
      <c r="OPA11" s="143"/>
      <c r="OPB11" s="143"/>
      <c r="OPC11" s="143"/>
      <c r="OPD11" s="143"/>
      <c r="OPE11" s="143"/>
      <c r="OPF11" s="143"/>
      <c r="OPG11" s="143"/>
      <c r="OPH11" s="143"/>
      <c r="OPI11" s="143"/>
      <c r="OPJ11" s="143"/>
      <c r="OPK11" s="143"/>
      <c r="OPL11" s="143"/>
      <c r="OPM11" s="143"/>
      <c r="OPN11" s="143"/>
      <c r="OPO11" s="143"/>
      <c r="OPP11" s="143"/>
      <c r="OPQ11" s="143"/>
      <c r="OPR11" s="143"/>
      <c r="OPS11" s="143"/>
      <c r="OPT11" s="143"/>
      <c r="OPU11" s="143"/>
      <c r="OPV11" s="143"/>
      <c r="OPW11" s="143"/>
      <c r="OPX11" s="143"/>
      <c r="OPY11" s="143"/>
      <c r="OPZ11" s="143"/>
      <c r="OQA11" s="143"/>
      <c r="OQB11" s="143"/>
      <c r="OQC11" s="143"/>
      <c r="OQD11" s="143"/>
      <c r="OQE11" s="143"/>
      <c r="OQF11" s="143"/>
      <c r="OQG11" s="143"/>
      <c r="OQH11" s="143"/>
      <c r="OQI11" s="143"/>
      <c r="OQJ11" s="143"/>
      <c r="OQK11" s="143"/>
      <c r="OQL11" s="143"/>
      <c r="OQM11" s="143"/>
      <c r="OQN11" s="143"/>
      <c r="OQO11" s="143"/>
      <c r="OQP11" s="143"/>
      <c r="OQQ11" s="143"/>
      <c r="OQR11" s="143"/>
      <c r="OQS11" s="143"/>
      <c r="OQT11" s="143"/>
      <c r="OQU11" s="143"/>
      <c r="OQV11" s="143"/>
      <c r="OQW11" s="143"/>
      <c r="OQX11" s="143"/>
      <c r="OQY11" s="143"/>
      <c r="OQZ11" s="143"/>
      <c r="ORA11" s="143"/>
      <c r="ORB11" s="143"/>
      <c r="ORC11" s="143"/>
      <c r="ORD11" s="143"/>
      <c r="ORE11" s="143"/>
      <c r="ORF11" s="143"/>
      <c r="ORG11" s="143"/>
      <c r="ORH11" s="143"/>
      <c r="ORI11" s="143"/>
      <c r="ORJ11" s="143"/>
      <c r="ORK11" s="143"/>
      <c r="ORL11" s="143"/>
      <c r="ORM11" s="143"/>
      <c r="ORN11" s="143"/>
      <c r="ORO11" s="143"/>
      <c r="ORP11" s="143"/>
      <c r="ORQ11" s="143"/>
      <c r="ORR11" s="143"/>
      <c r="ORS11" s="143"/>
      <c r="ORT11" s="143"/>
      <c r="ORU11" s="143"/>
      <c r="ORV11" s="143"/>
      <c r="ORW11" s="143"/>
      <c r="ORX11" s="143"/>
      <c r="ORY11" s="143"/>
      <c r="ORZ11" s="143"/>
      <c r="OSA11" s="143"/>
      <c r="OSB11" s="143"/>
      <c r="OSC11" s="143"/>
      <c r="OSD11" s="143"/>
      <c r="OSE11" s="143"/>
      <c r="OSF11" s="143"/>
      <c r="OSG11" s="143"/>
      <c r="OSH11" s="143"/>
      <c r="OSI11" s="143"/>
      <c r="OSJ11" s="143"/>
      <c r="OSK11" s="143"/>
      <c r="OSL11" s="143"/>
      <c r="OSM11" s="143"/>
      <c r="OSN11" s="143"/>
      <c r="OSO11" s="143"/>
      <c r="OSP11" s="143"/>
      <c r="OSQ11" s="143"/>
      <c r="OSR11" s="143"/>
      <c r="OSS11" s="143"/>
      <c r="OST11" s="143"/>
      <c r="OSU11" s="143"/>
      <c r="OSV11" s="143"/>
      <c r="OSW11" s="143"/>
      <c r="OSX11" s="143"/>
      <c r="OSY11" s="143"/>
      <c r="OSZ11" s="143"/>
      <c r="OTA11" s="143"/>
      <c r="OTB11" s="143"/>
      <c r="OTC11" s="143"/>
      <c r="OTD11" s="143"/>
      <c r="OTE11" s="143"/>
      <c r="OTF11" s="143"/>
      <c r="OTG11" s="143"/>
      <c r="OTH11" s="143"/>
      <c r="OTI11" s="143"/>
      <c r="OTJ11" s="143"/>
      <c r="OTK11" s="143"/>
      <c r="OTL11" s="143"/>
      <c r="OTM11" s="143"/>
      <c r="OTN11" s="143"/>
      <c r="OTO11" s="143"/>
      <c r="OTP11" s="143"/>
      <c r="OTQ11" s="143"/>
      <c r="OTR11" s="143"/>
      <c r="OTS11" s="143"/>
      <c r="OTT11" s="143"/>
      <c r="OTU11" s="143"/>
      <c r="OTV11" s="143"/>
      <c r="OTW11" s="143"/>
      <c r="OTX11" s="143"/>
      <c r="OTY11" s="143"/>
      <c r="OTZ11" s="143"/>
      <c r="OUA11" s="143"/>
      <c r="OUB11" s="143"/>
      <c r="OUC11" s="143"/>
      <c r="OUD11" s="143"/>
      <c r="OUE11" s="143"/>
      <c r="OUF11" s="143"/>
      <c r="OUG11" s="143"/>
      <c r="OUH11" s="143"/>
      <c r="OUI11" s="143"/>
      <c r="OUJ11" s="143"/>
      <c r="OUK11" s="143"/>
      <c r="OUL11" s="143"/>
      <c r="OUM11" s="143"/>
      <c r="OUN11" s="143"/>
      <c r="OUO11" s="143"/>
      <c r="OUP11" s="143"/>
      <c r="OUQ11" s="143"/>
      <c r="OUR11" s="143"/>
      <c r="OUS11" s="143"/>
      <c r="OUT11" s="143"/>
      <c r="OUU11" s="143"/>
      <c r="OUV11" s="143"/>
      <c r="OUW11" s="143"/>
      <c r="OUX11" s="143"/>
      <c r="OUY11" s="143"/>
      <c r="OUZ11" s="143"/>
      <c r="OVA11" s="143"/>
      <c r="OVB11" s="143"/>
      <c r="OVC11" s="143"/>
      <c r="OVD11" s="143"/>
      <c r="OVE11" s="143"/>
      <c r="OVF11" s="143"/>
      <c r="OVG11" s="143"/>
      <c r="OVH11" s="143"/>
      <c r="OVI11" s="143"/>
      <c r="OVJ11" s="143"/>
      <c r="OVK11" s="143"/>
      <c r="OVL11" s="143"/>
      <c r="OVM11" s="143"/>
      <c r="OVN11" s="143"/>
      <c r="OVO11" s="143"/>
      <c r="OVP11" s="143"/>
      <c r="OVQ11" s="143"/>
      <c r="OVR11" s="143"/>
      <c r="OVS11" s="143"/>
      <c r="OVT11" s="143"/>
      <c r="OVU11" s="143"/>
      <c r="OVV11" s="143"/>
      <c r="OVW11" s="143"/>
      <c r="OVX11" s="143"/>
      <c r="OVY11" s="143"/>
      <c r="OVZ11" s="143"/>
      <c r="OWA11" s="143"/>
      <c r="OWB11" s="143"/>
      <c r="OWC11" s="143"/>
      <c r="OWD11" s="143"/>
      <c r="OWE11" s="143"/>
      <c r="OWF11" s="143"/>
      <c r="OWG11" s="143"/>
      <c r="OWH11" s="143"/>
      <c r="OWI11" s="143"/>
      <c r="OWJ11" s="143"/>
      <c r="OWK11" s="143"/>
      <c r="OWL11" s="143"/>
      <c r="OWM11" s="143"/>
      <c r="OWN11" s="143"/>
      <c r="OWO11" s="143"/>
      <c r="OWP11" s="143"/>
      <c r="OWQ11" s="143"/>
      <c r="OWR11" s="143"/>
      <c r="OWS11" s="143"/>
      <c r="OWT11" s="143"/>
      <c r="OWU11" s="143"/>
      <c r="OWV11" s="143"/>
      <c r="OWW11" s="143"/>
      <c r="OWX11" s="143"/>
      <c r="OWY11" s="143"/>
      <c r="OWZ11" s="143"/>
      <c r="OXA11" s="143"/>
      <c r="OXB11" s="143"/>
      <c r="OXC11" s="143"/>
      <c r="OXD11" s="143"/>
      <c r="OXE11" s="143"/>
      <c r="OXF11" s="143"/>
      <c r="OXG11" s="143"/>
      <c r="OXH11" s="143"/>
      <c r="OXI11" s="143"/>
      <c r="OXJ11" s="143"/>
      <c r="OXK11" s="143"/>
      <c r="OXL11" s="143"/>
      <c r="OXM11" s="143"/>
      <c r="OXN11" s="143"/>
      <c r="OXO11" s="143"/>
      <c r="OXP11" s="143"/>
      <c r="OXQ11" s="143"/>
      <c r="OXR11" s="143"/>
      <c r="OXS11" s="143"/>
      <c r="OXT11" s="143"/>
      <c r="OXU11" s="143"/>
      <c r="OXV11" s="143"/>
      <c r="OXW11" s="143"/>
      <c r="OXX11" s="143"/>
      <c r="OXY11" s="143"/>
      <c r="OXZ11" s="143"/>
      <c r="OYA11" s="143"/>
      <c r="OYB11" s="143"/>
      <c r="OYC11" s="143"/>
      <c r="OYD11" s="143"/>
      <c r="OYE11" s="143"/>
      <c r="OYF11" s="143"/>
      <c r="OYG11" s="143"/>
      <c r="OYH11" s="143"/>
      <c r="OYI11" s="143"/>
      <c r="OYJ11" s="143"/>
      <c r="OYK11" s="143"/>
      <c r="OYL11" s="143"/>
      <c r="OYM11" s="143"/>
      <c r="OYN11" s="143"/>
      <c r="OYO11" s="143"/>
      <c r="OYP11" s="143"/>
      <c r="OYQ11" s="143"/>
      <c r="OYR11" s="143"/>
      <c r="OYS11" s="143"/>
      <c r="OYT11" s="143"/>
      <c r="OYU11" s="143"/>
      <c r="OYV11" s="143"/>
      <c r="OYW11" s="143"/>
      <c r="OYX11" s="143"/>
      <c r="OYY11" s="143"/>
      <c r="OYZ11" s="143"/>
      <c r="OZA11" s="143"/>
      <c r="OZB11" s="143"/>
      <c r="OZC11" s="143"/>
      <c r="OZD11" s="143"/>
      <c r="OZE11" s="143"/>
      <c r="OZF11" s="143"/>
      <c r="OZG11" s="143"/>
      <c r="OZH11" s="143"/>
      <c r="OZI11" s="143"/>
      <c r="OZJ11" s="143"/>
      <c r="OZK11" s="143"/>
      <c r="OZL11" s="143"/>
      <c r="OZM11" s="143"/>
      <c r="OZN11" s="143"/>
      <c r="OZO11" s="143"/>
      <c r="OZP11" s="143"/>
      <c r="OZQ11" s="143"/>
      <c r="OZR11" s="143"/>
      <c r="OZS11" s="143"/>
      <c r="OZT11" s="143"/>
      <c r="OZU11" s="143"/>
      <c r="OZV11" s="143"/>
      <c r="OZW11" s="143"/>
      <c r="OZX11" s="143"/>
      <c r="OZY11" s="143"/>
      <c r="OZZ11" s="143"/>
      <c r="PAA11" s="143"/>
      <c r="PAB11" s="143"/>
      <c r="PAC11" s="143"/>
      <c r="PAD11" s="143"/>
      <c r="PAE11" s="143"/>
      <c r="PAF11" s="143"/>
      <c r="PAG11" s="143"/>
      <c r="PAH11" s="143"/>
      <c r="PAI11" s="143"/>
      <c r="PAJ11" s="143"/>
      <c r="PAK11" s="143"/>
      <c r="PAL11" s="143"/>
      <c r="PAM11" s="143"/>
      <c r="PAN11" s="143"/>
      <c r="PAO11" s="143"/>
      <c r="PAP11" s="143"/>
      <c r="PAQ11" s="143"/>
      <c r="PAR11" s="143"/>
      <c r="PAS11" s="143"/>
      <c r="PAT11" s="143"/>
      <c r="PAU11" s="143"/>
      <c r="PAV11" s="143"/>
      <c r="PAW11" s="143"/>
      <c r="PAX11" s="143"/>
      <c r="PAY11" s="143"/>
      <c r="PAZ11" s="143"/>
      <c r="PBA11" s="143"/>
      <c r="PBB11" s="143"/>
      <c r="PBC11" s="143"/>
      <c r="PBD11" s="143"/>
      <c r="PBE11" s="143"/>
      <c r="PBF11" s="143"/>
      <c r="PBG11" s="143"/>
      <c r="PBH11" s="143"/>
      <c r="PBI11" s="143"/>
      <c r="PBJ11" s="143"/>
      <c r="PBK11" s="143"/>
      <c r="PBL11" s="143"/>
      <c r="PBM11" s="143"/>
      <c r="PBN11" s="143"/>
      <c r="PBO11" s="143"/>
      <c r="PBP11" s="143"/>
      <c r="PBQ11" s="143"/>
      <c r="PBR11" s="143"/>
      <c r="PBS11" s="143"/>
      <c r="PBT11" s="143"/>
      <c r="PBU11" s="143"/>
      <c r="PBV11" s="143"/>
      <c r="PBW11" s="143"/>
      <c r="PBX11" s="143"/>
      <c r="PBY11" s="143"/>
      <c r="PBZ11" s="143"/>
      <c r="PCA11" s="143"/>
      <c r="PCB11" s="143"/>
      <c r="PCC11" s="143"/>
      <c r="PCD11" s="143"/>
      <c r="PCE11" s="143"/>
      <c r="PCF11" s="143"/>
      <c r="PCG11" s="143"/>
      <c r="PCH11" s="143"/>
      <c r="PCI11" s="143"/>
      <c r="PCJ11" s="143"/>
      <c r="PCK11" s="143"/>
      <c r="PCL11" s="143"/>
      <c r="PCM11" s="143"/>
      <c r="PCN11" s="143"/>
      <c r="PCO11" s="143"/>
      <c r="PCP11" s="143"/>
      <c r="PCQ11" s="143"/>
      <c r="PCR11" s="143"/>
      <c r="PCS11" s="143"/>
      <c r="PCT11" s="143"/>
      <c r="PCU11" s="143"/>
      <c r="PCV11" s="143"/>
      <c r="PCW11" s="143"/>
      <c r="PCX11" s="143"/>
      <c r="PCY11" s="143"/>
      <c r="PCZ11" s="143"/>
      <c r="PDA11" s="143"/>
      <c r="PDB11" s="143"/>
      <c r="PDC11" s="143"/>
      <c r="PDD11" s="143"/>
      <c r="PDE11" s="143"/>
      <c r="PDF11" s="143"/>
      <c r="PDG11" s="143"/>
      <c r="PDH11" s="143"/>
      <c r="PDI11" s="143"/>
      <c r="PDJ11" s="143"/>
      <c r="PDK11" s="143"/>
      <c r="PDL11" s="143"/>
      <c r="PDM11" s="143"/>
      <c r="PDN11" s="143"/>
      <c r="PDO11" s="143"/>
      <c r="PDP11" s="143"/>
      <c r="PDQ11" s="143"/>
      <c r="PDR11" s="143"/>
      <c r="PDS11" s="143"/>
      <c r="PDT11" s="143"/>
      <c r="PDU11" s="143"/>
      <c r="PDV11" s="143"/>
      <c r="PDW11" s="143"/>
      <c r="PDX11" s="143"/>
      <c r="PDY11" s="143"/>
      <c r="PDZ11" s="143"/>
      <c r="PEA11" s="143"/>
      <c r="PEB11" s="143"/>
      <c r="PEC11" s="143"/>
      <c r="PED11" s="143"/>
      <c r="PEE11" s="143"/>
      <c r="PEF11" s="143"/>
      <c r="PEG11" s="143"/>
      <c r="PEH11" s="143"/>
      <c r="PEI11" s="143"/>
      <c r="PEJ11" s="143"/>
      <c r="PEK11" s="143"/>
      <c r="PEL11" s="143"/>
      <c r="PEM11" s="143"/>
      <c r="PEN11" s="143"/>
      <c r="PEO11" s="143"/>
      <c r="PEP11" s="143"/>
      <c r="PEQ11" s="143"/>
      <c r="PER11" s="143"/>
      <c r="PES11" s="143"/>
      <c r="PET11" s="143"/>
      <c r="PEU11" s="143"/>
      <c r="PEV11" s="143"/>
      <c r="PEW11" s="143"/>
      <c r="PEX11" s="143"/>
      <c r="PEY11" s="143"/>
      <c r="PEZ11" s="143"/>
      <c r="PFA11" s="143"/>
      <c r="PFB11" s="143"/>
      <c r="PFC11" s="143"/>
      <c r="PFD11" s="143"/>
      <c r="PFE11" s="143"/>
      <c r="PFF11" s="143"/>
      <c r="PFG11" s="143"/>
      <c r="PFH11" s="143"/>
      <c r="PFI11" s="143"/>
      <c r="PFJ11" s="143"/>
      <c r="PFK11" s="143"/>
      <c r="PFL11" s="143"/>
      <c r="PFM11" s="143"/>
      <c r="PFN11" s="143"/>
      <c r="PFO11" s="143"/>
      <c r="PFP11" s="143"/>
      <c r="PFQ11" s="143"/>
      <c r="PFR11" s="143"/>
      <c r="PFS11" s="143"/>
      <c r="PFT11" s="143"/>
      <c r="PFU11" s="143"/>
      <c r="PFV11" s="143"/>
      <c r="PFW11" s="143"/>
      <c r="PFX11" s="143"/>
      <c r="PFY11" s="143"/>
      <c r="PFZ11" s="143"/>
      <c r="PGA11" s="143"/>
      <c r="PGB11" s="143"/>
      <c r="PGC11" s="143"/>
      <c r="PGD11" s="143"/>
      <c r="PGE11" s="143"/>
      <c r="PGF11" s="143"/>
      <c r="PGG11" s="143"/>
      <c r="PGH11" s="143"/>
      <c r="PGI11" s="143"/>
      <c r="PGJ11" s="143"/>
      <c r="PGK11" s="143"/>
      <c r="PGL11" s="143"/>
      <c r="PGM11" s="143"/>
      <c r="PGN11" s="143"/>
      <c r="PGO11" s="143"/>
      <c r="PGP11" s="143"/>
      <c r="PGQ11" s="143"/>
      <c r="PGR11" s="143"/>
      <c r="PGS11" s="143"/>
      <c r="PGT11" s="143"/>
      <c r="PGU11" s="143"/>
      <c r="PGV11" s="143"/>
      <c r="PGW11" s="143"/>
      <c r="PGX11" s="143"/>
      <c r="PGY11" s="143"/>
      <c r="PGZ11" s="143"/>
      <c r="PHA11" s="143"/>
      <c r="PHB11" s="143"/>
      <c r="PHC11" s="143"/>
      <c r="PHD11" s="143"/>
      <c r="PHE11" s="143"/>
      <c r="PHF11" s="143"/>
      <c r="PHG11" s="143"/>
      <c r="PHH11" s="143"/>
      <c r="PHI11" s="143"/>
      <c r="PHJ11" s="143"/>
      <c r="PHK11" s="143"/>
      <c r="PHL11" s="143"/>
      <c r="PHM11" s="143"/>
      <c r="PHN11" s="143"/>
      <c r="PHO11" s="143"/>
      <c r="PHP11" s="143"/>
      <c r="PHQ11" s="143"/>
      <c r="PHR11" s="143"/>
      <c r="PHS11" s="143"/>
      <c r="PHT11" s="143"/>
      <c r="PHU11" s="143"/>
      <c r="PHV11" s="143"/>
      <c r="PHW11" s="143"/>
      <c r="PHX11" s="143"/>
      <c r="PHY11" s="143"/>
      <c r="PHZ11" s="143"/>
      <c r="PIA11" s="143"/>
      <c r="PIB11" s="143"/>
      <c r="PIC11" s="143"/>
      <c r="PID11" s="143"/>
      <c r="PIE11" s="143"/>
      <c r="PIF11" s="143"/>
      <c r="PIG11" s="143"/>
      <c r="PIH11" s="143"/>
      <c r="PII11" s="143"/>
      <c r="PIJ11" s="143"/>
      <c r="PIK11" s="143"/>
      <c r="PIL11" s="143"/>
      <c r="PIM11" s="143"/>
      <c r="PIN11" s="143"/>
      <c r="PIO11" s="143"/>
      <c r="PIP11" s="143"/>
      <c r="PIQ11" s="143"/>
      <c r="PIR11" s="143"/>
      <c r="PIS11" s="143"/>
      <c r="PIT11" s="143"/>
      <c r="PIU11" s="143"/>
      <c r="PIV11" s="143"/>
      <c r="PIW11" s="143"/>
      <c r="PIX11" s="143"/>
      <c r="PIY11" s="143"/>
      <c r="PIZ11" s="143"/>
      <c r="PJA11" s="143"/>
      <c r="PJB11" s="143"/>
      <c r="PJC11" s="143"/>
      <c r="PJD11" s="143"/>
      <c r="PJE11" s="143"/>
      <c r="PJF11" s="143"/>
      <c r="PJG11" s="143"/>
      <c r="PJH11" s="143"/>
      <c r="PJI11" s="143"/>
      <c r="PJJ11" s="143"/>
      <c r="PJK11" s="143"/>
      <c r="PJL11" s="143"/>
      <c r="PJM11" s="143"/>
      <c r="PJN11" s="143"/>
      <c r="PJO11" s="143"/>
      <c r="PJP11" s="143"/>
      <c r="PJQ11" s="143"/>
      <c r="PJR11" s="143"/>
      <c r="PJS11" s="143"/>
      <c r="PJT11" s="143"/>
      <c r="PJU11" s="143"/>
      <c r="PJV11" s="143"/>
      <c r="PJW11" s="143"/>
      <c r="PJX11" s="143"/>
      <c r="PJY11" s="143"/>
      <c r="PJZ11" s="143"/>
      <c r="PKA11" s="143"/>
      <c r="PKB11" s="143"/>
      <c r="PKC11" s="143"/>
      <c r="PKD11" s="143"/>
      <c r="PKE11" s="143"/>
      <c r="PKF11" s="143"/>
      <c r="PKG11" s="143"/>
      <c r="PKH11" s="143"/>
      <c r="PKI11" s="143"/>
      <c r="PKJ11" s="143"/>
      <c r="PKK11" s="143"/>
      <c r="PKL11" s="143"/>
      <c r="PKM11" s="143"/>
      <c r="PKN11" s="143"/>
      <c r="PKO11" s="143"/>
      <c r="PKP11" s="143"/>
      <c r="PKQ11" s="143"/>
      <c r="PKR11" s="143"/>
      <c r="PKS11" s="143"/>
      <c r="PKT11" s="143"/>
      <c r="PKU11" s="143"/>
      <c r="PKV11" s="143"/>
      <c r="PKW11" s="143"/>
      <c r="PKX11" s="143"/>
      <c r="PKY11" s="143"/>
      <c r="PKZ11" s="143"/>
      <c r="PLA11" s="143"/>
      <c r="PLB11" s="143"/>
      <c r="PLC11" s="143"/>
      <c r="PLD11" s="143"/>
      <c r="PLE11" s="143"/>
      <c r="PLF11" s="143"/>
      <c r="PLG11" s="143"/>
      <c r="PLH11" s="143"/>
      <c r="PLI11" s="143"/>
      <c r="PLJ11" s="143"/>
      <c r="PLK11" s="143"/>
      <c r="PLL11" s="143"/>
      <c r="PLM11" s="143"/>
      <c r="PLN11" s="143"/>
      <c r="PLO11" s="143"/>
      <c r="PLP11" s="143"/>
      <c r="PLQ11" s="143"/>
      <c r="PLR11" s="143"/>
      <c r="PLS11" s="143"/>
      <c r="PLT11" s="143"/>
      <c r="PLU11" s="143"/>
      <c r="PLV11" s="143"/>
      <c r="PLW11" s="143"/>
      <c r="PLX11" s="143"/>
      <c r="PLY11" s="143"/>
      <c r="PLZ11" s="143"/>
      <c r="PMA11" s="143"/>
      <c r="PMB11" s="143"/>
      <c r="PMC11" s="143"/>
      <c r="PMD11" s="143"/>
      <c r="PME11" s="143"/>
      <c r="PMF11" s="143"/>
      <c r="PMG11" s="143"/>
      <c r="PMH11" s="143"/>
      <c r="PMI11" s="143"/>
      <c r="PMJ11" s="143"/>
      <c r="PMK11" s="143"/>
      <c r="PML11" s="143"/>
      <c r="PMM11" s="143"/>
      <c r="PMN11" s="143"/>
      <c r="PMO11" s="143"/>
      <c r="PMP11" s="143"/>
      <c r="PMQ11" s="143"/>
      <c r="PMR11" s="143"/>
      <c r="PMS11" s="143"/>
      <c r="PMT11" s="143"/>
      <c r="PMU11" s="143"/>
      <c r="PMV11" s="143"/>
      <c r="PMW11" s="143"/>
      <c r="PMX11" s="143"/>
      <c r="PMY11" s="143"/>
      <c r="PMZ11" s="143"/>
      <c r="PNA11" s="143"/>
      <c r="PNB11" s="143"/>
      <c r="PNC11" s="143"/>
      <c r="PND11" s="143"/>
      <c r="PNE11" s="143"/>
      <c r="PNF11" s="143"/>
      <c r="PNG11" s="143"/>
      <c r="PNH11" s="143"/>
      <c r="PNI11" s="143"/>
      <c r="PNJ11" s="143"/>
      <c r="PNK11" s="143"/>
      <c r="PNL11" s="143"/>
      <c r="PNM11" s="143"/>
      <c r="PNN11" s="143"/>
      <c r="PNO11" s="143"/>
      <c r="PNP11" s="143"/>
      <c r="PNQ11" s="143"/>
      <c r="PNR11" s="143"/>
      <c r="PNS11" s="143"/>
      <c r="PNT11" s="143"/>
      <c r="PNU11" s="143"/>
      <c r="PNV11" s="143"/>
      <c r="PNW11" s="143"/>
      <c r="PNX11" s="143"/>
      <c r="PNY11" s="143"/>
      <c r="PNZ11" s="143"/>
      <c r="POA11" s="143"/>
      <c r="POB11" s="143"/>
      <c r="POC11" s="143"/>
      <c r="POD11" s="143"/>
      <c r="POE11" s="143"/>
      <c r="POF11" s="143"/>
      <c r="POG11" s="143"/>
      <c r="POH11" s="143"/>
      <c r="POI11" s="143"/>
      <c r="POJ11" s="143"/>
      <c r="POK11" s="143"/>
      <c r="POL11" s="143"/>
      <c r="POM11" s="143"/>
      <c r="PON11" s="143"/>
      <c r="POO11" s="143"/>
      <c r="POP11" s="143"/>
      <c r="POQ11" s="143"/>
      <c r="POR11" s="143"/>
      <c r="POS11" s="143"/>
      <c r="POT11" s="143"/>
      <c r="POU11" s="143"/>
      <c r="POV11" s="143"/>
      <c r="POW11" s="143"/>
      <c r="POX11" s="143"/>
      <c r="POY11" s="143"/>
      <c r="POZ11" s="143"/>
      <c r="PPA11" s="143"/>
      <c r="PPB11" s="143"/>
      <c r="PPC11" s="143"/>
      <c r="PPD11" s="143"/>
      <c r="PPE11" s="143"/>
      <c r="PPF11" s="143"/>
      <c r="PPG11" s="143"/>
      <c r="PPH11" s="143"/>
      <c r="PPI11" s="143"/>
      <c r="PPJ11" s="143"/>
      <c r="PPK11" s="143"/>
      <c r="PPL11" s="143"/>
      <c r="PPM11" s="143"/>
      <c r="PPN11" s="143"/>
      <c r="PPO11" s="143"/>
      <c r="PPP11" s="143"/>
      <c r="PPQ11" s="143"/>
      <c r="PPR11" s="143"/>
      <c r="PPS11" s="143"/>
      <c r="PPT11" s="143"/>
      <c r="PPU11" s="143"/>
      <c r="PPV11" s="143"/>
      <c r="PPW11" s="143"/>
      <c r="PPX11" s="143"/>
      <c r="PPY11" s="143"/>
      <c r="PPZ11" s="143"/>
      <c r="PQA11" s="143"/>
      <c r="PQB11" s="143"/>
      <c r="PQC11" s="143"/>
      <c r="PQD11" s="143"/>
      <c r="PQE11" s="143"/>
      <c r="PQF11" s="143"/>
      <c r="PQG11" s="143"/>
      <c r="PQH11" s="143"/>
      <c r="PQI11" s="143"/>
      <c r="PQJ11" s="143"/>
      <c r="PQK11" s="143"/>
      <c r="PQL11" s="143"/>
      <c r="PQM11" s="143"/>
      <c r="PQN11" s="143"/>
      <c r="PQO11" s="143"/>
      <c r="PQP11" s="143"/>
      <c r="PQQ11" s="143"/>
      <c r="PQR11" s="143"/>
      <c r="PQS11" s="143"/>
      <c r="PQT11" s="143"/>
      <c r="PQU11" s="143"/>
      <c r="PQV11" s="143"/>
      <c r="PQW11" s="143"/>
      <c r="PQX11" s="143"/>
      <c r="PQY11" s="143"/>
      <c r="PQZ11" s="143"/>
      <c r="PRA11" s="143"/>
      <c r="PRB11" s="143"/>
      <c r="PRC11" s="143"/>
      <c r="PRD11" s="143"/>
      <c r="PRE11" s="143"/>
      <c r="PRF11" s="143"/>
      <c r="PRG11" s="143"/>
      <c r="PRH11" s="143"/>
      <c r="PRI11" s="143"/>
      <c r="PRJ11" s="143"/>
      <c r="PRK11" s="143"/>
      <c r="PRL11" s="143"/>
      <c r="PRM11" s="143"/>
      <c r="PRN11" s="143"/>
      <c r="PRO11" s="143"/>
      <c r="PRP11" s="143"/>
      <c r="PRQ11" s="143"/>
      <c r="PRR11" s="143"/>
      <c r="PRS11" s="143"/>
      <c r="PRT11" s="143"/>
      <c r="PRU11" s="143"/>
      <c r="PRV11" s="143"/>
      <c r="PRW11" s="143"/>
      <c r="PRX11" s="143"/>
      <c r="PRY11" s="143"/>
      <c r="PRZ11" s="143"/>
      <c r="PSA11" s="143"/>
      <c r="PSB11" s="143"/>
      <c r="PSC11" s="143"/>
      <c r="PSD11" s="143"/>
      <c r="PSE11" s="143"/>
      <c r="PSF11" s="143"/>
      <c r="PSG11" s="143"/>
      <c r="PSH11" s="143"/>
      <c r="PSI11" s="143"/>
      <c r="PSJ11" s="143"/>
      <c r="PSK11" s="143"/>
      <c r="PSL11" s="143"/>
      <c r="PSM11" s="143"/>
      <c r="PSN11" s="143"/>
      <c r="PSO11" s="143"/>
      <c r="PSP11" s="143"/>
      <c r="PSQ11" s="143"/>
      <c r="PSR11" s="143"/>
      <c r="PSS11" s="143"/>
      <c r="PST11" s="143"/>
      <c r="PSU11" s="143"/>
      <c r="PSV11" s="143"/>
      <c r="PSW11" s="143"/>
      <c r="PSX11" s="143"/>
      <c r="PSY11" s="143"/>
      <c r="PSZ11" s="143"/>
      <c r="PTA11" s="143"/>
      <c r="PTB11" s="143"/>
      <c r="PTC11" s="143"/>
      <c r="PTD11" s="143"/>
      <c r="PTE11" s="143"/>
      <c r="PTF11" s="143"/>
      <c r="PTG11" s="143"/>
      <c r="PTH11" s="143"/>
      <c r="PTI11" s="143"/>
      <c r="PTJ11" s="143"/>
      <c r="PTK11" s="143"/>
      <c r="PTL11" s="143"/>
      <c r="PTM11" s="143"/>
      <c r="PTN11" s="143"/>
      <c r="PTO11" s="143"/>
      <c r="PTP11" s="143"/>
      <c r="PTQ11" s="143"/>
      <c r="PTR11" s="143"/>
      <c r="PTS11" s="143"/>
      <c r="PTT11" s="143"/>
      <c r="PTU11" s="143"/>
      <c r="PTV11" s="143"/>
      <c r="PTW11" s="143"/>
      <c r="PTX11" s="143"/>
      <c r="PTY11" s="143"/>
      <c r="PTZ11" s="143"/>
      <c r="PUA11" s="143"/>
      <c r="PUB11" s="143"/>
      <c r="PUC11" s="143"/>
      <c r="PUD11" s="143"/>
      <c r="PUE11" s="143"/>
      <c r="PUF11" s="143"/>
      <c r="PUG11" s="143"/>
      <c r="PUH11" s="143"/>
      <c r="PUI11" s="143"/>
      <c r="PUJ11" s="143"/>
      <c r="PUK11" s="143"/>
      <c r="PUL11" s="143"/>
      <c r="PUM11" s="143"/>
      <c r="PUN11" s="143"/>
      <c r="PUO11" s="143"/>
      <c r="PUP11" s="143"/>
      <c r="PUQ11" s="143"/>
      <c r="PUR11" s="143"/>
      <c r="PUS11" s="143"/>
      <c r="PUT11" s="143"/>
      <c r="PUU11" s="143"/>
      <c r="PUV11" s="143"/>
      <c r="PUW11" s="143"/>
      <c r="PUX11" s="143"/>
      <c r="PUY11" s="143"/>
      <c r="PUZ11" s="143"/>
      <c r="PVA11" s="143"/>
      <c r="PVB11" s="143"/>
      <c r="PVC11" s="143"/>
      <c r="PVD11" s="143"/>
      <c r="PVE11" s="143"/>
      <c r="PVF11" s="143"/>
      <c r="PVG11" s="143"/>
      <c r="PVH11" s="143"/>
      <c r="PVI11" s="143"/>
      <c r="PVJ11" s="143"/>
      <c r="PVK11" s="143"/>
      <c r="PVL11" s="143"/>
      <c r="PVM11" s="143"/>
      <c r="PVN11" s="143"/>
      <c r="PVO11" s="143"/>
      <c r="PVP11" s="143"/>
      <c r="PVQ11" s="143"/>
      <c r="PVR11" s="143"/>
      <c r="PVS11" s="143"/>
      <c r="PVT11" s="143"/>
      <c r="PVU11" s="143"/>
      <c r="PVV11" s="143"/>
      <c r="PVW11" s="143"/>
      <c r="PVX11" s="143"/>
      <c r="PVY11" s="143"/>
      <c r="PVZ11" s="143"/>
      <c r="PWA11" s="143"/>
      <c r="PWB11" s="143"/>
      <c r="PWC11" s="143"/>
      <c r="PWD11" s="143"/>
      <c r="PWE11" s="143"/>
      <c r="PWF11" s="143"/>
      <c r="PWG11" s="143"/>
      <c r="PWH11" s="143"/>
      <c r="PWI11" s="143"/>
      <c r="PWJ11" s="143"/>
      <c r="PWK11" s="143"/>
      <c r="PWL11" s="143"/>
      <c r="PWM11" s="143"/>
      <c r="PWN11" s="143"/>
      <c r="PWO11" s="143"/>
      <c r="PWP11" s="143"/>
      <c r="PWQ11" s="143"/>
      <c r="PWR11" s="143"/>
      <c r="PWS11" s="143"/>
      <c r="PWT11" s="143"/>
      <c r="PWU11" s="143"/>
      <c r="PWV11" s="143"/>
      <c r="PWW11" s="143"/>
      <c r="PWX11" s="143"/>
      <c r="PWY11" s="143"/>
      <c r="PWZ11" s="143"/>
      <c r="PXA11" s="143"/>
      <c r="PXB11" s="143"/>
      <c r="PXC11" s="143"/>
      <c r="PXD11" s="143"/>
      <c r="PXE11" s="143"/>
      <c r="PXF11" s="143"/>
      <c r="PXG11" s="143"/>
      <c r="PXH11" s="143"/>
      <c r="PXI11" s="143"/>
      <c r="PXJ11" s="143"/>
      <c r="PXK11" s="143"/>
      <c r="PXL11" s="143"/>
      <c r="PXM11" s="143"/>
      <c r="PXN11" s="143"/>
      <c r="PXO11" s="143"/>
      <c r="PXP11" s="143"/>
      <c r="PXQ11" s="143"/>
      <c r="PXR11" s="143"/>
      <c r="PXS11" s="143"/>
      <c r="PXT11" s="143"/>
      <c r="PXU11" s="143"/>
      <c r="PXV11" s="143"/>
      <c r="PXW11" s="143"/>
      <c r="PXX11" s="143"/>
      <c r="PXY11" s="143"/>
      <c r="PXZ11" s="143"/>
      <c r="PYA11" s="143"/>
      <c r="PYB11" s="143"/>
      <c r="PYC11" s="143"/>
      <c r="PYD11" s="143"/>
      <c r="PYE11" s="143"/>
      <c r="PYF11" s="143"/>
      <c r="PYG11" s="143"/>
      <c r="PYH11" s="143"/>
      <c r="PYI11" s="143"/>
      <c r="PYJ11" s="143"/>
      <c r="PYK11" s="143"/>
      <c r="PYL11" s="143"/>
      <c r="PYM11" s="143"/>
      <c r="PYN11" s="143"/>
      <c r="PYO11" s="143"/>
      <c r="PYP11" s="143"/>
      <c r="PYQ11" s="143"/>
      <c r="PYR11" s="143"/>
      <c r="PYS11" s="143"/>
      <c r="PYT11" s="143"/>
      <c r="PYU11" s="143"/>
      <c r="PYV11" s="143"/>
      <c r="PYW11" s="143"/>
      <c r="PYX11" s="143"/>
      <c r="PYY11" s="143"/>
      <c r="PYZ11" s="143"/>
      <c r="PZA11" s="143"/>
      <c r="PZB11" s="143"/>
      <c r="PZC11" s="143"/>
      <c r="PZD11" s="143"/>
      <c r="PZE11" s="143"/>
      <c r="PZF11" s="143"/>
      <c r="PZG11" s="143"/>
      <c r="PZH11" s="143"/>
      <c r="PZI11" s="143"/>
      <c r="PZJ11" s="143"/>
      <c r="PZK11" s="143"/>
      <c r="PZL11" s="143"/>
      <c r="PZM11" s="143"/>
      <c r="PZN11" s="143"/>
      <c r="PZO11" s="143"/>
      <c r="PZP11" s="143"/>
      <c r="PZQ11" s="143"/>
      <c r="PZR11" s="143"/>
      <c r="PZS11" s="143"/>
      <c r="PZT11" s="143"/>
      <c r="PZU11" s="143"/>
      <c r="PZV11" s="143"/>
      <c r="PZW11" s="143"/>
      <c r="PZX11" s="143"/>
      <c r="PZY11" s="143"/>
      <c r="PZZ11" s="143"/>
      <c r="QAA11" s="143"/>
      <c r="QAB11" s="143"/>
      <c r="QAC11" s="143"/>
      <c r="QAD11" s="143"/>
      <c r="QAE11" s="143"/>
      <c r="QAF11" s="143"/>
      <c r="QAG11" s="143"/>
      <c r="QAH11" s="143"/>
      <c r="QAI11" s="143"/>
      <c r="QAJ11" s="143"/>
      <c r="QAK11" s="143"/>
      <c r="QAL11" s="143"/>
      <c r="QAM11" s="143"/>
      <c r="QAN11" s="143"/>
      <c r="QAO11" s="143"/>
      <c r="QAP11" s="143"/>
      <c r="QAQ11" s="143"/>
      <c r="QAR11" s="143"/>
      <c r="QAS11" s="143"/>
      <c r="QAT11" s="143"/>
      <c r="QAU11" s="143"/>
      <c r="QAV11" s="143"/>
      <c r="QAW11" s="143"/>
      <c r="QAX11" s="143"/>
      <c r="QAY11" s="143"/>
      <c r="QAZ11" s="143"/>
      <c r="QBA11" s="143"/>
      <c r="QBB11" s="143"/>
      <c r="QBC11" s="143"/>
      <c r="QBD11" s="143"/>
      <c r="QBE11" s="143"/>
      <c r="QBF11" s="143"/>
      <c r="QBG11" s="143"/>
      <c r="QBH11" s="143"/>
      <c r="QBI11" s="143"/>
      <c r="QBJ11" s="143"/>
      <c r="QBK11" s="143"/>
      <c r="QBL11" s="143"/>
      <c r="QBM11" s="143"/>
      <c r="QBN11" s="143"/>
      <c r="QBO11" s="143"/>
      <c r="QBP11" s="143"/>
      <c r="QBQ11" s="143"/>
      <c r="QBR11" s="143"/>
      <c r="QBS11" s="143"/>
      <c r="QBT11" s="143"/>
      <c r="QBU11" s="143"/>
      <c r="QBV11" s="143"/>
      <c r="QBW11" s="143"/>
      <c r="QBX11" s="143"/>
      <c r="QBY11" s="143"/>
      <c r="QBZ11" s="143"/>
      <c r="QCA11" s="143"/>
      <c r="QCB11" s="143"/>
      <c r="QCC11" s="143"/>
      <c r="QCD11" s="143"/>
      <c r="QCE11" s="143"/>
      <c r="QCF11" s="143"/>
      <c r="QCG11" s="143"/>
      <c r="QCH11" s="143"/>
      <c r="QCI11" s="143"/>
      <c r="QCJ11" s="143"/>
      <c r="QCK11" s="143"/>
      <c r="QCL11" s="143"/>
      <c r="QCM11" s="143"/>
      <c r="QCN11" s="143"/>
      <c r="QCO11" s="143"/>
      <c r="QCP11" s="143"/>
      <c r="QCQ11" s="143"/>
      <c r="QCR11" s="143"/>
      <c r="QCS11" s="143"/>
      <c r="QCT11" s="143"/>
      <c r="QCU11" s="143"/>
      <c r="QCV11" s="143"/>
      <c r="QCW11" s="143"/>
      <c r="QCX11" s="143"/>
      <c r="QCY11" s="143"/>
      <c r="QCZ11" s="143"/>
      <c r="QDA11" s="143"/>
      <c r="QDB11" s="143"/>
      <c r="QDC11" s="143"/>
      <c r="QDD11" s="143"/>
      <c r="QDE11" s="143"/>
      <c r="QDF11" s="143"/>
      <c r="QDG11" s="143"/>
      <c r="QDH11" s="143"/>
      <c r="QDI11" s="143"/>
      <c r="QDJ11" s="143"/>
      <c r="QDK11" s="143"/>
      <c r="QDL11" s="143"/>
      <c r="QDM11" s="143"/>
      <c r="QDN11" s="143"/>
      <c r="QDO11" s="143"/>
      <c r="QDP11" s="143"/>
      <c r="QDQ11" s="143"/>
      <c r="QDR11" s="143"/>
      <c r="QDS11" s="143"/>
      <c r="QDT11" s="143"/>
      <c r="QDU11" s="143"/>
      <c r="QDV11" s="143"/>
      <c r="QDW11" s="143"/>
      <c r="QDX11" s="143"/>
      <c r="QDY11" s="143"/>
      <c r="QDZ11" s="143"/>
      <c r="QEA11" s="143"/>
      <c r="QEB11" s="143"/>
      <c r="QEC11" s="143"/>
      <c r="QED11" s="143"/>
      <c r="QEE11" s="143"/>
      <c r="QEF11" s="143"/>
      <c r="QEG11" s="143"/>
      <c r="QEH11" s="143"/>
      <c r="QEI11" s="143"/>
      <c r="QEJ11" s="143"/>
      <c r="QEK11" s="143"/>
      <c r="QEL11" s="143"/>
      <c r="QEM11" s="143"/>
      <c r="QEN11" s="143"/>
      <c r="QEO11" s="143"/>
      <c r="QEP11" s="143"/>
      <c r="QEQ11" s="143"/>
      <c r="QER11" s="143"/>
      <c r="QES11" s="143"/>
      <c r="QET11" s="143"/>
      <c r="QEU11" s="143"/>
      <c r="QEV11" s="143"/>
      <c r="QEW11" s="143"/>
      <c r="QEX11" s="143"/>
      <c r="QEY11" s="143"/>
      <c r="QEZ11" s="143"/>
      <c r="QFA11" s="143"/>
      <c r="QFB11" s="143"/>
      <c r="QFC11" s="143"/>
      <c r="QFD11" s="143"/>
      <c r="QFE11" s="143"/>
      <c r="QFF11" s="143"/>
      <c r="QFG11" s="143"/>
      <c r="QFH11" s="143"/>
      <c r="QFI11" s="143"/>
      <c r="QFJ11" s="143"/>
      <c r="QFK11" s="143"/>
      <c r="QFL11" s="143"/>
      <c r="QFM11" s="143"/>
      <c r="QFN11" s="143"/>
      <c r="QFO11" s="143"/>
      <c r="QFP11" s="143"/>
      <c r="QFQ11" s="143"/>
      <c r="QFR11" s="143"/>
      <c r="QFS11" s="143"/>
      <c r="QFT11" s="143"/>
      <c r="QFU11" s="143"/>
      <c r="QFV11" s="143"/>
      <c r="QFW11" s="143"/>
      <c r="QFX11" s="143"/>
      <c r="QFY11" s="143"/>
      <c r="QFZ11" s="143"/>
      <c r="QGA11" s="143"/>
      <c r="QGB11" s="143"/>
      <c r="QGC11" s="143"/>
      <c r="QGD11" s="143"/>
      <c r="QGE11" s="143"/>
      <c r="QGF11" s="143"/>
      <c r="QGG11" s="143"/>
      <c r="QGH11" s="143"/>
      <c r="QGI11" s="143"/>
      <c r="QGJ11" s="143"/>
      <c r="QGK11" s="143"/>
      <c r="QGL11" s="143"/>
      <c r="QGM11" s="143"/>
      <c r="QGN11" s="143"/>
      <c r="QGO11" s="143"/>
      <c r="QGP11" s="143"/>
      <c r="QGQ11" s="143"/>
      <c r="QGR11" s="143"/>
      <c r="QGS11" s="143"/>
      <c r="QGT11" s="143"/>
      <c r="QGU11" s="143"/>
      <c r="QGV11" s="143"/>
      <c r="QGW11" s="143"/>
      <c r="QGX11" s="143"/>
      <c r="QGY11" s="143"/>
      <c r="QGZ11" s="143"/>
      <c r="QHA11" s="143"/>
      <c r="QHB11" s="143"/>
      <c r="QHC11" s="143"/>
      <c r="QHD11" s="143"/>
      <c r="QHE11" s="143"/>
      <c r="QHF11" s="143"/>
      <c r="QHG11" s="143"/>
      <c r="QHH11" s="143"/>
      <c r="QHI11" s="143"/>
      <c r="QHJ11" s="143"/>
      <c r="QHK11" s="143"/>
      <c r="QHL11" s="143"/>
      <c r="QHM11" s="143"/>
      <c r="QHN11" s="143"/>
      <c r="QHO11" s="143"/>
      <c r="QHP11" s="143"/>
      <c r="QHQ11" s="143"/>
      <c r="QHR11" s="143"/>
      <c r="QHS11" s="143"/>
      <c r="QHT11" s="143"/>
      <c r="QHU11" s="143"/>
      <c r="QHV11" s="143"/>
      <c r="QHW11" s="143"/>
      <c r="QHX11" s="143"/>
      <c r="QHY11" s="143"/>
      <c r="QHZ11" s="143"/>
      <c r="QIA11" s="143"/>
      <c r="QIB11" s="143"/>
      <c r="QIC11" s="143"/>
      <c r="QID11" s="143"/>
      <c r="QIE11" s="143"/>
      <c r="QIF11" s="143"/>
      <c r="QIG11" s="143"/>
      <c r="QIH11" s="143"/>
      <c r="QII11" s="143"/>
      <c r="QIJ11" s="143"/>
      <c r="QIK11" s="143"/>
      <c r="QIL11" s="143"/>
      <c r="QIM11" s="143"/>
      <c r="QIN11" s="143"/>
      <c r="QIO11" s="143"/>
      <c r="QIP11" s="143"/>
      <c r="QIQ11" s="143"/>
      <c r="QIR11" s="143"/>
      <c r="QIS11" s="143"/>
      <c r="QIT11" s="143"/>
      <c r="QIU11" s="143"/>
      <c r="QIV11" s="143"/>
      <c r="QIW11" s="143"/>
      <c r="QIX11" s="143"/>
      <c r="QIY11" s="143"/>
      <c r="QIZ11" s="143"/>
      <c r="QJA11" s="143"/>
      <c r="QJB11" s="143"/>
      <c r="QJC11" s="143"/>
      <c r="QJD11" s="143"/>
      <c r="QJE11" s="143"/>
      <c r="QJF11" s="143"/>
      <c r="QJG11" s="143"/>
      <c r="QJH11" s="143"/>
      <c r="QJI11" s="143"/>
      <c r="QJJ11" s="143"/>
      <c r="QJK11" s="143"/>
      <c r="QJL11" s="143"/>
      <c r="QJM11" s="143"/>
      <c r="QJN11" s="143"/>
      <c r="QJO11" s="143"/>
      <c r="QJP11" s="143"/>
      <c r="QJQ11" s="143"/>
      <c r="QJR11" s="143"/>
      <c r="QJS11" s="143"/>
      <c r="QJT11" s="143"/>
      <c r="QJU11" s="143"/>
      <c r="QJV11" s="143"/>
      <c r="QJW11" s="143"/>
      <c r="QJX11" s="143"/>
      <c r="QJY11" s="143"/>
      <c r="QJZ11" s="143"/>
      <c r="QKA11" s="143"/>
      <c r="QKB11" s="143"/>
      <c r="QKC11" s="143"/>
      <c r="QKD11" s="143"/>
      <c r="QKE11" s="143"/>
      <c r="QKF11" s="143"/>
      <c r="QKG11" s="143"/>
      <c r="QKH11" s="143"/>
      <c r="QKI11" s="143"/>
      <c r="QKJ11" s="143"/>
      <c r="QKK11" s="143"/>
      <c r="QKL11" s="143"/>
      <c r="QKM11" s="143"/>
      <c r="QKN11" s="143"/>
      <c r="QKO11" s="143"/>
      <c r="QKP11" s="143"/>
      <c r="QKQ11" s="143"/>
      <c r="QKR11" s="143"/>
      <c r="QKS11" s="143"/>
      <c r="QKT11" s="143"/>
      <c r="QKU11" s="143"/>
      <c r="QKV11" s="143"/>
      <c r="QKW11" s="143"/>
      <c r="QKX11" s="143"/>
      <c r="QKY11" s="143"/>
      <c r="QKZ11" s="143"/>
      <c r="QLA11" s="143"/>
      <c r="QLB11" s="143"/>
      <c r="QLC11" s="143"/>
      <c r="QLD11" s="143"/>
      <c r="QLE11" s="143"/>
      <c r="QLF11" s="143"/>
      <c r="QLG11" s="143"/>
      <c r="QLH11" s="143"/>
      <c r="QLI11" s="143"/>
      <c r="QLJ11" s="143"/>
      <c r="QLK11" s="143"/>
      <c r="QLL11" s="143"/>
      <c r="QLM11" s="143"/>
      <c r="QLN11" s="143"/>
      <c r="QLO11" s="143"/>
      <c r="QLP11" s="143"/>
      <c r="QLQ11" s="143"/>
      <c r="QLR11" s="143"/>
      <c r="QLS11" s="143"/>
      <c r="QLT11" s="143"/>
      <c r="QLU11" s="143"/>
      <c r="QLV11" s="143"/>
      <c r="QLW11" s="143"/>
      <c r="QLX11" s="143"/>
      <c r="QLY11" s="143"/>
      <c r="QLZ11" s="143"/>
      <c r="QMA11" s="143"/>
      <c r="QMB11" s="143"/>
      <c r="QMC11" s="143"/>
      <c r="QMD11" s="143"/>
      <c r="QME11" s="143"/>
      <c r="QMF11" s="143"/>
      <c r="QMG11" s="143"/>
      <c r="QMH11" s="143"/>
      <c r="QMI11" s="143"/>
      <c r="QMJ11" s="143"/>
      <c r="QMK11" s="143"/>
      <c r="QML11" s="143"/>
      <c r="QMM11" s="143"/>
      <c r="QMN11" s="143"/>
      <c r="QMO11" s="143"/>
      <c r="QMP11" s="143"/>
      <c r="QMQ11" s="143"/>
      <c r="QMR11" s="143"/>
      <c r="QMS11" s="143"/>
      <c r="QMT11" s="143"/>
      <c r="QMU11" s="143"/>
      <c r="QMV11" s="143"/>
      <c r="QMW11" s="143"/>
      <c r="QMX11" s="143"/>
      <c r="QMY11" s="143"/>
      <c r="QMZ11" s="143"/>
      <c r="QNA11" s="143"/>
      <c r="QNB11" s="143"/>
      <c r="QNC11" s="143"/>
      <c r="QND11" s="143"/>
      <c r="QNE11" s="143"/>
      <c r="QNF11" s="143"/>
      <c r="QNG11" s="143"/>
      <c r="QNH11" s="143"/>
      <c r="QNI11" s="143"/>
      <c r="QNJ11" s="143"/>
      <c r="QNK11" s="143"/>
      <c r="QNL11" s="143"/>
      <c r="QNM11" s="143"/>
      <c r="QNN11" s="143"/>
      <c r="QNO11" s="143"/>
      <c r="QNP11" s="143"/>
      <c r="QNQ11" s="143"/>
      <c r="QNR11" s="143"/>
      <c r="QNS11" s="143"/>
      <c r="QNT11" s="143"/>
      <c r="QNU11" s="143"/>
      <c r="QNV11" s="143"/>
      <c r="QNW11" s="143"/>
      <c r="QNX11" s="143"/>
      <c r="QNY11" s="143"/>
      <c r="QNZ11" s="143"/>
      <c r="QOA11" s="143"/>
      <c r="QOB11" s="143"/>
      <c r="QOC11" s="143"/>
      <c r="QOD11" s="143"/>
      <c r="QOE11" s="143"/>
      <c r="QOF11" s="143"/>
      <c r="QOG11" s="143"/>
      <c r="QOH11" s="143"/>
      <c r="QOI11" s="143"/>
      <c r="QOJ11" s="143"/>
      <c r="QOK11" s="143"/>
      <c r="QOL11" s="143"/>
      <c r="QOM11" s="143"/>
      <c r="QON11" s="143"/>
      <c r="QOO11" s="143"/>
      <c r="QOP11" s="143"/>
      <c r="QOQ11" s="143"/>
      <c r="QOR11" s="143"/>
      <c r="QOS11" s="143"/>
      <c r="QOT11" s="143"/>
      <c r="QOU11" s="143"/>
      <c r="QOV11" s="143"/>
      <c r="QOW11" s="143"/>
      <c r="QOX11" s="143"/>
      <c r="QOY11" s="143"/>
      <c r="QOZ11" s="143"/>
      <c r="QPA11" s="143"/>
      <c r="QPB11" s="143"/>
      <c r="QPC11" s="143"/>
      <c r="QPD11" s="143"/>
      <c r="QPE11" s="143"/>
      <c r="QPF11" s="143"/>
      <c r="QPG11" s="143"/>
      <c r="QPH11" s="143"/>
      <c r="QPI11" s="143"/>
      <c r="QPJ11" s="143"/>
      <c r="QPK11" s="143"/>
      <c r="QPL11" s="143"/>
      <c r="QPM11" s="143"/>
      <c r="QPN11" s="143"/>
      <c r="QPO11" s="143"/>
      <c r="QPP11" s="143"/>
      <c r="QPQ11" s="143"/>
      <c r="QPR11" s="143"/>
      <c r="QPS11" s="143"/>
      <c r="QPT11" s="143"/>
      <c r="QPU11" s="143"/>
      <c r="QPV11" s="143"/>
      <c r="QPW11" s="143"/>
      <c r="QPX11" s="143"/>
      <c r="QPY11" s="143"/>
      <c r="QPZ11" s="143"/>
      <c r="QQA11" s="143"/>
      <c r="QQB11" s="143"/>
      <c r="QQC11" s="143"/>
      <c r="QQD11" s="143"/>
      <c r="QQE11" s="143"/>
      <c r="QQF11" s="143"/>
      <c r="QQG11" s="143"/>
      <c r="QQH11" s="143"/>
      <c r="QQI11" s="143"/>
      <c r="QQJ11" s="143"/>
      <c r="QQK11" s="143"/>
      <c r="QQL11" s="143"/>
      <c r="QQM11" s="143"/>
      <c r="QQN11" s="143"/>
      <c r="QQO11" s="143"/>
      <c r="QQP11" s="143"/>
      <c r="QQQ11" s="143"/>
      <c r="QQR11" s="143"/>
      <c r="QQS11" s="143"/>
      <c r="QQT11" s="143"/>
      <c r="QQU11" s="143"/>
      <c r="QQV11" s="143"/>
      <c r="QQW11" s="143"/>
      <c r="QQX11" s="143"/>
      <c r="QQY11" s="143"/>
      <c r="QQZ11" s="143"/>
      <c r="QRA11" s="143"/>
      <c r="QRB11" s="143"/>
      <c r="QRC11" s="143"/>
      <c r="QRD11" s="143"/>
      <c r="QRE11" s="143"/>
      <c r="QRF11" s="143"/>
      <c r="QRG11" s="143"/>
      <c r="QRH11" s="143"/>
      <c r="QRI11" s="143"/>
      <c r="QRJ11" s="143"/>
      <c r="QRK11" s="143"/>
      <c r="QRL11" s="143"/>
      <c r="QRM11" s="143"/>
      <c r="QRN11" s="143"/>
      <c r="QRO11" s="143"/>
      <c r="QRP11" s="143"/>
      <c r="QRQ11" s="143"/>
      <c r="QRR11" s="143"/>
      <c r="QRS11" s="143"/>
      <c r="QRT11" s="143"/>
      <c r="QRU11" s="143"/>
      <c r="QRV11" s="143"/>
      <c r="QRW11" s="143"/>
      <c r="QRX11" s="143"/>
      <c r="QRY11" s="143"/>
      <c r="QRZ11" s="143"/>
      <c r="QSA11" s="143"/>
      <c r="QSB11" s="143"/>
      <c r="QSC11" s="143"/>
      <c r="QSD11" s="143"/>
      <c r="QSE11" s="143"/>
      <c r="QSF11" s="143"/>
      <c r="QSG11" s="143"/>
      <c r="QSH11" s="143"/>
      <c r="QSI11" s="143"/>
      <c r="QSJ11" s="143"/>
      <c r="QSK11" s="143"/>
      <c r="QSL11" s="143"/>
      <c r="QSM11" s="143"/>
      <c r="QSN11" s="143"/>
      <c r="QSO11" s="143"/>
      <c r="QSP11" s="143"/>
      <c r="QSQ11" s="143"/>
      <c r="QSR11" s="143"/>
      <c r="QSS11" s="143"/>
      <c r="QST11" s="143"/>
      <c r="QSU11" s="143"/>
      <c r="QSV11" s="143"/>
      <c r="QSW11" s="143"/>
      <c r="QSX11" s="143"/>
      <c r="QSY11" s="143"/>
      <c r="QSZ11" s="143"/>
      <c r="QTA11" s="143"/>
      <c r="QTB11" s="143"/>
      <c r="QTC11" s="143"/>
      <c r="QTD11" s="143"/>
      <c r="QTE11" s="143"/>
      <c r="QTF11" s="143"/>
      <c r="QTG11" s="143"/>
      <c r="QTH11" s="143"/>
      <c r="QTI11" s="143"/>
      <c r="QTJ11" s="143"/>
      <c r="QTK11" s="143"/>
      <c r="QTL11" s="143"/>
      <c r="QTM11" s="143"/>
      <c r="QTN11" s="143"/>
      <c r="QTO11" s="143"/>
      <c r="QTP11" s="143"/>
      <c r="QTQ11" s="143"/>
      <c r="QTR11" s="143"/>
      <c r="QTS11" s="143"/>
      <c r="QTT11" s="143"/>
      <c r="QTU11" s="143"/>
      <c r="QTV11" s="143"/>
      <c r="QTW11" s="143"/>
      <c r="QTX11" s="143"/>
      <c r="QTY11" s="143"/>
      <c r="QTZ11" s="143"/>
      <c r="QUA11" s="143"/>
      <c r="QUB11" s="143"/>
      <c r="QUC11" s="143"/>
      <c r="QUD11" s="143"/>
      <c r="QUE11" s="143"/>
      <c r="QUF11" s="143"/>
      <c r="QUG11" s="143"/>
      <c r="QUH11" s="143"/>
      <c r="QUI11" s="143"/>
      <c r="QUJ11" s="143"/>
      <c r="QUK11" s="143"/>
      <c r="QUL11" s="143"/>
      <c r="QUM11" s="143"/>
      <c r="QUN11" s="143"/>
      <c r="QUO11" s="143"/>
      <c r="QUP11" s="143"/>
      <c r="QUQ11" s="143"/>
      <c r="QUR11" s="143"/>
      <c r="QUS11" s="143"/>
      <c r="QUT11" s="143"/>
      <c r="QUU11" s="143"/>
      <c r="QUV11" s="143"/>
      <c r="QUW11" s="143"/>
      <c r="QUX11" s="143"/>
      <c r="QUY11" s="143"/>
      <c r="QUZ11" s="143"/>
      <c r="QVA11" s="143"/>
      <c r="QVB11" s="143"/>
      <c r="QVC11" s="143"/>
      <c r="QVD11" s="143"/>
      <c r="QVE11" s="143"/>
      <c r="QVF11" s="143"/>
      <c r="QVG11" s="143"/>
      <c r="QVH11" s="143"/>
      <c r="QVI11" s="143"/>
      <c r="QVJ11" s="143"/>
      <c r="QVK11" s="143"/>
      <c r="QVL11" s="143"/>
      <c r="QVM11" s="143"/>
      <c r="QVN11" s="143"/>
      <c r="QVO11" s="143"/>
      <c r="QVP11" s="143"/>
      <c r="QVQ11" s="143"/>
      <c r="QVR11" s="143"/>
      <c r="QVS11" s="143"/>
      <c r="QVT11" s="143"/>
      <c r="QVU11" s="143"/>
      <c r="QVV11" s="143"/>
      <c r="QVW11" s="143"/>
      <c r="QVX11" s="143"/>
      <c r="QVY11" s="143"/>
      <c r="QVZ11" s="143"/>
      <c r="QWA11" s="143"/>
      <c r="QWB11" s="143"/>
      <c r="QWC11" s="143"/>
      <c r="QWD11" s="143"/>
      <c r="QWE11" s="143"/>
      <c r="QWF11" s="143"/>
      <c r="QWG11" s="143"/>
      <c r="QWH11" s="143"/>
      <c r="QWI11" s="143"/>
      <c r="QWJ11" s="143"/>
      <c r="QWK11" s="143"/>
      <c r="QWL11" s="143"/>
      <c r="QWM11" s="143"/>
      <c r="QWN11" s="143"/>
      <c r="QWO11" s="143"/>
      <c r="QWP11" s="143"/>
      <c r="QWQ11" s="143"/>
      <c r="QWR11" s="143"/>
      <c r="QWS11" s="143"/>
      <c r="QWT11" s="143"/>
      <c r="QWU11" s="143"/>
      <c r="QWV11" s="143"/>
      <c r="QWW11" s="143"/>
      <c r="QWX11" s="143"/>
      <c r="QWY11" s="143"/>
      <c r="QWZ11" s="143"/>
      <c r="QXA11" s="143"/>
      <c r="QXB11" s="143"/>
      <c r="QXC11" s="143"/>
      <c r="QXD11" s="143"/>
      <c r="QXE11" s="143"/>
      <c r="QXF11" s="143"/>
      <c r="QXG11" s="143"/>
      <c r="QXH11" s="143"/>
      <c r="QXI11" s="143"/>
      <c r="QXJ11" s="143"/>
      <c r="QXK11" s="143"/>
      <c r="QXL11" s="143"/>
      <c r="QXM11" s="143"/>
      <c r="QXN11" s="143"/>
      <c r="QXO11" s="143"/>
      <c r="QXP11" s="143"/>
      <c r="QXQ11" s="143"/>
      <c r="QXR11" s="143"/>
      <c r="QXS11" s="143"/>
      <c r="QXT11" s="143"/>
      <c r="QXU11" s="143"/>
      <c r="QXV11" s="143"/>
      <c r="QXW11" s="143"/>
      <c r="QXX11" s="143"/>
      <c r="QXY11" s="143"/>
      <c r="QXZ11" s="143"/>
      <c r="QYA11" s="143"/>
      <c r="QYB11" s="143"/>
      <c r="QYC11" s="143"/>
      <c r="QYD11" s="143"/>
      <c r="QYE11" s="143"/>
      <c r="QYF11" s="143"/>
      <c r="QYG11" s="143"/>
      <c r="QYH11" s="143"/>
      <c r="QYI11" s="143"/>
      <c r="QYJ11" s="143"/>
      <c r="QYK11" s="143"/>
      <c r="QYL11" s="143"/>
      <c r="QYM11" s="143"/>
      <c r="QYN11" s="143"/>
      <c r="QYO11" s="143"/>
      <c r="QYP11" s="143"/>
      <c r="QYQ11" s="143"/>
      <c r="QYR11" s="143"/>
      <c r="QYS11" s="143"/>
      <c r="QYT11" s="143"/>
      <c r="QYU11" s="143"/>
      <c r="QYV11" s="143"/>
      <c r="QYW11" s="143"/>
      <c r="QYX11" s="143"/>
      <c r="QYY11" s="143"/>
      <c r="QYZ11" s="143"/>
      <c r="QZA11" s="143"/>
      <c r="QZB11" s="143"/>
      <c r="QZC11" s="143"/>
      <c r="QZD11" s="143"/>
      <c r="QZE11" s="143"/>
      <c r="QZF11" s="143"/>
      <c r="QZG11" s="143"/>
      <c r="QZH11" s="143"/>
      <c r="QZI11" s="143"/>
      <c r="QZJ11" s="143"/>
      <c r="QZK11" s="143"/>
      <c r="QZL11" s="143"/>
      <c r="QZM11" s="143"/>
      <c r="QZN11" s="143"/>
      <c r="QZO11" s="143"/>
      <c r="QZP11" s="143"/>
      <c r="QZQ11" s="143"/>
      <c r="QZR11" s="143"/>
      <c r="QZS11" s="143"/>
      <c r="QZT11" s="143"/>
      <c r="QZU11" s="143"/>
      <c r="QZV11" s="143"/>
      <c r="QZW11" s="143"/>
      <c r="QZX11" s="143"/>
      <c r="QZY11" s="143"/>
      <c r="QZZ11" s="143"/>
      <c r="RAA11" s="143"/>
      <c r="RAB11" s="143"/>
      <c r="RAC11" s="143"/>
      <c r="RAD11" s="143"/>
      <c r="RAE11" s="143"/>
      <c r="RAF11" s="143"/>
      <c r="RAG11" s="143"/>
      <c r="RAH11" s="143"/>
      <c r="RAI11" s="143"/>
      <c r="RAJ11" s="143"/>
      <c r="RAK11" s="143"/>
      <c r="RAL11" s="143"/>
      <c r="RAM11" s="143"/>
      <c r="RAN11" s="143"/>
      <c r="RAO11" s="143"/>
      <c r="RAP11" s="143"/>
      <c r="RAQ11" s="143"/>
      <c r="RAR11" s="143"/>
      <c r="RAS11" s="143"/>
      <c r="RAT11" s="143"/>
      <c r="RAU11" s="143"/>
      <c r="RAV11" s="143"/>
      <c r="RAW11" s="143"/>
      <c r="RAX11" s="143"/>
      <c r="RAY11" s="143"/>
      <c r="RAZ11" s="143"/>
      <c r="RBA11" s="143"/>
      <c r="RBB11" s="143"/>
      <c r="RBC11" s="143"/>
      <c r="RBD11" s="143"/>
      <c r="RBE11" s="143"/>
      <c r="RBF11" s="143"/>
      <c r="RBG11" s="143"/>
      <c r="RBH11" s="143"/>
      <c r="RBI11" s="143"/>
      <c r="RBJ11" s="143"/>
      <c r="RBK11" s="143"/>
      <c r="RBL11" s="143"/>
      <c r="RBM11" s="143"/>
      <c r="RBN11" s="143"/>
      <c r="RBO11" s="143"/>
      <c r="RBP11" s="143"/>
      <c r="RBQ11" s="143"/>
      <c r="RBR11" s="143"/>
      <c r="RBS11" s="143"/>
      <c r="RBT11" s="143"/>
      <c r="RBU11" s="143"/>
      <c r="RBV11" s="143"/>
      <c r="RBW11" s="143"/>
      <c r="RBX11" s="143"/>
      <c r="RBY11" s="143"/>
      <c r="RBZ11" s="143"/>
      <c r="RCA11" s="143"/>
      <c r="RCB11" s="143"/>
      <c r="RCC11" s="143"/>
      <c r="RCD11" s="143"/>
      <c r="RCE11" s="143"/>
      <c r="RCF11" s="143"/>
      <c r="RCG11" s="143"/>
      <c r="RCH11" s="143"/>
      <c r="RCI11" s="143"/>
      <c r="RCJ11" s="143"/>
      <c r="RCK11" s="143"/>
      <c r="RCL11" s="143"/>
      <c r="RCM11" s="143"/>
      <c r="RCN11" s="143"/>
      <c r="RCO11" s="143"/>
      <c r="RCP11" s="143"/>
      <c r="RCQ11" s="143"/>
      <c r="RCR11" s="143"/>
      <c r="RCS11" s="143"/>
      <c r="RCT11" s="143"/>
      <c r="RCU11" s="143"/>
      <c r="RCV11" s="143"/>
      <c r="RCW11" s="143"/>
      <c r="RCX11" s="143"/>
      <c r="RCY11" s="143"/>
      <c r="RCZ11" s="143"/>
      <c r="RDA11" s="143"/>
      <c r="RDB11" s="143"/>
      <c r="RDC11" s="143"/>
      <c r="RDD11" s="143"/>
      <c r="RDE11" s="143"/>
      <c r="RDF11" s="143"/>
      <c r="RDG11" s="143"/>
      <c r="RDH11" s="143"/>
      <c r="RDI11" s="143"/>
      <c r="RDJ11" s="143"/>
      <c r="RDK11" s="143"/>
      <c r="RDL11" s="143"/>
      <c r="RDM11" s="143"/>
      <c r="RDN11" s="143"/>
      <c r="RDO11" s="143"/>
      <c r="RDP11" s="143"/>
      <c r="RDQ11" s="143"/>
      <c r="RDR11" s="143"/>
      <c r="RDS11" s="143"/>
      <c r="RDT11" s="143"/>
      <c r="RDU11" s="143"/>
      <c r="RDV11" s="143"/>
      <c r="RDW11" s="143"/>
      <c r="RDX11" s="143"/>
      <c r="RDY11" s="143"/>
      <c r="RDZ11" s="143"/>
      <c r="REA11" s="143"/>
      <c r="REB11" s="143"/>
      <c r="REC11" s="143"/>
      <c r="RED11" s="143"/>
      <c r="REE11" s="143"/>
      <c r="REF11" s="143"/>
      <c r="REG11" s="143"/>
      <c r="REH11" s="143"/>
      <c r="REI11" s="143"/>
      <c r="REJ11" s="143"/>
      <c r="REK11" s="143"/>
      <c r="REL11" s="143"/>
      <c r="REM11" s="143"/>
      <c r="REN11" s="143"/>
      <c r="REO11" s="143"/>
      <c r="REP11" s="143"/>
      <c r="REQ11" s="143"/>
      <c r="RER11" s="143"/>
      <c r="RES11" s="143"/>
      <c r="RET11" s="143"/>
      <c r="REU11" s="143"/>
      <c r="REV11" s="143"/>
      <c r="REW11" s="143"/>
      <c r="REX11" s="143"/>
      <c r="REY11" s="143"/>
      <c r="REZ11" s="143"/>
      <c r="RFA11" s="143"/>
      <c r="RFB11" s="143"/>
      <c r="RFC11" s="143"/>
      <c r="RFD11" s="143"/>
      <c r="RFE11" s="143"/>
      <c r="RFF11" s="143"/>
      <c r="RFG11" s="143"/>
      <c r="RFH11" s="143"/>
      <c r="RFI11" s="143"/>
      <c r="RFJ11" s="143"/>
      <c r="RFK11" s="143"/>
      <c r="RFL11" s="143"/>
      <c r="RFM11" s="143"/>
      <c r="RFN11" s="143"/>
      <c r="RFO11" s="143"/>
      <c r="RFP11" s="143"/>
      <c r="RFQ11" s="143"/>
      <c r="RFR11" s="143"/>
      <c r="RFS11" s="143"/>
      <c r="RFT11" s="143"/>
      <c r="RFU11" s="143"/>
      <c r="RFV11" s="143"/>
      <c r="RFW11" s="143"/>
      <c r="RFX11" s="143"/>
      <c r="RFY11" s="143"/>
      <c r="RFZ11" s="143"/>
      <c r="RGA11" s="143"/>
      <c r="RGB11" s="143"/>
      <c r="RGC11" s="143"/>
      <c r="RGD11" s="143"/>
      <c r="RGE11" s="143"/>
      <c r="RGF11" s="143"/>
      <c r="RGG11" s="143"/>
      <c r="RGH11" s="143"/>
      <c r="RGI11" s="143"/>
      <c r="RGJ11" s="143"/>
      <c r="RGK11" s="143"/>
      <c r="RGL11" s="143"/>
      <c r="RGM11" s="143"/>
      <c r="RGN11" s="143"/>
      <c r="RGO11" s="143"/>
      <c r="RGP11" s="143"/>
      <c r="RGQ11" s="143"/>
      <c r="RGR11" s="143"/>
      <c r="RGS11" s="143"/>
      <c r="RGT11" s="143"/>
      <c r="RGU11" s="143"/>
      <c r="RGV11" s="143"/>
      <c r="RGW11" s="143"/>
      <c r="RGX11" s="143"/>
      <c r="RGY11" s="143"/>
      <c r="RGZ11" s="143"/>
      <c r="RHA11" s="143"/>
      <c r="RHB11" s="143"/>
      <c r="RHC11" s="143"/>
      <c r="RHD11" s="143"/>
      <c r="RHE11" s="143"/>
      <c r="RHF11" s="143"/>
      <c r="RHG11" s="143"/>
      <c r="RHH11" s="143"/>
      <c r="RHI11" s="143"/>
      <c r="RHJ11" s="143"/>
      <c r="RHK11" s="143"/>
      <c r="RHL11" s="143"/>
      <c r="RHM11" s="143"/>
      <c r="RHN11" s="143"/>
      <c r="RHO11" s="143"/>
      <c r="RHP11" s="143"/>
      <c r="RHQ11" s="143"/>
      <c r="RHR11" s="143"/>
      <c r="RHS11" s="143"/>
      <c r="RHT11" s="143"/>
      <c r="RHU11" s="143"/>
      <c r="RHV11" s="143"/>
      <c r="RHW11" s="143"/>
      <c r="RHX11" s="143"/>
      <c r="RHY11" s="143"/>
      <c r="RHZ11" s="143"/>
      <c r="RIA11" s="143"/>
      <c r="RIB11" s="143"/>
      <c r="RIC11" s="143"/>
      <c r="RID11" s="143"/>
      <c r="RIE11" s="143"/>
      <c r="RIF11" s="143"/>
      <c r="RIG11" s="143"/>
      <c r="RIH11" s="143"/>
      <c r="RII11" s="143"/>
      <c r="RIJ11" s="143"/>
      <c r="RIK11" s="143"/>
      <c r="RIL11" s="143"/>
      <c r="RIM11" s="143"/>
      <c r="RIN11" s="143"/>
      <c r="RIO11" s="143"/>
      <c r="RIP11" s="143"/>
      <c r="RIQ11" s="143"/>
      <c r="RIR11" s="143"/>
      <c r="RIS11" s="143"/>
      <c r="RIT11" s="143"/>
      <c r="RIU11" s="143"/>
      <c r="RIV11" s="143"/>
      <c r="RIW11" s="143"/>
      <c r="RIX11" s="143"/>
      <c r="RIY11" s="143"/>
      <c r="RIZ11" s="143"/>
      <c r="RJA11" s="143"/>
      <c r="RJB11" s="143"/>
      <c r="RJC11" s="143"/>
      <c r="RJD11" s="143"/>
      <c r="RJE11" s="143"/>
      <c r="RJF11" s="143"/>
      <c r="RJG11" s="143"/>
      <c r="RJH11" s="143"/>
      <c r="RJI11" s="143"/>
      <c r="RJJ11" s="143"/>
      <c r="RJK11" s="143"/>
      <c r="RJL11" s="143"/>
      <c r="RJM11" s="143"/>
      <c r="RJN11" s="143"/>
      <c r="RJO11" s="143"/>
      <c r="RJP11" s="143"/>
      <c r="RJQ11" s="143"/>
      <c r="RJR11" s="143"/>
      <c r="RJS11" s="143"/>
      <c r="RJT11" s="143"/>
      <c r="RJU11" s="143"/>
      <c r="RJV11" s="143"/>
      <c r="RJW11" s="143"/>
      <c r="RJX11" s="143"/>
      <c r="RJY11" s="143"/>
      <c r="RJZ11" s="143"/>
      <c r="RKA11" s="143"/>
      <c r="RKB11" s="143"/>
      <c r="RKC11" s="143"/>
      <c r="RKD11" s="143"/>
      <c r="RKE11" s="143"/>
      <c r="RKF11" s="143"/>
      <c r="RKG11" s="143"/>
      <c r="RKH11" s="143"/>
      <c r="RKI11" s="143"/>
      <c r="RKJ11" s="143"/>
      <c r="RKK11" s="143"/>
      <c r="RKL11" s="143"/>
      <c r="RKM11" s="143"/>
      <c r="RKN11" s="143"/>
      <c r="RKO11" s="143"/>
      <c r="RKP11" s="143"/>
      <c r="RKQ11" s="143"/>
      <c r="RKR11" s="143"/>
      <c r="RKS11" s="143"/>
      <c r="RKT11" s="143"/>
      <c r="RKU11" s="143"/>
      <c r="RKV11" s="143"/>
      <c r="RKW11" s="143"/>
      <c r="RKX11" s="143"/>
      <c r="RKY11" s="143"/>
      <c r="RKZ11" s="143"/>
      <c r="RLA11" s="143"/>
      <c r="RLB11" s="143"/>
      <c r="RLC11" s="143"/>
      <c r="RLD11" s="143"/>
      <c r="RLE11" s="143"/>
      <c r="RLF11" s="143"/>
      <c r="RLG11" s="143"/>
      <c r="RLH11" s="143"/>
      <c r="RLI11" s="143"/>
      <c r="RLJ11" s="143"/>
      <c r="RLK11" s="143"/>
      <c r="RLL11" s="143"/>
      <c r="RLM11" s="143"/>
      <c r="RLN11" s="143"/>
      <c r="RLO11" s="143"/>
      <c r="RLP11" s="143"/>
      <c r="RLQ11" s="143"/>
      <c r="RLR11" s="143"/>
      <c r="RLS11" s="143"/>
      <c r="RLT11" s="143"/>
      <c r="RLU11" s="143"/>
      <c r="RLV11" s="143"/>
      <c r="RLW11" s="143"/>
      <c r="RLX11" s="143"/>
      <c r="RLY11" s="143"/>
      <c r="RLZ11" s="143"/>
      <c r="RMA11" s="143"/>
      <c r="RMB11" s="143"/>
      <c r="RMC11" s="143"/>
      <c r="RMD11" s="143"/>
      <c r="RME11" s="143"/>
      <c r="RMF11" s="143"/>
      <c r="RMG11" s="143"/>
      <c r="RMH11" s="143"/>
      <c r="RMI11" s="143"/>
      <c r="RMJ11" s="143"/>
      <c r="RMK11" s="143"/>
      <c r="RML11" s="143"/>
      <c r="RMM11" s="143"/>
      <c r="RMN11" s="143"/>
      <c r="RMO11" s="143"/>
      <c r="RMP11" s="143"/>
      <c r="RMQ11" s="143"/>
      <c r="RMR11" s="143"/>
      <c r="RMS11" s="143"/>
      <c r="RMT11" s="143"/>
      <c r="RMU11" s="143"/>
      <c r="RMV11" s="143"/>
      <c r="RMW11" s="143"/>
      <c r="RMX11" s="143"/>
      <c r="RMY11" s="143"/>
      <c r="RMZ11" s="143"/>
      <c r="RNA11" s="143"/>
      <c r="RNB11" s="143"/>
      <c r="RNC11" s="143"/>
      <c r="RND11" s="143"/>
      <c r="RNE11" s="143"/>
      <c r="RNF11" s="143"/>
      <c r="RNG11" s="143"/>
      <c r="RNH11" s="143"/>
      <c r="RNI11" s="143"/>
      <c r="RNJ11" s="143"/>
      <c r="RNK11" s="143"/>
      <c r="RNL11" s="143"/>
      <c r="RNM11" s="143"/>
      <c r="RNN11" s="143"/>
      <c r="RNO11" s="143"/>
      <c r="RNP11" s="143"/>
      <c r="RNQ11" s="143"/>
      <c r="RNR11" s="143"/>
      <c r="RNS11" s="143"/>
      <c r="RNT11" s="143"/>
      <c r="RNU11" s="143"/>
      <c r="RNV11" s="143"/>
      <c r="RNW11" s="143"/>
      <c r="RNX11" s="143"/>
      <c r="RNY11" s="143"/>
      <c r="RNZ11" s="143"/>
      <c r="ROA11" s="143"/>
      <c r="ROB11" s="143"/>
      <c r="ROC11" s="143"/>
      <c r="ROD11" s="143"/>
      <c r="ROE11" s="143"/>
      <c r="ROF11" s="143"/>
      <c r="ROG11" s="143"/>
      <c r="ROH11" s="143"/>
      <c r="ROI11" s="143"/>
      <c r="ROJ11" s="143"/>
      <c r="ROK11" s="143"/>
      <c r="ROL11" s="143"/>
      <c r="ROM11" s="143"/>
      <c r="RON11" s="143"/>
      <c r="ROO11" s="143"/>
      <c r="ROP11" s="143"/>
      <c r="ROQ11" s="143"/>
      <c r="ROR11" s="143"/>
      <c r="ROS11" s="143"/>
      <c r="ROT11" s="143"/>
      <c r="ROU11" s="143"/>
      <c r="ROV11" s="143"/>
      <c r="ROW11" s="143"/>
      <c r="ROX11" s="143"/>
      <c r="ROY11" s="143"/>
      <c r="ROZ11" s="143"/>
      <c r="RPA11" s="143"/>
      <c r="RPB11" s="143"/>
      <c r="RPC11" s="143"/>
      <c r="RPD11" s="143"/>
      <c r="RPE11" s="143"/>
      <c r="RPF11" s="143"/>
      <c r="RPG11" s="143"/>
      <c r="RPH11" s="143"/>
      <c r="RPI11" s="143"/>
      <c r="RPJ11" s="143"/>
      <c r="RPK11" s="143"/>
      <c r="RPL11" s="143"/>
      <c r="RPM11" s="143"/>
      <c r="RPN11" s="143"/>
      <c r="RPO11" s="143"/>
      <c r="RPP11" s="143"/>
      <c r="RPQ11" s="143"/>
      <c r="RPR11" s="143"/>
      <c r="RPS11" s="143"/>
      <c r="RPT11" s="143"/>
      <c r="RPU11" s="143"/>
      <c r="RPV11" s="143"/>
      <c r="RPW11" s="143"/>
      <c r="RPX11" s="143"/>
      <c r="RPY11" s="143"/>
      <c r="RPZ11" s="143"/>
      <c r="RQA11" s="143"/>
      <c r="RQB11" s="143"/>
      <c r="RQC11" s="143"/>
      <c r="RQD11" s="143"/>
      <c r="RQE11" s="143"/>
      <c r="RQF11" s="143"/>
      <c r="RQG11" s="143"/>
      <c r="RQH11" s="143"/>
      <c r="RQI11" s="143"/>
      <c r="RQJ11" s="143"/>
      <c r="RQK11" s="143"/>
      <c r="RQL11" s="143"/>
      <c r="RQM11" s="143"/>
      <c r="RQN11" s="143"/>
      <c r="RQO11" s="143"/>
      <c r="RQP11" s="143"/>
      <c r="RQQ11" s="143"/>
      <c r="RQR11" s="143"/>
      <c r="RQS11" s="143"/>
      <c r="RQT11" s="143"/>
      <c r="RQU11" s="143"/>
      <c r="RQV11" s="143"/>
      <c r="RQW11" s="143"/>
      <c r="RQX11" s="143"/>
      <c r="RQY11" s="143"/>
      <c r="RQZ11" s="143"/>
      <c r="RRA11" s="143"/>
      <c r="RRB11" s="143"/>
      <c r="RRC11" s="143"/>
      <c r="RRD11" s="143"/>
      <c r="RRE11" s="143"/>
      <c r="RRF11" s="143"/>
      <c r="RRG11" s="143"/>
      <c r="RRH11" s="143"/>
      <c r="RRI11" s="143"/>
      <c r="RRJ11" s="143"/>
      <c r="RRK11" s="143"/>
      <c r="RRL11" s="143"/>
      <c r="RRM11" s="143"/>
      <c r="RRN11" s="143"/>
      <c r="RRO11" s="143"/>
      <c r="RRP11" s="143"/>
      <c r="RRQ11" s="143"/>
      <c r="RRR11" s="143"/>
      <c r="RRS11" s="143"/>
      <c r="RRT11" s="143"/>
      <c r="RRU11" s="143"/>
      <c r="RRV11" s="143"/>
      <c r="RRW11" s="143"/>
      <c r="RRX11" s="143"/>
      <c r="RRY11" s="143"/>
      <c r="RRZ11" s="143"/>
      <c r="RSA11" s="143"/>
      <c r="RSB11" s="143"/>
      <c r="RSC11" s="143"/>
      <c r="RSD11" s="143"/>
      <c r="RSE11" s="143"/>
      <c r="RSF11" s="143"/>
      <c r="RSG11" s="143"/>
      <c r="RSH11" s="143"/>
      <c r="RSI11" s="143"/>
      <c r="RSJ11" s="143"/>
      <c r="RSK11" s="143"/>
      <c r="RSL11" s="143"/>
      <c r="RSM11" s="143"/>
      <c r="RSN11" s="143"/>
      <c r="RSO11" s="143"/>
      <c r="RSP11" s="143"/>
      <c r="RSQ11" s="143"/>
      <c r="RSR11" s="143"/>
      <c r="RSS11" s="143"/>
      <c r="RST11" s="143"/>
      <c r="RSU11" s="143"/>
      <c r="RSV11" s="143"/>
      <c r="RSW11" s="143"/>
      <c r="RSX11" s="143"/>
      <c r="RSY11" s="143"/>
      <c r="RSZ11" s="143"/>
      <c r="RTA11" s="143"/>
      <c r="RTB11" s="143"/>
      <c r="RTC11" s="143"/>
      <c r="RTD11" s="143"/>
      <c r="RTE11" s="143"/>
      <c r="RTF11" s="143"/>
      <c r="RTG11" s="143"/>
      <c r="RTH11" s="143"/>
      <c r="RTI11" s="143"/>
      <c r="RTJ11" s="143"/>
      <c r="RTK11" s="143"/>
      <c r="RTL11" s="143"/>
      <c r="RTM11" s="143"/>
      <c r="RTN11" s="143"/>
      <c r="RTO11" s="143"/>
      <c r="RTP11" s="143"/>
      <c r="RTQ11" s="143"/>
      <c r="RTR11" s="143"/>
      <c r="RTS11" s="143"/>
      <c r="RTT11" s="143"/>
      <c r="RTU11" s="143"/>
      <c r="RTV11" s="143"/>
      <c r="RTW11" s="143"/>
      <c r="RTX11" s="143"/>
      <c r="RTY11" s="143"/>
      <c r="RTZ11" s="143"/>
      <c r="RUA11" s="143"/>
      <c r="RUB11" s="143"/>
      <c r="RUC11" s="143"/>
      <c r="RUD11" s="143"/>
      <c r="RUE11" s="143"/>
      <c r="RUF11" s="143"/>
      <c r="RUG11" s="143"/>
      <c r="RUH11" s="143"/>
      <c r="RUI11" s="143"/>
      <c r="RUJ11" s="143"/>
      <c r="RUK11" s="143"/>
      <c r="RUL11" s="143"/>
      <c r="RUM11" s="143"/>
      <c r="RUN11" s="143"/>
      <c r="RUO11" s="143"/>
      <c r="RUP11" s="143"/>
      <c r="RUQ11" s="143"/>
      <c r="RUR11" s="143"/>
      <c r="RUS11" s="143"/>
      <c r="RUT11" s="143"/>
      <c r="RUU11" s="143"/>
      <c r="RUV11" s="143"/>
      <c r="RUW11" s="143"/>
      <c r="RUX11" s="143"/>
      <c r="RUY11" s="143"/>
      <c r="RUZ11" s="143"/>
      <c r="RVA11" s="143"/>
      <c r="RVB11" s="143"/>
      <c r="RVC11" s="143"/>
      <c r="RVD11" s="143"/>
      <c r="RVE11" s="143"/>
      <c r="RVF11" s="143"/>
      <c r="RVG11" s="143"/>
      <c r="RVH11" s="143"/>
      <c r="RVI11" s="143"/>
      <c r="RVJ11" s="143"/>
      <c r="RVK11" s="143"/>
      <c r="RVL11" s="143"/>
      <c r="RVM11" s="143"/>
      <c r="RVN11" s="143"/>
      <c r="RVO11" s="143"/>
      <c r="RVP11" s="143"/>
      <c r="RVQ11" s="143"/>
      <c r="RVR11" s="143"/>
      <c r="RVS11" s="143"/>
      <c r="RVT11" s="143"/>
      <c r="RVU11" s="143"/>
      <c r="RVV11" s="143"/>
      <c r="RVW11" s="143"/>
      <c r="RVX11" s="143"/>
      <c r="RVY11" s="143"/>
      <c r="RVZ11" s="143"/>
      <c r="RWA11" s="143"/>
      <c r="RWB11" s="143"/>
      <c r="RWC11" s="143"/>
      <c r="RWD11" s="143"/>
      <c r="RWE11" s="143"/>
      <c r="RWF11" s="143"/>
      <c r="RWG11" s="143"/>
      <c r="RWH11" s="143"/>
      <c r="RWI11" s="143"/>
      <c r="RWJ11" s="143"/>
      <c r="RWK11" s="143"/>
      <c r="RWL11" s="143"/>
      <c r="RWM11" s="143"/>
      <c r="RWN11" s="143"/>
      <c r="RWO11" s="143"/>
      <c r="RWP11" s="143"/>
      <c r="RWQ11" s="143"/>
      <c r="RWR11" s="143"/>
      <c r="RWS11" s="143"/>
      <c r="RWT11" s="143"/>
      <c r="RWU11" s="143"/>
      <c r="RWV11" s="143"/>
      <c r="RWW11" s="143"/>
      <c r="RWX11" s="143"/>
      <c r="RWY11" s="143"/>
      <c r="RWZ11" s="143"/>
      <c r="RXA11" s="143"/>
      <c r="RXB11" s="143"/>
      <c r="RXC11" s="143"/>
      <c r="RXD11" s="143"/>
      <c r="RXE11" s="143"/>
      <c r="RXF11" s="143"/>
      <c r="RXG11" s="143"/>
      <c r="RXH11" s="143"/>
      <c r="RXI11" s="143"/>
      <c r="RXJ11" s="143"/>
      <c r="RXK11" s="143"/>
      <c r="RXL11" s="143"/>
      <c r="RXM11" s="143"/>
      <c r="RXN11" s="143"/>
      <c r="RXO11" s="143"/>
      <c r="RXP11" s="143"/>
      <c r="RXQ11" s="143"/>
      <c r="RXR11" s="143"/>
      <c r="RXS11" s="143"/>
      <c r="RXT11" s="143"/>
      <c r="RXU11" s="143"/>
      <c r="RXV11" s="143"/>
      <c r="RXW11" s="143"/>
      <c r="RXX11" s="143"/>
      <c r="RXY11" s="143"/>
      <c r="RXZ11" s="143"/>
      <c r="RYA11" s="143"/>
      <c r="RYB11" s="143"/>
      <c r="RYC11" s="143"/>
      <c r="RYD11" s="143"/>
      <c r="RYE11" s="143"/>
      <c r="RYF11" s="143"/>
      <c r="RYG11" s="143"/>
      <c r="RYH11" s="143"/>
      <c r="RYI11" s="143"/>
      <c r="RYJ11" s="143"/>
      <c r="RYK11" s="143"/>
      <c r="RYL11" s="143"/>
      <c r="RYM11" s="143"/>
      <c r="RYN11" s="143"/>
      <c r="RYO11" s="143"/>
      <c r="RYP11" s="143"/>
      <c r="RYQ11" s="143"/>
      <c r="RYR11" s="143"/>
      <c r="RYS11" s="143"/>
      <c r="RYT11" s="143"/>
      <c r="RYU11" s="143"/>
      <c r="RYV11" s="143"/>
      <c r="RYW11" s="143"/>
      <c r="RYX11" s="143"/>
      <c r="RYY11" s="143"/>
      <c r="RYZ11" s="143"/>
      <c r="RZA11" s="143"/>
      <c r="RZB11" s="143"/>
      <c r="RZC11" s="143"/>
      <c r="RZD11" s="143"/>
      <c r="RZE11" s="143"/>
      <c r="RZF11" s="143"/>
      <c r="RZG11" s="143"/>
      <c r="RZH11" s="143"/>
      <c r="RZI11" s="143"/>
      <c r="RZJ11" s="143"/>
      <c r="RZK11" s="143"/>
      <c r="RZL11" s="143"/>
      <c r="RZM11" s="143"/>
      <c r="RZN11" s="143"/>
      <c r="RZO11" s="143"/>
      <c r="RZP11" s="143"/>
      <c r="RZQ11" s="143"/>
      <c r="RZR11" s="143"/>
      <c r="RZS11" s="143"/>
      <c r="RZT11" s="143"/>
      <c r="RZU11" s="143"/>
      <c r="RZV11" s="143"/>
      <c r="RZW11" s="143"/>
      <c r="RZX11" s="143"/>
      <c r="RZY11" s="143"/>
      <c r="RZZ11" s="143"/>
      <c r="SAA11" s="143"/>
      <c r="SAB11" s="143"/>
      <c r="SAC11" s="143"/>
      <c r="SAD11" s="143"/>
      <c r="SAE11" s="143"/>
      <c r="SAF11" s="143"/>
      <c r="SAG11" s="143"/>
      <c r="SAH11" s="143"/>
      <c r="SAI11" s="143"/>
      <c r="SAJ11" s="143"/>
      <c r="SAK11" s="143"/>
      <c r="SAL11" s="143"/>
      <c r="SAM11" s="143"/>
      <c r="SAN11" s="143"/>
      <c r="SAO11" s="143"/>
      <c r="SAP11" s="143"/>
      <c r="SAQ11" s="143"/>
      <c r="SAR11" s="143"/>
      <c r="SAS11" s="143"/>
      <c r="SAT11" s="143"/>
      <c r="SAU11" s="143"/>
      <c r="SAV11" s="143"/>
      <c r="SAW11" s="143"/>
      <c r="SAX11" s="143"/>
      <c r="SAY11" s="143"/>
      <c r="SAZ11" s="143"/>
      <c r="SBA11" s="143"/>
      <c r="SBB11" s="143"/>
      <c r="SBC11" s="143"/>
      <c r="SBD11" s="143"/>
      <c r="SBE11" s="143"/>
      <c r="SBF11" s="143"/>
      <c r="SBG11" s="143"/>
      <c r="SBH11" s="143"/>
      <c r="SBI11" s="143"/>
      <c r="SBJ11" s="143"/>
      <c r="SBK11" s="143"/>
      <c r="SBL11" s="143"/>
      <c r="SBM11" s="143"/>
      <c r="SBN11" s="143"/>
      <c r="SBO11" s="143"/>
      <c r="SBP11" s="143"/>
      <c r="SBQ11" s="143"/>
      <c r="SBR11" s="143"/>
      <c r="SBS11" s="143"/>
      <c r="SBT11" s="143"/>
      <c r="SBU11" s="143"/>
      <c r="SBV11" s="143"/>
      <c r="SBW11" s="143"/>
      <c r="SBX11" s="143"/>
      <c r="SBY11" s="143"/>
      <c r="SBZ11" s="143"/>
      <c r="SCA11" s="143"/>
      <c r="SCB11" s="143"/>
      <c r="SCC11" s="143"/>
      <c r="SCD11" s="143"/>
      <c r="SCE11" s="143"/>
      <c r="SCF11" s="143"/>
      <c r="SCG11" s="143"/>
      <c r="SCH11" s="143"/>
      <c r="SCI11" s="143"/>
      <c r="SCJ11" s="143"/>
      <c r="SCK11" s="143"/>
      <c r="SCL11" s="143"/>
      <c r="SCM11" s="143"/>
      <c r="SCN11" s="143"/>
      <c r="SCO11" s="143"/>
      <c r="SCP11" s="143"/>
      <c r="SCQ11" s="143"/>
      <c r="SCR11" s="143"/>
      <c r="SCS11" s="143"/>
      <c r="SCT11" s="143"/>
      <c r="SCU11" s="143"/>
      <c r="SCV11" s="143"/>
      <c r="SCW11" s="143"/>
      <c r="SCX11" s="143"/>
      <c r="SCY11" s="143"/>
      <c r="SCZ11" s="143"/>
      <c r="SDA11" s="143"/>
      <c r="SDB11" s="143"/>
      <c r="SDC11" s="143"/>
      <c r="SDD11" s="143"/>
      <c r="SDE11" s="143"/>
      <c r="SDF11" s="143"/>
      <c r="SDG11" s="143"/>
      <c r="SDH11" s="143"/>
      <c r="SDI11" s="143"/>
      <c r="SDJ11" s="143"/>
      <c r="SDK11" s="143"/>
      <c r="SDL11" s="143"/>
      <c r="SDM11" s="143"/>
      <c r="SDN11" s="143"/>
      <c r="SDO11" s="143"/>
      <c r="SDP11" s="143"/>
      <c r="SDQ11" s="143"/>
      <c r="SDR11" s="143"/>
      <c r="SDS11" s="143"/>
      <c r="SDT11" s="143"/>
      <c r="SDU11" s="143"/>
      <c r="SDV11" s="143"/>
      <c r="SDW11" s="143"/>
      <c r="SDX11" s="143"/>
      <c r="SDY11" s="143"/>
      <c r="SDZ11" s="143"/>
      <c r="SEA11" s="143"/>
      <c r="SEB11" s="143"/>
      <c r="SEC11" s="143"/>
      <c r="SED11" s="143"/>
      <c r="SEE11" s="143"/>
      <c r="SEF11" s="143"/>
      <c r="SEG11" s="143"/>
      <c r="SEH11" s="143"/>
      <c r="SEI11" s="143"/>
      <c r="SEJ11" s="143"/>
      <c r="SEK11" s="143"/>
      <c r="SEL11" s="143"/>
      <c r="SEM11" s="143"/>
      <c r="SEN11" s="143"/>
      <c r="SEO11" s="143"/>
      <c r="SEP11" s="143"/>
      <c r="SEQ11" s="143"/>
      <c r="SER11" s="143"/>
      <c r="SES11" s="143"/>
      <c r="SET11" s="143"/>
      <c r="SEU11" s="143"/>
      <c r="SEV11" s="143"/>
      <c r="SEW11" s="143"/>
      <c r="SEX11" s="143"/>
      <c r="SEY11" s="143"/>
      <c r="SEZ11" s="143"/>
      <c r="SFA11" s="143"/>
      <c r="SFB11" s="143"/>
      <c r="SFC11" s="143"/>
      <c r="SFD11" s="143"/>
      <c r="SFE11" s="143"/>
      <c r="SFF11" s="143"/>
      <c r="SFG11" s="143"/>
      <c r="SFH11" s="143"/>
      <c r="SFI11" s="143"/>
      <c r="SFJ11" s="143"/>
      <c r="SFK11" s="143"/>
      <c r="SFL11" s="143"/>
      <c r="SFM11" s="143"/>
      <c r="SFN11" s="143"/>
      <c r="SFO11" s="143"/>
      <c r="SFP11" s="143"/>
      <c r="SFQ11" s="143"/>
      <c r="SFR11" s="143"/>
      <c r="SFS11" s="143"/>
      <c r="SFT11" s="143"/>
      <c r="SFU11" s="143"/>
      <c r="SFV11" s="143"/>
      <c r="SFW11" s="143"/>
      <c r="SFX11" s="143"/>
      <c r="SFY11" s="143"/>
      <c r="SFZ11" s="143"/>
      <c r="SGA11" s="143"/>
      <c r="SGB11" s="143"/>
      <c r="SGC11" s="143"/>
      <c r="SGD11" s="143"/>
      <c r="SGE11" s="143"/>
      <c r="SGF11" s="143"/>
      <c r="SGG11" s="143"/>
      <c r="SGH11" s="143"/>
      <c r="SGI11" s="143"/>
      <c r="SGJ11" s="143"/>
      <c r="SGK11" s="143"/>
      <c r="SGL11" s="143"/>
      <c r="SGM11" s="143"/>
      <c r="SGN11" s="143"/>
      <c r="SGO11" s="143"/>
      <c r="SGP11" s="143"/>
      <c r="SGQ11" s="143"/>
      <c r="SGR11" s="143"/>
      <c r="SGS11" s="143"/>
      <c r="SGT11" s="143"/>
      <c r="SGU11" s="143"/>
      <c r="SGV11" s="143"/>
      <c r="SGW11" s="143"/>
      <c r="SGX11" s="143"/>
      <c r="SGY11" s="143"/>
      <c r="SGZ11" s="143"/>
      <c r="SHA11" s="143"/>
      <c r="SHB11" s="143"/>
      <c r="SHC11" s="143"/>
      <c r="SHD11" s="143"/>
      <c r="SHE11" s="143"/>
      <c r="SHF11" s="143"/>
      <c r="SHG11" s="143"/>
      <c r="SHH11" s="143"/>
      <c r="SHI11" s="143"/>
      <c r="SHJ11" s="143"/>
      <c r="SHK11" s="143"/>
      <c r="SHL11" s="143"/>
      <c r="SHM11" s="143"/>
      <c r="SHN11" s="143"/>
      <c r="SHO11" s="143"/>
      <c r="SHP11" s="143"/>
      <c r="SHQ11" s="143"/>
      <c r="SHR11" s="143"/>
      <c r="SHS11" s="143"/>
      <c r="SHT11" s="143"/>
      <c r="SHU11" s="143"/>
      <c r="SHV11" s="143"/>
      <c r="SHW11" s="143"/>
      <c r="SHX11" s="143"/>
      <c r="SHY11" s="143"/>
      <c r="SHZ11" s="143"/>
      <c r="SIA11" s="143"/>
      <c r="SIB11" s="143"/>
      <c r="SIC11" s="143"/>
      <c r="SID11" s="143"/>
      <c r="SIE11" s="143"/>
      <c r="SIF11" s="143"/>
      <c r="SIG11" s="143"/>
      <c r="SIH11" s="143"/>
      <c r="SII11" s="143"/>
      <c r="SIJ11" s="143"/>
      <c r="SIK11" s="143"/>
      <c r="SIL11" s="143"/>
      <c r="SIM11" s="143"/>
      <c r="SIN11" s="143"/>
      <c r="SIO11" s="143"/>
      <c r="SIP11" s="143"/>
      <c r="SIQ11" s="143"/>
      <c r="SIR11" s="143"/>
      <c r="SIS11" s="143"/>
      <c r="SIT11" s="143"/>
      <c r="SIU11" s="143"/>
      <c r="SIV11" s="143"/>
      <c r="SIW11" s="143"/>
      <c r="SIX11" s="143"/>
      <c r="SIY11" s="143"/>
      <c r="SIZ11" s="143"/>
      <c r="SJA11" s="143"/>
      <c r="SJB11" s="143"/>
      <c r="SJC11" s="143"/>
      <c r="SJD11" s="143"/>
      <c r="SJE11" s="143"/>
      <c r="SJF11" s="143"/>
      <c r="SJG11" s="143"/>
      <c r="SJH11" s="143"/>
      <c r="SJI11" s="143"/>
      <c r="SJJ11" s="143"/>
      <c r="SJK11" s="143"/>
      <c r="SJL11" s="143"/>
      <c r="SJM11" s="143"/>
      <c r="SJN11" s="143"/>
      <c r="SJO11" s="143"/>
      <c r="SJP11" s="143"/>
      <c r="SJQ11" s="143"/>
      <c r="SJR11" s="143"/>
      <c r="SJS11" s="143"/>
      <c r="SJT11" s="143"/>
      <c r="SJU11" s="143"/>
      <c r="SJV11" s="143"/>
      <c r="SJW11" s="143"/>
      <c r="SJX11" s="143"/>
      <c r="SJY11" s="143"/>
      <c r="SJZ11" s="143"/>
      <c r="SKA11" s="143"/>
      <c r="SKB11" s="143"/>
      <c r="SKC11" s="143"/>
      <c r="SKD11" s="143"/>
      <c r="SKE11" s="143"/>
      <c r="SKF11" s="143"/>
      <c r="SKG11" s="143"/>
      <c r="SKH11" s="143"/>
      <c r="SKI11" s="143"/>
      <c r="SKJ11" s="143"/>
      <c r="SKK11" s="143"/>
      <c r="SKL11" s="143"/>
      <c r="SKM11" s="143"/>
      <c r="SKN11" s="143"/>
      <c r="SKO11" s="143"/>
      <c r="SKP11" s="143"/>
      <c r="SKQ11" s="143"/>
      <c r="SKR11" s="143"/>
      <c r="SKS11" s="143"/>
      <c r="SKT11" s="143"/>
      <c r="SKU11" s="143"/>
      <c r="SKV11" s="143"/>
      <c r="SKW11" s="143"/>
      <c r="SKX11" s="143"/>
      <c r="SKY11" s="143"/>
      <c r="SKZ11" s="143"/>
      <c r="SLA11" s="143"/>
      <c r="SLB11" s="143"/>
      <c r="SLC11" s="143"/>
      <c r="SLD11" s="143"/>
      <c r="SLE11" s="143"/>
      <c r="SLF11" s="143"/>
      <c r="SLG11" s="143"/>
      <c r="SLH11" s="143"/>
      <c r="SLI11" s="143"/>
      <c r="SLJ11" s="143"/>
      <c r="SLK11" s="143"/>
      <c r="SLL11" s="143"/>
      <c r="SLM11" s="143"/>
      <c r="SLN11" s="143"/>
      <c r="SLO11" s="143"/>
      <c r="SLP11" s="143"/>
      <c r="SLQ11" s="143"/>
      <c r="SLR11" s="143"/>
      <c r="SLS11" s="143"/>
      <c r="SLT11" s="143"/>
      <c r="SLU11" s="143"/>
      <c r="SLV11" s="143"/>
      <c r="SLW11" s="143"/>
      <c r="SLX11" s="143"/>
      <c r="SLY11" s="143"/>
      <c r="SLZ11" s="143"/>
      <c r="SMA11" s="143"/>
      <c r="SMB11" s="143"/>
      <c r="SMC11" s="143"/>
      <c r="SMD11" s="143"/>
      <c r="SME11" s="143"/>
      <c r="SMF11" s="143"/>
      <c r="SMG11" s="143"/>
      <c r="SMH11" s="143"/>
      <c r="SMI11" s="143"/>
      <c r="SMJ11" s="143"/>
      <c r="SMK11" s="143"/>
      <c r="SML11" s="143"/>
      <c r="SMM11" s="143"/>
      <c r="SMN11" s="143"/>
      <c r="SMO11" s="143"/>
      <c r="SMP11" s="143"/>
      <c r="SMQ11" s="143"/>
      <c r="SMR11" s="143"/>
      <c r="SMS11" s="143"/>
      <c r="SMT11" s="143"/>
      <c r="SMU11" s="143"/>
      <c r="SMV11" s="143"/>
      <c r="SMW11" s="143"/>
      <c r="SMX11" s="143"/>
      <c r="SMY11" s="143"/>
      <c r="SMZ11" s="143"/>
      <c r="SNA11" s="143"/>
      <c r="SNB11" s="143"/>
      <c r="SNC11" s="143"/>
      <c r="SND11" s="143"/>
      <c r="SNE11" s="143"/>
      <c r="SNF11" s="143"/>
      <c r="SNG11" s="143"/>
      <c r="SNH11" s="143"/>
      <c r="SNI11" s="143"/>
      <c r="SNJ11" s="143"/>
      <c r="SNK11" s="143"/>
      <c r="SNL11" s="143"/>
      <c r="SNM11" s="143"/>
      <c r="SNN11" s="143"/>
      <c r="SNO11" s="143"/>
      <c r="SNP11" s="143"/>
      <c r="SNQ11" s="143"/>
      <c r="SNR11" s="143"/>
      <c r="SNS11" s="143"/>
      <c r="SNT11" s="143"/>
      <c r="SNU11" s="143"/>
      <c r="SNV11" s="143"/>
      <c r="SNW11" s="143"/>
      <c r="SNX11" s="143"/>
      <c r="SNY11" s="143"/>
      <c r="SNZ11" s="143"/>
      <c r="SOA11" s="143"/>
      <c r="SOB11" s="143"/>
      <c r="SOC11" s="143"/>
      <c r="SOD11" s="143"/>
      <c r="SOE11" s="143"/>
      <c r="SOF11" s="143"/>
      <c r="SOG11" s="143"/>
      <c r="SOH11" s="143"/>
      <c r="SOI11" s="143"/>
      <c r="SOJ11" s="143"/>
      <c r="SOK11" s="143"/>
      <c r="SOL11" s="143"/>
      <c r="SOM11" s="143"/>
      <c r="SON11" s="143"/>
      <c r="SOO11" s="143"/>
      <c r="SOP11" s="143"/>
      <c r="SOQ11" s="143"/>
      <c r="SOR11" s="143"/>
      <c r="SOS11" s="143"/>
      <c r="SOT11" s="143"/>
      <c r="SOU11" s="143"/>
      <c r="SOV11" s="143"/>
      <c r="SOW11" s="143"/>
      <c r="SOX11" s="143"/>
      <c r="SOY11" s="143"/>
      <c r="SOZ11" s="143"/>
      <c r="SPA11" s="143"/>
      <c r="SPB11" s="143"/>
      <c r="SPC11" s="143"/>
      <c r="SPD11" s="143"/>
      <c r="SPE11" s="143"/>
      <c r="SPF11" s="143"/>
      <c r="SPG11" s="143"/>
      <c r="SPH11" s="143"/>
      <c r="SPI11" s="143"/>
      <c r="SPJ11" s="143"/>
      <c r="SPK11" s="143"/>
      <c r="SPL11" s="143"/>
      <c r="SPM11" s="143"/>
      <c r="SPN11" s="143"/>
      <c r="SPO11" s="143"/>
      <c r="SPP11" s="143"/>
      <c r="SPQ11" s="143"/>
      <c r="SPR11" s="143"/>
      <c r="SPS11" s="143"/>
      <c r="SPT11" s="143"/>
      <c r="SPU11" s="143"/>
      <c r="SPV11" s="143"/>
      <c r="SPW11" s="143"/>
      <c r="SPX11" s="143"/>
      <c r="SPY11" s="143"/>
      <c r="SPZ11" s="143"/>
      <c r="SQA11" s="143"/>
      <c r="SQB11" s="143"/>
      <c r="SQC11" s="143"/>
      <c r="SQD11" s="143"/>
      <c r="SQE11" s="143"/>
      <c r="SQF11" s="143"/>
      <c r="SQG11" s="143"/>
      <c r="SQH11" s="143"/>
      <c r="SQI11" s="143"/>
      <c r="SQJ11" s="143"/>
      <c r="SQK11" s="143"/>
      <c r="SQL11" s="143"/>
      <c r="SQM11" s="143"/>
      <c r="SQN11" s="143"/>
      <c r="SQO11" s="143"/>
      <c r="SQP11" s="143"/>
      <c r="SQQ11" s="143"/>
      <c r="SQR11" s="143"/>
      <c r="SQS11" s="143"/>
      <c r="SQT11" s="143"/>
      <c r="SQU11" s="143"/>
      <c r="SQV11" s="143"/>
      <c r="SQW11" s="143"/>
      <c r="SQX11" s="143"/>
      <c r="SQY11" s="143"/>
      <c r="SQZ11" s="143"/>
      <c r="SRA11" s="143"/>
      <c r="SRB11" s="143"/>
      <c r="SRC11" s="143"/>
      <c r="SRD11" s="143"/>
      <c r="SRE11" s="143"/>
      <c r="SRF11" s="143"/>
      <c r="SRG11" s="143"/>
      <c r="SRH11" s="143"/>
      <c r="SRI11" s="143"/>
      <c r="SRJ11" s="143"/>
      <c r="SRK11" s="143"/>
      <c r="SRL11" s="143"/>
      <c r="SRM11" s="143"/>
      <c r="SRN11" s="143"/>
      <c r="SRO11" s="143"/>
      <c r="SRP11" s="143"/>
      <c r="SRQ11" s="143"/>
      <c r="SRR11" s="143"/>
      <c r="SRS11" s="143"/>
      <c r="SRT11" s="143"/>
      <c r="SRU11" s="143"/>
      <c r="SRV11" s="143"/>
      <c r="SRW11" s="143"/>
      <c r="SRX11" s="143"/>
      <c r="SRY11" s="143"/>
      <c r="SRZ11" s="143"/>
      <c r="SSA11" s="143"/>
      <c r="SSB11" s="143"/>
      <c r="SSC11" s="143"/>
      <c r="SSD11" s="143"/>
      <c r="SSE11" s="143"/>
      <c r="SSF11" s="143"/>
      <c r="SSG11" s="143"/>
      <c r="SSH11" s="143"/>
      <c r="SSI11" s="143"/>
      <c r="SSJ11" s="143"/>
      <c r="SSK11" s="143"/>
      <c r="SSL11" s="143"/>
      <c r="SSM11" s="143"/>
      <c r="SSN11" s="143"/>
      <c r="SSO11" s="143"/>
      <c r="SSP11" s="143"/>
      <c r="SSQ11" s="143"/>
      <c r="SSR11" s="143"/>
      <c r="SSS11" s="143"/>
      <c r="SST11" s="143"/>
      <c r="SSU11" s="143"/>
      <c r="SSV11" s="143"/>
      <c r="SSW11" s="143"/>
      <c r="SSX11" s="143"/>
      <c r="SSY11" s="143"/>
      <c r="SSZ11" s="143"/>
      <c r="STA11" s="143"/>
      <c r="STB11" s="143"/>
      <c r="STC11" s="143"/>
      <c r="STD11" s="143"/>
      <c r="STE11" s="143"/>
      <c r="STF11" s="143"/>
      <c r="STG11" s="143"/>
      <c r="STH11" s="143"/>
      <c r="STI11" s="143"/>
      <c r="STJ11" s="143"/>
      <c r="STK11" s="143"/>
      <c r="STL11" s="143"/>
      <c r="STM11" s="143"/>
      <c r="STN11" s="143"/>
      <c r="STO11" s="143"/>
      <c r="STP11" s="143"/>
      <c r="STQ11" s="143"/>
      <c r="STR11" s="143"/>
      <c r="STS11" s="143"/>
      <c r="STT11" s="143"/>
      <c r="STU11" s="143"/>
      <c r="STV11" s="143"/>
      <c r="STW11" s="143"/>
      <c r="STX11" s="143"/>
      <c r="STY11" s="143"/>
      <c r="STZ11" s="143"/>
      <c r="SUA11" s="143"/>
      <c r="SUB11" s="143"/>
      <c r="SUC11" s="143"/>
      <c r="SUD11" s="143"/>
      <c r="SUE11" s="143"/>
      <c r="SUF11" s="143"/>
      <c r="SUG11" s="143"/>
      <c r="SUH11" s="143"/>
      <c r="SUI11" s="143"/>
      <c r="SUJ11" s="143"/>
      <c r="SUK11" s="143"/>
      <c r="SUL11" s="143"/>
      <c r="SUM11" s="143"/>
      <c r="SUN11" s="143"/>
      <c r="SUO11" s="143"/>
      <c r="SUP11" s="143"/>
      <c r="SUQ11" s="143"/>
      <c r="SUR11" s="143"/>
      <c r="SUS11" s="143"/>
      <c r="SUT11" s="143"/>
      <c r="SUU11" s="143"/>
      <c r="SUV11" s="143"/>
      <c r="SUW11" s="143"/>
      <c r="SUX11" s="143"/>
      <c r="SUY11" s="143"/>
      <c r="SUZ11" s="143"/>
      <c r="SVA11" s="143"/>
      <c r="SVB11" s="143"/>
      <c r="SVC11" s="143"/>
      <c r="SVD11" s="143"/>
      <c r="SVE11" s="143"/>
      <c r="SVF11" s="143"/>
      <c r="SVG11" s="143"/>
      <c r="SVH11" s="143"/>
      <c r="SVI11" s="143"/>
      <c r="SVJ11" s="143"/>
      <c r="SVK11" s="143"/>
      <c r="SVL11" s="143"/>
      <c r="SVM11" s="143"/>
      <c r="SVN11" s="143"/>
      <c r="SVO11" s="143"/>
      <c r="SVP11" s="143"/>
      <c r="SVQ11" s="143"/>
      <c r="SVR11" s="143"/>
      <c r="SVS11" s="143"/>
      <c r="SVT11" s="143"/>
      <c r="SVU11" s="143"/>
      <c r="SVV11" s="143"/>
      <c r="SVW11" s="143"/>
      <c r="SVX11" s="143"/>
      <c r="SVY11" s="143"/>
      <c r="SVZ11" s="143"/>
      <c r="SWA11" s="143"/>
      <c r="SWB11" s="143"/>
      <c r="SWC11" s="143"/>
      <c r="SWD11" s="143"/>
      <c r="SWE11" s="143"/>
      <c r="SWF11" s="143"/>
      <c r="SWG11" s="143"/>
      <c r="SWH11" s="143"/>
      <c r="SWI11" s="143"/>
      <c r="SWJ11" s="143"/>
      <c r="SWK11" s="143"/>
      <c r="SWL11" s="143"/>
      <c r="SWM11" s="143"/>
      <c r="SWN11" s="143"/>
      <c r="SWO11" s="143"/>
      <c r="SWP11" s="143"/>
      <c r="SWQ11" s="143"/>
      <c r="SWR11" s="143"/>
      <c r="SWS11" s="143"/>
      <c r="SWT11" s="143"/>
      <c r="SWU11" s="143"/>
      <c r="SWV11" s="143"/>
      <c r="SWW11" s="143"/>
      <c r="SWX11" s="143"/>
      <c r="SWY11" s="143"/>
      <c r="SWZ11" s="143"/>
      <c r="SXA11" s="143"/>
      <c r="SXB11" s="143"/>
      <c r="SXC11" s="143"/>
      <c r="SXD11" s="143"/>
      <c r="SXE11" s="143"/>
      <c r="SXF11" s="143"/>
      <c r="SXG11" s="143"/>
      <c r="SXH11" s="143"/>
      <c r="SXI11" s="143"/>
      <c r="SXJ11" s="143"/>
      <c r="SXK11" s="143"/>
      <c r="SXL11" s="143"/>
      <c r="SXM11" s="143"/>
      <c r="SXN11" s="143"/>
      <c r="SXO11" s="143"/>
      <c r="SXP11" s="143"/>
      <c r="SXQ11" s="143"/>
      <c r="SXR11" s="143"/>
      <c r="SXS11" s="143"/>
      <c r="SXT11" s="143"/>
      <c r="SXU11" s="143"/>
      <c r="SXV11" s="143"/>
      <c r="SXW11" s="143"/>
      <c r="SXX11" s="143"/>
      <c r="SXY11" s="143"/>
      <c r="SXZ11" s="143"/>
      <c r="SYA11" s="143"/>
      <c r="SYB11" s="143"/>
      <c r="SYC11" s="143"/>
      <c r="SYD11" s="143"/>
      <c r="SYE11" s="143"/>
      <c r="SYF11" s="143"/>
      <c r="SYG11" s="143"/>
      <c r="SYH11" s="143"/>
      <c r="SYI11" s="143"/>
      <c r="SYJ11" s="143"/>
      <c r="SYK11" s="143"/>
      <c r="SYL11" s="143"/>
      <c r="SYM11" s="143"/>
      <c r="SYN11" s="143"/>
      <c r="SYO11" s="143"/>
      <c r="SYP11" s="143"/>
      <c r="SYQ11" s="143"/>
      <c r="SYR11" s="143"/>
      <c r="SYS11" s="143"/>
      <c r="SYT11" s="143"/>
      <c r="SYU11" s="143"/>
      <c r="SYV11" s="143"/>
      <c r="SYW11" s="143"/>
      <c r="SYX11" s="143"/>
      <c r="SYY11" s="143"/>
      <c r="SYZ11" s="143"/>
      <c r="SZA11" s="143"/>
      <c r="SZB11" s="143"/>
      <c r="SZC11" s="143"/>
      <c r="SZD11" s="143"/>
      <c r="SZE11" s="143"/>
      <c r="SZF11" s="143"/>
      <c r="SZG11" s="143"/>
      <c r="SZH11" s="143"/>
      <c r="SZI11" s="143"/>
      <c r="SZJ11" s="143"/>
      <c r="SZK11" s="143"/>
      <c r="SZL11" s="143"/>
      <c r="SZM11" s="143"/>
      <c r="SZN11" s="143"/>
      <c r="SZO11" s="143"/>
      <c r="SZP11" s="143"/>
      <c r="SZQ11" s="143"/>
      <c r="SZR11" s="143"/>
      <c r="SZS11" s="143"/>
      <c r="SZT11" s="143"/>
      <c r="SZU11" s="143"/>
      <c r="SZV11" s="143"/>
      <c r="SZW11" s="143"/>
      <c r="SZX11" s="143"/>
      <c r="SZY11" s="143"/>
      <c r="SZZ11" s="143"/>
      <c r="TAA11" s="143"/>
      <c r="TAB11" s="143"/>
      <c r="TAC11" s="143"/>
      <c r="TAD11" s="143"/>
      <c r="TAE11" s="143"/>
      <c r="TAF11" s="143"/>
      <c r="TAG11" s="143"/>
      <c r="TAH11" s="143"/>
      <c r="TAI11" s="143"/>
      <c r="TAJ11" s="143"/>
      <c r="TAK11" s="143"/>
      <c r="TAL11" s="143"/>
      <c r="TAM11" s="143"/>
      <c r="TAN11" s="143"/>
      <c r="TAO11" s="143"/>
      <c r="TAP11" s="143"/>
      <c r="TAQ11" s="143"/>
      <c r="TAR11" s="143"/>
      <c r="TAS11" s="143"/>
      <c r="TAT11" s="143"/>
      <c r="TAU11" s="143"/>
      <c r="TAV11" s="143"/>
      <c r="TAW11" s="143"/>
      <c r="TAX11" s="143"/>
      <c r="TAY11" s="143"/>
      <c r="TAZ11" s="143"/>
      <c r="TBA11" s="143"/>
      <c r="TBB11" s="143"/>
      <c r="TBC11" s="143"/>
      <c r="TBD11" s="143"/>
      <c r="TBE11" s="143"/>
      <c r="TBF11" s="143"/>
      <c r="TBG11" s="143"/>
      <c r="TBH11" s="143"/>
      <c r="TBI11" s="143"/>
      <c r="TBJ11" s="143"/>
      <c r="TBK11" s="143"/>
      <c r="TBL11" s="143"/>
      <c r="TBM11" s="143"/>
      <c r="TBN11" s="143"/>
      <c r="TBO11" s="143"/>
      <c r="TBP11" s="143"/>
      <c r="TBQ11" s="143"/>
      <c r="TBR11" s="143"/>
      <c r="TBS11" s="143"/>
      <c r="TBT11" s="143"/>
      <c r="TBU11" s="143"/>
      <c r="TBV11" s="143"/>
      <c r="TBW11" s="143"/>
      <c r="TBX11" s="143"/>
      <c r="TBY11" s="143"/>
      <c r="TBZ11" s="143"/>
      <c r="TCA11" s="143"/>
      <c r="TCB11" s="143"/>
      <c r="TCC11" s="143"/>
      <c r="TCD11" s="143"/>
      <c r="TCE11" s="143"/>
      <c r="TCF11" s="143"/>
      <c r="TCG11" s="143"/>
      <c r="TCH11" s="143"/>
      <c r="TCI11" s="143"/>
      <c r="TCJ11" s="143"/>
      <c r="TCK11" s="143"/>
      <c r="TCL11" s="143"/>
      <c r="TCM11" s="143"/>
      <c r="TCN11" s="143"/>
      <c r="TCO11" s="143"/>
      <c r="TCP11" s="143"/>
      <c r="TCQ11" s="143"/>
      <c r="TCR11" s="143"/>
      <c r="TCS11" s="143"/>
      <c r="TCT11" s="143"/>
      <c r="TCU11" s="143"/>
      <c r="TCV11" s="143"/>
      <c r="TCW11" s="143"/>
      <c r="TCX11" s="143"/>
      <c r="TCY11" s="143"/>
      <c r="TCZ11" s="143"/>
      <c r="TDA11" s="143"/>
      <c r="TDB11" s="143"/>
      <c r="TDC11" s="143"/>
      <c r="TDD11" s="143"/>
      <c r="TDE11" s="143"/>
      <c r="TDF11" s="143"/>
      <c r="TDG11" s="143"/>
      <c r="TDH11" s="143"/>
      <c r="TDI11" s="143"/>
      <c r="TDJ11" s="143"/>
      <c r="TDK11" s="143"/>
      <c r="TDL11" s="143"/>
      <c r="TDM11" s="143"/>
      <c r="TDN11" s="143"/>
      <c r="TDO11" s="143"/>
      <c r="TDP11" s="143"/>
      <c r="TDQ11" s="143"/>
      <c r="TDR11" s="143"/>
      <c r="TDS11" s="143"/>
      <c r="TDT11" s="143"/>
      <c r="TDU11" s="143"/>
      <c r="TDV11" s="143"/>
      <c r="TDW11" s="143"/>
      <c r="TDX11" s="143"/>
      <c r="TDY11" s="143"/>
      <c r="TDZ11" s="143"/>
      <c r="TEA11" s="143"/>
      <c r="TEB11" s="143"/>
      <c r="TEC11" s="143"/>
      <c r="TED11" s="143"/>
      <c r="TEE11" s="143"/>
      <c r="TEF11" s="143"/>
      <c r="TEG11" s="143"/>
      <c r="TEH11" s="143"/>
      <c r="TEI11" s="143"/>
      <c r="TEJ11" s="143"/>
      <c r="TEK11" s="143"/>
      <c r="TEL11" s="143"/>
      <c r="TEM11" s="143"/>
      <c r="TEN11" s="143"/>
      <c r="TEO11" s="143"/>
      <c r="TEP11" s="143"/>
      <c r="TEQ11" s="143"/>
      <c r="TER11" s="143"/>
      <c r="TES11" s="143"/>
      <c r="TET11" s="143"/>
      <c r="TEU11" s="143"/>
      <c r="TEV11" s="143"/>
      <c r="TEW11" s="143"/>
      <c r="TEX11" s="143"/>
      <c r="TEY11" s="143"/>
      <c r="TEZ11" s="143"/>
      <c r="TFA11" s="143"/>
      <c r="TFB11" s="143"/>
      <c r="TFC11" s="143"/>
      <c r="TFD11" s="143"/>
      <c r="TFE11" s="143"/>
      <c r="TFF11" s="143"/>
      <c r="TFG11" s="143"/>
      <c r="TFH11" s="143"/>
      <c r="TFI11" s="143"/>
      <c r="TFJ11" s="143"/>
      <c r="TFK11" s="143"/>
      <c r="TFL11" s="143"/>
      <c r="TFM11" s="143"/>
      <c r="TFN11" s="143"/>
      <c r="TFO11" s="143"/>
      <c r="TFP11" s="143"/>
      <c r="TFQ11" s="143"/>
      <c r="TFR11" s="143"/>
      <c r="TFS11" s="143"/>
      <c r="TFT11" s="143"/>
      <c r="TFU11" s="143"/>
      <c r="TFV11" s="143"/>
      <c r="TFW11" s="143"/>
      <c r="TFX11" s="143"/>
      <c r="TFY11" s="143"/>
      <c r="TFZ11" s="143"/>
      <c r="TGA11" s="143"/>
      <c r="TGB11" s="143"/>
      <c r="TGC11" s="143"/>
      <c r="TGD11" s="143"/>
      <c r="TGE11" s="143"/>
      <c r="TGF11" s="143"/>
      <c r="TGG11" s="143"/>
      <c r="TGH11" s="143"/>
      <c r="TGI11" s="143"/>
      <c r="TGJ11" s="143"/>
      <c r="TGK11" s="143"/>
      <c r="TGL11" s="143"/>
      <c r="TGM11" s="143"/>
      <c r="TGN11" s="143"/>
      <c r="TGO11" s="143"/>
      <c r="TGP11" s="143"/>
      <c r="TGQ11" s="143"/>
      <c r="TGR11" s="143"/>
      <c r="TGS11" s="143"/>
      <c r="TGT11" s="143"/>
      <c r="TGU11" s="143"/>
      <c r="TGV11" s="143"/>
      <c r="TGW11" s="143"/>
      <c r="TGX11" s="143"/>
      <c r="TGY11" s="143"/>
      <c r="TGZ11" s="143"/>
      <c r="THA11" s="143"/>
      <c r="THB11" s="143"/>
      <c r="THC11" s="143"/>
      <c r="THD11" s="143"/>
      <c r="THE11" s="143"/>
      <c r="THF11" s="143"/>
      <c r="THG11" s="143"/>
      <c r="THH11" s="143"/>
      <c r="THI11" s="143"/>
      <c r="THJ11" s="143"/>
      <c r="THK11" s="143"/>
      <c r="THL11" s="143"/>
      <c r="THM11" s="143"/>
      <c r="THN11" s="143"/>
      <c r="THO11" s="143"/>
      <c r="THP11" s="143"/>
      <c r="THQ11" s="143"/>
      <c r="THR11" s="143"/>
      <c r="THS11" s="143"/>
      <c r="THT11" s="143"/>
      <c r="THU11" s="143"/>
      <c r="THV11" s="143"/>
      <c r="THW11" s="143"/>
      <c r="THX11" s="143"/>
      <c r="THY11" s="143"/>
      <c r="THZ11" s="143"/>
      <c r="TIA11" s="143"/>
      <c r="TIB11" s="143"/>
      <c r="TIC11" s="143"/>
      <c r="TID11" s="143"/>
      <c r="TIE11" s="143"/>
      <c r="TIF11" s="143"/>
      <c r="TIG11" s="143"/>
      <c r="TIH11" s="143"/>
      <c r="TII11" s="143"/>
      <c r="TIJ11" s="143"/>
      <c r="TIK11" s="143"/>
      <c r="TIL11" s="143"/>
      <c r="TIM11" s="143"/>
      <c r="TIN11" s="143"/>
      <c r="TIO11" s="143"/>
      <c r="TIP11" s="143"/>
      <c r="TIQ11" s="143"/>
      <c r="TIR11" s="143"/>
      <c r="TIS11" s="143"/>
      <c r="TIT11" s="143"/>
      <c r="TIU11" s="143"/>
      <c r="TIV11" s="143"/>
      <c r="TIW11" s="143"/>
      <c r="TIX11" s="143"/>
      <c r="TIY11" s="143"/>
      <c r="TIZ11" s="143"/>
      <c r="TJA11" s="143"/>
      <c r="TJB11" s="143"/>
      <c r="TJC11" s="143"/>
      <c r="TJD11" s="143"/>
      <c r="TJE11" s="143"/>
      <c r="TJF11" s="143"/>
      <c r="TJG11" s="143"/>
      <c r="TJH11" s="143"/>
      <c r="TJI11" s="143"/>
      <c r="TJJ11" s="143"/>
      <c r="TJK11" s="143"/>
      <c r="TJL11" s="143"/>
      <c r="TJM11" s="143"/>
      <c r="TJN11" s="143"/>
      <c r="TJO11" s="143"/>
      <c r="TJP11" s="143"/>
      <c r="TJQ11" s="143"/>
      <c r="TJR11" s="143"/>
      <c r="TJS11" s="143"/>
      <c r="TJT11" s="143"/>
      <c r="TJU11" s="143"/>
      <c r="TJV11" s="143"/>
      <c r="TJW11" s="143"/>
      <c r="TJX11" s="143"/>
      <c r="TJY11" s="143"/>
      <c r="TJZ11" s="143"/>
      <c r="TKA11" s="143"/>
      <c r="TKB11" s="143"/>
      <c r="TKC11" s="143"/>
      <c r="TKD11" s="143"/>
      <c r="TKE11" s="143"/>
      <c r="TKF11" s="143"/>
      <c r="TKG11" s="143"/>
      <c r="TKH11" s="143"/>
      <c r="TKI11" s="143"/>
      <c r="TKJ11" s="143"/>
      <c r="TKK11" s="143"/>
      <c r="TKL11" s="143"/>
      <c r="TKM11" s="143"/>
      <c r="TKN11" s="143"/>
      <c r="TKO11" s="143"/>
      <c r="TKP11" s="143"/>
      <c r="TKQ11" s="143"/>
      <c r="TKR11" s="143"/>
      <c r="TKS11" s="143"/>
      <c r="TKT11" s="143"/>
      <c r="TKU11" s="143"/>
      <c r="TKV11" s="143"/>
      <c r="TKW11" s="143"/>
      <c r="TKX11" s="143"/>
      <c r="TKY11" s="143"/>
      <c r="TKZ11" s="143"/>
      <c r="TLA11" s="143"/>
      <c r="TLB11" s="143"/>
      <c r="TLC11" s="143"/>
      <c r="TLD11" s="143"/>
      <c r="TLE11" s="143"/>
      <c r="TLF11" s="143"/>
      <c r="TLG11" s="143"/>
      <c r="TLH11" s="143"/>
      <c r="TLI11" s="143"/>
      <c r="TLJ11" s="143"/>
      <c r="TLK11" s="143"/>
      <c r="TLL11" s="143"/>
      <c r="TLM11" s="143"/>
      <c r="TLN11" s="143"/>
      <c r="TLO11" s="143"/>
      <c r="TLP11" s="143"/>
      <c r="TLQ11" s="143"/>
      <c r="TLR11" s="143"/>
      <c r="TLS11" s="143"/>
      <c r="TLT11" s="143"/>
      <c r="TLU11" s="143"/>
      <c r="TLV11" s="143"/>
      <c r="TLW11" s="143"/>
      <c r="TLX11" s="143"/>
      <c r="TLY11" s="143"/>
      <c r="TLZ11" s="143"/>
      <c r="TMA11" s="143"/>
      <c r="TMB11" s="143"/>
      <c r="TMC11" s="143"/>
      <c r="TMD11" s="143"/>
      <c r="TME11" s="143"/>
      <c r="TMF11" s="143"/>
      <c r="TMG11" s="143"/>
      <c r="TMH11" s="143"/>
      <c r="TMI11" s="143"/>
      <c r="TMJ11" s="143"/>
      <c r="TMK11" s="143"/>
      <c r="TML11" s="143"/>
      <c r="TMM11" s="143"/>
      <c r="TMN11" s="143"/>
      <c r="TMO11" s="143"/>
      <c r="TMP11" s="143"/>
      <c r="TMQ11" s="143"/>
      <c r="TMR11" s="143"/>
      <c r="TMS11" s="143"/>
      <c r="TMT11" s="143"/>
      <c r="TMU11" s="143"/>
      <c r="TMV11" s="143"/>
      <c r="TMW11" s="143"/>
      <c r="TMX11" s="143"/>
      <c r="TMY11" s="143"/>
      <c r="TMZ11" s="143"/>
      <c r="TNA11" s="143"/>
      <c r="TNB11" s="143"/>
      <c r="TNC11" s="143"/>
      <c r="TND11" s="143"/>
      <c r="TNE11" s="143"/>
      <c r="TNF11" s="143"/>
      <c r="TNG11" s="143"/>
      <c r="TNH11" s="143"/>
      <c r="TNI11" s="143"/>
      <c r="TNJ11" s="143"/>
      <c r="TNK11" s="143"/>
      <c r="TNL11" s="143"/>
      <c r="TNM11" s="143"/>
      <c r="TNN11" s="143"/>
      <c r="TNO11" s="143"/>
      <c r="TNP11" s="143"/>
      <c r="TNQ11" s="143"/>
      <c r="TNR11" s="143"/>
      <c r="TNS11" s="143"/>
      <c r="TNT11" s="143"/>
      <c r="TNU11" s="143"/>
      <c r="TNV11" s="143"/>
      <c r="TNW11" s="143"/>
      <c r="TNX11" s="143"/>
      <c r="TNY11" s="143"/>
      <c r="TNZ11" s="143"/>
      <c r="TOA11" s="143"/>
      <c r="TOB11" s="143"/>
      <c r="TOC11" s="143"/>
      <c r="TOD11" s="143"/>
      <c r="TOE11" s="143"/>
      <c r="TOF11" s="143"/>
      <c r="TOG11" s="143"/>
      <c r="TOH11" s="143"/>
      <c r="TOI11" s="143"/>
      <c r="TOJ11" s="143"/>
      <c r="TOK11" s="143"/>
      <c r="TOL11" s="143"/>
      <c r="TOM11" s="143"/>
      <c r="TON11" s="143"/>
      <c r="TOO11" s="143"/>
      <c r="TOP11" s="143"/>
      <c r="TOQ11" s="143"/>
      <c r="TOR11" s="143"/>
      <c r="TOS11" s="143"/>
      <c r="TOT11" s="143"/>
      <c r="TOU11" s="143"/>
      <c r="TOV11" s="143"/>
      <c r="TOW11" s="143"/>
      <c r="TOX11" s="143"/>
      <c r="TOY11" s="143"/>
      <c r="TOZ11" s="143"/>
      <c r="TPA11" s="143"/>
      <c r="TPB11" s="143"/>
      <c r="TPC11" s="143"/>
      <c r="TPD11" s="143"/>
      <c r="TPE11" s="143"/>
      <c r="TPF11" s="143"/>
      <c r="TPG11" s="143"/>
      <c r="TPH11" s="143"/>
      <c r="TPI11" s="143"/>
      <c r="TPJ11" s="143"/>
      <c r="TPK11" s="143"/>
      <c r="TPL11" s="143"/>
      <c r="TPM11" s="143"/>
      <c r="TPN11" s="143"/>
      <c r="TPO11" s="143"/>
      <c r="TPP11" s="143"/>
      <c r="TPQ11" s="143"/>
      <c r="TPR11" s="143"/>
      <c r="TPS11" s="143"/>
      <c r="TPT11" s="143"/>
      <c r="TPU11" s="143"/>
      <c r="TPV11" s="143"/>
      <c r="TPW11" s="143"/>
      <c r="TPX11" s="143"/>
      <c r="TPY11" s="143"/>
      <c r="TPZ11" s="143"/>
      <c r="TQA11" s="143"/>
      <c r="TQB11" s="143"/>
      <c r="TQC11" s="143"/>
      <c r="TQD11" s="143"/>
      <c r="TQE11" s="143"/>
      <c r="TQF11" s="143"/>
      <c r="TQG11" s="143"/>
      <c r="TQH11" s="143"/>
      <c r="TQI11" s="143"/>
      <c r="TQJ11" s="143"/>
      <c r="TQK11" s="143"/>
      <c r="TQL11" s="143"/>
      <c r="TQM11" s="143"/>
      <c r="TQN11" s="143"/>
      <c r="TQO11" s="143"/>
      <c r="TQP11" s="143"/>
      <c r="TQQ11" s="143"/>
      <c r="TQR11" s="143"/>
      <c r="TQS11" s="143"/>
      <c r="TQT11" s="143"/>
      <c r="TQU11" s="143"/>
      <c r="TQV11" s="143"/>
      <c r="TQW11" s="143"/>
      <c r="TQX11" s="143"/>
      <c r="TQY11" s="143"/>
      <c r="TQZ11" s="143"/>
      <c r="TRA11" s="143"/>
      <c r="TRB11" s="143"/>
      <c r="TRC11" s="143"/>
      <c r="TRD11" s="143"/>
      <c r="TRE11" s="143"/>
      <c r="TRF11" s="143"/>
      <c r="TRG11" s="143"/>
      <c r="TRH11" s="143"/>
      <c r="TRI11" s="143"/>
      <c r="TRJ11" s="143"/>
      <c r="TRK11" s="143"/>
      <c r="TRL11" s="143"/>
      <c r="TRM11" s="143"/>
      <c r="TRN11" s="143"/>
      <c r="TRO11" s="143"/>
      <c r="TRP11" s="143"/>
      <c r="TRQ11" s="143"/>
      <c r="TRR11" s="143"/>
      <c r="TRS11" s="143"/>
      <c r="TRT11" s="143"/>
      <c r="TRU11" s="143"/>
      <c r="TRV11" s="143"/>
      <c r="TRW11" s="143"/>
      <c r="TRX11" s="143"/>
      <c r="TRY11" s="143"/>
      <c r="TRZ11" s="143"/>
      <c r="TSA11" s="143"/>
      <c r="TSB11" s="143"/>
      <c r="TSC11" s="143"/>
      <c r="TSD11" s="143"/>
      <c r="TSE11" s="143"/>
      <c r="TSF11" s="143"/>
      <c r="TSG11" s="143"/>
      <c r="TSH11" s="143"/>
      <c r="TSI11" s="143"/>
      <c r="TSJ11" s="143"/>
      <c r="TSK11" s="143"/>
      <c r="TSL11" s="143"/>
      <c r="TSM11" s="143"/>
      <c r="TSN11" s="143"/>
      <c r="TSO11" s="143"/>
      <c r="TSP11" s="143"/>
      <c r="TSQ11" s="143"/>
      <c r="TSR11" s="143"/>
      <c r="TSS11" s="143"/>
      <c r="TST11" s="143"/>
      <c r="TSU11" s="143"/>
      <c r="TSV11" s="143"/>
      <c r="TSW11" s="143"/>
      <c r="TSX11" s="143"/>
      <c r="TSY11" s="143"/>
      <c r="TSZ11" s="143"/>
      <c r="TTA11" s="143"/>
      <c r="TTB11" s="143"/>
      <c r="TTC11" s="143"/>
      <c r="TTD11" s="143"/>
      <c r="TTE11" s="143"/>
      <c r="TTF11" s="143"/>
      <c r="TTG11" s="143"/>
      <c r="TTH11" s="143"/>
      <c r="TTI11" s="143"/>
      <c r="TTJ11" s="143"/>
      <c r="TTK11" s="143"/>
      <c r="TTL11" s="143"/>
      <c r="TTM11" s="143"/>
      <c r="TTN11" s="143"/>
      <c r="TTO11" s="143"/>
      <c r="TTP11" s="143"/>
      <c r="TTQ11" s="143"/>
      <c r="TTR11" s="143"/>
      <c r="TTS11" s="143"/>
      <c r="TTT11" s="143"/>
      <c r="TTU11" s="143"/>
      <c r="TTV11" s="143"/>
      <c r="TTW11" s="143"/>
      <c r="TTX11" s="143"/>
      <c r="TTY11" s="143"/>
      <c r="TTZ11" s="143"/>
      <c r="TUA11" s="143"/>
      <c r="TUB11" s="143"/>
      <c r="TUC11" s="143"/>
      <c r="TUD11" s="143"/>
      <c r="TUE11" s="143"/>
      <c r="TUF11" s="143"/>
      <c r="TUG11" s="143"/>
      <c r="TUH11" s="143"/>
      <c r="TUI11" s="143"/>
      <c r="TUJ11" s="143"/>
      <c r="TUK11" s="143"/>
      <c r="TUL11" s="143"/>
      <c r="TUM11" s="143"/>
      <c r="TUN11" s="143"/>
      <c r="TUO11" s="143"/>
      <c r="TUP11" s="143"/>
      <c r="TUQ11" s="143"/>
      <c r="TUR11" s="143"/>
      <c r="TUS11" s="143"/>
      <c r="TUT11" s="143"/>
      <c r="TUU11" s="143"/>
      <c r="TUV11" s="143"/>
      <c r="TUW11" s="143"/>
      <c r="TUX11" s="143"/>
      <c r="TUY11" s="143"/>
      <c r="TUZ11" s="143"/>
      <c r="TVA11" s="143"/>
      <c r="TVB11" s="143"/>
      <c r="TVC11" s="143"/>
      <c r="TVD11" s="143"/>
      <c r="TVE11" s="143"/>
      <c r="TVF11" s="143"/>
      <c r="TVG11" s="143"/>
      <c r="TVH11" s="143"/>
      <c r="TVI11" s="143"/>
      <c r="TVJ11" s="143"/>
      <c r="TVK11" s="143"/>
      <c r="TVL11" s="143"/>
      <c r="TVM11" s="143"/>
      <c r="TVN11" s="143"/>
      <c r="TVO11" s="143"/>
      <c r="TVP11" s="143"/>
      <c r="TVQ11" s="143"/>
      <c r="TVR11" s="143"/>
      <c r="TVS11" s="143"/>
      <c r="TVT11" s="143"/>
      <c r="TVU11" s="143"/>
      <c r="TVV11" s="143"/>
      <c r="TVW11" s="143"/>
      <c r="TVX11" s="143"/>
      <c r="TVY11" s="143"/>
      <c r="TVZ11" s="143"/>
      <c r="TWA11" s="143"/>
      <c r="TWB11" s="143"/>
      <c r="TWC11" s="143"/>
      <c r="TWD11" s="143"/>
      <c r="TWE11" s="143"/>
      <c r="TWF11" s="143"/>
      <c r="TWG11" s="143"/>
      <c r="TWH11" s="143"/>
      <c r="TWI11" s="143"/>
      <c r="TWJ11" s="143"/>
      <c r="TWK11" s="143"/>
      <c r="TWL11" s="143"/>
      <c r="TWM11" s="143"/>
      <c r="TWN11" s="143"/>
      <c r="TWO11" s="143"/>
      <c r="TWP11" s="143"/>
      <c r="TWQ11" s="143"/>
      <c r="TWR11" s="143"/>
      <c r="TWS11" s="143"/>
      <c r="TWT11" s="143"/>
      <c r="TWU11" s="143"/>
      <c r="TWV11" s="143"/>
      <c r="TWW11" s="143"/>
      <c r="TWX11" s="143"/>
      <c r="TWY11" s="143"/>
      <c r="TWZ11" s="143"/>
      <c r="TXA11" s="143"/>
      <c r="TXB11" s="143"/>
      <c r="TXC11" s="143"/>
      <c r="TXD11" s="143"/>
      <c r="TXE11" s="143"/>
      <c r="TXF11" s="143"/>
      <c r="TXG11" s="143"/>
      <c r="TXH11" s="143"/>
      <c r="TXI11" s="143"/>
      <c r="TXJ11" s="143"/>
      <c r="TXK11" s="143"/>
      <c r="TXL11" s="143"/>
      <c r="TXM11" s="143"/>
      <c r="TXN11" s="143"/>
      <c r="TXO11" s="143"/>
      <c r="TXP11" s="143"/>
      <c r="TXQ11" s="143"/>
      <c r="TXR11" s="143"/>
      <c r="TXS11" s="143"/>
      <c r="TXT11" s="143"/>
      <c r="TXU11" s="143"/>
      <c r="TXV11" s="143"/>
      <c r="TXW11" s="143"/>
      <c r="TXX11" s="143"/>
      <c r="TXY11" s="143"/>
      <c r="TXZ11" s="143"/>
      <c r="TYA11" s="143"/>
      <c r="TYB11" s="143"/>
      <c r="TYC11" s="143"/>
      <c r="TYD11" s="143"/>
      <c r="TYE11" s="143"/>
      <c r="TYF11" s="143"/>
      <c r="TYG11" s="143"/>
      <c r="TYH11" s="143"/>
      <c r="TYI11" s="143"/>
      <c r="TYJ11" s="143"/>
      <c r="TYK11" s="143"/>
      <c r="TYL11" s="143"/>
      <c r="TYM11" s="143"/>
      <c r="TYN11" s="143"/>
      <c r="TYO11" s="143"/>
      <c r="TYP11" s="143"/>
      <c r="TYQ11" s="143"/>
      <c r="TYR11" s="143"/>
      <c r="TYS11" s="143"/>
      <c r="TYT11" s="143"/>
      <c r="TYU11" s="143"/>
      <c r="TYV11" s="143"/>
      <c r="TYW11" s="143"/>
      <c r="TYX11" s="143"/>
      <c r="TYY11" s="143"/>
      <c r="TYZ11" s="143"/>
      <c r="TZA11" s="143"/>
      <c r="TZB11" s="143"/>
      <c r="TZC11" s="143"/>
      <c r="TZD11" s="143"/>
      <c r="TZE11" s="143"/>
      <c r="TZF11" s="143"/>
      <c r="TZG11" s="143"/>
      <c r="TZH11" s="143"/>
      <c r="TZI11" s="143"/>
      <c r="TZJ11" s="143"/>
      <c r="TZK11" s="143"/>
      <c r="TZL11" s="143"/>
      <c r="TZM11" s="143"/>
      <c r="TZN11" s="143"/>
      <c r="TZO11" s="143"/>
      <c r="TZP11" s="143"/>
      <c r="TZQ11" s="143"/>
      <c r="TZR11" s="143"/>
      <c r="TZS11" s="143"/>
      <c r="TZT11" s="143"/>
      <c r="TZU11" s="143"/>
      <c r="TZV11" s="143"/>
      <c r="TZW11" s="143"/>
      <c r="TZX11" s="143"/>
      <c r="TZY11" s="143"/>
      <c r="TZZ11" s="143"/>
      <c r="UAA11" s="143"/>
      <c r="UAB11" s="143"/>
      <c r="UAC11" s="143"/>
      <c r="UAD11" s="143"/>
      <c r="UAE11" s="143"/>
      <c r="UAF11" s="143"/>
      <c r="UAG11" s="143"/>
      <c r="UAH11" s="143"/>
      <c r="UAI11" s="143"/>
      <c r="UAJ11" s="143"/>
      <c r="UAK11" s="143"/>
      <c r="UAL11" s="143"/>
      <c r="UAM11" s="143"/>
      <c r="UAN11" s="143"/>
      <c r="UAO11" s="143"/>
      <c r="UAP11" s="143"/>
      <c r="UAQ11" s="143"/>
      <c r="UAR11" s="143"/>
      <c r="UAS11" s="143"/>
      <c r="UAT11" s="143"/>
      <c r="UAU11" s="143"/>
      <c r="UAV11" s="143"/>
      <c r="UAW11" s="143"/>
      <c r="UAX11" s="143"/>
      <c r="UAY11" s="143"/>
      <c r="UAZ11" s="143"/>
      <c r="UBA11" s="143"/>
      <c r="UBB11" s="143"/>
      <c r="UBC11" s="143"/>
      <c r="UBD11" s="143"/>
      <c r="UBE11" s="143"/>
      <c r="UBF11" s="143"/>
      <c r="UBG11" s="143"/>
      <c r="UBH11" s="143"/>
      <c r="UBI11" s="143"/>
      <c r="UBJ11" s="143"/>
      <c r="UBK11" s="143"/>
      <c r="UBL11" s="143"/>
      <c r="UBM11" s="143"/>
      <c r="UBN11" s="143"/>
      <c r="UBO11" s="143"/>
      <c r="UBP11" s="143"/>
      <c r="UBQ11" s="143"/>
      <c r="UBR11" s="143"/>
      <c r="UBS11" s="143"/>
      <c r="UBT11" s="143"/>
      <c r="UBU11" s="143"/>
      <c r="UBV11" s="143"/>
      <c r="UBW11" s="143"/>
      <c r="UBX11" s="143"/>
      <c r="UBY11" s="143"/>
      <c r="UBZ11" s="143"/>
      <c r="UCA11" s="143"/>
      <c r="UCB11" s="143"/>
      <c r="UCC11" s="143"/>
      <c r="UCD11" s="143"/>
      <c r="UCE11" s="143"/>
      <c r="UCF11" s="143"/>
      <c r="UCG11" s="143"/>
      <c r="UCH11" s="143"/>
      <c r="UCI11" s="143"/>
      <c r="UCJ11" s="143"/>
      <c r="UCK11" s="143"/>
      <c r="UCL11" s="143"/>
      <c r="UCM11" s="143"/>
      <c r="UCN11" s="143"/>
      <c r="UCO11" s="143"/>
      <c r="UCP11" s="143"/>
      <c r="UCQ11" s="143"/>
      <c r="UCR11" s="143"/>
      <c r="UCS11" s="143"/>
      <c r="UCT11" s="143"/>
      <c r="UCU11" s="143"/>
      <c r="UCV11" s="143"/>
      <c r="UCW11" s="143"/>
      <c r="UCX11" s="143"/>
      <c r="UCY11" s="143"/>
      <c r="UCZ11" s="143"/>
      <c r="UDA11" s="143"/>
      <c r="UDB11" s="143"/>
      <c r="UDC11" s="143"/>
      <c r="UDD11" s="143"/>
      <c r="UDE11" s="143"/>
      <c r="UDF11" s="143"/>
      <c r="UDG11" s="143"/>
      <c r="UDH11" s="143"/>
      <c r="UDI11" s="143"/>
      <c r="UDJ11" s="143"/>
      <c r="UDK11" s="143"/>
      <c r="UDL11" s="143"/>
      <c r="UDM11" s="143"/>
      <c r="UDN11" s="143"/>
      <c r="UDO11" s="143"/>
      <c r="UDP11" s="143"/>
      <c r="UDQ11" s="143"/>
      <c r="UDR11" s="143"/>
      <c r="UDS11" s="143"/>
      <c r="UDT11" s="143"/>
      <c r="UDU11" s="143"/>
      <c r="UDV11" s="143"/>
      <c r="UDW11" s="143"/>
      <c r="UDX11" s="143"/>
      <c r="UDY11" s="143"/>
      <c r="UDZ11" s="143"/>
      <c r="UEA11" s="143"/>
      <c r="UEB11" s="143"/>
      <c r="UEC11" s="143"/>
      <c r="UED11" s="143"/>
      <c r="UEE11" s="143"/>
      <c r="UEF11" s="143"/>
      <c r="UEG11" s="143"/>
      <c r="UEH11" s="143"/>
      <c r="UEI11" s="143"/>
      <c r="UEJ11" s="143"/>
      <c r="UEK11" s="143"/>
      <c r="UEL11" s="143"/>
      <c r="UEM11" s="143"/>
      <c r="UEN11" s="143"/>
      <c r="UEO11" s="143"/>
      <c r="UEP11" s="143"/>
      <c r="UEQ11" s="143"/>
      <c r="UER11" s="143"/>
      <c r="UES11" s="143"/>
      <c r="UET11" s="143"/>
      <c r="UEU11" s="143"/>
      <c r="UEV11" s="143"/>
      <c r="UEW11" s="143"/>
      <c r="UEX11" s="143"/>
      <c r="UEY11" s="143"/>
      <c r="UEZ11" s="143"/>
      <c r="UFA11" s="143"/>
      <c r="UFB11" s="143"/>
      <c r="UFC11" s="143"/>
      <c r="UFD11" s="143"/>
      <c r="UFE11" s="143"/>
      <c r="UFF11" s="143"/>
      <c r="UFG11" s="143"/>
      <c r="UFH11" s="143"/>
      <c r="UFI11" s="143"/>
      <c r="UFJ11" s="143"/>
      <c r="UFK11" s="143"/>
      <c r="UFL11" s="143"/>
      <c r="UFM11" s="143"/>
      <c r="UFN11" s="143"/>
      <c r="UFO11" s="143"/>
      <c r="UFP11" s="143"/>
      <c r="UFQ11" s="143"/>
      <c r="UFR11" s="143"/>
      <c r="UFS11" s="143"/>
      <c r="UFT11" s="143"/>
      <c r="UFU11" s="143"/>
      <c r="UFV11" s="143"/>
      <c r="UFW11" s="143"/>
      <c r="UFX11" s="143"/>
      <c r="UFY11" s="143"/>
      <c r="UFZ11" s="143"/>
      <c r="UGA11" s="143"/>
      <c r="UGB11" s="143"/>
      <c r="UGC11" s="143"/>
      <c r="UGD11" s="143"/>
      <c r="UGE11" s="143"/>
      <c r="UGF11" s="143"/>
      <c r="UGG11" s="143"/>
      <c r="UGH11" s="143"/>
      <c r="UGI11" s="143"/>
      <c r="UGJ11" s="143"/>
      <c r="UGK11" s="143"/>
      <c r="UGL11" s="143"/>
      <c r="UGM11" s="143"/>
      <c r="UGN11" s="143"/>
      <c r="UGO11" s="143"/>
      <c r="UGP11" s="143"/>
      <c r="UGQ11" s="143"/>
      <c r="UGR11" s="143"/>
      <c r="UGS11" s="143"/>
      <c r="UGT11" s="143"/>
      <c r="UGU11" s="143"/>
      <c r="UGV11" s="143"/>
      <c r="UGW11" s="143"/>
      <c r="UGX11" s="143"/>
      <c r="UGY11" s="143"/>
      <c r="UGZ11" s="143"/>
      <c r="UHA11" s="143"/>
      <c r="UHB11" s="143"/>
      <c r="UHC11" s="143"/>
      <c r="UHD11" s="143"/>
      <c r="UHE11" s="143"/>
      <c r="UHF11" s="143"/>
      <c r="UHG11" s="143"/>
      <c r="UHH11" s="143"/>
      <c r="UHI11" s="143"/>
      <c r="UHJ11" s="143"/>
      <c r="UHK11" s="143"/>
      <c r="UHL11" s="143"/>
      <c r="UHM11" s="143"/>
      <c r="UHN11" s="143"/>
      <c r="UHO11" s="143"/>
      <c r="UHP11" s="143"/>
      <c r="UHQ11" s="143"/>
      <c r="UHR11" s="143"/>
      <c r="UHS11" s="143"/>
      <c r="UHT11" s="143"/>
      <c r="UHU11" s="143"/>
      <c r="UHV11" s="143"/>
      <c r="UHW11" s="143"/>
      <c r="UHX11" s="143"/>
      <c r="UHY11" s="143"/>
      <c r="UHZ11" s="143"/>
      <c r="UIA11" s="143"/>
      <c r="UIB11" s="143"/>
      <c r="UIC11" s="143"/>
      <c r="UID11" s="143"/>
      <c r="UIE11" s="143"/>
      <c r="UIF11" s="143"/>
      <c r="UIG11" s="143"/>
      <c r="UIH11" s="143"/>
      <c r="UII11" s="143"/>
      <c r="UIJ11" s="143"/>
      <c r="UIK11" s="143"/>
      <c r="UIL11" s="143"/>
      <c r="UIM11" s="143"/>
      <c r="UIN11" s="143"/>
      <c r="UIO11" s="143"/>
      <c r="UIP11" s="143"/>
      <c r="UIQ11" s="143"/>
      <c r="UIR11" s="143"/>
      <c r="UIS11" s="143"/>
      <c r="UIT11" s="143"/>
      <c r="UIU11" s="143"/>
      <c r="UIV11" s="143"/>
      <c r="UIW11" s="143"/>
      <c r="UIX11" s="143"/>
      <c r="UIY11" s="143"/>
      <c r="UIZ11" s="143"/>
      <c r="UJA11" s="143"/>
      <c r="UJB11" s="143"/>
      <c r="UJC11" s="143"/>
      <c r="UJD11" s="143"/>
      <c r="UJE11" s="143"/>
      <c r="UJF11" s="143"/>
      <c r="UJG11" s="143"/>
      <c r="UJH11" s="143"/>
      <c r="UJI11" s="143"/>
      <c r="UJJ11" s="143"/>
      <c r="UJK11" s="143"/>
      <c r="UJL11" s="143"/>
      <c r="UJM11" s="143"/>
      <c r="UJN11" s="143"/>
      <c r="UJO11" s="143"/>
      <c r="UJP11" s="143"/>
      <c r="UJQ11" s="143"/>
      <c r="UJR11" s="143"/>
      <c r="UJS11" s="143"/>
      <c r="UJT11" s="143"/>
      <c r="UJU11" s="143"/>
      <c r="UJV11" s="143"/>
      <c r="UJW11" s="143"/>
      <c r="UJX11" s="143"/>
      <c r="UJY11" s="143"/>
      <c r="UJZ11" s="143"/>
      <c r="UKA11" s="143"/>
      <c r="UKB11" s="143"/>
      <c r="UKC11" s="143"/>
      <c r="UKD11" s="143"/>
      <c r="UKE11" s="143"/>
      <c r="UKF11" s="143"/>
      <c r="UKG11" s="143"/>
      <c r="UKH11" s="143"/>
      <c r="UKI11" s="143"/>
      <c r="UKJ11" s="143"/>
      <c r="UKK11" s="143"/>
      <c r="UKL11" s="143"/>
      <c r="UKM11" s="143"/>
      <c r="UKN11" s="143"/>
      <c r="UKO11" s="143"/>
      <c r="UKP11" s="143"/>
      <c r="UKQ11" s="143"/>
      <c r="UKR11" s="143"/>
      <c r="UKS11" s="143"/>
      <c r="UKT11" s="143"/>
      <c r="UKU11" s="143"/>
      <c r="UKV11" s="143"/>
      <c r="UKW11" s="143"/>
      <c r="UKX11" s="143"/>
      <c r="UKY11" s="143"/>
      <c r="UKZ11" s="143"/>
      <c r="ULA11" s="143"/>
      <c r="ULB11" s="143"/>
      <c r="ULC11" s="143"/>
      <c r="ULD11" s="143"/>
      <c r="ULE11" s="143"/>
      <c r="ULF11" s="143"/>
      <c r="ULG11" s="143"/>
      <c r="ULH11" s="143"/>
      <c r="ULI11" s="143"/>
      <c r="ULJ11" s="143"/>
      <c r="ULK11" s="143"/>
      <c r="ULL11" s="143"/>
      <c r="ULM11" s="143"/>
      <c r="ULN11" s="143"/>
      <c r="ULO11" s="143"/>
      <c r="ULP11" s="143"/>
      <c r="ULQ11" s="143"/>
      <c r="ULR11" s="143"/>
      <c r="ULS11" s="143"/>
      <c r="ULT11" s="143"/>
      <c r="ULU11" s="143"/>
      <c r="ULV11" s="143"/>
      <c r="ULW11" s="143"/>
      <c r="ULX11" s="143"/>
      <c r="ULY11" s="143"/>
      <c r="ULZ11" s="143"/>
      <c r="UMA11" s="143"/>
      <c r="UMB11" s="143"/>
      <c r="UMC11" s="143"/>
      <c r="UMD11" s="143"/>
      <c r="UME11" s="143"/>
      <c r="UMF11" s="143"/>
      <c r="UMG11" s="143"/>
      <c r="UMH11" s="143"/>
      <c r="UMI11" s="143"/>
      <c r="UMJ11" s="143"/>
      <c r="UMK11" s="143"/>
      <c r="UML11" s="143"/>
      <c r="UMM11" s="143"/>
      <c r="UMN11" s="143"/>
      <c r="UMO11" s="143"/>
      <c r="UMP11" s="143"/>
      <c r="UMQ11" s="143"/>
      <c r="UMR11" s="143"/>
      <c r="UMS11" s="143"/>
      <c r="UMT11" s="143"/>
      <c r="UMU11" s="143"/>
      <c r="UMV11" s="143"/>
      <c r="UMW11" s="143"/>
      <c r="UMX11" s="143"/>
      <c r="UMY11" s="143"/>
      <c r="UMZ11" s="143"/>
      <c r="UNA11" s="143"/>
      <c r="UNB11" s="143"/>
      <c r="UNC11" s="143"/>
      <c r="UND11" s="143"/>
      <c r="UNE11" s="143"/>
      <c r="UNF11" s="143"/>
      <c r="UNG11" s="143"/>
      <c r="UNH11" s="143"/>
      <c r="UNI11" s="143"/>
      <c r="UNJ11" s="143"/>
      <c r="UNK11" s="143"/>
      <c r="UNL11" s="143"/>
      <c r="UNM11" s="143"/>
      <c r="UNN11" s="143"/>
      <c r="UNO11" s="143"/>
      <c r="UNP11" s="143"/>
      <c r="UNQ11" s="143"/>
      <c r="UNR11" s="143"/>
      <c r="UNS11" s="143"/>
      <c r="UNT11" s="143"/>
      <c r="UNU11" s="143"/>
      <c r="UNV11" s="143"/>
      <c r="UNW11" s="143"/>
      <c r="UNX11" s="143"/>
      <c r="UNY11" s="143"/>
      <c r="UNZ11" s="143"/>
      <c r="UOA11" s="143"/>
      <c r="UOB11" s="143"/>
      <c r="UOC11" s="143"/>
      <c r="UOD11" s="143"/>
      <c r="UOE11" s="143"/>
      <c r="UOF11" s="143"/>
      <c r="UOG11" s="143"/>
      <c r="UOH11" s="143"/>
      <c r="UOI11" s="143"/>
      <c r="UOJ11" s="143"/>
      <c r="UOK11" s="143"/>
      <c r="UOL11" s="143"/>
      <c r="UOM11" s="143"/>
      <c r="UON11" s="143"/>
      <c r="UOO11" s="143"/>
      <c r="UOP11" s="143"/>
      <c r="UOQ11" s="143"/>
      <c r="UOR11" s="143"/>
      <c r="UOS11" s="143"/>
      <c r="UOT11" s="143"/>
      <c r="UOU11" s="143"/>
      <c r="UOV11" s="143"/>
      <c r="UOW11" s="143"/>
      <c r="UOX11" s="143"/>
      <c r="UOY11" s="143"/>
      <c r="UOZ11" s="143"/>
      <c r="UPA11" s="143"/>
      <c r="UPB11" s="143"/>
      <c r="UPC11" s="143"/>
      <c r="UPD11" s="143"/>
      <c r="UPE11" s="143"/>
      <c r="UPF11" s="143"/>
      <c r="UPG11" s="143"/>
      <c r="UPH11" s="143"/>
      <c r="UPI11" s="143"/>
      <c r="UPJ11" s="143"/>
      <c r="UPK11" s="143"/>
      <c r="UPL11" s="143"/>
      <c r="UPM11" s="143"/>
      <c r="UPN11" s="143"/>
      <c r="UPO11" s="143"/>
      <c r="UPP11" s="143"/>
      <c r="UPQ11" s="143"/>
      <c r="UPR11" s="143"/>
      <c r="UPS11" s="143"/>
      <c r="UPT11" s="143"/>
      <c r="UPU11" s="143"/>
      <c r="UPV11" s="143"/>
      <c r="UPW11" s="143"/>
      <c r="UPX11" s="143"/>
      <c r="UPY11" s="143"/>
      <c r="UPZ11" s="143"/>
      <c r="UQA11" s="143"/>
      <c r="UQB11" s="143"/>
      <c r="UQC11" s="143"/>
      <c r="UQD11" s="143"/>
      <c r="UQE11" s="143"/>
      <c r="UQF11" s="143"/>
      <c r="UQG11" s="143"/>
      <c r="UQH11" s="143"/>
      <c r="UQI11" s="143"/>
      <c r="UQJ11" s="143"/>
      <c r="UQK11" s="143"/>
      <c r="UQL11" s="143"/>
      <c r="UQM11" s="143"/>
      <c r="UQN11" s="143"/>
      <c r="UQO11" s="143"/>
      <c r="UQP11" s="143"/>
      <c r="UQQ11" s="143"/>
      <c r="UQR11" s="143"/>
      <c r="UQS11" s="143"/>
      <c r="UQT11" s="143"/>
      <c r="UQU11" s="143"/>
      <c r="UQV11" s="143"/>
      <c r="UQW11" s="143"/>
      <c r="UQX11" s="143"/>
      <c r="UQY11" s="143"/>
      <c r="UQZ11" s="143"/>
      <c r="URA11" s="143"/>
      <c r="URB11" s="143"/>
      <c r="URC11" s="143"/>
      <c r="URD11" s="143"/>
      <c r="URE11" s="143"/>
      <c r="URF11" s="143"/>
      <c r="URG11" s="143"/>
      <c r="URH11" s="143"/>
      <c r="URI11" s="143"/>
      <c r="URJ11" s="143"/>
      <c r="URK11" s="143"/>
      <c r="URL11" s="143"/>
      <c r="URM11" s="143"/>
      <c r="URN11" s="143"/>
      <c r="URO11" s="143"/>
      <c r="URP11" s="143"/>
      <c r="URQ11" s="143"/>
      <c r="URR11" s="143"/>
      <c r="URS11" s="143"/>
      <c r="URT11" s="143"/>
      <c r="URU11" s="143"/>
      <c r="URV11" s="143"/>
      <c r="URW11" s="143"/>
      <c r="URX11" s="143"/>
      <c r="URY11" s="143"/>
      <c r="URZ11" s="143"/>
      <c r="USA11" s="143"/>
      <c r="USB11" s="143"/>
      <c r="USC11" s="143"/>
      <c r="USD11" s="143"/>
      <c r="USE11" s="143"/>
      <c r="USF11" s="143"/>
      <c r="USG11" s="143"/>
      <c r="USH11" s="143"/>
      <c r="USI11" s="143"/>
      <c r="USJ11" s="143"/>
      <c r="USK11" s="143"/>
      <c r="USL11" s="143"/>
      <c r="USM11" s="143"/>
      <c r="USN11" s="143"/>
      <c r="USO11" s="143"/>
      <c r="USP11" s="143"/>
      <c r="USQ11" s="143"/>
      <c r="USR11" s="143"/>
      <c r="USS11" s="143"/>
      <c r="UST11" s="143"/>
      <c r="USU11" s="143"/>
      <c r="USV11" s="143"/>
      <c r="USW11" s="143"/>
      <c r="USX11" s="143"/>
      <c r="USY11" s="143"/>
      <c r="USZ11" s="143"/>
      <c r="UTA11" s="143"/>
      <c r="UTB11" s="143"/>
      <c r="UTC11" s="143"/>
      <c r="UTD11" s="143"/>
      <c r="UTE11" s="143"/>
      <c r="UTF11" s="143"/>
      <c r="UTG11" s="143"/>
      <c r="UTH11" s="143"/>
      <c r="UTI11" s="143"/>
      <c r="UTJ11" s="143"/>
      <c r="UTK11" s="143"/>
      <c r="UTL11" s="143"/>
      <c r="UTM11" s="143"/>
      <c r="UTN11" s="143"/>
      <c r="UTO11" s="143"/>
      <c r="UTP11" s="143"/>
      <c r="UTQ11" s="143"/>
      <c r="UTR11" s="143"/>
      <c r="UTS11" s="143"/>
      <c r="UTT11" s="143"/>
      <c r="UTU11" s="143"/>
      <c r="UTV11" s="143"/>
      <c r="UTW11" s="143"/>
      <c r="UTX11" s="143"/>
      <c r="UTY11" s="143"/>
      <c r="UTZ11" s="143"/>
      <c r="UUA11" s="143"/>
      <c r="UUB11" s="143"/>
      <c r="UUC11" s="143"/>
      <c r="UUD11" s="143"/>
      <c r="UUE11" s="143"/>
      <c r="UUF11" s="143"/>
      <c r="UUG11" s="143"/>
      <c r="UUH11" s="143"/>
      <c r="UUI11" s="143"/>
      <c r="UUJ11" s="143"/>
      <c r="UUK11" s="143"/>
      <c r="UUL11" s="143"/>
      <c r="UUM11" s="143"/>
      <c r="UUN11" s="143"/>
      <c r="UUO11" s="143"/>
      <c r="UUP11" s="143"/>
      <c r="UUQ11" s="143"/>
      <c r="UUR11" s="143"/>
      <c r="UUS11" s="143"/>
      <c r="UUT11" s="143"/>
      <c r="UUU11" s="143"/>
      <c r="UUV11" s="143"/>
      <c r="UUW11" s="143"/>
      <c r="UUX11" s="143"/>
      <c r="UUY11" s="143"/>
      <c r="UUZ11" s="143"/>
      <c r="UVA11" s="143"/>
      <c r="UVB11" s="143"/>
      <c r="UVC11" s="143"/>
      <c r="UVD11" s="143"/>
      <c r="UVE11" s="143"/>
      <c r="UVF11" s="143"/>
      <c r="UVG11" s="143"/>
      <c r="UVH11" s="143"/>
      <c r="UVI11" s="143"/>
      <c r="UVJ11" s="143"/>
      <c r="UVK11" s="143"/>
      <c r="UVL11" s="143"/>
      <c r="UVM11" s="143"/>
      <c r="UVN11" s="143"/>
      <c r="UVO11" s="143"/>
      <c r="UVP11" s="143"/>
      <c r="UVQ11" s="143"/>
      <c r="UVR11" s="143"/>
      <c r="UVS11" s="143"/>
      <c r="UVT11" s="143"/>
      <c r="UVU11" s="143"/>
      <c r="UVV11" s="143"/>
      <c r="UVW11" s="143"/>
      <c r="UVX11" s="143"/>
      <c r="UVY11" s="143"/>
      <c r="UVZ11" s="143"/>
      <c r="UWA11" s="143"/>
      <c r="UWB11" s="143"/>
      <c r="UWC11" s="143"/>
      <c r="UWD11" s="143"/>
      <c r="UWE11" s="143"/>
      <c r="UWF11" s="143"/>
      <c r="UWG11" s="143"/>
      <c r="UWH11" s="143"/>
      <c r="UWI11" s="143"/>
      <c r="UWJ11" s="143"/>
      <c r="UWK11" s="143"/>
      <c r="UWL11" s="143"/>
      <c r="UWM11" s="143"/>
      <c r="UWN11" s="143"/>
      <c r="UWO11" s="143"/>
      <c r="UWP11" s="143"/>
      <c r="UWQ11" s="143"/>
      <c r="UWR11" s="143"/>
      <c r="UWS11" s="143"/>
      <c r="UWT11" s="143"/>
      <c r="UWU11" s="143"/>
      <c r="UWV11" s="143"/>
      <c r="UWW11" s="143"/>
      <c r="UWX11" s="143"/>
      <c r="UWY11" s="143"/>
      <c r="UWZ11" s="143"/>
      <c r="UXA11" s="143"/>
      <c r="UXB11" s="143"/>
      <c r="UXC11" s="143"/>
      <c r="UXD11" s="143"/>
      <c r="UXE11" s="143"/>
      <c r="UXF11" s="143"/>
      <c r="UXG11" s="143"/>
      <c r="UXH11" s="143"/>
      <c r="UXI11" s="143"/>
      <c r="UXJ11" s="143"/>
      <c r="UXK11" s="143"/>
      <c r="UXL11" s="143"/>
      <c r="UXM11" s="143"/>
      <c r="UXN11" s="143"/>
      <c r="UXO11" s="143"/>
      <c r="UXP11" s="143"/>
      <c r="UXQ11" s="143"/>
      <c r="UXR11" s="143"/>
      <c r="UXS11" s="143"/>
      <c r="UXT11" s="143"/>
      <c r="UXU11" s="143"/>
      <c r="UXV11" s="143"/>
      <c r="UXW11" s="143"/>
      <c r="UXX11" s="143"/>
      <c r="UXY11" s="143"/>
      <c r="UXZ11" s="143"/>
      <c r="UYA11" s="143"/>
      <c r="UYB11" s="143"/>
      <c r="UYC11" s="143"/>
      <c r="UYD11" s="143"/>
      <c r="UYE11" s="143"/>
      <c r="UYF11" s="143"/>
      <c r="UYG11" s="143"/>
      <c r="UYH11" s="143"/>
      <c r="UYI11" s="143"/>
      <c r="UYJ11" s="143"/>
      <c r="UYK11" s="143"/>
      <c r="UYL11" s="143"/>
      <c r="UYM11" s="143"/>
      <c r="UYN11" s="143"/>
      <c r="UYO11" s="143"/>
      <c r="UYP11" s="143"/>
      <c r="UYQ11" s="143"/>
      <c r="UYR11" s="143"/>
      <c r="UYS11" s="143"/>
      <c r="UYT11" s="143"/>
      <c r="UYU11" s="143"/>
      <c r="UYV11" s="143"/>
      <c r="UYW11" s="143"/>
      <c r="UYX11" s="143"/>
      <c r="UYY11" s="143"/>
      <c r="UYZ11" s="143"/>
      <c r="UZA11" s="143"/>
      <c r="UZB11" s="143"/>
      <c r="UZC11" s="143"/>
      <c r="UZD11" s="143"/>
      <c r="UZE11" s="143"/>
      <c r="UZF11" s="143"/>
      <c r="UZG11" s="143"/>
      <c r="UZH11" s="143"/>
      <c r="UZI11" s="143"/>
      <c r="UZJ11" s="143"/>
      <c r="UZK11" s="143"/>
      <c r="UZL11" s="143"/>
      <c r="UZM11" s="143"/>
      <c r="UZN11" s="143"/>
      <c r="UZO11" s="143"/>
      <c r="UZP11" s="143"/>
      <c r="UZQ11" s="143"/>
      <c r="UZR11" s="143"/>
      <c r="UZS11" s="143"/>
      <c r="UZT11" s="143"/>
      <c r="UZU11" s="143"/>
      <c r="UZV11" s="143"/>
      <c r="UZW11" s="143"/>
      <c r="UZX11" s="143"/>
      <c r="UZY11" s="143"/>
      <c r="UZZ11" s="143"/>
      <c r="VAA11" s="143"/>
      <c r="VAB11" s="143"/>
      <c r="VAC11" s="143"/>
      <c r="VAD11" s="143"/>
      <c r="VAE11" s="143"/>
      <c r="VAF11" s="143"/>
      <c r="VAG11" s="143"/>
      <c r="VAH11" s="143"/>
      <c r="VAI11" s="143"/>
      <c r="VAJ11" s="143"/>
      <c r="VAK11" s="143"/>
      <c r="VAL11" s="143"/>
      <c r="VAM11" s="143"/>
      <c r="VAN11" s="143"/>
      <c r="VAO11" s="143"/>
      <c r="VAP11" s="143"/>
      <c r="VAQ11" s="143"/>
      <c r="VAR11" s="143"/>
      <c r="VAS11" s="143"/>
      <c r="VAT11" s="143"/>
      <c r="VAU11" s="143"/>
      <c r="VAV11" s="143"/>
      <c r="VAW11" s="143"/>
      <c r="VAX11" s="143"/>
      <c r="VAY11" s="143"/>
      <c r="VAZ11" s="143"/>
      <c r="VBA11" s="143"/>
      <c r="VBB11" s="143"/>
      <c r="VBC11" s="143"/>
      <c r="VBD11" s="143"/>
      <c r="VBE11" s="143"/>
      <c r="VBF11" s="143"/>
      <c r="VBG11" s="143"/>
      <c r="VBH11" s="143"/>
      <c r="VBI11" s="143"/>
      <c r="VBJ11" s="143"/>
      <c r="VBK11" s="143"/>
      <c r="VBL11" s="143"/>
      <c r="VBM11" s="143"/>
      <c r="VBN11" s="143"/>
      <c r="VBO11" s="143"/>
      <c r="VBP11" s="143"/>
      <c r="VBQ11" s="143"/>
      <c r="VBR11" s="143"/>
      <c r="VBS11" s="143"/>
      <c r="VBT11" s="143"/>
      <c r="VBU11" s="143"/>
      <c r="VBV11" s="143"/>
      <c r="VBW11" s="143"/>
      <c r="VBX11" s="143"/>
      <c r="VBY11" s="143"/>
      <c r="VBZ11" s="143"/>
      <c r="VCA11" s="143"/>
      <c r="VCB11" s="143"/>
      <c r="VCC11" s="143"/>
      <c r="VCD11" s="143"/>
      <c r="VCE11" s="143"/>
      <c r="VCF11" s="143"/>
      <c r="VCG11" s="143"/>
      <c r="VCH11" s="143"/>
      <c r="VCI11" s="143"/>
      <c r="VCJ11" s="143"/>
      <c r="VCK11" s="143"/>
      <c r="VCL11" s="143"/>
      <c r="VCM11" s="143"/>
      <c r="VCN11" s="143"/>
      <c r="VCO11" s="143"/>
      <c r="VCP11" s="143"/>
      <c r="VCQ11" s="143"/>
      <c r="VCR11" s="143"/>
      <c r="VCS11" s="143"/>
      <c r="VCT11" s="143"/>
      <c r="VCU11" s="143"/>
      <c r="VCV11" s="143"/>
      <c r="VCW11" s="143"/>
      <c r="VCX11" s="143"/>
      <c r="VCY11" s="143"/>
      <c r="VCZ11" s="143"/>
      <c r="VDA11" s="143"/>
      <c r="VDB11" s="143"/>
      <c r="VDC11" s="143"/>
      <c r="VDD11" s="143"/>
      <c r="VDE11" s="143"/>
      <c r="VDF11" s="143"/>
      <c r="VDG11" s="143"/>
      <c r="VDH11" s="143"/>
      <c r="VDI11" s="143"/>
      <c r="VDJ11" s="143"/>
      <c r="VDK11" s="143"/>
      <c r="VDL11" s="143"/>
      <c r="VDM11" s="143"/>
      <c r="VDN11" s="143"/>
      <c r="VDO11" s="143"/>
      <c r="VDP11" s="143"/>
      <c r="VDQ11" s="143"/>
      <c r="VDR11" s="143"/>
      <c r="VDS11" s="143"/>
      <c r="VDT11" s="143"/>
      <c r="VDU11" s="143"/>
      <c r="VDV11" s="143"/>
      <c r="VDW11" s="143"/>
      <c r="VDX11" s="143"/>
      <c r="VDY11" s="143"/>
      <c r="VDZ11" s="143"/>
      <c r="VEA11" s="143"/>
      <c r="VEB11" s="143"/>
      <c r="VEC11" s="143"/>
      <c r="VED11" s="143"/>
      <c r="VEE11" s="143"/>
      <c r="VEF11" s="143"/>
      <c r="VEG11" s="143"/>
      <c r="VEH11" s="143"/>
      <c r="VEI11" s="143"/>
      <c r="VEJ11" s="143"/>
      <c r="VEK11" s="143"/>
      <c r="VEL11" s="143"/>
      <c r="VEM11" s="143"/>
      <c r="VEN11" s="143"/>
      <c r="VEO11" s="143"/>
      <c r="VEP11" s="143"/>
      <c r="VEQ11" s="143"/>
      <c r="VER11" s="143"/>
      <c r="VES11" s="143"/>
      <c r="VET11" s="143"/>
      <c r="VEU11" s="143"/>
      <c r="VEV11" s="143"/>
      <c r="VEW11" s="143"/>
      <c r="VEX11" s="143"/>
      <c r="VEY11" s="143"/>
      <c r="VEZ11" s="143"/>
      <c r="VFA11" s="143"/>
      <c r="VFB11" s="143"/>
      <c r="VFC11" s="143"/>
      <c r="VFD11" s="143"/>
      <c r="VFE11" s="143"/>
      <c r="VFF11" s="143"/>
      <c r="VFG11" s="143"/>
      <c r="VFH11" s="143"/>
      <c r="VFI11" s="143"/>
      <c r="VFJ11" s="143"/>
      <c r="VFK11" s="143"/>
      <c r="VFL11" s="143"/>
      <c r="VFM11" s="143"/>
      <c r="VFN11" s="143"/>
      <c r="VFO11" s="143"/>
      <c r="VFP11" s="143"/>
      <c r="VFQ11" s="143"/>
      <c r="VFR11" s="143"/>
      <c r="VFS11" s="143"/>
      <c r="VFT11" s="143"/>
      <c r="VFU11" s="143"/>
      <c r="VFV11" s="143"/>
      <c r="VFW11" s="143"/>
      <c r="VFX11" s="143"/>
      <c r="VFY11" s="143"/>
      <c r="VFZ11" s="143"/>
      <c r="VGA11" s="143"/>
      <c r="VGB11" s="143"/>
      <c r="VGC11" s="143"/>
      <c r="VGD11" s="143"/>
      <c r="VGE11" s="143"/>
      <c r="VGF11" s="143"/>
      <c r="VGG11" s="143"/>
      <c r="VGH11" s="143"/>
      <c r="VGI11" s="143"/>
      <c r="VGJ11" s="143"/>
      <c r="VGK11" s="143"/>
      <c r="VGL11" s="143"/>
      <c r="VGM11" s="143"/>
      <c r="VGN11" s="143"/>
      <c r="VGO11" s="143"/>
      <c r="VGP11" s="143"/>
      <c r="VGQ11" s="143"/>
      <c r="VGR11" s="143"/>
      <c r="VGS11" s="143"/>
      <c r="VGT11" s="143"/>
      <c r="VGU11" s="143"/>
      <c r="VGV11" s="143"/>
      <c r="VGW11" s="143"/>
      <c r="VGX11" s="143"/>
      <c r="VGY11" s="143"/>
      <c r="VGZ11" s="143"/>
      <c r="VHA11" s="143"/>
      <c r="VHB11" s="143"/>
      <c r="VHC11" s="143"/>
      <c r="VHD11" s="143"/>
      <c r="VHE11" s="143"/>
      <c r="VHF11" s="143"/>
      <c r="VHG11" s="143"/>
      <c r="VHH11" s="143"/>
      <c r="VHI11" s="143"/>
      <c r="VHJ11" s="143"/>
      <c r="VHK11" s="143"/>
      <c r="VHL11" s="143"/>
      <c r="VHM11" s="143"/>
      <c r="VHN11" s="143"/>
      <c r="VHO11" s="143"/>
      <c r="VHP11" s="143"/>
      <c r="VHQ11" s="143"/>
      <c r="VHR11" s="143"/>
      <c r="VHS11" s="143"/>
      <c r="VHT11" s="143"/>
      <c r="VHU11" s="143"/>
      <c r="VHV11" s="143"/>
      <c r="VHW11" s="143"/>
      <c r="VHX11" s="143"/>
      <c r="VHY11" s="143"/>
      <c r="VHZ11" s="143"/>
      <c r="VIA11" s="143"/>
      <c r="VIB11" s="143"/>
      <c r="VIC11" s="143"/>
      <c r="VID11" s="143"/>
      <c r="VIE11" s="143"/>
      <c r="VIF11" s="143"/>
      <c r="VIG11" s="143"/>
      <c r="VIH11" s="143"/>
      <c r="VII11" s="143"/>
      <c r="VIJ11" s="143"/>
      <c r="VIK11" s="143"/>
      <c r="VIL11" s="143"/>
      <c r="VIM11" s="143"/>
      <c r="VIN11" s="143"/>
      <c r="VIO11" s="143"/>
      <c r="VIP11" s="143"/>
      <c r="VIQ11" s="143"/>
      <c r="VIR11" s="143"/>
      <c r="VIS11" s="143"/>
      <c r="VIT11" s="143"/>
      <c r="VIU11" s="143"/>
      <c r="VIV11" s="143"/>
      <c r="VIW11" s="143"/>
      <c r="VIX11" s="143"/>
      <c r="VIY11" s="143"/>
      <c r="VIZ11" s="143"/>
      <c r="VJA11" s="143"/>
      <c r="VJB11" s="143"/>
      <c r="VJC11" s="143"/>
      <c r="VJD11" s="143"/>
      <c r="VJE11" s="143"/>
      <c r="VJF11" s="143"/>
      <c r="VJG11" s="143"/>
      <c r="VJH11" s="143"/>
      <c r="VJI11" s="143"/>
      <c r="VJJ11" s="143"/>
      <c r="VJK11" s="143"/>
      <c r="VJL11" s="143"/>
      <c r="VJM11" s="143"/>
      <c r="VJN11" s="143"/>
      <c r="VJO11" s="143"/>
      <c r="VJP11" s="143"/>
      <c r="VJQ11" s="143"/>
      <c r="VJR11" s="143"/>
      <c r="VJS11" s="143"/>
      <c r="VJT11" s="143"/>
      <c r="VJU11" s="143"/>
      <c r="VJV11" s="143"/>
      <c r="VJW11" s="143"/>
      <c r="VJX11" s="143"/>
      <c r="VJY11" s="143"/>
      <c r="VJZ11" s="143"/>
      <c r="VKA11" s="143"/>
      <c r="VKB11" s="143"/>
      <c r="VKC11" s="143"/>
      <c r="VKD11" s="143"/>
      <c r="VKE11" s="143"/>
      <c r="VKF11" s="143"/>
      <c r="VKG11" s="143"/>
      <c r="VKH11" s="143"/>
      <c r="VKI11" s="143"/>
      <c r="VKJ11" s="143"/>
      <c r="VKK11" s="143"/>
      <c r="VKL11" s="143"/>
      <c r="VKM11" s="143"/>
      <c r="VKN11" s="143"/>
      <c r="VKO11" s="143"/>
      <c r="VKP11" s="143"/>
      <c r="VKQ11" s="143"/>
      <c r="VKR11" s="143"/>
      <c r="VKS11" s="143"/>
      <c r="VKT11" s="143"/>
      <c r="VKU11" s="143"/>
      <c r="VKV11" s="143"/>
      <c r="VKW11" s="143"/>
      <c r="VKX11" s="143"/>
      <c r="VKY11" s="143"/>
      <c r="VKZ11" s="143"/>
      <c r="VLA11" s="143"/>
      <c r="VLB11" s="143"/>
      <c r="VLC11" s="143"/>
      <c r="VLD11" s="143"/>
      <c r="VLE11" s="143"/>
      <c r="VLF11" s="143"/>
      <c r="VLG11" s="143"/>
      <c r="VLH11" s="143"/>
      <c r="VLI11" s="143"/>
      <c r="VLJ11" s="143"/>
      <c r="VLK11" s="143"/>
      <c r="VLL11" s="143"/>
      <c r="VLM11" s="143"/>
      <c r="VLN11" s="143"/>
      <c r="VLO11" s="143"/>
      <c r="VLP11" s="143"/>
      <c r="VLQ11" s="143"/>
      <c r="VLR11" s="143"/>
      <c r="VLS11" s="143"/>
      <c r="VLT11" s="143"/>
      <c r="VLU11" s="143"/>
      <c r="VLV11" s="143"/>
      <c r="VLW11" s="143"/>
      <c r="VLX11" s="143"/>
      <c r="VLY11" s="143"/>
      <c r="VLZ11" s="143"/>
      <c r="VMA11" s="143"/>
      <c r="VMB11" s="143"/>
      <c r="VMC11" s="143"/>
      <c r="VMD11" s="143"/>
      <c r="VME11" s="143"/>
      <c r="VMF11" s="143"/>
      <c r="VMG11" s="143"/>
      <c r="VMH11" s="143"/>
      <c r="VMI11" s="143"/>
      <c r="VMJ11" s="143"/>
      <c r="VMK11" s="143"/>
      <c r="VML11" s="143"/>
      <c r="VMM11" s="143"/>
      <c r="VMN11" s="143"/>
      <c r="VMO11" s="143"/>
      <c r="VMP11" s="143"/>
      <c r="VMQ11" s="143"/>
      <c r="VMR11" s="143"/>
      <c r="VMS11" s="143"/>
      <c r="VMT11" s="143"/>
      <c r="VMU11" s="143"/>
      <c r="VMV11" s="143"/>
      <c r="VMW11" s="143"/>
      <c r="VMX11" s="143"/>
      <c r="VMY11" s="143"/>
      <c r="VMZ11" s="143"/>
      <c r="VNA11" s="143"/>
      <c r="VNB11" s="143"/>
      <c r="VNC11" s="143"/>
      <c r="VND11" s="143"/>
      <c r="VNE11" s="143"/>
      <c r="VNF11" s="143"/>
      <c r="VNG11" s="143"/>
      <c r="VNH11" s="143"/>
      <c r="VNI11" s="143"/>
      <c r="VNJ11" s="143"/>
      <c r="VNK11" s="143"/>
      <c r="VNL11" s="143"/>
      <c r="VNM11" s="143"/>
      <c r="VNN11" s="143"/>
      <c r="VNO11" s="143"/>
      <c r="VNP11" s="143"/>
      <c r="VNQ11" s="143"/>
      <c r="VNR11" s="143"/>
      <c r="VNS11" s="143"/>
      <c r="VNT11" s="143"/>
      <c r="VNU11" s="143"/>
      <c r="VNV11" s="143"/>
      <c r="VNW11" s="143"/>
      <c r="VNX11" s="143"/>
      <c r="VNY11" s="143"/>
      <c r="VNZ11" s="143"/>
      <c r="VOA11" s="143"/>
      <c r="VOB11" s="143"/>
      <c r="VOC11" s="143"/>
      <c r="VOD11" s="143"/>
      <c r="VOE11" s="143"/>
      <c r="VOF11" s="143"/>
      <c r="VOG11" s="143"/>
      <c r="VOH11" s="143"/>
      <c r="VOI11" s="143"/>
      <c r="VOJ11" s="143"/>
      <c r="VOK11" s="143"/>
      <c r="VOL11" s="143"/>
      <c r="VOM11" s="143"/>
      <c r="VON11" s="143"/>
      <c r="VOO11" s="143"/>
      <c r="VOP11" s="143"/>
      <c r="VOQ11" s="143"/>
      <c r="VOR11" s="143"/>
      <c r="VOS11" s="143"/>
      <c r="VOT11" s="143"/>
      <c r="VOU11" s="143"/>
      <c r="VOV11" s="143"/>
      <c r="VOW11" s="143"/>
      <c r="VOX11" s="143"/>
      <c r="VOY11" s="143"/>
      <c r="VOZ11" s="143"/>
      <c r="VPA11" s="143"/>
      <c r="VPB11" s="143"/>
      <c r="VPC11" s="143"/>
      <c r="VPD11" s="143"/>
      <c r="VPE11" s="143"/>
      <c r="VPF11" s="143"/>
      <c r="VPG11" s="143"/>
      <c r="VPH11" s="143"/>
      <c r="VPI11" s="143"/>
      <c r="VPJ11" s="143"/>
      <c r="VPK11" s="143"/>
      <c r="VPL11" s="143"/>
      <c r="VPM11" s="143"/>
      <c r="VPN11" s="143"/>
      <c r="VPO11" s="143"/>
      <c r="VPP11" s="143"/>
      <c r="VPQ11" s="143"/>
      <c r="VPR11" s="143"/>
      <c r="VPS11" s="143"/>
      <c r="VPT11" s="143"/>
      <c r="VPU11" s="143"/>
      <c r="VPV11" s="143"/>
      <c r="VPW11" s="143"/>
      <c r="VPX11" s="143"/>
      <c r="VPY11" s="143"/>
      <c r="VPZ11" s="143"/>
      <c r="VQA11" s="143"/>
      <c r="VQB11" s="143"/>
      <c r="VQC11" s="143"/>
      <c r="VQD11" s="143"/>
      <c r="VQE11" s="143"/>
      <c r="VQF11" s="143"/>
      <c r="VQG11" s="143"/>
      <c r="VQH11" s="143"/>
      <c r="VQI11" s="143"/>
      <c r="VQJ11" s="143"/>
      <c r="VQK11" s="143"/>
      <c r="VQL11" s="143"/>
      <c r="VQM11" s="143"/>
      <c r="VQN11" s="143"/>
      <c r="VQO11" s="143"/>
      <c r="VQP11" s="143"/>
      <c r="VQQ11" s="143"/>
      <c r="VQR11" s="143"/>
      <c r="VQS11" s="143"/>
      <c r="VQT11" s="143"/>
      <c r="VQU11" s="143"/>
      <c r="VQV11" s="143"/>
      <c r="VQW11" s="143"/>
      <c r="VQX11" s="143"/>
      <c r="VQY11" s="143"/>
      <c r="VQZ11" s="143"/>
      <c r="VRA11" s="143"/>
      <c r="VRB11" s="143"/>
      <c r="VRC11" s="143"/>
      <c r="VRD11" s="143"/>
      <c r="VRE11" s="143"/>
      <c r="VRF11" s="143"/>
      <c r="VRG11" s="143"/>
      <c r="VRH11" s="143"/>
      <c r="VRI11" s="143"/>
      <c r="VRJ11" s="143"/>
      <c r="VRK11" s="143"/>
      <c r="VRL11" s="143"/>
      <c r="VRM11" s="143"/>
      <c r="VRN11" s="143"/>
      <c r="VRO11" s="143"/>
      <c r="VRP11" s="143"/>
      <c r="VRQ11" s="143"/>
      <c r="VRR11" s="143"/>
      <c r="VRS11" s="143"/>
      <c r="VRT11" s="143"/>
      <c r="VRU11" s="143"/>
      <c r="VRV11" s="143"/>
      <c r="VRW11" s="143"/>
      <c r="VRX11" s="143"/>
      <c r="VRY11" s="143"/>
      <c r="VRZ11" s="143"/>
      <c r="VSA11" s="143"/>
      <c r="VSB11" s="143"/>
      <c r="VSC11" s="143"/>
      <c r="VSD11" s="143"/>
      <c r="VSE11" s="143"/>
      <c r="VSF11" s="143"/>
      <c r="VSG11" s="143"/>
      <c r="VSH11" s="143"/>
      <c r="VSI11" s="143"/>
      <c r="VSJ11" s="143"/>
      <c r="VSK11" s="143"/>
      <c r="VSL11" s="143"/>
      <c r="VSM11" s="143"/>
      <c r="VSN11" s="143"/>
      <c r="VSO11" s="143"/>
      <c r="VSP11" s="143"/>
      <c r="VSQ11" s="143"/>
      <c r="VSR11" s="143"/>
      <c r="VSS11" s="143"/>
      <c r="VST11" s="143"/>
      <c r="VSU11" s="143"/>
      <c r="VSV11" s="143"/>
      <c r="VSW11" s="143"/>
      <c r="VSX11" s="143"/>
      <c r="VSY11" s="143"/>
      <c r="VSZ11" s="143"/>
      <c r="VTA11" s="143"/>
      <c r="VTB11" s="143"/>
      <c r="VTC11" s="143"/>
      <c r="VTD11" s="143"/>
      <c r="VTE11" s="143"/>
      <c r="VTF11" s="143"/>
      <c r="VTG11" s="143"/>
      <c r="VTH11" s="143"/>
      <c r="VTI11" s="143"/>
      <c r="VTJ11" s="143"/>
      <c r="VTK11" s="143"/>
      <c r="VTL11" s="143"/>
      <c r="VTM11" s="143"/>
      <c r="VTN11" s="143"/>
      <c r="VTO11" s="143"/>
      <c r="VTP11" s="143"/>
      <c r="VTQ11" s="143"/>
      <c r="VTR11" s="143"/>
      <c r="VTS11" s="143"/>
      <c r="VTT11" s="143"/>
      <c r="VTU11" s="143"/>
      <c r="VTV11" s="143"/>
      <c r="VTW11" s="143"/>
      <c r="VTX11" s="143"/>
      <c r="VTY11" s="143"/>
      <c r="VTZ11" s="143"/>
      <c r="VUA11" s="143"/>
      <c r="VUB11" s="143"/>
      <c r="VUC11" s="143"/>
      <c r="VUD11" s="143"/>
      <c r="VUE11" s="143"/>
      <c r="VUF11" s="143"/>
      <c r="VUG11" s="143"/>
      <c r="VUH11" s="143"/>
      <c r="VUI11" s="143"/>
      <c r="VUJ11" s="143"/>
      <c r="VUK11" s="143"/>
      <c r="VUL11" s="143"/>
      <c r="VUM11" s="143"/>
      <c r="VUN11" s="143"/>
      <c r="VUO11" s="143"/>
      <c r="VUP11" s="143"/>
      <c r="VUQ11" s="143"/>
      <c r="VUR11" s="143"/>
      <c r="VUS11" s="143"/>
      <c r="VUT11" s="143"/>
      <c r="VUU11" s="143"/>
      <c r="VUV11" s="143"/>
      <c r="VUW11" s="143"/>
      <c r="VUX11" s="143"/>
      <c r="VUY11" s="143"/>
      <c r="VUZ11" s="143"/>
      <c r="VVA11" s="143"/>
      <c r="VVB11" s="143"/>
      <c r="VVC11" s="143"/>
      <c r="VVD11" s="143"/>
      <c r="VVE11" s="143"/>
      <c r="VVF11" s="143"/>
      <c r="VVG11" s="143"/>
      <c r="VVH11" s="143"/>
      <c r="VVI11" s="143"/>
      <c r="VVJ11" s="143"/>
      <c r="VVK11" s="143"/>
      <c r="VVL11" s="143"/>
      <c r="VVM11" s="143"/>
      <c r="VVN11" s="143"/>
      <c r="VVO11" s="143"/>
      <c r="VVP11" s="143"/>
      <c r="VVQ11" s="143"/>
      <c r="VVR11" s="143"/>
      <c r="VVS11" s="143"/>
      <c r="VVT11" s="143"/>
      <c r="VVU11" s="143"/>
      <c r="VVV11" s="143"/>
      <c r="VVW11" s="143"/>
      <c r="VVX11" s="143"/>
      <c r="VVY11" s="143"/>
      <c r="VVZ11" s="143"/>
      <c r="VWA11" s="143"/>
      <c r="VWB11" s="143"/>
      <c r="VWC11" s="143"/>
      <c r="VWD11" s="143"/>
      <c r="VWE11" s="143"/>
      <c r="VWF11" s="143"/>
      <c r="VWG11" s="143"/>
      <c r="VWH11" s="143"/>
      <c r="VWI11" s="143"/>
      <c r="VWJ11" s="143"/>
      <c r="VWK11" s="143"/>
      <c r="VWL11" s="143"/>
      <c r="VWM11" s="143"/>
      <c r="VWN11" s="143"/>
      <c r="VWO11" s="143"/>
      <c r="VWP11" s="143"/>
      <c r="VWQ11" s="143"/>
      <c r="VWR11" s="143"/>
      <c r="VWS11" s="143"/>
      <c r="VWT11" s="143"/>
      <c r="VWU11" s="143"/>
      <c r="VWV11" s="143"/>
      <c r="VWW11" s="143"/>
      <c r="VWX11" s="143"/>
      <c r="VWY11" s="143"/>
      <c r="VWZ11" s="143"/>
      <c r="VXA11" s="143"/>
      <c r="VXB11" s="143"/>
      <c r="VXC11" s="143"/>
      <c r="VXD11" s="143"/>
      <c r="VXE11" s="143"/>
      <c r="VXF11" s="143"/>
      <c r="VXG11" s="143"/>
      <c r="VXH11" s="143"/>
      <c r="VXI11" s="143"/>
      <c r="VXJ11" s="143"/>
      <c r="VXK11" s="143"/>
      <c r="VXL11" s="143"/>
      <c r="VXM11" s="143"/>
      <c r="VXN11" s="143"/>
      <c r="VXO11" s="143"/>
      <c r="VXP11" s="143"/>
      <c r="VXQ11" s="143"/>
      <c r="VXR11" s="143"/>
      <c r="VXS11" s="143"/>
      <c r="VXT11" s="143"/>
      <c r="VXU11" s="143"/>
      <c r="VXV11" s="143"/>
      <c r="VXW11" s="143"/>
      <c r="VXX11" s="143"/>
      <c r="VXY11" s="143"/>
      <c r="VXZ11" s="143"/>
      <c r="VYA11" s="143"/>
      <c r="VYB11" s="143"/>
      <c r="VYC11" s="143"/>
      <c r="VYD11" s="143"/>
      <c r="VYE11" s="143"/>
      <c r="VYF11" s="143"/>
      <c r="VYG11" s="143"/>
      <c r="VYH11" s="143"/>
      <c r="VYI11" s="143"/>
      <c r="VYJ11" s="143"/>
      <c r="VYK11" s="143"/>
      <c r="VYL11" s="143"/>
      <c r="VYM11" s="143"/>
      <c r="VYN11" s="143"/>
      <c r="VYO11" s="143"/>
      <c r="VYP11" s="143"/>
      <c r="VYQ11" s="143"/>
      <c r="VYR11" s="143"/>
      <c r="VYS11" s="143"/>
      <c r="VYT11" s="143"/>
      <c r="VYU11" s="143"/>
      <c r="VYV11" s="143"/>
      <c r="VYW11" s="143"/>
      <c r="VYX11" s="143"/>
      <c r="VYY11" s="143"/>
      <c r="VYZ11" s="143"/>
      <c r="VZA11" s="143"/>
      <c r="VZB11" s="143"/>
      <c r="VZC11" s="143"/>
      <c r="VZD11" s="143"/>
      <c r="VZE11" s="143"/>
      <c r="VZF11" s="143"/>
      <c r="VZG11" s="143"/>
      <c r="VZH11" s="143"/>
      <c r="VZI11" s="143"/>
      <c r="VZJ11" s="143"/>
      <c r="VZK11" s="143"/>
      <c r="VZL11" s="143"/>
      <c r="VZM11" s="143"/>
      <c r="VZN11" s="143"/>
      <c r="VZO11" s="143"/>
      <c r="VZP11" s="143"/>
      <c r="VZQ11" s="143"/>
      <c r="VZR11" s="143"/>
      <c r="VZS11" s="143"/>
      <c r="VZT11" s="143"/>
      <c r="VZU11" s="143"/>
      <c r="VZV11" s="143"/>
      <c r="VZW11" s="143"/>
      <c r="VZX11" s="143"/>
      <c r="VZY11" s="143"/>
      <c r="VZZ11" s="143"/>
      <c r="WAA11" s="143"/>
      <c r="WAB11" s="143"/>
      <c r="WAC11" s="143"/>
      <c r="WAD11" s="143"/>
      <c r="WAE11" s="143"/>
      <c r="WAF11" s="143"/>
      <c r="WAG11" s="143"/>
      <c r="WAH11" s="143"/>
      <c r="WAI11" s="143"/>
      <c r="WAJ11" s="143"/>
      <c r="WAK11" s="143"/>
      <c r="WAL11" s="143"/>
      <c r="WAM11" s="143"/>
      <c r="WAN11" s="143"/>
      <c r="WAO11" s="143"/>
      <c r="WAP11" s="143"/>
      <c r="WAQ11" s="143"/>
      <c r="WAR11" s="143"/>
      <c r="WAS11" s="143"/>
      <c r="WAT11" s="143"/>
      <c r="WAU11" s="143"/>
      <c r="WAV11" s="143"/>
      <c r="WAW11" s="143"/>
      <c r="WAX11" s="143"/>
      <c r="WAY11" s="143"/>
      <c r="WAZ11" s="143"/>
      <c r="WBA11" s="143"/>
      <c r="WBB11" s="143"/>
      <c r="WBC11" s="143"/>
      <c r="WBD11" s="143"/>
      <c r="WBE11" s="143"/>
      <c r="WBF11" s="143"/>
      <c r="WBG11" s="143"/>
      <c r="WBH11" s="143"/>
      <c r="WBI11" s="143"/>
      <c r="WBJ11" s="143"/>
      <c r="WBK11" s="143"/>
      <c r="WBL11" s="143"/>
      <c r="WBM11" s="143"/>
      <c r="WBN11" s="143"/>
      <c r="WBO11" s="143"/>
      <c r="WBP11" s="143"/>
      <c r="WBQ11" s="143"/>
      <c r="WBR11" s="143"/>
      <c r="WBS11" s="143"/>
      <c r="WBT11" s="143"/>
      <c r="WBU11" s="143"/>
      <c r="WBV11" s="143"/>
      <c r="WBW11" s="143"/>
      <c r="WBX11" s="143"/>
      <c r="WBY11" s="143"/>
      <c r="WBZ11" s="143"/>
      <c r="WCA11" s="143"/>
      <c r="WCB11" s="143"/>
      <c r="WCC11" s="143"/>
      <c r="WCD11" s="143"/>
      <c r="WCE11" s="143"/>
      <c r="WCF11" s="143"/>
      <c r="WCG11" s="143"/>
      <c r="WCH11" s="143"/>
      <c r="WCI11" s="143"/>
      <c r="WCJ11" s="143"/>
      <c r="WCK11" s="143"/>
      <c r="WCL11" s="143"/>
      <c r="WCM11" s="143"/>
      <c r="WCN11" s="143"/>
      <c r="WCO11" s="143"/>
      <c r="WCP11" s="143"/>
      <c r="WCQ11" s="143"/>
      <c r="WCR11" s="143"/>
      <c r="WCS11" s="143"/>
      <c r="WCT11" s="143"/>
      <c r="WCU11" s="143"/>
      <c r="WCV11" s="143"/>
      <c r="WCW11" s="143"/>
      <c r="WCX11" s="143"/>
      <c r="WCY11" s="143"/>
      <c r="WCZ11" s="143"/>
      <c r="WDA11" s="143"/>
      <c r="WDB11" s="143"/>
      <c r="WDC11" s="143"/>
      <c r="WDD11" s="143"/>
      <c r="WDE11" s="143"/>
      <c r="WDF11" s="143"/>
      <c r="WDG11" s="143"/>
      <c r="WDH11" s="143"/>
      <c r="WDI11" s="143"/>
      <c r="WDJ11" s="143"/>
      <c r="WDK11" s="143"/>
      <c r="WDL11" s="143"/>
      <c r="WDM11" s="143"/>
      <c r="WDN11" s="143"/>
      <c r="WDO11" s="143"/>
      <c r="WDP11" s="143"/>
      <c r="WDQ11" s="143"/>
      <c r="WDR11" s="143"/>
      <c r="WDS11" s="143"/>
      <c r="WDT11" s="143"/>
      <c r="WDU11" s="143"/>
      <c r="WDV11" s="143"/>
      <c r="WDW11" s="143"/>
      <c r="WDX11" s="143"/>
      <c r="WDY11" s="143"/>
      <c r="WDZ11" s="143"/>
      <c r="WEA11" s="143"/>
      <c r="WEB11" s="143"/>
      <c r="WEC11" s="143"/>
      <c r="WED11" s="143"/>
      <c r="WEE11" s="143"/>
      <c r="WEF11" s="143"/>
      <c r="WEG11" s="143"/>
      <c r="WEH11" s="143"/>
      <c r="WEI11" s="143"/>
      <c r="WEJ11" s="143"/>
      <c r="WEK11" s="143"/>
      <c r="WEL11" s="143"/>
      <c r="WEM11" s="143"/>
      <c r="WEN11" s="143"/>
      <c r="WEO11" s="143"/>
      <c r="WEP11" s="143"/>
      <c r="WEQ11" s="143"/>
      <c r="WER11" s="143"/>
      <c r="WES11" s="143"/>
      <c r="WET11" s="143"/>
      <c r="WEU11" s="143"/>
      <c r="WEV11" s="143"/>
      <c r="WEW11" s="143"/>
      <c r="WEX11" s="143"/>
      <c r="WEY11" s="143"/>
      <c r="WEZ11" s="143"/>
      <c r="WFA11" s="143"/>
      <c r="WFB11" s="143"/>
      <c r="WFC11" s="143"/>
      <c r="WFD11" s="143"/>
      <c r="WFE11" s="143"/>
      <c r="WFF11" s="143"/>
      <c r="WFG11" s="143"/>
      <c r="WFH11" s="143"/>
      <c r="WFI11" s="143"/>
      <c r="WFJ11" s="143"/>
      <c r="WFK11" s="143"/>
      <c r="WFL11" s="143"/>
      <c r="WFM11" s="143"/>
      <c r="WFN11" s="143"/>
      <c r="WFO11" s="143"/>
      <c r="WFP11" s="143"/>
      <c r="WFQ11" s="143"/>
      <c r="WFR11" s="143"/>
      <c r="WFS11" s="143"/>
      <c r="WFT11" s="143"/>
      <c r="WFU11" s="143"/>
      <c r="WFV11" s="143"/>
      <c r="WFW11" s="143"/>
      <c r="WFX11" s="143"/>
      <c r="WFY11" s="143"/>
      <c r="WFZ11" s="143"/>
      <c r="WGA11" s="143"/>
      <c r="WGB11" s="143"/>
      <c r="WGC11" s="143"/>
      <c r="WGD11" s="143"/>
      <c r="WGE11" s="143"/>
      <c r="WGF11" s="143"/>
      <c r="WGG11" s="143"/>
      <c r="WGH11" s="143"/>
      <c r="WGI11" s="143"/>
      <c r="WGJ11" s="143"/>
      <c r="WGK11" s="143"/>
      <c r="WGL11" s="143"/>
      <c r="WGM11" s="143"/>
      <c r="WGN11" s="143"/>
      <c r="WGO11" s="143"/>
      <c r="WGP11" s="143"/>
      <c r="WGQ11" s="143"/>
      <c r="WGR11" s="143"/>
      <c r="WGS11" s="143"/>
      <c r="WGT11" s="143"/>
      <c r="WGU11" s="143"/>
      <c r="WGV11" s="143"/>
      <c r="WGW11" s="143"/>
      <c r="WGX11" s="143"/>
      <c r="WGY11" s="143"/>
      <c r="WGZ11" s="143"/>
      <c r="WHA11" s="143"/>
      <c r="WHB11" s="143"/>
      <c r="WHC11" s="143"/>
      <c r="WHD11" s="143"/>
      <c r="WHE11" s="143"/>
      <c r="WHF11" s="143"/>
      <c r="WHG11" s="143"/>
      <c r="WHH11" s="143"/>
      <c r="WHI11" s="143"/>
      <c r="WHJ11" s="143"/>
      <c r="WHK11" s="143"/>
      <c r="WHL11" s="143"/>
      <c r="WHM11" s="143"/>
      <c r="WHN11" s="143"/>
      <c r="WHO11" s="143"/>
      <c r="WHP11" s="143"/>
      <c r="WHQ11" s="143"/>
      <c r="WHR11" s="143"/>
      <c r="WHS11" s="143"/>
      <c r="WHT11" s="143"/>
      <c r="WHU11" s="143"/>
      <c r="WHV11" s="143"/>
      <c r="WHW11" s="143"/>
      <c r="WHX11" s="143"/>
      <c r="WHY11" s="143"/>
      <c r="WHZ11" s="143"/>
      <c r="WIA11" s="143"/>
      <c r="WIB11" s="143"/>
      <c r="WIC11" s="143"/>
      <c r="WID11" s="143"/>
      <c r="WIE11" s="143"/>
      <c r="WIF11" s="143"/>
      <c r="WIG11" s="143"/>
      <c r="WIH11" s="143"/>
      <c r="WII11" s="143"/>
      <c r="WIJ11" s="143"/>
      <c r="WIK11" s="143"/>
      <c r="WIL11" s="143"/>
      <c r="WIM11" s="143"/>
      <c r="WIN11" s="143"/>
      <c r="WIO11" s="143"/>
      <c r="WIP11" s="143"/>
      <c r="WIQ11" s="143"/>
      <c r="WIR11" s="143"/>
      <c r="WIS11" s="143"/>
      <c r="WIT11" s="143"/>
      <c r="WIU11" s="143"/>
      <c r="WIV11" s="143"/>
      <c r="WIW11" s="143"/>
      <c r="WIX11" s="143"/>
      <c r="WIY11" s="143"/>
      <c r="WIZ11" s="143"/>
      <c r="WJA11" s="143"/>
      <c r="WJB11" s="143"/>
      <c r="WJC11" s="143"/>
      <c r="WJD11" s="143"/>
      <c r="WJE11" s="143"/>
      <c r="WJF11" s="143"/>
      <c r="WJG11" s="143"/>
      <c r="WJH11" s="143"/>
      <c r="WJI11" s="143"/>
      <c r="WJJ11" s="143"/>
      <c r="WJK11" s="143"/>
      <c r="WJL11" s="143"/>
      <c r="WJM11" s="143"/>
      <c r="WJN11" s="143"/>
      <c r="WJO11" s="143"/>
      <c r="WJP11" s="143"/>
      <c r="WJQ11" s="143"/>
      <c r="WJR11" s="143"/>
      <c r="WJS11" s="143"/>
      <c r="WJT11" s="143"/>
      <c r="WJU11" s="143"/>
      <c r="WJV11" s="143"/>
      <c r="WJW11" s="143"/>
      <c r="WJX11" s="143"/>
      <c r="WJY11" s="143"/>
      <c r="WJZ11" s="143"/>
      <c r="WKA11" s="143"/>
      <c r="WKB11" s="143"/>
      <c r="WKC11" s="143"/>
      <c r="WKD11" s="143"/>
      <c r="WKE11" s="143"/>
      <c r="WKF11" s="143"/>
      <c r="WKG11" s="143"/>
      <c r="WKH11" s="143"/>
      <c r="WKI11" s="143"/>
      <c r="WKJ11" s="143"/>
      <c r="WKK11" s="143"/>
      <c r="WKL11" s="143"/>
      <c r="WKM11" s="143"/>
      <c r="WKN11" s="143"/>
      <c r="WKO11" s="143"/>
      <c r="WKP11" s="143"/>
      <c r="WKQ11" s="143"/>
      <c r="WKR11" s="143"/>
      <c r="WKS11" s="143"/>
      <c r="WKT11" s="143"/>
      <c r="WKU11" s="143"/>
      <c r="WKV11" s="143"/>
      <c r="WKW11" s="143"/>
      <c r="WKX11" s="143"/>
      <c r="WKY11" s="143"/>
      <c r="WKZ11" s="143"/>
      <c r="WLA11" s="143"/>
      <c r="WLB11" s="143"/>
      <c r="WLC11" s="143"/>
      <c r="WLD11" s="143"/>
      <c r="WLE11" s="143"/>
      <c r="WLF11" s="143"/>
      <c r="WLG11" s="143"/>
      <c r="WLH11" s="143"/>
      <c r="WLI11" s="143"/>
      <c r="WLJ11" s="143"/>
      <c r="WLK11" s="143"/>
      <c r="WLL11" s="143"/>
      <c r="WLM11" s="143"/>
      <c r="WLN11" s="143"/>
      <c r="WLO11" s="143"/>
      <c r="WLP11" s="143"/>
      <c r="WLQ11" s="143"/>
      <c r="WLR11" s="143"/>
      <c r="WLS11" s="143"/>
      <c r="WLT11" s="143"/>
      <c r="WLU11" s="143"/>
      <c r="WLV11" s="143"/>
      <c r="WLW11" s="143"/>
      <c r="WLX11" s="143"/>
      <c r="WLY11" s="143"/>
      <c r="WLZ11" s="143"/>
      <c r="WMA11" s="143"/>
      <c r="WMB11" s="143"/>
      <c r="WMC11" s="143"/>
      <c r="WMD11" s="143"/>
      <c r="WME11" s="143"/>
      <c r="WMF11" s="143"/>
      <c r="WMG11" s="143"/>
      <c r="WMH11" s="143"/>
      <c r="WMI11" s="143"/>
      <c r="WMJ11" s="143"/>
      <c r="WMK11" s="143"/>
      <c r="WML11" s="143"/>
      <c r="WMM11" s="143"/>
      <c r="WMN11" s="143"/>
      <c r="WMO11" s="143"/>
      <c r="WMP11" s="143"/>
      <c r="WMQ11" s="143"/>
      <c r="WMR11" s="143"/>
      <c r="WMS11" s="143"/>
      <c r="WMT11" s="143"/>
      <c r="WMU11" s="143"/>
      <c r="WMV11" s="143"/>
      <c r="WMW11" s="143"/>
      <c r="WMX11" s="143"/>
      <c r="WMY11" s="143"/>
      <c r="WMZ11" s="143"/>
      <c r="WNA11" s="143"/>
      <c r="WNB11" s="143"/>
      <c r="WNC11" s="143"/>
      <c r="WND11" s="143"/>
      <c r="WNE11" s="143"/>
      <c r="WNF11" s="143"/>
      <c r="WNG11" s="143"/>
      <c r="WNH11" s="143"/>
      <c r="WNI11" s="143"/>
      <c r="WNJ11" s="143"/>
      <c r="WNK11" s="143"/>
      <c r="WNL11" s="143"/>
      <c r="WNM11" s="143"/>
      <c r="WNN11" s="143"/>
      <c r="WNO11" s="143"/>
      <c r="WNP11" s="143"/>
      <c r="WNQ11" s="143"/>
      <c r="WNR11" s="143"/>
      <c r="WNS11" s="143"/>
      <c r="WNT11" s="143"/>
      <c r="WNU11" s="143"/>
      <c r="WNV11" s="143"/>
      <c r="WNW11" s="143"/>
      <c r="WNX11" s="143"/>
      <c r="WNY11" s="143"/>
      <c r="WNZ11" s="143"/>
      <c r="WOA11" s="143"/>
      <c r="WOB11" s="143"/>
      <c r="WOC11" s="143"/>
      <c r="WOD11" s="143"/>
      <c r="WOE11" s="143"/>
      <c r="WOF11" s="143"/>
      <c r="WOG11" s="143"/>
      <c r="WOH11" s="143"/>
      <c r="WOI11" s="143"/>
      <c r="WOJ11" s="143"/>
      <c r="WOK11" s="143"/>
      <c r="WOL11" s="143"/>
      <c r="WOM11" s="143"/>
      <c r="WON11" s="143"/>
      <c r="WOO11" s="143"/>
      <c r="WOP11" s="143"/>
      <c r="WOQ11" s="143"/>
      <c r="WOR11" s="143"/>
      <c r="WOS11" s="143"/>
      <c r="WOT11" s="143"/>
      <c r="WOU11" s="143"/>
      <c r="WOV11" s="143"/>
      <c r="WOW11" s="143"/>
      <c r="WOX11" s="143"/>
      <c r="WOY11" s="143"/>
      <c r="WOZ11" s="143"/>
      <c r="WPA11" s="143"/>
      <c r="WPB11" s="143"/>
      <c r="WPC11" s="143"/>
      <c r="WPD11" s="143"/>
      <c r="WPE11" s="143"/>
      <c r="WPF11" s="143"/>
      <c r="WPG11" s="143"/>
      <c r="WPH11" s="143"/>
      <c r="WPI11" s="143"/>
      <c r="WPJ11" s="143"/>
      <c r="WPK11" s="143"/>
      <c r="WPL11" s="143"/>
      <c r="WPM11" s="143"/>
      <c r="WPN11" s="143"/>
      <c r="WPO11" s="143"/>
      <c r="WPP11" s="143"/>
      <c r="WPQ11" s="143"/>
      <c r="WPR11" s="143"/>
      <c r="WPS11" s="143"/>
      <c r="WPT11" s="143"/>
      <c r="WPU11" s="143"/>
      <c r="WPV11" s="143"/>
      <c r="WPW11" s="143"/>
      <c r="WPX11" s="143"/>
      <c r="WPY11" s="143"/>
      <c r="WPZ11" s="143"/>
      <c r="WQA11" s="143"/>
      <c r="WQB11" s="143"/>
      <c r="WQC11" s="143"/>
      <c r="WQD11" s="143"/>
      <c r="WQE11" s="143"/>
      <c r="WQF11" s="143"/>
      <c r="WQG11" s="143"/>
      <c r="WQH11" s="143"/>
      <c r="WQI11" s="143"/>
      <c r="WQJ11" s="143"/>
      <c r="WQK11" s="143"/>
      <c r="WQL11" s="143"/>
      <c r="WQM11" s="143"/>
      <c r="WQN11" s="143"/>
      <c r="WQO11" s="143"/>
      <c r="WQP11" s="143"/>
      <c r="WQQ11" s="143"/>
      <c r="WQR11" s="143"/>
      <c r="WQS11" s="143"/>
      <c r="WQT11" s="143"/>
      <c r="WQU11" s="143"/>
      <c r="WQV11" s="143"/>
      <c r="WQW11" s="143"/>
      <c r="WQX11" s="143"/>
      <c r="WQY11" s="143"/>
      <c r="WQZ11" s="143"/>
      <c r="WRA11" s="143"/>
      <c r="WRB11" s="143"/>
      <c r="WRC11" s="143"/>
      <c r="WRD11" s="143"/>
      <c r="WRE11" s="143"/>
      <c r="WRF11" s="143"/>
      <c r="WRG11" s="143"/>
      <c r="WRH11" s="143"/>
      <c r="WRI11" s="143"/>
      <c r="WRJ11" s="143"/>
      <c r="WRK11" s="143"/>
      <c r="WRL11" s="143"/>
      <c r="WRM11" s="143"/>
      <c r="WRN11" s="143"/>
      <c r="WRO11" s="143"/>
      <c r="WRP11" s="143"/>
      <c r="WRQ11" s="143"/>
      <c r="WRR11" s="143"/>
      <c r="WRS11" s="143"/>
      <c r="WRT11" s="143"/>
      <c r="WRU11" s="143"/>
      <c r="WRV11" s="143"/>
      <c r="WRW11" s="143"/>
      <c r="WRX11" s="143"/>
      <c r="WRY11" s="143"/>
      <c r="WRZ11" s="143"/>
      <c r="WSA11" s="143"/>
      <c r="WSB11" s="143"/>
      <c r="WSC11" s="143"/>
      <c r="WSD11" s="143"/>
      <c r="WSE11" s="143"/>
      <c r="WSF11" s="143"/>
      <c r="WSG11" s="143"/>
      <c r="WSH11" s="143"/>
      <c r="WSI11" s="143"/>
      <c r="WSJ11" s="143"/>
      <c r="WSK11" s="143"/>
      <c r="WSL11" s="143"/>
      <c r="WSM11" s="143"/>
      <c r="WSN11" s="143"/>
      <c r="WSO11" s="143"/>
      <c r="WSP11" s="143"/>
      <c r="WSQ11" s="143"/>
      <c r="WSR11" s="143"/>
      <c r="WSS11" s="143"/>
      <c r="WST11" s="143"/>
      <c r="WSU11" s="143"/>
      <c r="WSV11" s="143"/>
      <c r="WSW11" s="143"/>
      <c r="WSX11" s="143"/>
      <c r="WSY11" s="143"/>
      <c r="WSZ11" s="143"/>
      <c r="WTA11" s="143"/>
      <c r="WTB11" s="143"/>
      <c r="WTC11" s="143"/>
      <c r="WTD11" s="143"/>
      <c r="WTE11" s="143"/>
      <c r="WTF11" s="143"/>
      <c r="WTG11" s="143"/>
      <c r="WTH11" s="143"/>
      <c r="WTI11" s="143"/>
      <c r="WTJ11" s="143"/>
      <c r="WTK11" s="143"/>
      <c r="WTL11" s="143"/>
      <c r="WTM11" s="143"/>
      <c r="WTN11" s="143"/>
      <c r="WTO11" s="143"/>
      <c r="WTP11" s="143"/>
      <c r="WTQ11" s="143"/>
      <c r="WTR11" s="143"/>
      <c r="WTS11" s="143"/>
      <c r="WTT11" s="143"/>
      <c r="WTU11" s="143"/>
      <c r="WTV11" s="143"/>
      <c r="WTW11" s="143"/>
      <c r="WTX11" s="143"/>
      <c r="WTY11" s="143"/>
      <c r="WTZ11" s="143"/>
      <c r="WUA11" s="143"/>
      <c r="WUB11" s="143"/>
      <c r="WUC11" s="143"/>
      <c r="WUD11" s="143"/>
      <c r="WUE11" s="143"/>
      <c r="WUF11" s="143"/>
      <c r="WUG11" s="143"/>
      <c r="WUH11" s="143"/>
      <c r="WUI11" s="143"/>
      <c r="WUJ11" s="143"/>
      <c r="WUK11" s="143"/>
      <c r="WUL11" s="143"/>
      <c r="WUM11" s="143"/>
      <c r="WUN11" s="143"/>
      <c r="WUO11" s="143"/>
      <c r="WUP11" s="143"/>
      <c r="WUQ11" s="143"/>
      <c r="WUR11" s="143"/>
      <c r="WUS11" s="143"/>
      <c r="WUT11" s="143"/>
      <c r="WUU11" s="143"/>
      <c r="WUV11" s="143"/>
      <c r="WUW11" s="143"/>
      <c r="WUX11" s="143"/>
      <c r="WUY11" s="143"/>
      <c r="WUZ11" s="143"/>
      <c r="WVA11" s="143"/>
      <c r="WVB11" s="143"/>
      <c r="WVC11" s="143"/>
      <c r="WVD11" s="143"/>
      <c r="WVE11" s="143"/>
      <c r="WVF11" s="143"/>
      <c r="WVG11" s="143"/>
      <c r="WVH11" s="143"/>
      <c r="WVI11" s="143"/>
      <c r="WVJ11" s="143"/>
      <c r="WVK11" s="143"/>
      <c r="WVL11" s="143"/>
      <c r="WVM11" s="143"/>
      <c r="WVN11" s="143"/>
      <c r="WVO11" s="143"/>
      <c r="WVP11" s="143"/>
      <c r="WVQ11" s="143"/>
      <c r="WVR11" s="143"/>
      <c r="WVS11" s="143"/>
      <c r="WVT11" s="143"/>
      <c r="WVU11" s="143"/>
      <c r="WVV11" s="143"/>
      <c r="WVW11" s="143"/>
      <c r="WVX11" s="143"/>
      <c r="WVY11" s="143"/>
      <c r="WVZ11" s="143"/>
      <c r="WWA11" s="143"/>
      <c r="WWB11" s="143"/>
      <c r="WWC11" s="143"/>
      <c r="WWD11" s="143"/>
      <c r="WWE11" s="143"/>
      <c r="WWF11" s="143"/>
      <c r="WWG11" s="143"/>
      <c r="WWH11" s="143"/>
      <c r="WWI11" s="143"/>
      <c r="WWJ11" s="143"/>
      <c r="WWK11" s="143"/>
      <c r="WWL11" s="143"/>
      <c r="WWM11" s="143"/>
      <c r="WWN11" s="143"/>
      <c r="WWO11" s="143"/>
      <c r="WWP11" s="143"/>
      <c r="WWQ11" s="143"/>
      <c r="WWR11" s="143"/>
      <c r="WWS11" s="143"/>
      <c r="WWT11" s="143"/>
      <c r="WWU11" s="143"/>
      <c r="WWV11" s="143"/>
      <c r="WWW11" s="143"/>
      <c r="WWX11" s="143"/>
      <c r="WWY11" s="143"/>
      <c r="WWZ11" s="143"/>
      <c r="WXA11" s="143"/>
      <c r="WXB11" s="143"/>
      <c r="WXC11" s="143"/>
      <c r="WXD11" s="143"/>
      <c r="WXE11" s="143"/>
      <c r="WXF11" s="143"/>
      <c r="WXG11" s="143"/>
      <c r="WXH11" s="143"/>
      <c r="WXI11" s="143"/>
      <c r="WXJ11" s="143"/>
      <c r="WXK11" s="143"/>
      <c r="WXL11" s="143"/>
      <c r="WXM11" s="143"/>
      <c r="WXN11" s="143"/>
      <c r="WXO11" s="143"/>
      <c r="WXP11" s="143"/>
      <c r="WXQ11" s="143"/>
      <c r="WXR11" s="143"/>
      <c r="WXS11" s="143"/>
      <c r="WXT11" s="143"/>
      <c r="WXU11" s="143"/>
      <c r="WXV11" s="143"/>
      <c r="WXW11" s="143"/>
      <c r="WXX11" s="143"/>
      <c r="WXY11" s="143"/>
      <c r="WXZ11" s="143"/>
      <c r="WYA11" s="143"/>
      <c r="WYB11" s="143"/>
      <c r="WYC11" s="143"/>
      <c r="WYD11" s="143"/>
      <c r="WYE11" s="143"/>
      <c r="WYF11" s="143"/>
      <c r="WYG11" s="143"/>
      <c r="WYH11" s="143"/>
      <c r="WYI11" s="143"/>
      <c r="WYJ11" s="143"/>
      <c r="WYK11" s="143"/>
      <c r="WYL11" s="143"/>
      <c r="WYM11" s="143"/>
      <c r="WYN11" s="143"/>
      <c r="WYO11" s="143"/>
      <c r="WYP11" s="143"/>
      <c r="WYQ11" s="143"/>
      <c r="WYR11" s="143"/>
      <c r="WYS11" s="143"/>
      <c r="WYT11" s="143"/>
      <c r="WYU11" s="143"/>
      <c r="WYV11" s="143"/>
      <c r="WYW11" s="143"/>
      <c r="WYX11" s="143"/>
      <c r="WYY11" s="143"/>
      <c r="WYZ11" s="143"/>
      <c r="WZA11" s="143"/>
      <c r="WZB11" s="143"/>
      <c r="WZC11" s="143"/>
      <c r="WZD11" s="143"/>
      <c r="WZE11" s="143"/>
      <c r="WZF11" s="143"/>
      <c r="WZG11" s="143"/>
      <c r="WZH11" s="143"/>
      <c r="WZI11" s="143"/>
      <c r="WZJ11" s="143"/>
      <c r="WZK11" s="143"/>
      <c r="WZL11" s="143"/>
      <c r="WZM11" s="143"/>
      <c r="WZN11" s="143"/>
      <c r="WZO11" s="143"/>
      <c r="WZP11" s="143"/>
      <c r="WZQ11" s="143"/>
      <c r="WZR11" s="143"/>
      <c r="WZS11" s="143"/>
      <c r="WZT11" s="143"/>
      <c r="WZU11" s="143"/>
      <c r="WZV11" s="143"/>
      <c r="WZW11" s="143"/>
      <c r="WZX11" s="143"/>
      <c r="WZY11" s="143"/>
      <c r="WZZ11" s="143"/>
      <c r="XAA11" s="143"/>
      <c r="XAB11" s="143"/>
      <c r="XAC11" s="143"/>
      <c r="XAD11" s="143"/>
      <c r="XAE11" s="143"/>
      <c r="XAF11" s="143"/>
      <c r="XAG11" s="143"/>
      <c r="XAH11" s="143"/>
      <c r="XAI11" s="143"/>
      <c r="XAJ11" s="143"/>
      <c r="XAK11" s="143"/>
      <c r="XAL11" s="143"/>
      <c r="XAM11" s="143"/>
      <c r="XAN11" s="143"/>
      <c r="XAO11" s="143"/>
      <c r="XAP11" s="143"/>
      <c r="XAQ11" s="143"/>
      <c r="XAR11" s="143"/>
      <c r="XAS11" s="143"/>
      <c r="XAT11" s="143"/>
      <c r="XAU11" s="143"/>
      <c r="XAV11" s="143"/>
      <c r="XAW11" s="143"/>
      <c r="XAX11" s="143"/>
      <c r="XAY11" s="143"/>
      <c r="XAZ11" s="143"/>
      <c r="XBA11" s="143"/>
      <c r="XBB11" s="143"/>
      <c r="XBC11" s="143"/>
      <c r="XBD11" s="143"/>
      <c r="XBE11" s="143"/>
      <c r="XBF11" s="143"/>
      <c r="XBG11" s="143"/>
      <c r="XBH11" s="143"/>
      <c r="XBI11" s="143"/>
      <c r="XBJ11" s="143"/>
      <c r="XBK11" s="143"/>
      <c r="XBL11" s="143"/>
      <c r="XBM11" s="143"/>
      <c r="XBN11" s="143"/>
      <c r="XBO11" s="143"/>
      <c r="XBP11" s="143"/>
      <c r="XBQ11" s="143"/>
      <c r="XBR11" s="143"/>
      <c r="XBS11" s="143"/>
      <c r="XBT11" s="143"/>
      <c r="XBU11" s="143"/>
      <c r="XBV11" s="143"/>
      <c r="XBW11" s="143"/>
      <c r="XBX11" s="143"/>
      <c r="XBY11" s="143"/>
      <c r="XBZ11" s="143"/>
      <c r="XCA11" s="143"/>
      <c r="XCB11" s="143"/>
      <c r="XCC11" s="143"/>
      <c r="XCD11" s="143"/>
      <c r="XCE11" s="143"/>
      <c r="XCF11" s="143"/>
      <c r="XCG11" s="143"/>
      <c r="XCH11" s="143"/>
      <c r="XCI11" s="143"/>
      <c r="XCJ11" s="143"/>
      <c r="XCK11" s="143"/>
      <c r="XCL11" s="143"/>
      <c r="XCM11" s="143"/>
      <c r="XCN11" s="143"/>
      <c r="XCO11" s="143"/>
      <c r="XCP11" s="143"/>
      <c r="XCQ11" s="143"/>
      <c r="XCR11" s="143"/>
      <c r="XCS11" s="143"/>
      <c r="XCT11" s="143"/>
      <c r="XCU11" s="143"/>
      <c r="XCV11" s="143"/>
      <c r="XCW11" s="143"/>
      <c r="XCX11" s="143"/>
      <c r="XCY11" s="143"/>
      <c r="XCZ11" s="143"/>
      <c r="XDA11" s="143"/>
      <c r="XDB11" s="143"/>
      <c r="XDC11" s="143"/>
      <c r="XDD11" s="143"/>
      <c r="XDE11" s="143"/>
      <c r="XDF11" s="143"/>
      <c r="XDG11" s="143"/>
      <c r="XDH11" s="143"/>
      <c r="XDI11" s="143"/>
      <c r="XDJ11" s="143"/>
      <c r="XDK11" s="143"/>
      <c r="XDL11" s="143"/>
      <c r="XDM11" s="143"/>
      <c r="XDN11" s="143"/>
      <c r="XDO11" s="143"/>
      <c r="XDP11" s="143"/>
      <c r="XDQ11" s="143"/>
      <c r="XDR11" s="143"/>
      <c r="XDS11" s="143"/>
      <c r="XDT11" s="143"/>
      <c r="XDU11" s="143"/>
      <c r="XDV11" s="143"/>
      <c r="XDW11" s="143"/>
      <c r="XDX11" s="143"/>
      <c r="XDY11" s="143"/>
      <c r="XDZ11" s="143"/>
      <c r="XEA11" s="143"/>
      <c r="XEB11" s="143"/>
      <c r="XEC11" s="143"/>
      <c r="XED11" s="143"/>
      <c r="XEE11" s="143"/>
      <c r="XEF11" s="143"/>
      <c r="XEG11" s="143"/>
      <c r="XEH11" s="143"/>
      <c r="XEI11" s="143"/>
      <c r="XEJ11" s="143"/>
      <c r="XEK11" s="143"/>
      <c r="XEL11" s="143"/>
      <c r="XEM11" s="143"/>
      <c r="XEN11" s="143"/>
      <c r="XEO11" s="143"/>
      <c r="XEP11" s="143"/>
      <c r="XEQ11" s="143"/>
      <c r="XER11" s="143"/>
      <c r="XES11" s="143"/>
      <c r="XET11" s="143"/>
      <c r="XEU11" s="143"/>
      <c r="XEV11" s="143"/>
      <c r="XEW11" s="143"/>
      <c r="XEX11" s="143"/>
      <c r="XEY11" s="143"/>
      <c r="XEZ11" s="143"/>
      <c r="XFA11" s="143"/>
      <c r="XFB11" s="143"/>
      <c r="XFC11" s="143"/>
      <c r="XFD11" s="143"/>
    </row>
    <row r="13" spans="1:16384" s="338" customFormat="1" x14ac:dyDescent="0.25">
      <c r="B13" s="171" t="s">
        <v>699</v>
      </c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</row>
    <row r="14" spans="1:16384" s="338" customFormat="1" x14ac:dyDescent="0.25">
      <c r="D14" s="175"/>
      <c r="E14" s="175"/>
    </row>
    <row r="15" spans="1:16384" x14ac:dyDescent="0.25">
      <c r="C15" s="22" t="str">
        <f ca="1">INDEX('Version control'!$H$34:$H$59,MATCH($A$1,'Version control'!$F$34:$F$59,0),1)&amp;"-A: Typical bill results"</f>
        <v>Output 502-A: Typical bill results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</row>
    <row r="16" spans="1:16384" x14ac:dyDescent="0.25">
      <c r="D16" s="160"/>
      <c r="E16" s="160"/>
    </row>
    <row r="17" spans="3:18" x14ac:dyDescent="0.25">
      <c r="E17" s="172" t="s">
        <v>700</v>
      </c>
      <c r="F17" s="172"/>
      <c r="I17" s="160" t="s">
        <v>525</v>
      </c>
      <c r="R17" s="160" t="s">
        <v>1013</v>
      </c>
    </row>
    <row r="18" spans="3:18" x14ac:dyDescent="0.25">
      <c r="C18" s="161"/>
      <c r="F18" s="180" t="s">
        <v>52</v>
      </c>
      <c r="G18" s="166" t="s">
        <v>124</v>
      </c>
      <c r="H18" s="166" t="s">
        <v>391</v>
      </c>
      <c r="I18" s="166"/>
      <c r="J18" s="467">
        <f t="array" ref="J18:J50">TRANSPOSE('Net revenue summary'!J124:AP124)</f>
        <v>83.318979038072314</v>
      </c>
      <c r="K18" s="468"/>
      <c r="L18" s="539">
        <v>83.318979038072314</v>
      </c>
      <c r="M18" s="539">
        <v>84.46628434579857</v>
      </c>
      <c r="N18" s="539">
        <v>88.792856717363478</v>
      </c>
      <c r="O18" s="539">
        <v>99.327956393287224</v>
      </c>
      <c r="P18" s="539">
        <v>101.86944964769009</v>
      </c>
    </row>
    <row r="19" spans="3:18" x14ac:dyDescent="0.25">
      <c r="C19" s="161"/>
      <c r="F19" s="176" t="s">
        <v>53</v>
      </c>
      <c r="G19" s="167" t="s">
        <v>124</v>
      </c>
      <c r="H19" s="167" t="s">
        <v>391</v>
      </c>
      <c r="I19" s="167"/>
      <c r="J19" s="469">
        <v>105.07340529918203</v>
      </c>
      <c r="K19" s="470"/>
      <c r="L19" s="540">
        <v>105.07340529918203</v>
      </c>
      <c r="M19" s="540">
        <v>106.19458956822039</v>
      </c>
      <c r="N19" s="540">
        <v>112.80996656836895</v>
      </c>
      <c r="O19" s="540">
        <v>130.3527552211535</v>
      </c>
      <c r="P19" s="540">
        <v>133.84862216970566</v>
      </c>
    </row>
    <row r="20" spans="3:18" x14ac:dyDescent="0.25">
      <c r="C20" s="161"/>
      <c r="F20" s="176" t="s">
        <v>84</v>
      </c>
      <c r="G20" s="167" t="s">
        <v>124</v>
      </c>
      <c r="H20" s="167" t="s">
        <v>391</v>
      </c>
      <c r="I20" s="167"/>
      <c r="J20" s="469">
        <v>23.802914211631819</v>
      </c>
      <c r="K20" s="470"/>
      <c r="L20" s="540">
        <v>23.802914211631819</v>
      </c>
      <c r="M20" s="540">
        <v>22.934357160275717</v>
      </c>
      <c r="N20" s="540">
        <v>25.868910730034603</v>
      </c>
      <c r="O20" s="540">
        <v>36.39261479442068</v>
      </c>
      <c r="P20" s="540">
        <v>36.675161028396538</v>
      </c>
    </row>
    <row r="21" spans="3:18" x14ac:dyDescent="0.25">
      <c r="C21" s="161"/>
      <c r="F21" s="176" t="s">
        <v>54</v>
      </c>
      <c r="G21" s="167" t="s">
        <v>124</v>
      </c>
      <c r="H21" s="167" t="s">
        <v>391</v>
      </c>
      <c r="I21" s="167"/>
      <c r="J21" s="469">
        <v>265.2316196125546</v>
      </c>
      <c r="K21" s="470"/>
      <c r="L21" s="540">
        <v>265.2316196125546</v>
      </c>
      <c r="M21" s="540">
        <v>269.04936120715837</v>
      </c>
      <c r="N21" s="540">
        <v>284.82942411992389</v>
      </c>
      <c r="O21" s="540">
        <v>324.49950015682924</v>
      </c>
      <c r="P21" s="540">
        <v>333.70509921860662</v>
      </c>
    </row>
    <row r="22" spans="3:18" x14ac:dyDescent="0.25">
      <c r="C22" s="161"/>
      <c r="F22" s="176" t="s">
        <v>55</v>
      </c>
      <c r="G22" s="167" t="s">
        <v>124</v>
      </c>
      <c r="H22" s="167" t="s">
        <v>391</v>
      </c>
      <c r="I22" s="167"/>
      <c r="J22" s="469">
        <v>445.51874393241934</v>
      </c>
      <c r="K22" s="470"/>
      <c r="L22" s="540">
        <v>445.51874393241934</v>
      </c>
      <c r="M22" s="540">
        <v>450.19505080566182</v>
      </c>
      <c r="N22" s="540">
        <v>474.78762187177381</v>
      </c>
      <c r="O22" s="540">
        <v>539.02337076491312</v>
      </c>
      <c r="P22" s="540">
        <v>551.65010554851108</v>
      </c>
    </row>
    <row r="23" spans="3:18" x14ac:dyDescent="0.25">
      <c r="C23" s="161"/>
      <c r="F23" s="176" t="s">
        <v>85</v>
      </c>
      <c r="G23" s="167" t="s">
        <v>124</v>
      </c>
      <c r="H23" s="167" t="s">
        <v>391</v>
      </c>
      <c r="I23" s="167"/>
      <c r="J23" s="469">
        <v>50.475387553870995</v>
      </c>
      <c r="K23" s="470"/>
      <c r="L23" s="540">
        <v>50.475387553870995</v>
      </c>
      <c r="M23" s="540">
        <v>49.773151428385518</v>
      </c>
      <c r="N23" s="540">
        <v>55.719227789710629</v>
      </c>
      <c r="O23" s="540">
        <v>75.334686836911374</v>
      </c>
      <c r="P23" s="540">
        <v>76.959972438367615</v>
      </c>
    </row>
    <row r="24" spans="3:18" x14ac:dyDescent="0.25">
      <c r="C24" s="161"/>
      <c r="F24" s="176" t="s">
        <v>56</v>
      </c>
      <c r="G24" s="167" t="s">
        <v>124</v>
      </c>
      <c r="H24" s="167" t="s">
        <v>391</v>
      </c>
      <c r="I24" s="167"/>
      <c r="J24" s="469">
        <v>1205.7626540067236</v>
      </c>
      <c r="K24" s="470"/>
      <c r="L24" s="540">
        <v>1205.7626540067236</v>
      </c>
      <c r="M24" s="540">
        <v>1218.1870954740511</v>
      </c>
      <c r="N24" s="540">
        <v>1297.3705195607267</v>
      </c>
      <c r="O24" s="540">
        <v>1511.1306447174175</v>
      </c>
      <c r="P24" s="540">
        <v>1550.5842540893932</v>
      </c>
    </row>
    <row r="25" spans="3:18" x14ac:dyDescent="0.25">
      <c r="C25" s="161"/>
      <c r="F25" s="176" t="s">
        <v>57</v>
      </c>
      <c r="G25" s="167" t="s">
        <v>124</v>
      </c>
      <c r="H25" s="167" t="s">
        <v>391</v>
      </c>
      <c r="I25" s="167"/>
      <c r="J25" s="469" t="str">
        <v/>
      </c>
      <c r="K25" s="470"/>
      <c r="L25" s="540"/>
      <c r="M25" s="540"/>
      <c r="N25" s="540"/>
      <c r="O25" s="540"/>
      <c r="P25" s="540"/>
    </row>
    <row r="26" spans="3:18" x14ac:dyDescent="0.25">
      <c r="C26" s="161"/>
      <c r="F26" s="176" t="s">
        <v>72</v>
      </c>
      <c r="G26" s="167" t="s">
        <v>124</v>
      </c>
      <c r="H26" s="167" t="s">
        <v>391</v>
      </c>
      <c r="I26" s="167"/>
      <c r="J26" s="469">
        <v>1665.5384750396299</v>
      </c>
      <c r="K26" s="470"/>
      <c r="L26" s="540">
        <v>1665.5384750396299</v>
      </c>
      <c r="M26" s="540">
        <v>1695.7652210743436</v>
      </c>
      <c r="N26" s="540">
        <v>1786.6167229790356</v>
      </c>
      <c r="O26" s="540">
        <v>2006.6378503930969</v>
      </c>
      <c r="P26" s="540">
        <v>2058.3348819857638</v>
      </c>
    </row>
    <row r="27" spans="3:18" x14ac:dyDescent="0.25">
      <c r="C27" s="161"/>
      <c r="F27" s="176" t="s">
        <v>58</v>
      </c>
      <c r="G27" s="167" t="s">
        <v>124</v>
      </c>
      <c r="H27" s="167" t="s">
        <v>391</v>
      </c>
      <c r="I27" s="167"/>
      <c r="J27" s="469">
        <v>119.70236451690202</v>
      </c>
      <c r="K27" s="470"/>
      <c r="L27" s="540">
        <v>119.70236451690202</v>
      </c>
      <c r="M27" s="540">
        <v>121.72290340983999</v>
      </c>
      <c r="N27" s="540">
        <v>128.05071221119715</v>
      </c>
      <c r="O27" s="540">
        <v>142.86363036749913</v>
      </c>
      <c r="P27" s="540">
        <v>146.9278172589552</v>
      </c>
    </row>
    <row r="28" spans="3:18" x14ac:dyDescent="0.25">
      <c r="C28" s="161"/>
      <c r="F28" s="176" t="s">
        <v>59</v>
      </c>
      <c r="G28" s="167" t="s">
        <v>124</v>
      </c>
      <c r="H28" s="167" t="s">
        <v>391</v>
      </c>
      <c r="I28" s="167"/>
      <c r="J28" s="469">
        <v>1437.689704768469</v>
      </c>
      <c r="K28" s="470"/>
      <c r="L28" s="540">
        <v>1437.689704768469</v>
      </c>
      <c r="M28" s="540">
        <v>1462.2051912143711</v>
      </c>
      <c r="N28" s="540">
        <v>1554.4153875775235</v>
      </c>
      <c r="O28" s="540">
        <v>1780.8103276845652</v>
      </c>
      <c r="P28" s="540">
        <v>1836.7580499939311</v>
      </c>
    </row>
    <row r="29" spans="3:18" x14ac:dyDescent="0.25">
      <c r="C29" s="161"/>
      <c r="F29" s="176" t="s">
        <v>60</v>
      </c>
      <c r="G29" s="167" t="s">
        <v>124</v>
      </c>
      <c r="H29" s="167" t="s">
        <v>391</v>
      </c>
      <c r="I29" s="167"/>
      <c r="J29" s="469">
        <v>4967.8409722954029</v>
      </c>
      <c r="K29" s="470"/>
      <c r="L29" s="540">
        <v>4967.8409722954029</v>
      </c>
      <c r="M29" s="540">
        <v>5008.5447467545082</v>
      </c>
      <c r="N29" s="540">
        <v>5284.383973789706</v>
      </c>
      <c r="O29" s="540">
        <v>6027.2681031562734</v>
      </c>
      <c r="P29" s="540">
        <v>6156.8264751861616</v>
      </c>
    </row>
    <row r="30" spans="3:18" x14ac:dyDescent="0.25">
      <c r="C30" s="161"/>
      <c r="F30" s="176" t="s">
        <v>61</v>
      </c>
      <c r="G30" s="167" t="s">
        <v>124</v>
      </c>
      <c r="H30" s="167" t="s">
        <v>391</v>
      </c>
      <c r="I30" s="167"/>
      <c r="J30" s="469">
        <v>18573.394331181335</v>
      </c>
      <c r="K30" s="470"/>
      <c r="L30" s="540">
        <v>18573.394331181335</v>
      </c>
      <c r="M30" s="540">
        <v>18758.229837302355</v>
      </c>
      <c r="N30" s="540">
        <v>20073.269065770568</v>
      </c>
      <c r="O30" s="540">
        <v>23719.731198106401</v>
      </c>
      <c r="P30" s="540">
        <v>24341.868221465469</v>
      </c>
    </row>
    <row r="31" spans="3:18" x14ac:dyDescent="0.25">
      <c r="C31" s="161"/>
      <c r="F31" s="176" t="s">
        <v>73</v>
      </c>
      <c r="G31" s="167" t="s">
        <v>124</v>
      </c>
      <c r="H31" s="167" t="s">
        <v>391</v>
      </c>
      <c r="I31" s="167"/>
      <c r="J31" s="469">
        <v>40716.57484455753</v>
      </c>
      <c r="K31" s="470"/>
      <c r="L31" s="540">
        <v>40716.57484455753</v>
      </c>
      <c r="M31" s="540">
        <v>40946.059285644398</v>
      </c>
      <c r="N31" s="540">
        <v>43377.678895667807</v>
      </c>
      <c r="O31" s="540">
        <v>50109.051602270287</v>
      </c>
      <c r="P31" s="540">
        <v>51078.197859166023</v>
      </c>
    </row>
    <row r="32" spans="3:18" x14ac:dyDescent="0.25">
      <c r="C32" s="161"/>
      <c r="F32" s="176" t="s">
        <v>86</v>
      </c>
      <c r="G32" s="167" t="s">
        <v>124</v>
      </c>
      <c r="H32" s="167" t="s">
        <v>391</v>
      </c>
      <c r="I32" s="167"/>
      <c r="J32" s="469">
        <v>302.42599021890214</v>
      </c>
      <c r="K32" s="470"/>
      <c r="L32" s="540">
        <v>302.42599021890214</v>
      </c>
      <c r="M32" s="540">
        <v>308.27194861547213</v>
      </c>
      <c r="N32" s="540">
        <v>323.38938671383903</v>
      </c>
      <c r="O32" s="540">
        <v>360.67073750687661</v>
      </c>
      <c r="P32" s="540">
        <v>368.61786140844828</v>
      </c>
    </row>
    <row r="33" spans="3:16" x14ac:dyDescent="0.25">
      <c r="C33" s="161"/>
      <c r="F33" s="176" t="s">
        <v>87</v>
      </c>
      <c r="G33" s="167" t="s">
        <v>124</v>
      </c>
      <c r="H33" s="167" t="s">
        <v>391</v>
      </c>
      <c r="I33" s="167"/>
      <c r="J33" s="469">
        <v>315.55850180719057</v>
      </c>
      <c r="K33" s="470"/>
      <c r="L33" s="540">
        <v>315.55850180719057</v>
      </c>
      <c r="M33" s="540">
        <v>321.17308010187753</v>
      </c>
      <c r="N33" s="540">
        <v>336.85180049952669</v>
      </c>
      <c r="O33" s="540">
        <v>374.6932944014917</v>
      </c>
      <c r="P33" s="540">
        <v>383.40499562276972</v>
      </c>
    </row>
    <row r="34" spans="3:16" x14ac:dyDescent="0.25">
      <c r="C34" s="161"/>
      <c r="F34" s="176" t="s">
        <v>88</v>
      </c>
      <c r="G34" s="167" t="s">
        <v>124</v>
      </c>
      <c r="H34" s="167" t="s">
        <v>391</v>
      </c>
      <c r="I34" s="167"/>
      <c r="J34" s="469">
        <v>178.5564615944559</v>
      </c>
      <c r="K34" s="470"/>
      <c r="L34" s="540">
        <v>178.5564615944559</v>
      </c>
      <c r="M34" s="540">
        <v>182.57858538000141</v>
      </c>
      <c r="N34" s="540">
        <v>190.8166033987774</v>
      </c>
      <c r="O34" s="540">
        <v>208.96271356067481</v>
      </c>
      <c r="P34" s="540">
        <v>214.10884587363367</v>
      </c>
    </row>
    <row r="35" spans="3:16" x14ac:dyDescent="0.25">
      <c r="C35" s="161"/>
      <c r="F35" s="176" t="s">
        <v>89</v>
      </c>
      <c r="G35" s="167" t="s">
        <v>124</v>
      </c>
      <c r="H35" s="167" t="s">
        <v>391</v>
      </c>
      <c r="I35" s="167"/>
      <c r="J35" s="469">
        <v>434.15434264600299</v>
      </c>
      <c r="K35" s="470"/>
      <c r="L35" s="540">
        <v>434.15434264600299</v>
      </c>
      <c r="M35" s="540">
        <v>442.9007248859088</v>
      </c>
      <c r="N35" s="540">
        <v>464.46942773979026</v>
      </c>
      <c r="O35" s="540">
        <v>518.25209806661735</v>
      </c>
      <c r="P35" s="540">
        <v>529.26691085636548</v>
      </c>
    </row>
    <row r="36" spans="3:16" x14ac:dyDescent="0.25">
      <c r="C36" s="161"/>
      <c r="F36" s="176" t="s">
        <v>90</v>
      </c>
      <c r="G36" s="167" t="s">
        <v>124</v>
      </c>
      <c r="H36" s="167" t="s">
        <v>391</v>
      </c>
      <c r="I36" s="167"/>
      <c r="J36" s="469">
        <v>142851.94934007525</v>
      </c>
      <c r="K36" s="470"/>
      <c r="L36" s="540">
        <v>142851.94934007525</v>
      </c>
      <c r="M36" s="540">
        <v>145557.92960012483</v>
      </c>
      <c r="N36" s="540">
        <v>152586.42860101713</v>
      </c>
      <c r="O36" s="540">
        <v>169517.79005277474</v>
      </c>
      <c r="P36" s="540">
        <v>173439.24702426232</v>
      </c>
    </row>
    <row r="37" spans="3:16" x14ac:dyDescent="0.25">
      <c r="C37" s="161"/>
      <c r="F37" s="176" t="s">
        <v>62</v>
      </c>
      <c r="G37" s="167" t="s">
        <v>124</v>
      </c>
      <c r="H37" s="167" t="s">
        <v>391</v>
      </c>
      <c r="I37" s="167"/>
      <c r="J37" s="469">
        <v>-30.341658330994445</v>
      </c>
      <c r="K37" s="470"/>
      <c r="L37" s="540">
        <v>-30.341658330994445</v>
      </c>
      <c r="M37" s="540">
        <v>-31.259161720916158</v>
      </c>
      <c r="N37" s="540">
        <v>-31.872329912895648</v>
      </c>
      <c r="O37" s="540">
        <v>-32.472608773020958</v>
      </c>
      <c r="P37" s="540">
        <v>-33.171465666868066</v>
      </c>
    </row>
    <row r="38" spans="3:16" x14ac:dyDescent="0.25">
      <c r="C38" s="161"/>
      <c r="F38" s="176" t="s">
        <v>63</v>
      </c>
      <c r="G38" s="167" t="s">
        <v>124</v>
      </c>
      <c r="H38" s="167" t="s">
        <v>391</v>
      </c>
      <c r="I38" s="167"/>
      <c r="J38" s="469">
        <v>-40.622809373980218</v>
      </c>
      <c r="K38" s="470"/>
      <c r="L38" s="540">
        <v>-40.622809373980218</v>
      </c>
      <c r="M38" s="540">
        <v>-41.850261168014157</v>
      </c>
      <c r="N38" s="540">
        <v>-43.136163047478277</v>
      </c>
      <c r="O38" s="540">
        <v>-44.422064926942397</v>
      </c>
      <c r="P38" s="540">
        <v>-45.824866977266893</v>
      </c>
    </row>
    <row r="39" spans="3:16" x14ac:dyDescent="0.25">
      <c r="C39" s="161"/>
      <c r="F39" s="176" t="s">
        <v>64</v>
      </c>
      <c r="G39" s="167" t="s">
        <v>124</v>
      </c>
      <c r="H39" s="167" t="s">
        <v>391</v>
      </c>
      <c r="I39" s="167"/>
      <c r="J39" s="469">
        <v>-341.48515758242036</v>
      </c>
      <c r="K39" s="470"/>
      <c r="L39" s="540">
        <v>-341.48515758242036</v>
      </c>
      <c r="M39" s="540">
        <v>-371.10702553362262</v>
      </c>
      <c r="N39" s="540">
        <v>-355.90733932321643</v>
      </c>
      <c r="O39" s="540">
        <v>-342.59753445728614</v>
      </c>
      <c r="P39" s="540">
        <v>-331.8194355064835</v>
      </c>
    </row>
    <row r="40" spans="3:16" x14ac:dyDescent="0.25">
      <c r="C40" s="161"/>
      <c r="F40" s="176" t="s">
        <v>65</v>
      </c>
      <c r="G40" s="167" t="s">
        <v>124</v>
      </c>
      <c r="H40" s="167" t="s">
        <v>391</v>
      </c>
      <c r="I40" s="167"/>
      <c r="J40" s="469" t="str">
        <v/>
      </c>
      <c r="K40" s="470"/>
      <c r="L40" s="540"/>
      <c r="M40" s="540"/>
      <c r="N40" s="540"/>
      <c r="O40" s="540"/>
      <c r="P40" s="540"/>
    </row>
    <row r="41" spans="3:16" x14ac:dyDescent="0.25">
      <c r="C41" s="161"/>
      <c r="F41" s="176" t="s">
        <v>66</v>
      </c>
      <c r="G41" s="167" t="s">
        <v>124</v>
      </c>
      <c r="H41" s="167" t="s">
        <v>391</v>
      </c>
      <c r="I41" s="167"/>
      <c r="J41" s="469">
        <v>-2674.6482224974402</v>
      </c>
      <c r="K41" s="470"/>
      <c r="L41" s="540">
        <v>-2674.6482224974402</v>
      </c>
      <c r="M41" s="540">
        <v>-2757.5311353216534</v>
      </c>
      <c r="N41" s="540">
        <v>-2841.7140213191738</v>
      </c>
      <c r="O41" s="540">
        <v>-2936.0081044505059</v>
      </c>
      <c r="P41" s="540">
        <v>-3019.9239953775354</v>
      </c>
    </row>
    <row r="42" spans="3:16" x14ac:dyDescent="0.25">
      <c r="C42" s="161"/>
      <c r="F42" s="176" t="s">
        <v>67</v>
      </c>
      <c r="G42" s="167" t="s">
        <v>124</v>
      </c>
      <c r="H42" s="167" t="s">
        <v>391</v>
      </c>
      <c r="I42" s="167"/>
      <c r="J42" s="469" t="str">
        <v/>
      </c>
      <c r="K42" s="470"/>
      <c r="L42" s="540"/>
      <c r="M42" s="540"/>
      <c r="N42" s="540"/>
      <c r="O42" s="540"/>
      <c r="P42" s="540"/>
    </row>
    <row r="43" spans="3:16" x14ac:dyDescent="0.25">
      <c r="C43" s="161"/>
      <c r="F43" s="176" t="s">
        <v>68</v>
      </c>
      <c r="G43" s="167" t="s">
        <v>124</v>
      </c>
      <c r="H43" s="167" t="s">
        <v>391</v>
      </c>
      <c r="I43" s="167"/>
      <c r="J43" s="469">
        <v>0</v>
      </c>
      <c r="K43" s="470"/>
      <c r="L43" s="540">
        <v>0</v>
      </c>
      <c r="M43" s="540">
        <v>0</v>
      </c>
      <c r="N43" s="540">
        <v>0</v>
      </c>
      <c r="O43" s="540">
        <v>0</v>
      </c>
      <c r="P43" s="540">
        <v>0</v>
      </c>
    </row>
    <row r="44" spans="3:16" x14ac:dyDescent="0.25">
      <c r="C44" s="161"/>
      <c r="F44" s="176" t="s">
        <v>69</v>
      </c>
      <c r="G44" s="167" t="s">
        <v>124</v>
      </c>
      <c r="H44" s="167" t="s">
        <v>391</v>
      </c>
      <c r="I44" s="167"/>
      <c r="J44" s="469" t="str">
        <v/>
      </c>
      <c r="K44" s="470"/>
      <c r="L44" s="540"/>
      <c r="M44" s="540"/>
      <c r="N44" s="540"/>
      <c r="O44" s="540"/>
      <c r="P44" s="540"/>
    </row>
    <row r="45" spans="3:16" x14ac:dyDescent="0.25">
      <c r="C45" s="161"/>
      <c r="F45" s="176" t="s">
        <v>70</v>
      </c>
      <c r="G45" s="167" t="s">
        <v>124</v>
      </c>
      <c r="H45" s="167" t="s">
        <v>391</v>
      </c>
      <c r="I45" s="167"/>
      <c r="J45" s="469" t="str">
        <v/>
      </c>
      <c r="K45" s="470"/>
      <c r="L45" s="540"/>
      <c r="M45" s="540"/>
      <c r="N45" s="540"/>
      <c r="O45" s="540"/>
      <c r="P45" s="540"/>
    </row>
    <row r="46" spans="3:16" x14ac:dyDescent="0.25">
      <c r="C46" s="161"/>
      <c r="F46" s="176" t="s">
        <v>71</v>
      </c>
      <c r="G46" s="167" t="s">
        <v>124</v>
      </c>
      <c r="H46" s="167" t="s">
        <v>391</v>
      </c>
      <c r="I46" s="167"/>
      <c r="J46" s="469" t="str">
        <v/>
      </c>
      <c r="K46" s="470"/>
      <c r="L46" s="540"/>
      <c r="M46" s="540"/>
      <c r="N46" s="540"/>
      <c r="O46" s="540"/>
      <c r="P46" s="540"/>
    </row>
    <row r="47" spans="3:16" x14ac:dyDescent="0.25">
      <c r="C47" s="161"/>
      <c r="F47" s="176" t="s">
        <v>74</v>
      </c>
      <c r="G47" s="167" t="s">
        <v>124</v>
      </c>
      <c r="H47" s="167" t="s">
        <v>391</v>
      </c>
      <c r="I47" s="167"/>
      <c r="J47" s="469">
        <v>-11988.23414393565</v>
      </c>
      <c r="K47" s="470"/>
      <c r="L47" s="540">
        <v>-11988.23414393565</v>
      </c>
      <c r="M47" s="540">
        <v>-12377.784400622819</v>
      </c>
      <c r="N47" s="540">
        <v>-11206.833370830573</v>
      </c>
      <c r="O47" s="540">
        <v>-13169.134854203892</v>
      </c>
      <c r="P47" s="540">
        <v>-14978.059888494883</v>
      </c>
    </row>
    <row r="48" spans="3:16" x14ac:dyDescent="0.25">
      <c r="C48" s="161"/>
      <c r="F48" s="176" t="s">
        <v>75</v>
      </c>
      <c r="G48" s="167" t="s">
        <v>124</v>
      </c>
      <c r="H48" s="167" t="s">
        <v>391</v>
      </c>
      <c r="I48" s="167"/>
      <c r="J48" s="469" t="str">
        <v/>
      </c>
      <c r="K48" s="470"/>
      <c r="L48" s="540"/>
      <c r="M48" s="540"/>
      <c r="N48" s="540"/>
      <c r="O48" s="540"/>
      <c r="P48" s="540"/>
    </row>
    <row r="49" spans="3:18" x14ac:dyDescent="0.25">
      <c r="C49" s="161"/>
      <c r="F49" s="176" t="s">
        <v>76</v>
      </c>
      <c r="G49" s="167" t="s">
        <v>124</v>
      </c>
      <c r="H49" s="167" t="s">
        <v>391</v>
      </c>
      <c r="I49" s="167"/>
      <c r="J49" s="469">
        <v>-24405.486571390586</v>
      </c>
      <c r="K49" s="470"/>
      <c r="L49" s="540">
        <v>-24405.486571390586</v>
      </c>
      <c r="M49" s="540">
        <v>-25176.527874909869</v>
      </c>
      <c r="N49" s="540">
        <v>-25940.629990823498</v>
      </c>
      <c r="O49" s="540">
        <v>-26842.780364850656</v>
      </c>
      <c r="P49" s="540">
        <v>-27592.081011813163</v>
      </c>
    </row>
    <row r="50" spans="3:18" x14ac:dyDescent="0.25">
      <c r="C50" s="161"/>
      <c r="F50" s="177" t="s">
        <v>77</v>
      </c>
      <c r="G50" s="168" t="s">
        <v>124</v>
      </c>
      <c r="H50" s="168" t="s">
        <v>391</v>
      </c>
      <c r="I50" s="168"/>
      <c r="J50" s="471" t="str">
        <v/>
      </c>
      <c r="K50" s="472"/>
      <c r="L50" s="541"/>
      <c r="M50" s="541"/>
      <c r="N50" s="541"/>
      <c r="O50" s="541"/>
      <c r="P50" s="541"/>
    </row>
    <row r="51" spans="3:18" x14ac:dyDescent="0.25">
      <c r="D51" s="160"/>
      <c r="E51" s="160"/>
      <c r="J51" s="473"/>
      <c r="K51" s="473"/>
      <c r="L51" s="542"/>
      <c r="M51" s="542"/>
      <c r="N51" s="542"/>
      <c r="O51" s="542"/>
      <c r="P51" s="542"/>
    </row>
    <row r="52" spans="3:18" x14ac:dyDescent="0.25">
      <c r="E52" s="172" t="s">
        <v>701</v>
      </c>
      <c r="F52" s="172"/>
      <c r="I52" s="160" t="s">
        <v>525</v>
      </c>
      <c r="J52" s="473"/>
      <c r="K52" s="473"/>
      <c r="L52" s="542"/>
      <c r="M52" s="542"/>
      <c r="N52" s="542"/>
      <c r="O52" s="542"/>
      <c r="P52" s="542"/>
      <c r="R52" s="474" t="s">
        <v>1013</v>
      </c>
    </row>
    <row r="53" spans="3:18" x14ac:dyDescent="0.25">
      <c r="C53" s="161"/>
      <c r="F53" s="180" t="s">
        <v>52</v>
      </c>
      <c r="G53" s="166" t="s">
        <v>124</v>
      </c>
      <c r="H53" s="166" t="s">
        <v>163</v>
      </c>
      <c r="I53" s="166"/>
      <c r="J53" s="467">
        <f t="array" ref="J53:J85">TRANSPOSE('Net revenue summary'!J125:AP125)</f>
        <v>43.350008078852774</v>
      </c>
      <c r="K53" s="468"/>
      <c r="L53" s="539">
        <v>43.350008078852774</v>
      </c>
      <c r="M53" s="539">
        <v>44.688161001576404</v>
      </c>
      <c r="N53" s="539">
        <v>47.707762269564824</v>
      </c>
      <c r="O53" s="539">
        <v>54.061980627975665</v>
      </c>
      <c r="P53" s="539">
        <v>56.253183247632712</v>
      </c>
    </row>
    <row r="54" spans="3:18" x14ac:dyDescent="0.25">
      <c r="C54" s="161"/>
      <c r="F54" s="176" t="s">
        <v>53</v>
      </c>
      <c r="G54" s="167" t="s">
        <v>124</v>
      </c>
      <c r="H54" s="167" t="s">
        <v>163</v>
      </c>
      <c r="I54" s="167"/>
      <c r="J54" s="469">
        <v>43.238040648784001</v>
      </c>
      <c r="K54" s="470"/>
      <c r="L54" s="540">
        <v>43.238040648784001</v>
      </c>
      <c r="M54" s="540">
        <v>43.58504869088074</v>
      </c>
      <c r="N54" s="540">
        <v>46.018071315825509</v>
      </c>
      <c r="O54" s="540">
        <v>52.521043413952057</v>
      </c>
      <c r="P54" s="540">
        <v>53.823238299369372</v>
      </c>
    </row>
    <row r="55" spans="3:18" x14ac:dyDescent="0.25">
      <c r="C55" s="161"/>
      <c r="F55" s="176" t="s">
        <v>84</v>
      </c>
      <c r="G55" s="167" t="s">
        <v>124</v>
      </c>
      <c r="H55" s="167" t="s">
        <v>163</v>
      </c>
      <c r="I55" s="167"/>
      <c r="J55" s="469" t="str">
        <v/>
      </c>
      <c r="K55" s="470"/>
      <c r="L55" s="540"/>
      <c r="M55" s="540"/>
      <c r="N55" s="540"/>
      <c r="O55" s="540"/>
      <c r="P55" s="540"/>
    </row>
    <row r="56" spans="3:18" x14ac:dyDescent="0.25">
      <c r="C56" s="161"/>
      <c r="F56" s="176" t="s">
        <v>54</v>
      </c>
      <c r="G56" s="167" t="s">
        <v>124</v>
      </c>
      <c r="H56" s="167" t="s">
        <v>163</v>
      </c>
      <c r="I56" s="167"/>
      <c r="J56" s="469">
        <v>103.43529144915836</v>
      </c>
      <c r="K56" s="470"/>
      <c r="L56" s="540">
        <v>103.43529144915836</v>
      </c>
      <c r="M56" s="540">
        <v>104.72464916418879</v>
      </c>
      <c r="N56" s="540">
        <v>110.53062320813241</v>
      </c>
      <c r="O56" s="540">
        <v>125.22115805190165</v>
      </c>
      <c r="P56" s="540">
        <v>128.64082303704336</v>
      </c>
    </row>
    <row r="57" spans="3:18" x14ac:dyDescent="0.25">
      <c r="C57" s="161"/>
      <c r="F57" s="176" t="s">
        <v>55</v>
      </c>
      <c r="G57" s="167" t="s">
        <v>124</v>
      </c>
      <c r="H57" s="167" t="s">
        <v>163</v>
      </c>
      <c r="I57" s="167"/>
      <c r="J57" s="469">
        <v>343.46406368234472</v>
      </c>
      <c r="K57" s="470"/>
      <c r="L57" s="540">
        <v>343.46406368234472</v>
      </c>
      <c r="M57" s="540">
        <v>348.05659074011783</v>
      </c>
      <c r="N57" s="540">
        <v>368.04274599137216</v>
      </c>
      <c r="O57" s="540">
        <v>417.69633744999152</v>
      </c>
      <c r="P57" s="540">
        <v>429.23575147216343</v>
      </c>
    </row>
    <row r="58" spans="3:18" x14ac:dyDescent="0.25">
      <c r="C58" s="161"/>
      <c r="F58" s="176" t="s">
        <v>85</v>
      </c>
      <c r="G58" s="167" t="s">
        <v>124</v>
      </c>
      <c r="H58" s="167" t="s">
        <v>163</v>
      </c>
      <c r="I58" s="167"/>
      <c r="J58" s="469" t="str">
        <v/>
      </c>
      <c r="K58" s="470"/>
      <c r="L58" s="540"/>
      <c r="M58" s="540"/>
      <c r="N58" s="540"/>
      <c r="O58" s="540"/>
      <c r="P58" s="540"/>
    </row>
    <row r="59" spans="3:18" x14ac:dyDescent="0.25">
      <c r="C59" s="161"/>
      <c r="F59" s="176" t="s">
        <v>56</v>
      </c>
      <c r="G59" s="167" t="s">
        <v>124</v>
      </c>
      <c r="H59" s="167" t="s">
        <v>163</v>
      </c>
      <c r="I59" s="167"/>
      <c r="J59" s="469">
        <v>752.69878101294273</v>
      </c>
      <c r="K59" s="470"/>
      <c r="L59" s="540">
        <v>752.69878101294273</v>
      </c>
      <c r="M59" s="540">
        <v>758.92476106901017</v>
      </c>
      <c r="N59" s="540">
        <v>812.20434852662231</v>
      </c>
      <c r="O59" s="540">
        <v>959.2684851244893</v>
      </c>
      <c r="P59" s="540">
        <v>984.77272567875229</v>
      </c>
    </row>
    <row r="60" spans="3:18" x14ac:dyDescent="0.25">
      <c r="C60" s="161"/>
      <c r="F60" s="176" t="s">
        <v>57</v>
      </c>
      <c r="G60" s="167" t="s">
        <v>124</v>
      </c>
      <c r="H60" s="167" t="s">
        <v>163</v>
      </c>
      <c r="I60" s="167"/>
      <c r="J60" s="403" t="str">
        <v/>
      </c>
      <c r="K60" s="470"/>
      <c r="L60" s="543"/>
      <c r="M60" s="543"/>
      <c r="N60" s="543"/>
      <c r="O60" s="543"/>
      <c r="P60" s="543"/>
    </row>
    <row r="61" spans="3:18" x14ac:dyDescent="0.25">
      <c r="C61" s="161"/>
      <c r="F61" s="176" t="s">
        <v>72</v>
      </c>
      <c r="G61" s="167" t="s">
        <v>124</v>
      </c>
      <c r="H61" s="167" t="s">
        <v>163</v>
      </c>
      <c r="I61" s="167"/>
      <c r="J61" s="403" t="str">
        <v/>
      </c>
      <c r="K61" s="470"/>
      <c r="L61" s="543"/>
      <c r="M61" s="543"/>
      <c r="N61" s="543"/>
      <c r="O61" s="543"/>
      <c r="P61" s="543"/>
    </row>
    <row r="62" spans="3:18" x14ac:dyDescent="0.25">
      <c r="C62" s="161"/>
      <c r="F62" s="176" t="s">
        <v>58</v>
      </c>
      <c r="G62" s="167" t="s">
        <v>124</v>
      </c>
      <c r="H62" s="167" t="s">
        <v>163</v>
      </c>
      <c r="I62" s="167"/>
      <c r="J62" s="469">
        <v>72.185241178432321</v>
      </c>
      <c r="K62" s="470"/>
      <c r="L62" s="540">
        <v>72.185241178432321</v>
      </c>
      <c r="M62" s="540">
        <v>73.20971502086762</v>
      </c>
      <c r="N62" s="540">
        <v>77.376301925175639</v>
      </c>
      <c r="O62" s="540">
        <v>87.697016825830829</v>
      </c>
      <c r="P62" s="540">
        <v>90.168187590528817</v>
      </c>
    </row>
    <row r="63" spans="3:18" x14ac:dyDescent="0.25">
      <c r="C63" s="161"/>
      <c r="F63" s="176" t="s">
        <v>59</v>
      </c>
      <c r="G63" s="167" t="s">
        <v>124</v>
      </c>
      <c r="H63" s="167" t="s">
        <v>163</v>
      </c>
      <c r="I63" s="167"/>
      <c r="J63" s="469">
        <v>1274.8161370689454</v>
      </c>
      <c r="K63" s="470"/>
      <c r="L63" s="540">
        <v>1274.8161370689454</v>
      </c>
      <c r="M63" s="540">
        <v>1288.1610833127029</v>
      </c>
      <c r="N63" s="540">
        <v>1370.2437139453978</v>
      </c>
      <c r="O63" s="540">
        <v>1588.0958966039991</v>
      </c>
      <c r="P63" s="540">
        <v>1631.3198767574399</v>
      </c>
    </row>
    <row r="64" spans="3:18" x14ac:dyDescent="0.25">
      <c r="C64" s="161"/>
      <c r="F64" s="176" t="s">
        <v>60</v>
      </c>
      <c r="G64" s="167" t="s">
        <v>124</v>
      </c>
      <c r="H64" s="167" t="s">
        <v>163</v>
      </c>
      <c r="I64" s="167"/>
      <c r="J64" s="469">
        <v>2272.8500441584038</v>
      </c>
      <c r="K64" s="470"/>
      <c r="L64" s="540">
        <v>2272.8500441584038</v>
      </c>
      <c r="M64" s="540">
        <v>2300.6333920510506</v>
      </c>
      <c r="N64" s="540">
        <v>2420.1443504945996</v>
      </c>
      <c r="O64" s="540">
        <v>2710.6467526461506</v>
      </c>
      <c r="P64" s="540">
        <v>2775.0523190887188</v>
      </c>
    </row>
    <row r="65" spans="3:16" x14ac:dyDescent="0.25">
      <c r="C65" s="161"/>
      <c r="F65" s="176" t="s">
        <v>61</v>
      </c>
      <c r="G65" s="167" t="s">
        <v>124</v>
      </c>
      <c r="H65" s="167" t="s">
        <v>163</v>
      </c>
      <c r="I65" s="167"/>
      <c r="J65" s="403" t="str">
        <v/>
      </c>
      <c r="K65" s="470"/>
      <c r="L65" s="543"/>
      <c r="M65" s="543"/>
      <c r="N65" s="543"/>
      <c r="O65" s="543"/>
      <c r="P65" s="543"/>
    </row>
    <row r="66" spans="3:16" x14ac:dyDescent="0.25">
      <c r="C66" s="161"/>
      <c r="F66" s="176" t="s">
        <v>73</v>
      </c>
      <c r="G66" s="167" t="s">
        <v>124</v>
      </c>
      <c r="H66" s="167" t="s">
        <v>163</v>
      </c>
      <c r="I66" s="167"/>
      <c r="J66" s="403" t="str">
        <v/>
      </c>
      <c r="K66" s="470"/>
      <c r="L66" s="543"/>
      <c r="M66" s="543"/>
      <c r="N66" s="543"/>
      <c r="O66" s="543"/>
      <c r="P66" s="543"/>
    </row>
    <row r="67" spans="3:16" x14ac:dyDescent="0.25">
      <c r="C67" s="161"/>
      <c r="F67" s="176" t="s">
        <v>86</v>
      </c>
      <c r="G67" s="167" t="s">
        <v>124</v>
      </c>
      <c r="H67" s="167" t="s">
        <v>163</v>
      </c>
      <c r="I67" s="167"/>
      <c r="J67" s="469">
        <v>0</v>
      </c>
      <c r="K67" s="470"/>
      <c r="L67" s="540">
        <v>0</v>
      </c>
      <c r="M67" s="540">
        <v>0</v>
      </c>
      <c r="N67" s="540">
        <v>0</v>
      </c>
      <c r="O67" s="540">
        <v>0</v>
      </c>
      <c r="P67" s="540">
        <v>0</v>
      </c>
    </row>
    <row r="68" spans="3:16" x14ac:dyDescent="0.25">
      <c r="C68" s="161"/>
      <c r="F68" s="176" t="s">
        <v>87</v>
      </c>
      <c r="G68" s="167" t="s">
        <v>124</v>
      </c>
      <c r="H68" s="167" t="s">
        <v>163</v>
      </c>
      <c r="I68" s="167"/>
      <c r="J68" s="469">
        <v>20.938392883286213</v>
      </c>
      <c r="K68" s="470"/>
      <c r="L68" s="540">
        <v>20.938392883286213</v>
      </c>
      <c r="M68" s="540">
        <v>21.288573617781768</v>
      </c>
      <c r="N68" s="540">
        <v>22.314965425785999</v>
      </c>
      <c r="O68" s="540">
        <v>24.826606555961042</v>
      </c>
      <c r="P68" s="540">
        <v>25.394140849798674</v>
      </c>
    </row>
    <row r="69" spans="3:16" x14ac:dyDescent="0.25">
      <c r="C69" s="161"/>
      <c r="F69" s="176" t="s">
        <v>88</v>
      </c>
      <c r="G69" s="167" t="s">
        <v>124</v>
      </c>
      <c r="H69" s="167" t="s">
        <v>163</v>
      </c>
      <c r="I69" s="167"/>
      <c r="J69" s="469">
        <v>1091.9366150000005</v>
      </c>
      <c r="K69" s="470"/>
      <c r="L69" s="540">
        <v>1091.9366150000005</v>
      </c>
      <c r="M69" s="540">
        <v>1114.5725250000005</v>
      </c>
      <c r="N69" s="540">
        <v>1163.7810250000007</v>
      </c>
      <c r="O69" s="540">
        <v>1274.5001500000005</v>
      </c>
      <c r="P69" s="540">
        <v>1305.5015050000006</v>
      </c>
    </row>
    <row r="70" spans="3:16" x14ac:dyDescent="0.25">
      <c r="C70" s="161"/>
      <c r="F70" s="176" t="s">
        <v>89</v>
      </c>
      <c r="G70" s="167" t="s">
        <v>124</v>
      </c>
      <c r="H70" s="167" t="s">
        <v>163</v>
      </c>
      <c r="I70" s="167"/>
      <c r="J70" s="469" t="str">
        <v/>
      </c>
      <c r="K70" s="470"/>
      <c r="L70" s="540"/>
      <c r="M70" s="540"/>
      <c r="N70" s="540"/>
      <c r="O70" s="540"/>
      <c r="P70" s="540"/>
    </row>
    <row r="71" spans="3:16" x14ac:dyDescent="0.25">
      <c r="C71" s="161"/>
      <c r="F71" s="176" t="s">
        <v>90</v>
      </c>
      <c r="G71" s="167" t="s">
        <v>124</v>
      </c>
      <c r="H71" s="167" t="s">
        <v>163</v>
      </c>
      <c r="I71" s="167"/>
      <c r="J71" s="469">
        <v>4374.5787354999993</v>
      </c>
      <c r="K71" s="470"/>
      <c r="L71" s="540">
        <v>4374.5787354999993</v>
      </c>
      <c r="M71" s="540">
        <v>4468.0646514999999</v>
      </c>
      <c r="N71" s="540">
        <v>4664.7625515</v>
      </c>
      <c r="O71" s="540">
        <v>5107.5985173333338</v>
      </c>
      <c r="P71" s="540">
        <v>5229.9304528333332</v>
      </c>
    </row>
    <row r="72" spans="3:16" x14ac:dyDescent="0.25">
      <c r="C72" s="161"/>
      <c r="F72" s="176" t="s">
        <v>62</v>
      </c>
      <c r="G72" s="167" t="s">
        <v>124</v>
      </c>
      <c r="H72" s="167" t="s">
        <v>163</v>
      </c>
      <c r="I72" s="167"/>
      <c r="J72" s="469">
        <v>-40.457988652109186</v>
      </c>
      <c r="K72" s="470"/>
      <c r="L72" s="540">
        <v>-40.457988652109186</v>
      </c>
      <c r="M72" s="540">
        <v>-41.680900147890824</v>
      </c>
      <c r="N72" s="540">
        <v>-42.954766289330024</v>
      </c>
      <c r="O72" s="540">
        <v>-44.228632430769238</v>
      </c>
      <c r="P72" s="540">
        <v>-45.655362509181153</v>
      </c>
    </row>
    <row r="73" spans="3:16" x14ac:dyDescent="0.25">
      <c r="C73" s="161"/>
      <c r="F73" s="176" t="s">
        <v>63</v>
      </c>
      <c r="G73" s="167" t="s">
        <v>124</v>
      </c>
      <c r="H73" s="167" t="s">
        <v>163</v>
      </c>
      <c r="I73" s="167"/>
      <c r="J73" s="403" t="str">
        <v/>
      </c>
      <c r="K73" s="470"/>
      <c r="L73" s="543"/>
      <c r="M73" s="543"/>
      <c r="N73" s="543"/>
      <c r="O73" s="543"/>
      <c r="P73" s="543"/>
    </row>
    <row r="74" spans="3:16" x14ac:dyDescent="0.25">
      <c r="C74" s="161"/>
      <c r="F74" s="176" t="s">
        <v>64</v>
      </c>
      <c r="G74" s="167" t="s">
        <v>124</v>
      </c>
      <c r="H74" s="167" t="s">
        <v>163</v>
      </c>
      <c r="I74" s="167"/>
      <c r="J74" s="469" t="str">
        <v/>
      </c>
      <c r="K74" s="470"/>
      <c r="L74" s="540"/>
      <c r="M74" s="540"/>
      <c r="N74" s="540"/>
      <c r="O74" s="540"/>
      <c r="P74" s="540"/>
    </row>
    <row r="75" spans="3:16" x14ac:dyDescent="0.25">
      <c r="C75" s="161"/>
      <c r="F75" s="176" t="s">
        <v>65</v>
      </c>
      <c r="G75" s="167" t="s">
        <v>124</v>
      </c>
      <c r="H75" s="167" t="s">
        <v>163</v>
      </c>
      <c r="I75" s="167"/>
      <c r="J75" s="403" t="str">
        <v/>
      </c>
      <c r="K75" s="470"/>
      <c r="L75" s="543"/>
      <c r="M75" s="543"/>
      <c r="N75" s="543"/>
      <c r="O75" s="543"/>
      <c r="P75" s="543"/>
    </row>
    <row r="76" spans="3:16" x14ac:dyDescent="0.25">
      <c r="C76" s="161"/>
      <c r="F76" s="176" t="s">
        <v>66</v>
      </c>
      <c r="G76" s="167" t="s">
        <v>124</v>
      </c>
      <c r="H76" s="167" t="s">
        <v>163</v>
      </c>
      <c r="I76" s="167"/>
      <c r="J76" s="469" t="str">
        <v/>
      </c>
      <c r="K76" s="470"/>
      <c r="L76" s="540"/>
      <c r="M76" s="540"/>
      <c r="N76" s="540"/>
      <c r="O76" s="540"/>
      <c r="P76" s="540"/>
    </row>
    <row r="77" spans="3:16" x14ac:dyDescent="0.25">
      <c r="C77" s="161"/>
      <c r="F77" s="176" t="s">
        <v>67</v>
      </c>
      <c r="G77" s="167" t="s">
        <v>124</v>
      </c>
      <c r="H77" s="167" t="s">
        <v>163</v>
      </c>
      <c r="I77" s="167"/>
      <c r="J77" s="403" t="str">
        <v/>
      </c>
      <c r="K77" s="470"/>
      <c r="L77" s="543"/>
      <c r="M77" s="543"/>
      <c r="N77" s="543"/>
      <c r="O77" s="543"/>
      <c r="P77" s="543"/>
    </row>
    <row r="78" spans="3:16" x14ac:dyDescent="0.25">
      <c r="C78" s="161"/>
      <c r="F78" s="176" t="s">
        <v>68</v>
      </c>
      <c r="G78" s="167" t="s">
        <v>124</v>
      </c>
      <c r="H78" s="167" t="s">
        <v>163</v>
      </c>
      <c r="I78" s="167"/>
      <c r="J78" s="403" t="str">
        <v/>
      </c>
      <c r="K78" s="470"/>
      <c r="L78" s="543"/>
      <c r="M78" s="543"/>
      <c r="N78" s="543"/>
      <c r="O78" s="543"/>
      <c r="P78" s="543"/>
    </row>
    <row r="79" spans="3:16" x14ac:dyDescent="0.25">
      <c r="C79" s="161"/>
      <c r="F79" s="176" t="s">
        <v>69</v>
      </c>
      <c r="G79" s="167" t="s">
        <v>124</v>
      </c>
      <c r="H79" s="167" t="s">
        <v>163</v>
      </c>
      <c r="I79" s="167"/>
      <c r="J79" s="403" t="str">
        <v/>
      </c>
      <c r="K79" s="470"/>
      <c r="L79" s="543"/>
      <c r="M79" s="543"/>
      <c r="N79" s="543"/>
      <c r="O79" s="543"/>
      <c r="P79" s="543"/>
    </row>
    <row r="80" spans="3:16" x14ac:dyDescent="0.25">
      <c r="C80" s="161"/>
      <c r="F80" s="176" t="s">
        <v>70</v>
      </c>
      <c r="G80" s="167" t="s">
        <v>124</v>
      </c>
      <c r="H80" s="167" t="s">
        <v>163</v>
      </c>
      <c r="I80" s="167"/>
      <c r="J80" s="403" t="str">
        <v/>
      </c>
      <c r="K80" s="470"/>
      <c r="L80" s="543"/>
      <c r="M80" s="543"/>
      <c r="N80" s="543"/>
      <c r="O80" s="543"/>
      <c r="P80" s="543"/>
    </row>
    <row r="81" spans="3:18" x14ac:dyDescent="0.25">
      <c r="C81" s="161"/>
      <c r="F81" s="176" t="s">
        <v>71</v>
      </c>
      <c r="G81" s="167" t="s">
        <v>124</v>
      </c>
      <c r="H81" s="167" t="s">
        <v>163</v>
      </c>
      <c r="I81" s="167"/>
      <c r="J81" s="403" t="str">
        <v/>
      </c>
      <c r="K81" s="470"/>
      <c r="L81" s="543"/>
      <c r="M81" s="543"/>
      <c r="N81" s="543"/>
      <c r="O81" s="543"/>
      <c r="P81" s="543"/>
    </row>
    <row r="82" spans="3:18" x14ac:dyDescent="0.25">
      <c r="C82" s="161"/>
      <c r="F82" s="176" t="s">
        <v>74</v>
      </c>
      <c r="G82" s="167" t="s">
        <v>124</v>
      </c>
      <c r="H82" s="167" t="s">
        <v>163</v>
      </c>
      <c r="I82" s="167"/>
      <c r="J82" s="403" t="str">
        <v/>
      </c>
      <c r="K82" s="470"/>
      <c r="L82" s="543"/>
      <c r="M82" s="543"/>
      <c r="N82" s="543"/>
      <c r="O82" s="543"/>
      <c r="P82" s="543"/>
    </row>
    <row r="83" spans="3:18" x14ac:dyDescent="0.25">
      <c r="C83" s="161"/>
      <c r="F83" s="176" t="s">
        <v>75</v>
      </c>
      <c r="G83" s="167" t="s">
        <v>124</v>
      </c>
      <c r="H83" s="167" t="s">
        <v>163</v>
      </c>
      <c r="I83" s="167"/>
      <c r="J83" s="403" t="str">
        <v/>
      </c>
      <c r="K83" s="470"/>
      <c r="L83" s="543"/>
      <c r="M83" s="543"/>
      <c r="N83" s="543"/>
      <c r="O83" s="543"/>
      <c r="P83" s="543"/>
    </row>
    <row r="84" spans="3:18" x14ac:dyDescent="0.25">
      <c r="C84" s="161"/>
      <c r="F84" s="176" t="s">
        <v>76</v>
      </c>
      <c r="G84" s="167" t="s">
        <v>124</v>
      </c>
      <c r="H84" s="167" t="s">
        <v>163</v>
      </c>
      <c r="I84" s="167"/>
      <c r="J84" s="403" t="str">
        <v/>
      </c>
      <c r="K84" s="470"/>
      <c r="L84" s="543"/>
      <c r="M84" s="543"/>
      <c r="N84" s="543"/>
      <c r="O84" s="543"/>
      <c r="P84" s="543"/>
    </row>
    <row r="85" spans="3:18" x14ac:dyDescent="0.25">
      <c r="C85" s="161"/>
      <c r="F85" s="177" t="s">
        <v>77</v>
      </c>
      <c r="G85" s="168" t="s">
        <v>124</v>
      </c>
      <c r="H85" s="168" t="s">
        <v>163</v>
      </c>
      <c r="I85" s="168"/>
      <c r="J85" s="404" t="str">
        <v/>
      </c>
      <c r="K85" s="472"/>
      <c r="L85" s="544"/>
      <c r="M85" s="544"/>
      <c r="N85" s="544"/>
      <c r="O85" s="544"/>
      <c r="P85" s="544"/>
    </row>
    <row r="86" spans="3:18" x14ac:dyDescent="0.25">
      <c r="E86" s="160"/>
      <c r="H86" s="338"/>
      <c r="J86" s="473"/>
      <c r="K86" s="473"/>
      <c r="L86" s="542"/>
      <c r="M86" s="542"/>
      <c r="N86" s="542"/>
      <c r="O86" s="542"/>
      <c r="P86" s="542"/>
    </row>
    <row r="87" spans="3:18" x14ac:dyDescent="0.25">
      <c r="E87" s="172" t="s">
        <v>702</v>
      </c>
      <c r="F87" s="172"/>
      <c r="I87" s="160" t="s">
        <v>525</v>
      </c>
      <c r="J87" s="473"/>
      <c r="K87" s="473"/>
      <c r="L87" s="542"/>
      <c r="M87" s="542"/>
      <c r="N87" s="542"/>
      <c r="O87" s="542"/>
      <c r="P87" s="542"/>
      <c r="R87" s="474" t="s">
        <v>1013</v>
      </c>
    </row>
    <row r="88" spans="3:18" x14ac:dyDescent="0.25">
      <c r="C88" s="161"/>
      <c r="F88" s="180" t="s">
        <v>52</v>
      </c>
      <c r="G88" s="166" t="s">
        <v>124</v>
      </c>
      <c r="H88" s="166" t="s">
        <v>164</v>
      </c>
      <c r="I88" s="166"/>
      <c r="J88" s="467">
        <f t="array" ref="J88:J120">TRANSPOSE('Net revenue summary'!J126:AP126)</f>
        <v>27.334390559279555</v>
      </c>
      <c r="K88" s="468"/>
      <c r="L88" s="539">
        <v>27.334390559279555</v>
      </c>
      <c r="M88" s="539">
        <v>27.810788319939949</v>
      </c>
      <c r="N88" s="539">
        <v>29.250935689969616</v>
      </c>
      <c r="O88" s="539">
        <v>32.620570029398216</v>
      </c>
      <c r="P88" s="539">
        <v>33.564924394046201</v>
      </c>
    </row>
    <row r="89" spans="3:18" x14ac:dyDescent="0.25">
      <c r="C89" s="161"/>
      <c r="F89" s="176" t="s">
        <v>53</v>
      </c>
      <c r="G89" s="167" t="s">
        <v>124</v>
      </c>
      <c r="H89" s="167" t="s">
        <v>164</v>
      </c>
      <c r="I89" s="167"/>
      <c r="J89" s="469">
        <v>36.382357191214567</v>
      </c>
      <c r="K89" s="470"/>
      <c r="L89" s="540">
        <v>36.382357191214567</v>
      </c>
      <c r="M89" s="540">
        <v>36.666042266547819</v>
      </c>
      <c r="N89" s="540">
        <v>38.686852099318607</v>
      </c>
      <c r="O89" s="540">
        <v>44.090728081188381</v>
      </c>
      <c r="P89" s="540">
        <v>45.191845541989139</v>
      </c>
    </row>
    <row r="90" spans="3:18" x14ac:dyDescent="0.25">
      <c r="C90" s="161"/>
      <c r="F90" s="176" t="s">
        <v>84</v>
      </c>
      <c r="G90" s="167" t="s">
        <v>124</v>
      </c>
      <c r="H90" s="167" t="s">
        <v>164</v>
      </c>
      <c r="I90" s="167"/>
      <c r="J90" s="469">
        <v>7.1376521268163851</v>
      </c>
      <c r="K90" s="470"/>
      <c r="L90" s="540">
        <v>7.1376521268163851</v>
      </c>
      <c r="M90" s="540">
        <v>6.9538499001732701</v>
      </c>
      <c r="N90" s="540">
        <v>7.9034945707150133</v>
      </c>
      <c r="O90" s="540">
        <v>11.211934116653792</v>
      </c>
      <c r="P90" s="540">
        <v>11.395736272820894</v>
      </c>
    </row>
    <row r="91" spans="3:18" x14ac:dyDescent="0.25">
      <c r="C91" s="161"/>
      <c r="F91" s="176" t="s">
        <v>54</v>
      </c>
      <c r="G91" s="167" t="s">
        <v>124</v>
      </c>
      <c r="H91" s="167" t="s">
        <v>164</v>
      </c>
      <c r="I91" s="167"/>
      <c r="J91" s="469">
        <v>98.423001021258372</v>
      </c>
      <c r="K91" s="470"/>
      <c r="L91" s="540">
        <v>98.423001021258372</v>
      </c>
      <c r="M91" s="540">
        <v>99.717078994857829</v>
      </c>
      <c r="N91" s="540">
        <v>105.43280267092108</v>
      </c>
      <c r="O91" s="540">
        <v>119.84826780405612</v>
      </c>
      <c r="P91" s="540">
        <v>123.25933005526885</v>
      </c>
    </row>
    <row r="92" spans="3:18" x14ac:dyDescent="0.25">
      <c r="C92" s="161"/>
      <c r="F92" s="176" t="s">
        <v>55</v>
      </c>
      <c r="G92" s="167" t="s">
        <v>124</v>
      </c>
      <c r="H92" s="167" t="s">
        <v>164</v>
      </c>
      <c r="I92" s="167"/>
      <c r="J92" s="469">
        <v>101.92990986382168</v>
      </c>
      <c r="K92" s="470"/>
      <c r="L92" s="540">
        <v>101.92990986382168</v>
      </c>
      <c r="M92" s="540">
        <v>103.58908924447952</v>
      </c>
      <c r="N92" s="540">
        <v>108.9942998544867</v>
      </c>
      <c r="O92" s="540">
        <v>121.86787386514877</v>
      </c>
      <c r="P92" s="540">
        <v>125.26729003866087</v>
      </c>
    </row>
    <row r="93" spans="3:18" x14ac:dyDescent="0.25">
      <c r="C93" s="161"/>
      <c r="F93" s="176" t="s">
        <v>85</v>
      </c>
      <c r="G93" s="167" t="s">
        <v>124</v>
      </c>
      <c r="H93" s="167" t="s">
        <v>164</v>
      </c>
      <c r="I93" s="167"/>
      <c r="J93" s="469" t="str">
        <v/>
      </c>
      <c r="K93" s="470"/>
      <c r="L93" s="540"/>
      <c r="M93" s="540"/>
      <c r="N93" s="540"/>
      <c r="O93" s="540"/>
      <c r="P93" s="540"/>
    </row>
    <row r="94" spans="3:18" x14ac:dyDescent="0.25">
      <c r="C94" s="161"/>
      <c r="F94" s="176" t="s">
        <v>56</v>
      </c>
      <c r="G94" s="167" t="s">
        <v>124</v>
      </c>
      <c r="H94" s="167" t="s">
        <v>164</v>
      </c>
      <c r="I94" s="167"/>
      <c r="J94" s="469">
        <v>537.12824184793635</v>
      </c>
      <c r="K94" s="470"/>
      <c r="L94" s="540">
        <v>537.12824184793635</v>
      </c>
      <c r="M94" s="540">
        <v>541.20616120642035</v>
      </c>
      <c r="N94" s="540">
        <v>579.90744140983065</v>
      </c>
      <c r="O94" s="540">
        <v>689.30614587384787</v>
      </c>
      <c r="P94" s="540">
        <v>706.9765114266105</v>
      </c>
    </row>
    <row r="95" spans="3:18" x14ac:dyDescent="0.25">
      <c r="C95" s="161"/>
      <c r="F95" s="176" t="s">
        <v>57</v>
      </c>
      <c r="G95" s="167" t="s">
        <v>124</v>
      </c>
      <c r="H95" s="167" t="s">
        <v>164</v>
      </c>
      <c r="I95" s="167"/>
      <c r="J95" s="403" t="str">
        <v/>
      </c>
      <c r="K95" s="470"/>
      <c r="L95" s="543"/>
      <c r="M95" s="543"/>
      <c r="N95" s="543"/>
      <c r="O95" s="543"/>
      <c r="P95" s="543"/>
    </row>
    <row r="96" spans="3:18" x14ac:dyDescent="0.25">
      <c r="C96" s="161"/>
      <c r="F96" s="176" t="s">
        <v>72</v>
      </c>
      <c r="G96" s="167" t="s">
        <v>124</v>
      </c>
      <c r="H96" s="167" t="s">
        <v>164</v>
      </c>
      <c r="I96" s="167"/>
      <c r="J96" s="403" t="str">
        <v/>
      </c>
      <c r="K96" s="470"/>
      <c r="L96" s="543"/>
      <c r="M96" s="543"/>
      <c r="N96" s="543"/>
      <c r="O96" s="543"/>
      <c r="P96" s="543"/>
    </row>
    <row r="97" spans="3:16" x14ac:dyDescent="0.25">
      <c r="C97" s="161"/>
      <c r="F97" s="176" t="s">
        <v>58</v>
      </c>
      <c r="G97" s="167" t="s">
        <v>124</v>
      </c>
      <c r="H97" s="167" t="s">
        <v>164</v>
      </c>
      <c r="I97" s="167"/>
      <c r="J97" s="469">
        <v>25.106777856116107</v>
      </c>
      <c r="K97" s="470"/>
      <c r="L97" s="540">
        <v>25.106777856116107</v>
      </c>
      <c r="M97" s="540">
        <v>25.198543835902374</v>
      </c>
      <c r="N97" s="540">
        <v>27.076253272059287</v>
      </c>
      <c r="O97" s="540">
        <v>32.531356753281365</v>
      </c>
      <c r="P97" s="540">
        <v>33.36784600726191</v>
      </c>
    </row>
    <row r="98" spans="3:16" x14ac:dyDescent="0.25">
      <c r="C98" s="161"/>
      <c r="F98" s="176" t="s">
        <v>59</v>
      </c>
      <c r="G98" s="167" t="s">
        <v>124</v>
      </c>
      <c r="H98" s="167" t="s">
        <v>164</v>
      </c>
      <c r="I98" s="167"/>
      <c r="J98" s="469">
        <v>414.34227184602628</v>
      </c>
      <c r="K98" s="470"/>
      <c r="L98" s="540">
        <v>414.34227184602628</v>
      </c>
      <c r="M98" s="540">
        <v>419.76244434290555</v>
      </c>
      <c r="N98" s="540">
        <v>444.91551598498285</v>
      </c>
      <c r="O98" s="540">
        <v>508.38962931464692</v>
      </c>
      <c r="P98" s="540">
        <v>522.72525892476824</v>
      </c>
    </row>
    <row r="99" spans="3:16" x14ac:dyDescent="0.25">
      <c r="C99" s="161"/>
      <c r="F99" s="176" t="s">
        <v>60</v>
      </c>
      <c r="G99" s="167" t="s">
        <v>124</v>
      </c>
      <c r="H99" s="167" t="s">
        <v>164</v>
      </c>
      <c r="I99" s="167"/>
      <c r="J99" s="469">
        <v>2372.1334285055013</v>
      </c>
      <c r="K99" s="470"/>
      <c r="L99" s="540">
        <v>2372.1334285055013</v>
      </c>
      <c r="M99" s="540">
        <v>2408.0690685367304</v>
      </c>
      <c r="N99" s="540">
        <v>2530.62937158058</v>
      </c>
      <c r="O99" s="540">
        <v>2832.0602710854732</v>
      </c>
      <c r="P99" s="540">
        <v>2898.5401995006882</v>
      </c>
    </row>
    <row r="100" spans="3:16" x14ac:dyDescent="0.25">
      <c r="C100" s="161"/>
      <c r="F100" s="176" t="s">
        <v>61</v>
      </c>
      <c r="G100" s="167" t="s">
        <v>124</v>
      </c>
      <c r="H100" s="167" t="s">
        <v>164</v>
      </c>
      <c r="I100" s="167"/>
      <c r="J100" s="469">
        <v>11676.215078546635</v>
      </c>
      <c r="K100" s="470"/>
      <c r="L100" s="540">
        <v>11676.215078546635</v>
      </c>
      <c r="M100" s="540">
        <v>11866.652489354317</v>
      </c>
      <c r="N100" s="540">
        <v>12477.726798707561</v>
      </c>
      <c r="O100" s="540">
        <v>13940.150341731949</v>
      </c>
      <c r="P100" s="540">
        <v>14327.491954541658</v>
      </c>
    </row>
    <row r="101" spans="3:16" x14ac:dyDescent="0.25">
      <c r="C101" s="161"/>
      <c r="F101" s="176" t="s">
        <v>73</v>
      </c>
      <c r="G101" s="167" t="s">
        <v>124</v>
      </c>
      <c r="H101" s="167" t="s">
        <v>164</v>
      </c>
      <c r="I101" s="167"/>
      <c r="J101" s="469">
        <v>61610.076338038227</v>
      </c>
      <c r="K101" s="470"/>
      <c r="L101" s="540">
        <v>61610.076338038227</v>
      </c>
      <c r="M101" s="540">
        <v>62850.836317366833</v>
      </c>
      <c r="N101" s="540">
        <v>67645.20442893813</v>
      </c>
      <c r="O101" s="540">
        <v>79631.290712499671</v>
      </c>
      <c r="P101" s="540">
        <v>82446.8286055426</v>
      </c>
    </row>
    <row r="102" spans="3:16" x14ac:dyDescent="0.25">
      <c r="C102" s="161"/>
      <c r="F102" s="176" t="s">
        <v>86</v>
      </c>
      <c r="G102" s="167" t="s">
        <v>124</v>
      </c>
      <c r="H102" s="167" t="s">
        <v>164</v>
      </c>
      <c r="I102" s="167"/>
      <c r="J102" s="469">
        <v>3.7965496307791087</v>
      </c>
      <c r="K102" s="470"/>
      <c r="L102" s="540">
        <v>3.7965496307791087</v>
      </c>
      <c r="M102" s="540">
        <v>3.8726252708817723</v>
      </c>
      <c r="N102" s="540">
        <v>4.0656909478924179</v>
      </c>
      <c r="O102" s="540">
        <v>4.538316755720424</v>
      </c>
      <c r="P102" s="540">
        <v>4.6395506241041229</v>
      </c>
    </row>
    <row r="103" spans="3:16" x14ac:dyDescent="0.25">
      <c r="C103" s="161"/>
      <c r="F103" s="176" t="s">
        <v>87</v>
      </c>
      <c r="G103" s="167" t="s">
        <v>124</v>
      </c>
      <c r="H103" s="167" t="s">
        <v>164</v>
      </c>
      <c r="I103" s="167"/>
      <c r="J103" s="469">
        <v>25.801370238266966</v>
      </c>
      <c r="K103" s="470"/>
      <c r="L103" s="540">
        <v>25.801370238266966</v>
      </c>
      <c r="M103" s="540">
        <v>26.243626676222924</v>
      </c>
      <c r="N103" s="540">
        <v>27.51405111626616</v>
      </c>
      <c r="O103" s="540">
        <v>30.596257383090467</v>
      </c>
      <c r="P103" s="540">
        <v>31.285300385456853</v>
      </c>
    </row>
    <row r="104" spans="3:16" x14ac:dyDescent="0.25">
      <c r="C104" s="161"/>
      <c r="F104" s="176" t="s">
        <v>88</v>
      </c>
      <c r="G104" s="167" t="s">
        <v>124</v>
      </c>
      <c r="H104" s="167" t="s">
        <v>164</v>
      </c>
      <c r="I104" s="167"/>
      <c r="J104" s="469">
        <v>7.5866400000000001</v>
      </c>
      <c r="K104" s="470"/>
      <c r="L104" s="540">
        <v>7.5866400000000001</v>
      </c>
      <c r="M104" s="540">
        <v>7.7459799999999994</v>
      </c>
      <c r="N104" s="540">
        <v>8.0903600000000004</v>
      </c>
      <c r="O104" s="540">
        <v>8.8562200000000004</v>
      </c>
      <c r="P104" s="540">
        <v>9.0720999999999989</v>
      </c>
    </row>
    <row r="105" spans="3:16" x14ac:dyDescent="0.25">
      <c r="C105" s="161"/>
      <c r="F105" s="176" t="s">
        <v>89</v>
      </c>
      <c r="G105" s="167" t="s">
        <v>124</v>
      </c>
      <c r="H105" s="167" t="s">
        <v>164</v>
      </c>
      <c r="I105" s="167"/>
      <c r="J105" s="469">
        <v>0</v>
      </c>
      <c r="K105" s="470"/>
      <c r="L105" s="540">
        <v>0</v>
      </c>
      <c r="M105" s="540">
        <v>0</v>
      </c>
      <c r="N105" s="540">
        <v>0</v>
      </c>
      <c r="O105" s="540">
        <v>0</v>
      </c>
      <c r="P105" s="540">
        <v>0</v>
      </c>
    </row>
    <row r="106" spans="3:16" x14ac:dyDescent="0.25">
      <c r="C106" s="161"/>
      <c r="F106" s="176" t="s">
        <v>90</v>
      </c>
      <c r="G106" s="167" t="s">
        <v>124</v>
      </c>
      <c r="H106" s="167" t="s">
        <v>164</v>
      </c>
      <c r="I106" s="167"/>
      <c r="J106" s="469" t="str">
        <v/>
      </c>
      <c r="K106" s="470"/>
      <c r="L106" s="540"/>
      <c r="M106" s="540"/>
      <c r="N106" s="540"/>
      <c r="O106" s="540"/>
      <c r="P106" s="540"/>
    </row>
    <row r="107" spans="3:16" x14ac:dyDescent="0.25">
      <c r="C107" s="161"/>
      <c r="F107" s="176" t="s">
        <v>62</v>
      </c>
      <c r="G107" s="167" t="s">
        <v>124</v>
      </c>
      <c r="H107" s="167" t="s">
        <v>164</v>
      </c>
      <c r="I107" s="167"/>
      <c r="J107" s="469" t="str">
        <v/>
      </c>
      <c r="K107" s="470"/>
      <c r="L107" s="540"/>
      <c r="M107" s="540">
        <v>0</v>
      </c>
      <c r="N107" s="540">
        <v>0</v>
      </c>
      <c r="O107" s="540">
        <v>0</v>
      </c>
      <c r="P107" s="540">
        <v>0</v>
      </c>
    </row>
    <row r="108" spans="3:16" x14ac:dyDescent="0.25">
      <c r="C108" s="161"/>
      <c r="F108" s="176" t="s">
        <v>63</v>
      </c>
      <c r="G108" s="167" t="s">
        <v>124</v>
      </c>
      <c r="H108" s="167" t="s">
        <v>164</v>
      </c>
      <c r="I108" s="167"/>
      <c r="J108" s="469" t="str">
        <v/>
      </c>
      <c r="K108" s="470"/>
      <c r="L108" s="540"/>
      <c r="M108" s="540"/>
      <c r="N108" s="540"/>
      <c r="O108" s="540"/>
      <c r="P108" s="540"/>
    </row>
    <row r="109" spans="3:16" x14ac:dyDescent="0.25">
      <c r="C109" s="161"/>
      <c r="F109" s="176" t="s">
        <v>64</v>
      </c>
      <c r="G109" s="167" t="s">
        <v>124</v>
      </c>
      <c r="H109" s="167" t="s">
        <v>164</v>
      </c>
      <c r="I109" s="167"/>
      <c r="J109" s="469">
        <v>-43.521866066666668</v>
      </c>
      <c r="K109" s="470"/>
      <c r="L109" s="540">
        <v>-43.521866066666668</v>
      </c>
      <c r="M109" s="540">
        <v>-44.83738846666666</v>
      </c>
      <c r="N109" s="540">
        <v>-46.207724300000002</v>
      </c>
      <c r="O109" s="540">
        <v>-47.578060133333331</v>
      </c>
      <c r="P109" s="540">
        <v>-49.112836266666662</v>
      </c>
    </row>
    <row r="110" spans="3:16" x14ac:dyDescent="0.25">
      <c r="C110" s="161"/>
      <c r="F110" s="176" t="s">
        <v>65</v>
      </c>
      <c r="G110" s="167" t="s">
        <v>124</v>
      </c>
      <c r="H110" s="167" t="s">
        <v>164</v>
      </c>
      <c r="I110" s="167"/>
      <c r="J110" s="403" t="str">
        <v/>
      </c>
      <c r="K110" s="470"/>
      <c r="L110" s="543"/>
      <c r="M110" s="543"/>
      <c r="N110" s="543"/>
      <c r="O110" s="543"/>
      <c r="P110" s="543"/>
    </row>
    <row r="111" spans="3:16" x14ac:dyDescent="0.25">
      <c r="C111" s="161"/>
      <c r="F111" s="176" t="s">
        <v>66</v>
      </c>
      <c r="G111" s="167" t="s">
        <v>124</v>
      </c>
      <c r="H111" s="167" t="s">
        <v>164</v>
      </c>
      <c r="I111" s="167"/>
      <c r="J111" s="469">
        <v>-4543.8347028657154</v>
      </c>
      <c r="K111" s="470"/>
      <c r="L111" s="540">
        <v>-4543.8347028657154</v>
      </c>
      <c r="M111" s="540">
        <v>-4739.6080751644295</v>
      </c>
      <c r="N111" s="540">
        <v>-4917.0455064349899</v>
      </c>
      <c r="O111" s="540">
        <v>-5102.3433770183556</v>
      </c>
      <c r="P111" s="540">
        <v>-5264.3254254149861</v>
      </c>
    </row>
    <row r="112" spans="3:16" x14ac:dyDescent="0.25">
      <c r="C112" s="161"/>
      <c r="F112" s="176" t="s">
        <v>67</v>
      </c>
      <c r="G112" s="167" t="s">
        <v>124</v>
      </c>
      <c r="H112" s="167" t="s">
        <v>164</v>
      </c>
      <c r="I112" s="167"/>
      <c r="J112" s="403" t="str">
        <v/>
      </c>
      <c r="K112" s="470"/>
      <c r="L112" s="543"/>
      <c r="M112" s="543"/>
      <c r="N112" s="543"/>
      <c r="O112" s="543"/>
      <c r="P112" s="543"/>
    </row>
    <row r="113" spans="2:18" x14ac:dyDescent="0.25">
      <c r="C113" s="161"/>
      <c r="F113" s="176" t="s">
        <v>68</v>
      </c>
      <c r="G113" s="167" t="s">
        <v>124</v>
      </c>
      <c r="H113" s="167" t="s">
        <v>164</v>
      </c>
      <c r="I113" s="167"/>
      <c r="J113" s="469" t="str">
        <v/>
      </c>
      <c r="K113" s="470"/>
      <c r="L113" s="540"/>
      <c r="M113" s="540"/>
      <c r="N113" s="540"/>
      <c r="O113" s="540"/>
      <c r="P113" s="540"/>
    </row>
    <row r="114" spans="2:18" x14ac:dyDescent="0.25">
      <c r="C114" s="161"/>
      <c r="F114" s="176" t="s">
        <v>69</v>
      </c>
      <c r="G114" s="167" t="s">
        <v>124</v>
      </c>
      <c r="H114" s="167" t="s">
        <v>164</v>
      </c>
      <c r="I114" s="167"/>
      <c r="J114" s="403" t="str">
        <v/>
      </c>
      <c r="K114" s="470"/>
      <c r="L114" s="543"/>
      <c r="M114" s="543"/>
      <c r="N114" s="543"/>
      <c r="O114" s="543"/>
      <c r="P114" s="543"/>
    </row>
    <row r="115" spans="2:18" x14ac:dyDescent="0.25">
      <c r="C115" s="161"/>
      <c r="F115" s="176" t="s">
        <v>70</v>
      </c>
      <c r="G115" s="167" t="s">
        <v>124</v>
      </c>
      <c r="H115" s="167" t="s">
        <v>164</v>
      </c>
      <c r="I115" s="167"/>
      <c r="J115" s="469" t="str">
        <v/>
      </c>
      <c r="K115" s="470"/>
      <c r="L115" s="540"/>
      <c r="M115" s="540"/>
      <c r="N115" s="540"/>
      <c r="O115" s="540"/>
      <c r="P115" s="540"/>
    </row>
    <row r="116" spans="2:18" x14ac:dyDescent="0.25">
      <c r="C116" s="161"/>
      <c r="F116" s="176" t="s">
        <v>71</v>
      </c>
      <c r="G116" s="167" t="s">
        <v>124</v>
      </c>
      <c r="H116" s="167" t="s">
        <v>164</v>
      </c>
      <c r="I116" s="167"/>
      <c r="J116" s="403" t="str">
        <v/>
      </c>
      <c r="K116" s="470"/>
      <c r="L116" s="543"/>
      <c r="M116" s="543"/>
      <c r="N116" s="543"/>
      <c r="O116" s="543"/>
      <c r="P116" s="543"/>
    </row>
    <row r="117" spans="2:18" x14ac:dyDescent="0.25">
      <c r="C117" s="161"/>
      <c r="F117" s="176" t="s">
        <v>74</v>
      </c>
      <c r="G117" s="167" t="s">
        <v>124</v>
      </c>
      <c r="H117" s="167" t="s">
        <v>164</v>
      </c>
      <c r="I117" s="167"/>
      <c r="J117" s="469" t="str">
        <v/>
      </c>
      <c r="K117" s="470"/>
      <c r="L117" s="540"/>
      <c r="M117" s="540"/>
      <c r="N117" s="540"/>
      <c r="O117" s="540"/>
      <c r="P117" s="540"/>
    </row>
    <row r="118" spans="2:18" x14ac:dyDescent="0.25">
      <c r="C118" s="161"/>
      <c r="F118" s="176" t="s">
        <v>75</v>
      </c>
      <c r="G118" s="167" t="s">
        <v>124</v>
      </c>
      <c r="H118" s="167" t="s">
        <v>164</v>
      </c>
      <c r="I118" s="167"/>
      <c r="J118" s="403" t="str">
        <v/>
      </c>
      <c r="K118" s="470"/>
      <c r="L118" s="543"/>
      <c r="M118" s="543"/>
      <c r="N118" s="543"/>
      <c r="O118" s="543"/>
      <c r="P118" s="543"/>
    </row>
    <row r="119" spans="2:18" x14ac:dyDescent="0.25">
      <c r="C119" s="161"/>
      <c r="F119" s="176" t="s">
        <v>76</v>
      </c>
      <c r="G119" s="167" t="s">
        <v>124</v>
      </c>
      <c r="H119" s="167" t="s">
        <v>164</v>
      </c>
      <c r="I119" s="167"/>
      <c r="J119" s="469" t="str">
        <v/>
      </c>
      <c r="K119" s="470"/>
      <c r="L119" s="540"/>
      <c r="M119" s="540"/>
      <c r="N119" s="540"/>
      <c r="O119" s="540"/>
      <c r="P119" s="540"/>
    </row>
    <row r="120" spans="2:18" x14ac:dyDescent="0.25">
      <c r="C120" s="161"/>
      <c r="F120" s="177" t="s">
        <v>77</v>
      </c>
      <c r="G120" s="168" t="s">
        <v>124</v>
      </c>
      <c r="H120" s="168" t="s">
        <v>164</v>
      </c>
      <c r="I120" s="168"/>
      <c r="J120" s="404" t="str">
        <v/>
      </c>
      <c r="K120" s="472"/>
      <c r="L120" s="544"/>
      <c r="M120" s="544"/>
      <c r="N120" s="544"/>
      <c r="O120" s="544"/>
      <c r="P120" s="544"/>
    </row>
    <row r="121" spans="2:18" x14ac:dyDescent="0.25">
      <c r="D121" s="160"/>
      <c r="E121" s="160"/>
    </row>
    <row r="122" spans="2:18" x14ac:dyDescent="0.25">
      <c r="B122" s="171" t="s">
        <v>126</v>
      </c>
      <c r="C122" s="171"/>
      <c r="D122" s="171"/>
      <c r="E122" s="171"/>
      <c r="F122" s="171"/>
      <c r="G122" s="171"/>
      <c r="H122" s="171"/>
      <c r="I122" s="171"/>
      <c r="J122" s="171"/>
      <c r="K122" s="171"/>
      <c r="L122" s="171"/>
      <c r="M122" s="171"/>
      <c r="N122" s="134"/>
      <c r="O122" s="134"/>
      <c r="P122" s="134"/>
      <c r="Q122" s="134"/>
      <c r="R122" s="134"/>
    </row>
    <row r="124" spans="2:18" x14ac:dyDescent="0.25">
      <c r="D124" s="160"/>
      <c r="E124" s="160" t="s">
        <v>622</v>
      </c>
      <c r="G124" s="111" t="s">
        <v>814</v>
      </c>
      <c r="H124" s="362">
        <f t="array" ref="H124">SUM(IF(ISERROR($I$17:$Q$121), 1))</f>
        <v>0</v>
      </c>
    </row>
    <row r="126" spans="2:18" x14ac:dyDescent="0.25">
      <c r="B126" s="171" t="s">
        <v>127</v>
      </c>
      <c r="C126" s="171"/>
      <c r="D126" s="171"/>
      <c r="E126" s="171"/>
      <c r="F126" s="171"/>
      <c r="G126" s="171"/>
      <c r="H126" s="171"/>
      <c r="I126" s="171"/>
      <c r="J126" s="171"/>
      <c r="K126" s="171"/>
      <c r="L126" s="171"/>
      <c r="M126" s="171"/>
      <c r="N126" s="134"/>
      <c r="O126" s="134"/>
      <c r="P126" s="134"/>
      <c r="Q126" s="134"/>
      <c r="R126" s="134"/>
    </row>
  </sheetData>
  <sheetProtection sheet="1" objects="1" formatCells="0" formatColumns="0" formatRows="0" sort="0" autoFilter="0"/>
  <conditionalFormatting sqref="H124">
    <cfRule type="cellIs" dxfId="1" priority="2" operator="greaterThan">
      <formula>0</formula>
    </cfRule>
  </conditionalFormatting>
  <conditionalFormatting sqref="A4:XFD4">
    <cfRule type="expression" dxfId="0" priority="1">
      <formula>LEFT($A$4,1) &lt;&gt; "0"</formula>
    </cfRule>
  </conditionalFormatting>
  <hyperlinks>
    <hyperlink ref="B5:F5" location="'Model map'!A1" display="Click here to return to model map"/>
  </hyperlinks>
  <pageMargins left="0.7" right="0.7" top="0.75" bottom="0.75" header="0.3" footer="0.3"/>
  <pageSetup paperSize="9" scale="32" fitToHeight="0" orientation="portrait" r:id="rId1"/>
  <headerFooter>
    <oddHeader>&amp;L&amp;A&amp;C&amp;R&amp;P of &amp;N</oddHeader>
    <oddFooter>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6" tint="0.39997558519241921"/>
  </sheetPr>
  <dimension ref="A1:U2000"/>
  <sheetViews>
    <sheetView showGridLines="0" zoomScale="80" zoomScaleNormal="80" workbookViewId="0">
      <pane ySplit="3" topLeftCell="A4" activePane="bottomLeft" state="frozen"/>
      <selection activeCell="A3" sqref="A3"/>
      <selection pane="bottomLeft" activeCell="A4" sqref="A4"/>
    </sheetView>
  </sheetViews>
  <sheetFormatPr defaultColWidth="0" defaultRowHeight="15" x14ac:dyDescent="0.25"/>
  <cols>
    <col min="1" max="5" width="2.7109375" style="160" customWidth="1"/>
    <col min="6" max="6" width="26.7109375" style="160" bestFit="1" customWidth="1"/>
    <col min="7" max="7" width="112.7109375" style="160" bestFit="1" customWidth="1"/>
    <col min="8" max="8" width="2.7109375" style="160" customWidth="1"/>
    <col min="9" max="9" width="59.5703125" style="160" hidden="1" customWidth="1"/>
    <col min="10" max="20" width="15.42578125" style="160" hidden="1" customWidth="1"/>
    <col min="21" max="21" width="2.7109375" style="160" hidden="1" customWidth="1"/>
    <col min="22" max="16384" width="9.140625" style="160" hidden="1"/>
  </cols>
  <sheetData>
    <row r="1" spans="1:7" s="25" customFormat="1" x14ac:dyDescent="0.25">
      <c r="A1" s="25" t="str">
        <f ca="1">MID(CELL("filename",A1),FIND("]",CELL("filename",A1))+1,255)</f>
        <v>Index</v>
      </c>
    </row>
    <row r="2" spans="1:7" s="25" customFormat="1" x14ac:dyDescent="0.25">
      <c r="A2" s="25" t="str">
        <f>Cover!D21&amp;" - "&amp;Cover!D23</f>
        <v>SEPD - Final</v>
      </c>
    </row>
    <row r="3" spans="1:7" s="97" customFormat="1" x14ac:dyDescent="0.25">
      <c r="A3" s="97" t="str">
        <f>Cover!D2&amp;" - "&amp;Cover!D8&amp;" v"&amp;Cover!D10&amp;" - "&amp;Cover!D19</f>
        <v>ARP model - Release for charge setting v3 - 2020/21</v>
      </c>
    </row>
    <row r="4" spans="1:7" customFormat="1" x14ac:dyDescent="0.25"/>
    <row r="5" spans="1:7" customFormat="1" x14ac:dyDescent="0.25">
      <c r="B5" s="171" t="s">
        <v>107</v>
      </c>
      <c r="C5" s="171"/>
      <c r="D5" s="171"/>
      <c r="E5" s="171"/>
      <c r="F5" s="171"/>
      <c r="G5" s="171"/>
    </row>
    <row r="6" spans="1:7" customFormat="1" x14ac:dyDescent="0.25"/>
    <row r="7" spans="1:7" customFormat="1" x14ac:dyDescent="0.25">
      <c r="C7" s="152" t="s">
        <v>889</v>
      </c>
    </row>
    <row r="8" spans="1:7" customFormat="1" x14ac:dyDescent="0.25">
      <c r="C8" s="152" t="s">
        <v>890</v>
      </c>
    </row>
    <row r="9" spans="1:7" customFormat="1" x14ac:dyDescent="0.25"/>
    <row r="10" spans="1:7" customFormat="1" x14ac:dyDescent="0.25">
      <c r="B10" s="171" t="s">
        <v>893</v>
      </c>
      <c r="C10" s="171"/>
      <c r="D10" s="171"/>
      <c r="E10" s="171"/>
      <c r="F10" s="171"/>
      <c r="G10" s="171"/>
    </row>
    <row r="11" spans="1:7" customFormat="1" x14ac:dyDescent="0.25"/>
    <row r="12" spans="1:7" customFormat="1" x14ac:dyDescent="0.25">
      <c r="C12" s="152" t="s">
        <v>824</v>
      </c>
    </row>
    <row r="13" spans="1:7" customFormat="1" x14ac:dyDescent="0.25"/>
    <row r="14" spans="1:7" customFormat="1" ht="15.75" thickBot="1" x14ac:dyDescent="0.3">
      <c r="F14" s="75" t="s">
        <v>825</v>
      </c>
      <c r="G14" s="352" t="s">
        <v>826</v>
      </c>
    </row>
    <row r="15" spans="1:7" customFormat="1" ht="16.5" thickTop="1" thickBot="1" x14ac:dyDescent="0.3">
      <c r="F15" s="354" t="s">
        <v>822</v>
      </c>
    </row>
    <row r="16" spans="1:7" customFormat="1" ht="15.75" thickTop="1" x14ac:dyDescent="0.25">
      <c r="F16" s="354" t="s">
        <v>828</v>
      </c>
      <c r="G16" s="355" t="str">
        <f>'Version control'!$B$5</f>
        <v>Model version</v>
      </c>
    </row>
    <row r="17" spans="6:7" customFormat="1" x14ac:dyDescent="0.25">
      <c r="F17" s="353" t="s">
        <v>827</v>
      </c>
      <c r="G17" s="355" t="str">
        <f>'Version control'!$B$17</f>
        <v>Version log</v>
      </c>
    </row>
    <row r="18" spans="6:7" customFormat="1" x14ac:dyDescent="0.25">
      <c r="F18" s="353" t="s">
        <v>827</v>
      </c>
      <c r="G18" s="355" t="str">
        <f>'Version control'!$B$31</f>
        <v>Model checks</v>
      </c>
    </row>
    <row r="19" spans="6:7" customFormat="1" ht="15.75" thickBot="1" x14ac:dyDescent="0.3">
      <c r="F19" s="353" t="s">
        <v>827</v>
      </c>
      <c r="G19" s="355" t="str">
        <f>'Version control'!$B$62</f>
        <v>Version log lists</v>
      </c>
    </row>
    <row r="20" spans="6:7" customFormat="1" ht="16.5" thickTop="1" thickBot="1" x14ac:dyDescent="0.3">
      <c r="F20" s="354" t="s">
        <v>639</v>
      </c>
      <c r="G20" s="355" t="str">
        <f>'Model map'!$B$5</f>
        <v>Model map</v>
      </c>
    </row>
    <row r="21" spans="6:7" customFormat="1" ht="16.5" thickTop="1" thickBot="1" x14ac:dyDescent="0.3">
      <c r="F21" s="354" t="s">
        <v>829</v>
      </c>
      <c r="G21" s="355" t="str">
        <f>'Named ranges'!$B$5</f>
        <v>List of named ranges</v>
      </c>
    </row>
    <row r="22" spans="6:7" customFormat="1" ht="16.5" thickTop="1" thickBot="1" x14ac:dyDescent="0.3">
      <c r="F22" s="354" t="s">
        <v>830</v>
      </c>
      <c r="G22" s="355" t="str">
        <f>'ARP_DNO commentary'!$B$9</f>
        <v>Commentary</v>
      </c>
    </row>
    <row r="23" spans="6:7" customFormat="1" ht="16.5" thickTop="1" thickBot="1" x14ac:dyDescent="0.3">
      <c r="F23" s="354" t="s">
        <v>831</v>
      </c>
      <c r="G23" s="355" t="str">
        <f>'ARP_CDCM timebands'!$B$12</f>
        <v>CDCM timebands</v>
      </c>
    </row>
    <row r="24" spans="6:7" customFormat="1" ht="15.75" thickTop="1" x14ac:dyDescent="0.25">
      <c r="F24" s="354" t="s">
        <v>832</v>
      </c>
      <c r="G24" s="355" t="str">
        <f>'ARP_Load characteristics'!$B$13</f>
        <v>Years</v>
      </c>
    </row>
    <row r="25" spans="6:7" customFormat="1" x14ac:dyDescent="0.25">
      <c r="F25" s="353" t="s">
        <v>827</v>
      </c>
      <c r="G25" s="355" t="str">
        <f>'ARP_Load characteristics'!$B$20</f>
        <v>Load characteristics</v>
      </c>
    </row>
    <row r="26" spans="6:7" customFormat="1" ht="15.75" thickBot="1" x14ac:dyDescent="0.3">
      <c r="F26" s="353" t="s">
        <v>827</v>
      </c>
      <c r="G26" s="355" t="str">
        <f>'ARP_Load characteristics'!$B$34</f>
        <v>Split of units by distribution timeband</v>
      </c>
    </row>
    <row r="27" spans="6:7" customFormat="1" ht="15.75" thickTop="1" x14ac:dyDescent="0.25">
      <c r="F27" s="354" t="s">
        <v>833</v>
      </c>
      <c r="G27" s="355" t="str">
        <f>'ARP_Peaking probabilities'!$B$14</f>
        <v>Years</v>
      </c>
    </row>
    <row r="28" spans="6:7" customFormat="1" ht="15.75" thickBot="1" x14ac:dyDescent="0.3">
      <c r="F28" s="353" t="s">
        <v>827</v>
      </c>
      <c r="G28" s="355" t="str">
        <f>'ARP_Peaking probabilities'!$B$21</f>
        <v>Peaking probabilities, by distribution timeband</v>
      </c>
    </row>
    <row r="29" spans="6:7" customFormat="1" ht="15.75" thickTop="1" x14ac:dyDescent="0.25">
      <c r="F29" s="476" t="s">
        <v>823</v>
      </c>
      <c r="G29" s="355" t="str">
        <f>'ARP_User control'!$B$10</f>
        <v>User interface</v>
      </c>
    </row>
    <row r="30" spans="6:7" customFormat="1" ht="15.75" thickBot="1" x14ac:dyDescent="0.3">
      <c r="F30" s="475" t="s">
        <v>827</v>
      </c>
      <c r="G30" s="355" t="str">
        <f>'ARP_User control'!$B$25</f>
        <v>Lists</v>
      </c>
    </row>
    <row r="31" spans="6:7" customFormat="1" ht="15.75" thickTop="1" x14ac:dyDescent="0.25">
      <c r="F31" s="357" t="s">
        <v>834</v>
      </c>
      <c r="G31" s="355" t="str">
        <f>'ARP_Inputs by customer type'!$B$14</f>
        <v>Load characteristics</v>
      </c>
    </row>
    <row r="32" spans="6:7" customFormat="1" x14ac:dyDescent="0.25">
      <c r="F32" s="356" t="s">
        <v>827</v>
      </c>
      <c r="G32" s="355" t="str">
        <f>'ARP_Inputs by customer type'!$B$90</f>
        <v>Volumes</v>
      </c>
    </row>
    <row r="33" spans="6:7" customFormat="1" x14ac:dyDescent="0.25">
      <c r="F33" s="356" t="s">
        <v>827</v>
      </c>
      <c r="G33" s="355" t="str">
        <f>'ARP_Inputs by customer type'!$B$833</f>
        <v>Split of units by distribution timeband</v>
      </c>
    </row>
    <row r="34" spans="6:7" customFormat="1" ht="15.75" thickBot="1" x14ac:dyDescent="0.3">
      <c r="F34" s="356" t="s">
        <v>827</v>
      </c>
      <c r="G34" s="355" t="str">
        <f>'ARP_Inputs by customer type'!$B$1159</f>
        <v>Service model asset values</v>
      </c>
    </row>
    <row r="35" spans="6:7" customFormat="1" ht="16.5" thickTop="1" thickBot="1" x14ac:dyDescent="0.3">
      <c r="F35" s="357" t="s">
        <v>835</v>
      </c>
      <c r="G35" s="355" t="str">
        <f>'ARP_Inputs by network level'!$B$14</f>
        <v>Inputs by network level</v>
      </c>
    </row>
    <row r="36" spans="6:7" customFormat="1" ht="16.5" thickTop="1" thickBot="1" x14ac:dyDescent="0.3">
      <c r="F36" s="357" t="s">
        <v>836</v>
      </c>
      <c r="G36" s="355" t="str">
        <f>'ARP_General inputs'!$B$14</f>
        <v>General inputs</v>
      </c>
    </row>
    <row r="37" spans="6:7" customFormat="1" ht="16.5" thickTop="1" thickBot="1" x14ac:dyDescent="0.3">
      <c r="F37" s="357" t="s">
        <v>637</v>
      </c>
      <c r="G37" s="355" t="str">
        <f>'Fixed inputs'!$B$11</f>
        <v>Fixed inputs</v>
      </c>
    </row>
    <row r="38" spans="6:7" customFormat="1" ht="16.5" thickTop="1" thickBot="1" x14ac:dyDescent="0.3">
      <c r="F38" s="359" t="s">
        <v>661</v>
      </c>
      <c r="G38" s="355" t="str">
        <f>'Inputs by customer type'!$B$14</f>
        <v>Inputs by customer type</v>
      </c>
    </row>
    <row r="39" spans="6:7" customFormat="1" ht="16.5" thickTop="1" thickBot="1" x14ac:dyDescent="0.3">
      <c r="F39" s="359" t="s">
        <v>323</v>
      </c>
      <c r="G39" s="355" t="str">
        <f>'Inputs by network level'!$B$14</f>
        <v>Inputs by network level</v>
      </c>
    </row>
    <row r="40" spans="6:7" customFormat="1" ht="16.5" thickTop="1" thickBot="1" x14ac:dyDescent="0.3">
      <c r="F40" s="359" t="s">
        <v>776</v>
      </c>
      <c r="G40" s="355" t="str">
        <f>'General inputs'!$B$14</f>
        <v>General inputs</v>
      </c>
    </row>
    <row r="41" spans="6:7" customFormat="1" ht="15.75" thickTop="1" x14ac:dyDescent="0.25">
      <c r="F41" s="359" t="s">
        <v>641</v>
      </c>
      <c r="G41" s="355" t="str">
        <f>'Load &amp; loss characteristics'!$B$13</f>
        <v>Load and loss characteristics</v>
      </c>
    </row>
    <row r="42" spans="6:7" customFormat="1" ht="15.75" thickBot="1" x14ac:dyDescent="0.3">
      <c r="F42" s="358" t="s">
        <v>827</v>
      </c>
      <c r="G42" s="355" t="str">
        <f>'Load &amp; loss characteristics'!$B$31</f>
        <v>User loss factor adjustments</v>
      </c>
    </row>
    <row r="43" spans="6:7" customFormat="1" ht="16.5" thickTop="1" thickBot="1" x14ac:dyDescent="0.3">
      <c r="F43" s="359" t="s">
        <v>362</v>
      </c>
      <c r="G43" s="355" t="str">
        <f>'Customer contributions'!$B$12</f>
        <v>Customer contributions</v>
      </c>
    </row>
    <row r="44" spans="6:7" customFormat="1" ht="15.75" thickTop="1" x14ac:dyDescent="0.25">
      <c r="F44" s="359" t="s">
        <v>363</v>
      </c>
      <c r="G44" s="355" t="str">
        <f>'Volume adjustments'!$B$13</f>
        <v>LDNO discounts</v>
      </c>
    </row>
    <row r="45" spans="6:7" customFormat="1" ht="15.75" thickBot="1" x14ac:dyDescent="0.3">
      <c r="F45" s="358" t="s">
        <v>827</v>
      </c>
      <c r="G45" s="355" t="str">
        <f>'Volume adjustments'!$B$51</f>
        <v>Volume discounting</v>
      </c>
    </row>
    <row r="46" spans="6:7" customFormat="1" ht="16.5" thickTop="1" thickBot="1" x14ac:dyDescent="0.3">
      <c r="F46" s="359" t="s">
        <v>354</v>
      </c>
      <c r="G46" s="355" t="str">
        <f>'Pseudo-load coefficients'!$B$325</f>
        <v>Adjustment for domestic and non-domestic charge equalisation</v>
      </c>
    </row>
    <row r="47" spans="6:7" customFormat="1" ht="15.75" thickTop="1" x14ac:dyDescent="0.25">
      <c r="F47" s="359" t="s">
        <v>642</v>
      </c>
      <c r="G47" s="355" t="str">
        <f>'System peak demand'!$B$16</f>
        <v>Common inputs for chargeable load calculations</v>
      </c>
    </row>
    <row r="48" spans="6:7" customFormat="1" x14ac:dyDescent="0.25">
      <c r="F48" s="358" t="s">
        <v>827</v>
      </c>
      <c r="G48" s="355" t="str">
        <f>'System peak demand'!$B$63</f>
        <v>Load at system peak charged to unit rates</v>
      </c>
    </row>
    <row r="49" spans="6:7" customFormat="1" x14ac:dyDescent="0.25">
      <c r="F49" s="358" t="s">
        <v>827</v>
      </c>
      <c r="G49" s="355" t="str">
        <f>'System peak demand'!$B$179</f>
        <v>Load at system peak charged to standing charges</v>
      </c>
    </row>
    <row r="50" spans="6:7" customFormat="1" ht="15.75" thickBot="1" x14ac:dyDescent="0.3">
      <c r="F50" s="358" t="s">
        <v>827</v>
      </c>
      <c r="G50" s="355" t="str">
        <f>'System peak demand'!$B$262</f>
        <v>System peak based on chargeable load</v>
      </c>
    </row>
    <row r="51" spans="6:7" customFormat="1" ht="16.5" thickTop="1" thickBot="1" x14ac:dyDescent="0.3">
      <c r="F51" s="359" t="s">
        <v>355</v>
      </c>
      <c r="G51" s="355" t="str">
        <f>'Service model assets'!$B$12</f>
        <v>Service model notional asset values</v>
      </c>
    </row>
    <row r="52" spans="6:7" customFormat="1" ht="15.75" thickTop="1" x14ac:dyDescent="0.25">
      <c r="F52" s="359" t="s">
        <v>442</v>
      </c>
      <c r="G52" s="355" t="str">
        <f>'Unit costs'!$B$15</f>
        <v>500MW model costs</v>
      </c>
    </row>
    <row r="53" spans="6:7" customFormat="1" x14ac:dyDescent="0.25">
      <c r="F53" s="358" t="s">
        <v>827</v>
      </c>
      <c r="G53" s="355" t="str">
        <f>'Unit costs'!$B$58</f>
        <v>Allocation of other costs</v>
      </c>
    </row>
    <row r="54" spans="6:7" customFormat="1" ht="15.75" thickBot="1" x14ac:dyDescent="0.3">
      <c r="F54" s="358" t="s">
        <v>827</v>
      </c>
      <c r="G54" s="355" t="str">
        <f>'Unit costs'!$B$102</f>
        <v>Outputs</v>
      </c>
    </row>
    <row r="55" spans="6:7" customFormat="1" ht="15.75" thickTop="1" x14ac:dyDescent="0.25">
      <c r="F55" s="359" t="s">
        <v>364</v>
      </c>
      <c r="G55" s="355" t="str">
        <f>'Initial unit rates'!$B$11</f>
        <v>Inputs for yardstick and unit rate calculations</v>
      </c>
    </row>
    <row r="56" spans="6:7" customFormat="1" ht="15.75" thickBot="1" x14ac:dyDescent="0.3">
      <c r="F56" s="358" t="s">
        <v>827</v>
      </c>
      <c r="G56" s="355" t="str">
        <f>'Initial unit rates'!$B$116</f>
        <v>Calculation of yardstick &amp; unit rate charges</v>
      </c>
    </row>
    <row r="57" spans="6:7" customFormat="1" ht="15.75" thickTop="1" x14ac:dyDescent="0.25">
      <c r="F57" s="359" t="s">
        <v>643</v>
      </c>
      <c r="G57" s="355" t="str">
        <f>'Service model charges'!$B$13</f>
        <v>Inputs to service model charge calculation</v>
      </c>
    </row>
    <row r="58" spans="6:7" customFormat="1" ht="15.75" thickBot="1" x14ac:dyDescent="0.3">
      <c r="F58" s="358" t="s">
        <v>827</v>
      </c>
      <c r="G58" s="355" t="str">
        <f>'Service model charges'!$B$29</f>
        <v>Allocation of service model costs</v>
      </c>
    </row>
    <row r="59" spans="6:7" customFormat="1" ht="15.75" thickTop="1" x14ac:dyDescent="0.25">
      <c r="F59" s="359" t="s">
        <v>644</v>
      </c>
      <c r="G59" s="355" t="str">
        <f>'Unit rate charges'!$B$15</f>
        <v>Inputs to unit rate charge calculations</v>
      </c>
    </row>
    <row r="60" spans="6:7" customFormat="1" ht="15.75" thickBot="1" x14ac:dyDescent="0.3">
      <c r="F60" s="358" t="s">
        <v>827</v>
      </c>
      <c r="G60" s="355" t="str">
        <f>'Unit rate charges'!$B$122</f>
        <v>Application of standing charges to unit rates</v>
      </c>
    </row>
    <row r="61" spans="6:7" customFormat="1" ht="15.75" thickTop="1" x14ac:dyDescent="0.25">
      <c r="F61" s="359" t="s">
        <v>572</v>
      </c>
      <c r="G61" s="355" t="str">
        <f>'Reactive power charges'!$B$13</f>
        <v>Inputs to reactive power charge calculations</v>
      </c>
    </row>
    <row r="62" spans="6:7" customFormat="1" x14ac:dyDescent="0.25">
      <c r="F62" s="358" t="s">
        <v>827</v>
      </c>
      <c r="G62" s="355" t="str">
        <f>'Reactive power charges'!$B$150</f>
        <v>Calculation of yardstick charges for generation</v>
      </c>
    </row>
    <row r="63" spans="6:7" customFormat="1" ht="15.75" thickBot="1" x14ac:dyDescent="0.3">
      <c r="F63" s="358" t="s">
        <v>827</v>
      </c>
      <c r="G63" s="355" t="str">
        <f>'Reactive power charges'!$B$185</f>
        <v>Calculation of reactive power charges</v>
      </c>
    </row>
    <row r="64" spans="6:7" customFormat="1" ht="15.75" thickTop="1" x14ac:dyDescent="0.25">
      <c r="F64" s="359" t="s">
        <v>366</v>
      </c>
      <c r="G64" s="355" t="str">
        <f>'Capacity charges'!$B$17</f>
        <v>Inputs to capacity charge calculations</v>
      </c>
    </row>
    <row r="65" spans="2:7" customFormat="1" x14ac:dyDescent="0.25">
      <c r="F65" s="358" t="s">
        <v>827</v>
      </c>
      <c r="G65" s="355" t="str">
        <f>'Capacity charges'!$B$125</f>
        <v>Calculation of capacity charges</v>
      </c>
    </row>
    <row r="66" spans="2:7" customFormat="1" ht="15.75" thickBot="1" x14ac:dyDescent="0.3">
      <c r="F66" s="358" t="s">
        <v>827</v>
      </c>
      <c r="G66" s="355" t="str">
        <f>'Capacity charges'!$B$249</f>
        <v>Capacity charges (and elements allocated to fixed charges)</v>
      </c>
    </row>
    <row r="67" spans="2:7" customFormat="1" ht="15.75" thickTop="1" x14ac:dyDescent="0.25">
      <c r="F67" s="359" t="s">
        <v>367</v>
      </c>
      <c r="G67" s="355" t="str">
        <f>'Fixed charges'!$B$14</f>
        <v>Inputs to fixed charge calculations</v>
      </c>
    </row>
    <row r="68" spans="2:7" customFormat="1" ht="15.75" thickBot="1" x14ac:dyDescent="0.3">
      <c r="F68" s="358" t="s">
        <v>827</v>
      </c>
      <c r="G68" s="355" t="str">
        <f>'Fixed charges'!$B$65</f>
        <v>Calculation of fixed charges</v>
      </c>
    </row>
    <row r="69" spans="2:7" customFormat="1" ht="15.75" thickTop="1" x14ac:dyDescent="0.25">
      <c r="F69" s="359" t="s">
        <v>368</v>
      </c>
      <c r="G69" s="355" t="str">
        <f>'Revenue matching'!$B$13</f>
        <v>Pre-matching net revenue calculations</v>
      </c>
    </row>
    <row r="70" spans="2:7" customFormat="1" ht="15.75" thickBot="1" x14ac:dyDescent="0.3">
      <c r="F70" s="358" t="s">
        <v>827</v>
      </c>
      <c r="G70" s="355" t="str">
        <f>'Revenue matching'!$B$56</f>
        <v>Adder calculation</v>
      </c>
    </row>
    <row r="71" spans="2:7" customFormat="1" ht="15.75" thickTop="1" x14ac:dyDescent="0.25">
      <c r="F71" s="359" t="s">
        <v>309</v>
      </c>
      <c r="G71" s="355" t="str">
        <f>Rounding!$B$12</f>
        <v>Inputs</v>
      </c>
    </row>
    <row r="72" spans="2:7" customFormat="1" ht="15.75" thickBot="1" x14ac:dyDescent="0.3">
      <c r="F72" s="358" t="s">
        <v>827</v>
      </c>
      <c r="G72" s="355" t="str">
        <f>Rounding!$B$71</f>
        <v>Rounding of tariff forecast</v>
      </c>
    </row>
    <row r="73" spans="2:7" customFormat="1" ht="15.75" thickTop="1" x14ac:dyDescent="0.25">
      <c r="F73" s="359" t="s">
        <v>777</v>
      </c>
      <c r="G73" s="355" t="str">
        <f>'Net revenue summary'!$B$11</f>
        <v>Inputs to net revenue summary calculation</v>
      </c>
    </row>
    <row r="74" spans="2:7" customFormat="1" ht="15.75" thickBot="1" x14ac:dyDescent="0.3">
      <c r="F74" s="358" t="s">
        <v>827</v>
      </c>
      <c r="G74" s="355" t="str">
        <f>'Net revenue summary'!$B$77</f>
        <v>Typical bills</v>
      </c>
    </row>
    <row r="75" spans="2:7" customFormat="1" ht="16.5" thickTop="1" thickBot="1" x14ac:dyDescent="0.3">
      <c r="F75" s="361" t="s">
        <v>645</v>
      </c>
      <c r="G75" s="355" t="str">
        <f>'Tariff summary'!$B$13</f>
        <v>Tariff summary</v>
      </c>
    </row>
    <row r="76" spans="2:7" customFormat="1" ht="15.75" thickTop="1" x14ac:dyDescent="0.25">
      <c r="F76" s="361" t="s">
        <v>699</v>
      </c>
      <c r="G76" s="355" t="str">
        <f>'Typical bills'!$B$13</f>
        <v>Typical bills</v>
      </c>
    </row>
    <row r="77" spans="2:7" customFormat="1" x14ac:dyDescent="0.25"/>
    <row r="78" spans="2:7" customFormat="1" x14ac:dyDescent="0.25">
      <c r="B78" s="171" t="s">
        <v>892</v>
      </c>
      <c r="C78" s="171"/>
      <c r="D78" s="171"/>
      <c r="E78" s="171"/>
      <c r="F78" s="171"/>
      <c r="G78" s="171"/>
    </row>
    <row r="79" spans="2:7" customFormat="1" x14ac:dyDescent="0.25"/>
    <row r="80" spans="2:7" customFormat="1" x14ac:dyDescent="0.25">
      <c r="C80" s="152" t="s">
        <v>891</v>
      </c>
    </row>
    <row r="81" spans="6:7" customFormat="1" x14ac:dyDescent="0.25"/>
    <row r="82" spans="6:7" customFormat="1" ht="15.75" thickBot="1" x14ac:dyDescent="0.3">
      <c r="F82" s="75" t="s">
        <v>825</v>
      </c>
      <c r="G82" s="352" t="s">
        <v>826</v>
      </c>
    </row>
    <row r="83" spans="6:7" customFormat="1" ht="15.75" thickTop="1" x14ac:dyDescent="0.25">
      <c r="F83" s="354" t="s">
        <v>831</v>
      </c>
      <c r="G83" s="355" t="str">
        <f>'ARP_CDCM timebands'!$C$14</f>
        <v>Distribution time bands</v>
      </c>
    </row>
    <row r="84" spans="6:7" customFormat="1" ht="15.75" thickBot="1" x14ac:dyDescent="0.3">
      <c r="F84" s="353" t="s">
        <v>827</v>
      </c>
      <c r="G84" s="355" t="str">
        <f>'ARP_CDCM timebands'!$C$26</f>
        <v>Special distribution time bands</v>
      </c>
    </row>
    <row r="85" spans="6:7" customFormat="1" ht="15.75" thickTop="1" x14ac:dyDescent="0.25">
      <c r="F85" s="354" t="s">
        <v>832</v>
      </c>
      <c r="G85" s="355" t="str">
        <f>'ARP_Load characteristics'!$D$39</f>
        <v>Unit rate 1</v>
      </c>
    </row>
    <row r="86" spans="6:7" customFormat="1" x14ac:dyDescent="0.25">
      <c r="F86" s="353" t="s">
        <v>827</v>
      </c>
      <c r="G86" s="355" t="str">
        <f>'ARP_Load characteristics'!$D$59</f>
        <v>Unit rate 2</v>
      </c>
    </row>
    <row r="87" spans="6:7" customFormat="1" ht="15.75" thickBot="1" x14ac:dyDescent="0.3">
      <c r="F87" s="353" t="s">
        <v>827</v>
      </c>
      <c r="G87" s="355" t="str">
        <f>'ARP_Load characteristics'!$D$79</f>
        <v>Unit rate 3</v>
      </c>
    </row>
    <row r="88" spans="6:7" customFormat="1" ht="15.75" thickTop="1" x14ac:dyDescent="0.25">
      <c r="F88" s="476" t="s">
        <v>823</v>
      </c>
      <c r="G88" s="355" t="str">
        <f>'ARP_User control'!$C$15</f>
        <v>Inputs for manually running selected year</v>
      </c>
    </row>
    <row r="89" spans="6:7" customFormat="1" ht="15.75" thickBot="1" x14ac:dyDescent="0.3">
      <c r="F89" s="475" t="s">
        <v>827</v>
      </c>
      <c r="G89" s="355" t="str">
        <f>'ARP_User control'!$C$19</f>
        <v>Macro to run all years</v>
      </c>
    </row>
    <row r="90" spans="6:7" customFormat="1" ht="15.75" thickTop="1" x14ac:dyDescent="0.25">
      <c r="F90" s="357" t="s">
        <v>834</v>
      </c>
      <c r="G90" s="355" t="str">
        <f ca="1">'ARP_Inputs by customer type'!$C$16</f>
        <v>Input 501-A: Load factor</v>
      </c>
    </row>
    <row r="91" spans="6:7" customFormat="1" x14ac:dyDescent="0.25">
      <c r="F91" s="356" t="s">
        <v>827</v>
      </c>
      <c r="G91" s="355" t="str">
        <f ca="1">'ARP_Inputs by customer type'!$C$53</f>
        <v>Input 501-B: Coincidence factor</v>
      </c>
    </row>
    <row r="92" spans="6:7" customFormat="1" x14ac:dyDescent="0.25">
      <c r="F92" s="356" t="s">
        <v>827</v>
      </c>
      <c r="G92" s="355" t="str">
        <f ca="1">'ARP_Inputs by customer type'!$C$92</f>
        <v>Input 501-C: All-the-way volumes</v>
      </c>
    </row>
    <row r="93" spans="6:7" customFormat="1" x14ac:dyDescent="0.25">
      <c r="F93" s="356" t="s">
        <v>827</v>
      </c>
      <c r="G93" s="355" t="str">
        <f ca="1">'ARP_Inputs by customer type'!$C$339</f>
        <v>Input 501-D: LDNO LV volumes</v>
      </c>
    </row>
    <row r="94" spans="6:7" customFormat="1" x14ac:dyDescent="0.25">
      <c r="F94" s="356" t="s">
        <v>827</v>
      </c>
      <c r="G94" s="355" t="str">
        <f ca="1">'ARP_Inputs by customer type'!$C$586</f>
        <v>Input 501-E: LDNO HV volumes</v>
      </c>
    </row>
    <row r="95" spans="6:7" customFormat="1" x14ac:dyDescent="0.25">
      <c r="F95" s="356" t="s">
        <v>827</v>
      </c>
      <c r="G95" s="355" t="str">
        <f ca="1">'ARP_Inputs by customer type'!$C$838</f>
        <v>Input 501-F: Split of units by distribution timeband - Unit rate 1</v>
      </c>
    </row>
    <row r="96" spans="6:7" customFormat="1" x14ac:dyDescent="0.25">
      <c r="F96" s="356" t="s">
        <v>827</v>
      </c>
      <c r="G96" s="355" t="str">
        <f ca="1">'ARP_Inputs by customer type'!$C$945</f>
        <v>Input 501-G: Split of units by distribution timeband - Unit rate 2</v>
      </c>
    </row>
    <row r="97" spans="6:7" customFormat="1" x14ac:dyDescent="0.25">
      <c r="F97" s="356" t="s">
        <v>827</v>
      </c>
      <c r="G97" s="355" t="str">
        <f ca="1">'ARP_Inputs by customer type'!$C$1052</f>
        <v>Input 501-H: Split of units by distribution timeband - Unit rate 3</v>
      </c>
    </row>
    <row r="98" spans="6:7" customFormat="1" x14ac:dyDescent="0.25">
      <c r="F98" s="356" t="s">
        <v>827</v>
      </c>
      <c r="G98" s="355" t="str">
        <f ca="1">'ARP_Inputs by customer type'!$C$1163</f>
        <v>Input 501-I: LV customer service model asset values</v>
      </c>
    </row>
    <row r="99" spans="6:7" customFormat="1" x14ac:dyDescent="0.25">
      <c r="F99" s="356" t="s">
        <v>827</v>
      </c>
      <c r="G99" s="355" t="str">
        <f ca="1">'ARP_Inputs by customer type'!$C$1200</f>
        <v>Input 501-J: HV customer service model asset values</v>
      </c>
    </row>
    <row r="100" spans="6:7" customFormat="1" ht="15.75" thickBot="1" x14ac:dyDescent="0.3">
      <c r="F100" s="356" t="s">
        <v>827</v>
      </c>
      <c r="G100" s="355" t="str">
        <f ca="1">'ARP_Inputs by customer type'!$C$1237</f>
        <v>Input 501-K: LV UMS customer service model asset values</v>
      </c>
    </row>
    <row r="101" spans="6:7" customFormat="1" ht="15.75" thickTop="1" x14ac:dyDescent="0.25">
      <c r="F101" s="357" t="s">
        <v>835</v>
      </c>
      <c r="G101" s="355" t="str">
        <f ca="1">'ARP_Inputs by network level'!$C$16</f>
        <v>Input 502-A: Diversity allowance between top and bottom of network level</v>
      </c>
    </row>
    <row r="102" spans="6:7" customFormat="1" x14ac:dyDescent="0.25">
      <c r="F102" s="356" t="s">
        <v>827</v>
      </c>
      <c r="G102" s="355" t="str">
        <f ca="1">'ARP_Inputs by network level'!$C$30</f>
        <v>Input 502-B: Proportion of EHV/HV load going through 132kV/HV direct transformation</v>
      </c>
    </row>
    <row r="103" spans="6:7" customFormat="1" x14ac:dyDescent="0.25">
      <c r="F103" s="356" t="s">
        <v>827</v>
      </c>
      <c r="G103" s="355" t="str">
        <f ca="1">'ARP_Inputs by network level'!$C$44</f>
        <v>Input 502-C: Loss adjustment factors to transmission</v>
      </c>
    </row>
    <row r="104" spans="6:7" customFormat="1" x14ac:dyDescent="0.25">
      <c r="F104" s="356" t="s">
        <v>827</v>
      </c>
      <c r="G104" s="355" t="str">
        <f ca="1">'ARP_Inputs by network level'!$C$58</f>
        <v>Input 502-D: Average kVAr by kVA, by network level</v>
      </c>
    </row>
    <row r="105" spans="6:7" customFormat="1" x14ac:dyDescent="0.25">
      <c r="F105" s="356" t="s">
        <v>827</v>
      </c>
      <c r="G105" s="355" t="str">
        <f ca="1">'ARP_Inputs by network level'!$C$72</f>
        <v>Input 502-E: Customer contributions under current connection charging policy</v>
      </c>
    </row>
    <row r="106" spans="6:7" customFormat="1" x14ac:dyDescent="0.25">
      <c r="F106" s="356" t="s">
        <v>827</v>
      </c>
      <c r="G106" s="355" t="str">
        <f ca="1">'ARP_Inputs by network level'!$C$120</f>
        <v>Input 502-F: Gross asset cost by network level</v>
      </c>
    </row>
    <row r="107" spans="6:7" customFormat="1" ht="15.75" thickBot="1" x14ac:dyDescent="0.3">
      <c r="F107" s="356" t="s">
        <v>827</v>
      </c>
      <c r="G107" s="355" t="str">
        <f ca="1">'ARP_Inputs by network level'!$C$134</f>
        <v>Input 502-G: Peaking probabilities, by timeband &amp; network level</v>
      </c>
    </row>
    <row r="108" spans="6:7" customFormat="1" ht="15.75" thickTop="1" x14ac:dyDescent="0.25">
      <c r="F108" s="357" t="s">
        <v>836</v>
      </c>
      <c r="G108" s="355" t="str">
        <f ca="1">'ARP_General inputs'!$C$16</f>
        <v>Input 503-A: Split of hours by distribution timeband</v>
      </c>
    </row>
    <row r="109" spans="6:7" customFormat="1" x14ac:dyDescent="0.25">
      <c r="F109" s="356" t="s">
        <v>827</v>
      </c>
      <c r="G109" s="355" t="str">
        <f ca="1">'ARP_General inputs'!$C$28</f>
        <v>Input 503-B: Embedded network (LDNO) discount percentages</v>
      </c>
    </row>
    <row r="110" spans="6:7" customFormat="1" x14ac:dyDescent="0.25">
      <c r="F110" s="356" t="s">
        <v>827</v>
      </c>
      <c r="G110" s="355" t="str">
        <f ca="1">'ARP_General inputs'!$C$38</f>
        <v>Input 503-C: CDCM target revenue</v>
      </c>
    </row>
    <row r="111" spans="6:7" customFormat="1" x14ac:dyDescent="0.25">
      <c r="F111" s="356" t="s">
        <v>827</v>
      </c>
      <c r="G111" s="355" t="str">
        <f ca="1">'ARP_General inputs'!$C$96</f>
        <v>Input 503-D: Financial and general assumptions</v>
      </c>
    </row>
    <row r="112" spans="6:7" customFormat="1" x14ac:dyDescent="0.25">
      <c r="F112" s="356" t="s">
        <v>827</v>
      </c>
      <c r="G112" s="355" t="str">
        <f ca="1">'ARP_General inputs'!$C$101</f>
        <v>Input 503-E: Transmission exit charges</v>
      </c>
    </row>
    <row r="113" spans="6:7" customFormat="1" ht="15.75" thickBot="1" x14ac:dyDescent="0.3">
      <c r="F113" s="356" t="s">
        <v>827</v>
      </c>
      <c r="G113" s="355" t="str">
        <f ca="1">'ARP_General inputs'!$C$105</f>
        <v>Input 503-F: Other expenditure</v>
      </c>
    </row>
    <row r="114" spans="6:7" customFormat="1" ht="15.75" thickTop="1" x14ac:dyDescent="0.25">
      <c r="F114" s="357" t="s">
        <v>637</v>
      </c>
      <c r="G114" s="355" t="str">
        <f ca="1">'Fixed inputs'!$C$13</f>
        <v>Input 504-A: Conversions and time</v>
      </c>
    </row>
    <row r="115" spans="6:7" customFormat="1" x14ac:dyDescent="0.25">
      <c r="F115" s="356" t="s">
        <v>827</v>
      </c>
      <c r="G115" s="355" t="str">
        <f ca="1">'Fixed inputs'!$C$20</f>
        <v>Input 504-B: Input 101-B: Rounding</v>
      </c>
    </row>
    <row r="116" spans="6:7" customFormat="1" x14ac:dyDescent="0.25">
      <c r="F116" s="356" t="s">
        <v>827</v>
      </c>
      <c r="G116" s="355" t="str">
        <f ca="1">'Fixed inputs'!$C$33</f>
        <v>Input 504-C: Financial and general assumptions</v>
      </c>
    </row>
    <row r="117" spans="6:7" customFormat="1" x14ac:dyDescent="0.25">
      <c r="F117" s="356" t="s">
        <v>827</v>
      </c>
      <c r="G117" s="355" t="str">
        <f ca="1">'Fixed inputs'!$C$43</f>
        <v>Input 504-D: Mappings</v>
      </c>
    </row>
    <row r="118" spans="6:7" customFormat="1" x14ac:dyDescent="0.25">
      <c r="F118" s="356" t="s">
        <v>827</v>
      </c>
      <c r="G118" s="355" t="str">
        <f ca="1">'Fixed inputs'!$C$84</f>
        <v>Input 504-E: Standing charge factors</v>
      </c>
    </row>
    <row r="119" spans="6:7" customFormat="1" x14ac:dyDescent="0.25">
      <c r="F119" s="356" t="s">
        <v>827</v>
      </c>
      <c r="G119" s="355" t="str">
        <f ca="1">'Fixed inputs'!$C$100</f>
        <v>Input 504-F: Flags</v>
      </c>
    </row>
    <row r="120" spans="6:7" customFormat="1" x14ac:dyDescent="0.25">
      <c r="F120" s="356" t="s">
        <v>827</v>
      </c>
      <c r="G120" s="355" t="str">
        <f ca="1">'Fixed inputs'!$C$146</f>
        <v>Input 504-G: Identifiers for customer groupings</v>
      </c>
    </row>
    <row r="121" spans="6:7" customFormat="1" ht="15.75" thickBot="1" x14ac:dyDescent="0.3">
      <c r="F121" s="356" t="s">
        <v>827</v>
      </c>
      <c r="G121" s="355" t="str">
        <f ca="1">'Fixed inputs'!$C$157</f>
        <v>Input 504-H: Decimal places for error checks</v>
      </c>
    </row>
    <row r="122" spans="6:7" customFormat="1" ht="15.75" thickTop="1" x14ac:dyDescent="0.25">
      <c r="F122" s="359" t="s">
        <v>661</v>
      </c>
      <c r="G122" s="355" t="str">
        <f ca="1">'Inputs by customer type'!$C$16</f>
        <v>Section 501-A: Load characteristics</v>
      </c>
    </row>
    <row r="123" spans="6:7" customFormat="1" x14ac:dyDescent="0.25">
      <c r="F123" s="358" t="s">
        <v>827</v>
      </c>
      <c r="G123" s="355" t="str">
        <f ca="1">'Inputs by customer type'!$C$21</f>
        <v>Section 501-B: Volume forecasts for the charging year</v>
      </c>
    </row>
    <row r="124" spans="6:7" customFormat="1" x14ac:dyDescent="0.25">
      <c r="F124" s="358" t="s">
        <v>827</v>
      </c>
      <c r="G124" s="355" t="str">
        <f ca="1">'Inputs by customer type'!$C$50</f>
        <v>Section 501-C: Split of units by distribution timeband</v>
      </c>
    </row>
    <row r="125" spans="6:7" customFormat="1" ht="15.75" thickBot="1" x14ac:dyDescent="0.3">
      <c r="F125" s="358" t="s">
        <v>827</v>
      </c>
      <c r="G125" s="355" t="str">
        <f ca="1">'Inputs by customer type'!$C$70</f>
        <v>Section 501-D: Service model asset values</v>
      </c>
    </row>
    <row r="126" spans="6:7" customFormat="1" ht="15.75" thickTop="1" x14ac:dyDescent="0.25">
      <c r="F126" s="359" t="s">
        <v>323</v>
      </c>
      <c r="G126" s="355" t="str">
        <f ca="1">'Inputs by network level'!$C$16</f>
        <v>Section 502-A: Network and load inputs</v>
      </c>
    </row>
    <row r="127" spans="6:7" customFormat="1" x14ac:dyDescent="0.25">
      <c r="F127" s="358" t="s">
        <v>827</v>
      </c>
      <c r="G127" s="355" t="str">
        <f ca="1">'Inputs by network level'!$C$26</f>
        <v>Section 502-B: Customer contributions under current connection charging policy</v>
      </c>
    </row>
    <row r="128" spans="6:7" customFormat="1" x14ac:dyDescent="0.25">
      <c r="F128" s="358" t="s">
        <v>827</v>
      </c>
      <c r="G128" s="355" t="str">
        <f ca="1">'Inputs by network level'!$C$34</f>
        <v>Section 502-C: DRM asset costs</v>
      </c>
    </row>
    <row r="129" spans="6:7" customFormat="1" ht="15.75" thickBot="1" x14ac:dyDescent="0.3">
      <c r="F129" s="358" t="s">
        <v>827</v>
      </c>
      <c r="G129" s="355" t="str">
        <f ca="1">'Inputs by network level'!$C$38</f>
        <v>Section 502-D: Peaking probabilities by network level</v>
      </c>
    </row>
    <row r="130" spans="6:7" customFormat="1" ht="15.75" thickTop="1" x14ac:dyDescent="0.25">
      <c r="F130" s="359" t="s">
        <v>776</v>
      </c>
      <c r="G130" s="355" t="str">
        <f ca="1">'General inputs'!$C$16</f>
        <v>Section 503-A: Inputs by distribution timeband</v>
      </c>
    </row>
    <row r="131" spans="6:7" customFormat="1" x14ac:dyDescent="0.25">
      <c r="F131" s="358" t="s">
        <v>827</v>
      </c>
      <c r="G131" s="355" t="str">
        <f ca="1">'General inputs'!$C$28</f>
        <v>Section 503-B: LDNO discount inputs</v>
      </c>
    </row>
    <row r="132" spans="6:7" customFormat="1" x14ac:dyDescent="0.25">
      <c r="F132" s="358" t="s">
        <v>827</v>
      </c>
      <c r="G132" s="355" t="str">
        <f ca="1">'General inputs'!$C$38</f>
        <v>Section 503-C: CDCM target revenue</v>
      </c>
    </row>
    <row r="133" spans="6:7" customFormat="1" x14ac:dyDescent="0.25">
      <c r="F133" s="358" t="s">
        <v>827</v>
      </c>
      <c r="G133" s="355" t="str">
        <f ca="1">'General inputs'!$C$90</f>
        <v>Section 503-D: Financial and general assumptions</v>
      </c>
    </row>
    <row r="134" spans="6:7" customFormat="1" x14ac:dyDescent="0.25">
      <c r="F134" s="358" t="s">
        <v>827</v>
      </c>
      <c r="G134" s="355" t="str">
        <f ca="1">'General inputs'!$C$96</f>
        <v>Section 503-E: Transmission exit charges</v>
      </c>
    </row>
    <row r="135" spans="6:7" customFormat="1" ht="15.75" thickBot="1" x14ac:dyDescent="0.3">
      <c r="F135" s="358" t="s">
        <v>827</v>
      </c>
      <c r="G135" s="355" t="str">
        <f ca="1">'General inputs'!$C$100</f>
        <v>Section 503-F: Other expenditure</v>
      </c>
    </row>
    <row r="136" spans="6:7" customFormat="1" ht="16.5" thickTop="1" thickBot="1" x14ac:dyDescent="0.3">
      <c r="F136" s="359" t="s">
        <v>393</v>
      </c>
      <c r="G136" s="355" t="str">
        <f ca="1">'Standing charge factors'!$C$19</f>
        <v>Section 504-A: Adjustments to standing charges</v>
      </c>
    </row>
    <row r="137" spans="6:7" customFormat="1" ht="15.75" thickTop="1" x14ac:dyDescent="0.25">
      <c r="F137" s="359" t="s">
        <v>641</v>
      </c>
      <c r="G137" s="355" t="str">
        <f ca="1">'Load &amp; loss characteristics'!$C$17</f>
        <v>Section 505-A: Load characteristics</v>
      </c>
    </row>
    <row r="138" spans="6:7" customFormat="1" x14ac:dyDescent="0.25">
      <c r="F138" s="358" t="s">
        <v>827</v>
      </c>
      <c r="G138" s="355" t="str">
        <f ca="1">'Load &amp; loss characteristics'!$C$25</f>
        <v>Section 505-B: Loss adjustment factors</v>
      </c>
    </row>
    <row r="139" spans="6:7" customFormat="1" x14ac:dyDescent="0.25">
      <c r="F139" s="358" t="s">
        <v>827</v>
      </c>
      <c r="G139" s="355" t="str">
        <f ca="1">'Load &amp; loss characteristics'!$C$35</f>
        <v>Section 505-C: Proportion of relevant load going through 132kV/HV direct transformation</v>
      </c>
    </row>
    <row r="140" spans="6:7" customFormat="1" x14ac:dyDescent="0.25">
      <c r="F140" s="358" t="s">
        <v>827</v>
      </c>
      <c r="G140" s="355" t="str">
        <f ca="1">'Load &amp; loss characteristics'!$C$40</f>
        <v>Section 505-D: Network use factors</v>
      </c>
    </row>
    <row r="141" spans="6:7" customFormat="1" ht="15.75" thickBot="1" x14ac:dyDescent="0.3">
      <c r="F141" s="358" t="s">
        <v>827</v>
      </c>
      <c r="G141" s="355" t="str">
        <f ca="1">'Load &amp; loss characteristics'!$C$189</f>
        <v>Section 505-E: User loss factors</v>
      </c>
    </row>
    <row r="142" spans="6:7" customFormat="1" ht="15.75" thickTop="1" x14ac:dyDescent="0.25">
      <c r="F142" s="359" t="s">
        <v>362</v>
      </c>
      <c r="G142" s="355" t="str">
        <f ca="1">'Customer contributions'!$C$16</f>
        <v>Section 506-A: Network use factors</v>
      </c>
    </row>
    <row r="143" spans="6:7" customFormat="1" ht="15.75" thickBot="1" x14ac:dyDescent="0.3">
      <c r="F143" s="358" t="s">
        <v>827</v>
      </c>
      <c r="G143" s="355" t="str">
        <f ca="1">'Customer contributions'!$C$55</f>
        <v>Section 506-B: Customer contributions</v>
      </c>
    </row>
    <row r="144" spans="6:7" customFormat="1" ht="15.75" thickTop="1" x14ac:dyDescent="0.25">
      <c r="F144" s="359" t="s">
        <v>363</v>
      </c>
      <c r="G144" s="355" t="str">
        <f ca="1">'Volume adjustments'!$C$15</f>
        <v>Section 507-A: LDNO discounts</v>
      </c>
    </row>
    <row r="145" spans="6:7" customFormat="1" ht="15.75" thickBot="1" x14ac:dyDescent="0.3">
      <c r="F145" s="358" t="s">
        <v>827</v>
      </c>
      <c r="G145" s="355" t="str">
        <f ca="1">'Volume adjustments'!$C$55</f>
        <v>Section 507-B: Volume discounting</v>
      </c>
    </row>
    <row r="146" spans="6:7" customFormat="1" ht="15.75" thickTop="1" x14ac:dyDescent="0.25">
      <c r="F146" s="359" t="s">
        <v>354</v>
      </c>
      <c r="G146" s="355" t="str">
        <f ca="1">'Pseudo-load coefficients'!$C$21</f>
        <v>Section 508-A: Flags and hours in timebands</v>
      </c>
    </row>
    <row r="147" spans="6:7" customFormat="1" x14ac:dyDescent="0.25">
      <c r="F147" s="358" t="s">
        <v>827</v>
      </c>
      <c r="G147" s="355" t="str">
        <f ca="1">'Pseudo-load coefficients'!$C$33</f>
        <v>Section 508-B: Average load by timeband</v>
      </c>
    </row>
    <row r="148" spans="6:7" customFormat="1" x14ac:dyDescent="0.25">
      <c r="F148" s="358" t="s">
        <v>827</v>
      </c>
      <c r="G148" s="355" t="str">
        <f ca="1">'Pseudo-load coefficients'!$C$77</f>
        <v>Section 508-C: Aggregated values for UMS customers</v>
      </c>
    </row>
    <row r="149" spans="6:7" customFormat="1" x14ac:dyDescent="0.25">
      <c r="F149" s="358" t="s">
        <v>827</v>
      </c>
      <c r="G149" s="355" t="str">
        <f ca="1">'Pseudo-load coefficients'!$C$86</f>
        <v>Section 508-D: Ratio of coincidence to load factor assuming units evenly spread within time bands, and peak falls in Red period</v>
      </c>
    </row>
    <row r="150" spans="6:7" customFormat="1" x14ac:dyDescent="0.25">
      <c r="F150" s="358" t="s">
        <v>827</v>
      </c>
      <c r="G150" s="355" t="str">
        <f ca="1">'Pseudo-load coefficients'!$C$96</f>
        <v>Section 508-E: Load characteristics for all customers</v>
      </c>
    </row>
    <row r="151" spans="6:7" customFormat="1" x14ac:dyDescent="0.25">
      <c r="F151" s="358" t="s">
        <v>827</v>
      </c>
      <c r="G151" s="355" t="str">
        <f ca="1">'Pseudo-load coefficients'!$C$101</f>
        <v>Section 508-F: Aggregated load characteristics for UMS customers</v>
      </c>
    </row>
    <row r="152" spans="6:7" customFormat="1" x14ac:dyDescent="0.25">
      <c r="F152" s="358" t="s">
        <v>827</v>
      </c>
      <c r="G152" s="355" t="str">
        <f ca="1">'Pseudo-load coefficients'!$C$114</f>
        <v>Section 508-G: Calculation of correction factor</v>
      </c>
    </row>
    <row r="153" spans="6:7" customFormat="1" x14ac:dyDescent="0.25">
      <c r="F153" s="358" t="s">
        <v>827</v>
      </c>
      <c r="G153" s="355" t="str">
        <f ca="1">'Pseudo-load coefficients'!$C$129</f>
        <v>Section 508-H: Peaking probabilities, by network level</v>
      </c>
    </row>
    <row r="154" spans="6:7" customFormat="1" x14ac:dyDescent="0.25">
      <c r="F154" s="358" t="s">
        <v>827</v>
      </c>
      <c r="G154" s="355" t="str">
        <f ca="1">'Pseudo-load coefficients'!$C$203</f>
        <v>Section 508-I: Peaking probabilities, by network level and customer type</v>
      </c>
    </row>
    <row r="155" spans="6:7" customFormat="1" x14ac:dyDescent="0.25">
      <c r="F155" s="358" t="s">
        <v>827</v>
      </c>
      <c r="G155" s="355" t="str">
        <f ca="1">'Pseudo-load coefficients'!$C$250</f>
        <v>Section 508-J: Ratio of coincidence factor to load factor, based on uniform distribution in timebands and peaking probabilities</v>
      </c>
    </row>
    <row r="156" spans="6:7" customFormat="1" x14ac:dyDescent="0.25">
      <c r="F156" s="358" t="s">
        <v>827</v>
      </c>
      <c r="G156" s="355" t="str">
        <f ca="1">'Pseudo-load coefficients'!$C$290</f>
        <v>Section 508-K: Pseudo load coefficients, by unit rate</v>
      </c>
    </row>
    <row r="157" spans="6:7" customFormat="1" x14ac:dyDescent="0.25">
      <c r="F157" s="358" t="s">
        <v>827</v>
      </c>
      <c r="G157" s="355" t="str">
        <f ca="1">'Pseudo-load coefficients'!$C$335</f>
        <v>Section 508-L: Peak load based on average pseudo load coefficient</v>
      </c>
    </row>
    <row r="158" spans="6:7" customFormat="1" x14ac:dyDescent="0.25">
      <c r="F158" s="358" t="s">
        <v>827</v>
      </c>
      <c r="G158" s="355" t="str">
        <f ca="1">'Pseudo-load coefficients'!$C$359</f>
        <v>Section 508-M: Adjustment group flags</v>
      </c>
    </row>
    <row r="159" spans="6:7" customFormat="1" x14ac:dyDescent="0.25">
      <c r="F159" s="358" t="s">
        <v>827</v>
      </c>
      <c r="G159" s="355" t="str">
        <f ca="1">'Pseudo-load coefficients'!$C$365</f>
        <v>Section 508-N: Average pseudo load coefficient for HH tariff forecast, based on average split of units for NHH tariff forecast</v>
      </c>
    </row>
    <row r="160" spans="6:7" customFormat="1" x14ac:dyDescent="0.25">
      <c r="F160" s="358" t="s">
        <v>827</v>
      </c>
      <c r="G160" s="355" t="str">
        <f ca="1">'Pseudo-load coefficients'!$C$393</f>
        <v>Section 508-O: Volume weighted average pseudo load coefficient by profile class</v>
      </c>
    </row>
    <row r="161" spans="6:7" customFormat="1" x14ac:dyDescent="0.25">
      <c r="F161" s="358" t="s">
        <v>827</v>
      </c>
      <c r="G161" s="355" t="str">
        <f ca="1">'Pseudo-load coefficients'!$C$417</f>
        <v>Section 508-P: Relative correction factors</v>
      </c>
    </row>
    <row r="162" spans="6:7" customFormat="1" x14ac:dyDescent="0.25">
      <c r="F162" s="358" t="s">
        <v>827</v>
      </c>
      <c r="G162" s="355" t="str">
        <f ca="1">'Pseudo-load coefficients'!$C$485</f>
        <v>Section 508-Q: Final correction factors for Paragraph 72A adjustment</v>
      </c>
    </row>
    <row r="163" spans="6:7" customFormat="1" x14ac:dyDescent="0.25">
      <c r="F163" s="358" t="s">
        <v>827</v>
      </c>
      <c r="G163" s="355" t="str">
        <f ca="1">'Pseudo-load coefficients'!$C$502</f>
        <v>Section 508-R: Load coefficient</v>
      </c>
    </row>
    <row r="164" spans="6:7" customFormat="1" ht="15.75" thickBot="1" x14ac:dyDescent="0.3">
      <c r="F164" s="358" t="s">
        <v>827</v>
      </c>
      <c r="G164" s="355" t="str">
        <f ca="1">'Pseudo-load coefficients'!$C$506</f>
        <v>Section 508-S: Pseudo load coefficients, by unit rate</v>
      </c>
    </row>
    <row r="165" spans="6:7" customFormat="1" ht="15.75" thickTop="1" x14ac:dyDescent="0.25">
      <c r="F165" s="359" t="s">
        <v>642</v>
      </c>
      <c r="G165" s="355" t="str">
        <f ca="1">'System peak demand'!$C$18</f>
        <v>Section 509-A: Common inputs for chargeable load calculations</v>
      </c>
    </row>
    <row r="166" spans="6:7" customFormat="1" x14ac:dyDescent="0.25">
      <c r="F166" s="358" t="s">
        <v>827</v>
      </c>
      <c r="G166" s="355" t="str">
        <f ca="1">'System peak demand'!$C$67</f>
        <v>Section 509-B: System peak load, by unit rate</v>
      </c>
    </row>
    <row r="167" spans="6:7" customFormat="1" x14ac:dyDescent="0.25">
      <c r="F167" s="358" t="s">
        <v>827</v>
      </c>
      <c r="G167" s="355" t="str">
        <f ca="1">'System peak demand'!$C$138</f>
        <v>Section 509-C: System peak load, all unit rates</v>
      </c>
    </row>
    <row r="168" spans="6:7" customFormat="1" x14ac:dyDescent="0.25">
      <c r="F168" s="358" t="s">
        <v>827</v>
      </c>
      <c r="G168" s="355" t="str">
        <f ca="1">'System peak demand'!$C$164</f>
        <v>Section 509-D: Unit rate contributions to chargeable peak load</v>
      </c>
    </row>
    <row r="169" spans="6:7" customFormat="1" x14ac:dyDescent="0.25">
      <c r="F169" s="358" t="s">
        <v>827</v>
      </c>
      <c r="G169" s="355" t="str">
        <f ca="1">'System peak demand'!$C$184</f>
        <v>Section 509-E: Adjustment of import and exceeded capacity</v>
      </c>
    </row>
    <row r="170" spans="6:7" customFormat="1" x14ac:dyDescent="0.25">
      <c r="F170" s="358" t="s">
        <v>827</v>
      </c>
      <c r="G170" s="355" t="str">
        <f ca="1">'System peak demand'!$C$194</f>
        <v>Section 509-F: Calculation of LV circuit diversity factor</v>
      </c>
    </row>
    <row r="171" spans="6:7" customFormat="1" x14ac:dyDescent="0.25">
      <c r="F171" s="358" t="s">
        <v>827</v>
      </c>
      <c r="G171" s="355" t="str">
        <f ca="1">'System peak demand'!$C$236</f>
        <v>Section 509-G: Import/exceeded capacity contribution to system peak</v>
      </c>
    </row>
    <row r="172" spans="6:7" customFormat="1" x14ac:dyDescent="0.25">
      <c r="F172" s="358" t="s">
        <v>827</v>
      </c>
      <c r="G172" s="355" t="str">
        <f ca="1">'System peak demand'!$C$249</f>
        <v>Section 509-H: Estimated capacity contribution to system peak</v>
      </c>
    </row>
    <row r="173" spans="6:7" customFormat="1" ht="15.75" thickBot="1" x14ac:dyDescent="0.3">
      <c r="F173" s="358" t="s">
        <v>827</v>
      </c>
      <c r="G173" s="355" t="str">
        <f ca="1">'System peak demand'!$C$266</f>
        <v>Section 509-I: System peak based on chargeable load</v>
      </c>
    </row>
    <row r="174" spans="6:7" customFormat="1" ht="16.5" thickTop="1" thickBot="1" x14ac:dyDescent="0.3">
      <c r="F174" s="359" t="s">
        <v>355</v>
      </c>
      <c r="G174" s="355" t="str">
        <f ca="1">'Service model assets'!$C$14</f>
        <v>Section 510-A: Service model notional asset values</v>
      </c>
    </row>
    <row r="175" spans="6:7" customFormat="1" ht="15.75" thickTop="1" x14ac:dyDescent="0.25">
      <c r="F175" s="359" t="s">
        <v>442</v>
      </c>
      <c r="G175" s="355" t="str">
        <f ca="1">'Unit costs'!$C$19</f>
        <v>Section 511-A: Financial data</v>
      </c>
    </row>
    <row r="176" spans="6:7" customFormat="1" x14ac:dyDescent="0.25">
      <c r="F176" s="358" t="s">
        <v>827</v>
      </c>
      <c r="G176" s="355" t="str">
        <f ca="1">'Unit costs'!$C$27</f>
        <v>Section 511-B: Diversity and loss adjustment factors</v>
      </c>
    </row>
    <row r="177" spans="6:7" customFormat="1" x14ac:dyDescent="0.25">
      <c r="F177" s="358" t="s">
        <v>827</v>
      </c>
      <c r="G177" s="355" t="str">
        <f ca="1">'Unit costs'!$C$35</f>
        <v>Section 511-C: Maximum demand</v>
      </c>
    </row>
    <row r="178" spans="6:7" customFormat="1" x14ac:dyDescent="0.25">
      <c r="F178" s="358" t="s">
        <v>827</v>
      </c>
      <c r="G178" s="355" t="str">
        <f ca="1">'Unit costs'!$C$42</f>
        <v>Section 511-D: Rerouting matrix</v>
      </c>
    </row>
    <row r="179" spans="6:7" customFormat="1" x14ac:dyDescent="0.25">
      <c r="F179" s="358" t="s">
        <v>827</v>
      </c>
      <c r="G179" s="355" t="str">
        <f ca="1">'Unit costs'!$C$50</f>
        <v>Section 511-E: Annuitised cost of assets</v>
      </c>
    </row>
    <row r="180" spans="6:7" customFormat="1" x14ac:dyDescent="0.25">
      <c r="F180" s="358" t="s">
        <v>827</v>
      </c>
      <c r="G180" s="355" t="str">
        <f ca="1">'Unit costs'!$C$62</f>
        <v>Section 511-F: System simultaneous peak load based on charegable units</v>
      </c>
    </row>
    <row r="181" spans="6:7" customFormat="1" x14ac:dyDescent="0.25">
      <c r="F181" s="358" t="s">
        <v>827</v>
      </c>
      <c r="G181" s="355" t="str">
        <f ca="1">'Unit costs'!$C$69</f>
        <v>Section 511-G: Notional asset values, by network level</v>
      </c>
    </row>
    <row r="182" spans="6:7" customFormat="1" x14ac:dyDescent="0.25">
      <c r="F182" s="358" t="s">
        <v>827</v>
      </c>
      <c r="G182" s="355" t="str">
        <f ca="1">'Unit costs'!$C$80</f>
        <v>Section 511-H: Other operating costs</v>
      </c>
    </row>
    <row r="183" spans="6:7" customFormat="1" x14ac:dyDescent="0.25">
      <c r="F183" s="358" t="s">
        <v>827</v>
      </c>
      <c r="G183" s="355" t="str">
        <f ca="1">'Unit costs'!$C$92</f>
        <v>Section 511-I: Other operating costs by network level</v>
      </c>
    </row>
    <row r="184" spans="6:7" customFormat="1" x14ac:dyDescent="0.25">
      <c r="F184" s="358" t="s">
        <v>827</v>
      </c>
      <c r="G184" s="355" t="str">
        <f ca="1">'Unit costs'!$C$104</f>
        <v>Section 511-J: Notional asset values by network level</v>
      </c>
    </row>
    <row r="185" spans="6:7" customFormat="1" x14ac:dyDescent="0.25">
      <c r="F185" s="358" t="s">
        <v>827</v>
      </c>
      <c r="G185" s="355" t="str">
        <f ca="1">'Unit costs'!$C$110</f>
        <v>Section 511-K: Unit costs</v>
      </c>
    </row>
    <row r="186" spans="6:7" customFormat="1" ht="15.75" thickBot="1" x14ac:dyDescent="0.3">
      <c r="F186" s="358" t="s">
        <v>827</v>
      </c>
      <c r="G186" s="355" t="str">
        <f ca="1">'Unit costs'!$C$117</f>
        <v>Section 511-L: Values used for allocating costs to service models</v>
      </c>
    </row>
    <row r="187" spans="6:7" customFormat="1" ht="15.75" thickTop="1" x14ac:dyDescent="0.25">
      <c r="F187" s="359" t="s">
        <v>364</v>
      </c>
      <c r="G187" s="355" t="str">
        <f ca="1">'Initial unit rates'!$C$13</f>
        <v>Section 512-A: Inputs for yardstick and unit rate calculations</v>
      </c>
    </row>
    <row r="188" spans="6:7" customFormat="1" x14ac:dyDescent="0.25">
      <c r="F188" s="358" t="s">
        <v>827</v>
      </c>
      <c r="G188" s="355" t="str">
        <f ca="1">'Initial unit rates'!$C$118</f>
        <v>Section 512-B: Yardstick charges</v>
      </c>
    </row>
    <row r="189" spans="6:7" customFormat="1" x14ac:dyDescent="0.25">
      <c r="F189" s="358" t="s">
        <v>827</v>
      </c>
      <c r="G189" s="355" t="str">
        <f ca="1">'Initial unit rates'!$C$146</f>
        <v>Section 512-C: Unit rate 1</v>
      </c>
    </row>
    <row r="190" spans="6:7" customFormat="1" x14ac:dyDescent="0.25">
      <c r="F190" s="358" t="s">
        <v>827</v>
      </c>
      <c r="G190" s="355" t="str">
        <f ca="1">'Initial unit rates'!$C$175</f>
        <v>Section 512-D: Unit rate 2</v>
      </c>
    </row>
    <row r="191" spans="6:7" customFormat="1" ht="15.75" thickBot="1" x14ac:dyDescent="0.3">
      <c r="F191" s="358" t="s">
        <v>827</v>
      </c>
      <c r="G191" s="355" t="str">
        <f ca="1">'Initial unit rates'!$C$204</f>
        <v>Section 512-E: Unit rate 3</v>
      </c>
    </row>
    <row r="192" spans="6:7" customFormat="1" ht="15.75" thickTop="1" x14ac:dyDescent="0.25">
      <c r="F192" s="359" t="s">
        <v>643</v>
      </c>
      <c r="G192" s="355" t="str">
        <f ca="1">'Service model charges'!$C$17</f>
        <v>Section 513-A: Inputs to service model charge calculation</v>
      </c>
    </row>
    <row r="193" spans="6:7" customFormat="1" x14ac:dyDescent="0.25">
      <c r="F193" s="358" t="s">
        <v>827</v>
      </c>
      <c r="G193" s="355" t="str">
        <f ca="1">'Service model charges'!$C$33</f>
        <v>Section 513-B: Calculation of other operating expenditure per £ of notional asset value</v>
      </c>
    </row>
    <row r="194" spans="6:7" customFormat="1" ht="15.75" thickBot="1" x14ac:dyDescent="0.3">
      <c r="F194" s="358" t="s">
        <v>827</v>
      </c>
      <c r="G194" s="355" t="str">
        <f ca="1">'Service model charges'!$C$37</f>
        <v>Section 513-C: Calculation of service model charges</v>
      </c>
    </row>
    <row r="195" spans="6:7" customFormat="1" ht="15.75" thickTop="1" x14ac:dyDescent="0.25">
      <c r="F195" s="359" t="s">
        <v>644</v>
      </c>
      <c r="G195" s="355" t="str">
        <f ca="1">'Unit rate charges'!$C$19</f>
        <v>Section 514-A: Initial unit rate 1</v>
      </c>
    </row>
    <row r="196" spans="6:7" customFormat="1" x14ac:dyDescent="0.25">
      <c r="F196" s="358" t="s">
        <v>827</v>
      </c>
      <c r="G196" s="355" t="str">
        <f ca="1">'Unit rate charges'!$C$49</f>
        <v>Section 514-B: Initial unit rate 2</v>
      </c>
    </row>
    <row r="197" spans="6:7" customFormat="1" x14ac:dyDescent="0.25">
      <c r="F197" s="358" t="s">
        <v>827</v>
      </c>
      <c r="G197" s="355" t="str">
        <f ca="1">'Unit rate charges'!$C$79</f>
        <v>Section 514-C: Initial unit rate 3</v>
      </c>
    </row>
    <row r="198" spans="6:7" customFormat="1" x14ac:dyDescent="0.25">
      <c r="F198" s="358" t="s">
        <v>827</v>
      </c>
      <c r="G198" s="355" t="str">
        <f ca="1">'Unit rate charges'!$C$109</f>
        <v>Section 514-D: Standing charge factors</v>
      </c>
    </row>
    <row r="199" spans="6:7" customFormat="1" x14ac:dyDescent="0.25">
      <c r="F199" s="358" t="s">
        <v>827</v>
      </c>
      <c r="G199" s="355" t="str">
        <f ca="1">'Unit rate charges'!$C$124</f>
        <v>Section 514-E: Contributions to unit rate 1 p/kWh by network level (taking account of standing charges)</v>
      </c>
    </row>
    <row r="200" spans="6:7" customFormat="1" x14ac:dyDescent="0.25">
      <c r="F200" s="358" t="s">
        <v>827</v>
      </c>
      <c r="G200" s="355" t="str">
        <f ca="1">'Unit rate charges'!$C$154</f>
        <v>Section 514-F: Contributions to unit rate 2 p/kWh by network level (taking account of standing charges)</v>
      </c>
    </row>
    <row r="201" spans="6:7" customFormat="1" x14ac:dyDescent="0.25">
      <c r="F201" s="358" t="s">
        <v>827</v>
      </c>
      <c r="G201" s="355" t="str">
        <f ca="1">'Unit rate charges'!$C$184</f>
        <v>Section 514-G: Contributions to unit rate 3 p/kWh by network level (taking account of standing charges)</v>
      </c>
    </row>
    <row r="202" spans="6:7" customFormat="1" ht="15.75" thickBot="1" x14ac:dyDescent="0.3">
      <c r="F202" s="358" t="s">
        <v>827</v>
      </c>
      <c r="G202" s="355" t="str">
        <f ca="1">'Unit rate charges'!$C$214</f>
        <v>Section 514-H: Unit rates, post application of standing charges</v>
      </c>
    </row>
    <row r="203" spans="6:7" customFormat="1" ht="15.75" thickTop="1" x14ac:dyDescent="0.25">
      <c r="F203" s="359" t="s">
        <v>572</v>
      </c>
      <c r="G203" s="355" t="str">
        <f ca="1">'Reactive power charges'!$C$17</f>
        <v>Section 515-A: Inputs to reactive power charge calculations</v>
      </c>
    </row>
    <row r="204" spans="6:7" customFormat="1" x14ac:dyDescent="0.25">
      <c r="F204" s="358" t="s">
        <v>827</v>
      </c>
      <c r="G204" s="355" t="str">
        <f ca="1">'Reactive power charges'!$C$120</f>
        <v>Section 515-B: Yardstick charge (demand)</v>
      </c>
    </row>
    <row r="205" spans="6:7" customFormat="1" x14ac:dyDescent="0.25">
      <c r="F205" s="358" t="s">
        <v>827</v>
      </c>
      <c r="G205" s="355" t="str">
        <f ca="1">'Reactive power charges'!$C$155</f>
        <v>Section 515-C: Yardstick charge used for generation</v>
      </c>
    </row>
    <row r="206" spans="6:7" customFormat="1" x14ac:dyDescent="0.25">
      <c r="F206" s="358" t="s">
        <v>827</v>
      </c>
      <c r="G206" s="355" t="str">
        <f ca="1">'Reactive power charges'!$C$190</f>
        <v>Section 515-D: Reactive power charges, all customer categories</v>
      </c>
    </row>
    <row r="207" spans="6:7" customFormat="1" ht="15.75" thickBot="1" x14ac:dyDescent="0.3">
      <c r="F207" s="358" t="s">
        <v>827</v>
      </c>
      <c r="G207" s="355" t="str">
        <f ca="1">'Reactive power charges'!$C$220</f>
        <v>Section 515-E: Reactive power charges for applicable customers</v>
      </c>
    </row>
    <row r="208" spans="6:7" customFormat="1" ht="15.75" thickTop="1" x14ac:dyDescent="0.25">
      <c r="F208" s="359" t="s">
        <v>366</v>
      </c>
      <c r="G208" s="355" t="str">
        <f ca="1">'Capacity charges'!$C$19</f>
        <v>Section 516-A: Inputs to capacity charge calculations</v>
      </c>
    </row>
    <row r="209" spans="6:7" customFormat="1" x14ac:dyDescent="0.25">
      <c r="F209" s="358" t="s">
        <v>827</v>
      </c>
      <c r="G209" s="355" t="str">
        <f ca="1">'Capacity charges'!$C$129</f>
        <v>Section 516-B: Capacity-based charge elements (to be split between capacity &amp; fixed charges)</v>
      </c>
    </row>
    <row r="210" spans="6:7" customFormat="1" x14ac:dyDescent="0.25">
      <c r="F210" s="358" t="s">
        <v>827</v>
      </c>
      <c r="G210" s="355" t="str">
        <f ca="1">'Capacity charges'!$C$159</f>
        <v>Section 516-C: Exceeded capacity-based charge elements</v>
      </c>
    </row>
    <row r="211" spans="6:7" customFormat="1" x14ac:dyDescent="0.25">
      <c r="F211" s="358" t="s">
        <v>827</v>
      </c>
      <c r="G211" s="355" t="str">
        <f ca="1">'Capacity charges'!$C$189</f>
        <v>Section 516-D: Capacity charges for eligible customers, by network level</v>
      </c>
    </row>
    <row r="212" spans="6:7" customFormat="1" x14ac:dyDescent="0.25">
      <c r="F212" s="358" t="s">
        <v>827</v>
      </c>
      <c r="G212" s="355" t="str">
        <f ca="1">'Capacity charges'!$C$219</f>
        <v>Section 516-E: Exceeded capacity charges for eligible customers, by network level</v>
      </c>
    </row>
    <row r="213" spans="6:7" customFormat="1" x14ac:dyDescent="0.25">
      <c r="F213" s="358" t="s">
        <v>827</v>
      </c>
      <c r="G213" s="355" t="str">
        <f ca="1">'Capacity charges'!$C$254</f>
        <v>Section 516-F: Capacity and exceeded capacity charges</v>
      </c>
    </row>
    <row r="214" spans="6:7" customFormat="1" ht="15.75" thickBot="1" x14ac:dyDescent="0.3">
      <c r="F214" s="358" t="s">
        <v>827</v>
      </c>
      <c r="G214" s="355" t="str">
        <f ca="1">'Capacity charges'!$C$259</f>
        <v>Section 516-G: Capacity elements allocated to fixed charges</v>
      </c>
    </row>
    <row r="215" spans="6:7" customFormat="1" ht="15.75" thickTop="1" x14ac:dyDescent="0.25">
      <c r="F215" s="359" t="s">
        <v>367</v>
      </c>
      <c r="G215" s="355" t="str">
        <f ca="1">'Fixed charges'!$C$16</f>
        <v>Section 517-A: Volumes (discounted MPANs &amp; maximum load)</v>
      </c>
    </row>
    <row r="216" spans="6:7" customFormat="1" x14ac:dyDescent="0.25">
      <c r="F216" s="358" t="s">
        <v>827</v>
      </c>
      <c r="G216" s="355" t="str">
        <f ca="1">'Fixed charges'!$C$22</f>
        <v>Section 517-B: Capacity elements allocated to fixed charges</v>
      </c>
    </row>
    <row r="217" spans="6:7" customFormat="1" x14ac:dyDescent="0.25">
      <c r="F217" s="358" t="s">
        <v>827</v>
      </c>
      <c r="G217" s="355" t="str">
        <f ca="1">'Fixed charges'!$C$52</f>
        <v>Section 517-C: Service model costs allocated to fixed charges</v>
      </c>
    </row>
    <row r="218" spans="6:7" customFormat="1" x14ac:dyDescent="0.25">
      <c r="F218" s="358" t="s">
        <v>827</v>
      </c>
      <c r="G218" s="355" t="str">
        <f ca="1">'Fixed charges'!$C$58</f>
        <v>Section 517-D: Flags</v>
      </c>
    </row>
    <row r="219" spans="6:7" customFormat="1" x14ac:dyDescent="0.25">
      <c r="F219" s="358" t="s">
        <v>827</v>
      </c>
      <c r="G219" s="355" t="str">
        <f ca="1">'Fixed charges'!$C$67</f>
        <v>Section 517-E: Revenue allocated to fixed charges</v>
      </c>
    </row>
    <row r="220" spans="6:7" customFormat="1" x14ac:dyDescent="0.25">
      <c r="F220" s="358" t="s">
        <v>827</v>
      </c>
      <c r="G220" s="355" t="str">
        <f ca="1">'Fixed charges'!$C$97</f>
        <v>Section 517-F: Revenue allocated to fixed charges, by aggregation group</v>
      </c>
    </row>
    <row r="221" spans="6:7" customFormat="1" x14ac:dyDescent="0.25">
      <c r="F221" s="358" t="s">
        <v>827</v>
      </c>
      <c r="G221" s="355" t="str">
        <f ca="1">'Fixed charges'!$C$127</f>
        <v>Section 517-G: Fixed charges, by network level</v>
      </c>
    </row>
    <row r="222" spans="6:7" customFormat="1" ht="15.75" thickBot="1" x14ac:dyDescent="0.3">
      <c r="F222" s="358" t="s">
        <v>827</v>
      </c>
      <c r="G222" s="355" t="str">
        <f ca="1">'Fixed charges'!$C$159</f>
        <v>Section 517-H: Aggregated fixed charges</v>
      </c>
    </row>
    <row r="223" spans="6:7" customFormat="1" ht="15.75" thickTop="1" x14ac:dyDescent="0.25">
      <c r="F223" s="359" t="s">
        <v>368</v>
      </c>
      <c r="G223" s="355" t="str">
        <f ca="1">'Revenue matching'!$C$15</f>
        <v>Section 518-A: Inputs to revenue matching</v>
      </c>
    </row>
    <row r="224" spans="6:7" customFormat="1" x14ac:dyDescent="0.25">
      <c r="F224" s="358" t="s">
        <v>827</v>
      </c>
      <c r="G224" s="355" t="str">
        <f ca="1">'Revenue matching'!$C$39</f>
        <v>Section 518-B: Net revenue before matching</v>
      </c>
    </row>
    <row r="225" spans="6:7" customFormat="1" x14ac:dyDescent="0.25">
      <c r="F225" s="358" t="s">
        <v>827</v>
      </c>
      <c r="G225" s="355" t="str">
        <f ca="1">'Revenue matching'!$C$62</f>
        <v>Section 518-C: Calculation of unconstrained adder solution</v>
      </c>
    </row>
    <row r="226" spans="6:7" customFormat="1" x14ac:dyDescent="0.25">
      <c r="F226" s="358" t="s">
        <v>827</v>
      </c>
      <c r="G226" s="355" t="str">
        <f ca="1">'Revenue matching'!$C$86</f>
        <v>Section 518-D: Algorithm to find constrained adder solution</v>
      </c>
    </row>
    <row r="227" spans="6:7" customFormat="1" ht="15.75" thickBot="1" x14ac:dyDescent="0.3">
      <c r="F227" s="358" t="s">
        <v>827</v>
      </c>
      <c r="G227" s="355" t="str">
        <f ca="1">'Revenue matching'!$C$125</f>
        <v>Section 518-E: Adder to be applied to unit rates</v>
      </c>
    </row>
    <row r="228" spans="6:7" customFormat="1" ht="15.75" thickTop="1" x14ac:dyDescent="0.25">
      <c r="F228" s="359" t="s">
        <v>309</v>
      </c>
      <c r="G228" s="355" t="str">
        <f ca="1">Rounding!$C$16</f>
        <v>Section 519-A: Pre-match, pre-rounding tariff forecast</v>
      </c>
    </row>
    <row r="229" spans="6:7" customFormat="1" x14ac:dyDescent="0.25">
      <c r="F229" s="358" t="s">
        <v>827</v>
      </c>
      <c r="G229" s="355" t="str">
        <f ca="1">Rounding!$C$28</f>
        <v>Section 519-B: Adder to be applied to unit rates</v>
      </c>
    </row>
    <row r="230" spans="6:7" customFormat="1" x14ac:dyDescent="0.25">
      <c r="F230" s="358" t="s">
        <v>827</v>
      </c>
      <c r="G230" s="355" t="str">
        <f ca="1">Rounding!$C$40</f>
        <v>Section 519-C: LDNO discounts</v>
      </c>
    </row>
    <row r="231" spans="6:7" customFormat="1" x14ac:dyDescent="0.25">
      <c r="F231" s="358" t="s">
        <v>827</v>
      </c>
      <c r="G231" s="355" t="str">
        <f ca="1">Rounding!$C$60</f>
        <v>Section 519-D: Decimal places for rounding</v>
      </c>
    </row>
    <row r="232" spans="6:7" customFormat="1" x14ac:dyDescent="0.25">
      <c r="F232" s="358" t="s">
        <v>827</v>
      </c>
      <c r="G232" s="355" t="str">
        <f ca="1">Rounding!$C$75</f>
        <v>Section 519-E: All the way tariff forecast, pre-rounding</v>
      </c>
    </row>
    <row r="233" spans="6:7" customFormat="1" ht="15.75" thickBot="1" x14ac:dyDescent="0.3">
      <c r="F233" s="358" t="s">
        <v>827</v>
      </c>
      <c r="G233" s="355" t="str">
        <f ca="1">Rounding!$C$86</f>
        <v>Section 519-F: tariff forecast, post-rounding</v>
      </c>
    </row>
    <row r="234" spans="6:7" customFormat="1" ht="15.75" thickTop="1" x14ac:dyDescent="0.25">
      <c r="F234" s="359" t="s">
        <v>777</v>
      </c>
      <c r="G234" s="355" t="str">
        <f ca="1">'Net revenue summary'!$C$13</f>
        <v>Section 520-A: Volume forecasts</v>
      </c>
    </row>
    <row r="235" spans="6:7" customFormat="1" x14ac:dyDescent="0.25">
      <c r="F235" s="358" t="s">
        <v>827</v>
      </c>
      <c r="G235" s="355" t="str">
        <f ca="1">'Net revenue summary'!$C$42</f>
        <v>Section 520-B: Tariff forecast</v>
      </c>
    </row>
    <row r="236" spans="6:7" customFormat="1" x14ac:dyDescent="0.25">
      <c r="F236" s="358" t="s">
        <v>827</v>
      </c>
      <c r="G236" s="355" t="str">
        <f ca="1">'Net revenue summary'!$C$71</f>
        <v>Section 520-C: Net revenue components</v>
      </c>
    </row>
    <row r="237" spans="6:7" customFormat="1" x14ac:dyDescent="0.25">
      <c r="F237" s="358" t="s">
        <v>827</v>
      </c>
      <c r="G237" s="355" t="str">
        <f ca="1">'Net revenue summary'!$C$79</f>
        <v>Section 520-D: Net revenue by tariff</v>
      </c>
    </row>
    <row r="238" spans="6:7" customFormat="1" x14ac:dyDescent="0.25">
      <c r="F238" s="358" t="s">
        <v>827</v>
      </c>
      <c r="G238" s="355" t="str">
        <f ca="1">'Net revenue summary'!$C$111</f>
        <v>Section 520-E: Net revenue summary (for information only)</v>
      </c>
    </row>
    <row r="239" spans="6:7" customFormat="1" ht="15.75" thickBot="1" x14ac:dyDescent="0.3">
      <c r="F239" s="358" t="s">
        <v>827</v>
      </c>
      <c r="G239" s="355" t="str">
        <f ca="1">'Net revenue summary'!$C$122</f>
        <v>Section 520-F: Typical bills</v>
      </c>
    </row>
    <row r="240" spans="6:7" customFormat="1" ht="15.75" thickTop="1" x14ac:dyDescent="0.25">
      <c r="F240" s="361" t="s">
        <v>645</v>
      </c>
      <c r="G240" s="355" t="str">
        <f ca="1">'Tariff summary'!$C$15</f>
        <v>Output 501-A: Live tariff results (2020/21)</v>
      </c>
    </row>
    <row r="241" spans="2:7" customFormat="1" x14ac:dyDescent="0.25">
      <c r="F241" s="360" t="s">
        <v>827</v>
      </c>
      <c r="G241" s="355" t="str">
        <f ca="1">'Tariff summary'!$C$122</f>
        <v>Output 501-B: tariff forecast results for charging year 2020/21</v>
      </c>
    </row>
    <row r="242" spans="2:7" customFormat="1" x14ac:dyDescent="0.25">
      <c r="F242" s="360" t="s">
        <v>827</v>
      </c>
      <c r="G242" s="355" t="str">
        <f ca="1">'Tariff summary'!$C$229</f>
        <v>Output 501-C: Tariff results for charging year 2021/22</v>
      </c>
    </row>
    <row r="243" spans="2:7" customFormat="1" x14ac:dyDescent="0.25">
      <c r="F243" s="360" t="s">
        <v>827</v>
      </c>
      <c r="G243" s="355" t="str">
        <f ca="1">'Tariff summary'!$C$336</f>
        <v>Output 501-D: Tariff results for charging year 2022/23</v>
      </c>
    </row>
    <row r="244" spans="2:7" customFormat="1" x14ac:dyDescent="0.25">
      <c r="F244" s="360" t="s">
        <v>827</v>
      </c>
      <c r="G244" s="355" t="str">
        <f ca="1">'Tariff summary'!$C$443</f>
        <v>Output 501-E: Tariff results for charging year 2023/24</v>
      </c>
    </row>
    <row r="245" spans="2:7" customFormat="1" ht="15.75" thickBot="1" x14ac:dyDescent="0.3">
      <c r="F245" s="360" t="s">
        <v>827</v>
      </c>
      <c r="G245" s="355" t="str">
        <f ca="1">'Tariff summary'!$C$550</f>
        <v>Output 501-F: Tariff results for charging year 2024/25</v>
      </c>
    </row>
    <row r="246" spans="2:7" customFormat="1" ht="15.75" thickTop="1" x14ac:dyDescent="0.25">
      <c r="F246" s="361" t="s">
        <v>699</v>
      </c>
      <c r="G246" s="355" t="str">
        <f ca="1">'Typical bills'!$C$15</f>
        <v>Output 502-A: Typical bill results</v>
      </c>
    </row>
    <row r="247" spans="2:7" customFormat="1" x14ac:dyDescent="0.25"/>
    <row r="248" spans="2:7" customFormat="1" x14ac:dyDescent="0.25">
      <c r="B248" s="171" t="s">
        <v>127</v>
      </c>
      <c r="C248" s="171"/>
      <c r="D248" s="171"/>
      <c r="E248" s="171"/>
      <c r="F248" s="171"/>
      <c r="G248" s="171"/>
    </row>
    <row r="249" spans="2:7" customFormat="1" x14ac:dyDescent="0.25"/>
    <row r="250" spans="2:7" customFormat="1" x14ac:dyDescent="0.25"/>
    <row r="251" spans="2:7" customFormat="1" x14ac:dyDescent="0.25"/>
    <row r="252" spans="2:7" customFormat="1" x14ac:dyDescent="0.25"/>
    <row r="253" spans="2:7" customFormat="1" x14ac:dyDescent="0.25"/>
    <row r="254" spans="2:7" customFormat="1" x14ac:dyDescent="0.25"/>
    <row r="255" spans="2:7" customFormat="1" x14ac:dyDescent="0.25"/>
    <row r="256" spans="2:7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</sheetData>
  <sheetProtection sheet="1" objects="1" formatCells="0" formatColumns="0" formatRows="0" sort="0" autoFilter="0"/>
  <hyperlinks>
    <hyperlink ref="F15" location="'Cover'!A4" display="'"/>
    <hyperlink ref="F16" location="'Version control'!A4" display="'"/>
    <hyperlink ref="G16" location="'Version control'!$B$5" display="'Version control'!$B$5"/>
    <hyperlink ref="F17" location="'Version control'!A4" display="'"/>
    <hyperlink ref="G17" location="'Version control'!$B$17" display="'Version control'!$B$17"/>
    <hyperlink ref="F18" location="'Version control'!A4" display="'"/>
    <hyperlink ref="G18" location="'Version control'!$B$31" display="'Version control'!$B$31"/>
    <hyperlink ref="F19" location="'Version control'!A4" display="'"/>
    <hyperlink ref="G19" location="'Version control'!$B$62" display="'Version control'!$B$62"/>
    <hyperlink ref="F20" location="'Model map'!A4" display="'"/>
    <hyperlink ref="G20" location="'Model map'!$B$5" display="'Model map'!$B$5"/>
    <hyperlink ref="F21" location="'Named ranges'!A4" display="'"/>
    <hyperlink ref="G21" location="'Named ranges'!$B$5" display="'Named ranges'!$B$5"/>
    <hyperlink ref="F22" location="'ARP_DNO commentary'!A4" display="'"/>
    <hyperlink ref="G22" location="'ARP_DNO commentary'!$B$9" display="'ARP_DNO commentary'!$B$9"/>
    <hyperlink ref="F23" location="'ARP_CDCM timebands'!A4" display="'"/>
    <hyperlink ref="G23" location="'ARP_CDCM timebands'!$B$12" display="'ARP_CDCM timebands'!$B$12"/>
    <hyperlink ref="F24" location="'ARP_Load characteristics'!A4" display="'"/>
    <hyperlink ref="G24" location="'ARP_Load characteristics'!$B$13" display="'ARP_Load characteristics'!$B$13"/>
    <hyperlink ref="F25" location="'ARP_Load characteristics'!A4" display="'"/>
    <hyperlink ref="G25" location="'ARP_Load characteristics'!$B$20" display="'ARP_Load characteristics'!$B$20"/>
    <hyperlink ref="F26" location="'ARP_Load characteristics'!A4" display="'"/>
    <hyperlink ref="G26" location="'ARP_Load characteristics'!$B$34" display="'ARP_Load characteristics'!$B$34"/>
    <hyperlink ref="F27" location="'ARP_Peaking probabilities'!A4" display="'"/>
    <hyperlink ref="G27" location="'ARP_Peaking probabilities'!$B$14" display="'ARP_Peaking probabilities'!$B$14"/>
    <hyperlink ref="F28" location="'ARP_Peaking probabilities'!A4" display="'"/>
    <hyperlink ref="G28" location="'ARP_Peaking probabilities'!$B$21" display="'ARP_Peaking probabilities'!$B$21"/>
    <hyperlink ref="F29" location="'ARP_User control'!A4" display="'"/>
    <hyperlink ref="G29" location="'ARP_User control'!$B$10" display="'ARP_User control'!$B$10"/>
    <hyperlink ref="F30" location="'ARP_User control'!A4" display="'"/>
    <hyperlink ref="G30" location="'ARP_User control'!$B$25" display="'ARP_User control'!$B$25"/>
    <hyperlink ref="F31" location="'ARP_Inputs by customer type'!A4" display="'"/>
    <hyperlink ref="G31" location="'ARP_Inputs by customer type'!$B$14" display="'ARP_Inputs by customer type'!$B$14"/>
    <hyperlink ref="F32" location="'ARP_Inputs by customer type'!A4" display="'"/>
    <hyperlink ref="G32" location="'ARP_Inputs by customer type'!$B$90" display="'ARP_Inputs by customer type'!$B$90"/>
    <hyperlink ref="F33" location="'ARP_Inputs by customer type'!A4" display="'"/>
    <hyperlink ref="G33" location="'ARP_Inputs by customer type'!$B$833" display="'ARP_Inputs by customer type'!$B$833"/>
    <hyperlink ref="F34" location="'ARP_Inputs by customer type'!A4" display="'"/>
    <hyperlink ref="G34" location="'ARP_Inputs by customer type'!$B$1159" display="'ARP_Inputs by customer type'!$B$1159"/>
    <hyperlink ref="F35" location="'ARP_Inputs by network level'!A4" display="'"/>
    <hyperlink ref="G35" location="'ARP_Inputs by network level'!$B$14" display="'ARP_Inputs by network level'!$B$14"/>
    <hyperlink ref="F36" location="'ARP_General inputs'!A4" display="'"/>
    <hyperlink ref="G36" location="'ARP_General inputs'!$B$14" display="'ARP_General inputs'!$B$14"/>
    <hyperlink ref="F37" location="'Fixed inputs'!A4" display="'"/>
    <hyperlink ref="G37" location="'Fixed inputs'!$B$11" display="'Fixed inputs'!$B$11"/>
    <hyperlink ref="F38" location="'Inputs by customer type'!A4" display="'"/>
    <hyperlink ref="G38" location="'Inputs by customer type'!$B$14" display="'Inputs by customer type'!$B$14"/>
    <hyperlink ref="F39" location="'Inputs by network level'!A4" display="'"/>
    <hyperlink ref="G39" location="'Inputs by network level'!$B$14" display="'Inputs by network level'!$B$14"/>
    <hyperlink ref="F40" location="'General inputs'!A4" display="'"/>
    <hyperlink ref="G40" location="'General inputs'!$B$14" display="'General inputs'!$B$14"/>
    <hyperlink ref="F41" location="'Load &amp; loss characteristics'!A4" display="'"/>
    <hyperlink ref="G41" location="'Load &amp; loss characteristics'!$B$13" display="'Load &amp; loss characteristics'!$B$13"/>
    <hyperlink ref="F42" location="'Load &amp; loss characteristics'!A4" display="'"/>
    <hyperlink ref="G42" location="'Load &amp; loss characteristics'!$B$31" display="'Load &amp; loss characteristics'!$B$31"/>
    <hyperlink ref="F43" location="'Customer contributions'!A4" display="'"/>
    <hyperlink ref="G43" location="'Customer contributions'!$B$12" display="'Customer contributions'!$B$12"/>
    <hyperlink ref="F44" location="'Volume adjustments'!A4" display="'"/>
    <hyperlink ref="G44" location="'Volume adjustments'!$B$13" display="'Volume adjustments'!$B$13"/>
    <hyperlink ref="F45" location="'Volume adjustments'!A4" display="'"/>
    <hyperlink ref="G45" location="'Volume adjustments'!$B$51" display="'Volume adjustments'!$B$51"/>
    <hyperlink ref="F46" location="'Pseudo-load coefficients'!A4" display="'"/>
    <hyperlink ref="G46" location="'Pseudo-load coefficients'!$B$325" display="'Pseudo-load coefficients'!$B$325"/>
    <hyperlink ref="F47" location="'System peak demand'!A4" display="'"/>
    <hyperlink ref="G47" location="'System peak demand'!$B$16" display="'System peak demand'!$B$16"/>
    <hyperlink ref="F48" location="'System peak demand'!A4" display="'"/>
    <hyperlink ref="G48" location="'System peak demand'!$B$63" display="'System peak demand'!$B$63"/>
    <hyperlink ref="F49" location="'System peak demand'!A4" display="'"/>
    <hyperlink ref="G49" location="'System peak demand'!$B$179" display="'System peak demand'!$B$179"/>
    <hyperlink ref="F50" location="'System peak demand'!A4" display="'"/>
    <hyperlink ref="G50" location="'System peak demand'!$B$262" display="'System peak demand'!$B$262"/>
    <hyperlink ref="F51" location="'Service model assets'!A4" display="'"/>
    <hyperlink ref="G51" location="'Service model assets'!$B$12" display="'Service model assets'!$B$12"/>
    <hyperlink ref="F52" location="'Unit costs'!A4" display="'"/>
    <hyperlink ref="G52" location="'Unit costs'!$B$15" display="'Unit costs'!$B$15"/>
    <hyperlink ref="F53" location="'Unit costs'!A4" display="'"/>
    <hyperlink ref="G53" location="'Unit costs'!$B$58" display="'Unit costs'!$B$58"/>
    <hyperlink ref="F54" location="'Unit costs'!A4" display="'"/>
    <hyperlink ref="G54" location="'Unit costs'!$B$102" display="'Unit costs'!$B$102"/>
    <hyperlink ref="F55" location="'Initial unit rates'!A4" display="'"/>
    <hyperlink ref="G55" location="'Initial unit rates'!$B$11" display="'Initial unit rates'!$B$11"/>
    <hyperlink ref="F56" location="'Initial unit rates'!A4" display="'"/>
    <hyperlink ref="G56" location="'Initial unit rates'!$B$116" display="'Initial unit rates'!$B$116"/>
    <hyperlink ref="F57" location="'Service model charges'!A4" display="'"/>
    <hyperlink ref="G57" location="'Service model charges'!$B$13" display="'Service model charges'!$B$13"/>
    <hyperlink ref="F58" location="'Service model charges'!A4" display="'"/>
    <hyperlink ref="G58" location="'Service model charges'!$B$29" display="'Service model charges'!$B$29"/>
    <hyperlink ref="F59" location="'Unit rate charges'!A4" display="'"/>
    <hyperlink ref="G59" location="'Unit rate charges'!$B$15" display="'Unit rate charges'!$B$15"/>
    <hyperlink ref="F60" location="'Unit rate charges'!A4" display="'"/>
    <hyperlink ref="G60" location="'Unit rate charges'!$B$122" display="'Unit rate charges'!$B$122"/>
    <hyperlink ref="F61" location="'Reactive power charges'!A4" display="'"/>
    <hyperlink ref="G61" location="'Reactive power charges'!$B$13" display="'Reactive power charges'!$B$13"/>
    <hyperlink ref="F62" location="'Reactive power charges'!A4" display="'"/>
    <hyperlink ref="G62" location="'Reactive power charges'!$B$150" display="'Reactive power charges'!$B$150"/>
    <hyperlink ref="F63" location="'Reactive power charges'!A4" display="'"/>
    <hyperlink ref="G63" location="'Reactive power charges'!$B$185" display="'Reactive power charges'!$B$185"/>
    <hyperlink ref="F64" location="'Capacity charges'!A4" display="'"/>
    <hyperlink ref="G64" location="'Capacity charges'!$B$17" display="'Capacity charges'!$B$17"/>
    <hyperlink ref="F65" location="'Capacity charges'!A4" display="'"/>
    <hyperlink ref="G65" location="'Capacity charges'!$B$125" display="'Capacity charges'!$B$125"/>
    <hyperlink ref="F66" location="'Capacity charges'!A4" display="'"/>
    <hyperlink ref="G66" location="'Capacity charges'!$B$249" display="'Capacity charges'!$B$249"/>
    <hyperlink ref="F67" location="'Fixed charges'!A4" display="'"/>
    <hyperlink ref="G67" location="'Fixed charges'!$B$14" display="'Fixed charges'!$B$14"/>
    <hyperlink ref="F68" location="'Fixed charges'!A4" display="'"/>
    <hyperlink ref="G68" location="'Fixed charges'!$B$65" display="'Fixed charges'!$B$65"/>
    <hyperlink ref="F69" location="'Revenue matching'!A4" display="'"/>
    <hyperlink ref="G69" location="'Revenue matching'!$B$13" display="'Revenue matching'!$B$13"/>
    <hyperlink ref="F70" location="'Revenue matching'!A4" display="'"/>
    <hyperlink ref="G70" location="'Revenue matching'!$B$56" display="'Revenue matching'!$B$56"/>
    <hyperlink ref="F71" location="'Rounding'!A4" display="'"/>
    <hyperlink ref="G71" location="'Rounding'!$B$12" display="'Rounding'!$B$12"/>
    <hyperlink ref="F72" location="'Rounding'!A4" display="'"/>
    <hyperlink ref="G72" location="'Rounding'!$B$71" display="'Rounding'!$B$71"/>
    <hyperlink ref="F73" location="'Net revenue summary'!A4" display="'"/>
    <hyperlink ref="G73" location="'Net revenue summary'!$B$11" display="'Net revenue summary'!$B$11"/>
    <hyperlink ref="F74" location="'Net revenue summary'!A4" display="'"/>
    <hyperlink ref="G74" location="'Net revenue summary'!$B$77" display="'Net revenue summary'!$B$77"/>
    <hyperlink ref="F75" location="'Tariff summary'!A4" display="'"/>
    <hyperlink ref="G75" location="'Tariff summary'!$B$13" display="'Tariff summary'!$B$13"/>
    <hyperlink ref="F76" location="'Typical bills'!A4" display="'"/>
    <hyperlink ref="G76" location="'Typical bills'!$B$13" display="'Typical bills'!$B$13"/>
    <hyperlink ref="F83" location="'ARP_CDCM timebands'!A4" display="'"/>
    <hyperlink ref="G83" location="'ARP_CDCM timebands'!$C$14" display="'ARP_CDCM timebands'!$C$14"/>
    <hyperlink ref="F84" location="'ARP_CDCM timebands'!A4" display="'"/>
    <hyperlink ref="G84" location="'ARP_CDCM timebands'!$C$26" display="'ARP_CDCM timebands'!$C$26"/>
    <hyperlink ref="F85" location="'ARP_Load characteristics'!A4" display="'"/>
    <hyperlink ref="G85" location="'ARP_Load characteristics'!$D$39" display="'ARP_Load characteristics'!$D$39"/>
    <hyperlink ref="F86" location="'ARP_Load characteristics'!A4" display="'"/>
    <hyperlink ref="G86" location="'ARP_Load characteristics'!$D$59" display="'ARP_Load characteristics'!$D$59"/>
    <hyperlink ref="F87" location="'ARP_Load characteristics'!A4" display="'"/>
    <hyperlink ref="G87" location="'ARP_Load characteristics'!$D$79" display="'ARP_Load characteristics'!$D$79"/>
    <hyperlink ref="F88" location="'ARP_User control'!A4" display="'"/>
    <hyperlink ref="G88" location="'ARP_User control'!$C$15" display="'ARP_User control'!$C$15"/>
    <hyperlink ref="F89" location="'ARP_User control'!A4" display="'"/>
    <hyperlink ref="G89" location="'ARP_User control'!$C$19" display="'ARP_User control'!$C$19"/>
    <hyperlink ref="F90" location="'ARP_Inputs by customer type'!A4" display="'"/>
    <hyperlink ref="G90" location="'ARP_Inputs by customer type'!$C$16" display="'ARP_Inputs by customer type'!$C$16"/>
    <hyperlink ref="F91" location="'ARP_Inputs by customer type'!A4" display="'"/>
    <hyperlink ref="G91" location="'ARP_Inputs by customer type'!$C$53" display="'ARP_Inputs by customer type'!$C$53"/>
    <hyperlink ref="F92" location="'ARP_Inputs by customer type'!A4" display="'"/>
    <hyperlink ref="G92" location="'ARP_Inputs by customer type'!$C$92" display="'ARP_Inputs by customer type'!$C$92"/>
    <hyperlink ref="F93" location="'ARP_Inputs by customer type'!A4" display="'"/>
    <hyperlink ref="G93" location="'ARP_Inputs by customer type'!$C$339" display="'ARP_Inputs by customer type'!$C$339"/>
    <hyperlink ref="F94" location="'ARP_Inputs by customer type'!A4" display="'"/>
    <hyperlink ref="G94" location="'ARP_Inputs by customer type'!$C$586" display="'ARP_Inputs by customer type'!$C$586"/>
    <hyperlink ref="F95" location="'ARP_Inputs by customer type'!A4" display="'"/>
    <hyperlink ref="G95" location="'ARP_Inputs by customer type'!$C$838" display="'ARP_Inputs by customer type'!$C$838"/>
    <hyperlink ref="F96" location="'ARP_Inputs by customer type'!A4" display="'"/>
    <hyperlink ref="G96" location="'ARP_Inputs by customer type'!$C$945" display="'ARP_Inputs by customer type'!$C$945"/>
    <hyperlink ref="F97" location="'ARP_Inputs by customer type'!A4" display="'"/>
    <hyperlink ref="G97" location="'ARP_Inputs by customer type'!$C$1052" display="'ARP_Inputs by customer type'!$C$1052"/>
    <hyperlink ref="F98" location="'ARP_Inputs by customer type'!A4" display="'"/>
    <hyperlink ref="G98" location="'ARP_Inputs by customer type'!$C$1163" display="'ARP_Inputs by customer type'!$C$1163"/>
    <hyperlink ref="F99" location="'ARP_Inputs by customer type'!A4" display="'"/>
    <hyperlink ref="G99" location="'ARP_Inputs by customer type'!$C$1200" display="'ARP_Inputs by customer type'!$C$1200"/>
    <hyperlink ref="F100" location="'ARP_Inputs by customer type'!A4" display="'"/>
    <hyperlink ref="G100" location="'ARP_Inputs by customer type'!$C$1237" display="'ARP_Inputs by customer type'!$C$1237"/>
    <hyperlink ref="F101" location="'ARP_Inputs by network level'!A4" display="'"/>
    <hyperlink ref="G101" location="'ARP_Inputs by network level'!$C$16" display="'ARP_Inputs by network level'!$C$16"/>
    <hyperlink ref="F102" location="'ARP_Inputs by network level'!A4" display="'"/>
    <hyperlink ref="G102" location="'ARP_Inputs by network level'!$C$30" display="'ARP_Inputs by network level'!$C$30"/>
    <hyperlink ref="F103" location="'ARP_Inputs by network level'!A4" display="'"/>
    <hyperlink ref="G103" location="'ARP_Inputs by network level'!$C$44" display="'ARP_Inputs by network level'!$C$44"/>
    <hyperlink ref="F104" location="'ARP_Inputs by network level'!A4" display="'"/>
    <hyperlink ref="G104" location="'ARP_Inputs by network level'!$C$58" display="'ARP_Inputs by network level'!$C$58"/>
    <hyperlink ref="F105" location="'ARP_Inputs by network level'!A4" display="'"/>
    <hyperlink ref="G105" location="'ARP_Inputs by network level'!$C$72" display="'ARP_Inputs by network level'!$C$72"/>
    <hyperlink ref="F106" location="'ARP_Inputs by network level'!A4" display="'"/>
    <hyperlink ref="G106" location="'ARP_Inputs by network level'!$C$120" display="'ARP_Inputs by network level'!$C$120"/>
    <hyperlink ref="F107" location="'ARP_Inputs by network level'!A4" display="'"/>
    <hyperlink ref="G107" location="'ARP_Inputs by network level'!$C$134" display="'ARP_Inputs by network level'!$C$134"/>
    <hyperlink ref="F108" location="'ARP_General inputs'!A4" display="'"/>
    <hyperlink ref="G108" location="'ARP_General inputs'!$C$16" display="'ARP_General inputs'!$C$16"/>
    <hyperlink ref="F109" location="'ARP_General inputs'!A4" display="'"/>
    <hyperlink ref="G109" location="'ARP_General inputs'!$C$28" display="'ARP_General inputs'!$C$28"/>
    <hyperlink ref="F110" location="'ARP_General inputs'!A4" display="'"/>
    <hyperlink ref="G110" location="'ARP_General inputs'!$C$38" display="'ARP_General inputs'!$C$38"/>
    <hyperlink ref="F111" location="'ARP_General inputs'!A4" display="'"/>
    <hyperlink ref="G111" location="'ARP_General inputs'!$C$96" display="'ARP_General inputs'!$C$96"/>
    <hyperlink ref="F112" location="'ARP_General inputs'!A4" display="'"/>
    <hyperlink ref="G112" location="'ARP_General inputs'!$C$101" display="'ARP_General inputs'!$C$101"/>
    <hyperlink ref="F113" location="'ARP_General inputs'!A4" display="'"/>
    <hyperlink ref="G113" location="'ARP_General inputs'!$C$105" display="'ARP_General inputs'!$C$105"/>
    <hyperlink ref="F114" location="'Fixed inputs'!A4" display="'"/>
    <hyperlink ref="G114" location="'Fixed inputs'!$C$13" display="'Fixed inputs'!$C$13"/>
    <hyperlink ref="F115" location="'Fixed inputs'!A4" display="'"/>
    <hyperlink ref="G115" location="'Fixed inputs'!$C$20" display="'Fixed inputs'!$C$20"/>
    <hyperlink ref="F116" location="'Fixed inputs'!A4" display="'"/>
    <hyperlink ref="G116" location="'Fixed inputs'!$C$33" display="'Fixed inputs'!$C$33"/>
    <hyperlink ref="F117" location="'Fixed inputs'!A4" display="'"/>
    <hyperlink ref="G117" location="'Fixed inputs'!$C$43" display="'Fixed inputs'!$C$43"/>
    <hyperlink ref="F118" location="'Fixed inputs'!A4" display="'"/>
    <hyperlink ref="G118" location="'Fixed inputs'!$C$84" display="'Fixed inputs'!$C$84"/>
    <hyperlink ref="F119" location="'Fixed inputs'!A4" display="'"/>
    <hyperlink ref="G119" location="'Fixed inputs'!$C$100" display="'Fixed inputs'!$C$100"/>
    <hyperlink ref="F120" location="'Fixed inputs'!A4" display="'"/>
    <hyperlink ref="G120" location="'Fixed inputs'!$C$146" display="'Fixed inputs'!$C$146"/>
    <hyperlink ref="F121" location="'Fixed inputs'!A4" display="'"/>
    <hyperlink ref="G121" location="'Fixed inputs'!$C$157" display="'Fixed inputs'!$C$157"/>
    <hyperlink ref="F122" location="'Inputs by customer type'!A4" display="'"/>
    <hyperlink ref="G122" location="'Inputs by customer type'!$C$16" display="'Inputs by customer type'!$C$16"/>
    <hyperlink ref="F123" location="'Inputs by customer type'!A4" display="'"/>
    <hyperlink ref="G123" location="'Inputs by customer type'!$C$21" display="'Inputs by customer type'!$C$21"/>
    <hyperlink ref="F124" location="'Inputs by customer type'!A4" display="'"/>
    <hyperlink ref="G124" location="'Inputs by customer type'!$C$50" display="'Inputs by customer type'!$C$50"/>
    <hyperlink ref="F125" location="'Inputs by customer type'!A4" display="'"/>
    <hyperlink ref="G125" location="'Inputs by customer type'!$C$70" display="'Inputs by customer type'!$C$70"/>
    <hyperlink ref="F126" location="'Inputs by network level'!A4" display="'"/>
    <hyperlink ref="G126" location="'Inputs by network level'!$C$16" display="'Inputs by network level'!$C$16"/>
    <hyperlink ref="F127" location="'Inputs by network level'!A4" display="'"/>
    <hyperlink ref="G127" location="'Inputs by network level'!$C$26" display="'Inputs by network level'!$C$26"/>
    <hyperlink ref="F128" location="'Inputs by network level'!A4" display="'"/>
    <hyperlink ref="G128" location="'Inputs by network level'!$C$34" display="'Inputs by network level'!$C$34"/>
    <hyperlink ref="F129" location="'Inputs by network level'!A4" display="'"/>
    <hyperlink ref="G129" location="'Inputs by network level'!$C$38" display="'Inputs by network level'!$C$38"/>
    <hyperlink ref="F130" location="'General inputs'!A4" display="'"/>
    <hyperlink ref="G130" location="'General inputs'!$C$16" display="'General inputs'!$C$16"/>
    <hyperlink ref="F131" location="'General inputs'!A4" display="'"/>
    <hyperlink ref="G131" location="'General inputs'!$C$28" display="'General inputs'!$C$28"/>
    <hyperlink ref="F132" location="'General inputs'!A4" display="'"/>
    <hyperlink ref="G132" location="'General inputs'!$C$38" display="'General inputs'!$C$38"/>
    <hyperlink ref="F133" location="'General inputs'!A4" display="'"/>
    <hyperlink ref="G133" location="'General inputs'!$C$90" display="'General inputs'!$C$90"/>
    <hyperlink ref="F134" location="'General inputs'!A4" display="'"/>
    <hyperlink ref="G134" location="'General inputs'!$C$96" display="'General inputs'!$C$96"/>
    <hyperlink ref="F135" location="'General inputs'!A4" display="'"/>
    <hyperlink ref="G135" location="'General inputs'!$C$100" display="'General inputs'!$C$100"/>
    <hyperlink ref="F136" location="'Standing charge factors'!A4" display="'"/>
    <hyperlink ref="G136" location="'Standing charge factors'!$C$19" display="'Standing charge factors'!$C$19"/>
    <hyperlink ref="F137" location="'Load &amp; loss characteristics'!A4" display="'"/>
    <hyperlink ref="G137" location="'Load &amp; loss characteristics'!$C$17" display="'Load &amp; loss characteristics'!$C$17"/>
    <hyperlink ref="F138" location="'Load &amp; loss characteristics'!A4" display="'"/>
    <hyperlink ref="G138" location="'Load &amp; loss characteristics'!$C$25" display="'Load &amp; loss characteristics'!$C$25"/>
    <hyperlink ref="F139" location="'Load &amp; loss characteristics'!A4" display="'"/>
    <hyperlink ref="G139" location="'Load &amp; loss characteristics'!$C$35" display="'Load &amp; loss characteristics'!$C$35"/>
    <hyperlink ref="F140" location="'Load &amp; loss characteristics'!A4" display="'"/>
    <hyperlink ref="G140" location="'Load &amp; loss characteristics'!$C$40" display="'Load &amp; loss characteristics'!$C$40"/>
    <hyperlink ref="F141" location="'Load &amp; loss characteristics'!A4" display="'"/>
    <hyperlink ref="G141" location="'Load &amp; loss characteristics'!$C$189" display="'Load &amp; loss characteristics'!$C$189"/>
    <hyperlink ref="F142" location="'Customer contributions'!A4" display="'"/>
    <hyperlink ref="G142" location="'Customer contributions'!$C$16" display="'Customer contributions'!$C$16"/>
    <hyperlink ref="F143" location="'Customer contributions'!A4" display="'"/>
    <hyperlink ref="G143" location="'Customer contributions'!$C$55" display="'Customer contributions'!$C$55"/>
    <hyperlink ref="F144" location="'Volume adjustments'!A4" display="'"/>
    <hyperlink ref="G144" location="'Volume adjustments'!$C$15" display="'Volume adjustments'!$C$15"/>
    <hyperlink ref="F145" location="'Volume adjustments'!A4" display="'"/>
    <hyperlink ref="G145" location="'Volume adjustments'!$C$55" display="'Volume adjustments'!$C$55"/>
    <hyperlink ref="F146" location="'Pseudo-load coefficients'!A4" display="'"/>
    <hyperlink ref="G146" location="'Pseudo-load coefficients'!$C$21" display="'Pseudo-load coefficients'!$C$21"/>
    <hyperlink ref="F147" location="'Pseudo-load coefficients'!A4" display="'"/>
    <hyperlink ref="G147" location="'Pseudo-load coefficients'!$C$33" display="'Pseudo-load coefficients'!$C$33"/>
    <hyperlink ref="F148" location="'Pseudo-load coefficients'!A4" display="'"/>
    <hyperlink ref="G148" location="'Pseudo-load coefficients'!$C$77" display="'Pseudo-load coefficients'!$C$77"/>
    <hyperlink ref="F149" location="'Pseudo-load coefficients'!A4" display="'"/>
    <hyperlink ref="G149" location="'Pseudo-load coefficients'!$C$86" display="'Pseudo-load coefficients'!$C$86"/>
    <hyperlink ref="F150" location="'Pseudo-load coefficients'!A4" display="'"/>
    <hyperlink ref="G150" location="'Pseudo-load coefficients'!$C$96" display="'Pseudo-load coefficients'!$C$96"/>
    <hyperlink ref="F151" location="'Pseudo-load coefficients'!A4" display="'"/>
    <hyperlink ref="G151" location="'Pseudo-load coefficients'!$C$101" display="'Pseudo-load coefficients'!$C$101"/>
    <hyperlink ref="F152" location="'Pseudo-load coefficients'!A4" display="'"/>
    <hyperlink ref="G152" location="'Pseudo-load coefficients'!$C$114" display="'Pseudo-load coefficients'!$C$114"/>
    <hyperlink ref="F153" location="'Pseudo-load coefficients'!A4" display="'"/>
    <hyperlink ref="G153" location="'Pseudo-load coefficients'!$C$129" display="'Pseudo-load coefficients'!$C$129"/>
    <hyperlink ref="F154" location="'Pseudo-load coefficients'!A4" display="'"/>
    <hyperlink ref="G154" location="'Pseudo-load coefficients'!$C$203" display="'Pseudo-load coefficients'!$C$203"/>
    <hyperlink ref="F155" location="'Pseudo-load coefficients'!A4" display="'"/>
    <hyperlink ref="G155" location="'Pseudo-load coefficients'!$C$250" display="'Pseudo-load coefficients'!$C$250"/>
    <hyperlink ref="F156" location="'Pseudo-load coefficients'!A4" display="'"/>
    <hyperlink ref="G156" location="'Pseudo-load coefficients'!$C$290" display="'Pseudo-load coefficients'!$C$290"/>
    <hyperlink ref="F157" location="'Pseudo-load coefficients'!A4" display="'"/>
    <hyperlink ref="G157" location="'Pseudo-load coefficients'!$C$335" display="'Pseudo-load coefficients'!$C$335"/>
    <hyperlink ref="F158" location="'Pseudo-load coefficients'!A4" display="'"/>
    <hyperlink ref="G158" location="'Pseudo-load coefficients'!$C$359" display="'Pseudo-load coefficients'!$C$359"/>
    <hyperlink ref="F159" location="'Pseudo-load coefficients'!A4" display="'"/>
    <hyperlink ref="G159" location="'Pseudo-load coefficients'!$C$365" display="'Pseudo-load coefficients'!$C$365"/>
    <hyperlink ref="F160" location="'Pseudo-load coefficients'!A4" display="'"/>
    <hyperlink ref="G160" location="'Pseudo-load coefficients'!$C$393" display="'Pseudo-load coefficients'!$C$393"/>
    <hyperlink ref="F161" location="'Pseudo-load coefficients'!A4" display="'"/>
    <hyperlink ref="G161" location="'Pseudo-load coefficients'!$C$417" display="'Pseudo-load coefficients'!$C$417"/>
    <hyperlink ref="F162" location="'Pseudo-load coefficients'!A4" display="'"/>
    <hyperlink ref="G162" location="'Pseudo-load coefficients'!$C$485" display="'Pseudo-load coefficients'!$C$485"/>
    <hyperlink ref="F163" location="'Pseudo-load coefficients'!A4" display="'"/>
    <hyperlink ref="G163" location="'Pseudo-load coefficients'!$C$502" display="'Pseudo-load coefficients'!$C$502"/>
    <hyperlink ref="F164" location="'Pseudo-load coefficients'!A4" display="'"/>
    <hyperlink ref="G164" location="'Pseudo-load coefficients'!$C$506" display="'Pseudo-load coefficients'!$C$506"/>
    <hyperlink ref="F165" location="'System peak demand'!A4" display="'"/>
    <hyperlink ref="G165" location="'System peak demand'!$C$18" display="'System peak demand'!$C$18"/>
    <hyperlink ref="F166" location="'System peak demand'!A4" display="'"/>
    <hyperlink ref="G166" location="'System peak demand'!$C$67" display="'System peak demand'!$C$67"/>
    <hyperlink ref="F167" location="'System peak demand'!A4" display="'"/>
    <hyperlink ref="G167" location="'System peak demand'!$C$138" display="'System peak demand'!$C$138"/>
    <hyperlink ref="F168" location="'System peak demand'!A4" display="'"/>
    <hyperlink ref="G168" location="'System peak demand'!$C$164" display="'System peak demand'!$C$164"/>
    <hyperlink ref="F169" location="'System peak demand'!A4" display="'"/>
    <hyperlink ref="G169" location="'System peak demand'!$C$184" display="'System peak demand'!$C$184"/>
    <hyperlink ref="F170" location="'System peak demand'!A4" display="'"/>
    <hyperlink ref="G170" location="'System peak demand'!$C$194" display="'System peak demand'!$C$194"/>
    <hyperlink ref="F171" location="'System peak demand'!A4" display="'"/>
    <hyperlink ref="G171" location="'System peak demand'!$C$236" display="'System peak demand'!$C$236"/>
    <hyperlink ref="F172" location="'System peak demand'!A4" display="'"/>
    <hyperlink ref="G172" location="'System peak demand'!$C$249" display="'System peak demand'!$C$249"/>
    <hyperlink ref="F173" location="'System peak demand'!A4" display="'"/>
    <hyperlink ref="G173" location="'System peak demand'!$C$266" display="'System peak demand'!$C$266"/>
    <hyperlink ref="F174" location="'Service model assets'!A4" display="'"/>
    <hyperlink ref="G174" location="'Service model assets'!$C$14" display="'Service model assets'!$C$14"/>
    <hyperlink ref="F175" location="'Unit costs'!A4" display="'"/>
    <hyperlink ref="G175" location="'Unit costs'!$C$19" display="'Unit costs'!$C$19"/>
    <hyperlink ref="F176" location="'Unit costs'!A4" display="'"/>
    <hyperlink ref="G176" location="'Unit costs'!$C$27" display="'Unit costs'!$C$27"/>
    <hyperlink ref="F177" location="'Unit costs'!A4" display="'"/>
    <hyperlink ref="G177" location="'Unit costs'!$C$35" display="'Unit costs'!$C$35"/>
    <hyperlink ref="F178" location="'Unit costs'!A4" display="'"/>
    <hyperlink ref="G178" location="'Unit costs'!$C$42" display="'Unit costs'!$C$42"/>
    <hyperlink ref="F179" location="'Unit costs'!A4" display="'"/>
    <hyperlink ref="G179" location="'Unit costs'!$C$50" display="'Unit costs'!$C$50"/>
    <hyperlink ref="F180" location="'Unit costs'!A4" display="'"/>
    <hyperlink ref="G180" location="'Unit costs'!$C$62" display="'Unit costs'!$C$62"/>
    <hyperlink ref="F181" location="'Unit costs'!A4" display="'"/>
    <hyperlink ref="G181" location="'Unit costs'!$C$69" display="'Unit costs'!$C$69"/>
    <hyperlink ref="F182" location="'Unit costs'!A4" display="'"/>
    <hyperlink ref="G182" location="'Unit costs'!$C$80" display="'Unit costs'!$C$80"/>
    <hyperlink ref="F183" location="'Unit costs'!A4" display="'"/>
    <hyperlink ref="G183" location="'Unit costs'!$C$92" display="'Unit costs'!$C$92"/>
    <hyperlink ref="F184" location="'Unit costs'!A4" display="'"/>
    <hyperlink ref="G184" location="'Unit costs'!$C$104" display="'Unit costs'!$C$104"/>
    <hyperlink ref="F185" location="'Unit costs'!A4" display="'"/>
    <hyperlink ref="G185" location="'Unit costs'!$C$110" display="'Unit costs'!$C$110"/>
    <hyperlink ref="F186" location="'Unit costs'!A4" display="'"/>
    <hyperlink ref="G186" location="'Unit costs'!$C$117" display="'Unit costs'!$C$117"/>
    <hyperlink ref="F187" location="'Initial unit rates'!A4" display="'"/>
    <hyperlink ref="G187" location="'Initial unit rates'!$C$13" display="'Initial unit rates'!$C$13"/>
    <hyperlink ref="F188" location="'Initial unit rates'!A4" display="'"/>
    <hyperlink ref="G188" location="'Initial unit rates'!$C$118" display="'Initial unit rates'!$C$118"/>
    <hyperlink ref="F189" location="'Initial unit rates'!A4" display="'"/>
    <hyperlink ref="G189" location="'Initial unit rates'!$C$146" display="'Initial unit rates'!$C$146"/>
    <hyperlink ref="F190" location="'Initial unit rates'!A4" display="'"/>
    <hyperlink ref="G190" location="'Initial unit rates'!$C$175" display="'Initial unit rates'!$C$175"/>
    <hyperlink ref="F191" location="'Initial unit rates'!A4" display="'"/>
    <hyperlink ref="G191" location="'Initial unit rates'!$C$204" display="'Initial unit rates'!$C$204"/>
    <hyperlink ref="F192" location="'Service model charges'!A4" display="'"/>
    <hyperlink ref="G192" location="'Service model charges'!$C$17" display="'Service model charges'!$C$17"/>
    <hyperlink ref="F193" location="'Service model charges'!A4" display="'"/>
    <hyperlink ref="G193" location="'Service model charges'!$C$33" display="'Service model charges'!$C$33"/>
    <hyperlink ref="F194" location="'Service model charges'!A4" display="'"/>
    <hyperlink ref="G194" location="'Service model charges'!$C$37" display="'Service model charges'!$C$37"/>
    <hyperlink ref="F195" location="'Unit rate charges'!A4" display="'"/>
    <hyperlink ref="G195" location="'Unit rate charges'!$C$19" display="'Unit rate charges'!$C$19"/>
    <hyperlink ref="F196" location="'Unit rate charges'!A4" display="'"/>
    <hyperlink ref="G196" location="'Unit rate charges'!$C$49" display="'Unit rate charges'!$C$49"/>
    <hyperlink ref="F197" location="'Unit rate charges'!A4" display="'"/>
    <hyperlink ref="G197" location="'Unit rate charges'!$C$79" display="'Unit rate charges'!$C$79"/>
    <hyperlink ref="F198" location="'Unit rate charges'!A4" display="'"/>
    <hyperlink ref="G198" location="'Unit rate charges'!$C$109" display="'Unit rate charges'!$C$109"/>
    <hyperlink ref="F199" location="'Unit rate charges'!A4" display="'"/>
    <hyperlink ref="G199" location="'Unit rate charges'!$C$124" display="'Unit rate charges'!$C$124"/>
    <hyperlink ref="F200" location="'Unit rate charges'!A4" display="'"/>
    <hyperlink ref="G200" location="'Unit rate charges'!$C$154" display="'Unit rate charges'!$C$154"/>
    <hyperlink ref="F201" location="'Unit rate charges'!A4" display="'"/>
    <hyperlink ref="G201" location="'Unit rate charges'!$C$184" display="'Unit rate charges'!$C$184"/>
    <hyperlink ref="F202" location="'Unit rate charges'!A4" display="'"/>
    <hyperlink ref="G202" location="'Unit rate charges'!$C$214" display="'Unit rate charges'!$C$214"/>
    <hyperlink ref="F203" location="'Reactive power charges'!A4" display="'"/>
    <hyperlink ref="G203" location="'Reactive power charges'!$C$17" display="'Reactive power charges'!$C$17"/>
    <hyperlink ref="F204" location="'Reactive power charges'!A4" display="'"/>
    <hyperlink ref="G204" location="'Reactive power charges'!$C$120" display="'Reactive power charges'!$C$120"/>
    <hyperlink ref="F205" location="'Reactive power charges'!A4" display="'"/>
    <hyperlink ref="G205" location="'Reactive power charges'!$C$155" display="'Reactive power charges'!$C$155"/>
    <hyperlink ref="F206" location="'Reactive power charges'!A4" display="'"/>
    <hyperlink ref="G206" location="'Reactive power charges'!$C$190" display="'Reactive power charges'!$C$190"/>
    <hyperlink ref="F207" location="'Reactive power charges'!A4" display="'"/>
    <hyperlink ref="G207" location="'Reactive power charges'!$C$220" display="'Reactive power charges'!$C$220"/>
    <hyperlink ref="F208" location="'Capacity charges'!A4" display="'"/>
    <hyperlink ref="G208" location="'Capacity charges'!$C$19" display="'Capacity charges'!$C$19"/>
    <hyperlink ref="F209" location="'Capacity charges'!A4" display="'"/>
    <hyperlink ref="G209" location="'Capacity charges'!$C$129" display="'Capacity charges'!$C$129"/>
    <hyperlink ref="F210" location="'Capacity charges'!A4" display="'"/>
    <hyperlink ref="G210" location="'Capacity charges'!$C$159" display="'Capacity charges'!$C$159"/>
    <hyperlink ref="F211" location="'Capacity charges'!A4" display="'"/>
    <hyperlink ref="G211" location="'Capacity charges'!$C$189" display="'Capacity charges'!$C$189"/>
    <hyperlink ref="F212" location="'Capacity charges'!A4" display="'"/>
    <hyperlink ref="G212" location="'Capacity charges'!$C$219" display="'Capacity charges'!$C$219"/>
    <hyperlink ref="F213" location="'Capacity charges'!A4" display="'"/>
    <hyperlink ref="G213" location="'Capacity charges'!$C$254" display="'Capacity charges'!$C$254"/>
    <hyperlink ref="F214" location="'Capacity charges'!A4" display="'"/>
    <hyperlink ref="G214" location="'Capacity charges'!$C$259" display="'Capacity charges'!$C$259"/>
    <hyperlink ref="F215" location="'Fixed charges'!A4" display="'"/>
    <hyperlink ref="G215" location="'Fixed charges'!$C$16" display="'Fixed charges'!$C$16"/>
    <hyperlink ref="F216" location="'Fixed charges'!A4" display="'"/>
    <hyperlink ref="G216" location="'Fixed charges'!$C$22" display="'Fixed charges'!$C$22"/>
    <hyperlink ref="F217" location="'Fixed charges'!A4" display="'"/>
    <hyperlink ref="G217" location="'Fixed charges'!$C$52" display="'Fixed charges'!$C$52"/>
    <hyperlink ref="F218" location="'Fixed charges'!A4" display="'"/>
    <hyperlink ref="G218" location="'Fixed charges'!$C$58" display="'Fixed charges'!$C$58"/>
    <hyperlink ref="F219" location="'Fixed charges'!A4" display="'"/>
    <hyperlink ref="G219" location="'Fixed charges'!$C$67" display="'Fixed charges'!$C$67"/>
    <hyperlink ref="F220" location="'Fixed charges'!A4" display="'"/>
    <hyperlink ref="G220" location="'Fixed charges'!$C$97" display="'Fixed charges'!$C$97"/>
    <hyperlink ref="F221" location="'Fixed charges'!A4" display="'"/>
    <hyperlink ref="G221" location="'Fixed charges'!$C$127" display="'Fixed charges'!$C$127"/>
    <hyperlink ref="F222" location="'Fixed charges'!A4" display="'"/>
    <hyperlink ref="G222" location="'Fixed charges'!$C$159" display="'Fixed charges'!$C$159"/>
    <hyperlink ref="F223" location="'Revenue matching'!A4" display="'"/>
    <hyperlink ref="G223" location="'Revenue matching'!$C$15" display="'Revenue matching'!$C$15"/>
    <hyperlink ref="F224" location="'Revenue matching'!A4" display="'"/>
    <hyperlink ref="G224" location="'Revenue matching'!$C$39" display="'Revenue matching'!$C$39"/>
    <hyperlink ref="F225" location="'Revenue matching'!A4" display="'"/>
    <hyperlink ref="G225" location="'Revenue matching'!$C$62" display="'Revenue matching'!$C$62"/>
    <hyperlink ref="F226" location="'Revenue matching'!A4" display="'"/>
    <hyperlink ref="G226" location="'Revenue matching'!$C$86" display="'Revenue matching'!$C$86"/>
    <hyperlink ref="F227" location="'Revenue matching'!A4" display="'"/>
    <hyperlink ref="G227" location="'Revenue matching'!$C$125" display="'Revenue matching'!$C$125"/>
    <hyperlink ref="F228" location="'Rounding'!A4" display="'"/>
    <hyperlink ref="G228" location="'Rounding'!$C$16" display="'Rounding'!$C$16"/>
    <hyperlink ref="F229" location="'Rounding'!A4" display="'"/>
    <hyperlink ref="G229" location="'Rounding'!$C$28" display="'Rounding'!$C$28"/>
    <hyperlink ref="F230" location="'Rounding'!A4" display="'"/>
    <hyperlink ref="G230" location="'Rounding'!$C$40" display="'Rounding'!$C$40"/>
    <hyperlink ref="F231" location="'Rounding'!A4" display="'"/>
    <hyperlink ref="G231" location="'Rounding'!$C$60" display="'Rounding'!$C$60"/>
    <hyperlink ref="F232" location="'Rounding'!A4" display="'"/>
    <hyperlink ref="G232" location="'Rounding'!$C$75" display="'Rounding'!$C$75"/>
    <hyperlink ref="F233" location="'Rounding'!A4" display="'"/>
    <hyperlink ref="G233" location="'Rounding'!$C$86" display="'Rounding'!$C$86"/>
    <hyperlink ref="F234" location="'Net revenue summary'!A4" display="'"/>
    <hyperlink ref="G234" location="'Net revenue summary'!$C$13" display="'Net revenue summary'!$C$13"/>
    <hyperlink ref="F235" location="'Net revenue summary'!A4" display="'"/>
    <hyperlink ref="G235" location="'Net revenue summary'!$C$42" display="'Net revenue summary'!$C$42"/>
    <hyperlink ref="F236" location="'Net revenue summary'!A4" display="'"/>
    <hyperlink ref="G236" location="'Net revenue summary'!$C$71" display="'Net revenue summary'!$C$71"/>
    <hyperlink ref="F237" location="'Net revenue summary'!A4" display="'"/>
    <hyperlink ref="G237" location="'Net revenue summary'!$C$79" display="'Net revenue summary'!$C$79"/>
    <hyperlink ref="F238" location="'Net revenue summary'!A4" display="'"/>
    <hyperlink ref="G238" location="'Net revenue summary'!$C$111" display="'Net revenue summary'!$C$111"/>
    <hyperlink ref="F239" location="'Net revenue summary'!A4" display="'"/>
    <hyperlink ref="G239" location="'Net revenue summary'!$C$122" display="'Net revenue summary'!$C$122"/>
    <hyperlink ref="F240" location="'Tariff summary'!A4" display="'"/>
    <hyperlink ref="G240" location="'Tariff summary'!$C$15" display="'Tariff summary'!$C$15"/>
    <hyperlink ref="F241" location="'Tariff summary'!A4" display="'"/>
    <hyperlink ref="G241" location="'Tariff summary'!$C$122" display="'Tariff summary'!$C$122"/>
    <hyperlink ref="F242" location="'Tariff summary'!A4" display="'"/>
    <hyperlink ref="G242" location="'Tariff summary'!$C$229" display="'Tariff summary'!$C$229"/>
    <hyperlink ref="F243" location="'Tariff summary'!A4" display="'"/>
    <hyperlink ref="G243" location="'Tariff summary'!$C$336" display="'Tariff summary'!$C$336"/>
    <hyperlink ref="F244" location="'Tariff summary'!A4" display="'"/>
    <hyperlink ref="G244" location="'Tariff summary'!$C$443" display="'Tariff summary'!$C$443"/>
    <hyperlink ref="F245" location="'Tariff summary'!A4" display="'"/>
    <hyperlink ref="G245" location="'Tariff summary'!$C$550" display="'Tariff summary'!$C$550"/>
    <hyperlink ref="F246" location="'Typical bills'!A4" display="'"/>
    <hyperlink ref="G246" location="'Typical bills'!$C$15" display="'Typical bills'!$C$15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6" tint="0.39997558519241921"/>
  </sheetPr>
  <dimension ref="A1:AA32"/>
  <sheetViews>
    <sheetView showGridLines="0" zoomScale="80" zoomScaleNormal="80" workbookViewId="0">
      <pane ySplit="3" topLeftCell="A4" activePane="bottomLeft" state="frozen"/>
      <selection activeCell="A3" sqref="A3"/>
      <selection pane="bottomLeft" activeCell="A4" sqref="A4"/>
    </sheetView>
  </sheetViews>
  <sheetFormatPr defaultColWidth="0" defaultRowHeight="15" x14ac:dyDescent="0.25"/>
  <cols>
    <col min="1" max="5" width="2.7109375" style="160" customWidth="1"/>
    <col min="6" max="6" width="59.5703125" style="160" customWidth="1"/>
    <col min="7" max="7" width="90.28515625" style="160" customWidth="1"/>
    <col min="8" max="8" width="20.7109375" style="160" customWidth="1"/>
    <col min="9" max="9" width="2.7109375" style="160" customWidth="1"/>
    <col min="10" max="16" width="15.42578125" style="160" hidden="1" customWidth="1"/>
    <col min="17" max="17" width="2.7109375" style="160" hidden="1" customWidth="1"/>
    <col min="18" max="27" width="0" style="160" hidden="1" customWidth="1"/>
    <col min="28" max="16384" width="9.140625" style="160" hidden="1"/>
  </cols>
  <sheetData>
    <row r="1" spans="1:8" s="25" customFormat="1" x14ac:dyDescent="0.25">
      <c r="A1" s="25" t="str">
        <f ca="1">MID(CELL("filename",A1),FIND("]",CELL("filename",A1))+1,255)</f>
        <v>Named ranges</v>
      </c>
    </row>
    <row r="2" spans="1:8" s="25" customFormat="1" x14ac:dyDescent="0.25">
      <c r="A2" s="25" t="str">
        <f>Cover!D21&amp;" - "&amp;Cover!D23</f>
        <v>SEPD - Final</v>
      </c>
    </row>
    <row r="3" spans="1:8" s="97" customFormat="1" x14ac:dyDescent="0.25">
      <c r="A3" s="97" t="str">
        <f>Cover!D2&amp;" - "&amp;Cover!D8&amp;" v"&amp;Cover!D10&amp;" - "&amp;Cover!D19</f>
        <v>ARP model - Release for charge setting v3 - 2020/21</v>
      </c>
    </row>
    <row r="5" spans="1:8" x14ac:dyDescent="0.25">
      <c r="B5" s="102" t="s">
        <v>638</v>
      </c>
      <c r="C5" s="102"/>
      <c r="D5" s="102"/>
      <c r="E5" s="102"/>
      <c r="F5" s="103"/>
      <c r="G5" s="103"/>
      <c r="H5" s="103"/>
    </row>
    <row r="6" spans="1:8" x14ac:dyDescent="0.25">
      <c r="B6" s="223"/>
      <c r="C6" s="223"/>
      <c r="D6" s="223"/>
      <c r="E6" s="223"/>
      <c r="F6" s="224"/>
      <c r="G6" s="223"/>
      <c r="H6" s="223"/>
    </row>
    <row r="7" spans="1:8" s="338" customFormat="1" x14ac:dyDescent="0.25">
      <c r="F7" s="355" t="s">
        <v>1131</v>
      </c>
      <c r="G7" s="338" t="s">
        <v>1130</v>
      </c>
      <c r="H7" s="338" t="s">
        <v>822</v>
      </c>
    </row>
    <row r="8" spans="1:8" s="474" customFormat="1" x14ac:dyDescent="0.25">
      <c r="F8" s="355" t="s">
        <v>1133</v>
      </c>
      <c r="G8" s="474" t="s">
        <v>1132</v>
      </c>
      <c r="H8" s="474" t="s">
        <v>823</v>
      </c>
    </row>
    <row r="9" spans="1:8" s="474" customFormat="1" x14ac:dyDescent="0.25">
      <c r="F9" s="355" t="s">
        <v>1135</v>
      </c>
      <c r="G9" s="474" t="s">
        <v>1134</v>
      </c>
      <c r="H9" s="474" t="s">
        <v>637</v>
      </c>
    </row>
    <row r="10" spans="1:8" s="474" customFormat="1" x14ac:dyDescent="0.25">
      <c r="F10" s="355" t="s">
        <v>1136</v>
      </c>
      <c r="G10" s="474" t="s">
        <v>41</v>
      </c>
      <c r="H10" s="474" t="s">
        <v>776</v>
      </c>
    </row>
    <row r="11" spans="1:8" s="474" customFormat="1" x14ac:dyDescent="0.25">
      <c r="F11" s="355" t="s">
        <v>1138</v>
      </c>
      <c r="G11" s="474" t="s">
        <v>1137</v>
      </c>
      <c r="H11" s="474" t="s">
        <v>822</v>
      </c>
    </row>
    <row r="12" spans="1:8" s="474" customFormat="1" x14ac:dyDescent="0.25">
      <c r="F12" s="355" t="s">
        <v>1139</v>
      </c>
      <c r="G12" s="474" t="s">
        <v>150</v>
      </c>
      <c r="H12" s="474" t="s">
        <v>637</v>
      </c>
    </row>
    <row r="13" spans="1:8" s="474" customFormat="1" x14ac:dyDescent="0.25">
      <c r="F13" s="355" t="s">
        <v>1141</v>
      </c>
      <c r="G13" s="474" t="s">
        <v>1140</v>
      </c>
      <c r="H13" s="474" t="s">
        <v>776</v>
      </c>
    </row>
    <row r="14" spans="1:8" s="474" customFormat="1" x14ac:dyDescent="0.25">
      <c r="F14" s="355" t="s">
        <v>1143</v>
      </c>
      <c r="G14" s="474" t="s">
        <v>1142</v>
      </c>
      <c r="H14" s="474" t="s">
        <v>637</v>
      </c>
    </row>
    <row r="15" spans="1:8" s="474" customFormat="1" x14ac:dyDescent="0.25">
      <c r="F15" s="355" t="s">
        <v>1145</v>
      </c>
      <c r="G15" s="474" t="s">
        <v>1144</v>
      </c>
      <c r="H15" s="474" t="s">
        <v>699</v>
      </c>
    </row>
    <row r="16" spans="1:8" s="474" customFormat="1" x14ac:dyDescent="0.25">
      <c r="F16" s="355" t="s">
        <v>1147</v>
      </c>
      <c r="G16" s="474" t="s">
        <v>1146</v>
      </c>
      <c r="H16" s="474" t="s">
        <v>645</v>
      </c>
    </row>
    <row r="17" spans="2:8" s="474" customFormat="1" x14ac:dyDescent="0.25">
      <c r="F17" s="355" t="s">
        <v>1149</v>
      </c>
      <c r="G17" s="474" t="s">
        <v>1148</v>
      </c>
      <c r="H17" s="474" t="s">
        <v>637</v>
      </c>
    </row>
    <row r="18" spans="2:8" s="474" customFormat="1" x14ac:dyDescent="0.25">
      <c r="F18" s="355" t="s">
        <v>1151</v>
      </c>
      <c r="G18" s="474" t="s">
        <v>1150</v>
      </c>
      <c r="H18" s="474" t="s">
        <v>699</v>
      </c>
    </row>
    <row r="19" spans="2:8" s="474" customFormat="1" x14ac:dyDescent="0.25">
      <c r="F19" s="355" t="s">
        <v>1153</v>
      </c>
      <c r="G19" s="474" t="s">
        <v>1152</v>
      </c>
      <c r="H19" s="474" t="s">
        <v>645</v>
      </c>
    </row>
    <row r="20" spans="2:8" s="474" customFormat="1" x14ac:dyDescent="0.25">
      <c r="F20" s="355" t="s">
        <v>1155</v>
      </c>
      <c r="G20" s="474" t="s">
        <v>1154</v>
      </c>
      <c r="H20" s="474" t="s">
        <v>699</v>
      </c>
    </row>
    <row r="21" spans="2:8" s="474" customFormat="1" x14ac:dyDescent="0.25">
      <c r="F21" s="355" t="s">
        <v>1157</v>
      </c>
      <c r="G21" s="474" t="s">
        <v>1156</v>
      </c>
      <c r="H21" s="474" t="s">
        <v>645</v>
      </c>
    </row>
    <row r="22" spans="2:8" s="474" customFormat="1" x14ac:dyDescent="0.25">
      <c r="F22" s="355" t="s">
        <v>1159</v>
      </c>
      <c r="G22" s="474" t="s">
        <v>1158</v>
      </c>
      <c r="H22" s="474" t="s">
        <v>699</v>
      </c>
    </row>
    <row r="23" spans="2:8" s="474" customFormat="1" x14ac:dyDescent="0.25">
      <c r="F23" s="355" t="s">
        <v>1161</v>
      </c>
      <c r="G23" s="474" t="s">
        <v>1160</v>
      </c>
      <c r="H23" s="474" t="s">
        <v>645</v>
      </c>
    </row>
    <row r="24" spans="2:8" s="474" customFormat="1" x14ac:dyDescent="0.25">
      <c r="F24" s="355" t="s">
        <v>1163</v>
      </c>
      <c r="G24" s="474" t="s">
        <v>1162</v>
      </c>
      <c r="H24" s="474" t="s">
        <v>699</v>
      </c>
    </row>
    <row r="25" spans="2:8" s="474" customFormat="1" x14ac:dyDescent="0.25">
      <c r="F25" s="355" t="s">
        <v>1165</v>
      </c>
      <c r="G25" s="474" t="s">
        <v>1164</v>
      </c>
      <c r="H25" s="474" t="s">
        <v>645</v>
      </c>
    </row>
    <row r="26" spans="2:8" s="474" customFormat="1" x14ac:dyDescent="0.25">
      <c r="F26" s="355" t="s">
        <v>1167</v>
      </c>
      <c r="G26" s="474" t="s">
        <v>1166</v>
      </c>
      <c r="H26" s="474" t="s">
        <v>699</v>
      </c>
    </row>
    <row r="27" spans="2:8" s="474" customFormat="1" x14ac:dyDescent="0.25">
      <c r="F27" s="355" t="s">
        <v>1169</v>
      </c>
      <c r="G27" s="474" t="s">
        <v>1168</v>
      </c>
      <c r="H27" s="474" t="s">
        <v>645</v>
      </c>
    </row>
    <row r="28" spans="2:8" s="474" customFormat="1" x14ac:dyDescent="0.25">
      <c r="F28" s="355" t="s">
        <v>1171</v>
      </c>
      <c r="G28" s="474" t="s">
        <v>1170</v>
      </c>
      <c r="H28" s="474" t="s">
        <v>637</v>
      </c>
    </row>
    <row r="29" spans="2:8" s="474" customFormat="1" x14ac:dyDescent="0.25">
      <c r="F29" s="355" t="s">
        <v>1173</v>
      </c>
      <c r="G29" s="474" t="s">
        <v>1172</v>
      </c>
      <c r="H29" s="474" t="s">
        <v>637</v>
      </c>
    </row>
    <row r="30" spans="2:8" s="474" customFormat="1" x14ac:dyDescent="0.25">
      <c r="F30" s="355" t="s">
        <v>1175</v>
      </c>
      <c r="G30" s="474" t="s">
        <v>1174</v>
      </c>
      <c r="H30" s="474" t="s">
        <v>823</v>
      </c>
    </row>
    <row r="31" spans="2:8" s="474" customFormat="1" x14ac:dyDescent="0.25">
      <c r="F31" s="355"/>
    </row>
    <row r="32" spans="2:8" s="338" customFormat="1" x14ac:dyDescent="0.25">
      <c r="B32" s="102" t="s">
        <v>127</v>
      </c>
      <c r="C32" s="102"/>
      <c r="D32" s="102"/>
      <c r="E32" s="102"/>
      <c r="F32" s="103"/>
      <c r="G32" s="103"/>
      <c r="H32" s="103"/>
    </row>
  </sheetData>
  <sheetProtection sheet="1" objects="1" formatCells="0" formatColumns="0" formatRows="0" sort="0" autoFilter="0"/>
  <hyperlinks>
    <hyperlink ref="F7" location="Cover!$D$19" display="charging_year"/>
    <hyperlink ref="F8" location="'ARP_User control'!$G$17" display="charging_year_selected"/>
    <hyperlink ref="F9" location="'Fixed inputs'!$H$159" display="check_decimals"/>
    <hyperlink ref="F10" location="'General inputs'!$H$93" display="days_in_year"/>
    <hyperlink ref="F11" location="Cover!$D$21" display="DNO_name"/>
    <hyperlink ref="F12" location="'Fixed inputs'!$H$15" display="hours_in_day"/>
    <hyperlink ref="F13" location="'General inputs'!$H$94" display="hours_in_year"/>
    <hyperlink ref="F14" location="'Fixed inputs'!$H$17" display="hundred"/>
    <hyperlink ref="F15" location="'Typical bills'!$J$18:$J$120" display="live_results_bills"/>
    <hyperlink ref="F16" location="'Tariff summary'!$J$18:$P$120" display="live_results_tariffs"/>
    <hyperlink ref="F17" location="'Fixed inputs'!$H$37" display="PowerFactor"/>
    <hyperlink ref="F18" location="'Typical bills'!$L$18:$L$120" display="results_4_bills"/>
    <hyperlink ref="F19" location="'Tariff summary'!$J$125:$P$227" display="results_4_tariffs"/>
    <hyperlink ref="F20" location="'Typical bills'!$M$18:$M$120" display="results_5_bills"/>
    <hyperlink ref="F21" location="'Tariff summary'!$J$232:$P$334" display="results_5_tariffs"/>
    <hyperlink ref="F22" location="'Typical bills'!$N$18:$N$120" display="results_6_bills"/>
    <hyperlink ref="F23" location="'Tariff summary'!$J$339:$P$441" display="results_6_tariffs"/>
    <hyperlink ref="F24" location="'Typical bills'!$O$18:$O$120" display="results_7_bills"/>
    <hyperlink ref="F25" location="'Tariff summary'!$J$446:$P$548" display="results_7_tariffs"/>
    <hyperlink ref="F26" location="'Typical bills'!$P$18:$P$120" display="results_8_bills"/>
    <hyperlink ref="F27" location="'Tariff summary'!$J$553:$P$655" display="results_8_tariffs"/>
    <hyperlink ref="F28" location="'Fixed inputs'!$H$16" display="ten"/>
    <hyperlink ref="F29" location="'Fixed inputs'!$H$18" display="thousand"/>
    <hyperlink ref="F30" location="'ARP_User control'!$G$36" display="year_selection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>
    <tabColor theme="6" tint="0.39997558519241921"/>
  </sheetPr>
  <dimension ref="A1:AA20"/>
  <sheetViews>
    <sheetView showGridLines="0" zoomScale="80" zoomScaleNormal="80" workbookViewId="0">
      <pane ySplit="3" topLeftCell="A4" activePane="bottomLeft" state="frozen"/>
      <selection activeCell="A3" sqref="A3"/>
      <selection pane="bottomLeft" activeCell="F31" sqref="F31"/>
    </sheetView>
  </sheetViews>
  <sheetFormatPr defaultColWidth="0" defaultRowHeight="15" x14ac:dyDescent="0.25"/>
  <cols>
    <col min="1" max="5" width="2.7109375" style="160" customWidth="1"/>
    <col min="6" max="6" width="149.28515625" style="160" customWidth="1"/>
    <col min="7" max="7" width="2.7109375" style="160" customWidth="1"/>
    <col min="8" max="14" width="15.42578125" style="160" hidden="1" customWidth="1"/>
    <col min="15" max="15" width="2.7109375" style="160" hidden="1" customWidth="1"/>
    <col min="16" max="27" width="0" style="160" hidden="1" customWidth="1"/>
    <col min="28" max="16384" width="9.140625" style="160" hidden="1"/>
  </cols>
  <sheetData>
    <row r="1" spans="1:6" s="25" customFormat="1" x14ac:dyDescent="0.25">
      <c r="A1" s="25" t="str">
        <f ca="1">MID(CELL("filename",A1),FIND("]",CELL("filename",A1))+1,255)</f>
        <v>ARP_DNO commentary</v>
      </c>
    </row>
    <row r="2" spans="1:6" s="25" customFormat="1" x14ac:dyDescent="0.25">
      <c r="A2" s="25" t="str">
        <f>Cover!D21&amp;" - "&amp;Cover!D23</f>
        <v>SEPD - Final</v>
      </c>
    </row>
    <row r="3" spans="1:6" s="97" customFormat="1" x14ac:dyDescent="0.25">
      <c r="A3" s="97" t="str">
        <f>Cover!D2&amp;" - "&amp;Cover!D8&amp;" v"&amp;Cover!D10&amp;" - "&amp;Cover!D19</f>
        <v>ARP model - Release for charge setting v3 - 2020/21</v>
      </c>
    </row>
    <row r="5" spans="1:6" x14ac:dyDescent="0.25">
      <c r="B5" s="102" t="s">
        <v>107</v>
      </c>
      <c r="C5" s="102"/>
      <c r="D5" s="102"/>
      <c r="E5" s="102"/>
      <c r="F5" s="103"/>
    </row>
    <row r="6" spans="1:6" x14ac:dyDescent="0.25">
      <c r="B6" s="223"/>
      <c r="C6" s="223"/>
      <c r="D6" s="223"/>
      <c r="E6" s="223"/>
      <c r="F6" s="223"/>
    </row>
    <row r="7" spans="1:6" x14ac:dyDescent="0.25">
      <c r="C7" s="152" t="s">
        <v>1002</v>
      </c>
      <c r="D7" s="226"/>
      <c r="E7" s="223"/>
      <c r="F7" s="223"/>
    </row>
    <row r="9" spans="1:6" x14ac:dyDescent="0.25">
      <c r="B9" s="102" t="s">
        <v>668</v>
      </c>
      <c r="C9" s="102"/>
      <c r="D9" s="102"/>
      <c r="E9" s="102"/>
      <c r="F9" s="103"/>
    </row>
    <row r="10" spans="1:6" x14ac:dyDescent="0.25">
      <c r="B10" s="223"/>
      <c r="C10" s="223"/>
      <c r="D10" s="223"/>
      <c r="E10" s="223"/>
      <c r="F10" s="223"/>
    </row>
    <row r="11" spans="1:6" x14ac:dyDescent="0.25">
      <c r="B11" s="225"/>
      <c r="C11" s="226"/>
      <c r="E11" s="225"/>
      <c r="F11" s="600" t="s">
        <v>1205</v>
      </c>
    </row>
    <row r="12" spans="1:6" x14ac:dyDescent="0.25">
      <c r="B12" s="225"/>
      <c r="C12" s="226"/>
      <c r="E12" s="225"/>
      <c r="F12" s="601"/>
    </row>
    <row r="13" spans="1:6" x14ac:dyDescent="0.25">
      <c r="B13" s="225"/>
      <c r="C13" s="226"/>
      <c r="E13" s="225"/>
      <c r="F13" s="601"/>
    </row>
    <row r="14" spans="1:6" x14ac:dyDescent="0.25">
      <c r="B14" s="225"/>
      <c r="C14" s="226"/>
      <c r="E14" s="225"/>
      <c r="F14" s="601"/>
    </row>
    <row r="15" spans="1:6" x14ac:dyDescent="0.25">
      <c r="B15" s="225"/>
      <c r="C15" s="226"/>
      <c r="E15" s="225"/>
      <c r="F15" s="601"/>
    </row>
    <row r="16" spans="1:6" x14ac:dyDescent="0.25">
      <c r="B16" s="225"/>
      <c r="C16" s="226"/>
      <c r="E16" s="225"/>
      <c r="F16" s="601"/>
    </row>
    <row r="17" spans="2:6" x14ac:dyDescent="0.25">
      <c r="B17" s="225"/>
      <c r="C17" s="226"/>
      <c r="E17" s="225"/>
      <c r="F17" s="601"/>
    </row>
    <row r="18" spans="2:6" x14ac:dyDescent="0.25">
      <c r="B18" s="225"/>
      <c r="C18" s="226"/>
      <c r="D18" s="223"/>
      <c r="E18" s="225"/>
      <c r="F18" s="602"/>
    </row>
    <row r="19" spans="2:6" x14ac:dyDescent="0.25">
      <c r="B19" s="223"/>
      <c r="C19" s="223"/>
      <c r="D19" s="223"/>
      <c r="E19" s="225"/>
      <c r="F19" s="223"/>
    </row>
    <row r="20" spans="2:6" x14ac:dyDescent="0.25">
      <c r="B20" s="102" t="s">
        <v>127</v>
      </c>
      <c r="C20" s="102"/>
      <c r="D20" s="102"/>
      <c r="E20" s="102"/>
      <c r="F20" s="103"/>
    </row>
  </sheetData>
  <sheetProtection sheet="1" objects="1" formatCells="0" formatColumns="0" formatRows="0" sort="0" autoFilter="0"/>
  <mergeCells count="1">
    <mergeCell ref="F11:F1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>
    <tabColor theme="6" tint="0.39997558519241921"/>
    <pageSetUpPr fitToPage="1"/>
  </sheetPr>
  <dimension ref="A1:JG48"/>
  <sheetViews>
    <sheetView showGridLines="0" zoomScale="80" zoomScaleNormal="80" workbookViewId="0">
      <pane xSplit="9" ySplit="5" topLeftCell="J6" activePane="bottomRight" state="frozen"/>
      <selection activeCell="A3" sqref="A3"/>
      <selection pane="topRight" activeCell="A3" sqref="A3"/>
      <selection pane="bottomLeft" activeCell="A3" sqref="A3"/>
      <selection pane="bottomRight" activeCell="J10" sqref="J10"/>
    </sheetView>
  </sheetViews>
  <sheetFormatPr defaultColWidth="0" defaultRowHeight="15" x14ac:dyDescent="0.25"/>
  <cols>
    <col min="1" max="5" width="2.7109375" style="160" customWidth="1"/>
    <col min="6" max="6" width="59.5703125" style="160" customWidth="1"/>
    <col min="7" max="7" width="15.42578125" style="160" customWidth="1"/>
    <col min="8" max="8" width="19.85546875" style="160" bestFit="1" customWidth="1"/>
    <col min="9" max="9" width="2.28515625" style="160" customWidth="1"/>
    <col min="10" max="10" width="21.28515625" style="160" bestFit="1" customWidth="1"/>
    <col min="11" max="14" width="14.85546875" style="160" bestFit="1" customWidth="1"/>
    <col min="15" max="15" width="2.28515625" style="160" customWidth="1"/>
    <col min="16" max="267" width="20.7109375" style="160" hidden="1" customWidth="1"/>
    <col min="268" max="16384" width="9.140625" style="160" hidden="1"/>
  </cols>
  <sheetData>
    <row r="1" spans="1:14" s="25" customFormat="1" x14ac:dyDescent="0.25">
      <c r="A1" s="25" t="str">
        <f ca="1">MID(CELL("filename",A1),FIND("]",CELL("filename",A1))+1,255)</f>
        <v>ARP_CDCM timebands</v>
      </c>
    </row>
    <row r="2" spans="1:14" s="25" customFormat="1" x14ac:dyDescent="0.25">
      <c r="A2" s="25" t="str">
        <f>Cover!D21&amp;" - "&amp;Cover!D23</f>
        <v>SEPD - Final</v>
      </c>
    </row>
    <row r="3" spans="1:14" s="97" customFormat="1" x14ac:dyDescent="0.25">
      <c r="A3" s="97" t="str">
        <f>Cover!D2&amp;" - "&amp;Cover!D8&amp;" v"&amp;Cover!D10&amp;" - "&amp;Cover!D19</f>
        <v>ARP model - Release for charge setting v3 - 2020/21</v>
      </c>
    </row>
    <row r="5" spans="1:14" x14ac:dyDescent="0.25">
      <c r="B5" s="244" t="s">
        <v>667</v>
      </c>
      <c r="C5" s="24"/>
      <c r="D5" s="24"/>
      <c r="E5" s="24"/>
      <c r="F5" s="24"/>
      <c r="G5" s="1" t="s">
        <v>108</v>
      </c>
      <c r="H5" s="2" t="s">
        <v>109</v>
      </c>
      <c r="J5" s="76" t="str">
        <f t="array" ref="J5:N5">TRANSPOSE('ARP_User control'!G31:G35)</f>
        <v>2020/21</v>
      </c>
      <c r="K5" s="76" t="str">
        <v>2021/22</v>
      </c>
      <c r="L5" s="76" t="str">
        <v>2022/23</v>
      </c>
      <c r="M5" s="76" t="str">
        <v>2023/24</v>
      </c>
      <c r="N5" s="76" t="str">
        <v>2024/25</v>
      </c>
    </row>
    <row r="7" spans="1:14" x14ac:dyDescent="0.25">
      <c r="B7" s="171" t="s">
        <v>107</v>
      </c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</row>
    <row r="9" spans="1:14" x14ac:dyDescent="0.25">
      <c r="C9" s="152" t="s">
        <v>1103</v>
      </c>
    </row>
    <row r="10" spans="1:14" s="474" customFormat="1" x14ac:dyDescent="0.25">
      <c r="C10" s="152" t="s">
        <v>1104</v>
      </c>
    </row>
    <row r="11" spans="1:14" x14ac:dyDescent="0.25">
      <c r="D11" s="35"/>
    </row>
    <row r="12" spans="1:14" x14ac:dyDescent="0.25">
      <c r="B12" s="171" t="s">
        <v>669</v>
      </c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</row>
    <row r="13" spans="1:14" x14ac:dyDescent="0.25">
      <c r="D13" s="35"/>
    </row>
    <row r="14" spans="1:14" x14ac:dyDescent="0.25">
      <c r="C14" s="22" t="s">
        <v>670</v>
      </c>
      <c r="D14" s="22"/>
      <c r="E14" s="22"/>
      <c r="F14" s="22"/>
      <c r="G14" s="297"/>
      <c r="H14" s="22"/>
      <c r="I14" s="22"/>
      <c r="J14" s="22"/>
      <c r="K14" s="22"/>
      <c r="L14" s="22"/>
      <c r="M14" s="22"/>
      <c r="N14" s="22"/>
    </row>
    <row r="15" spans="1:14" x14ac:dyDescent="0.25">
      <c r="C15" s="172"/>
      <c r="E15" s="172"/>
      <c r="G15" s="194"/>
    </row>
    <row r="16" spans="1:14" x14ac:dyDescent="0.25">
      <c r="E16" s="172" t="s">
        <v>671</v>
      </c>
    </row>
    <row r="17" spans="3:14" x14ac:dyDescent="0.25">
      <c r="F17" s="166" t="s">
        <v>101</v>
      </c>
      <c r="G17" s="237" t="s">
        <v>796</v>
      </c>
      <c r="H17" s="201"/>
      <c r="I17" s="201"/>
      <c r="J17" s="508" t="s">
        <v>1206</v>
      </c>
      <c r="K17" s="508" t="s">
        <v>1207</v>
      </c>
      <c r="L17" s="508" t="s">
        <v>1207</v>
      </c>
      <c r="M17" s="508" t="s">
        <v>1207</v>
      </c>
      <c r="N17" s="508" t="s">
        <v>1207</v>
      </c>
    </row>
    <row r="18" spans="3:14" x14ac:dyDescent="0.25">
      <c r="F18" s="167" t="s">
        <v>102</v>
      </c>
      <c r="G18" s="238" t="s">
        <v>796</v>
      </c>
      <c r="H18" s="121"/>
      <c r="I18" s="121"/>
      <c r="J18" s="509" t="s">
        <v>1208</v>
      </c>
      <c r="K18" s="509" t="s">
        <v>1207</v>
      </c>
      <c r="L18" s="509" t="s">
        <v>1207</v>
      </c>
      <c r="M18" s="509" t="s">
        <v>1207</v>
      </c>
      <c r="N18" s="509" t="s">
        <v>1207</v>
      </c>
    </row>
    <row r="19" spans="3:14" x14ac:dyDescent="0.25">
      <c r="F19" s="168" t="s">
        <v>103</v>
      </c>
      <c r="G19" s="239" t="s">
        <v>796</v>
      </c>
      <c r="H19" s="262"/>
      <c r="I19" s="262"/>
      <c r="J19" s="510" t="s">
        <v>1209</v>
      </c>
      <c r="K19" s="510" t="s">
        <v>1207</v>
      </c>
      <c r="L19" s="510" t="s">
        <v>1207</v>
      </c>
      <c r="M19" s="510" t="s">
        <v>1207</v>
      </c>
      <c r="N19" s="510" t="s">
        <v>1207</v>
      </c>
    </row>
    <row r="20" spans="3:14" x14ac:dyDescent="0.25">
      <c r="F20" s="167"/>
      <c r="G20" s="238"/>
      <c r="H20" s="200"/>
      <c r="I20" s="200"/>
      <c r="J20" s="200"/>
      <c r="K20" s="200"/>
      <c r="L20" s="200"/>
      <c r="M20" s="200"/>
      <c r="N20" s="200"/>
    </row>
    <row r="21" spans="3:14" x14ac:dyDescent="0.25">
      <c r="E21" s="172" t="s">
        <v>672</v>
      </c>
      <c r="H21" s="200"/>
      <c r="I21" s="200"/>
      <c r="J21" s="200"/>
      <c r="K21" s="200"/>
      <c r="L21" s="200"/>
      <c r="M21" s="200"/>
      <c r="N21" s="200"/>
    </row>
    <row r="22" spans="3:14" x14ac:dyDescent="0.25">
      <c r="F22" s="166" t="s">
        <v>101</v>
      </c>
      <c r="G22" s="237" t="s">
        <v>796</v>
      </c>
      <c r="H22" s="201"/>
      <c r="I22" s="201"/>
      <c r="J22" s="508" t="s">
        <v>924</v>
      </c>
      <c r="K22" s="508" t="s">
        <v>1207</v>
      </c>
      <c r="L22" s="508" t="s">
        <v>1207</v>
      </c>
      <c r="M22" s="508" t="s">
        <v>1207</v>
      </c>
      <c r="N22" s="508" t="s">
        <v>1207</v>
      </c>
    </row>
    <row r="23" spans="3:14" x14ac:dyDescent="0.25">
      <c r="F23" s="167" t="s">
        <v>102</v>
      </c>
      <c r="G23" s="238" t="s">
        <v>796</v>
      </c>
      <c r="H23" s="121"/>
      <c r="I23" s="121"/>
      <c r="J23" s="509" t="s">
        <v>1210</v>
      </c>
      <c r="K23" s="509" t="s">
        <v>1207</v>
      </c>
      <c r="L23" s="509" t="s">
        <v>1207</v>
      </c>
      <c r="M23" s="509" t="s">
        <v>1207</v>
      </c>
      <c r="N23" s="509" t="s">
        <v>1207</v>
      </c>
    </row>
    <row r="24" spans="3:14" x14ac:dyDescent="0.25">
      <c r="F24" s="168" t="s">
        <v>103</v>
      </c>
      <c r="G24" s="239" t="s">
        <v>796</v>
      </c>
      <c r="H24" s="262"/>
      <c r="I24" s="262"/>
      <c r="J24" s="510" t="s">
        <v>1211</v>
      </c>
      <c r="K24" s="510" t="s">
        <v>1207</v>
      </c>
      <c r="L24" s="510" t="s">
        <v>1207</v>
      </c>
      <c r="M24" s="510" t="s">
        <v>1207</v>
      </c>
      <c r="N24" s="510" t="s">
        <v>1207</v>
      </c>
    </row>
    <row r="25" spans="3:14" x14ac:dyDescent="0.25">
      <c r="G25" s="194"/>
      <c r="H25" s="200"/>
      <c r="I25" s="200"/>
      <c r="J25" s="200"/>
      <c r="K25" s="200"/>
      <c r="L25" s="200"/>
      <c r="M25" s="200"/>
      <c r="N25" s="200"/>
    </row>
    <row r="26" spans="3:14" x14ac:dyDescent="0.25">
      <c r="C26" s="22" t="s">
        <v>673</v>
      </c>
      <c r="D26" s="22"/>
      <c r="E26" s="22"/>
      <c r="F26" s="22"/>
      <c r="G26" s="297"/>
      <c r="H26" s="296"/>
      <c r="I26" s="296"/>
      <c r="J26" s="296"/>
      <c r="K26" s="296"/>
      <c r="L26" s="296"/>
      <c r="M26" s="296"/>
      <c r="N26" s="296"/>
    </row>
    <row r="27" spans="3:14" x14ac:dyDescent="0.25">
      <c r="E27" s="172"/>
      <c r="F27" s="172"/>
      <c r="G27" s="194"/>
      <c r="H27" s="200"/>
      <c r="I27" s="200"/>
      <c r="J27" s="200"/>
      <c r="K27" s="200"/>
      <c r="L27" s="200"/>
      <c r="M27" s="200"/>
      <c r="N27" s="200"/>
    </row>
    <row r="28" spans="3:14" x14ac:dyDescent="0.25">
      <c r="E28" s="172" t="s">
        <v>674</v>
      </c>
      <c r="H28" s="200"/>
      <c r="I28" s="200"/>
      <c r="J28" s="200"/>
      <c r="K28" s="200"/>
      <c r="L28" s="200"/>
      <c r="M28" s="200"/>
      <c r="N28" s="200"/>
    </row>
    <row r="29" spans="3:14" x14ac:dyDescent="0.25">
      <c r="F29" s="166" t="s">
        <v>104</v>
      </c>
      <c r="G29" s="237" t="s">
        <v>796</v>
      </c>
      <c r="H29" s="201"/>
      <c r="I29" s="201"/>
      <c r="J29" s="508" t="s">
        <v>1206</v>
      </c>
      <c r="K29" s="508" t="s">
        <v>1207</v>
      </c>
      <c r="L29" s="508" t="s">
        <v>1207</v>
      </c>
      <c r="M29" s="508" t="s">
        <v>1207</v>
      </c>
      <c r="N29" s="508" t="s">
        <v>1207</v>
      </c>
    </row>
    <row r="30" spans="3:14" x14ac:dyDescent="0.25">
      <c r="F30" s="167" t="s">
        <v>105</v>
      </c>
      <c r="G30" s="238" t="s">
        <v>796</v>
      </c>
      <c r="H30" s="121"/>
      <c r="I30" s="121"/>
      <c r="J30" s="509" t="s">
        <v>1208</v>
      </c>
      <c r="K30" s="509" t="s">
        <v>1207</v>
      </c>
      <c r="L30" s="509" t="s">
        <v>1207</v>
      </c>
      <c r="M30" s="509" t="s">
        <v>1207</v>
      </c>
      <c r="N30" s="509" t="s">
        <v>1207</v>
      </c>
    </row>
    <row r="31" spans="3:14" x14ac:dyDescent="0.25">
      <c r="F31" s="168" t="s">
        <v>103</v>
      </c>
      <c r="G31" s="239" t="s">
        <v>796</v>
      </c>
      <c r="H31" s="262"/>
      <c r="I31" s="262"/>
      <c r="J31" s="510" t="s">
        <v>924</v>
      </c>
      <c r="K31" s="510" t="s">
        <v>1207</v>
      </c>
      <c r="L31" s="510" t="s">
        <v>1207</v>
      </c>
      <c r="M31" s="510" t="s">
        <v>1207</v>
      </c>
      <c r="N31" s="510" t="s">
        <v>1207</v>
      </c>
    </row>
    <row r="32" spans="3:14" x14ac:dyDescent="0.25">
      <c r="F32" s="167"/>
      <c r="G32" s="238"/>
      <c r="H32" s="200"/>
      <c r="I32" s="200"/>
      <c r="J32" s="200"/>
      <c r="K32" s="200"/>
      <c r="L32" s="200"/>
      <c r="M32" s="200"/>
      <c r="N32" s="200"/>
    </row>
    <row r="33" spans="2:14" x14ac:dyDescent="0.25">
      <c r="E33" s="172" t="s">
        <v>675</v>
      </c>
      <c r="H33" s="200"/>
      <c r="I33" s="200"/>
      <c r="J33" s="200"/>
      <c r="K33" s="200"/>
      <c r="L33" s="200"/>
      <c r="M33" s="200"/>
      <c r="N33" s="200"/>
    </row>
    <row r="34" spans="2:14" x14ac:dyDescent="0.25">
      <c r="F34" s="166" t="s">
        <v>104</v>
      </c>
      <c r="G34" s="237" t="s">
        <v>796</v>
      </c>
      <c r="H34" s="201"/>
      <c r="I34" s="201"/>
      <c r="J34" s="508" t="s">
        <v>924</v>
      </c>
      <c r="K34" s="508" t="s">
        <v>1207</v>
      </c>
      <c r="L34" s="508" t="s">
        <v>1207</v>
      </c>
      <c r="M34" s="508" t="s">
        <v>1207</v>
      </c>
      <c r="N34" s="508" t="s">
        <v>1207</v>
      </c>
    </row>
    <row r="35" spans="2:14" x14ac:dyDescent="0.25">
      <c r="F35" s="167" t="s">
        <v>105</v>
      </c>
      <c r="G35" s="238" t="s">
        <v>796</v>
      </c>
      <c r="H35" s="121"/>
      <c r="I35" s="121"/>
      <c r="J35" s="509" t="s">
        <v>1212</v>
      </c>
      <c r="K35" s="509" t="s">
        <v>1207</v>
      </c>
      <c r="L35" s="509" t="s">
        <v>1207</v>
      </c>
      <c r="M35" s="509" t="s">
        <v>1207</v>
      </c>
      <c r="N35" s="509" t="s">
        <v>1207</v>
      </c>
    </row>
    <row r="36" spans="2:14" x14ac:dyDescent="0.25">
      <c r="F36" s="168" t="s">
        <v>103</v>
      </c>
      <c r="G36" s="239" t="s">
        <v>796</v>
      </c>
      <c r="H36" s="262"/>
      <c r="I36" s="262"/>
      <c r="J36" s="510" t="s">
        <v>924</v>
      </c>
      <c r="K36" s="510" t="s">
        <v>1207</v>
      </c>
      <c r="L36" s="510" t="s">
        <v>1207</v>
      </c>
      <c r="M36" s="510" t="s">
        <v>1207</v>
      </c>
      <c r="N36" s="510" t="s">
        <v>1207</v>
      </c>
    </row>
    <row r="37" spans="2:14" s="474" customFormat="1" x14ac:dyDescent="0.25">
      <c r="F37" s="339"/>
      <c r="G37" s="238"/>
      <c r="H37" s="121"/>
      <c r="I37" s="121"/>
      <c r="J37" s="200"/>
      <c r="K37" s="200"/>
      <c r="L37" s="200"/>
      <c r="M37" s="200"/>
      <c r="N37" s="200"/>
    </row>
    <row r="38" spans="2:14" s="474" customFormat="1" x14ac:dyDescent="0.25">
      <c r="E38" s="172" t="s">
        <v>1213</v>
      </c>
      <c r="H38" s="200"/>
      <c r="I38" s="200"/>
      <c r="J38" s="200"/>
      <c r="K38" s="200"/>
      <c r="L38" s="200"/>
      <c r="M38" s="200"/>
      <c r="N38" s="200"/>
    </row>
    <row r="39" spans="2:14" s="474" customFormat="1" x14ac:dyDescent="0.25">
      <c r="F39" s="166" t="s">
        <v>104</v>
      </c>
      <c r="G39" s="237" t="s">
        <v>796</v>
      </c>
      <c r="H39" s="201"/>
      <c r="I39" s="201"/>
      <c r="J39" s="508" t="s">
        <v>924</v>
      </c>
      <c r="K39" s="508" t="s">
        <v>1207</v>
      </c>
      <c r="L39" s="508" t="s">
        <v>1207</v>
      </c>
      <c r="M39" s="508" t="s">
        <v>1207</v>
      </c>
      <c r="N39" s="508" t="s">
        <v>1207</v>
      </c>
    </row>
    <row r="40" spans="2:14" s="474" customFormat="1" x14ac:dyDescent="0.25">
      <c r="F40" s="339" t="s">
        <v>105</v>
      </c>
      <c r="G40" s="238" t="s">
        <v>796</v>
      </c>
      <c r="H40" s="121"/>
      <c r="I40" s="121"/>
      <c r="J40" s="509" t="s">
        <v>924</v>
      </c>
      <c r="K40" s="509" t="s">
        <v>1207</v>
      </c>
      <c r="L40" s="509" t="s">
        <v>1207</v>
      </c>
      <c r="M40" s="509" t="s">
        <v>1207</v>
      </c>
      <c r="N40" s="509" t="s">
        <v>1207</v>
      </c>
    </row>
    <row r="41" spans="2:14" s="474" customFormat="1" x14ac:dyDescent="0.25">
      <c r="F41" s="168" t="s">
        <v>103</v>
      </c>
      <c r="G41" s="239" t="s">
        <v>796</v>
      </c>
      <c r="H41" s="262"/>
      <c r="I41" s="262"/>
      <c r="J41" s="510" t="s">
        <v>1209</v>
      </c>
      <c r="K41" s="510" t="s">
        <v>1207</v>
      </c>
      <c r="L41" s="510" t="s">
        <v>1207</v>
      </c>
      <c r="M41" s="510" t="s">
        <v>1207</v>
      </c>
      <c r="N41" s="510" t="s">
        <v>1207</v>
      </c>
    </row>
    <row r="42" spans="2:14" x14ac:dyDescent="0.25">
      <c r="G42" s="194"/>
      <c r="H42" s="200"/>
      <c r="I42" s="200"/>
      <c r="J42" s="200"/>
      <c r="K42" s="200"/>
      <c r="L42" s="200"/>
      <c r="M42" s="200"/>
      <c r="N42" s="200"/>
    </row>
    <row r="43" spans="2:14" x14ac:dyDescent="0.25">
      <c r="E43" s="172" t="s">
        <v>672</v>
      </c>
      <c r="H43" s="200"/>
      <c r="I43" s="200"/>
      <c r="J43" s="200"/>
      <c r="K43" s="200"/>
      <c r="L43" s="200"/>
      <c r="M43" s="200"/>
      <c r="N43" s="200"/>
    </row>
    <row r="44" spans="2:14" x14ac:dyDescent="0.25">
      <c r="F44" s="166" t="s">
        <v>104</v>
      </c>
      <c r="G44" s="237" t="s">
        <v>796</v>
      </c>
      <c r="H44" s="201"/>
      <c r="I44" s="201"/>
      <c r="J44" s="508" t="s">
        <v>924</v>
      </c>
      <c r="K44" s="508" t="s">
        <v>1207</v>
      </c>
      <c r="L44" s="508" t="s">
        <v>1207</v>
      </c>
      <c r="M44" s="508" t="s">
        <v>1207</v>
      </c>
      <c r="N44" s="508" t="s">
        <v>1207</v>
      </c>
    </row>
    <row r="45" spans="2:14" x14ac:dyDescent="0.25">
      <c r="F45" s="167" t="s">
        <v>105</v>
      </c>
      <c r="G45" s="238" t="s">
        <v>796</v>
      </c>
      <c r="H45" s="121"/>
      <c r="I45" s="121"/>
      <c r="J45" s="509" t="s">
        <v>1210</v>
      </c>
      <c r="K45" s="509" t="s">
        <v>1207</v>
      </c>
      <c r="L45" s="509" t="s">
        <v>1207</v>
      </c>
      <c r="M45" s="509" t="s">
        <v>1207</v>
      </c>
      <c r="N45" s="509" t="s">
        <v>1207</v>
      </c>
    </row>
    <row r="46" spans="2:14" x14ac:dyDescent="0.25">
      <c r="F46" s="168" t="s">
        <v>103</v>
      </c>
      <c r="G46" s="239" t="s">
        <v>796</v>
      </c>
      <c r="H46" s="262"/>
      <c r="I46" s="262"/>
      <c r="J46" s="510" t="s">
        <v>1211</v>
      </c>
      <c r="K46" s="510" t="s">
        <v>1207</v>
      </c>
      <c r="L46" s="510" t="s">
        <v>1207</v>
      </c>
      <c r="M46" s="510" t="s">
        <v>1207</v>
      </c>
      <c r="N46" s="510" t="s">
        <v>1207</v>
      </c>
    </row>
    <row r="47" spans="2:14" x14ac:dyDescent="0.25">
      <c r="G47" s="194"/>
    </row>
    <row r="48" spans="2:14" x14ac:dyDescent="0.25">
      <c r="B48" s="171" t="s">
        <v>127</v>
      </c>
      <c r="C48" s="171"/>
      <c r="D48" s="171"/>
      <c r="E48" s="171"/>
      <c r="F48" s="171"/>
      <c r="G48" s="171"/>
      <c r="H48" s="171"/>
      <c r="I48" s="171"/>
      <c r="J48" s="171"/>
      <c r="K48" s="171"/>
      <c r="L48" s="171"/>
      <c r="M48" s="171"/>
      <c r="N48" s="171"/>
    </row>
  </sheetData>
  <sheetProtection formatCells="0" formatColumns="0" formatRows="0" sort="0" autoFilter="0"/>
  <hyperlinks>
    <hyperlink ref="B5:F5" location="'Model map'!A1" display="Click here to return to model map"/>
  </hyperlinks>
  <pageMargins left="0.7" right="0.7" top="0.75" bottom="0.75" header="0.3" footer="0.3"/>
  <pageSetup paperSize="9" fitToHeight="0" orientation="portrait" r:id="rId1"/>
  <headerFooter>
    <oddHeader>&amp;L&amp;A&amp;C&amp;R&amp;P of &amp;N</oddHeader>
    <oddFooter>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tabColor theme="6" tint="0.39997558519241921"/>
    <pageSetUpPr fitToPage="1"/>
  </sheetPr>
  <dimension ref="A1:KP109"/>
  <sheetViews>
    <sheetView showGridLines="0" zoomScale="80" zoomScaleNormal="80" workbookViewId="0">
      <pane xSplit="9" ySplit="5" topLeftCell="J6" activePane="bottomRight" state="frozen"/>
      <selection activeCell="A3" sqref="A3"/>
      <selection pane="topRight" activeCell="A3" sqref="A3"/>
      <selection pane="bottomLeft" activeCell="A3" sqref="A3"/>
      <selection pane="bottomRight" activeCell="J18" sqref="J18"/>
    </sheetView>
  </sheetViews>
  <sheetFormatPr defaultColWidth="0" defaultRowHeight="15" x14ac:dyDescent="0.25"/>
  <cols>
    <col min="1" max="5" width="2.7109375" style="160" customWidth="1"/>
    <col min="6" max="6" width="59.5703125" style="160" customWidth="1"/>
    <col min="7" max="7" width="15.42578125" style="194" customWidth="1"/>
    <col min="8" max="8" width="19.85546875" style="160" bestFit="1" customWidth="1"/>
    <col min="9" max="9" width="2.28515625" style="160" customWidth="1"/>
    <col min="10" max="42" width="17" style="160" customWidth="1"/>
    <col min="43" max="43" width="2.28515625" style="160" customWidth="1"/>
    <col min="44" max="302" width="20.7109375" style="160" hidden="1" customWidth="1"/>
    <col min="303" max="16384" width="9.140625" style="160" hidden="1"/>
  </cols>
  <sheetData>
    <row r="1" spans="1:43" s="25" customFormat="1" x14ac:dyDescent="0.25">
      <c r="A1" s="25" t="str">
        <f ca="1">MID(CELL("filename",A1),FIND("]",CELL("filename",A1))+1,255)</f>
        <v>ARP_Load characteristics</v>
      </c>
      <c r="G1" s="331"/>
    </row>
    <row r="2" spans="1:43" s="25" customFormat="1" x14ac:dyDescent="0.25">
      <c r="A2" s="25" t="str">
        <f>Cover!D21&amp;" - "&amp;Cover!D23</f>
        <v>SEPD - Final</v>
      </c>
      <c r="G2" s="331"/>
    </row>
    <row r="3" spans="1:43" s="97" customFormat="1" x14ac:dyDescent="0.25">
      <c r="A3" s="97" t="str">
        <f>Cover!D2&amp;" - "&amp;Cover!D8&amp;" v"&amp;Cover!D10&amp;" - "&amp;Cover!D19</f>
        <v>ARP model - Release for charge setting v3 - 2020/21</v>
      </c>
      <c r="G3" s="477"/>
    </row>
    <row r="5" spans="1:43" ht="60" x14ac:dyDescent="0.25">
      <c r="B5" s="244" t="s">
        <v>667</v>
      </c>
      <c r="C5" s="24"/>
      <c r="D5" s="24"/>
      <c r="E5" s="24"/>
      <c r="F5" s="24"/>
      <c r="G5" s="1" t="s">
        <v>108</v>
      </c>
      <c r="H5" s="2" t="s">
        <v>109</v>
      </c>
      <c r="I5" s="200"/>
      <c r="J5" s="2" t="s">
        <v>52</v>
      </c>
      <c r="K5" s="2" t="s">
        <v>53</v>
      </c>
      <c r="L5" s="2" t="s">
        <v>84</v>
      </c>
      <c r="M5" s="2" t="s">
        <v>54</v>
      </c>
      <c r="N5" s="2" t="s">
        <v>55</v>
      </c>
      <c r="O5" s="2" t="s">
        <v>85</v>
      </c>
      <c r="P5" s="2" t="s">
        <v>56</v>
      </c>
      <c r="Q5" s="2" t="s">
        <v>57</v>
      </c>
      <c r="R5" s="2" t="s">
        <v>72</v>
      </c>
      <c r="S5" s="2" t="s">
        <v>58</v>
      </c>
      <c r="T5" s="2" t="s">
        <v>59</v>
      </c>
      <c r="U5" s="2" t="s">
        <v>60</v>
      </c>
      <c r="V5" s="2" t="s">
        <v>61</v>
      </c>
      <c r="W5" s="2" t="s">
        <v>73</v>
      </c>
      <c r="X5" s="2" t="s">
        <v>86</v>
      </c>
      <c r="Y5" s="2" t="s">
        <v>87</v>
      </c>
      <c r="Z5" s="2" t="s">
        <v>88</v>
      </c>
      <c r="AA5" s="2" t="s">
        <v>89</v>
      </c>
      <c r="AB5" s="2" t="s">
        <v>90</v>
      </c>
      <c r="AC5" s="2" t="s">
        <v>62</v>
      </c>
      <c r="AD5" s="2" t="s">
        <v>63</v>
      </c>
      <c r="AE5" s="2" t="s">
        <v>64</v>
      </c>
      <c r="AF5" s="2" t="s">
        <v>65</v>
      </c>
      <c r="AG5" s="2" t="s">
        <v>66</v>
      </c>
      <c r="AH5" s="2" t="s">
        <v>67</v>
      </c>
      <c r="AI5" s="2" t="s">
        <v>68</v>
      </c>
      <c r="AJ5" s="2" t="s">
        <v>69</v>
      </c>
      <c r="AK5" s="2" t="s">
        <v>70</v>
      </c>
      <c r="AL5" s="2" t="s">
        <v>71</v>
      </c>
      <c r="AM5" s="2" t="s">
        <v>74</v>
      </c>
      <c r="AN5" s="2" t="s">
        <v>75</v>
      </c>
      <c r="AO5" s="2" t="s">
        <v>76</v>
      </c>
      <c r="AP5" s="2" t="s">
        <v>77</v>
      </c>
    </row>
    <row r="6" spans="1:43" x14ac:dyDescent="0.25">
      <c r="AQ6" s="338"/>
    </row>
    <row r="7" spans="1:43" x14ac:dyDescent="0.25">
      <c r="B7" s="171" t="s">
        <v>107</v>
      </c>
      <c r="C7" s="171"/>
      <c r="D7" s="171"/>
      <c r="E7" s="171"/>
      <c r="F7" s="171"/>
      <c r="G7" s="236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338"/>
    </row>
    <row r="8" spans="1:43" x14ac:dyDescent="0.25">
      <c r="AQ8" s="338"/>
    </row>
    <row r="9" spans="1:43" x14ac:dyDescent="0.25">
      <c r="C9" s="152" t="s">
        <v>1003</v>
      </c>
      <c r="AQ9" s="338"/>
    </row>
    <row r="10" spans="1:43" x14ac:dyDescent="0.25">
      <c r="C10" s="152" t="s">
        <v>676</v>
      </c>
      <c r="AQ10" s="338"/>
    </row>
    <row r="11" spans="1:43" x14ac:dyDescent="0.25">
      <c r="C11" s="152" t="s">
        <v>677</v>
      </c>
      <c r="AQ11" s="338"/>
    </row>
    <row r="12" spans="1:43" x14ac:dyDescent="0.25">
      <c r="D12" s="35"/>
      <c r="AQ12" s="338"/>
    </row>
    <row r="13" spans="1:43" x14ac:dyDescent="0.25">
      <c r="B13" s="171" t="s">
        <v>336</v>
      </c>
      <c r="C13" s="171"/>
      <c r="D13" s="171"/>
      <c r="E13" s="171"/>
      <c r="F13" s="171"/>
      <c r="G13" s="236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338"/>
    </row>
    <row r="14" spans="1:43" x14ac:dyDescent="0.25">
      <c r="AQ14" s="338"/>
    </row>
    <row r="15" spans="1:43" x14ac:dyDescent="0.25">
      <c r="E15" s="172" t="s">
        <v>678</v>
      </c>
      <c r="AQ15" s="338"/>
    </row>
    <row r="16" spans="1:43" x14ac:dyDescent="0.25">
      <c r="F16" s="166" t="s">
        <v>710</v>
      </c>
      <c r="G16" s="237" t="s">
        <v>698</v>
      </c>
      <c r="H16" s="344" t="str">
        <f>LEFT(H17,4) - 1 &amp; "/" &amp; RIGHT(H17,2) - 1</f>
        <v>2015/16</v>
      </c>
      <c r="AQ16" s="338"/>
    </row>
    <row r="17" spans="2:43" x14ac:dyDescent="0.25">
      <c r="F17" s="339" t="s">
        <v>711</v>
      </c>
      <c r="G17" s="238" t="s">
        <v>698</v>
      </c>
      <c r="H17" s="156" t="str">
        <f>LEFT(H18,4) - 1 &amp; "/" &amp; RIGHT(H18,2) - 1</f>
        <v>2016/17</v>
      </c>
      <c r="AQ17" s="338"/>
    </row>
    <row r="18" spans="2:43" x14ac:dyDescent="0.25">
      <c r="F18" s="168" t="s">
        <v>712</v>
      </c>
      <c r="G18" s="239" t="s">
        <v>698</v>
      </c>
      <c r="H18" s="343" t="str">
        <f>'ARP_User control'!$G$28</f>
        <v>2017/18</v>
      </c>
      <c r="AQ18" s="338"/>
    </row>
    <row r="19" spans="2:43" x14ac:dyDescent="0.25">
      <c r="AQ19" s="338"/>
    </row>
    <row r="20" spans="2:43" x14ac:dyDescent="0.25">
      <c r="B20" s="171" t="s">
        <v>434</v>
      </c>
      <c r="C20" s="171"/>
      <c r="D20" s="171"/>
      <c r="E20" s="171"/>
      <c r="F20" s="171"/>
      <c r="G20" s="236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1"/>
      <c r="S20" s="171"/>
      <c r="T20" s="171"/>
      <c r="U20" s="171"/>
      <c r="V20" s="171"/>
      <c r="W20" s="171"/>
      <c r="X20" s="171"/>
      <c r="Y20" s="171"/>
      <c r="Z20" s="171"/>
      <c r="AA20" s="171"/>
      <c r="AB20" s="171"/>
      <c r="AC20" s="171"/>
      <c r="AD20" s="171"/>
      <c r="AE20" s="171"/>
      <c r="AF20" s="171"/>
      <c r="AG20" s="171"/>
      <c r="AH20" s="171"/>
      <c r="AI20" s="171"/>
      <c r="AJ20" s="171"/>
      <c r="AK20" s="171"/>
      <c r="AL20" s="171"/>
      <c r="AM20" s="171"/>
      <c r="AN20" s="171"/>
      <c r="AO20" s="171"/>
      <c r="AP20" s="171"/>
      <c r="AQ20" s="338"/>
    </row>
    <row r="21" spans="2:43" x14ac:dyDescent="0.25">
      <c r="AQ21" s="338"/>
    </row>
    <row r="22" spans="2:43" x14ac:dyDescent="0.25">
      <c r="E22" s="172" t="s">
        <v>83</v>
      </c>
      <c r="AQ22" s="338"/>
    </row>
    <row r="23" spans="2:43" x14ac:dyDescent="0.25">
      <c r="F23" s="166" t="str">
        <f>$H$16</f>
        <v>2015/16</v>
      </c>
      <c r="G23" s="237" t="s">
        <v>111</v>
      </c>
      <c r="H23" s="201"/>
      <c r="I23" s="201"/>
      <c r="J23" s="511">
        <v>0.40882956599493669</v>
      </c>
      <c r="K23" s="511">
        <v>0.2655828082286853</v>
      </c>
      <c r="L23" s="511">
        <v>0.12880174066499273</v>
      </c>
      <c r="M23" s="511">
        <v>0.3947425564772406</v>
      </c>
      <c r="N23" s="511">
        <v>0.43802496248935696</v>
      </c>
      <c r="O23" s="511">
        <v>0.23981740306793098</v>
      </c>
      <c r="P23" s="511">
        <v>0.56043259466625905</v>
      </c>
      <c r="Q23" s="511">
        <v>0.30273439366065863</v>
      </c>
      <c r="R23" s="511">
        <v>0.47668314164925263</v>
      </c>
      <c r="S23" s="511">
        <v>0.40882956599493669</v>
      </c>
      <c r="T23" s="511">
        <v>0.3947425564772406</v>
      </c>
      <c r="U23" s="511">
        <v>0.61219753072901284</v>
      </c>
      <c r="V23" s="511">
        <v>0.48441387052448676</v>
      </c>
      <c r="W23" s="511">
        <v>0.6967214320393833</v>
      </c>
      <c r="X23" s="511">
        <v>0.99988615664845171</v>
      </c>
      <c r="Y23" s="511">
        <v>0.4742050887978142</v>
      </c>
      <c r="Z23" s="511">
        <v>0.25738943533697628</v>
      </c>
      <c r="AA23" s="511">
        <v>0.55275638661202187</v>
      </c>
      <c r="AB23" s="511">
        <v>0.42841572760151925</v>
      </c>
      <c r="AC23" s="295"/>
      <c r="AD23" s="295"/>
      <c r="AE23" s="295"/>
      <c r="AF23" s="295"/>
      <c r="AG23" s="295"/>
      <c r="AH23" s="295"/>
      <c r="AI23" s="295"/>
      <c r="AJ23" s="295"/>
      <c r="AK23" s="295"/>
      <c r="AL23" s="295"/>
      <c r="AM23" s="295"/>
      <c r="AN23" s="295"/>
      <c r="AO23" s="295"/>
      <c r="AP23" s="295"/>
      <c r="AQ23" s="338"/>
    </row>
    <row r="24" spans="2:43" x14ac:dyDescent="0.25">
      <c r="F24" s="339" t="str">
        <f>$H$17</f>
        <v>2016/17</v>
      </c>
      <c r="G24" s="238" t="s">
        <v>111</v>
      </c>
      <c r="H24" s="121"/>
      <c r="I24" s="121"/>
      <c r="J24" s="512">
        <v>0.40441943642412065</v>
      </c>
      <c r="K24" s="512">
        <v>0.26973890185629668</v>
      </c>
      <c r="L24" s="512">
        <v>8.9588289996062498E-2</v>
      </c>
      <c r="M24" s="512">
        <v>0.37731803076781162</v>
      </c>
      <c r="N24" s="512">
        <v>0.41774582112656</v>
      </c>
      <c r="O24" s="512">
        <v>0.25082908726211539</v>
      </c>
      <c r="P24" s="512">
        <v>0.45055362544829164</v>
      </c>
      <c r="Q24" s="512">
        <v>0.22977745651455589</v>
      </c>
      <c r="R24" s="512">
        <v>0.25535882696303241</v>
      </c>
      <c r="S24" s="512">
        <v>0.20341648468710211</v>
      </c>
      <c r="T24" s="512">
        <v>0.27508389948121265</v>
      </c>
      <c r="U24" s="512">
        <v>0.55861468609374409</v>
      </c>
      <c r="V24" s="512">
        <v>0.72842041990902973</v>
      </c>
      <c r="W24" s="512">
        <v>0.70132055770284973</v>
      </c>
      <c r="X24" s="512">
        <v>0.99988584474885844</v>
      </c>
      <c r="Y24" s="512">
        <v>0.47404230593607305</v>
      </c>
      <c r="Z24" s="512">
        <v>0.25733468036529678</v>
      </c>
      <c r="AA24" s="512">
        <v>0.51125220319634701</v>
      </c>
      <c r="AB24" s="512">
        <v>0.47343473189680085</v>
      </c>
      <c r="AC24" s="277"/>
      <c r="AD24" s="277"/>
      <c r="AE24" s="277"/>
      <c r="AF24" s="277"/>
      <c r="AG24" s="277"/>
      <c r="AH24" s="277"/>
      <c r="AI24" s="277"/>
      <c r="AJ24" s="277"/>
      <c r="AK24" s="277"/>
      <c r="AL24" s="277"/>
      <c r="AM24" s="277"/>
      <c r="AN24" s="277"/>
      <c r="AO24" s="277"/>
      <c r="AP24" s="277"/>
      <c r="AQ24" s="338"/>
    </row>
    <row r="25" spans="2:43" x14ac:dyDescent="0.25">
      <c r="F25" s="168" t="str">
        <f>$H$18</f>
        <v>2017/18</v>
      </c>
      <c r="G25" s="239" t="s">
        <v>111</v>
      </c>
      <c r="H25" s="262"/>
      <c r="I25" s="262"/>
      <c r="J25" s="513">
        <v>0.39548893897571685</v>
      </c>
      <c r="K25" s="513">
        <v>0.22071803776000479</v>
      </c>
      <c r="L25" s="513">
        <v>9.7148570823939365E-2</v>
      </c>
      <c r="M25" s="513">
        <v>0.30844524765198433</v>
      </c>
      <c r="N25" s="513">
        <v>0.44272551337394001</v>
      </c>
      <c r="O25" s="513">
        <v>0.18084006809378841</v>
      </c>
      <c r="P25" s="513">
        <v>0.50337929486691113</v>
      </c>
      <c r="Q25" s="513">
        <v>0.50337929486691113</v>
      </c>
      <c r="R25" s="513">
        <v>0.23254952254432157</v>
      </c>
      <c r="S25" s="513">
        <v>0.10958868137681937</v>
      </c>
      <c r="T25" s="513">
        <v>0.48477385973999482</v>
      </c>
      <c r="U25" s="513">
        <v>0.57877863708034727</v>
      </c>
      <c r="V25" s="513">
        <v>0.71666268074923212</v>
      </c>
      <c r="W25" s="513">
        <v>0.68943806758467041</v>
      </c>
      <c r="X25" s="513">
        <v>0.99988584474885844</v>
      </c>
      <c r="Y25" s="513">
        <v>0.47404230593607305</v>
      </c>
      <c r="Z25" s="513">
        <v>0.25733468036529678</v>
      </c>
      <c r="AA25" s="513">
        <v>0.51125220319634701</v>
      </c>
      <c r="AB25" s="513">
        <v>0.47808055357280377</v>
      </c>
      <c r="AC25" s="488"/>
      <c r="AD25" s="488"/>
      <c r="AE25" s="488"/>
      <c r="AF25" s="488"/>
      <c r="AG25" s="488"/>
      <c r="AH25" s="488"/>
      <c r="AI25" s="488"/>
      <c r="AJ25" s="488"/>
      <c r="AK25" s="488"/>
      <c r="AL25" s="488"/>
      <c r="AM25" s="488"/>
      <c r="AN25" s="488"/>
      <c r="AO25" s="488"/>
      <c r="AP25" s="488"/>
      <c r="AQ25" s="338"/>
    </row>
    <row r="26" spans="2:43" x14ac:dyDescent="0.25">
      <c r="F26" s="138" t="s">
        <v>679</v>
      </c>
      <c r="G26" s="294" t="s">
        <v>111</v>
      </c>
      <c r="H26" s="489"/>
      <c r="I26" s="489"/>
      <c r="J26" s="490">
        <f>AVERAGE(J23:J25)</f>
        <v>0.40291264713159136</v>
      </c>
      <c r="K26" s="490">
        <f t="shared" ref="K26:AB26" si="0">AVERAGE(K23:K25)</f>
        <v>0.25201324928166224</v>
      </c>
      <c r="L26" s="490">
        <f t="shared" si="0"/>
        <v>0.10517953382833152</v>
      </c>
      <c r="M26" s="490">
        <f t="shared" si="0"/>
        <v>0.36016861163234548</v>
      </c>
      <c r="N26" s="490">
        <f t="shared" si="0"/>
        <v>0.43283209899661901</v>
      </c>
      <c r="O26" s="490">
        <f t="shared" si="0"/>
        <v>0.22382885280794493</v>
      </c>
      <c r="P26" s="490">
        <f t="shared" si="0"/>
        <v>0.50478850499382066</v>
      </c>
      <c r="Q26" s="490">
        <f t="shared" si="0"/>
        <v>0.34529704834737524</v>
      </c>
      <c r="R26" s="490">
        <f t="shared" si="0"/>
        <v>0.32153049705220221</v>
      </c>
      <c r="S26" s="490">
        <f t="shared" si="0"/>
        <v>0.24061157735295277</v>
      </c>
      <c r="T26" s="490">
        <f t="shared" si="0"/>
        <v>0.38486677189948271</v>
      </c>
      <c r="U26" s="490">
        <f t="shared" si="0"/>
        <v>0.58319695130103477</v>
      </c>
      <c r="V26" s="490">
        <f t="shared" si="0"/>
        <v>0.64316565706091622</v>
      </c>
      <c r="W26" s="490">
        <f t="shared" si="0"/>
        <v>0.69582668577563445</v>
      </c>
      <c r="X26" s="490">
        <f t="shared" si="0"/>
        <v>0.99988594871538961</v>
      </c>
      <c r="Y26" s="490">
        <f t="shared" si="0"/>
        <v>0.47409656688998675</v>
      </c>
      <c r="Z26" s="490">
        <f t="shared" si="0"/>
        <v>0.25735293202252324</v>
      </c>
      <c r="AA26" s="490">
        <f t="shared" si="0"/>
        <v>0.52508693100157189</v>
      </c>
      <c r="AB26" s="490">
        <f t="shared" si="0"/>
        <v>0.45997700435704125</v>
      </c>
      <c r="AC26" s="491"/>
      <c r="AD26" s="491"/>
      <c r="AE26" s="491"/>
      <c r="AF26" s="491"/>
      <c r="AG26" s="491"/>
      <c r="AH26" s="491"/>
      <c r="AI26" s="491"/>
      <c r="AJ26" s="491"/>
      <c r="AK26" s="491"/>
      <c r="AL26" s="491"/>
      <c r="AM26" s="491"/>
      <c r="AN26" s="491"/>
      <c r="AO26" s="491"/>
      <c r="AP26" s="491"/>
      <c r="AQ26" s="338"/>
    </row>
    <row r="27" spans="2:43" x14ac:dyDescent="0.25">
      <c r="H27" s="200"/>
      <c r="I27" s="200"/>
      <c r="J27" s="200"/>
      <c r="K27" s="200"/>
      <c r="L27" s="200"/>
      <c r="M27" s="200"/>
      <c r="N27" s="200"/>
      <c r="O27" s="200"/>
      <c r="P27" s="200"/>
      <c r="Q27" s="200"/>
      <c r="R27" s="200"/>
      <c r="S27" s="200"/>
      <c r="T27" s="200"/>
      <c r="U27" s="200"/>
      <c r="V27" s="200"/>
      <c r="W27" s="200"/>
      <c r="X27" s="200"/>
      <c r="Y27" s="200"/>
      <c r="Z27" s="200"/>
      <c r="AA27" s="200"/>
      <c r="AB27" s="200"/>
      <c r="AC27" s="200"/>
      <c r="AD27" s="200"/>
      <c r="AE27" s="200"/>
      <c r="AF27" s="200"/>
      <c r="AG27" s="200"/>
      <c r="AH27" s="200"/>
      <c r="AI27" s="200"/>
      <c r="AJ27" s="200"/>
      <c r="AK27" s="200"/>
      <c r="AL27" s="200"/>
      <c r="AM27" s="200"/>
      <c r="AN27" s="200"/>
      <c r="AO27" s="200"/>
      <c r="AP27" s="200"/>
      <c r="AQ27" s="338"/>
    </row>
    <row r="28" spans="2:43" x14ac:dyDescent="0.25">
      <c r="E28" s="261" t="s">
        <v>82</v>
      </c>
      <c r="H28" s="200"/>
      <c r="I28" s="200"/>
      <c r="J28" s="200"/>
      <c r="K28" s="200"/>
      <c r="L28" s="200"/>
      <c r="M28" s="200"/>
      <c r="N28" s="200"/>
      <c r="O28" s="200"/>
      <c r="P28" s="200"/>
      <c r="Q28" s="200"/>
      <c r="R28" s="200"/>
      <c r="S28" s="200"/>
      <c r="T28" s="200"/>
      <c r="U28" s="200"/>
      <c r="V28" s="200"/>
      <c r="W28" s="200"/>
      <c r="X28" s="200"/>
      <c r="Y28" s="200"/>
      <c r="Z28" s="200"/>
      <c r="AA28" s="200"/>
      <c r="AB28" s="200"/>
      <c r="AC28" s="200"/>
      <c r="AD28" s="200"/>
      <c r="AE28" s="200"/>
      <c r="AF28" s="200"/>
      <c r="AG28" s="200"/>
      <c r="AH28" s="200"/>
      <c r="AI28" s="200"/>
      <c r="AJ28" s="200"/>
      <c r="AK28" s="200"/>
      <c r="AL28" s="200"/>
      <c r="AM28" s="200"/>
      <c r="AN28" s="200"/>
      <c r="AO28" s="200"/>
      <c r="AP28" s="200"/>
      <c r="AQ28" s="338"/>
    </row>
    <row r="29" spans="2:43" x14ac:dyDescent="0.25">
      <c r="F29" s="166" t="str">
        <f>$H$16</f>
        <v>2015/16</v>
      </c>
      <c r="G29" s="237" t="s">
        <v>111</v>
      </c>
      <c r="H29" s="201"/>
      <c r="I29" s="201"/>
      <c r="J29" s="511">
        <v>0.91475159992318511</v>
      </c>
      <c r="K29" s="511">
        <v>0.41680205159911971</v>
      </c>
      <c r="L29" s="295"/>
      <c r="M29" s="511">
        <v>0.61351807809121506</v>
      </c>
      <c r="N29" s="511">
        <v>0.83656839722767051</v>
      </c>
      <c r="O29" s="295"/>
      <c r="P29" s="511">
        <v>0.84022048181985143</v>
      </c>
      <c r="Q29" s="511">
        <v>0.46476127021428476</v>
      </c>
      <c r="R29" s="511">
        <v>0.72902426511124419</v>
      </c>
      <c r="S29" s="511">
        <v>0.91475159992318511</v>
      </c>
      <c r="T29" s="511">
        <v>0.61351807809121506</v>
      </c>
      <c r="U29" s="511">
        <v>0.80002043133954559</v>
      </c>
      <c r="V29" s="511">
        <v>0.79404513916390773</v>
      </c>
      <c r="W29" s="511">
        <v>0.76474758237236029</v>
      </c>
      <c r="X29" s="511">
        <v>1</v>
      </c>
      <c r="Y29" s="511">
        <v>1</v>
      </c>
      <c r="Z29" s="511">
        <v>1</v>
      </c>
      <c r="AA29" s="511">
        <v>3.1650000000000005E-2</v>
      </c>
      <c r="AB29" s="511">
        <v>0.87290105233249127</v>
      </c>
      <c r="AC29" s="295"/>
      <c r="AD29" s="295"/>
      <c r="AE29" s="295"/>
      <c r="AF29" s="295"/>
      <c r="AG29" s="295"/>
      <c r="AH29" s="295"/>
      <c r="AI29" s="295"/>
      <c r="AJ29" s="295"/>
      <c r="AK29" s="295"/>
      <c r="AL29" s="295"/>
      <c r="AM29" s="295"/>
      <c r="AN29" s="295"/>
      <c r="AO29" s="295"/>
      <c r="AP29" s="295"/>
      <c r="AQ29" s="338"/>
    </row>
    <row r="30" spans="2:43" x14ac:dyDescent="0.25">
      <c r="F30" s="339" t="str">
        <f>$H$17</f>
        <v>2016/17</v>
      </c>
      <c r="G30" s="238" t="s">
        <v>111</v>
      </c>
      <c r="H30" s="121"/>
      <c r="I30" s="121"/>
      <c r="J30" s="512">
        <v>0.89303975984397765</v>
      </c>
      <c r="K30" s="512">
        <v>0.42738049548646162</v>
      </c>
      <c r="L30" s="277"/>
      <c r="M30" s="512">
        <v>0.59311048249867104</v>
      </c>
      <c r="N30" s="512">
        <v>0.80844611500367025</v>
      </c>
      <c r="O30" s="277"/>
      <c r="P30" s="512">
        <v>0.45436247232482002</v>
      </c>
      <c r="Q30" s="512">
        <v>0</v>
      </c>
      <c r="R30" s="512">
        <v>0.31585220925143337</v>
      </c>
      <c r="S30" s="512">
        <v>0.84483617557990909</v>
      </c>
      <c r="T30" s="512">
        <v>0.50262967393732316</v>
      </c>
      <c r="U30" s="512">
        <v>0.78672204890322983</v>
      </c>
      <c r="V30" s="512">
        <v>0.80543337294679795</v>
      </c>
      <c r="W30" s="512">
        <v>0.77109980589053084</v>
      </c>
      <c r="X30" s="512">
        <v>1</v>
      </c>
      <c r="Y30" s="512">
        <v>1</v>
      </c>
      <c r="Z30" s="512">
        <v>1</v>
      </c>
      <c r="AA30" s="512">
        <v>0.15580000000000002</v>
      </c>
      <c r="AB30" s="512">
        <v>0.93629705929580753</v>
      </c>
      <c r="AC30" s="277"/>
      <c r="AD30" s="277"/>
      <c r="AE30" s="277"/>
      <c r="AF30" s="277"/>
      <c r="AG30" s="277"/>
      <c r="AH30" s="277"/>
      <c r="AI30" s="277"/>
      <c r="AJ30" s="277"/>
      <c r="AK30" s="277"/>
      <c r="AL30" s="277"/>
      <c r="AM30" s="277"/>
      <c r="AN30" s="277"/>
      <c r="AO30" s="277"/>
      <c r="AP30" s="277"/>
      <c r="AQ30" s="338"/>
    </row>
    <row r="31" spans="2:43" x14ac:dyDescent="0.25">
      <c r="F31" s="339" t="str">
        <f>$H$18</f>
        <v>2017/18</v>
      </c>
      <c r="G31" s="238" t="s">
        <v>111</v>
      </c>
      <c r="H31" s="121"/>
      <c r="I31" s="121"/>
      <c r="J31" s="512">
        <v>0.83821572285645018</v>
      </c>
      <c r="K31" s="512">
        <v>0.31648101152466179</v>
      </c>
      <c r="L31" s="277"/>
      <c r="M31" s="512">
        <v>0.67384706414157136</v>
      </c>
      <c r="N31" s="512">
        <v>0.76179321513095422</v>
      </c>
      <c r="O31" s="277"/>
      <c r="P31" s="512">
        <v>0.7483941820720682</v>
      </c>
      <c r="Q31" s="512">
        <v>0.7483941820720682</v>
      </c>
      <c r="R31" s="512">
        <v>0.34976566300744444</v>
      </c>
      <c r="S31" s="512">
        <v>0.63395743052552944</v>
      </c>
      <c r="T31" s="512">
        <v>0.80751561397563376</v>
      </c>
      <c r="U31" s="512">
        <v>0.83377915716155349</v>
      </c>
      <c r="V31" s="512">
        <v>0.83031537097939501</v>
      </c>
      <c r="W31" s="512">
        <v>0.80073884549790963</v>
      </c>
      <c r="X31" s="512">
        <v>1</v>
      </c>
      <c r="Y31" s="512">
        <v>0.51705000000000001</v>
      </c>
      <c r="Z31" s="512">
        <v>0.55872500000000003</v>
      </c>
      <c r="AA31" s="512">
        <v>0.623475</v>
      </c>
      <c r="AB31" s="512">
        <v>0.57387611990703036</v>
      </c>
      <c r="AC31" s="277"/>
      <c r="AD31" s="277"/>
      <c r="AE31" s="277"/>
      <c r="AF31" s="277"/>
      <c r="AG31" s="277"/>
      <c r="AH31" s="277"/>
      <c r="AI31" s="277"/>
      <c r="AJ31" s="277"/>
      <c r="AK31" s="277"/>
      <c r="AL31" s="277"/>
      <c r="AM31" s="277"/>
      <c r="AN31" s="277"/>
      <c r="AO31" s="277"/>
      <c r="AP31" s="277"/>
      <c r="AQ31" s="338"/>
    </row>
    <row r="32" spans="2:43" x14ac:dyDescent="0.25">
      <c r="F32" s="138" t="s">
        <v>679</v>
      </c>
      <c r="G32" s="294" t="s">
        <v>111</v>
      </c>
      <c r="H32" s="489"/>
      <c r="I32" s="489"/>
      <c r="J32" s="490">
        <f>AVERAGE(J29:J31)</f>
        <v>0.88200236087453765</v>
      </c>
      <c r="K32" s="490">
        <f t="shared" ref="K32" si="1">AVERAGE(K29:K31)</f>
        <v>0.38688785287008098</v>
      </c>
      <c r="L32" s="491"/>
      <c r="M32" s="490">
        <f t="shared" ref="M32:N32" si="2">AVERAGE(M29:M31)</f>
        <v>0.62682520824381915</v>
      </c>
      <c r="N32" s="490">
        <f t="shared" si="2"/>
        <v>0.80226924245409836</v>
      </c>
      <c r="O32" s="491"/>
      <c r="P32" s="490">
        <f t="shared" ref="P32:AB32" si="3">AVERAGE(P29:P31)</f>
        <v>0.68099237873891327</v>
      </c>
      <c r="Q32" s="490">
        <f t="shared" si="3"/>
        <v>0.40438515076211767</v>
      </c>
      <c r="R32" s="490">
        <f t="shared" si="3"/>
        <v>0.46488071245670731</v>
      </c>
      <c r="S32" s="490">
        <f t="shared" si="3"/>
        <v>0.79784840200954121</v>
      </c>
      <c r="T32" s="490">
        <f t="shared" si="3"/>
        <v>0.6412211220013907</v>
      </c>
      <c r="U32" s="490">
        <f t="shared" si="3"/>
        <v>0.80684054580144293</v>
      </c>
      <c r="V32" s="490">
        <f t="shared" si="3"/>
        <v>0.80993129436336686</v>
      </c>
      <c r="W32" s="490">
        <f t="shared" si="3"/>
        <v>0.77886207792026685</v>
      </c>
      <c r="X32" s="490">
        <f t="shared" si="3"/>
        <v>1</v>
      </c>
      <c r="Y32" s="490">
        <f t="shared" si="3"/>
        <v>0.83901666666666674</v>
      </c>
      <c r="Z32" s="490">
        <f t="shared" si="3"/>
        <v>0.85290833333333327</v>
      </c>
      <c r="AA32" s="490">
        <f t="shared" si="3"/>
        <v>0.27030833333333332</v>
      </c>
      <c r="AB32" s="490">
        <f t="shared" si="3"/>
        <v>0.79435807717844309</v>
      </c>
      <c r="AC32" s="491"/>
      <c r="AD32" s="491"/>
      <c r="AE32" s="491"/>
      <c r="AF32" s="491"/>
      <c r="AG32" s="491"/>
      <c r="AH32" s="491"/>
      <c r="AI32" s="491"/>
      <c r="AJ32" s="491"/>
      <c r="AK32" s="491"/>
      <c r="AL32" s="491"/>
      <c r="AM32" s="491"/>
      <c r="AN32" s="491"/>
      <c r="AO32" s="491"/>
      <c r="AP32" s="491"/>
      <c r="AQ32" s="338"/>
    </row>
    <row r="33" spans="2:43" x14ac:dyDescent="0.25">
      <c r="H33" s="200"/>
      <c r="I33" s="200"/>
      <c r="J33" s="200"/>
      <c r="K33" s="200"/>
      <c r="L33" s="200"/>
      <c r="M33" s="200"/>
      <c r="N33" s="200"/>
      <c r="O33" s="200"/>
      <c r="P33" s="200"/>
      <c r="Q33" s="200"/>
      <c r="R33" s="200"/>
      <c r="S33" s="200"/>
      <c r="T33" s="200"/>
      <c r="U33" s="200"/>
      <c r="V33" s="200"/>
      <c r="W33" s="200"/>
      <c r="X33" s="200"/>
      <c r="Y33" s="200"/>
      <c r="Z33" s="200"/>
      <c r="AA33" s="200"/>
      <c r="AB33" s="200"/>
      <c r="AC33" s="200"/>
      <c r="AD33" s="200"/>
      <c r="AE33" s="200"/>
      <c r="AF33" s="200"/>
      <c r="AG33" s="200"/>
      <c r="AH33" s="200"/>
      <c r="AI33" s="200"/>
      <c r="AJ33" s="200"/>
      <c r="AK33" s="200"/>
      <c r="AL33" s="200"/>
      <c r="AM33" s="200"/>
      <c r="AN33" s="200"/>
      <c r="AO33" s="200"/>
      <c r="AP33" s="200"/>
      <c r="AQ33" s="338"/>
    </row>
    <row r="34" spans="2:43" x14ac:dyDescent="0.25">
      <c r="B34" s="171" t="s">
        <v>430</v>
      </c>
      <c r="C34" s="171"/>
      <c r="D34" s="171"/>
      <c r="E34" s="171"/>
      <c r="F34" s="171"/>
      <c r="G34" s="236"/>
      <c r="H34" s="278"/>
      <c r="I34" s="278"/>
      <c r="J34" s="278"/>
      <c r="K34" s="278"/>
      <c r="L34" s="278"/>
      <c r="M34" s="278"/>
      <c r="N34" s="278"/>
      <c r="O34" s="278"/>
      <c r="P34" s="278"/>
      <c r="Q34" s="278"/>
      <c r="R34" s="278"/>
      <c r="S34" s="278"/>
      <c r="T34" s="278"/>
      <c r="U34" s="278"/>
      <c r="V34" s="278"/>
      <c r="W34" s="278"/>
      <c r="X34" s="278"/>
      <c r="Y34" s="278"/>
      <c r="Z34" s="278"/>
      <c r="AA34" s="278"/>
      <c r="AB34" s="278"/>
      <c r="AC34" s="278"/>
      <c r="AD34" s="278"/>
      <c r="AE34" s="278"/>
      <c r="AF34" s="278"/>
      <c r="AG34" s="278"/>
      <c r="AH34" s="278"/>
      <c r="AI34" s="278"/>
      <c r="AJ34" s="278"/>
      <c r="AK34" s="278"/>
      <c r="AL34" s="278"/>
      <c r="AM34" s="278"/>
      <c r="AN34" s="278"/>
      <c r="AO34" s="278"/>
      <c r="AP34" s="278"/>
      <c r="AQ34" s="338"/>
    </row>
    <row r="35" spans="2:43" x14ac:dyDescent="0.25"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0"/>
      <c r="AD35" s="200"/>
      <c r="AE35" s="200"/>
      <c r="AF35" s="200"/>
      <c r="AG35" s="200"/>
      <c r="AH35" s="200"/>
      <c r="AI35" s="200"/>
      <c r="AJ35" s="200"/>
      <c r="AK35" s="200"/>
      <c r="AL35" s="200"/>
      <c r="AM35" s="200"/>
      <c r="AN35" s="200"/>
      <c r="AO35" s="200"/>
      <c r="AP35" s="200"/>
      <c r="AQ35" s="338"/>
    </row>
    <row r="36" spans="2:43" x14ac:dyDescent="0.25">
      <c r="D36" s="152" t="s">
        <v>1048</v>
      </c>
      <c r="H36" s="200"/>
      <c r="I36" s="200"/>
      <c r="J36" s="279"/>
      <c r="K36" s="200"/>
      <c r="L36" s="200"/>
      <c r="M36" s="200"/>
      <c r="N36" s="200"/>
      <c r="O36" s="200"/>
      <c r="P36" s="200"/>
      <c r="Q36" s="200"/>
      <c r="R36" s="200"/>
      <c r="S36" s="200"/>
      <c r="T36" s="200"/>
      <c r="U36" s="200"/>
      <c r="V36" s="200"/>
      <c r="W36" s="200"/>
      <c r="X36" s="200"/>
      <c r="Y36" s="200"/>
      <c r="Z36" s="200"/>
      <c r="AA36" s="200"/>
      <c r="AB36" s="200"/>
      <c r="AC36" s="200"/>
      <c r="AD36" s="200"/>
      <c r="AE36" s="200"/>
      <c r="AF36" s="200"/>
      <c r="AG36" s="200"/>
      <c r="AH36" s="200"/>
      <c r="AI36" s="200"/>
      <c r="AJ36" s="200"/>
      <c r="AK36" s="200"/>
      <c r="AL36" s="200"/>
      <c r="AM36" s="200"/>
      <c r="AN36" s="200"/>
      <c r="AO36" s="200"/>
      <c r="AP36" s="200"/>
      <c r="AQ36" s="338"/>
    </row>
    <row r="37" spans="2:43" x14ac:dyDescent="0.25">
      <c r="D37" s="152" t="s">
        <v>1049</v>
      </c>
      <c r="H37" s="200"/>
      <c r="I37" s="200"/>
      <c r="J37" s="200"/>
      <c r="K37" s="200"/>
      <c r="L37" s="200"/>
      <c r="M37" s="200"/>
      <c r="N37" s="200"/>
      <c r="O37" s="200"/>
      <c r="P37" s="200"/>
      <c r="Q37" s="200"/>
      <c r="R37" s="200"/>
      <c r="S37" s="200"/>
      <c r="T37" s="200"/>
      <c r="U37" s="200"/>
      <c r="V37" s="200"/>
      <c r="W37" s="200"/>
      <c r="X37" s="200"/>
      <c r="Y37" s="200"/>
      <c r="Z37" s="200"/>
      <c r="AA37" s="200"/>
      <c r="AB37" s="200"/>
      <c r="AC37" s="200"/>
      <c r="AD37" s="200"/>
      <c r="AE37" s="200"/>
      <c r="AF37" s="200"/>
      <c r="AG37" s="200"/>
      <c r="AH37" s="200"/>
      <c r="AI37" s="200"/>
      <c r="AJ37" s="200"/>
      <c r="AK37" s="200"/>
      <c r="AL37" s="200"/>
      <c r="AM37" s="200"/>
      <c r="AN37" s="200"/>
      <c r="AO37" s="200"/>
      <c r="AP37" s="200"/>
      <c r="AQ37" s="338"/>
    </row>
    <row r="38" spans="2:43" x14ac:dyDescent="0.25">
      <c r="D38" s="152"/>
      <c r="H38" s="200"/>
      <c r="I38" s="200"/>
      <c r="J38" s="200"/>
      <c r="K38" s="200"/>
      <c r="L38" s="200"/>
      <c r="M38" s="200"/>
      <c r="N38" s="200"/>
      <c r="O38" s="200"/>
      <c r="P38" s="200"/>
      <c r="Q38" s="200"/>
      <c r="R38" s="200"/>
      <c r="S38" s="200"/>
      <c r="T38" s="200"/>
      <c r="U38" s="200"/>
      <c r="V38" s="200"/>
      <c r="W38" s="200"/>
      <c r="X38" s="200"/>
      <c r="Y38" s="200"/>
      <c r="Z38" s="200"/>
      <c r="AA38" s="200"/>
      <c r="AB38" s="200"/>
      <c r="AC38" s="200"/>
      <c r="AD38" s="200"/>
      <c r="AE38" s="200"/>
      <c r="AF38" s="200"/>
      <c r="AG38" s="200"/>
      <c r="AH38" s="200"/>
      <c r="AI38" s="200"/>
      <c r="AJ38" s="200"/>
      <c r="AK38" s="200"/>
      <c r="AL38" s="200"/>
      <c r="AM38" s="200"/>
      <c r="AN38" s="200"/>
      <c r="AO38" s="200"/>
      <c r="AP38" s="200"/>
      <c r="AQ38" s="338"/>
    </row>
    <row r="39" spans="2:43" x14ac:dyDescent="0.25">
      <c r="D39" s="22" t="s">
        <v>151</v>
      </c>
      <c r="E39" s="22"/>
      <c r="F39" s="22"/>
      <c r="G39" s="297"/>
      <c r="H39" s="296"/>
      <c r="I39" s="296"/>
      <c r="J39" s="296"/>
      <c r="K39" s="296"/>
      <c r="L39" s="296"/>
      <c r="M39" s="296"/>
      <c r="N39" s="296"/>
      <c r="O39" s="296"/>
      <c r="P39" s="296"/>
      <c r="Q39" s="296"/>
      <c r="R39" s="296"/>
      <c r="S39" s="296"/>
      <c r="T39" s="296"/>
      <c r="U39" s="296"/>
      <c r="V39" s="296"/>
      <c r="W39" s="296"/>
      <c r="X39" s="296"/>
      <c r="Y39" s="296"/>
      <c r="Z39" s="296"/>
      <c r="AA39" s="296"/>
      <c r="AB39" s="296"/>
      <c r="AC39" s="296"/>
      <c r="AD39" s="296"/>
      <c r="AE39" s="296"/>
      <c r="AF39" s="296"/>
      <c r="AG39" s="296"/>
      <c r="AH39" s="296"/>
      <c r="AI39" s="296"/>
      <c r="AJ39" s="296"/>
      <c r="AK39" s="296"/>
      <c r="AL39" s="296"/>
      <c r="AM39" s="296"/>
      <c r="AN39" s="296"/>
      <c r="AO39" s="296"/>
      <c r="AP39" s="296"/>
      <c r="AQ39" s="338"/>
    </row>
    <row r="40" spans="2:43" x14ac:dyDescent="0.25">
      <c r="D40" s="172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0"/>
      <c r="Y40" s="200"/>
      <c r="Z40" s="200"/>
      <c r="AA40" s="200"/>
      <c r="AB40" s="200"/>
      <c r="AC40" s="200"/>
      <c r="AD40" s="200"/>
      <c r="AE40" s="200"/>
      <c r="AF40" s="200"/>
      <c r="AG40" s="200"/>
      <c r="AH40" s="200"/>
      <c r="AI40" s="200"/>
      <c r="AJ40" s="200"/>
      <c r="AK40" s="200"/>
      <c r="AL40" s="200"/>
      <c r="AM40" s="200"/>
      <c r="AN40" s="200"/>
      <c r="AO40" s="200"/>
      <c r="AP40" s="200"/>
      <c r="AQ40" s="338"/>
    </row>
    <row r="41" spans="2:43" x14ac:dyDescent="0.25">
      <c r="E41" s="261" t="s">
        <v>630</v>
      </c>
      <c r="H41" s="200"/>
      <c r="I41" s="200"/>
      <c r="J41" s="200"/>
      <c r="K41" s="200"/>
      <c r="L41" s="200"/>
      <c r="M41" s="200"/>
      <c r="N41" s="200"/>
      <c r="O41" s="200"/>
      <c r="P41" s="200"/>
      <c r="Q41" s="200"/>
      <c r="R41" s="200"/>
      <c r="S41" s="200"/>
      <c r="T41" s="200"/>
      <c r="U41" s="200"/>
      <c r="V41" s="200"/>
      <c r="W41" s="200"/>
      <c r="X41" s="200"/>
      <c r="Y41" s="200"/>
      <c r="Z41" s="200"/>
      <c r="AA41" s="200"/>
      <c r="AB41" s="200"/>
      <c r="AC41" s="200"/>
      <c r="AD41" s="200"/>
      <c r="AE41" s="200"/>
      <c r="AF41" s="200"/>
      <c r="AG41" s="200"/>
      <c r="AH41" s="200"/>
      <c r="AI41" s="200"/>
      <c r="AJ41" s="200"/>
      <c r="AK41" s="200"/>
      <c r="AL41" s="200"/>
      <c r="AM41" s="200"/>
      <c r="AN41" s="200"/>
      <c r="AO41" s="200"/>
      <c r="AP41" s="200"/>
      <c r="AQ41" s="338"/>
    </row>
    <row r="42" spans="2:43" x14ac:dyDescent="0.25">
      <c r="F42" s="166" t="str">
        <f>$H$16</f>
        <v>2015/16</v>
      </c>
      <c r="G42" s="237" t="s">
        <v>111</v>
      </c>
      <c r="H42" s="201"/>
      <c r="I42" s="201"/>
      <c r="J42" s="511">
        <v>0.13154625028798334</v>
      </c>
      <c r="K42" s="511">
        <v>0.16205449675237193</v>
      </c>
      <c r="L42" s="511">
        <v>2.7326819609401853E-3</v>
      </c>
      <c r="M42" s="511">
        <v>9.9759031173866142E-2</v>
      </c>
      <c r="N42" s="511">
        <v>0.14366680000363763</v>
      </c>
      <c r="O42" s="511">
        <v>3.0885288270870608E-2</v>
      </c>
      <c r="P42" s="511">
        <v>0.11142197215835345</v>
      </c>
      <c r="Q42" s="511">
        <v>0.12580350287030603</v>
      </c>
      <c r="R42" s="511">
        <v>0.10447902035326721</v>
      </c>
      <c r="S42" s="514">
        <v>1</v>
      </c>
      <c r="T42" s="514">
        <v>1</v>
      </c>
      <c r="U42" s="514">
        <v>1</v>
      </c>
      <c r="V42" s="514">
        <v>1</v>
      </c>
      <c r="W42" s="514">
        <v>1</v>
      </c>
      <c r="X42" s="511">
        <v>2.9374928839804169E-2</v>
      </c>
      <c r="Y42" s="511">
        <v>5.5704788295530987E-2</v>
      </c>
      <c r="Z42" s="511">
        <v>0.10555476629574799</v>
      </c>
      <c r="AA42" s="511">
        <v>9.2591316811193002E-3</v>
      </c>
      <c r="AB42" s="514">
        <v>1</v>
      </c>
      <c r="AC42" s="280"/>
      <c r="AD42" s="280"/>
      <c r="AE42" s="280"/>
      <c r="AF42" s="280"/>
      <c r="AG42" s="514">
        <v>1</v>
      </c>
      <c r="AH42" s="514">
        <v>1</v>
      </c>
      <c r="AI42" s="280"/>
      <c r="AJ42" s="280"/>
      <c r="AK42" s="514">
        <v>1</v>
      </c>
      <c r="AL42" s="514">
        <v>1</v>
      </c>
      <c r="AM42" s="280"/>
      <c r="AN42" s="280"/>
      <c r="AO42" s="514">
        <v>1</v>
      </c>
      <c r="AP42" s="514">
        <v>1</v>
      </c>
      <c r="AQ42" s="338"/>
    </row>
    <row r="43" spans="2:43" x14ac:dyDescent="0.25">
      <c r="F43" s="339" t="str">
        <f>$H$17</f>
        <v>2016/17</v>
      </c>
      <c r="G43" s="238" t="s">
        <v>111</v>
      </c>
      <c r="H43" s="121"/>
      <c r="I43" s="121"/>
      <c r="J43" s="512">
        <v>0.13010161462679606</v>
      </c>
      <c r="K43" s="512">
        <v>0.15979252510059003</v>
      </c>
      <c r="L43" s="512">
        <v>2.8900664632425339E-3</v>
      </c>
      <c r="M43" s="512">
        <v>9.9870565552195992E-2</v>
      </c>
      <c r="N43" s="512">
        <v>0.14455155316241267</v>
      </c>
      <c r="O43" s="512">
        <v>3.0679007056773212E-2</v>
      </c>
      <c r="P43" s="512">
        <v>0.11142165469043058</v>
      </c>
      <c r="Q43" s="512">
        <v>0.12431933216590305</v>
      </c>
      <c r="R43" s="512">
        <v>0.10162161487504798</v>
      </c>
      <c r="S43" s="515">
        <v>1</v>
      </c>
      <c r="T43" s="515">
        <v>1</v>
      </c>
      <c r="U43" s="515">
        <v>1</v>
      </c>
      <c r="V43" s="515">
        <v>1</v>
      </c>
      <c r="W43" s="515">
        <v>1</v>
      </c>
      <c r="X43" s="512">
        <v>2.9455417285078205E-2</v>
      </c>
      <c r="Y43" s="512">
        <v>5.5974619917408083E-2</v>
      </c>
      <c r="Z43" s="512">
        <v>0.10605771724347743</v>
      </c>
      <c r="AA43" s="512">
        <v>9.9513253038196713E-3</v>
      </c>
      <c r="AB43" s="515">
        <v>1</v>
      </c>
      <c r="AC43" s="281"/>
      <c r="AD43" s="281"/>
      <c r="AE43" s="281"/>
      <c r="AF43" s="281"/>
      <c r="AG43" s="515">
        <v>1</v>
      </c>
      <c r="AH43" s="515">
        <v>1</v>
      </c>
      <c r="AI43" s="281"/>
      <c r="AJ43" s="281"/>
      <c r="AK43" s="515">
        <v>1</v>
      </c>
      <c r="AL43" s="515">
        <v>1</v>
      </c>
      <c r="AM43" s="281"/>
      <c r="AN43" s="281"/>
      <c r="AO43" s="515">
        <v>1</v>
      </c>
      <c r="AP43" s="515">
        <v>1</v>
      </c>
      <c r="AQ43" s="338"/>
    </row>
    <row r="44" spans="2:43" x14ac:dyDescent="0.25">
      <c r="F44" s="168" t="str">
        <f>$H$18</f>
        <v>2017/18</v>
      </c>
      <c r="G44" s="239" t="s">
        <v>111</v>
      </c>
      <c r="H44" s="262"/>
      <c r="I44" s="262"/>
      <c r="J44" s="513">
        <v>0.12943388222542215</v>
      </c>
      <c r="K44" s="513">
        <v>0.15841240778711088</v>
      </c>
      <c r="L44" s="513">
        <v>3.229078953014052E-3</v>
      </c>
      <c r="M44" s="513">
        <v>0.10016600215864913</v>
      </c>
      <c r="N44" s="513">
        <v>0.14420477128222242</v>
      </c>
      <c r="O44" s="513">
        <v>1.9096353324907094E-2</v>
      </c>
      <c r="P44" s="513">
        <v>0.10996781050220171</v>
      </c>
      <c r="Q44" s="513">
        <v>0.10996781050220171</v>
      </c>
      <c r="R44" s="513">
        <v>0.10259453913366189</v>
      </c>
      <c r="S44" s="516">
        <v>1</v>
      </c>
      <c r="T44" s="516">
        <v>1</v>
      </c>
      <c r="U44" s="516">
        <v>1</v>
      </c>
      <c r="V44" s="516">
        <v>1</v>
      </c>
      <c r="W44" s="516">
        <v>1</v>
      </c>
      <c r="X44" s="513">
        <v>2.9455417285078205E-2</v>
      </c>
      <c r="Y44" s="513">
        <v>5.590288191240466E-2</v>
      </c>
      <c r="Z44" s="513">
        <v>0.10592614365440456</v>
      </c>
      <c r="AA44" s="513">
        <v>1.0020052609211601E-2</v>
      </c>
      <c r="AB44" s="516">
        <v>1</v>
      </c>
      <c r="AC44" s="282"/>
      <c r="AD44" s="282"/>
      <c r="AE44" s="282"/>
      <c r="AF44" s="282"/>
      <c r="AG44" s="516">
        <v>1</v>
      </c>
      <c r="AH44" s="516">
        <v>1</v>
      </c>
      <c r="AI44" s="282"/>
      <c r="AJ44" s="282"/>
      <c r="AK44" s="516">
        <v>1</v>
      </c>
      <c r="AL44" s="516">
        <v>1</v>
      </c>
      <c r="AM44" s="282"/>
      <c r="AN44" s="282"/>
      <c r="AO44" s="516">
        <v>1</v>
      </c>
      <c r="AP44" s="516">
        <v>1</v>
      </c>
      <c r="AQ44" s="338"/>
    </row>
    <row r="45" spans="2:43" x14ac:dyDescent="0.25">
      <c r="F45" s="168" t="s">
        <v>679</v>
      </c>
      <c r="G45" s="239" t="s">
        <v>111</v>
      </c>
      <c r="H45" s="262"/>
      <c r="I45" s="262"/>
      <c r="J45" s="492">
        <f>AVERAGE(J42:J44)</f>
        <v>0.1303605823800672</v>
      </c>
      <c r="K45" s="492">
        <f t="shared" ref="K45:AP45" si="4">AVERAGE(K42:K44)</f>
        <v>0.16008647654669095</v>
      </c>
      <c r="L45" s="492">
        <f t="shared" si="4"/>
        <v>2.9506091257322565E-3</v>
      </c>
      <c r="M45" s="492">
        <f t="shared" si="4"/>
        <v>9.9931866294903748E-2</v>
      </c>
      <c r="N45" s="492">
        <f t="shared" si="4"/>
        <v>0.14414104148275755</v>
      </c>
      <c r="O45" s="492">
        <f t="shared" si="4"/>
        <v>2.688688288418364E-2</v>
      </c>
      <c r="P45" s="492">
        <f t="shared" si="4"/>
        <v>0.11093714578366191</v>
      </c>
      <c r="Q45" s="492">
        <f t="shared" si="4"/>
        <v>0.12003021517947027</v>
      </c>
      <c r="R45" s="492">
        <f t="shared" si="4"/>
        <v>0.10289839145399236</v>
      </c>
      <c r="S45" s="492">
        <f>AVERAGE(S42:S44)</f>
        <v>1</v>
      </c>
      <c r="T45" s="492">
        <f t="shared" si="4"/>
        <v>1</v>
      </c>
      <c r="U45" s="492">
        <f t="shared" si="4"/>
        <v>1</v>
      </c>
      <c r="V45" s="492">
        <f t="shared" si="4"/>
        <v>1</v>
      </c>
      <c r="W45" s="492">
        <f t="shared" si="4"/>
        <v>1</v>
      </c>
      <c r="X45" s="492">
        <f t="shared" si="4"/>
        <v>2.9428587803320194E-2</v>
      </c>
      <c r="Y45" s="492">
        <f t="shared" si="4"/>
        <v>5.5860763375114579E-2</v>
      </c>
      <c r="Z45" s="492">
        <f t="shared" si="4"/>
        <v>0.10584620906454333</v>
      </c>
      <c r="AA45" s="492">
        <f t="shared" si="4"/>
        <v>9.7435031980501897E-3</v>
      </c>
      <c r="AB45" s="492">
        <f t="shared" si="4"/>
        <v>1</v>
      </c>
      <c r="AC45" s="282"/>
      <c r="AD45" s="282"/>
      <c r="AE45" s="282"/>
      <c r="AF45" s="282"/>
      <c r="AG45" s="492">
        <f t="shared" si="4"/>
        <v>1</v>
      </c>
      <c r="AH45" s="492">
        <f t="shared" si="4"/>
        <v>1</v>
      </c>
      <c r="AI45" s="282"/>
      <c r="AJ45" s="282"/>
      <c r="AK45" s="492">
        <f t="shared" si="4"/>
        <v>1</v>
      </c>
      <c r="AL45" s="492">
        <f t="shared" si="4"/>
        <v>1</v>
      </c>
      <c r="AM45" s="282"/>
      <c r="AN45" s="282"/>
      <c r="AO45" s="492">
        <f t="shared" si="4"/>
        <v>1</v>
      </c>
      <c r="AP45" s="492">
        <f t="shared" si="4"/>
        <v>1</v>
      </c>
      <c r="AQ45" s="338"/>
    </row>
    <row r="46" spans="2:43" x14ac:dyDescent="0.25">
      <c r="E46" s="152"/>
      <c r="H46" s="200"/>
      <c r="I46" s="200"/>
      <c r="J46" s="200"/>
      <c r="K46" s="200"/>
      <c r="L46" s="200"/>
      <c r="M46" s="200"/>
      <c r="N46" s="200"/>
      <c r="O46" s="200"/>
      <c r="P46" s="200"/>
      <c r="Q46" s="200"/>
      <c r="R46" s="200"/>
      <c r="S46" s="200"/>
      <c r="T46" s="200"/>
      <c r="U46" s="200"/>
      <c r="V46" s="200"/>
      <c r="W46" s="200"/>
      <c r="X46" s="200"/>
      <c r="Y46" s="200"/>
      <c r="Z46" s="200"/>
      <c r="AA46" s="200"/>
      <c r="AB46" s="200"/>
      <c r="AC46" s="200"/>
      <c r="AD46" s="200"/>
      <c r="AE46" s="200"/>
      <c r="AF46" s="200"/>
      <c r="AG46" s="200"/>
      <c r="AH46" s="200"/>
      <c r="AI46" s="200"/>
      <c r="AJ46" s="200"/>
      <c r="AK46" s="200"/>
      <c r="AL46" s="200"/>
      <c r="AM46" s="200"/>
      <c r="AN46" s="200"/>
      <c r="AO46" s="200"/>
      <c r="AP46" s="200"/>
      <c r="AQ46" s="338"/>
    </row>
    <row r="47" spans="2:43" x14ac:dyDescent="0.25">
      <c r="E47" s="261" t="s">
        <v>631</v>
      </c>
      <c r="G47" s="238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121"/>
      <c r="Y47" s="121"/>
      <c r="Z47" s="121"/>
      <c r="AA47" s="121"/>
      <c r="AB47" s="121"/>
      <c r="AC47" s="121"/>
      <c r="AD47" s="121"/>
      <c r="AE47" s="121"/>
      <c r="AF47" s="121"/>
      <c r="AG47" s="121"/>
      <c r="AH47" s="121"/>
      <c r="AI47" s="121"/>
      <c r="AJ47" s="121"/>
      <c r="AK47" s="121"/>
      <c r="AL47" s="121"/>
      <c r="AM47" s="121"/>
      <c r="AN47" s="121"/>
      <c r="AO47" s="121"/>
      <c r="AP47" s="121"/>
      <c r="AQ47" s="338"/>
    </row>
    <row r="48" spans="2:43" x14ac:dyDescent="0.25">
      <c r="E48" s="167"/>
      <c r="F48" s="166" t="str">
        <f>$H$16</f>
        <v>2015/16</v>
      </c>
      <c r="G48" s="237" t="s">
        <v>111</v>
      </c>
      <c r="H48" s="201"/>
      <c r="I48" s="201"/>
      <c r="J48" s="511">
        <v>0.57988731749384959</v>
      </c>
      <c r="K48" s="511">
        <v>0.67694157118607312</v>
      </c>
      <c r="L48" s="511">
        <v>0.28031634968434604</v>
      </c>
      <c r="M48" s="511">
        <v>0.65546308911902917</v>
      </c>
      <c r="N48" s="511">
        <v>0.73640756650629435</v>
      </c>
      <c r="O48" s="511">
        <v>0.30897497314854683</v>
      </c>
      <c r="P48" s="511">
        <v>0.63937446458593583</v>
      </c>
      <c r="Q48" s="511">
        <v>0.74375662729898717</v>
      </c>
      <c r="R48" s="511">
        <v>0.62147315787475665</v>
      </c>
      <c r="S48" s="280"/>
      <c r="T48" s="280"/>
      <c r="U48" s="280"/>
      <c r="V48" s="280"/>
      <c r="W48" s="280"/>
      <c r="X48" s="511">
        <v>0.56017306159626556</v>
      </c>
      <c r="Y48" s="511">
        <v>0.20969278589721191</v>
      </c>
      <c r="Z48" s="511">
        <v>0.41494460103830805</v>
      </c>
      <c r="AA48" s="511">
        <v>0.85867012194495296</v>
      </c>
      <c r="AB48" s="280"/>
      <c r="AC48" s="280"/>
      <c r="AD48" s="280"/>
      <c r="AE48" s="280"/>
      <c r="AF48" s="280"/>
      <c r="AG48" s="280"/>
      <c r="AH48" s="280"/>
      <c r="AI48" s="280"/>
      <c r="AJ48" s="280"/>
      <c r="AK48" s="280"/>
      <c r="AL48" s="280"/>
      <c r="AM48" s="280"/>
      <c r="AN48" s="280"/>
      <c r="AO48" s="280"/>
      <c r="AP48" s="280"/>
      <c r="AQ48" s="338"/>
    </row>
    <row r="49" spans="4:43" x14ac:dyDescent="0.25">
      <c r="E49" s="167"/>
      <c r="F49" s="339" t="str">
        <f>$H$17</f>
        <v>2016/17</v>
      </c>
      <c r="G49" s="238" t="s">
        <v>111</v>
      </c>
      <c r="H49" s="121"/>
      <c r="I49" s="121"/>
      <c r="J49" s="512">
        <v>0.58009742623860205</v>
      </c>
      <c r="K49" s="512">
        <v>0.67770944779668496</v>
      </c>
      <c r="L49" s="512">
        <v>0.28088311803459554</v>
      </c>
      <c r="M49" s="512">
        <v>0.65588822340224684</v>
      </c>
      <c r="N49" s="512">
        <v>0.73342791442514754</v>
      </c>
      <c r="O49" s="512">
        <v>0.30552264985760819</v>
      </c>
      <c r="P49" s="512">
        <v>0.64122837493298279</v>
      </c>
      <c r="Q49" s="512">
        <v>0.73104325089356392</v>
      </c>
      <c r="R49" s="512">
        <v>0.61602893133177106</v>
      </c>
      <c r="S49" s="281"/>
      <c r="T49" s="281"/>
      <c r="U49" s="281"/>
      <c r="V49" s="281"/>
      <c r="W49" s="281"/>
      <c r="X49" s="512">
        <v>0.55999543326863799</v>
      </c>
      <c r="Y49" s="512">
        <v>0.20835206652894442</v>
      </c>
      <c r="Z49" s="512">
        <v>0.41197052609650808</v>
      </c>
      <c r="AA49" s="512">
        <v>0.90611769700649714</v>
      </c>
      <c r="AB49" s="281"/>
      <c r="AC49" s="281"/>
      <c r="AD49" s="281"/>
      <c r="AE49" s="281"/>
      <c r="AF49" s="281"/>
      <c r="AG49" s="281"/>
      <c r="AH49" s="281"/>
      <c r="AI49" s="281"/>
      <c r="AJ49" s="281"/>
      <c r="AK49" s="281"/>
      <c r="AL49" s="281"/>
      <c r="AM49" s="281"/>
      <c r="AN49" s="281"/>
      <c r="AO49" s="281"/>
      <c r="AP49" s="281"/>
      <c r="AQ49" s="338"/>
    </row>
    <row r="50" spans="4:43" x14ac:dyDescent="0.25">
      <c r="E50" s="167"/>
      <c r="F50" s="168" t="str">
        <f>$H$18</f>
        <v>2017/18</v>
      </c>
      <c r="G50" s="239" t="s">
        <v>111</v>
      </c>
      <c r="H50" s="262"/>
      <c r="I50" s="262"/>
      <c r="J50" s="513">
        <v>0.5828403823603564</v>
      </c>
      <c r="K50" s="513">
        <v>0.67632831601256527</v>
      </c>
      <c r="L50" s="513">
        <v>0.27969245999543296</v>
      </c>
      <c r="M50" s="513">
        <v>0.65420427271698778</v>
      </c>
      <c r="N50" s="513">
        <v>0.73177670335592382</v>
      </c>
      <c r="O50" s="513">
        <v>0.22843973667931761</v>
      </c>
      <c r="P50" s="513">
        <v>0.64117269380155273</v>
      </c>
      <c r="Q50" s="513">
        <v>0.64117269380155273</v>
      </c>
      <c r="R50" s="513">
        <v>0.63154433474684957</v>
      </c>
      <c r="S50" s="282"/>
      <c r="T50" s="282"/>
      <c r="U50" s="282"/>
      <c r="V50" s="282"/>
      <c r="W50" s="282"/>
      <c r="X50" s="513">
        <v>0.55965292841648595</v>
      </c>
      <c r="Y50" s="513">
        <v>0.20817434699993295</v>
      </c>
      <c r="Z50" s="513">
        <v>0.41175728461212718</v>
      </c>
      <c r="AA50" s="513">
        <v>0.90561747029347073</v>
      </c>
      <c r="AB50" s="282"/>
      <c r="AC50" s="282"/>
      <c r="AD50" s="282"/>
      <c r="AE50" s="282"/>
      <c r="AF50" s="282"/>
      <c r="AG50" s="282"/>
      <c r="AH50" s="282"/>
      <c r="AI50" s="282"/>
      <c r="AJ50" s="282"/>
      <c r="AK50" s="282"/>
      <c r="AL50" s="282"/>
      <c r="AM50" s="282"/>
      <c r="AN50" s="282"/>
      <c r="AO50" s="282"/>
      <c r="AP50" s="282"/>
      <c r="AQ50" s="338"/>
    </row>
    <row r="51" spans="4:43" x14ac:dyDescent="0.25">
      <c r="E51" s="167"/>
      <c r="F51" s="168" t="s">
        <v>679</v>
      </c>
      <c r="G51" s="239" t="s">
        <v>111</v>
      </c>
      <c r="H51" s="262"/>
      <c r="I51" s="262"/>
      <c r="J51" s="492">
        <f>AVERAGE(J48:J50)</f>
        <v>0.58094170869760264</v>
      </c>
      <c r="K51" s="492">
        <f t="shared" ref="K51:R51" si="5">AVERAGE(K48:K50)</f>
        <v>0.67699311166510778</v>
      </c>
      <c r="L51" s="492">
        <f t="shared" si="5"/>
        <v>0.28029730923812485</v>
      </c>
      <c r="M51" s="492">
        <f t="shared" si="5"/>
        <v>0.6551851950794213</v>
      </c>
      <c r="N51" s="492">
        <f t="shared" si="5"/>
        <v>0.73387072809578857</v>
      </c>
      <c r="O51" s="492">
        <f t="shared" si="5"/>
        <v>0.2809791198951575</v>
      </c>
      <c r="P51" s="492">
        <f t="shared" si="5"/>
        <v>0.64059184444015715</v>
      </c>
      <c r="Q51" s="492">
        <f t="shared" si="5"/>
        <v>0.70532419066470131</v>
      </c>
      <c r="R51" s="492">
        <f t="shared" si="5"/>
        <v>0.62301547465112572</v>
      </c>
      <c r="S51" s="282"/>
      <c r="T51" s="282"/>
      <c r="U51" s="282"/>
      <c r="V51" s="282"/>
      <c r="W51" s="282"/>
      <c r="X51" s="492">
        <f t="shared" ref="X51:AA51" si="6">AVERAGE(X48:X50)</f>
        <v>0.5599404744271298</v>
      </c>
      <c r="Y51" s="492">
        <f t="shared" si="6"/>
        <v>0.20873973314202976</v>
      </c>
      <c r="Z51" s="492">
        <f t="shared" si="6"/>
        <v>0.41289080391564775</v>
      </c>
      <c r="AA51" s="492">
        <f t="shared" si="6"/>
        <v>0.89013509641497368</v>
      </c>
      <c r="AB51" s="282"/>
      <c r="AC51" s="282"/>
      <c r="AD51" s="282"/>
      <c r="AE51" s="282"/>
      <c r="AF51" s="282"/>
      <c r="AG51" s="282"/>
      <c r="AH51" s="282"/>
      <c r="AI51" s="282"/>
      <c r="AJ51" s="282"/>
      <c r="AK51" s="282"/>
      <c r="AL51" s="282"/>
      <c r="AM51" s="282"/>
      <c r="AN51" s="282"/>
      <c r="AO51" s="282"/>
      <c r="AP51" s="282"/>
      <c r="AQ51" s="338"/>
    </row>
    <row r="52" spans="4:43" x14ac:dyDescent="0.25">
      <c r="H52" s="200"/>
      <c r="I52" s="200"/>
      <c r="J52" s="200"/>
      <c r="K52" s="200"/>
      <c r="L52" s="200"/>
      <c r="M52" s="200"/>
      <c r="N52" s="200"/>
      <c r="O52" s="200"/>
      <c r="P52" s="200"/>
      <c r="Q52" s="200"/>
      <c r="R52" s="200"/>
      <c r="S52" s="200"/>
      <c r="T52" s="200"/>
      <c r="U52" s="200"/>
      <c r="V52" s="200"/>
      <c r="W52" s="200"/>
      <c r="X52" s="200"/>
      <c r="Y52" s="200"/>
      <c r="Z52" s="200"/>
      <c r="AA52" s="200"/>
      <c r="AB52" s="200"/>
      <c r="AC52" s="200"/>
      <c r="AD52" s="200"/>
      <c r="AE52" s="200"/>
      <c r="AF52" s="200"/>
      <c r="AG52" s="200"/>
      <c r="AH52" s="200"/>
      <c r="AI52" s="200"/>
      <c r="AJ52" s="200"/>
      <c r="AK52" s="200"/>
      <c r="AL52" s="200"/>
      <c r="AM52" s="200"/>
      <c r="AN52" s="200"/>
      <c r="AO52" s="200"/>
      <c r="AP52" s="200"/>
      <c r="AQ52" s="338"/>
    </row>
    <row r="53" spans="4:43" x14ac:dyDescent="0.25">
      <c r="E53" s="261" t="s">
        <v>103</v>
      </c>
      <c r="G53" s="238"/>
      <c r="H53" s="121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  <c r="Y53" s="121"/>
      <c r="Z53" s="121"/>
      <c r="AA53" s="121"/>
      <c r="AB53" s="121"/>
      <c r="AC53" s="121"/>
      <c r="AD53" s="121"/>
      <c r="AE53" s="121"/>
      <c r="AF53" s="121"/>
      <c r="AG53" s="121"/>
      <c r="AH53" s="121"/>
      <c r="AI53" s="121"/>
      <c r="AJ53" s="121"/>
      <c r="AK53" s="121"/>
      <c r="AL53" s="121"/>
      <c r="AM53" s="121"/>
      <c r="AN53" s="121"/>
      <c r="AO53" s="121"/>
      <c r="AP53" s="121"/>
      <c r="AQ53" s="338"/>
    </row>
    <row r="54" spans="4:43" x14ac:dyDescent="0.25">
      <c r="E54" s="167"/>
      <c r="F54" s="166" t="str">
        <f>$H$16</f>
        <v>2015/16</v>
      </c>
      <c r="G54" s="237" t="s">
        <v>111</v>
      </c>
      <c r="H54" s="201"/>
      <c r="I54" s="201"/>
      <c r="J54" s="511">
        <v>0.28856643221816713</v>
      </c>
      <c r="K54" s="511">
        <v>0.16100393206155494</v>
      </c>
      <c r="L54" s="511">
        <v>0.71695096835471372</v>
      </c>
      <c r="M54" s="511">
        <v>0.24477787970710471</v>
      </c>
      <c r="N54" s="511">
        <v>0.11992563349006803</v>
      </c>
      <c r="O54" s="511">
        <v>0.66013973858058261</v>
      </c>
      <c r="P54" s="511">
        <v>0.24920356325571066</v>
      </c>
      <c r="Q54" s="511">
        <v>0.13043986983070679</v>
      </c>
      <c r="R54" s="511">
        <v>0.27404782177197617</v>
      </c>
      <c r="S54" s="280"/>
      <c r="T54" s="280"/>
      <c r="U54" s="280"/>
      <c r="V54" s="280"/>
      <c r="W54" s="280"/>
      <c r="X54" s="511">
        <v>0.4104520095639303</v>
      </c>
      <c r="Y54" s="511">
        <v>0.7346024258072571</v>
      </c>
      <c r="Z54" s="511">
        <v>0.479500632665944</v>
      </c>
      <c r="AA54" s="511">
        <v>0.13207074637392777</v>
      </c>
      <c r="AB54" s="280"/>
      <c r="AC54" s="280"/>
      <c r="AD54" s="280"/>
      <c r="AE54" s="280"/>
      <c r="AF54" s="280"/>
      <c r="AG54" s="280"/>
      <c r="AH54" s="280"/>
      <c r="AI54" s="280"/>
      <c r="AJ54" s="280"/>
      <c r="AK54" s="280"/>
      <c r="AL54" s="280"/>
      <c r="AM54" s="280"/>
      <c r="AN54" s="280"/>
      <c r="AO54" s="280"/>
      <c r="AP54" s="280"/>
      <c r="AQ54" s="338"/>
    </row>
    <row r="55" spans="4:43" x14ac:dyDescent="0.25">
      <c r="E55" s="167"/>
      <c r="F55" s="339" t="str">
        <f>$H$17</f>
        <v>2016/17</v>
      </c>
      <c r="G55" s="238" t="s">
        <v>111</v>
      </c>
      <c r="H55" s="121"/>
      <c r="I55" s="121"/>
      <c r="J55" s="512">
        <v>0.28980095913460191</v>
      </c>
      <c r="K55" s="512">
        <v>0.16249802710272521</v>
      </c>
      <c r="L55" s="512">
        <v>0.71622681550216194</v>
      </c>
      <c r="M55" s="512">
        <v>0.24424121104555718</v>
      </c>
      <c r="N55" s="512">
        <v>0.12202053241244003</v>
      </c>
      <c r="O55" s="512">
        <v>0.66379834308561858</v>
      </c>
      <c r="P55" s="512">
        <v>0.24734997037658663</v>
      </c>
      <c r="Q55" s="512">
        <v>0.14463741694053303</v>
      </c>
      <c r="R55" s="512">
        <v>0.28234945379318094</v>
      </c>
      <c r="S55" s="281"/>
      <c r="T55" s="281"/>
      <c r="U55" s="281"/>
      <c r="V55" s="281"/>
      <c r="W55" s="281"/>
      <c r="X55" s="512">
        <v>0.41054914944628385</v>
      </c>
      <c r="Y55" s="512">
        <v>0.73567331355364751</v>
      </c>
      <c r="Z55" s="512">
        <v>0.48197175666001446</v>
      </c>
      <c r="AA55" s="512">
        <v>8.393097768968312E-2</v>
      </c>
      <c r="AB55" s="281"/>
      <c r="AC55" s="281"/>
      <c r="AD55" s="281"/>
      <c r="AE55" s="281"/>
      <c r="AF55" s="281"/>
      <c r="AG55" s="281"/>
      <c r="AH55" s="281"/>
      <c r="AI55" s="281"/>
      <c r="AJ55" s="281"/>
      <c r="AK55" s="281"/>
      <c r="AL55" s="281"/>
      <c r="AM55" s="281"/>
      <c r="AN55" s="281"/>
      <c r="AO55" s="281"/>
      <c r="AP55" s="281"/>
      <c r="AQ55" s="338"/>
    </row>
    <row r="56" spans="4:43" x14ac:dyDescent="0.25">
      <c r="E56" s="167"/>
      <c r="F56" s="168" t="str">
        <f>$H$18</f>
        <v>2017/18</v>
      </c>
      <c r="G56" s="239" t="s">
        <v>111</v>
      </c>
      <c r="H56" s="262"/>
      <c r="I56" s="262"/>
      <c r="J56" s="513">
        <v>0.28772573541422147</v>
      </c>
      <c r="K56" s="513">
        <v>0.16525927620032382</v>
      </c>
      <c r="L56" s="513">
        <v>0.71707846105155304</v>
      </c>
      <c r="M56" s="513">
        <v>0.24562972512436307</v>
      </c>
      <c r="N56" s="513">
        <v>0.1240185253618538</v>
      </c>
      <c r="O56" s="513">
        <v>0.75246390999577528</v>
      </c>
      <c r="P56" s="513">
        <v>0.24885949569624549</v>
      </c>
      <c r="Q56" s="513">
        <v>0.24885949569624549</v>
      </c>
      <c r="R56" s="513">
        <v>0.26586112611948853</v>
      </c>
      <c r="S56" s="282"/>
      <c r="T56" s="282"/>
      <c r="U56" s="282"/>
      <c r="V56" s="282"/>
      <c r="W56" s="282"/>
      <c r="X56" s="513">
        <v>0.41089165429843588</v>
      </c>
      <c r="Y56" s="513">
        <v>0.73592277108766235</v>
      </c>
      <c r="Z56" s="513">
        <v>0.4823165717334682</v>
      </c>
      <c r="AA56" s="513">
        <v>8.4362477097317645E-2</v>
      </c>
      <c r="AB56" s="282"/>
      <c r="AC56" s="282"/>
      <c r="AD56" s="282"/>
      <c r="AE56" s="282"/>
      <c r="AF56" s="282"/>
      <c r="AG56" s="282"/>
      <c r="AH56" s="282"/>
      <c r="AI56" s="282"/>
      <c r="AJ56" s="282"/>
      <c r="AK56" s="282"/>
      <c r="AL56" s="282"/>
      <c r="AM56" s="282"/>
      <c r="AN56" s="282"/>
      <c r="AO56" s="282"/>
      <c r="AP56" s="282"/>
      <c r="AQ56" s="338"/>
    </row>
    <row r="57" spans="4:43" x14ac:dyDescent="0.25">
      <c r="F57" s="168" t="s">
        <v>679</v>
      </c>
      <c r="G57" s="239" t="s">
        <v>111</v>
      </c>
      <c r="H57" s="262"/>
      <c r="I57" s="262"/>
      <c r="J57" s="492">
        <f>AVERAGE(J54:J56)</f>
        <v>0.28869770892233015</v>
      </c>
      <c r="K57" s="492">
        <f t="shared" ref="K57:R57" si="7">AVERAGE(K54:K56)</f>
        <v>0.16292041178820132</v>
      </c>
      <c r="L57" s="492">
        <f t="shared" si="7"/>
        <v>0.71675208163614279</v>
      </c>
      <c r="M57" s="492">
        <f t="shared" si="7"/>
        <v>0.24488293862567501</v>
      </c>
      <c r="N57" s="492">
        <f t="shared" si="7"/>
        <v>0.12198823042145396</v>
      </c>
      <c r="O57" s="492">
        <f t="shared" si="7"/>
        <v>0.69213399722065871</v>
      </c>
      <c r="P57" s="492">
        <f t="shared" si="7"/>
        <v>0.24847100977618095</v>
      </c>
      <c r="Q57" s="492">
        <f t="shared" si="7"/>
        <v>0.17464559415582845</v>
      </c>
      <c r="R57" s="492">
        <f t="shared" si="7"/>
        <v>0.2740861338948819</v>
      </c>
      <c r="S57" s="282"/>
      <c r="T57" s="282"/>
      <c r="U57" s="282"/>
      <c r="V57" s="282"/>
      <c r="W57" s="282"/>
      <c r="X57" s="492">
        <f t="shared" ref="X57:AA57" si="8">AVERAGE(X54:X56)</f>
        <v>0.41063093776955001</v>
      </c>
      <c r="Y57" s="492">
        <f t="shared" si="8"/>
        <v>0.73539950348285554</v>
      </c>
      <c r="Z57" s="492">
        <f t="shared" si="8"/>
        <v>0.48126298701980891</v>
      </c>
      <c r="AA57" s="492">
        <f t="shared" si="8"/>
        <v>0.10012140038697619</v>
      </c>
      <c r="AB57" s="282"/>
      <c r="AC57" s="282"/>
      <c r="AD57" s="282"/>
      <c r="AE57" s="282"/>
      <c r="AF57" s="282"/>
      <c r="AG57" s="282"/>
      <c r="AH57" s="282"/>
      <c r="AI57" s="282"/>
      <c r="AJ57" s="282"/>
      <c r="AK57" s="282"/>
      <c r="AL57" s="282"/>
      <c r="AM57" s="282"/>
      <c r="AN57" s="282"/>
      <c r="AO57" s="282"/>
      <c r="AP57" s="282"/>
      <c r="AQ57" s="338"/>
    </row>
    <row r="58" spans="4:43" x14ac:dyDescent="0.25">
      <c r="H58" s="200"/>
      <c r="I58" s="200"/>
      <c r="J58" s="200"/>
      <c r="K58" s="200"/>
      <c r="L58" s="200"/>
      <c r="M58" s="200"/>
      <c r="N58" s="200"/>
      <c r="O58" s="200"/>
      <c r="P58" s="200"/>
      <c r="Q58" s="200"/>
      <c r="R58" s="200"/>
      <c r="S58" s="200"/>
      <c r="T58" s="200"/>
      <c r="U58" s="200"/>
      <c r="V58" s="200"/>
      <c r="W58" s="200"/>
      <c r="X58" s="200"/>
      <c r="Y58" s="200"/>
      <c r="Z58" s="200"/>
      <c r="AA58" s="200"/>
      <c r="AB58" s="200"/>
      <c r="AC58" s="200"/>
      <c r="AD58" s="200"/>
      <c r="AE58" s="200"/>
      <c r="AF58" s="200"/>
      <c r="AG58" s="200"/>
      <c r="AH58" s="200"/>
      <c r="AI58" s="200"/>
      <c r="AJ58" s="200"/>
      <c r="AK58" s="200"/>
      <c r="AL58" s="200"/>
      <c r="AM58" s="200"/>
      <c r="AN58" s="200"/>
      <c r="AO58" s="200"/>
      <c r="AP58" s="200"/>
      <c r="AQ58" s="338"/>
    </row>
    <row r="59" spans="4:43" x14ac:dyDescent="0.25">
      <c r="D59" s="22" t="s">
        <v>152</v>
      </c>
      <c r="E59" s="22"/>
      <c r="F59" s="22"/>
      <c r="G59" s="297"/>
      <c r="H59" s="296"/>
      <c r="I59" s="296"/>
      <c r="J59" s="296"/>
      <c r="K59" s="296"/>
      <c r="L59" s="296"/>
      <c r="M59" s="296"/>
      <c r="N59" s="296"/>
      <c r="O59" s="296"/>
      <c r="P59" s="296"/>
      <c r="Q59" s="296"/>
      <c r="R59" s="296"/>
      <c r="S59" s="296"/>
      <c r="T59" s="296"/>
      <c r="U59" s="296"/>
      <c r="V59" s="296"/>
      <c r="W59" s="296"/>
      <c r="X59" s="296"/>
      <c r="Y59" s="296"/>
      <c r="Z59" s="296"/>
      <c r="AA59" s="296"/>
      <c r="AB59" s="296"/>
      <c r="AC59" s="296"/>
      <c r="AD59" s="296"/>
      <c r="AE59" s="296"/>
      <c r="AF59" s="296"/>
      <c r="AG59" s="296"/>
      <c r="AH59" s="296"/>
      <c r="AI59" s="296"/>
      <c r="AJ59" s="296"/>
      <c r="AK59" s="296"/>
      <c r="AL59" s="296"/>
      <c r="AM59" s="296"/>
      <c r="AN59" s="296"/>
      <c r="AO59" s="296"/>
      <c r="AP59" s="296"/>
      <c r="AQ59" s="338"/>
    </row>
    <row r="60" spans="4:43" x14ac:dyDescent="0.25">
      <c r="H60" s="200"/>
      <c r="I60" s="200"/>
      <c r="J60" s="200"/>
      <c r="K60" s="200"/>
      <c r="L60" s="200"/>
      <c r="M60" s="200"/>
      <c r="N60" s="200"/>
      <c r="O60" s="200"/>
      <c r="P60" s="200"/>
      <c r="Q60" s="200"/>
      <c r="R60" s="200"/>
      <c r="S60" s="200"/>
      <c r="T60" s="200"/>
      <c r="U60" s="200"/>
      <c r="V60" s="200"/>
      <c r="W60" s="200"/>
      <c r="X60" s="200"/>
      <c r="Y60" s="200"/>
      <c r="Z60" s="200"/>
      <c r="AA60" s="200"/>
      <c r="AB60" s="200"/>
      <c r="AC60" s="200"/>
      <c r="AD60" s="200"/>
      <c r="AE60" s="200"/>
      <c r="AF60" s="200"/>
      <c r="AG60" s="200"/>
      <c r="AH60" s="200"/>
      <c r="AI60" s="200"/>
      <c r="AJ60" s="200"/>
      <c r="AK60" s="200"/>
      <c r="AL60" s="200"/>
      <c r="AM60" s="200"/>
      <c r="AN60" s="200"/>
      <c r="AO60" s="200"/>
      <c r="AP60" s="200"/>
      <c r="AQ60" s="338"/>
    </row>
    <row r="61" spans="4:43" x14ac:dyDescent="0.25">
      <c r="E61" s="261" t="s">
        <v>630</v>
      </c>
      <c r="H61" s="200"/>
      <c r="I61" s="200"/>
      <c r="J61" s="200"/>
      <c r="K61" s="200"/>
      <c r="L61" s="200"/>
      <c r="M61" s="200"/>
      <c r="N61" s="200"/>
      <c r="O61" s="200"/>
      <c r="P61" s="200"/>
      <c r="Q61" s="200"/>
      <c r="R61" s="200"/>
      <c r="S61" s="200"/>
      <c r="T61" s="200"/>
      <c r="U61" s="200"/>
      <c r="V61" s="200"/>
      <c r="W61" s="200"/>
      <c r="X61" s="200"/>
      <c r="Y61" s="200"/>
      <c r="Z61" s="200"/>
      <c r="AA61" s="200"/>
      <c r="AB61" s="200"/>
      <c r="AC61" s="200"/>
      <c r="AD61" s="200"/>
      <c r="AE61" s="200"/>
      <c r="AF61" s="200"/>
      <c r="AG61" s="200"/>
      <c r="AH61" s="200"/>
      <c r="AI61" s="200"/>
      <c r="AJ61" s="200"/>
      <c r="AK61" s="200"/>
      <c r="AL61" s="200"/>
      <c r="AM61" s="200"/>
      <c r="AN61" s="200"/>
      <c r="AO61" s="200"/>
      <c r="AP61" s="200"/>
      <c r="AQ61" s="338"/>
    </row>
    <row r="62" spans="4:43" x14ac:dyDescent="0.25">
      <c r="E62" s="167"/>
      <c r="F62" s="166" t="str">
        <f>$H$16</f>
        <v>2015/16</v>
      </c>
      <c r="G62" s="237" t="s">
        <v>111</v>
      </c>
      <c r="H62" s="201"/>
      <c r="I62" s="201"/>
      <c r="J62" s="280"/>
      <c r="K62" s="511">
        <v>1.0827096044013717E-3</v>
      </c>
      <c r="L62" s="280"/>
      <c r="M62" s="280"/>
      <c r="N62" s="511">
        <v>1.9179122681080244E-7</v>
      </c>
      <c r="O62" s="280"/>
      <c r="P62" s="511">
        <v>0</v>
      </c>
      <c r="Q62" s="511">
        <v>0</v>
      </c>
      <c r="R62" s="511">
        <v>0</v>
      </c>
      <c r="S62" s="280"/>
      <c r="T62" s="280"/>
      <c r="U62" s="280"/>
      <c r="V62" s="280"/>
      <c r="W62" s="280"/>
      <c r="X62" s="280"/>
      <c r="Y62" s="280"/>
      <c r="Z62" s="280"/>
      <c r="AA62" s="280"/>
      <c r="AB62" s="280"/>
      <c r="AC62" s="280"/>
      <c r="AD62" s="280"/>
      <c r="AE62" s="280"/>
      <c r="AF62" s="280"/>
      <c r="AG62" s="280"/>
      <c r="AH62" s="280"/>
      <c r="AI62" s="280"/>
      <c r="AJ62" s="280"/>
      <c r="AK62" s="280"/>
      <c r="AL62" s="280"/>
      <c r="AM62" s="280"/>
      <c r="AN62" s="280"/>
      <c r="AO62" s="280"/>
      <c r="AP62" s="280"/>
      <c r="AQ62" s="338"/>
    </row>
    <row r="63" spans="4:43" x14ac:dyDescent="0.25">
      <c r="E63" s="167"/>
      <c r="F63" s="339" t="str">
        <f>$H$17</f>
        <v>2016/17</v>
      </c>
      <c r="G63" s="238" t="s">
        <v>111</v>
      </c>
      <c r="H63" s="121"/>
      <c r="I63" s="121"/>
      <c r="J63" s="281"/>
      <c r="K63" s="512">
        <v>1.0922341907242871E-3</v>
      </c>
      <c r="L63" s="281"/>
      <c r="M63" s="281"/>
      <c r="N63" s="512">
        <v>1.9076660470077641E-6</v>
      </c>
      <c r="O63" s="281"/>
      <c r="P63" s="512">
        <v>0</v>
      </c>
      <c r="Q63" s="512">
        <v>0</v>
      </c>
      <c r="R63" s="512" t="s">
        <v>1216</v>
      </c>
      <c r="S63" s="281"/>
      <c r="T63" s="281"/>
      <c r="U63" s="281"/>
      <c r="V63" s="281"/>
      <c r="W63" s="281"/>
      <c r="X63" s="281"/>
      <c r="Y63" s="281"/>
      <c r="Z63" s="281"/>
      <c r="AA63" s="281"/>
      <c r="AB63" s="281"/>
      <c r="AC63" s="281"/>
      <c r="AD63" s="281"/>
      <c r="AE63" s="281"/>
      <c r="AF63" s="281"/>
      <c r="AG63" s="281"/>
      <c r="AH63" s="281"/>
      <c r="AI63" s="281"/>
      <c r="AJ63" s="281"/>
      <c r="AK63" s="281"/>
      <c r="AL63" s="281"/>
      <c r="AM63" s="281"/>
      <c r="AN63" s="281"/>
      <c r="AO63" s="281"/>
      <c r="AP63" s="281"/>
      <c r="AQ63" s="338"/>
    </row>
    <row r="64" spans="4:43" x14ac:dyDescent="0.25">
      <c r="E64" s="167"/>
      <c r="F64" s="168" t="str">
        <f>$H$18</f>
        <v>2017/18</v>
      </c>
      <c r="G64" s="239" t="s">
        <v>111</v>
      </c>
      <c r="H64" s="262"/>
      <c r="I64" s="262"/>
      <c r="J64" s="282"/>
      <c r="K64" s="513">
        <v>1.0442181221448608E-3</v>
      </c>
      <c r="L64" s="282"/>
      <c r="M64" s="282"/>
      <c r="N64" s="513">
        <v>4.8008670922370312E-5</v>
      </c>
      <c r="O64" s="282"/>
      <c r="P64" s="513">
        <v>0</v>
      </c>
      <c r="Q64" s="513">
        <v>0</v>
      </c>
      <c r="R64" s="513" t="s">
        <v>1216</v>
      </c>
      <c r="S64" s="282"/>
      <c r="T64" s="282"/>
      <c r="U64" s="282"/>
      <c r="V64" s="282"/>
      <c r="W64" s="282"/>
      <c r="X64" s="282"/>
      <c r="Y64" s="282"/>
      <c r="Z64" s="282"/>
      <c r="AA64" s="282"/>
      <c r="AB64" s="282"/>
      <c r="AC64" s="282"/>
      <c r="AD64" s="282"/>
      <c r="AE64" s="282"/>
      <c r="AF64" s="282"/>
      <c r="AG64" s="282"/>
      <c r="AH64" s="282"/>
      <c r="AI64" s="282"/>
      <c r="AJ64" s="282"/>
      <c r="AK64" s="282"/>
      <c r="AL64" s="282"/>
      <c r="AM64" s="282"/>
      <c r="AN64" s="282"/>
      <c r="AO64" s="282"/>
      <c r="AP64" s="282"/>
      <c r="AQ64" s="338"/>
    </row>
    <row r="65" spans="4:43" x14ac:dyDescent="0.25">
      <c r="E65" s="167"/>
      <c r="F65" s="168" t="s">
        <v>679</v>
      </c>
      <c r="G65" s="239" t="s">
        <v>111</v>
      </c>
      <c r="H65" s="262"/>
      <c r="I65" s="262"/>
      <c r="J65" s="282"/>
      <c r="K65" s="492">
        <f t="shared" ref="K65" si="9">AVERAGE(K62:K64)</f>
        <v>1.0730539724235065E-3</v>
      </c>
      <c r="L65" s="282"/>
      <c r="M65" s="282"/>
      <c r="N65" s="492">
        <f t="shared" ref="N65" si="10">AVERAGE(N62:N64)</f>
        <v>1.6702709398729626E-5</v>
      </c>
      <c r="O65" s="282"/>
      <c r="P65" s="492">
        <f t="shared" ref="P65:R65" si="11">AVERAGE(P62:P64)</f>
        <v>0</v>
      </c>
      <c r="Q65" s="492">
        <f t="shared" si="11"/>
        <v>0</v>
      </c>
      <c r="R65" s="492">
        <f t="shared" si="11"/>
        <v>0</v>
      </c>
      <c r="S65" s="282"/>
      <c r="T65" s="282"/>
      <c r="U65" s="282"/>
      <c r="V65" s="282"/>
      <c r="W65" s="282"/>
      <c r="X65" s="282"/>
      <c r="Y65" s="282"/>
      <c r="Z65" s="282"/>
      <c r="AA65" s="282"/>
      <c r="AB65" s="282"/>
      <c r="AC65" s="282"/>
      <c r="AD65" s="282"/>
      <c r="AE65" s="282"/>
      <c r="AF65" s="282"/>
      <c r="AG65" s="282"/>
      <c r="AH65" s="282"/>
      <c r="AI65" s="282"/>
      <c r="AJ65" s="282"/>
      <c r="AK65" s="282"/>
      <c r="AL65" s="282"/>
      <c r="AM65" s="282"/>
      <c r="AN65" s="282"/>
      <c r="AO65" s="282"/>
      <c r="AP65" s="282"/>
      <c r="AQ65" s="338"/>
    </row>
    <row r="66" spans="4:43" x14ac:dyDescent="0.25">
      <c r="H66" s="200"/>
      <c r="I66" s="200"/>
      <c r="J66" s="200"/>
      <c r="K66" s="200"/>
      <c r="L66" s="200"/>
      <c r="M66" s="200"/>
      <c r="N66" s="200"/>
      <c r="O66" s="200"/>
      <c r="P66" s="200"/>
      <c r="Q66" s="200"/>
      <c r="R66" s="200"/>
      <c r="S66" s="200"/>
      <c r="T66" s="200"/>
      <c r="U66" s="200"/>
      <c r="V66" s="200"/>
      <c r="W66" s="200"/>
      <c r="X66" s="200"/>
      <c r="Y66" s="200"/>
      <c r="Z66" s="200"/>
      <c r="AA66" s="200"/>
      <c r="AB66" s="200"/>
      <c r="AC66" s="200"/>
      <c r="AD66" s="200"/>
      <c r="AE66" s="200"/>
      <c r="AF66" s="200"/>
      <c r="AG66" s="200"/>
      <c r="AH66" s="200"/>
      <c r="AI66" s="200"/>
      <c r="AJ66" s="200"/>
      <c r="AK66" s="200"/>
      <c r="AL66" s="200"/>
      <c r="AM66" s="200"/>
      <c r="AN66" s="200"/>
      <c r="AO66" s="200"/>
      <c r="AP66" s="200"/>
      <c r="AQ66" s="338"/>
    </row>
    <row r="67" spans="4:43" x14ac:dyDescent="0.25">
      <c r="E67" s="261" t="s">
        <v>631</v>
      </c>
      <c r="G67" s="238"/>
      <c r="H67" s="121"/>
      <c r="I67" s="121"/>
      <c r="J67" s="121"/>
      <c r="K67" s="121"/>
      <c r="L67" s="121"/>
      <c r="M67" s="121"/>
      <c r="N67" s="121"/>
      <c r="O67" s="121"/>
      <c r="P67" s="121"/>
      <c r="Q67" s="121"/>
      <c r="R67" s="121"/>
      <c r="S67" s="121"/>
      <c r="T67" s="121"/>
      <c r="U67" s="121"/>
      <c r="V67" s="121"/>
      <c r="W67" s="121"/>
      <c r="X67" s="121"/>
      <c r="Y67" s="121"/>
      <c r="Z67" s="121"/>
      <c r="AA67" s="121"/>
      <c r="AB67" s="121"/>
      <c r="AC67" s="121"/>
      <c r="AD67" s="121"/>
      <c r="AE67" s="121"/>
      <c r="AF67" s="121"/>
      <c r="AG67" s="121"/>
      <c r="AH67" s="121"/>
      <c r="AI67" s="121"/>
      <c r="AJ67" s="121"/>
      <c r="AK67" s="121"/>
      <c r="AL67" s="121"/>
      <c r="AM67" s="121"/>
      <c r="AN67" s="121"/>
      <c r="AO67" s="121"/>
      <c r="AP67" s="121"/>
      <c r="AQ67" s="338"/>
    </row>
    <row r="68" spans="4:43" x14ac:dyDescent="0.25">
      <c r="E68" s="167"/>
      <c r="F68" s="166" t="str">
        <f>$H$16</f>
        <v>2015/16</v>
      </c>
      <c r="G68" s="237" t="s">
        <v>111</v>
      </c>
      <c r="H68" s="201"/>
      <c r="I68" s="201"/>
      <c r="J68" s="280"/>
      <c r="K68" s="511">
        <v>4.5099360010800685E-2</v>
      </c>
      <c r="L68" s="280"/>
      <c r="M68" s="280"/>
      <c r="N68" s="511">
        <v>0.17107761448921346</v>
      </c>
      <c r="O68" s="280"/>
      <c r="P68" s="511">
        <v>7.7804110536300541E-2</v>
      </c>
      <c r="Q68" s="511">
        <v>7.9938508839354341E-2</v>
      </c>
      <c r="R68" s="511">
        <v>0.13496625843539115</v>
      </c>
      <c r="S68" s="514">
        <v>1</v>
      </c>
      <c r="T68" s="514">
        <v>1</v>
      </c>
      <c r="U68" s="514">
        <v>1</v>
      </c>
      <c r="V68" s="514">
        <v>1</v>
      </c>
      <c r="W68" s="514">
        <v>1</v>
      </c>
      <c r="X68" s="280"/>
      <c r="Y68" s="280"/>
      <c r="Z68" s="280"/>
      <c r="AA68" s="280"/>
      <c r="AB68" s="514">
        <v>1</v>
      </c>
      <c r="AC68" s="280"/>
      <c r="AD68" s="280"/>
      <c r="AE68" s="280"/>
      <c r="AF68" s="280"/>
      <c r="AG68" s="514">
        <v>1</v>
      </c>
      <c r="AH68" s="514">
        <v>1</v>
      </c>
      <c r="AI68" s="280"/>
      <c r="AJ68" s="280"/>
      <c r="AK68" s="514">
        <v>1</v>
      </c>
      <c r="AL68" s="514">
        <v>1</v>
      </c>
      <c r="AM68" s="280"/>
      <c r="AN68" s="280"/>
      <c r="AO68" s="514">
        <v>1</v>
      </c>
      <c r="AP68" s="514">
        <v>1</v>
      </c>
      <c r="AQ68" s="338"/>
    </row>
    <row r="69" spans="4:43" x14ac:dyDescent="0.25">
      <c r="E69" s="167"/>
      <c r="F69" s="339" t="str">
        <f>$H$17</f>
        <v>2016/17</v>
      </c>
      <c r="G69" s="238" t="s">
        <v>111</v>
      </c>
      <c r="H69" s="121"/>
      <c r="I69" s="121"/>
      <c r="J69" s="281"/>
      <c r="K69" s="512">
        <v>4.6519152412655744E-2</v>
      </c>
      <c r="L69" s="281"/>
      <c r="M69" s="281"/>
      <c r="N69" s="512">
        <v>0.16627513282864895</v>
      </c>
      <c r="O69" s="281"/>
      <c r="P69" s="512">
        <v>9.7296914548360591E-2</v>
      </c>
      <c r="Q69" s="512">
        <v>0.13734424400223172</v>
      </c>
      <c r="R69" s="512" t="s">
        <v>1216</v>
      </c>
      <c r="S69" s="515">
        <v>1</v>
      </c>
      <c r="T69" s="515">
        <v>1</v>
      </c>
      <c r="U69" s="515">
        <v>1</v>
      </c>
      <c r="V69" s="515">
        <v>1</v>
      </c>
      <c r="W69" s="515">
        <v>1</v>
      </c>
      <c r="X69" s="281"/>
      <c r="Y69" s="281"/>
      <c r="Z69" s="281"/>
      <c r="AA69" s="281"/>
      <c r="AB69" s="515">
        <v>1</v>
      </c>
      <c r="AC69" s="281"/>
      <c r="AD69" s="281"/>
      <c r="AE69" s="281"/>
      <c r="AF69" s="281"/>
      <c r="AG69" s="515">
        <v>1</v>
      </c>
      <c r="AH69" s="515">
        <v>1</v>
      </c>
      <c r="AI69" s="281"/>
      <c r="AJ69" s="281"/>
      <c r="AK69" s="515">
        <v>1</v>
      </c>
      <c r="AL69" s="515">
        <v>1</v>
      </c>
      <c r="AM69" s="281"/>
      <c r="AN69" s="281"/>
      <c r="AO69" s="515">
        <v>1</v>
      </c>
      <c r="AP69" s="515">
        <v>1</v>
      </c>
      <c r="AQ69" s="338"/>
    </row>
    <row r="70" spans="4:43" x14ac:dyDescent="0.25">
      <c r="E70" s="167"/>
      <c r="F70" s="168" t="str">
        <f>$H$18</f>
        <v>2017/18</v>
      </c>
      <c r="G70" s="239" t="s">
        <v>111</v>
      </c>
      <c r="H70" s="262"/>
      <c r="I70" s="262"/>
      <c r="J70" s="282"/>
      <c r="K70" s="513">
        <v>5.5697106771793077E-2</v>
      </c>
      <c r="L70" s="282"/>
      <c r="M70" s="282"/>
      <c r="N70" s="513">
        <v>0.24953102974765184</v>
      </c>
      <c r="O70" s="282"/>
      <c r="P70" s="513">
        <v>9.2201543649746254E-2</v>
      </c>
      <c r="Q70" s="513">
        <v>9.2201543649746254E-2</v>
      </c>
      <c r="R70" s="513" t="s">
        <v>1216</v>
      </c>
      <c r="S70" s="516">
        <v>1</v>
      </c>
      <c r="T70" s="516">
        <v>1</v>
      </c>
      <c r="U70" s="516">
        <v>1</v>
      </c>
      <c r="V70" s="516">
        <v>1</v>
      </c>
      <c r="W70" s="516">
        <v>1</v>
      </c>
      <c r="X70" s="282"/>
      <c r="Y70" s="282"/>
      <c r="Z70" s="282"/>
      <c r="AA70" s="282"/>
      <c r="AB70" s="516">
        <v>1</v>
      </c>
      <c r="AC70" s="282"/>
      <c r="AD70" s="282"/>
      <c r="AE70" s="282"/>
      <c r="AF70" s="282"/>
      <c r="AG70" s="516">
        <v>1</v>
      </c>
      <c r="AH70" s="516">
        <v>1</v>
      </c>
      <c r="AI70" s="282"/>
      <c r="AJ70" s="282"/>
      <c r="AK70" s="516">
        <v>1</v>
      </c>
      <c r="AL70" s="516">
        <v>1</v>
      </c>
      <c r="AM70" s="282"/>
      <c r="AN70" s="282"/>
      <c r="AO70" s="516">
        <v>1</v>
      </c>
      <c r="AP70" s="516">
        <v>1</v>
      </c>
      <c r="AQ70" s="338"/>
    </row>
    <row r="71" spans="4:43" x14ac:dyDescent="0.25">
      <c r="E71" s="167"/>
      <c r="F71" s="168" t="s">
        <v>679</v>
      </c>
      <c r="G71" s="239" t="s">
        <v>111</v>
      </c>
      <c r="H71" s="262"/>
      <c r="I71" s="262"/>
      <c r="J71" s="282"/>
      <c r="K71" s="492">
        <f t="shared" ref="K71" si="12">AVERAGE(K68:K70)</f>
        <v>4.91052063984165E-2</v>
      </c>
      <c r="L71" s="282"/>
      <c r="M71" s="282"/>
      <c r="N71" s="492">
        <f t="shared" ref="N71" si="13">AVERAGE(N68:N70)</f>
        <v>0.19562792568850473</v>
      </c>
      <c r="O71" s="282"/>
      <c r="P71" s="492">
        <f t="shared" ref="P71:W71" si="14">AVERAGE(P68:P70)</f>
        <v>8.9100856244802462E-2</v>
      </c>
      <c r="Q71" s="492">
        <f t="shared" si="14"/>
        <v>0.10316143216377743</v>
      </c>
      <c r="R71" s="492">
        <f t="shared" si="14"/>
        <v>0.13496625843539115</v>
      </c>
      <c r="S71" s="492">
        <f t="shared" si="14"/>
        <v>1</v>
      </c>
      <c r="T71" s="492">
        <f t="shared" si="14"/>
        <v>1</v>
      </c>
      <c r="U71" s="492">
        <f t="shared" si="14"/>
        <v>1</v>
      </c>
      <c r="V71" s="492">
        <f t="shared" si="14"/>
        <v>1</v>
      </c>
      <c r="W71" s="492">
        <f t="shared" si="14"/>
        <v>1</v>
      </c>
      <c r="X71" s="282"/>
      <c r="Y71" s="282"/>
      <c r="Z71" s="282"/>
      <c r="AA71" s="282"/>
      <c r="AB71" s="492">
        <f t="shared" ref="AB71" si="15">AVERAGE(AB68:AB70)</f>
        <v>1</v>
      </c>
      <c r="AC71" s="282"/>
      <c r="AD71" s="282"/>
      <c r="AE71" s="282"/>
      <c r="AF71" s="282"/>
      <c r="AG71" s="492">
        <f t="shared" ref="AG71:AH71" si="16">AVERAGE(AG68:AG70)</f>
        <v>1</v>
      </c>
      <c r="AH71" s="492">
        <f t="shared" si="16"/>
        <v>1</v>
      </c>
      <c r="AI71" s="282"/>
      <c r="AJ71" s="282"/>
      <c r="AK71" s="492">
        <f t="shared" ref="AK71:AL71" si="17">AVERAGE(AK68:AK70)</f>
        <v>1</v>
      </c>
      <c r="AL71" s="492">
        <f t="shared" si="17"/>
        <v>1</v>
      </c>
      <c r="AM71" s="282"/>
      <c r="AN71" s="282"/>
      <c r="AO71" s="492">
        <f t="shared" ref="AO71:AP71" si="18">AVERAGE(AO68:AO70)</f>
        <v>1</v>
      </c>
      <c r="AP71" s="492">
        <f t="shared" si="18"/>
        <v>1</v>
      </c>
      <c r="AQ71" s="338"/>
    </row>
    <row r="72" spans="4:43" x14ac:dyDescent="0.25">
      <c r="H72" s="200"/>
      <c r="I72" s="200"/>
      <c r="J72" s="200"/>
      <c r="K72" s="200"/>
      <c r="L72" s="200"/>
      <c r="M72" s="200"/>
      <c r="N72" s="200"/>
      <c r="O72" s="200"/>
      <c r="P72" s="200"/>
      <c r="Q72" s="200"/>
      <c r="R72" s="200"/>
      <c r="S72" s="200"/>
      <c r="T72" s="200"/>
      <c r="U72" s="200"/>
      <c r="V72" s="200"/>
      <c r="W72" s="200"/>
      <c r="X72" s="200"/>
      <c r="Y72" s="200"/>
      <c r="Z72" s="200"/>
      <c r="AA72" s="200"/>
      <c r="AB72" s="200"/>
      <c r="AC72" s="200"/>
      <c r="AD72" s="200"/>
      <c r="AE72" s="200"/>
      <c r="AF72" s="200"/>
      <c r="AG72" s="200"/>
      <c r="AH72" s="200"/>
      <c r="AI72" s="200"/>
      <c r="AJ72" s="200"/>
      <c r="AK72" s="200"/>
      <c r="AL72" s="200"/>
      <c r="AM72" s="200"/>
      <c r="AN72" s="200"/>
      <c r="AO72" s="200"/>
      <c r="AP72" s="200"/>
      <c r="AQ72" s="338"/>
    </row>
    <row r="73" spans="4:43" x14ac:dyDescent="0.25">
      <c r="E73" s="261" t="s">
        <v>103</v>
      </c>
      <c r="G73" s="238"/>
      <c r="H73" s="121"/>
      <c r="I73" s="121"/>
      <c r="J73" s="121"/>
      <c r="K73" s="121"/>
      <c r="L73" s="121"/>
      <c r="M73" s="121"/>
      <c r="N73" s="121"/>
      <c r="O73" s="121"/>
      <c r="P73" s="121"/>
      <c r="Q73" s="121"/>
      <c r="R73" s="121"/>
      <c r="S73" s="121"/>
      <c r="T73" s="121"/>
      <c r="U73" s="121"/>
      <c r="V73" s="121"/>
      <c r="W73" s="121"/>
      <c r="X73" s="121"/>
      <c r="Y73" s="121"/>
      <c r="Z73" s="121"/>
      <c r="AA73" s="121"/>
      <c r="AB73" s="121"/>
      <c r="AC73" s="121"/>
      <c r="AD73" s="121"/>
      <c r="AE73" s="121"/>
      <c r="AF73" s="121"/>
      <c r="AG73" s="121"/>
      <c r="AH73" s="121"/>
      <c r="AI73" s="121"/>
      <c r="AJ73" s="121"/>
      <c r="AK73" s="121"/>
      <c r="AL73" s="121"/>
      <c r="AM73" s="121"/>
      <c r="AN73" s="121"/>
      <c r="AO73" s="121"/>
      <c r="AP73" s="121"/>
      <c r="AQ73" s="338"/>
    </row>
    <row r="74" spans="4:43" x14ac:dyDescent="0.25">
      <c r="E74" s="167"/>
      <c r="F74" s="166" t="str">
        <f>$H$16</f>
        <v>2015/16</v>
      </c>
      <c r="G74" s="237" t="s">
        <v>111</v>
      </c>
      <c r="H74" s="201"/>
      <c r="I74" s="201"/>
      <c r="J74" s="280"/>
      <c r="K74" s="511">
        <v>0.9538179303847979</v>
      </c>
      <c r="L74" s="280"/>
      <c r="M74" s="280"/>
      <c r="N74" s="511">
        <v>0.82892219371955966</v>
      </c>
      <c r="O74" s="280"/>
      <c r="P74" s="511">
        <v>0.92219588946369946</v>
      </c>
      <c r="Q74" s="511">
        <v>0.92006149116064562</v>
      </c>
      <c r="R74" s="511">
        <v>0.86503374156460888</v>
      </c>
      <c r="S74" s="280"/>
      <c r="T74" s="280"/>
      <c r="U74" s="280"/>
      <c r="V74" s="280"/>
      <c r="W74" s="280"/>
      <c r="X74" s="280"/>
      <c r="Y74" s="280"/>
      <c r="Z74" s="280"/>
      <c r="AA74" s="280"/>
      <c r="AB74" s="280"/>
      <c r="AC74" s="280"/>
      <c r="AD74" s="280"/>
      <c r="AE74" s="280"/>
      <c r="AF74" s="280"/>
      <c r="AG74" s="280"/>
      <c r="AH74" s="280"/>
      <c r="AI74" s="280"/>
      <c r="AJ74" s="280"/>
      <c r="AK74" s="280"/>
      <c r="AL74" s="280"/>
      <c r="AM74" s="280"/>
      <c r="AN74" s="280"/>
      <c r="AO74" s="280"/>
      <c r="AP74" s="280"/>
      <c r="AQ74" s="338"/>
    </row>
    <row r="75" spans="4:43" x14ac:dyDescent="0.25">
      <c r="E75" s="167"/>
      <c r="F75" s="339" t="str">
        <f>$H$17</f>
        <v>2016/17</v>
      </c>
      <c r="G75" s="238" t="s">
        <v>111</v>
      </c>
      <c r="H75" s="121"/>
      <c r="I75" s="121"/>
      <c r="J75" s="281"/>
      <c r="K75" s="512">
        <v>0.95238861339661995</v>
      </c>
      <c r="L75" s="281"/>
      <c r="M75" s="281"/>
      <c r="N75" s="512">
        <v>0.83372295950530406</v>
      </c>
      <c r="O75" s="281"/>
      <c r="P75" s="512">
        <v>0.90270308545163935</v>
      </c>
      <c r="Q75" s="512">
        <v>0.86265575599776823</v>
      </c>
      <c r="R75" s="512" t="s">
        <v>1216</v>
      </c>
      <c r="S75" s="281"/>
      <c r="T75" s="281"/>
      <c r="U75" s="281"/>
      <c r="V75" s="281"/>
      <c r="W75" s="281"/>
      <c r="X75" s="281"/>
      <c r="Y75" s="281"/>
      <c r="Z75" s="281"/>
      <c r="AA75" s="281"/>
      <c r="AB75" s="281"/>
      <c r="AC75" s="281"/>
      <c r="AD75" s="281"/>
      <c r="AE75" s="281"/>
      <c r="AF75" s="281"/>
      <c r="AG75" s="281"/>
      <c r="AH75" s="281"/>
      <c r="AI75" s="281"/>
      <c r="AJ75" s="281"/>
      <c r="AK75" s="281"/>
      <c r="AL75" s="281"/>
      <c r="AM75" s="281"/>
      <c r="AN75" s="281"/>
      <c r="AO75" s="281"/>
      <c r="AP75" s="281"/>
      <c r="AQ75" s="338"/>
    </row>
    <row r="76" spans="4:43" x14ac:dyDescent="0.25">
      <c r="E76" s="167"/>
      <c r="F76" s="168" t="str">
        <f>$H$18</f>
        <v>2017/18</v>
      </c>
      <c r="G76" s="239" t="s">
        <v>111</v>
      </c>
      <c r="H76" s="262"/>
      <c r="I76" s="262"/>
      <c r="J76" s="282"/>
      <c r="K76" s="513">
        <v>0.94325867510606209</v>
      </c>
      <c r="L76" s="282"/>
      <c r="M76" s="282"/>
      <c r="N76" s="513">
        <v>0.75042096158142579</v>
      </c>
      <c r="O76" s="282"/>
      <c r="P76" s="513">
        <v>0.90779845635025369</v>
      </c>
      <c r="Q76" s="513">
        <v>0.90779845635025369</v>
      </c>
      <c r="R76" s="513" t="s">
        <v>1216</v>
      </c>
      <c r="S76" s="282"/>
      <c r="T76" s="282"/>
      <c r="U76" s="282"/>
      <c r="V76" s="282"/>
      <c r="W76" s="282"/>
      <c r="X76" s="282"/>
      <c r="Y76" s="282"/>
      <c r="Z76" s="282"/>
      <c r="AA76" s="282"/>
      <c r="AB76" s="282"/>
      <c r="AC76" s="282"/>
      <c r="AD76" s="282"/>
      <c r="AE76" s="282"/>
      <c r="AF76" s="282"/>
      <c r="AG76" s="282"/>
      <c r="AH76" s="282"/>
      <c r="AI76" s="282"/>
      <c r="AJ76" s="282"/>
      <c r="AK76" s="282"/>
      <c r="AL76" s="282"/>
      <c r="AM76" s="282"/>
      <c r="AN76" s="282"/>
      <c r="AO76" s="282"/>
      <c r="AP76" s="282"/>
      <c r="AQ76" s="338"/>
    </row>
    <row r="77" spans="4:43" x14ac:dyDescent="0.25">
      <c r="F77" s="168" t="s">
        <v>679</v>
      </c>
      <c r="G77" s="239" t="s">
        <v>111</v>
      </c>
      <c r="H77" s="262"/>
      <c r="I77" s="262"/>
      <c r="J77" s="282"/>
      <c r="K77" s="492">
        <f t="shared" ref="K77" si="19">AVERAGE(K74:K76)</f>
        <v>0.94982173962916006</v>
      </c>
      <c r="L77" s="282"/>
      <c r="M77" s="282"/>
      <c r="N77" s="492">
        <f t="shared" ref="N77" si="20">AVERAGE(N74:N76)</f>
        <v>0.80435537160209647</v>
      </c>
      <c r="O77" s="282"/>
      <c r="P77" s="492">
        <f t="shared" ref="P77:R77" si="21">AVERAGE(P74:P76)</f>
        <v>0.91089914375519754</v>
      </c>
      <c r="Q77" s="492">
        <f t="shared" si="21"/>
        <v>0.89683856783622262</v>
      </c>
      <c r="R77" s="492">
        <f t="shared" si="21"/>
        <v>0.86503374156460888</v>
      </c>
      <c r="S77" s="282"/>
      <c r="T77" s="282"/>
      <c r="U77" s="282"/>
      <c r="V77" s="282"/>
      <c r="W77" s="282"/>
      <c r="X77" s="282"/>
      <c r="Y77" s="282"/>
      <c r="Z77" s="282"/>
      <c r="AA77" s="282"/>
      <c r="AB77" s="282"/>
      <c r="AC77" s="282"/>
      <c r="AD77" s="282"/>
      <c r="AE77" s="282"/>
      <c r="AF77" s="282"/>
      <c r="AG77" s="282"/>
      <c r="AH77" s="282"/>
      <c r="AI77" s="282"/>
      <c r="AJ77" s="282"/>
      <c r="AK77" s="282"/>
      <c r="AL77" s="282"/>
      <c r="AM77" s="282"/>
      <c r="AN77" s="282"/>
      <c r="AO77" s="282"/>
      <c r="AP77" s="282"/>
      <c r="AQ77" s="338"/>
    </row>
    <row r="78" spans="4:43" x14ac:dyDescent="0.25">
      <c r="H78" s="200"/>
      <c r="I78" s="200"/>
      <c r="J78" s="200"/>
      <c r="K78" s="200"/>
      <c r="L78" s="200"/>
      <c r="M78" s="200"/>
      <c r="N78" s="200"/>
      <c r="O78" s="200"/>
      <c r="P78" s="200"/>
      <c r="Q78" s="200"/>
      <c r="R78" s="200"/>
      <c r="S78" s="200"/>
      <c r="T78" s="200"/>
      <c r="U78" s="200"/>
      <c r="V78" s="200"/>
      <c r="W78" s="200"/>
      <c r="X78" s="200"/>
      <c r="Y78" s="200"/>
      <c r="Z78" s="200"/>
      <c r="AA78" s="200"/>
      <c r="AB78" s="200"/>
      <c r="AC78" s="200"/>
      <c r="AD78" s="200"/>
      <c r="AE78" s="200"/>
      <c r="AF78" s="200"/>
      <c r="AG78" s="200"/>
      <c r="AH78" s="200"/>
      <c r="AI78" s="200"/>
      <c r="AJ78" s="200"/>
      <c r="AK78" s="200"/>
      <c r="AL78" s="200"/>
      <c r="AM78" s="200"/>
      <c r="AN78" s="200"/>
      <c r="AO78" s="200"/>
      <c r="AP78" s="200"/>
      <c r="AQ78" s="338"/>
    </row>
    <row r="79" spans="4:43" x14ac:dyDescent="0.25">
      <c r="D79" s="22" t="s">
        <v>153</v>
      </c>
      <c r="E79" s="22"/>
      <c r="F79" s="22"/>
      <c r="G79" s="297"/>
      <c r="H79" s="296"/>
      <c r="I79" s="296"/>
      <c r="J79" s="296"/>
      <c r="K79" s="296"/>
      <c r="L79" s="296"/>
      <c r="M79" s="296"/>
      <c r="N79" s="296"/>
      <c r="O79" s="296"/>
      <c r="P79" s="296"/>
      <c r="Q79" s="296"/>
      <c r="R79" s="296"/>
      <c r="S79" s="296"/>
      <c r="T79" s="296"/>
      <c r="U79" s="296"/>
      <c r="V79" s="296"/>
      <c r="W79" s="296"/>
      <c r="X79" s="296"/>
      <c r="Y79" s="296"/>
      <c r="Z79" s="296"/>
      <c r="AA79" s="296"/>
      <c r="AB79" s="296"/>
      <c r="AC79" s="296"/>
      <c r="AD79" s="296"/>
      <c r="AE79" s="296"/>
      <c r="AF79" s="296"/>
      <c r="AG79" s="296"/>
      <c r="AH79" s="296"/>
      <c r="AI79" s="296"/>
      <c r="AJ79" s="296"/>
      <c r="AK79" s="296"/>
      <c r="AL79" s="296"/>
      <c r="AM79" s="296"/>
      <c r="AN79" s="296"/>
      <c r="AO79" s="296"/>
      <c r="AP79" s="296"/>
      <c r="AQ79" s="338"/>
    </row>
    <row r="80" spans="4:43" x14ac:dyDescent="0.25">
      <c r="E80" s="172"/>
      <c r="H80" s="200"/>
      <c r="I80" s="200"/>
      <c r="J80" s="200"/>
      <c r="K80" s="200"/>
      <c r="L80" s="200"/>
      <c r="M80" s="200"/>
      <c r="N80" s="200"/>
      <c r="O80" s="200"/>
      <c r="P80" s="200"/>
      <c r="Q80" s="200"/>
      <c r="R80" s="200"/>
      <c r="S80" s="200"/>
      <c r="T80" s="200"/>
      <c r="U80" s="200"/>
      <c r="V80" s="200"/>
      <c r="W80" s="200"/>
      <c r="X80" s="200"/>
      <c r="Y80" s="200"/>
      <c r="Z80" s="200"/>
      <c r="AA80" s="200"/>
      <c r="AB80" s="200"/>
      <c r="AC80" s="200"/>
      <c r="AD80" s="200"/>
      <c r="AE80" s="200"/>
      <c r="AF80" s="200"/>
      <c r="AG80" s="200"/>
      <c r="AH80" s="200"/>
      <c r="AI80" s="200"/>
      <c r="AJ80" s="200"/>
      <c r="AK80" s="200"/>
      <c r="AL80" s="200"/>
      <c r="AM80" s="200"/>
      <c r="AN80" s="200"/>
      <c r="AO80" s="200"/>
      <c r="AP80" s="200"/>
      <c r="AQ80" s="338"/>
    </row>
    <row r="81" spans="5:43" x14ac:dyDescent="0.25">
      <c r="E81" s="261" t="s">
        <v>630</v>
      </c>
      <c r="H81" s="200"/>
      <c r="I81" s="200"/>
      <c r="J81" s="200"/>
      <c r="K81" s="200"/>
      <c r="L81" s="200"/>
      <c r="M81" s="200"/>
      <c r="N81" s="200"/>
      <c r="O81" s="200"/>
      <c r="P81" s="200"/>
      <c r="Q81" s="200"/>
      <c r="R81" s="200"/>
      <c r="S81" s="200"/>
      <c r="T81" s="200"/>
      <c r="U81" s="200"/>
      <c r="V81" s="200"/>
      <c r="W81" s="200"/>
      <c r="X81" s="200"/>
      <c r="Y81" s="200"/>
      <c r="Z81" s="200"/>
      <c r="AA81" s="200"/>
      <c r="AB81" s="200"/>
      <c r="AC81" s="200"/>
      <c r="AD81" s="200"/>
      <c r="AE81" s="200"/>
      <c r="AF81" s="200"/>
      <c r="AG81" s="200"/>
      <c r="AH81" s="200"/>
      <c r="AI81" s="200"/>
      <c r="AJ81" s="200"/>
      <c r="AK81" s="200"/>
      <c r="AL81" s="200"/>
      <c r="AM81" s="200"/>
      <c r="AN81" s="200"/>
      <c r="AO81" s="200"/>
      <c r="AP81" s="200"/>
      <c r="AQ81" s="338"/>
    </row>
    <row r="82" spans="5:43" x14ac:dyDescent="0.25">
      <c r="E82" s="167"/>
      <c r="F82" s="166" t="str">
        <f>$H$16</f>
        <v>2015/16</v>
      </c>
      <c r="G82" s="237" t="s">
        <v>111</v>
      </c>
      <c r="H82" s="201"/>
      <c r="I82" s="201"/>
      <c r="J82" s="280"/>
      <c r="K82" s="280"/>
      <c r="L82" s="280"/>
      <c r="M82" s="280"/>
      <c r="N82" s="280"/>
      <c r="O82" s="280"/>
      <c r="P82" s="280"/>
      <c r="Q82" s="280"/>
      <c r="R82" s="280"/>
      <c r="S82" s="280"/>
      <c r="T82" s="280"/>
      <c r="U82" s="280"/>
      <c r="V82" s="280"/>
      <c r="W82" s="280"/>
      <c r="X82" s="280"/>
      <c r="Y82" s="280"/>
      <c r="Z82" s="280"/>
      <c r="AA82" s="280"/>
      <c r="AB82" s="280"/>
      <c r="AC82" s="280"/>
      <c r="AD82" s="280"/>
      <c r="AE82" s="280"/>
      <c r="AF82" s="280"/>
      <c r="AG82" s="280"/>
      <c r="AH82" s="280"/>
      <c r="AI82" s="280"/>
      <c r="AJ82" s="280"/>
      <c r="AK82" s="280"/>
      <c r="AL82" s="280"/>
      <c r="AM82" s="280"/>
      <c r="AN82" s="280"/>
      <c r="AO82" s="280"/>
      <c r="AP82" s="280"/>
      <c r="AQ82" s="338"/>
    </row>
    <row r="83" spans="5:43" x14ac:dyDescent="0.25">
      <c r="E83" s="167"/>
      <c r="F83" s="339" t="str">
        <f>$H$17</f>
        <v>2016/17</v>
      </c>
      <c r="G83" s="238" t="s">
        <v>111</v>
      </c>
      <c r="H83" s="121"/>
      <c r="I83" s="121"/>
      <c r="J83" s="281"/>
      <c r="K83" s="281"/>
      <c r="L83" s="281"/>
      <c r="M83" s="281"/>
      <c r="N83" s="281"/>
      <c r="O83" s="281"/>
      <c r="P83" s="281"/>
      <c r="Q83" s="281"/>
      <c r="R83" s="281"/>
      <c r="S83" s="281"/>
      <c r="T83" s="281"/>
      <c r="U83" s="281"/>
      <c r="V83" s="281"/>
      <c r="W83" s="281"/>
      <c r="X83" s="281"/>
      <c r="Y83" s="281"/>
      <c r="Z83" s="281"/>
      <c r="AA83" s="281"/>
      <c r="AB83" s="281"/>
      <c r="AC83" s="281"/>
      <c r="AD83" s="281"/>
      <c r="AE83" s="281"/>
      <c r="AF83" s="281"/>
      <c r="AG83" s="281"/>
      <c r="AH83" s="281"/>
      <c r="AI83" s="281"/>
      <c r="AJ83" s="281"/>
      <c r="AK83" s="281"/>
      <c r="AL83" s="281"/>
      <c r="AM83" s="281"/>
      <c r="AN83" s="281"/>
      <c r="AO83" s="281"/>
      <c r="AP83" s="281"/>
      <c r="AQ83" s="338"/>
    </row>
    <row r="84" spans="5:43" x14ac:dyDescent="0.25">
      <c r="E84" s="167"/>
      <c r="F84" s="168" t="str">
        <f>$H$18</f>
        <v>2017/18</v>
      </c>
      <c r="G84" s="239" t="s">
        <v>111</v>
      </c>
      <c r="H84" s="262"/>
      <c r="I84" s="262"/>
      <c r="J84" s="282"/>
      <c r="K84" s="282"/>
      <c r="L84" s="282"/>
      <c r="M84" s="282"/>
      <c r="N84" s="282"/>
      <c r="O84" s="282"/>
      <c r="P84" s="282"/>
      <c r="Q84" s="282"/>
      <c r="R84" s="282"/>
      <c r="S84" s="282"/>
      <c r="T84" s="282"/>
      <c r="U84" s="282"/>
      <c r="V84" s="282"/>
      <c r="W84" s="282"/>
      <c r="X84" s="282"/>
      <c r="Y84" s="282"/>
      <c r="Z84" s="282"/>
      <c r="AA84" s="282"/>
      <c r="AB84" s="282"/>
      <c r="AC84" s="282"/>
      <c r="AD84" s="282"/>
      <c r="AE84" s="282"/>
      <c r="AF84" s="282"/>
      <c r="AG84" s="282"/>
      <c r="AH84" s="282"/>
      <c r="AI84" s="282"/>
      <c r="AJ84" s="282"/>
      <c r="AK84" s="282"/>
      <c r="AL84" s="282"/>
      <c r="AM84" s="282"/>
      <c r="AN84" s="282"/>
      <c r="AO84" s="282"/>
      <c r="AP84" s="282"/>
      <c r="AQ84" s="338"/>
    </row>
    <row r="85" spans="5:43" x14ac:dyDescent="0.25">
      <c r="E85" s="167"/>
      <c r="F85" s="168" t="s">
        <v>679</v>
      </c>
      <c r="G85" s="239" t="s">
        <v>111</v>
      </c>
      <c r="H85" s="262"/>
      <c r="I85" s="262"/>
      <c r="J85" s="282"/>
      <c r="K85" s="282"/>
      <c r="L85" s="282"/>
      <c r="M85" s="282"/>
      <c r="N85" s="282"/>
      <c r="O85" s="282"/>
      <c r="P85" s="282"/>
      <c r="Q85" s="282"/>
      <c r="R85" s="282"/>
      <c r="S85" s="282"/>
      <c r="T85" s="282"/>
      <c r="U85" s="282"/>
      <c r="V85" s="282"/>
      <c r="W85" s="282"/>
      <c r="X85" s="282"/>
      <c r="Y85" s="282"/>
      <c r="Z85" s="282"/>
      <c r="AA85" s="282"/>
      <c r="AB85" s="282"/>
      <c r="AC85" s="282"/>
      <c r="AD85" s="282"/>
      <c r="AE85" s="282"/>
      <c r="AF85" s="282"/>
      <c r="AG85" s="282"/>
      <c r="AH85" s="282"/>
      <c r="AI85" s="282"/>
      <c r="AJ85" s="282"/>
      <c r="AK85" s="282"/>
      <c r="AL85" s="282"/>
      <c r="AM85" s="282"/>
      <c r="AN85" s="282"/>
      <c r="AO85" s="282"/>
      <c r="AP85" s="282"/>
      <c r="AQ85" s="338"/>
    </row>
    <row r="86" spans="5:43" x14ac:dyDescent="0.25">
      <c r="E86" s="172"/>
      <c r="H86" s="200"/>
      <c r="I86" s="200"/>
      <c r="J86" s="200"/>
      <c r="K86" s="200"/>
      <c r="L86" s="200"/>
      <c r="M86" s="200"/>
      <c r="N86" s="200"/>
      <c r="O86" s="200"/>
      <c r="P86" s="200"/>
      <c r="Q86" s="200"/>
      <c r="R86" s="200"/>
      <c r="S86" s="200"/>
      <c r="T86" s="200"/>
      <c r="U86" s="200"/>
      <c r="V86" s="200"/>
      <c r="W86" s="200"/>
      <c r="X86" s="200"/>
      <c r="Y86" s="200"/>
      <c r="Z86" s="200"/>
      <c r="AA86" s="200"/>
      <c r="AB86" s="200"/>
      <c r="AC86" s="200"/>
      <c r="AD86" s="200"/>
      <c r="AE86" s="200"/>
      <c r="AF86" s="200"/>
      <c r="AG86" s="200"/>
      <c r="AH86" s="200"/>
      <c r="AI86" s="200"/>
      <c r="AJ86" s="200"/>
      <c r="AK86" s="200"/>
      <c r="AL86" s="200"/>
      <c r="AM86" s="200"/>
      <c r="AN86" s="200"/>
      <c r="AO86" s="200"/>
      <c r="AP86" s="200"/>
      <c r="AQ86" s="338"/>
    </row>
    <row r="87" spans="5:43" x14ac:dyDescent="0.25">
      <c r="E87" s="261" t="s">
        <v>631</v>
      </c>
      <c r="G87" s="238"/>
      <c r="H87" s="121"/>
      <c r="I87" s="121"/>
      <c r="J87" s="121"/>
      <c r="K87" s="121"/>
      <c r="L87" s="121"/>
      <c r="M87" s="121"/>
      <c r="N87" s="121"/>
      <c r="O87" s="121"/>
      <c r="P87" s="121"/>
      <c r="Q87" s="121"/>
      <c r="R87" s="121"/>
      <c r="S87" s="121"/>
      <c r="T87" s="121"/>
      <c r="U87" s="121"/>
      <c r="V87" s="121"/>
      <c r="W87" s="121"/>
      <c r="X87" s="121"/>
      <c r="Y87" s="121"/>
      <c r="Z87" s="121"/>
      <c r="AA87" s="121"/>
      <c r="AB87" s="121"/>
      <c r="AC87" s="121"/>
      <c r="AD87" s="121"/>
      <c r="AE87" s="121"/>
      <c r="AF87" s="121"/>
      <c r="AG87" s="121"/>
      <c r="AH87" s="121"/>
      <c r="AI87" s="121"/>
      <c r="AJ87" s="121"/>
      <c r="AK87" s="121"/>
      <c r="AL87" s="121"/>
      <c r="AM87" s="121"/>
      <c r="AN87" s="121"/>
      <c r="AO87" s="121"/>
      <c r="AP87" s="121"/>
      <c r="AQ87" s="338"/>
    </row>
    <row r="88" spans="5:43" x14ac:dyDescent="0.25">
      <c r="E88" s="167"/>
      <c r="F88" s="166" t="str">
        <f>$H$16</f>
        <v>2015/16</v>
      </c>
      <c r="G88" s="237" t="s">
        <v>111</v>
      </c>
      <c r="H88" s="201"/>
      <c r="I88" s="201"/>
      <c r="J88" s="280"/>
      <c r="K88" s="280"/>
      <c r="L88" s="280"/>
      <c r="M88" s="280"/>
      <c r="N88" s="280"/>
      <c r="O88" s="280"/>
      <c r="P88" s="280"/>
      <c r="Q88" s="280"/>
      <c r="R88" s="280"/>
      <c r="S88" s="280"/>
      <c r="T88" s="280"/>
      <c r="U88" s="280"/>
      <c r="V88" s="280"/>
      <c r="W88" s="280"/>
      <c r="X88" s="280"/>
      <c r="Y88" s="280"/>
      <c r="Z88" s="280"/>
      <c r="AA88" s="280"/>
      <c r="AB88" s="280"/>
      <c r="AC88" s="280"/>
      <c r="AD88" s="280"/>
      <c r="AE88" s="280"/>
      <c r="AF88" s="280"/>
      <c r="AG88" s="280"/>
      <c r="AH88" s="280"/>
      <c r="AI88" s="280"/>
      <c r="AJ88" s="280"/>
      <c r="AK88" s="280"/>
      <c r="AL88" s="280"/>
      <c r="AM88" s="280"/>
      <c r="AN88" s="280"/>
      <c r="AO88" s="280"/>
      <c r="AP88" s="280"/>
      <c r="AQ88" s="338"/>
    </row>
    <row r="89" spans="5:43" x14ac:dyDescent="0.25">
      <c r="E89" s="167"/>
      <c r="F89" s="339" t="str">
        <f>$H$17</f>
        <v>2016/17</v>
      </c>
      <c r="G89" s="238" t="s">
        <v>111</v>
      </c>
      <c r="H89" s="121"/>
      <c r="I89" s="121"/>
      <c r="J89" s="281"/>
      <c r="K89" s="281"/>
      <c r="L89" s="281"/>
      <c r="M89" s="281"/>
      <c r="N89" s="281"/>
      <c r="O89" s="281"/>
      <c r="P89" s="281"/>
      <c r="Q89" s="281"/>
      <c r="R89" s="281"/>
      <c r="S89" s="281"/>
      <c r="T89" s="281"/>
      <c r="U89" s="281"/>
      <c r="V89" s="281"/>
      <c r="W89" s="281"/>
      <c r="X89" s="281"/>
      <c r="Y89" s="281"/>
      <c r="Z89" s="281"/>
      <c r="AA89" s="281"/>
      <c r="AB89" s="281"/>
      <c r="AC89" s="281"/>
      <c r="AD89" s="281"/>
      <c r="AE89" s="281"/>
      <c r="AF89" s="281"/>
      <c r="AG89" s="281"/>
      <c r="AH89" s="281"/>
      <c r="AI89" s="281"/>
      <c r="AJ89" s="281"/>
      <c r="AK89" s="281"/>
      <c r="AL89" s="281"/>
      <c r="AM89" s="281"/>
      <c r="AN89" s="281"/>
      <c r="AO89" s="281"/>
      <c r="AP89" s="281"/>
      <c r="AQ89" s="338"/>
    </row>
    <row r="90" spans="5:43" x14ac:dyDescent="0.25">
      <c r="E90" s="167"/>
      <c r="F90" s="168" t="str">
        <f>$H$18</f>
        <v>2017/18</v>
      </c>
      <c r="G90" s="239" t="s">
        <v>111</v>
      </c>
      <c r="H90" s="262"/>
      <c r="I90" s="262"/>
      <c r="J90" s="282"/>
      <c r="K90" s="282"/>
      <c r="L90" s="282"/>
      <c r="M90" s="282"/>
      <c r="N90" s="282"/>
      <c r="O90" s="282"/>
      <c r="P90" s="282"/>
      <c r="Q90" s="282"/>
      <c r="R90" s="282"/>
      <c r="S90" s="282"/>
      <c r="T90" s="282"/>
      <c r="U90" s="282"/>
      <c r="V90" s="282"/>
      <c r="W90" s="282"/>
      <c r="X90" s="282"/>
      <c r="Y90" s="282"/>
      <c r="Z90" s="282"/>
      <c r="AA90" s="282"/>
      <c r="AB90" s="282"/>
      <c r="AC90" s="282"/>
      <c r="AD90" s="282"/>
      <c r="AE90" s="282"/>
      <c r="AF90" s="282"/>
      <c r="AG90" s="282"/>
      <c r="AH90" s="282"/>
      <c r="AI90" s="282"/>
      <c r="AJ90" s="282"/>
      <c r="AK90" s="282"/>
      <c r="AL90" s="282"/>
      <c r="AM90" s="282"/>
      <c r="AN90" s="282"/>
      <c r="AO90" s="282"/>
      <c r="AP90" s="282"/>
      <c r="AQ90" s="338"/>
    </row>
    <row r="91" spans="5:43" x14ac:dyDescent="0.25">
      <c r="E91" s="167"/>
      <c r="F91" s="168" t="s">
        <v>679</v>
      </c>
      <c r="G91" s="239" t="s">
        <v>111</v>
      </c>
      <c r="H91" s="262"/>
      <c r="I91" s="262"/>
      <c r="J91" s="282"/>
      <c r="K91" s="282"/>
      <c r="L91" s="282"/>
      <c r="M91" s="282"/>
      <c r="N91" s="282"/>
      <c r="O91" s="282"/>
      <c r="P91" s="282"/>
      <c r="Q91" s="282"/>
      <c r="R91" s="282"/>
      <c r="S91" s="282"/>
      <c r="T91" s="282"/>
      <c r="U91" s="282"/>
      <c r="V91" s="282"/>
      <c r="W91" s="282"/>
      <c r="X91" s="282"/>
      <c r="Y91" s="282"/>
      <c r="Z91" s="282"/>
      <c r="AA91" s="282"/>
      <c r="AB91" s="282"/>
      <c r="AC91" s="282"/>
      <c r="AD91" s="282"/>
      <c r="AE91" s="282"/>
      <c r="AF91" s="282"/>
      <c r="AG91" s="282"/>
      <c r="AH91" s="282"/>
      <c r="AI91" s="282"/>
      <c r="AJ91" s="282"/>
      <c r="AK91" s="282"/>
      <c r="AL91" s="282"/>
      <c r="AM91" s="282"/>
      <c r="AN91" s="282"/>
      <c r="AO91" s="282"/>
      <c r="AP91" s="282"/>
      <c r="AQ91" s="338"/>
    </row>
    <row r="92" spans="5:43" x14ac:dyDescent="0.25">
      <c r="E92" s="172"/>
      <c r="H92" s="200"/>
      <c r="I92" s="200"/>
      <c r="J92" s="200"/>
      <c r="K92" s="200"/>
      <c r="L92" s="200"/>
      <c r="M92" s="200"/>
      <c r="N92" s="200"/>
      <c r="O92" s="200"/>
      <c r="P92" s="200"/>
      <c r="Q92" s="200"/>
      <c r="R92" s="200"/>
      <c r="S92" s="200"/>
      <c r="T92" s="200"/>
      <c r="U92" s="200"/>
      <c r="V92" s="200"/>
      <c r="W92" s="200"/>
      <c r="X92" s="200"/>
      <c r="Y92" s="200"/>
      <c r="Z92" s="200"/>
      <c r="AA92" s="200"/>
      <c r="AB92" s="200"/>
      <c r="AC92" s="200"/>
      <c r="AD92" s="200"/>
      <c r="AE92" s="200"/>
      <c r="AF92" s="200"/>
      <c r="AG92" s="200"/>
      <c r="AH92" s="200"/>
      <c r="AI92" s="200"/>
      <c r="AJ92" s="200"/>
      <c r="AK92" s="200"/>
      <c r="AL92" s="200"/>
      <c r="AM92" s="200"/>
      <c r="AN92" s="200"/>
      <c r="AO92" s="200"/>
      <c r="AP92" s="200"/>
      <c r="AQ92" s="338"/>
    </row>
    <row r="93" spans="5:43" x14ac:dyDescent="0.25">
      <c r="E93" s="261" t="s">
        <v>103</v>
      </c>
      <c r="G93" s="238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W93" s="121"/>
      <c r="X93" s="121"/>
      <c r="Y93" s="121"/>
      <c r="Z93" s="121"/>
      <c r="AA93" s="121"/>
      <c r="AB93" s="121"/>
      <c r="AC93" s="121"/>
      <c r="AD93" s="121"/>
      <c r="AE93" s="121"/>
      <c r="AF93" s="121"/>
      <c r="AG93" s="121"/>
      <c r="AH93" s="121"/>
      <c r="AI93" s="121"/>
      <c r="AJ93" s="121"/>
      <c r="AK93" s="121"/>
      <c r="AL93" s="121"/>
      <c r="AM93" s="121"/>
      <c r="AN93" s="121"/>
      <c r="AO93" s="121"/>
      <c r="AP93" s="121"/>
      <c r="AQ93" s="338"/>
    </row>
    <row r="94" spans="5:43" x14ac:dyDescent="0.25">
      <c r="E94" s="167"/>
      <c r="F94" s="166" t="str">
        <f>$H$16</f>
        <v>2015/16</v>
      </c>
      <c r="G94" s="237" t="s">
        <v>111</v>
      </c>
      <c r="H94" s="201"/>
      <c r="I94" s="201"/>
      <c r="J94" s="280"/>
      <c r="K94" s="280"/>
      <c r="L94" s="280"/>
      <c r="M94" s="280"/>
      <c r="N94" s="280"/>
      <c r="O94" s="280"/>
      <c r="P94" s="280"/>
      <c r="Q94" s="280"/>
      <c r="R94" s="280"/>
      <c r="S94" s="514">
        <v>1</v>
      </c>
      <c r="T94" s="514">
        <v>1</v>
      </c>
      <c r="U94" s="514">
        <v>1</v>
      </c>
      <c r="V94" s="514">
        <v>1</v>
      </c>
      <c r="W94" s="514">
        <v>1</v>
      </c>
      <c r="X94" s="280"/>
      <c r="Y94" s="280"/>
      <c r="Z94" s="280"/>
      <c r="AA94" s="280"/>
      <c r="AB94" s="514">
        <v>1</v>
      </c>
      <c r="AC94" s="280"/>
      <c r="AD94" s="280"/>
      <c r="AE94" s="280"/>
      <c r="AF94" s="280"/>
      <c r="AG94" s="514">
        <v>1</v>
      </c>
      <c r="AH94" s="514">
        <v>1</v>
      </c>
      <c r="AI94" s="280"/>
      <c r="AJ94" s="280"/>
      <c r="AK94" s="514">
        <v>1</v>
      </c>
      <c r="AL94" s="514">
        <v>1</v>
      </c>
      <c r="AM94" s="280"/>
      <c r="AN94" s="280"/>
      <c r="AO94" s="514">
        <v>1</v>
      </c>
      <c r="AP94" s="514">
        <v>1</v>
      </c>
      <c r="AQ94" s="338"/>
    </row>
    <row r="95" spans="5:43" x14ac:dyDescent="0.25">
      <c r="E95" s="167"/>
      <c r="F95" s="339" t="str">
        <f>$H$17</f>
        <v>2016/17</v>
      </c>
      <c r="G95" s="238" t="s">
        <v>111</v>
      </c>
      <c r="H95" s="121"/>
      <c r="I95" s="121"/>
      <c r="J95" s="281"/>
      <c r="K95" s="281"/>
      <c r="L95" s="281"/>
      <c r="M95" s="281"/>
      <c r="N95" s="281"/>
      <c r="O95" s="281"/>
      <c r="P95" s="281"/>
      <c r="Q95" s="281"/>
      <c r="R95" s="281"/>
      <c r="S95" s="515">
        <v>1</v>
      </c>
      <c r="T95" s="515">
        <v>1</v>
      </c>
      <c r="U95" s="515">
        <v>1</v>
      </c>
      <c r="V95" s="515">
        <v>1</v>
      </c>
      <c r="W95" s="515">
        <v>1</v>
      </c>
      <c r="X95" s="281"/>
      <c r="Y95" s="281"/>
      <c r="Z95" s="281"/>
      <c r="AA95" s="281"/>
      <c r="AB95" s="515">
        <v>1</v>
      </c>
      <c r="AC95" s="281"/>
      <c r="AD95" s="281"/>
      <c r="AE95" s="281"/>
      <c r="AF95" s="281"/>
      <c r="AG95" s="515">
        <v>1</v>
      </c>
      <c r="AH95" s="515">
        <v>1</v>
      </c>
      <c r="AI95" s="281"/>
      <c r="AJ95" s="281"/>
      <c r="AK95" s="515">
        <v>1</v>
      </c>
      <c r="AL95" s="515">
        <v>1</v>
      </c>
      <c r="AM95" s="281"/>
      <c r="AN95" s="281"/>
      <c r="AO95" s="515">
        <v>1</v>
      </c>
      <c r="AP95" s="515">
        <v>1</v>
      </c>
      <c r="AQ95" s="338"/>
    </row>
    <row r="96" spans="5:43" x14ac:dyDescent="0.25">
      <c r="E96" s="167"/>
      <c r="F96" s="168" t="str">
        <f>$H$18</f>
        <v>2017/18</v>
      </c>
      <c r="G96" s="239" t="s">
        <v>111</v>
      </c>
      <c r="H96" s="262"/>
      <c r="I96" s="262"/>
      <c r="J96" s="282"/>
      <c r="K96" s="282"/>
      <c r="L96" s="282"/>
      <c r="M96" s="282"/>
      <c r="N96" s="282"/>
      <c r="O96" s="282"/>
      <c r="P96" s="282"/>
      <c r="Q96" s="282"/>
      <c r="R96" s="282"/>
      <c r="S96" s="516">
        <v>1</v>
      </c>
      <c r="T96" s="516">
        <v>1</v>
      </c>
      <c r="U96" s="516">
        <v>1</v>
      </c>
      <c r="V96" s="516">
        <v>1</v>
      </c>
      <c r="W96" s="516">
        <v>1</v>
      </c>
      <c r="X96" s="282"/>
      <c r="Y96" s="282"/>
      <c r="Z96" s="282"/>
      <c r="AA96" s="282"/>
      <c r="AB96" s="516">
        <v>1</v>
      </c>
      <c r="AC96" s="282"/>
      <c r="AD96" s="282"/>
      <c r="AE96" s="282"/>
      <c r="AF96" s="282"/>
      <c r="AG96" s="516">
        <v>1</v>
      </c>
      <c r="AH96" s="516">
        <v>1</v>
      </c>
      <c r="AI96" s="282"/>
      <c r="AJ96" s="282"/>
      <c r="AK96" s="516">
        <v>1</v>
      </c>
      <c r="AL96" s="516">
        <v>1</v>
      </c>
      <c r="AM96" s="282"/>
      <c r="AN96" s="282"/>
      <c r="AO96" s="516">
        <v>1</v>
      </c>
      <c r="AP96" s="516">
        <v>1</v>
      </c>
      <c r="AQ96" s="338"/>
    </row>
    <row r="97" spans="2:43" x14ac:dyDescent="0.25">
      <c r="F97" s="168" t="s">
        <v>679</v>
      </c>
      <c r="G97" s="239" t="s">
        <v>111</v>
      </c>
      <c r="H97" s="262"/>
      <c r="I97" s="262"/>
      <c r="J97" s="282"/>
      <c r="K97" s="282"/>
      <c r="L97" s="282"/>
      <c r="M97" s="282"/>
      <c r="N97" s="282"/>
      <c r="O97" s="282"/>
      <c r="P97" s="282"/>
      <c r="Q97" s="282"/>
      <c r="R97" s="282"/>
      <c r="S97" s="492">
        <f t="shared" ref="S97:W97" si="22">AVERAGE(S94:S96)</f>
        <v>1</v>
      </c>
      <c r="T97" s="492">
        <f t="shared" si="22"/>
        <v>1</v>
      </c>
      <c r="U97" s="492">
        <f t="shared" si="22"/>
        <v>1</v>
      </c>
      <c r="V97" s="492">
        <f t="shared" si="22"/>
        <v>1</v>
      </c>
      <c r="W97" s="492">
        <f t="shared" si="22"/>
        <v>1</v>
      </c>
      <c r="X97" s="282"/>
      <c r="Y97" s="282"/>
      <c r="Z97" s="282"/>
      <c r="AA97" s="282"/>
      <c r="AB97" s="492">
        <f t="shared" ref="AB97" si="23">AVERAGE(AB94:AB96)</f>
        <v>1</v>
      </c>
      <c r="AC97" s="282"/>
      <c r="AD97" s="282"/>
      <c r="AE97" s="282"/>
      <c r="AF97" s="282"/>
      <c r="AG97" s="492">
        <f t="shared" ref="AG97:AH97" si="24">AVERAGE(AG94:AG96)</f>
        <v>1</v>
      </c>
      <c r="AH97" s="492">
        <f t="shared" si="24"/>
        <v>1</v>
      </c>
      <c r="AI97" s="282"/>
      <c r="AJ97" s="282"/>
      <c r="AK97" s="492">
        <f t="shared" ref="AK97:AL97" si="25">AVERAGE(AK94:AK96)</f>
        <v>1</v>
      </c>
      <c r="AL97" s="492">
        <f t="shared" si="25"/>
        <v>1</v>
      </c>
      <c r="AM97" s="282"/>
      <c r="AN97" s="282"/>
      <c r="AO97" s="492">
        <f t="shared" ref="AO97:AP97" si="26">AVERAGE(AO94:AO96)</f>
        <v>1</v>
      </c>
      <c r="AP97" s="492">
        <f t="shared" si="26"/>
        <v>1</v>
      </c>
      <c r="AQ97" s="338"/>
    </row>
    <row r="98" spans="2:43" x14ac:dyDescent="0.25">
      <c r="D98" s="35"/>
      <c r="AQ98" s="338"/>
    </row>
    <row r="99" spans="2:43" x14ac:dyDescent="0.25">
      <c r="B99" s="171" t="s">
        <v>127</v>
      </c>
      <c r="C99" s="171"/>
      <c r="D99" s="171"/>
      <c r="E99" s="171"/>
      <c r="F99" s="171"/>
      <c r="G99" s="236"/>
      <c r="H99" s="171"/>
      <c r="I99" s="171"/>
      <c r="J99" s="171"/>
      <c r="K99" s="171"/>
      <c r="L99" s="171"/>
      <c r="M99" s="171"/>
      <c r="N99" s="171"/>
      <c r="O99" s="171"/>
      <c r="P99" s="171"/>
      <c r="Q99" s="171"/>
      <c r="R99" s="171"/>
      <c r="S99" s="171"/>
      <c r="T99" s="171"/>
      <c r="U99" s="171"/>
      <c r="V99" s="171"/>
      <c r="W99" s="171"/>
      <c r="X99" s="171"/>
      <c r="Y99" s="171"/>
      <c r="Z99" s="171"/>
      <c r="AA99" s="171"/>
      <c r="AB99" s="171"/>
      <c r="AC99" s="171"/>
      <c r="AD99" s="171"/>
      <c r="AE99" s="171"/>
      <c r="AF99" s="171"/>
      <c r="AG99" s="171"/>
      <c r="AH99" s="171"/>
      <c r="AI99" s="171"/>
      <c r="AJ99" s="171"/>
      <c r="AK99" s="171"/>
      <c r="AL99" s="171"/>
      <c r="AM99" s="171"/>
      <c r="AN99" s="171"/>
      <c r="AO99" s="171"/>
      <c r="AP99" s="171"/>
      <c r="AQ99" s="338"/>
    </row>
    <row r="100" spans="2:43" x14ac:dyDescent="0.25">
      <c r="AQ100" s="338"/>
    </row>
    <row r="101" spans="2:43" x14ac:dyDescent="0.25">
      <c r="AQ101" s="338"/>
    </row>
    <row r="102" spans="2:43" x14ac:dyDescent="0.25">
      <c r="AQ102" s="338"/>
    </row>
    <row r="103" spans="2:43" x14ac:dyDescent="0.25">
      <c r="AQ103" s="338"/>
    </row>
    <row r="104" spans="2:43" x14ac:dyDescent="0.25">
      <c r="AQ104" s="338"/>
    </row>
    <row r="105" spans="2:43" x14ac:dyDescent="0.25">
      <c r="AQ105" s="338"/>
    </row>
    <row r="106" spans="2:43" x14ac:dyDescent="0.25">
      <c r="AQ106" s="338"/>
    </row>
    <row r="107" spans="2:43" x14ac:dyDescent="0.25">
      <c r="AQ107" s="338"/>
    </row>
    <row r="108" spans="2:43" x14ac:dyDescent="0.25">
      <c r="AQ108" s="338"/>
    </row>
    <row r="109" spans="2:43" x14ac:dyDescent="0.25">
      <c r="AQ109" s="338"/>
    </row>
  </sheetData>
  <sheetProtection sheet="1" objects="1" formatCells="0" formatColumns="0" formatRows="0" sort="0" autoFilter="0"/>
  <dataValidations count="2">
    <dataValidation type="decimal" allowBlank="1" showInputMessage="1" showErrorMessage="1" errorTitle="Invalid load factor" error="The load factor must be between 0% and 100%." sqref="J29:AB31 J23:AB25">
      <formula1>0</formula1>
      <formula2>1</formula2>
    </dataValidation>
    <dataValidation type="decimal" allowBlank="1" showInputMessage="1" showErrorMessage="1" errorTitle="Invalid coincidence factor" error="Invalid coincidence factor (unused cell or not between 0% and 100%)." sqref="AC29:AP31 AC23:AP25">
      <formula1>0</formula1>
      <formula2>1</formula2>
    </dataValidation>
  </dataValidations>
  <hyperlinks>
    <hyperlink ref="B5:F5" location="'Model map'!A1" display="Click here to return to model map"/>
  </hyperlinks>
  <pageMargins left="0.7" right="0.7" top="0.75" bottom="0.75" header="0.3" footer="0.3"/>
  <pageSetup paperSize="9" fitToHeight="0" orientation="portrait" r:id="rId1"/>
  <headerFooter>
    <oddHeader>&amp;L&amp;A&amp;C&amp;R&amp;P of &amp;N</oddHeader>
    <oddFooter>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>
    <tabColor theme="6" tint="0.39997558519241921"/>
    <pageSetUpPr fitToPage="1"/>
  </sheetPr>
  <dimension ref="A1:KO47"/>
  <sheetViews>
    <sheetView showGridLines="0" zoomScale="80" zoomScaleNormal="80" workbookViewId="0">
      <pane xSplit="9" ySplit="5" topLeftCell="J6" activePane="bottomRight" state="frozen"/>
      <selection activeCell="A3" sqref="A3"/>
      <selection pane="topRight" activeCell="A3" sqref="A3"/>
      <selection pane="bottomLeft" activeCell="A3" sqref="A3"/>
      <selection pane="bottomRight" activeCell="J19" sqref="J19"/>
    </sheetView>
  </sheetViews>
  <sheetFormatPr defaultColWidth="0" defaultRowHeight="15" x14ac:dyDescent="0.25"/>
  <cols>
    <col min="1" max="5" width="2.7109375" style="160" customWidth="1"/>
    <col min="6" max="6" width="59.5703125" style="160" customWidth="1"/>
    <col min="7" max="7" width="15.42578125" style="194" customWidth="1"/>
    <col min="8" max="8" width="19.85546875" style="160" bestFit="1" customWidth="1"/>
    <col min="9" max="9" width="2.28515625" style="160" customWidth="1"/>
    <col min="10" max="19" width="17" style="160" customWidth="1"/>
    <col min="20" max="20" width="2.28515625" style="160" customWidth="1"/>
    <col min="21" max="301" width="20.7109375" style="160" hidden="1" customWidth="1"/>
    <col min="302" max="16384" width="9.140625" style="160" hidden="1"/>
  </cols>
  <sheetData>
    <row r="1" spans="1:19" s="25" customFormat="1" x14ac:dyDescent="0.25">
      <c r="A1" s="25" t="str">
        <f ca="1">MID(CELL("filename",A1),FIND("]",CELL("filename",A1))+1,255)</f>
        <v>ARP_Peaking probabilities</v>
      </c>
      <c r="G1" s="331"/>
    </row>
    <row r="2" spans="1:19" s="25" customFormat="1" x14ac:dyDescent="0.25">
      <c r="A2" s="25" t="str">
        <f>Cover!D21&amp;" - "&amp;Cover!D23</f>
        <v>SEPD - Final</v>
      </c>
      <c r="G2" s="331"/>
    </row>
    <row r="3" spans="1:19" s="97" customFormat="1" x14ac:dyDescent="0.25">
      <c r="A3" s="97" t="str">
        <f>Cover!D2&amp;" - "&amp;Cover!D8&amp;" v"&amp;Cover!D10&amp;" - "&amp;Cover!D19</f>
        <v>ARP model - Release for charge setting v3 - 2020/21</v>
      </c>
      <c r="G3" s="477"/>
    </row>
    <row r="5" spans="1:19" x14ac:dyDescent="0.25">
      <c r="B5" s="244" t="s">
        <v>667</v>
      </c>
      <c r="C5" s="24"/>
      <c r="D5" s="24"/>
      <c r="E5" s="24"/>
      <c r="F5" s="24"/>
      <c r="G5" s="1" t="s">
        <v>108</v>
      </c>
      <c r="H5" s="2" t="s">
        <v>109</v>
      </c>
      <c r="I5" s="200"/>
      <c r="J5" s="26" t="s">
        <v>397</v>
      </c>
      <c r="K5" s="26" t="s">
        <v>43</v>
      </c>
      <c r="L5" s="26" t="s">
        <v>44</v>
      </c>
      <c r="M5" s="26" t="s">
        <v>45</v>
      </c>
      <c r="N5" s="26" t="s">
        <v>46</v>
      </c>
      <c r="O5" s="26" t="s">
        <v>47</v>
      </c>
      <c r="P5" s="26" t="s">
        <v>51</v>
      </c>
      <c r="Q5" s="26" t="s">
        <v>48</v>
      </c>
      <c r="R5" s="26" t="s">
        <v>49</v>
      </c>
      <c r="S5" s="26" t="s">
        <v>50</v>
      </c>
    </row>
    <row r="7" spans="1:19" x14ac:dyDescent="0.25">
      <c r="B7" s="171" t="s">
        <v>107</v>
      </c>
      <c r="C7" s="171"/>
      <c r="D7" s="171"/>
      <c r="E7" s="171"/>
      <c r="F7" s="171"/>
      <c r="G7" s="236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</row>
    <row r="9" spans="1:19" x14ac:dyDescent="0.25">
      <c r="C9" s="152" t="s">
        <v>1105</v>
      </c>
    </row>
    <row r="10" spans="1:19" s="474" customFormat="1" x14ac:dyDescent="0.25">
      <c r="C10" s="152" t="s">
        <v>1106</v>
      </c>
      <c r="G10" s="194"/>
    </row>
    <row r="11" spans="1:19" x14ac:dyDescent="0.25">
      <c r="C11" s="152" t="s">
        <v>680</v>
      </c>
    </row>
    <row r="12" spans="1:19" x14ac:dyDescent="0.25">
      <c r="C12" s="152" t="s">
        <v>677</v>
      </c>
    </row>
    <row r="13" spans="1:19" x14ac:dyDescent="0.25">
      <c r="D13" s="35"/>
    </row>
    <row r="14" spans="1:19" x14ac:dyDescent="0.25">
      <c r="B14" s="171" t="s">
        <v>336</v>
      </c>
      <c r="C14" s="171"/>
      <c r="D14" s="171"/>
      <c r="E14" s="171"/>
      <c r="F14" s="171"/>
      <c r="G14" s="236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</row>
    <row r="16" spans="1:19" x14ac:dyDescent="0.25">
      <c r="E16" s="172" t="s">
        <v>678</v>
      </c>
    </row>
    <row r="17" spans="2:19" x14ac:dyDescent="0.25">
      <c r="F17" s="166" t="s">
        <v>710</v>
      </c>
      <c r="G17" s="237" t="s">
        <v>698</v>
      </c>
      <c r="H17" s="344" t="str">
        <f>LEFT(H18,4) - 1 &amp; "/" &amp; RIGHT(H18,2) - 1</f>
        <v>2015/16</v>
      </c>
    </row>
    <row r="18" spans="2:19" x14ac:dyDescent="0.25">
      <c r="F18" s="339" t="s">
        <v>711</v>
      </c>
      <c r="G18" s="238" t="s">
        <v>698</v>
      </c>
      <c r="H18" s="156" t="str">
        <f>LEFT(H19,4) - 1 &amp; "/" &amp; RIGHT(H19,2) - 1</f>
        <v>2016/17</v>
      </c>
    </row>
    <row r="19" spans="2:19" x14ac:dyDescent="0.25">
      <c r="F19" s="168" t="s">
        <v>712</v>
      </c>
      <c r="G19" s="239" t="s">
        <v>698</v>
      </c>
      <c r="H19" s="343" t="str">
        <f>'ARP_User control'!$G$28</f>
        <v>2017/18</v>
      </c>
    </row>
    <row r="21" spans="2:19" x14ac:dyDescent="0.25">
      <c r="B21" s="171" t="s">
        <v>713</v>
      </c>
      <c r="C21" s="171"/>
      <c r="D21" s="171"/>
      <c r="E21" s="171"/>
      <c r="F21" s="171"/>
      <c r="G21" s="236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</row>
    <row r="23" spans="2:19" x14ac:dyDescent="0.25">
      <c r="E23" s="172" t="s">
        <v>714</v>
      </c>
    </row>
    <row r="24" spans="2:19" x14ac:dyDescent="0.25">
      <c r="E24" s="167"/>
      <c r="F24" s="166" t="str">
        <f>$H$17</f>
        <v>2015/16</v>
      </c>
      <c r="G24" s="237" t="s">
        <v>111</v>
      </c>
      <c r="H24" s="201"/>
      <c r="I24" s="201"/>
      <c r="J24" s="242"/>
      <c r="K24" s="511">
        <v>0.89688925733958558</v>
      </c>
      <c r="L24" s="511">
        <v>0.85047523695799998</v>
      </c>
      <c r="M24" s="511">
        <v>0.85047523695799998</v>
      </c>
      <c r="N24" s="511">
        <v>0.63544232076202289</v>
      </c>
      <c r="O24" s="511">
        <v>0.63544232076202289</v>
      </c>
      <c r="P24" s="511">
        <v>0</v>
      </c>
      <c r="Q24" s="511">
        <v>0.41138795489781388</v>
      </c>
      <c r="R24" s="511">
        <v>0.41138795489781388</v>
      </c>
      <c r="S24" s="511">
        <v>0.41138795489781388</v>
      </c>
    </row>
    <row r="25" spans="2:19" x14ac:dyDescent="0.25">
      <c r="E25" s="167"/>
      <c r="F25" s="339" t="str">
        <f>$H$18</f>
        <v>2016/17</v>
      </c>
      <c r="G25" s="238" t="s">
        <v>111</v>
      </c>
      <c r="H25" s="121"/>
      <c r="I25" s="121"/>
      <c r="J25" s="81"/>
      <c r="K25" s="512">
        <v>0.88449067782028112</v>
      </c>
      <c r="L25" s="512">
        <v>0.85980503485548276</v>
      </c>
      <c r="M25" s="512">
        <v>0.85980503485548276</v>
      </c>
      <c r="N25" s="512">
        <v>0.65334326439117285</v>
      </c>
      <c r="O25" s="512">
        <v>0.65334326439117285</v>
      </c>
      <c r="P25" s="512">
        <v>0</v>
      </c>
      <c r="Q25" s="512">
        <v>0.41727201038931733</v>
      </c>
      <c r="R25" s="512">
        <v>0.41727201038931733</v>
      </c>
      <c r="S25" s="512">
        <v>0.41727201038931733</v>
      </c>
    </row>
    <row r="26" spans="2:19" x14ac:dyDescent="0.25">
      <c r="E26" s="167"/>
      <c r="F26" s="168" t="str">
        <f>$H$19</f>
        <v>2017/18</v>
      </c>
      <c r="G26" s="239" t="s">
        <v>111</v>
      </c>
      <c r="H26" s="262"/>
      <c r="I26" s="262"/>
      <c r="J26" s="83"/>
      <c r="K26" s="513">
        <v>0.85006803393038466</v>
      </c>
      <c r="L26" s="513">
        <v>0.73036043097490722</v>
      </c>
      <c r="M26" s="513">
        <v>0.73036043097490722</v>
      </c>
      <c r="N26" s="513">
        <v>0.649341545918522</v>
      </c>
      <c r="O26" s="513">
        <v>0.649341545918522</v>
      </c>
      <c r="P26" s="513">
        <v>0</v>
      </c>
      <c r="Q26" s="513">
        <v>0.45124028848802078</v>
      </c>
      <c r="R26" s="513">
        <v>0.45124028848802078</v>
      </c>
      <c r="S26" s="513">
        <v>0.45124028848802078</v>
      </c>
    </row>
    <row r="27" spans="2:19" x14ac:dyDescent="0.25">
      <c r="E27" s="167"/>
      <c r="F27" s="168" t="s">
        <v>679</v>
      </c>
      <c r="G27" s="239" t="s">
        <v>111</v>
      </c>
      <c r="H27" s="262"/>
      <c r="I27" s="262"/>
      <c r="J27" s="83"/>
      <c r="K27" s="492">
        <f t="shared" ref="K27:S27" si="0">AVERAGE(K24:K26)</f>
        <v>0.87714932303008375</v>
      </c>
      <c r="L27" s="492">
        <f t="shared" si="0"/>
        <v>0.81354690092946347</v>
      </c>
      <c r="M27" s="492">
        <f t="shared" si="0"/>
        <v>0.81354690092946347</v>
      </c>
      <c r="N27" s="492">
        <f t="shared" si="0"/>
        <v>0.64604237702390588</v>
      </c>
      <c r="O27" s="492">
        <f t="shared" si="0"/>
        <v>0.64604237702390588</v>
      </c>
      <c r="P27" s="492">
        <f t="shared" si="0"/>
        <v>0</v>
      </c>
      <c r="Q27" s="492">
        <f t="shared" si="0"/>
        <v>0.42663341792505066</v>
      </c>
      <c r="R27" s="492">
        <f t="shared" si="0"/>
        <v>0.42663341792505066</v>
      </c>
      <c r="S27" s="492">
        <f t="shared" si="0"/>
        <v>0.42663341792505066</v>
      </c>
    </row>
    <row r="29" spans="2:19" x14ac:dyDescent="0.25">
      <c r="E29" s="172" t="s">
        <v>715</v>
      </c>
      <c r="G29" s="238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</row>
    <row r="30" spans="2:19" x14ac:dyDescent="0.25">
      <c r="E30" s="167"/>
      <c r="F30" s="166" t="str">
        <f>$H$17</f>
        <v>2015/16</v>
      </c>
      <c r="G30" s="237" t="s">
        <v>111</v>
      </c>
      <c r="H30" s="201"/>
      <c r="I30" s="201"/>
      <c r="J30" s="242"/>
      <c r="K30" s="511">
        <v>0.10311074266041446</v>
      </c>
      <c r="L30" s="511">
        <v>0.14250306052350001</v>
      </c>
      <c r="M30" s="511">
        <v>0.14250306052350001</v>
      </c>
      <c r="N30" s="511">
        <v>0.34990889529986297</v>
      </c>
      <c r="O30" s="511">
        <v>0.34990889529986297</v>
      </c>
      <c r="P30" s="511">
        <v>0</v>
      </c>
      <c r="Q30" s="511">
        <v>0.55409326314545015</v>
      </c>
      <c r="R30" s="511">
        <v>0.55409326314545015</v>
      </c>
      <c r="S30" s="511">
        <v>0.55409326314545015</v>
      </c>
    </row>
    <row r="31" spans="2:19" x14ac:dyDescent="0.25">
      <c r="E31" s="167"/>
      <c r="F31" s="339" t="str">
        <f>$H$18</f>
        <v>2016/17</v>
      </c>
      <c r="G31" s="238" t="s">
        <v>111</v>
      </c>
      <c r="H31" s="121"/>
      <c r="I31" s="121"/>
      <c r="J31" s="81"/>
      <c r="K31" s="512">
        <v>0.11550932217971892</v>
      </c>
      <c r="L31" s="512">
        <v>0.13984665561475659</v>
      </c>
      <c r="M31" s="512">
        <v>0.13984665561475659</v>
      </c>
      <c r="N31" s="512">
        <v>0.3326854330683176</v>
      </c>
      <c r="O31" s="512">
        <v>0.3326854330683176</v>
      </c>
      <c r="P31" s="512">
        <v>0</v>
      </c>
      <c r="Q31" s="512">
        <v>0.55637723671737283</v>
      </c>
      <c r="R31" s="512">
        <v>0.55637723671737283</v>
      </c>
      <c r="S31" s="512">
        <v>0.55637723671737283</v>
      </c>
    </row>
    <row r="32" spans="2:19" x14ac:dyDescent="0.25">
      <c r="E32" s="167"/>
      <c r="F32" s="168" t="str">
        <f>$H$19</f>
        <v>2017/18</v>
      </c>
      <c r="G32" s="239" t="s">
        <v>111</v>
      </c>
      <c r="H32" s="262"/>
      <c r="I32" s="262"/>
      <c r="J32" s="83"/>
      <c r="K32" s="513">
        <v>0.14993196606961531</v>
      </c>
      <c r="L32" s="513">
        <v>0.2693142923508296</v>
      </c>
      <c r="M32" s="513">
        <v>0.2693142923508296</v>
      </c>
      <c r="N32" s="513">
        <v>0.33559448638252698</v>
      </c>
      <c r="O32" s="513">
        <v>0.33559448638252698</v>
      </c>
      <c r="P32" s="513">
        <v>0</v>
      </c>
      <c r="Q32" s="513">
        <v>0.51447114046422049</v>
      </c>
      <c r="R32" s="513">
        <v>0.51447114046422049</v>
      </c>
      <c r="S32" s="513">
        <v>0.51447114046422049</v>
      </c>
    </row>
    <row r="33" spans="2:19" x14ac:dyDescent="0.25">
      <c r="E33" s="167"/>
      <c r="F33" s="168" t="s">
        <v>679</v>
      </c>
      <c r="G33" s="239" t="s">
        <v>111</v>
      </c>
      <c r="H33" s="262"/>
      <c r="I33" s="262"/>
      <c r="J33" s="83"/>
      <c r="K33" s="492">
        <f t="shared" ref="K33:S33" si="1">AVERAGE(K30:K32)</f>
        <v>0.12285067696991624</v>
      </c>
      <c r="L33" s="492">
        <f t="shared" si="1"/>
        <v>0.18388800282969542</v>
      </c>
      <c r="M33" s="492">
        <f t="shared" si="1"/>
        <v>0.18388800282969542</v>
      </c>
      <c r="N33" s="492">
        <f t="shared" si="1"/>
        <v>0.33939627158356922</v>
      </c>
      <c r="O33" s="492">
        <f t="shared" si="1"/>
        <v>0.33939627158356922</v>
      </c>
      <c r="P33" s="492">
        <f t="shared" si="1"/>
        <v>0</v>
      </c>
      <c r="Q33" s="492">
        <f t="shared" si="1"/>
        <v>0.5416472134423479</v>
      </c>
      <c r="R33" s="492">
        <f t="shared" si="1"/>
        <v>0.5416472134423479</v>
      </c>
      <c r="S33" s="492">
        <f t="shared" si="1"/>
        <v>0.5416472134423479</v>
      </c>
    </row>
    <row r="35" spans="2:19" x14ac:dyDescent="0.25">
      <c r="E35" s="172" t="s">
        <v>716</v>
      </c>
      <c r="G35" s="238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</row>
    <row r="36" spans="2:19" x14ac:dyDescent="0.25">
      <c r="E36" s="167"/>
      <c r="F36" s="166" t="str">
        <f>$H$17</f>
        <v>2015/16</v>
      </c>
      <c r="G36" s="237" t="s">
        <v>111</v>
      </c>
      <c r="H36" s="201"/>
      <c r="I36" s="201"/>
      <c r="J36" s="242"/>
      <c r="K36" s="511">
        <v>0</v>
      </c>
      <c r="L36" s="511">
        <v>7.0217025185000479E-3</v>
      </c>
      <c r="M36" s="511">
        <v>7.0217025185000479E-3</v>
      </c>
      <c r="N36" s="511">
        <v>1.464878393811417E-2</v>
      </c>
      <c r="O36" s="511">
        <v>1.464878393811417E-2</v>
      </c>
      <c r="P36" s="511">
        <v>0</v>
      </c>
      <c r="Q36" s="511">
        <v>3.4518781956736008E-2</v>
      </c>
      <c r="R36" s="511">
        <v>3.4518781956736008E-2</v>
      </c>
      <c r="S36" s="511">
        <v>3.4518781956736008E-2</v>
      </c>
    </row>
    <row r="37" spans="2:19" x14ac:dyDescent="0.25">
      <c r="E37" s="167"/>
      <c r="F37" s="339" t="str">
        <f>$H$18</f>
        <v>2016/17</v>
      </c>
      <c r="G37" s="238" t="s">
        <v>111</v>
      </c>
      <c r="H37" s="121"/>
      <c r="I37" s="121"/>
      <c r="J37" s="81"/>
      <c r="K37" s="512">
        <v>0</v>
      </c>
      <c r="L37" s="512">
        <v>3.4830952976062847E-4</v>
      </c>
      <c r="M37" s="512">
        <v>3.4830952976062847E-4</v>
      </c>
      <c r="N37" s="512">
        <v>1.397130254050955E-2</v>
      </c>
      <c r="O37" s="512">
        <v>1.397130254050955E-2</v>
      </c>
      <c r="P37" s="512">
        <v>0</v>
      </c>
      <c r="Q37" s="512">
        <v>2.6350752893309782E-2</v>
      </c>
      <c r="R37" s="512">
        <v>2.6350752893309782E-2</v>
      </c>
      <c r="S37" s="512">
        <v>2.6350752893309782E-2</v>
      </c>
    </row>
    <row r="38" spans="2:19" x14ac:dyDescent="0.25">
      <c r="E38" s="167"/>
      <c r="F38" s="168" t="str">
        <f>$H$19</f>
        <v>2017/18</v>
      </c>
      <c r="G38" s="239" t="s">
        <v>111</v>
      </c>
      <c r="H38" s="262"/>
      <c r="I38" s="262"/>
      <c r="J38" s="83"/>
      <c r="K38" s="513">
        <v>0</v>
      </c>
      <c r="L38" s="513">
        <v>3.2527667426317898E-4</v>
      </c>
      <c r="M38" s="513">
        <v>3.2527667426317898E-4</v>
      </c>
      <c r="N38" s="513">
        <v>1.5063967698950994E-2</v>
      </c>
      <c r="O38" s="513">
        <v>1.5063967698950994E-2</v>
      </c>
      <c r="P38" s="513">
        <v>0</v>
      </c>
      <c r="Q38" s="513">
        <v>3.4288571047758731E-2</v>
      </c>
      <c r="R38" s="513">
        <v>3.4288571047758731E-2</v>
      </c>
      <c r="S38" s="513">
        <v>3.4288571047758731E-2</v>
      </c>
    </row>
    <row r="39" spans="2:19" x14ac:dyDescent="0.25">
      <c r="F39" s="168" t="s">
        <v>679</v>
      </c>
      <c r="G39" s="239" t="s">
        <v>111</v>
      </c>
      <c r="H39" s="262"/>
      <c r="I39" s="262"/>
      <c r="J39" s="83"/>
      <c r="K39" s="492">
        <f t="shared" ref="K39:S39" si="2">AVERAGE(K36:K38)</f>
        <v>0</v>
      </c>
      <c r="L39" s="492">
        <f t="shared" si="2"/>
        <v>2.5650962408412851E-3</v>
      </c>
      <c r="M39" s="492">
        <f t="shared" si="2"/>
        <v>2.5650962408412851E-3</v>
      </c>
      <c r="N39" s="492">
        <f t="shared" si="2"/>
        <v>1.4561351392524903E-2</v>
      </c>
      <c r="O39" s="492">
        <f t="shared" si="2"/>
        <v>1.4561351392524903E-2</v>
      </c>
      <c r="P39" s="492">
        <f t="shared" si="2"/>
        <v>0</v>
      </c>
      <c r="Q39" s="492">
        <f t="shared" si="2"/>
        <v>3.1719368632601504E-2</v>
      </c>
      <c r="R39" s="492">
        <f t="shared" si="2"/>
        <v>3.1719368632601504E-2</v>
      </c>
      <c r="S39" s="492">
        <f t="shared" si="2"/>
        <v>3.1719368632601504E-2</v>
      </c>
    </row>
    <row r="41" spans="2:19" x14ac:dyDescent="0.25">
      <c r="E41" s="172" t="s">
        <v>717</v>
      </c>
      <c r="G41" s="238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1"/>
      <c r="S41" s="121"/>
    </row>
    <row r="42" spans="2:19" x14ac:dyDescent="0.25">
      <c r="E42" s="167"/>
      <c r="F42" s="166" t="str">
        <f>$H$17</f>
        <v>2015/16</v>
      </c>
      <c r="G42" s="237" t="s">
        <v>111</v>
      </c>
      <c r="H42" s="201"/>
      <c r="I42" s="201"/>
      <c r="J42" s="242"/>
      <c r="K42" s="511">
        <v>0.71802001264092619</v>
      </c>
      <c r="L42" s="511">
        <v>0.69650361671191674</v>
      </c>
      <c r="M42" s="511">
        <v>0.69650361671191674</v>
      </c>
      <c r="N42" s="511">
        <v>0.57918491541842176</v>
      </c>
      <c r="O42" s="511">
        <v>0.57918491541842176</v>
      </c>
      <c r="P42" s="511">
        <v>0</v>
      </c>
      <c r="Q42" s="511">
        <v>0.35646603177444403</v>
      </c>
      <c r="R42" s="511">
        <v>0.35646603177444403</v>
      </c>
      <c r="S42" s="511">
        <v>0.35646603177444403</v>
      </c>
    </row>
    <row r="43" spans="2:19" x14ac:dyDescent="0.25">
      <c r="E43" s="167"/>
      <c r="F43" s="339" t="str">
        <f>$H$18</f>
        <v>2016/17</v>
      </c>
      <c r="G43" s="238" t="s">
        <v>111</v>
      </c>
      <c r="H43" s="121"/>
      <c r="I43" s="121"/>
      <c r="J43" s="81"/>
      <c r="K43" s="512">
        <v>0.63622789894324727</v>
      </c>
      <c r="L43" s="512">
        <v>0.79487694986235835</v>
      </c>
      <c r="M43" s="512">
        <v>0.79487694986235835</v>
      </c>
      <c r="N43" s="512">
        <v>0.61547748609715414</v>
      </c>
      <c r="O43" s="512">
        <v>0.61547748609715414</v>
      </c>
      <c r="P43" s="512">
        <v>0</v>
      </c>
      <c r="Q43" s="512">
        <v>0.36969529068972151</v>
      </c>
      <c r="R43" s="512">
        <v>0.36969529068972151</v>
      </c>
      <c r="S43" s="512">
        <v>0.36969529068972151</v>
      </c>
    </row>
    <row r="44" spans="2:19" x14ac:dyDescent="0.25">
      <c r="E44" s="167"/>
      <c r="F44" s="168" t="str">
        <f>$H$19</f>
        <v>2017/18</v>
      </c>
      <c r="G44" s="239" t="s">
        <v>111</v>
      </c>
      <c r="H44" s="262"/>
      <c r="I44" s="262"/>
      <c r="J44" s="83"/>
      <c r="K44" s="513">
        <v>0.2257332125418941</v>
      </c>
      <c r="L44" s="513">
        <v>0.27361580363994337</v>
      </c>
      <c r="M44" s="513">
        <v>0.27361580363994337</v>
      </c>
      <c r="N44" s="513">
        <v>0.26504642867101225</v>
      </c>
      <c r="O44" s="513">
        <v>0.26504642867101225</v>
      </c>
      <c r="P44" s="513">
        <v>0</v>
      </c>
      <c r="Q44" s="513">
        <v>0.17095448550181064</v>
      </c>
      <c r="R44" s="513">
        <v>0.17095448550181064</v>
      </c>
      <c r="S44" s="513">
        <v>0.17095448550181064</v>
      </c>
    </row>
    <row r="45" spans="2:19" x14ac:dyDescent="0.25">
      <c r="F45" s="168" t="s">
        <v>679</v>
      </c>
      <c r="G45" s="239" t="s">
        <v>111</v>
      </c>
      <c r="H45" s="262"/>
      <c r="I45" s="262"/>
      <c r="J45" s="83"/>
      <c r="K45" s="492">
        <f t="shared" ref="K45:S45" si="3">AVERAGE(K42:K44)</f>
        <v>0.52666037470868921</v>
      </c>
      <c r="L45" s="492">
        <f t="shared" si="3"/>
        <v>0.5883321234047395</v>
      </c>
      <c r="M45" s="492">
        <f t="shared" si="3"/>
        <v>0.5883321234047395</v>
      </c>
      <c r="N45" s="492">
        <f t="shared" si="3"/>
        <v>0.48656961006219612</v>
      </c>
      <c r="O45" s="492">
        <f t="shared" si="3"/>
        <v>0.48656961006219612</v>
      </c>
      <c r="P45" s="492">
        <f t="shared" si="3"/>
        <v>0</v>
      </c>
      <c r="Q45" s="492">
        <f t="shared" si="3"/>
        <v>0.29903860265532539</v>
      </c>
      <c r="R45" s="492">
        <f t="shared" si="3"/>
        <v>0.29903860265532539</v>
      </c>
      <c r="S45" s="492">
        <f t="shared" si="3"/>
        <v>0.29903860265532539</v>
      </c>
    </row>
    <row r="47" spans="2:19" x14ac:dyDescent="0.25">
      <c r="B47" s="171" t="s">
        <v>127</v>
      </c>
      <c r="C47" s="171"/>
      <c r="D47" s="171"/>
      <c r="E47" s="171"/>
      <c r="F47" s="171"/>
      <c r="G47" s="236"/>
      <c r="H47" s="171"/>
      <c r="I47" s="171"/>
      <c r="J47" s="171"/>
      <c r="K47" s="171"/>
      <c r="L47" s="171"/>
      <c r="M47" s="171"/>
      <c r="N47" s="171"/>
      <c r="O47" s="171"/>
      <c r="P47" s="171"/>
      <c r="Q47" s="171"/>
      <c r="R47" s="171"/>
      <c r="S47" s="171"/>
    </row>
  </sheetData>
  <sheetProtection sheet="1" objects="1" formatCells="0" formatColumns="0" formatRows="0" sort="0" autoFilter="0"/>
  <hyperlinks>
    <hyperlink ref="B5:F5" location="'Model map'!A1" display="Click here to return to model map"/>
  </hyperlinks>
  <pageMargins left="0.7" right="0.7" top="0.75" bottom="0.75" header="0.3" footer="0.3"/>
  <pageSetup paperSize="9" fitToHeight="0" orientation="portrait" r:id="rId1"/>
  <headerFooter>
    <oddHeader>&amp;L&amp;A&amp;C&amp;R&amp;P of &amp;N</oddHeader>
    <oddFooter>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162FE946D2DC49B772FE47E464ED56" ma:contentTypeVersion="43" ma:contentTypeDescription="Create a new document." ma:contentTypeScope="" ma:versionID="3eda9f60ba35fa792978f47f221bc710">
  <xsd:schema xmlns:xsd="http://www.w3.org/2001/XMLSchema" xmlns:xs="http://www.w3.org/2001/XMLSchema" xmlns:p="http://schemas.microsoft.com/office/2006/metadata/properties" xmlns:ns2="c7312139-f4c2-453d-a4c8-c631b6303d87" xmlns:ns3="830862f3-40c2-43d5-9778-1909aaa95bc7" targetNamespace="http://schemas.microsoft.com/office/2006/metadata/properties" ma:root="true" ma:fieldsID="8ab4db3f37c2fb55e352b75920aaf867" ns2:_="" ns3:_="">
    <xsd:import namespace="c7312139-f4c2-453d-a4c8-c631b6303d87"/>
    <xsd:import namespace="830862f3-40c2-43d5-9778-1909aaa95bc7"/>
    <xsd:element name="properties">
      <xsd:complexType>
        <xsd:sequence>
          <xsd:element name="documentManagement">
            <xsd:complexType>
              <xsd:all>
                <xsd:element ref="ns2:DocType" minOccurs="0"/>
                <xsd:element ref="ns3:DocumentCategory" minOccurs="0"/>
                <xsd:element ref="ns2:Commitees" minOccurs="0"/>
                <xsd:element ref="ns2:ChangeProposal1" minOccurs="0"/>
                <xsd:element ref="ns2:Activities" minOccurs="0"/>
                <xsd:element ref="ns2:Issues" minOccurs="0"/>
                <xsd:element ref="ns2:DocNotes" minOccurs="0"/>
                <xsd:element ref="ns3:Restricted" minOccurs="0"/>
                <xsd:element ref="ns2:Confidential1" minOccurs="0"/>
                <xsd:element ref="ns2:PublishDate" minOccurs="0"/>
                <xsd:element ref="ns2:UnpublishDate" minOccurs="0"/>
                <xsd:element ref="ns2:DocVersion" minOccurs="0"/>
                <xsd:element ref="ns2:Archived" minOccurs="0"/>
                <xsd:element ref="ns2:Date_x0020_Archived" minOccurs="0"/>
                <xsd:element ref="ns2:DateLastActivated1" minOccurs="0"/>
                <xsd:element ref="ns2:DateLastDeactivated1" minOccurs="0"/>
                <xsd:element ref="ns2:SQLID" minOccurs="0"/>
                <xsd:element ref="ns2:_dlc_DocId" minOccurs="0"/>
                <xsd:element ref="ns2:_dlc_DocIdUrl" minOccurs="0"/>
                <xsd:element ref="ns2:_dlc_DocIdPersistId" minOccurs="0"/>
                <xsd:element ref="ns3:Related_x0020_Commitees_x0020__x0026__x0020_Groups_x003a_ID" minOccurs="0"/>
                <xsd:element ref="ns3:Related_x0020_Change_x0020_Proposals_x003a_ID" minOccurs="0"/>
                <xsd:element ref="ns3:Related_x0020_Activities_x003a_ID" minOccurs="0"/>
                <xsd:element ref="ns3:Related_x0020_Issues_x003a_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312139-f4c2-453d-a4c8-c631b6303d87" elementFormDefault="qualified">
    <xsd:import namespace="http://schemas.microsoft.com/office/2006/documentManagement/types"/>
    <xsd:import namespace="http://schemas.microsoft.com/office/infopath/2007/PartnerControls"/>
    <xsd:element name="DocType" ma:index="2" nillable="true" ma:displayName="Document Type" ma:description="Select type of document" ma:indexed="true" ma:list="{e44f5265-7504-47b9-8500-c2f524d54778}" ma:internalName="DocType" ma:showField="Title" ma:web="c7312139-f4c2-453d-a4c8-c631b6303d87">
      <xsd:simpleType>
        <xsd:restriction base="dms:Lookup"/>
      </xsd:simpleType>
    </xsd:element>
    <xsd:element name="Commitees" ma:index="4" nillable="true" ma:displayName="Related Committees &amp; Groups" ma:description="Select any Committees and Groups related to this document" ma:list="{c4558e07-05f5-413e-8fc8-3371db0e06b8}" ma:internalName="Commitees" ma:readOnly="false" ma:showField="Title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hangeProposal1" ma:index="5" nillable="true" ma:displayName="Related Change Proposals" ma:description="Select Change Proposals to which this document belongs." ma:list="{9d78ab6c-e5db-4bbc-aef9-166e344e593e}" ma:internalName="ChangeProposal1" ma:readOnly="false" ma:showField="DCP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ctivities" ma:index="6" nillable="true" ma:displayName="Related Activities" ma:description="Select any Related Activities" ma:list="{4c7ccd60-2e0f-4363-be6e-3f24309280e9}" ma:internalName="Activities" ma:readOnly="false" ma:showField="Title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ssues" ma:index="7" nillable="true" ma:displayName="Related Issues" ma:description="Select any issues related to this document" ma:list="{fd71b149-47ba-4a21-af25-87beffb6e97e}" ma:internalName="Issues" ma:showField="Issue_x0020_Number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Notes" ma:index="8" nillable="true" ma:displayName="Notes" ma:description="Add any notes related to this document" ma:internalName="DocNotes">
      <xsd:simpleType>
        <xsd:restriction base="dms:Note">
          <xsd:maxLength value="255"/>
        </xsd:restriction>
      </xsd:simpleType>
    </xsd:element>
    <xsd:element name="Confidential1" ma:index="10" nillable="true" ma:displayName="Confidential" ma:default="0" ma:description="Select if document is to be kept confidential to members of appropriate Change Proposal Working Group." ma:internalName="Confidential1">
      <xsd:simpleType>
        <xsd:restriction base="dms:Boolean"/>
      </xsd:simpleType>
    </xsd:element>
    <xsd:element name="PublishDate" ma:index="11" nillable="true" ma:displayName="Date Published" ma:description="Enter the date this document is to be published." ma:format="DateOnly" ma:indexed="true" ma:internalName="PublishDate">
      <xsd:simpleType>
        <xsd:restriction base="dms:DateTime"/>
      </xsd:simpleType>
    </xsd:element>
    <xsd:element name="UnpublishDate" ma:index="12" nillable="true" ma:displayName="Withdrawal Date" ma:description="Enter any date to automatically remove this document from publication." ma:format="DateOnly" ma:indexed="true" ma:internalName="UnpublishDate">
      <xsd:simpleType>
        <xsd:restriction base="dms:DateTime"/>
      </xsd:simpleType>
    </xsd:element>
    <xsd:element name="DocVersion" ma:index="13" nillable="true" ma:displayName="Version/Revision" ma:description="Enter version number for this document" ma:internalName="DocVersion">
      <xsd:simpleType>
        <xsd:restriction base="dms:Text">
          <xsd:maxLength value="255"/>
        </xsd:restriction>
      </xsd:simpleType>
    </xsd:element>
    <xsd:element name="Archived" ma:index="14" nillable="true" ma:displayName="Archived" ma:default="0" ma:description="Indicate if this record is to be archived." ma:indexed="true" ma:internalName="Archived">
      <xsd:simpleType>
        <xsd:restriction base="dms:Boolean"/>
      </xsd:simpleType>
    </xsd:element>
    <xsd:element name="Date_x0020_Archived" ma:index="15" nillable="true" ma:displayName="Date Archived" ma:description="Select date this record was archived." ma:format="DateOnly" ma:internalName="Date_x0020_Archived">
      <xsd:simpleType>
        <xsd:restriction base="dms:DateTime"/>
      </xsd:simpleType>
    </xsd:element>
    <xsd:element name="DateLastActivated1" ma:index="16" nillable="true" ma:displayName="Date Last Activated" ma:default="[today]" ma:description="Records date record was last activated" ma:format="DateOnly" ma:internalName="DateLastActivated1">
      <xsd:simpleType>
        <xsd:restriction base="dms:DateTime"/>
      </xsd:simpleType>
    </xsd:element>
    <xsd:element name="DateLastDeactivated1" ma:index="17" nillable="true" ma:displayName="Date Last Deactivated" ma:description="Records date record was last deactivated" ma:format="DateOnly" ma:internalName="DateLastDeactivated1">
      <xsd:simpleType>
        <xsd:restriction base="dms:DateTime"/>
      </xsd:simpleType>
    </xsd:element>
    <xsd:element name="SQLID" ma:index="18" nillable="true" ma:displayName="SQLID" ma:decimals="0" ma:description="Holds SQLID from old database." ma:internalName="SQLID" ma:percentage="FALSE">
      <xsd:simpleType>
        <xsd:restriction base="dms:Number"/>
      </xsd:simple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0862f3-40c2-43d5-9778-1909aaa95bc7" elementFormDefault="qualified">
    <xsd:import namespace="http://schemas.microsoft.com/office/2006/documentManagement/types"/>
    <xsd:import namespace="http://schemas.microsoft.com/office/infopath/2007/PartnerControls"/>
    <xsd:element name="DocumentCategory" ma:index="3" nillable="true" ma:displayName="Document Category" ma:description="Select Document Category for this document" ma:indexed="true" ma:list="{84b421a0-f42d-4db4-ba8d-bd6d116602cf}" ma:internalName="DocumentCategory" ma:showField="Title" ma:web="c7312139-f4c2-453d-a4c8-c631b6303d87">
      <xsd:simpleType>
        <xsd:restriction base="dms:Lookup"/>
      </xsd:simpleType>
    </xsd:element>
    <xsd:element name="Restricted" ma:index="9" nillable="true" ma:displayName="Restricted" ma:default="0" ma:description="Restrict document publishing to registered website users only." ma:indexed="true" ma:internalName="Restricted">
      <xsd:simpleType>
        <xsd:restriction base="dms:Boolean"/>
      </xsd:simpleType>
    </xsd:element>
    <xsd:element name="Related_x0020_Commitees_x0020__x0026__x0020_Groups_x003a_ID" ma:index="28" nillable="true" ma:displayName="Related Commitees &amp; Groups:ID" ma:list="{c4558e07-05f5-413e-8fc8-3371db0e06b8}" ma:internalName="Related_x0020_Commitees_x0020__x0026__x0020_Group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Change_x0020_Proposals_x003a_ID" ma:index="29" nillable="true" ma:displayName="Related Change Proposals:ID" ma:list="{9d78ab6c-e5db-4bbc-aef9-166e344e593e}" ma:internalName="Related_x0020_Change_x0020_Proposal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Activities_x003a_ID" ma:index="30" nillable="true" ma:displayName="Related Activities:ID" ma:list="{4c7ccd60-2e0f-4363-be6e-3f24309280e9}" ma:internalName="Related_x0020_Activitie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Issues_x003a_ID" ma:index="31" nillable="true" ma:displayName="Related Issues:ID" ma:list="{fd71b149-47ba-4a21-af25-87beffb6e97e}" ma:internalName="Related_x0020_Issue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npublishDate xmlns="c7312139-f4c2-453d-a4c8-c631b6303d87" xsi:nil="true"/>
    <Date_x0020_Archived xmlns="c7312139-f4c2-453d-a4c8-c631b6303d87" xsi:nil="true"/>
    <DocumentCategory xmlns="830862f3-40c2-43d5-9778-1909aaa95bc7">39</DocumentCategory>
    <DateLastActivated1 xmlns="c7312139-f4c2-453d-a4c8-c631b6303d87">2018-10-17T10:47:46+00:00</DateLastActivated1>
    <Commitees xmlns="c7312139-f4c2-453d-a4c8-c631b6303d87"/>
    <DocNotes xmlns="c7312139-f4c2-453d-a4c8-c631b6303d87" xsi:nil="true"/>
    <Activities xmlns="c7312139-f4c2-453d-a4c8-c631b6303d87"/>
    <Issues xmlns="c7312139-f4c2-453d-a4c8-c631b6303d87"/>
    <PublishDate xmlns="c7312139-f4c2-453d-a4c8-c631b6303d87">2018-10-15T23:00:00+00:00</PublishDate>
    <ChangeProposal1 xmlns="c7312139-f4c2-453d-a4c8-c631b6303d87"/>
    <Confidential1 xmlns="c7312139-f4c2-453d-a4c8-c631b6303d87">false</Confidential1>
    <DocType xmlns="c7312139-f4c2-453d-a4c8-c631b6303d87">11</DocType>
    <Restricted xmlns="830862f3-40c2-43d5-9778-1909aaa95bc7">false</Restricted>
    <DateLastDeactivated1 xmlns="c7312139-f4c2-453d-a4c8-c631b6303d87" xsi:nil="true"/>
    <DocVersion xmlns="c7312139-f4c2-453d-a4c8-c631b6303d87">v3</DocVersion>
    <Archived xmlns="c7312139-f4c2-453d-a4c8-c631b6303d87">false</Archived>
    <SQLID xmlns="c7312139-f4c2-453d-a4c8-c631b6303d87" xsi:nil="true"/>
  </documentManagement>
</p:properties>
</file>

<file path=customXml/item4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5162A177-B106-41B9-923F-DC964E87F0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312139-f4c2-453d-a4c8-c631b6303d87"/>
    <ds:schemaRef ds:uri="830862f3-40c2-43d5-9778-1909aaa95b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672EFB-D87C-4F0C-B881-1D86437C27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433340-7BEC-4F3D-99D4-81DABA0ADC90}">
  <ds:schemaRefs>
    <ds:schemaRef ds:uri="http://purl.org/dc/terms/"/>
    <ds:schemaRef ds:uri="http://schemas.microsoft.com/office/2006/documentManagement/types"/>
    <ds:schemaRef ds:uri="http://purl.org/dc/dcmitype/"/>
    <ds:schemaRef ds:uri="830862f3-40c2-43d5-9778-1909aaa95bc7"/>
    <ds:schemaRef ds:uri="c7312139-f4c2-453d-a4c8-c631b6303d87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65C5C79D-B677-4B86-BE03-C9A465367FF1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36</vt:i4>
      </vt:variant>
      <vt:variant>
        <vt:lpstr>Named Ranges</vt:lpstr>
      </vt:variant>
      <vt:variant>
        <vt:i4>24</vt:i4>
      </vt:variant>
    </vt:vector>
  </HeadingPairs>
  <TitlesOfParts>
    <vt:vector size="60" baseType="lpstr">
      <vt:lpstr>Cover</vt:lpstr>
      <vt:lpstr>Version control</vt:lpstr>
      <vt:lpstr>Model map</vt:lpstr>
      <vt:lpstr>Index</vt:lpstr>
      <vt:lpstr>Named ranges</vt:lpstr>
      <vt:lpstr>ARP_DNO commentary</vt:lpstr>
      <vt:lpstr>ARP_CDCM timebands</vt:lpstr>
      <vt:lpstr>ARP_Load characteristics</vt:lpstr>
      <vt:lpstr>ARP_Peaking probabilities</vt:lpstr>
      <vt:lpstr>ARP_User control</vt:lpstr>
      <vt:lpstr>ARP_Inputs by customer type</vt:lpstr>
      <vt:lpstr>ARP_Inputs by network level</vt:lpstr>
      <vt:lpstr>ARP_General inputs</vt:lpstr>
      <vt:lpstr>Fixed inputs</vt:lpstr>
      <vt:lpstr>Inputs by customer type</vt:lpstr>
      <vt:lpstr>Inputs by network level</vt:lpstr>
      <vt:lpstr>General inputs</vt:lpstr>
      <vt:lpstr>Standing charge factors</vt:lpstr>
      <vt:lpstr>Load &amp; loss characteristics</vt:lpstr>
      <vt:lpstr>Customer contributions</vt:lpstr>
      <vt:lpstr>Volume adjustments</vt:lpstr>
      <vt:lpstr>Pseudo-load coefficients</vt:lpstr>
      <vt:lpstr>System peak demand</vt:lpstr>
      <vt:lpstr>Service model assets</vt:lpstr>
      <vt:lpstr>Unit costs</vt:lpstr>
      <vt:lpstr>Initial unit rates</vt:lpstr>
      <vt:lpstr>Service model charges</vt:lpstr>
      <vt:lpstr>Unit rate charges</vt:lpstr>
      <vt:lpstr>Reactive power charges</vt:lpstr>
      <vt:lpstr>Capacity charges</vt:lpstr>
      <vt:lpstr>Fixed charges</vt:lpstr>
      <vt:lpstr>Revenue matching</vt:lpstr>
      <vt:lpstr>Rounding</vt:lpstr>
      <vt:lpstr>Net revenue summary</vt:lpstr>
      <vt:lpstr>Tariff summary</vt:lpstr>
      <vt:lpstr>Typical bills</vt:lpstr>
      <vt:lpstr>charging_year</vt:lpstr>
      <vt:lpstr>charging_year_selected</vt:lpstr>
      <vt:lpstr>check_decimals</vt:lpstr>
      <vt:lpstr>days_in_year</vt:lpstr>
      <vt:lpstr>DNO_name</vt:lpstr>
      <vt:lpstr>hours_in_day</vt:lpstr>
      <vt:lpstr>hours_in_year</vt:lpstr>
      <vt:lpstr>hundred</vt:lpstr>
      <vt:lpstr>live_results_bills</vt:lpstr>
      <vt:lpstr>live_results_tariffs</vt:lpstr>
      <vt:lpstr>PowerFactor</vt:lpstr>
      <vt:lpstr>results_4_bills</vt:lpstr>
      <vt:lpstr>results_4_tariffs</vt:lpstr>
      <vt:lpstr>results_5_bills</vt:lpstr>
      <vt:lpstr>results_5_tariffs</vt:lpstr>
      <vt:lpstr>results_6_bills</vt:lpstr>
      <vt:lpstr>results_6_tariffs</vt:lpstr>
      <vt:lpstr>results_7_bills</vt:lpstr>
      <vt:lpstr>results_7_tariffs</vt:lpstr>
      <vt:lpstr>results_8_bills</vt:lpstr>
      <vt:lpstr>results_8_tariffs</vt:lpstr>
      <vt:lpstr>ten</vt:lpstr>
      <vt:lpstr>thousand</vt:lpstr>
      <vt:lpstr>year_selection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ARP_v3_20181016</dc:title>
  <dc:subject/>
  <dc:creator>Clark, Emma</dc:creator>
  <cp:keywords/>
  <dc:description/>
  <cp:lastModifiedBy>Smith, Bradley</cp:lastModifiedBy>
  <cp:revision/>
  <cp:lastPrinted>2018-05-04T14:21:24Z</cp:lastPrinted>
  <dcterms:created xsi:type="dcterms:W3CDTF">2017-07-12T09:37:31Z</dcterms:created>
  <dcterms:modified xsi:type="dcterms:W3CDTF">2018-12-25T16:24:33Z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0x010100DE162FE946D2DC49B772FE47E464ED56</vt:lpwstr>
  </property>
</Properties>
</file>